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84CD1B8D-2237-4DA6-9C72-0F531A9AC09F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</calcChain>
</file>

<file path=xl/sharedStrings.xml><?xml version="1.0" encoding="utf-8"?>
<sst xmlns="http://schemas.openxmlformats.org/spreadsheetml/2006/main" count="15026" uniqueCount="65">
  <si>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</si>
  <si>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</si>
  <si>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</si>
  <si>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</si>
  <si>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</si>
  <si>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</si>
  <si>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</si>
  <si>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</si>
  <si>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</si>
  <si>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</si>
  <si>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</si>
  <si>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</si>
  <si>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</si>
  <si>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</si>
  <si>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</si>
  <si>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</si>
  <si>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</si>
  <si>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</si>
  <si>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</si>
  <si>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</si>
  <si>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</si>
  <si>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</si>
  <si>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</si>
  <si>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</si>
  <si>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</si>
  <si>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</si>
  <si>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</si>
  <si>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</si>
  <si>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</si>
  <si>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</si>
  <si>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</si>
  <si>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</si>
  <si>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</si>
  <si>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</si>
  <si>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</si>
  <si>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</si>
  <si>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</si>
  <si>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</si>
  <si>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</si>
  <si>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</si>
  <si>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</si>
  <si>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mcp_road_part_02</t>
  </si>
  <si>
    <t>Kooper</t>
  </si>
  <si>
    <t>Plane_01</t>
  </si>
  <si>
    <t>Building 07 (16)</t>
  </si>
  <si>
    <t>mcp_roads_turn_01 (1)</t>
  </si>
  <si>
    <t>mcp_roads_T_cross_01</t>
  </si>
  <si>
    <t>mcp_road_part_01</t>
  </si>
  <si>
    <t>mcp_roads_cross_01</t>
  </si>
  <si>
    <t>Bannar Stand</t>
  </si>
  <si>
    <t>mcp_building_24_fountain_marble</t>
  </si>
  <si>
    <t>mcp_roads_cross_02</t>
  </si>
  <si>
    <t>FAR</t>
  </si>
  <si>
    <t>Building 15 (32)</t>
  </si>
  <si>
    <t>mcp_roads_turn_01</t>
  </si>
  <si>
    <t>mcp_road_part_02 (1)</t>
  </si>
  <si>
    <t>mcp_road_part_02 (2)</t>
  </si>
  <si>
    <t>mcp_road_part_02 (3)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</si>
  <si>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</si>
  <si>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</si>
  <si>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</si>
  <si>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</si>
  <si>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</si>
  <si>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</si>
  <si>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Box001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</si>
</sst>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494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"20190312172856128"</f>
        <v>20190312172856128</v>
      </c>
      <c r="B2" t="str">
        <f>"1552382936117770"</f>
        <v>1552382936117770</v>
      </c>
      <c r="C2" t="s">
        <v>40</v>
      </c>
      <c r="D2">
        <v>3.678083</v>
      </c>
      <c r="E2">
        <v>0.51510319999999998</v>
      </c>
      <c r="F2" t="s">
        <v>41</v>
      </c>
      <c r="G2">
        <v>-457.01850000000002</v>
      </c>
      <c r="H2" s="1">
        <v>-1.9347689999999999E-6</v>
      </c>
      <c r="I2">
        <v>366.10570000000001</v>
      </c>
      <c r="J2">
        <v>-476.59899999999999</v>
      </c>
      <c r="K2">
        <v>1.109591</v>
      </c>
      <c r="L2">
        <v>367.21640000000002</v>
      </c>
      <c r="M2">
        <v>0.99996660000000004</v>
      </c>
      <c r="N2">
        <v>0</v>
      </c>
      <c r="O2">
        <v>3.6245690000000002E-4</v>
      </c>
      <c r="P2">
        <v>0.97868690000000003</v>
      </c>
      <c r="Q2">
        <v>0.2029608</v>
      </c>
      <c r="R2">
        <v>-3.1295080000000003E-2</v>
      </c>
      <c r="S2">
        <v>3.095612</v>
      </c>
      <c r="T2">
        <v>-0.17533840000000001</v>
      </c>
      <c r="U2">
        <v>-0.1754761</v>
      </c>
      <c r="V2">
        <v>3.1622940000000002E-2</v>
      </c>
      <c r="W2">
        <v>0.21096110000000001</v>
      </c>
      <c r="X2">
        <v>0.97698280000000004</v>
      </c>
      <c r="Y2">
        <v>5.6865029999999997E-2</v>
      </c>
      <c r="Z2">
        <v>-1.6283650000000001E-3</v>
      </c>
      <c r="AA2">
        <v>0.9983805</v>
      </c>
      <c r="AB2">
        <v>1</v>
      </c>
      <c r="AC2">
        <v>19.580499999999901</v>
      </c>
      <c r="AD2">
        <v>-1.1095929347689999</v>
      </c>
      <c r="AE2">
        <v>-1.1107</v>
      </c>
      <c r="AF2">
        <v>1.11423060740905</v>
      </c>
      <c r="AG2">
        <v>-1.1095929347689999</v>
      </c>
      <c r="AH2">
        <v>19.517620367835999</v>
      </c>
      <c r="AI2">
        <v>93.248532262266593</v>
      </c>
      <c r="AJ2">
        <v>86.732619495093104</v>
      </c>
      <c r="AK2">
        <v>19.580863391340699</v>
      </c>
      <c r="AL2">
        <v>77.821318825570501</v>
      </c>
      <c r="AM2">
        <v>88.146099765354506</v>
      </c>
      <c r="AN2">
        <v>0.99999999377164595</v>
      </c>
    </row>
    <row r="3" spans="1:40" x14ac:dyDescent="0.25">
      <c r="A3" t="str">
        <f>"20190312172856149"</f>
        <v>20190312172856149</v>
      </c>
      <c r="B3" t="str">
        <f>"1552382936137290"</f>
        <v>1552382936137290</v>
      </c>
      <c r="C3" t="s">
        <v>40</v>
      </c>
      <c r="D3">
        <v>3.6848529999999999</v>
      </c>
      <c r="E3">
        <v>0.51481520000000003</v>
      </c>
      <c r="F3" t="s">
        <v>41</v>
      </c>
      <c r="G3">
        <v>-456.72809999999998</v>
      </c>
      <c r="H3" s="1">
        <v>-2.0334680000000001E-6</v>
      </c>
      <c r="I3">
        <v>366.1062</v>
      </c>
      <c r="J3">
        <v>-476.59359999999998</v>
      </c>
      <c r="K3">
        <v>1.1098870000000001</v>
      </c>
      <c r="L3">
        <v>367.21640000000002</v>
      </c>
      <c r="M3">
        <v>0.99995959999999995</v>
      </c>
      <c r="N3">
        <v>0</v>
      </c>
      <c r="O3">
        <v>3.9269529999999997E-4</v>
      </c>
      <c r="P3">
        <v>0.97882449999999999</v>
      </c>
      <c r="Q3">
        <v>0.2024386</v>
      </c>
      <c r="R3">
        <v>-3.0359219999999999E-2</v>
      </c>
      <c r="S3">
        <v>3.0956730000000001</v>
      </c>
      <c r="T3">
        <v>-0.17286209999999999</v>
      </c>
      <c r="U3">
        <v>-0.17294309999999999</v>
      </c>
      <c r="V3">
        <v>3.0734870000000001E-2</v>
      </c>
      <c r="W3">
        <v>0.21122630000000001</v>
      </c>
      <c r="X3">
        <v>0.97695390000000004</v>
      </c>
      <c r="Y3">
        <v>5.6083510000000003E-2</v>
      </c>
      <c r="Z3">
        <v>-1.585309E-3</v>
      </c>
      <c r="AA3">
        <v>0.9984248</v>
      </c>
      <c r="AB3">
        <v>1</v>
      </c>
      <c r="AC3">
        <v>19.865500000000001</v>
      </c>
      <c r="AD3">
        <v>-1.1098890334680001</v>
      </c>
      <c r="AE3">
        <v>-1.1102000000000201</v>
      </c>
      <c r="AF3">
        <v>1.1145331598219701</v>
      </c>
      <c r="AG3">
        <v>-1.1098890334680001</v>
      </c>
      <c r="AH3">
        <v>19.803438967941499</v>
      </c>
      <c r="AI3">
        <v>93.202743829355796</v>
      </c>
      <c r="AJ3">
        <v>86.778804301689306</v>
      </c>
      <c r="AK3">
        <v>19.8658056163836</v>
      </c>
      <c r="AL3">
        <v>77.805774413665503</v>
      </c>
      <c r="AM3">
        <v>88.198074936696401</v>
      </c>
      <c r="AN3">
        <v>1.0000000523854</v>
      </c>
    </row>
    <row r="4" spans="1:40" x14ac:dyDescent="0.25">
      <c r="A4" t="str">
        <f>"20190312172856170"</f>
        <v>20190312172856170</v>
      </c>
      <c r="B4" t="str">
        <f>"1552382936167546"</f>
        <v>1552382936167546</v>
      </c>
      <c r="C4" t="s">
        <v>40</v>
      </c>
      <c r="D4">
        <v>3.6676470000000001</v>
      </c>
      <c r="E4">
        <v>0.51449440000000002</v>
      </c>
      <c r="F4" t="s">
        <v>41</v>
      </c>
      <c r="G4">
        <v>-456.94490000000002</v>
      </c>
      <c r="H4" s="1">
        <v>-1.9467259999999998E-6</v>
      </c>
      <c r="I4">
        <v>366.1549</v>
      </c>
      <c r="J4">
        <v>-476.59050000000002</v>
      </c>
      <c r="K4">
        <v>1.1102479999999999</v>
      </c>
      <c r="L4">
        <v>367.2165</v>
      </c>
      <c r="M4">
        <v>0.99994669999999997</v>
      </c>
      <c r="N4">
        <v>0</v>
      </c>
      <c r="O4">
        <v>3.7888949999999999E-4</v>
      </c>
      <c r="P4">
        <v>0.97909800000000002</v>
      </c>
      <c r="Q4">
        <v>0.20123869999999999</v>
      </c>
      <c r="R4">
        <v>-2.9494929999999999E-2</v>
      </c>
      <c r="S4">
        <v>3.0958860000000001</v>
      </c>
      <c r="T4">
        <v>-0.174874799999999</v>
      </c>
      <c r="U4">
        <v>-0.16723629999999901</v>
      </c>
      <c r="V4">
        <v>2.988302E-2</v>
      </c>
      <c r="W4">
        <v>0.21133450000000001</v>
      </c>
      <c r="X4">
        <v>0.97695690000000002</v>
      </c>
      <c r="Y4">
        <v>5.4231790000000002E-2</v>
      </c>
      <c r="Z4">
        <v>-1.5507120000000001E-3</v>
      </c>
      <c r="AA4">
        <v>0.99852719999999995</v>
      </c>
      <c r="AB4">
        <v>1</v>
      </c>
      <c r="AC4">
        <v>19.645600000000002</v>
      </c>
      <c r="AD4">
        <v>-1.1102499467260001</v>
      </c>
      <c r="AE4">
        <v>-1.0615999999999901</v>
      </c>
      <c r="AF4">
        <v>1.0656502421435501</v>
      </c>
      <c r="AG4">
        <v>-1.1102499467260001</v>
      </c>
      <c r="AH4">
        <v>19.5828343211336</v>
      </c>
      <c r="AI4">
        <v>93.2401301626155</v>
      </c>
      <c r="AJ4">
        <v>86.8851751426796</v>
      </c>
      <c r="AK4">
        <v>19.6432091429011</v>
      </c>
      <c r="AL4">
        <v>77.7994314921296</v>
      </c>
      <c r="AM4">
        <v>88.247991036398403</v>
      </c>
      <c r="AN4">
        <v>1.0000000251160801</v>
      </c>
    </row>
    <row r="5" spans="1:40" x14ac:dyDescent="0.25">
      <c r="A5" t="str">
        <f>"20190312172856240"</f>
        <v>20190312172856240</v>
      </c>
      <c r="B5" t="str">
        <f>"1552382936237818"</f>
        <v>1552382936237818</v>
      </c>
      <c r="C5" t="s">
        <v>40</v>
      </c>
      <c r="D5">
        <v>3.66893</v>
      </c>
      <c r="E5">
        <v>0.5141578</v>
      </c>
      <c r="F5" t="s">
        <v>41</v>
      </c>
      <c r="G5">
        <v>-457.20229999999998</v>
      </c>
      <c r="H5" s="1">
        <v>-1.833864E-6</v>
      </c>
      <c r="I5">
        <v>366.24979999999999</v>
      </c>
      <c r="J5">
        <v>-476.56229999999999</v>
      </c>
      <c r="K5">
        <v>1.109621</v>
      </c>
      <c r="L5">
        <v>367.21660000000003</v>
      </c>
      <c r="M5">
        <v>0.99996640000000003</v>
      </c>
      <c r="N5">
        <v>0</v>
      </c>
      <c r="O5">
        <v>5.3767840000000001E-4</v>
      </c>
      <c r="P5">
        <v>0.97825709999999999</v>
      </c>
      <c r="Q5">
        <v>0.2055379</v>
      </c>
      <c r="R5">
        <v>-2.7696060000000002E-2</v>
      </c>
      <c r="S5">
        <v>3.0968019999999998</v>
      </c>
      <c r="T5">
        <v>-0.17742179999999999</v>
      </c>
      <c r="U5">
        <v>-0.1545105</v>
      </c>
      <c r="V5">
        <v>2.822237E-2</v>
      </c>
      <c r="W5">
        <v>0.21353929999999999</v>
      </c>
      <c r="X5">
        <v>0.97652669999999997</v>
      </c>
      <c r="Y5">
        <v>5.0285469999999999E-2</v>
      </c>
      <c r="Z5">
        <v>-1.4691649999999999E-3</v>
      </c>
      <c r="AA5">
        <v>0.9987338</v>
      </c>
      <c r="AB5">
        <v>1</v>
      </c>
      <c r="AC5">
        <v>19.36</v>
      </c>
      <c r="AD5">
        <v>-1.109622833864</v>
      </c>
      <c r="AE5">
        <v>-0.96680000000003397</v>
      </c>
      <c r="AF5">
        <v>0.97401793838431705</v>
      </c>
      <c r="AG5">
        <v>-1.109622833864</v>
      </c>
      <c r="AH5">
        <v>19.2962461893853</v>
      </c>
      <c r="AI5">
        <v>93.286970491889406</v>
      </c>
      <c r="AJ5">
        <v>87.110329584563601</v>
      </c>
      <c r="AK5">
        <v>19.352650742962702</v>
      </c>
      <c r="AL5">
        <v>77.670154216922597</v>
      </c>
      <c r="AM5">
        <v>88.344568862313096</v>
      </c>
      <c r="AN5">
        <v>0.99999996531289703</v>
      </c>
    </row>
    <row r="6" spans="1:40" x14ac:dyDescent="0.25">
      <c r="A6" t="str">
        <f>"20190312172856261"</f>
        <v>20190312172856261</v>
      </c>
      <c r="B6" t="str">
        <f>"1552382936257338"</f>
        <v>1552382936257338</v>
      </c>
      <c r="C6" t="s">
        <v>40</v>
      </c>
      <c r="D6">
        <v>3.6948059999999998</v>
      </c>
      <c r="E6">
        <v>0.5141327</v>
      </c>
      <c r="F6" t="s">
        <v>41</v>
      </c>
      <c r="G6">
        <v>-456.02170000000001</v>
      </c>
      <c r="H6" s="1">
        <v>-2.2960109999999998E-6</v>
      </c>
      <c r="I6">
        <v>366.19420000000002</v>
      </c>
      <c r="J6">
        <v>-476.5505</v>
      </c>
      <c r="K6">
        <v>1.109612</v>
      </c>
      <c r="L6">
        <v>367.2167</v>
      </c>
      <c r="M6">
        <v>0.99996910000000006</v>
      </c>
      <c r="N6">
        <v>0</v>
      </c>
      <c r="O6">
        <v>6.3900429999999998E-4</v>
      </c>
      <c r="P6">
        <v>0.97828419999999905</v>
      </c>
      <c r="Q6">
        <v>0.2054154</v>
      </c>
      <c r="R6">
        <v>-2.765422E-2</v>
      </c>
      <c r="S6">
        <v>3.0975039999999998</v>
      </c>
      <c r="T6">
        <v>-0.167329799999999</v>
      </c>
      <c r="U6">
        <v>-0.154174799999999</v>
      </c>
      <c r="V6">
        <v>2.827023E-2</v>
      </c>
      <c r="W6">
        <v>0.21308189999999999</v>
      </c>
      <c r="X6">
        <v>0.97662530000000003</v>
      </c>
      <c r="Y6">
        <v>5.0276519999999998E-2</v>
      </c>
      <c r="Z6">
        <v>-1.3906369999999999E-3</v>
      </c>
      <c r="AA6">
        <v>0.99873440000000002</v>
      </c>
      <c r="AB6">
        <v>1</v>
      </c>
      <c r="AC6">
        <v>20.528799999999901</v>
      </c>
      <c r="AD6">
        <v>-1.109614296011</v>
      </c>
      <c r="AE6">
        <v>-1.02249999999997</v>
      </c>
      <c r="AF6">
        <v>1.03260880766023</v>
      </c>
      <c r="AG6">
        <v>-1.109614296011</v>
      </c>
      <c r="AH6">
        <v>20.468490176288899</v>
      </c>
      <c r="AI6">
        <v>93.099082192925806</v>
      </c>
      <c r="AJ6">
        <v>87.111950600720704</v>
      </c>
      <c r="AK6">
        <v>20.524536899340902</v>
      </c>
      <c r="AL6">
        <v>77.696979612625597</v>
      </c>
      <c r="AM6">
        <v>88.341930440609801</v>
      </c>
      <c r="AN6">
        <v>1.00000003930597</v>
      </c>
    </row>
    <row r="7" spans="1:40" x14ac:dyDescent="0.25">
      <c r="A7" t="str">
        <f>"20190312172856284"</f>
        <v>20190312172856284</v>
      </c>
      <c r="B7" t="str">
        <f>"1552382936277834"</f>
        <v>1552382936277834</v>
      </c>
      <c r="C7" t="s">
        <v>40</v>
      </c>
      <c r="D7">
        <v>3.6618249999999999</v>
      </c>
      <c r="E7">
        <v>0.514069</v>
      </c>
      <c r="F7" t="s">
        <v>41</v>
      </c>
      <c r="G7">
        <v>-456.18549999999999</v>
      </c>
      <c r="H7" s="1">
        <v>-2.2227700000000001E-6</v>
      </c>
      <c r="I7">
        <v>366.21109999999999</v>
      </c>
      <c r="J7">
        <v>-476.54109999999997</v>
      </c>
      <c r="K7">
        <v>1.1099760000000001</v>
      </c>
      <c r="L7">
        <v>367.21679999999998</v>
      </c>
      <c r="M7">
        <v>0.99996019999999997</v>
      </c>
      <c r="N7">
        <v>0</v>
      </c>
      <c r="O7">
        <v>6.8550860000000003E-4</v>
      </c>
      <c r="P7">
        <v>0.97859949999999996</v>
      </c>
      <c r="Q7">
        <v>0.20389360000000001</v>
      </c>
      <c r="R7">
        <v>-2.7761910000000001E-2</v>
      </c>
      <c r="S7">
        <v>3.0977169999999998</v>
      </c>
      <c r="T7">
        <v>-0.16878219999999999</v>
      </c>
      <c r="U7">
        <v>-0.15295410000000001</v>
      </c>
      <c r="V7">
        <v>2.8430380000000002E-2</v>
      </c>
      <c r="W7">
        <v>0.21260100000000001</v>
      </c>
      <c r="X7">
        <v>0.97672539999999997</v>
      </c>
      <c r="Y7">
        <v>4.9926110000000003E-2</v>
      </c>
      <c r="Z7">
        <v>-1.3956050000000001E-3</v>
      </c>
      <c r="AA7">
        <v>0.99875190000000003</v>
      </c>
      <c r="AB7">
        <v>1</v>
      </c>
      <c r="AC7">
        <v>20.3555999999999</v>
      </c>
      <c r="AD7">
        <v>-1.1099782227699999</v>
      </c>
      <c r="AE7">
        <v>-1.00569999999999</v>
      </c>
      <c r="AF7">
        <v>1.01663868815862</v>
      </c>
      <c r="AG7">
        <v>-1.1099782227699999</v>
      </c>
      <c r="AH7">
        <v>20.294707356818801</v>
      </c>
      <c r="AI7">
        <v>93.126645736340507</v>
      </c>
      <c r="AJ7">
        <v>87.132234767481606</v>
      </c>
      <c r="AK7">
        <v>20.3504484613042</v>
      </c>
      <c r="AL7">
        <v>77.725178675954297</v>
      </c>
      <c r="AM7">
        <v>88.332713607788605</v>
      </c>
      <c r="AN7">
        <v>0.99999998935655199</v>
      </c>
    </row>
    <row r="8" spans="1:40" x14ac:dyDescent="0.25">
      <c r="A8" t="str">
        <f>"20190312172856307"</f>
        <v>20190312172856307</v>
      </c>
      <c r="B8" t="str">
        <f>"1552382936297353"</f>
        <v>1552382936297353</v>
      </c>
      <c r="C8" t="s">
        <v>40</v>
      </c>
      <c r="D8">
        <v>4.0329059999999997</v>
      </c>
      <c r="E8">
        <v>0.51405299999999998</v>
      </c>
      <c r="F8" t="s">
        <v>41</v>
      </c>
      <c r="G8">
        <v>-456.79840000000002</v>
      </c>
      <c r="H8" s="1">
        <v>-1.971466E-6</v>
      </c>
      <c r="I8">
        <v>366.24930000000001</v>
      </c>
      <c r="J8">
        <v>-476.5274</v>
      </c>
      <c r="K8">
        <v>1.109856</v>
      </c>
      <c r="L8">
        <v>367.21699999999998</v>
      </c>
      <c r="M8">
        <v>0.99996470000000004</v>
      </c>
      <c r="N8">
        <v>0</v>
      </c>
      <c r="O8">
        <v>7.8176139999999999E-4</v>
      </c>
      <c r="P8">
        <v>0.97842779999999996</v>
      </c>
      <c r="Q8">
        <v>0.20471839999999999</v>
      </c>
      <c r="R8">
        <v>-2.7740899999999999E-2</v>
      </c>
      <c r="S8">
        <v>3.0975649999999999</v>
      </c>
      <c r="T8">
        <v>-0.17415139999999901</v>
      </c>
      <c r="U8">
        <v>-0.1517944</v>
      </c>
      <c r="V8">
        <v>2.849546E-2</v>
      </c>
      <c r="W8">
        <v>0.2129095</v>
      </c>
      <c r="X8">
        <v>0.97665630000000003</v>
      </c>
      <c r="Y8">
        <v>4.96471E-2</v>
      </c>
      <c r="Z8">
        <v>-1.4375879999999901E-3</v>
      </c>
      <c r="AA8">
        <v>0.99876580000000004</v>
      </c>
      <c r="AB8">
        <v>1</v>
      </c>
      <c r="AC8">
        <v>19.7289999999999</v>
      </c>
      <c r="AD8">
        <v>-1.109857971466</v>
      </c>
      <c r="AE8">
        <v>-0.96769999999997902</v>
      </c>
      <c r="AF8">
        <v>0.98002961499327301</v>
      </c>
      <c r="AG8">
        <v>-1.109857971466</v>
      </c>
      <c r="AH8">
        <v>19.6661504698267</v>
      </c>
      <c r="AI8">
        <v>93.226062718559604</v>
      </c>
      <c r="AJ8">
        <v>87.147120965789199</v>
      </c>
      <c r="AK8">
        <v>19.721808159115501</v>
      </c>
      <c r="AL8">
        <v>77.707088744059703</v>
      </c>
      <c r="AM8">
        <v>88.3287810170808</v>
      </c>
      <c r="AN8">
        <v>0.99999998738027496</v>
      </c>
    </row>
    <row r="9" spans="1:40" x14ac:dyDescent="0.25">
      <c r="A9" t="str">
        <f>"20190312172856328"</f>
        <v>20190312172856328</v>
      </c>
      <c r="B9" t="str">
        <f>"1552382936317850"</f>
        <v>1552382936317850</v>
      </c>
      <c r="C9" t="s">
        <v>40</v>
      </c>
      <c r="D9">
        <v>3.6729820000000002</v>
      </c>
      <c r="E9">
        <v>0.51399410000000001</v>
      </c>
      <c r="F9" t="s">
        <v>41</v>
      </c>
      <c r="G9">
        <v>-456.52719999999999</v>
      </c>
      <c r="H9" s="1">
        <v>-2.0726420000000002E-6</v>
      </c>
      <c r="I9">
        <v>366.23099999999999</v>
      </c>
      <c r="J9">
        <v>-476.51010000000002</v>
      </c>
      <c r="K9">
        <v>1.109577</v>
      </c>
      <c r="L9">
        <v>367.21710000000002</v>
      </c>
      <c r="M9">
        <v>0.99997400000000003</v>
      </c>
      <c r="N9">
        <v>0</v>
      </c>
      <c r="O9">
        <v>9.3846489999999995E-4</v>
      </c>
      <c r="P9">
        <v>0.9780761</v>
      </c>
      <c r="Q9">
        <v>0.20642250000000001</v>
      </c>
      <c r="R9">
        <v>-2.7517050000000001E-2</v>
      </c>
      <c r="S9">
        <v>3.0977779999999999</v>
      </c>
      <c r="T9">
        <v>-0.17190179999999999</v>
      </c>
      <c r="U9">
        <v>-0.15270999999999901</v>
      </c>
      <c r="V9">
        <v>2.841517E-2</v>
      </c>
      <c r="W9">
        <v>0.21342990000000001</v>
      </c>
      <c r="X9">
        <v>0.97654510000000005</v>
      </c>
      <c r="Y9">
        <v>5.0095830000000001E-2</v>
      </c>
      <c r="Z9">
        <v>-1.4400560000000001E-3</v>
      </c>
      <c r="AA9">
        <v>0.99874339999999995</v>
      </c>
      <c r="AB9">
        <v>1</v>
      </c>
      <c r="AC9">
        <v>19.982900000000001</v>
      </c>
      <c r="AD9">
        <v>-1.1095790726420001</v>
      </c>
      <c r="AE9">
        <v>-0.98610000000002096</v>
      </c>
      <c r="AF9">
        <v>1.0017721502122601</v>
      </c>
      <c r="AG9">
        <v>-1.1095790726420001</v>
      </c>
      <c r="AH9">
        <v>19.9206957810914</v>
      </c>
      <c r="AI9">
        <v>93.184054871461598</v>
      </c>
      <c r="AJ9">
        <v>87.121134400352702</v>
      </c>
      <c r="AK9">
        <v>19.976707275278802</v>
      </c>
      <c r="AL9">
        <v>77.676571201344899</v>
      </c>
      <c r="AM9">
        <v>88.333297594305606</v>
      </c>
      <c r="AN9">
        <v>1.00000003821707</v>
      </c>
    </row>
    <row r="10" spans="1:40" x14ac:dyDescent="0.25">
      <c r="A10" t="str">
        <f>"20190312172856350"</f>
        <v>20190312172856350</v>
      </c>
      <c r="B10" t="str">
        <f>"1552382936347130"</f>
        <v>1552382936347130</v>
      </c>
      <c r="C10" t="s">
        <v>40</v>
      </c>
      <c r="D10">
        <v>3.6840630000000001</v>
      </c>
      <c r="E10">
        <v>0.51393469999999997</v>
      </c>
      <c r="F10" t="s">
        <v>41</v>
      </c>
      <c r="G10">
        <v>-455.89</v>
      </c>
      <c r="H10" s="1">
        <v>-2.3497659999999998E-6</v>
      </c>
      <c r="I10">
        <v>366.20960000000002</v>
      </c>
      <c r="J10">
        <v>-476.49200000000002</v>
      </c>
      <c r="K10">
        <v>1.109467</v>
      </c>
      <c r="L10">
        <v>367.21730000000002</v>
      </c>
      <c r="M10">
        <v>0.99997860000000005</v>
      </c>
      <c r="N10">
        <v>0</v>
      </c>
      <c r="O10">
        <v>1.10312E-3</v>
      </c>
      <c r="P10">
        <v>0.9777498</v>
      </c>
      <c r="Q10">
        <v>0.20804890000000001</v>
      </c>
      <c r="R10">
        <v>-2.684899E-2</v>
      </c>
      <c r="S10">
        <v>3.0982059999999998</v>
      </c>
      <c r="T10">
        <v>-0.16671559999999999</v>
      </c>
      <c r="U10">
        <v>-0.15136720000000001</v>
      </c>
      <c r="V10">
        <v>2.7904979999999999E-2</v>
      </c>
      <c r="W10">
        <v>0.21436749999999999</v>
      </c>
      <c r="X10">
        <v>0.97635439999999996</v>
      </c>
      <c r="Y10">
        <v>4.9826500000000003E-2</v>
      </c>
      <c r="Z10">
        <v>-1.3981079999999999E-3</v>
      </c>
      <c r="AA10">
        <v>0.99875689999999995</v>
      </c>
      <c r="AB10">
        <v>2</v>
      </c>
      <c r="AC10">
        <v>20.601999999999901</v>
      </c>
      <c r="AD10">
        <v>-1.109469349766</v>
      </c>
      <c r="AE10">
        <v>-1.00769999999999</v>
      </c>
      <c r="AF10">
        <v>1.0274537385354801</v>
      </c>
      <c r="AG10">
        <v>-1.109469349766</v>
      </c>
      <c r="AH10">
        <v>20.541445917186799</v>
      </c>
      <c r="AI10">
        <v>93.087760532764506</v>
      </c>
      <c r="AJ10">
        <v>87.136533478885994</v>
      </c>
      <c r="AK10">
        <v>20.597028518492898</v>
      </c>
      <c r="AL10">
        <v>77.621577596492898</v>
      </c>
      <c r="AM10">
        <v>88.362887029895703</v>
      </c>
      <c r="AN10">
        <v>1.0000000136822</v>
      </c>
    </row>
    <row r="11" spans="1:40" x14ac:dyDescent="0.25">
      <c r="A11" t="str">
        <f>"20190312172856372"</f>
        <v>20190312172856372</v>
      </c>
      <c r="B11" t="str">
        <f>"1552382936367626"</f>
        <v>1552382936367626</v>
      </c>
      <c r="C11" t="s">
        <v>40</v>
      </c>
      <c r="D11">
        <v>3.7090900000000002</v>
      </c>
      <c r="E11">
        <v>0.51388420000000001</v>
      </c>
      <c r="F11" t="s">
        <v>41</v>
      </c>
      <c r="G11">
        <v>-455.31700000000001</v>
      </c>
      <c r="H11" s="1">
        <v>-2.597919E-6</v>
      </c>
      <c r="I11">
        <v>366.19639999999998</v>
      </c>
      <c r="J11">
        <v>-476.47710000000001</v>
      </c>
      <c r="K11">
        <v>1.1097950000000001</v>
      </c>
      <c r="L11">
        <v>367.21749999999997</v>
      </c>
      <c r="M11">
        <v>0.99997159999999996</v>
      </c>
      <c r="N11">
        <v>0</v>
      </c>
      <c r="O11">
        <v>1.2022490000000001E-3</v>
      </c>
      <c r="P11">
        <v>0.97793479999999999</v>
      </c>
      <c r="Q11">
        <v>0.2072551</v>
      </c>
      <c r="R11">
        <v>-2.6255899999999999E-2</v>
      </c>
      <c r="S11">
        <v>3.0987239999999998</v>
      </c>
      <c r="T11">
        <v>-0.1623578</v>
      </c>
      <c r="U11">
        <v>-0.1493835</v>
      </c>
      <c r="V11">
        <v>2.742375E-2</v>
      </c>
      <c r="W11">
        <v>0.21453240000000001</v>
      </c>
      <c r="X11">
        <v>0.97633179999999997</v>
      </c>
      <c r="Y11">
        <v>4.9283920000000002E-2</v>
      </c>
      <c r="Z11">
        <v>-1.352399E-3</v>
      </c>
      <c r="AA11">
        <v>0.99878389999999995</v>
      </c>
      <c r="AB11">
        <v>2</v>
      </c>
      <c r="AC11">
        <v>21.1601</v>
      </c>
      <c r="AD11">
        <v>-1.109797597919</v>
      </c>
      <c r="AE11">
        <v>-1.0210999999999899</v>
      </c>
      <c r="AF11">
        <v>1.0436754480295101</v>
      </c>
      <c r="AG11">
        <v>-1.109797597919</v>
      </c>
      <c r="AH11">
        <v>21.100948336142</v>
      </c>
      <c r="AI11">
        <v>93.007009946746294</v>
      </c>
      <c r="AJ11">
        <v>87.168397103755794</v>
      </c>
      <c r="AK11">
        <v>21.155872230510798</v>
      </c>
      <c r="AL11">
        <v>77.611904282441401</v>
      </c>
      <c r="AM11">
        <v>88.391067356913894</v>
      </c>
      <c r="AN11">
        <v>0.99999999820253105</v>
      </c>
    </row>
    <row r="12" spans="1:40" x14ac:dyDescent="0.25">
      <c r="A12" t="str">
        <f>"20190312172856393"</f>
        <v>20190312172856393</v>
      </c>
      <c r="B12" t="str">
        <f>"1552382936387146"</f>
        <v>1552382936387146</v>
      </c>
      <c r="C12" t="s">
        <v>40</v>
      </c>
      <c r="D12">
        <v>3.696018</v>
      </c>
      <c r="E12">
        <v>0.51385950000000002</v>
      </c>
      <c r="F12" t="s">
        <v>41</v>
      </c>
      <c r="G12">
        <v>-455.64400000000001</v>
      </c>
      <c r="H12" s="1">
        <v>-2.4519249999999998E-6</v>
      </c>
      <c r="I12">
        <v>366.2287</v>
      </c>
      <c r="J12">
        <v>-476.46629999999999</v>
      </c>
      <c r="K12">
        <v>1.110244</v>
      </c>
      <c r="L12">
        <v>367.2176</v>
      </c>
      <c r="M12">
        <v>0.99995690000000004</v>
      </c>
      <c r="N12">
        <v>0</v>
      </c>
      <c r="O12">
        <v>1.241065E-3</v>
      </c>
      <c r="P12">
        <v>0.97833300000000001</v>
      </c>
      <c r="Q12">
        <v>0.20546300000000001</v>
      </c>
      <c r="R12">
        <v>-2.548632E-2</v>
      </c>
      <c r="S12">
        <v>3.0987239999999998</v>
      </c>
      <c r="T12">
        <v>-0.1650712</v>
      </c>
      <c r="U12">
        <v>-0.14706420000000001</v>
      </c>
      <c r="V12">
        <v>2.6714970000000001E-2</v>
      </c>
      <c r="W12">
        <v>0.21444859999999999</v>
      </c>
      <c r="X12">
        <v>0.97636990000000001</v>
      </c>
      <c r="Y12">
        <v>4.8575460000000001E-2</v>
      </c>
      <c r="Z12">
        <v>-1.3582139999999999E-3</v>
      </c>
      <c r="AA12">
        <v>0.9988186</v>
      </c>
      <c r="AB12">
        <v>2</v>
      </c>
      <c r="AC12">
        <v>20.822299999999899</v>
      </c>
      <c r="AD12">
        <v>-1.1102464519249999</v>
      </c>
      <c r="AE12">
        <v>-0.988900000000001</v>
      </c>
      <c r="AF12">
        <v>1.01187185240512</v>
      </c>
      <c r="AG12">
        <v>-1.1102464519249999</v>
      </c>
      <c r="AH12">
        <v>20.762162017726499</v>
      </c>
      <c r="AI12">
        <v>93.057326491497903</v>
      </c>
      <c r="AJ12">
        <v>87.209820938463807</v>
      </c>
      <c r="AK12">
        <v>20.816433495679</v>
      </c>
      <c r="AL12">
        <v>77.616820562241699</v>
      </c>
      <c r="AM12">
        <v>88.432691108388298</v>
      </c>
      <c r="AN12">
        <v>1.0000000366450299</v>
      </c>
    </row>
    <row r="13" spans="1:40" x14ac:dyDescent="0.25">
      <c r="A13" t="str">
        <f>"20190312172856416"</f>
        <v>20190312172856416</v>
      </c>
      <c r="B13" t="str">
        <f>"1552382936407642"</f>
        <v>1552382936407642</v>
      </c>
      <c r="C13" t="s">
        <v>40</v>
      </c>
      <c r="D13">
        <v>3.7385470000000001</v>
      </c>
      <c r="E13">
        <v>0.513849</v>
      </c>
      <c r="F13" t="s">
        <v>41</v>
      </c>
      <c r="G13">
        <v>-456.35</v>
      </c>
      <c r="H13" s="1">
        <v>-2.1407169999999999E-6</v>
      </c>
      <c r="I13">
        <v>366.2756</v>
      </c>
      <c r="J13">
        <v>-476.45310000000001</v>
      </c>
      <c r="K13">
        <v>1.1103149999999999</v>
      </c>
      <c r="L13">
        <v>367.21769999999998</v>
      </c>
      <c r="M13">
        <v>0.99995080000000003</v>
      </c>
      <c r="N13">
        <v>0</v>
      </c>
      <c r="O13">
        <v>1.281922E-3</v>
      </c>
      <c r="P13">
        <v>0.97856149999999997</v>
      </c>
      <c r="Q13">
        <v>0.20443510000000001</v>
      </c>
      <c r="R13">
        <v>-2.4982089999999998E-2</v>
      </c>
      <c r="S13">
        <v>3.0986020000000001</v>
      </c>
      <c r="T13">
        <v>-0.17101549999999999</v>
      </c>
      <c r="U13">
        <v>-0.1450806</v>
      </c>
      <c r="V13">
        <v>2.6257809999999999E-2</v>
      </c>
      <c r="W13">
        <v>0.21405170000000001</v>
      </c>
      <c r="X13">
        <v>0.97646929999999998</v>
      </c>
      <c r="Y13">
        <v>4.7975799999999999E-2</v>
      </c>
      <c r="Z13">
        <v>-1.3928530000000001E-3</v>
      </c>
      <c r="AA13">
        <v>0.9988475</v>
      </c>
      <c r="AB13">
        <v>1</v>
      </c>
      <c r="AC13">
        <v>20.103099999999898</v>
      </c>
      <c r="AD13">
        <v>-1.1103171407170001</v>
      </c>
      <c r="AE13">
        <v>-0.94209999999998195</v>
      </c>
      <c r="AF13">
        <v>0.96493401826240199</v>
      </c>
      <c r="AG13">
        <v>-1.1103171407170001</v>
      </c>
      <c r="AH13">
        <v>20.040875423687002</v>
      </c>
      <c r="AI13">
        <v>93.167432976537498</v>
      </c>
      <c r="AJ13">
        <v>87.243434630380307</v>
      </c>
      <c r="AK13">
        <v>20.094790109884499</v>
      </c>
      <c r="AL13">
        <v>77.640100767332896</v>
      </c>
      <c r="AM13">
        <v>88.459655390216199</v>
      </c>
      <c r="AN13">
        <v>0.99999994835068595</v>
      </c>
    </row>
    <row r="14" spans="1:40" x14ac:dyDescent="0.25">
      <c r="A14" t="str">
        <f>"20190312172856439"</f>
        <v>20190312172856439</v>
      </c>
      <c r="B14" t="str">
        <f>"1552382936427165"</f>
        <v>1552382936427165</v>
      </c>
      <c r="C14" t="s">
        <v>40</v>
      </c>
      <c r="D14">
        <v>3.6706439999999998</v>
      </c>
      <c r="E14">
        <v>0.51333499999999999</v>
      </c>
      <c r="F14" t="s">
        <v>41</v>
      </c>
      <c r="G14">
        <v>-456.7364</v>
      </c>
      <c r="H14" s="1">
        <v>-1.9771410000000002E-6</v>
      </c>
      <c r="I14">
        <v>366.30720000000002</v>
      </c>
      <c r="J14">
        <v>-476.43490000000003</v>
      </c>
      <c r="K14">
        <v>1.109958</v>
      </c>
      <c r="L14">
        <v>367.21780000000001</v>
      </c>
      <c r="M14">
        <v>0.99996039999999997</v>
      </c>
      <c r="N14">
        <v>0</v>
      </c>
      <c r="O14">
        <v>1.3922159999999999E-3</v>
      </c>
      <c r="P14">
        <v>0.97851750000000004</v>
      </c>
      <c r="Q14">
        <v>0.20466570000000001</v>
      </c>
      <c r="R14">
        <v>-2.4808980000000001E-2</v>
      </c>
      <c r="S14">
        <v>3.0985109999999998</v>
      </c>
      <c r="T14">
        <v>-0.17448720000000001</v>
      </c>
      <c r="U14">
        <v>-0.14306640000000001</v>
      </c>
      <c r="V14">
        <v>2.6181220000000002E-2</v>
      </c>
      <c r="W14">
        <v>0.21326500000000001</v>
      </c>
      <c r="X14">
        <v>0.97664359999999995</v>
      </c>
      <c r="Y14">
        <v>4.743704E-2</v>
      </c>
      <c r="Z14">
        <v>-1.4122010000000001E-3</v>
      </c>
      <c r="AA14">
        <v>0.99887320000000002</v>
      </c>
      <c r="AB14">
        <v>1</v>
      </c>
      <c r="AC14">
        <v>19.698499999999999</v>
      </c>
      <c r="AD14">
        <v>-1.109959977141</v>
      </c>
      <c r="AE14">
        <v>-0.91059999999998797</v>
      </c>
      <c r="AF14">
        <v>0.93506222051120202</v>
      </c>
      <c r="AG14">
        <v>-1.109959977141</v>
      </c>
      <c r="AH14">
        <v>19.6350042446402</v>
      </c>
      <c r="AI14">
        <v>93.231812226468904</v>
      </c>
      <c r="AJ14">
        <v>87.273508443267403</v>
      </c>
      <c r="AK14">
        <v>19.6885688711527</v>
      </c>
      <c r="AL14">
        <v>77.686242314654507</v>
      </c>
      <c r="AM14">
        <v>88.4644201539259</v>
      </c>
      <c r="AN14">
        <v>1.0000000689633199</v>
      </c>
    </row>
    <row r="15" spans="1:40" x14ac:dyDescent="0.25">
      <c r="A15" t="str">
        <f>"20190312172856461"</f>
        <v>20190312172856461</v>
      </c>
      <c r="B15" t="str">
        <f>"1552382936457419"</f>
        <v>1552382936457419</v>
      </c>
      <c r="C15" t="s">
        <v>40</v>
      </c>
      <c r="D15">
        <v>3.7037450000000001</v>
      </c>
      <c r="E15">
        <v>0.51188109999999998</v>
      </c>
      <c r="F15" t="s">
        <v>41</v>
      </c>
      <c r="G15">
        <v>-456.70960000000002</v>
      </c>
      <c r="H15" s="1">
        <v>-1.978271E-6</v>
      </c>
      <c r="I15">
        <v>366.33730000000003</v>
      </c>
      <c r="J15">
        <v>-476.41419999999999</v>
      </c>
      <c r="K15">
        <v>1.1096250000000001</v>
      </c>
      <c r="L15">
        <v>367.21800000000002</v>
      </c>
      <c r="M15">
        <v>0.99997020000000003</v>
      </c>
      <c r="N15">
        <v>0</v>
      </c>
      <c r="O15">
        <v>1.5623029999999999E-3</v>
      </c>
      <c r="P15">
        <v>0.97827439999999999</v>
      </c>
      <c r="Q15">
        <v>0.2058709</v>
      </c>
      <c r="R15">
        <v>-2.4421869999999998E-2</v>
      </c>
      <c r="S15">
        <v>3.0988159999999998</v>
      </c>
      <c r="T15">
        <v>-0.17437179999999999</v>
      </c>
      <c r="U15">
        <v>-0.1383057</v>
      </c>
      <c r="V15">
        <v>2.5944780000000001E-2</v>
      </c>
      <c r="W15">
        <v>0.21326819999999999</v>
      </c>
      <c r="X15">
        <v>0.9766492</v>
      </c>
      <c r="Y15">
        <v>4.6072929999999998E-2</v>
      </c>
      <c r="Z15">
        <v>-1.382407E-3</v>
      </c>
      <c r="AA15">
        <v>0.99893710000000002</v>
      </c>
      <c r="AB15">
        <v>2</v>
      </c>
      <c r="AC15">
        <v>19.7045999999999</v>
      </c>
      <c r="AD15">
        <v>-1.109626978271</v>
      </c>
      <c r="AE15">
        <v>-0.88069999999999005</v>
      </c>
      <c r="AF15">
        <v>0.90860875731597901</v>
      </c>
      <c r="AG15">
        <v>-1.109626978271</v>
      </c>
      <c r="AH15">
        <v>19.641039201707699</v>
      </c>
      <c r="AI15">
        <v>93.230059625608206</v>
      </c>
      <c r="AJ15">
        <v>87.351343917741104</v>
      </c>
      <c r="AK15">
        <v>19.693330414833301</v>
      </c>
      <c r="AL15">
        <v>77.686054517425802</v>
      </c>
      <c r="AM15">
        <v>88.478289994323703</v>
      </c>
      <c r="AN15">
        <v>1.0000000583005599</v>
      </c>
    </row>
    <row r="16" spans="1:40" x14ac:dyDescent="0.25">
      <c r="A16" t="str">
        <f>"20190312172856484"</f>
        <v>20190312172856484</v>
      </c>
      <c r="B16" t="str">
        <f>"1552382936477915"</f>
        <v>1552382936477915</v>
      </c>
      <c r="C16" t="s">
        <v>40</v>
      </c>
      <c r="D16">
        <v>3.6815950000000002</v>
      </c>
      <c r="E16">
        <v>0.51102199999999998</v>
      </c>
      <c r="F16" t="s">
        <v>41</v>
      </c>
      <c r="G16">
        <v>-456.4554</v>
      </c>
      <c r="H16" s="1">
        <v>-2.0713559999999998E-6</v>
      </c>
      <c r="I16">
        <v>366.41180000000003</v>
      </c>
      <c r="J16">
        <v>-476.39069999999998</v>
      </c>
      <c r="K16">
        <v>1.109426</v>
      </c>
      <c r="L16">
        <v>367.21820000000002</v>
      </c>
      <c r="M16">
        <v>0.999977</v>
      </c>
      <c r="N16">
        <v>0</v>
      </c>
      <c r="O16">
        <v>1.7828950000000001E-3</v>
      </c>
      <c r="P16">
        <v>0.97805889999999995</v>
      </c>
      <c r="Q16">
        <v>0.20692559999999999</v>
      </c>
      <c r="R16">
        <v>-2.4138300000000001E-2</v>
      </c>
      <c r="S16">
        <v>3.0997309999999998</v>
      </c>
      <c r="T16">
        <v>-0.17233119999999999</v>
      </c>
      <c r="U16">
        <v>-0.12518309999999999</v>
      </c>
      <c r="V16">
        <v>2.5859770000000001E-2</v>
      </c>
      <c r="W16">
        <v>0.21333759999999999</v>
      </c>
      <c r="X16">
        <v>0.97663619999999995</v>
      </c>
      <c r="Y16">
        <v>4.2066060000000002E-2</v>
      </c>
      <c r="Z16">
        <v>-1.266973E-3</v>
      </c>
      <c r="AA16">
        <v>0.99911399999999995</v>
      </c>
      <c r="AB16">
        <v>2</v>
      </c>
      <c r="AC16">
        <v>19.935299999999899</v>
      </c>
      <c r="AD16">
        <v>-1.1094280713560001</v>
      </c>
      <c r="AE16">
        <v>-0.80639999999999601</v>
      </c>
      <c r="AF16">
        <v>0.83934674659334596</v>
      </c>
      <c r="AG16">
        <v>-1.1094280713560001</v>
      </c>
      <c r="AH16">
        <v>19.872384687777501</v>
      </c>
      <c r="AI16">
        <v>93.192529947923902</v>
      </c>
      <c r="AJ16">
        <v>87.581444798214207</v>
      </c>
      <c r="AK16">
        <v>19.921019220550601</v>
      </c>
      <c r="AL16">
        <v>77.681983334562801</v>
      </c>
      <c r="AM16">
        <v>88.483253477728198</v>
      </c>
      <c r="AN16">
        <v>0.99999996321432505</v>
      </c>
    </row>
    <row r="17" spans="1:40" x14ac:dyDescent="0.25">
      <c r="A17" t="str">
        <f>"20190312172856507"</f>
        <v>20190312172856507</v>
      </c>
      <c r="B17" t="str">
        <f>"1552382936497434"</f>
        <v>1552382936497434</v>
      </c>
      <c r="C17" t="s">
        <v>40</v>
      </c>
      <c r="D17">
        <v>3.6655000000000002</v>
      </c>
      <c r="E17">
        <v>0.510266</v>
      </c>
      <c r="F17" t="s">
        <v>41</v>
      </c>
      <c r="G17">
        <v>-456.20429999999999</v>
      </c>
      <c r="H17" s="1">
        <v>-2.172242E-6</v>
      </c>
      <c r="I17">
        <v>366.4504</v>
      </c>
      <c r="J17">
        <v>-476.36869999999999</v>
      </c>
      <c r="K17">
        <v>1.1096889999999999</v>
      </c>
      <c r="L17">
        <v>367.21839999999997</v>
      </c>
      <c r="M17">
        <v>0.99997250000000004</v>
      </c>
      <c r="N17">
        <v>0</v>
      </c>
      <c r="O17">
        <v>1.9225309999999999E-3</v>
      </c>
      <c r="P17">
        <v>0.97806760000000004</v>
      </c>
      <c r="Q17">
        <v>0.20691080000000001</v>
      </c>
      <c r="R17">
        <v>-2.3923420000000001E-2</v>
      </c>
      <c r="S17">
        <v>3.1004939999999999</v>
      </c>
      <c r="T17">
        <v>-0.1704</v>
      </c>
      <c r="U17">
        <v>-0.11791989999999899</v>
      </c>
      <c r="V17">
        <v>2.578509E-2</v>
      </c>
      <c r="W17">
        <v>0.21394369999999999</v>
      </c>
      <c r="X17">
        <v>0.97650559999999997</v>
      </c>
      <c r="Y17">
        <v>3.9863299999999997E-2</v>
      </c>
      <c r="Z17">
        <v>-1.199749E-3</v>
      </c>
      <c r="AA17">
        <v>0.99920439999999999</v>
      </c>
      <c r="AB17">
        <v>2</v>
      </c>
      <c r="AC17">
        <v>20.164400000000001</v>
      </c>
      <c r="AD17">
        <v>-1.109691172242</v>
      </c>
      <c r="AE17">
        <v>-0.76799999999997204</v>
      </c>
      <c r="AF17">
        <v>0.80433382860901903</v>
      </c>
      <c r="AG17">
        <v>-1.109691172242</v>
      </c>
      <c r="AH17">
        <v>20.1020943323174</v>
      </c>
      <c r="AI17">
        <v>93.157157293821697</v>
      </c>
      <c r="AJ17">
        <v>87.708678378748601</v>
      </c>
      <c r="AK17">
        <v>20.148760853982601</v>
      </c>
      <c r="AL17">
        <v>77.646435885501106</v>
      </c>
      <c r="AM17">
        <v>88.487429454073293</v>
      </c>
      <c r="AN17">
        <v>0.99999998223367803</v>
      </c>
    </row>
    <row r="18" spans="1:40" x14ac:dyDescent="0.25">
      <c r="A18" t="str">
        <f>"20190312172856530"</f>
        <v>20190312172856530</v>
      </c>
      <c r="B18" t="str">
        <f>"1552382936527690"</f>
        <v>1552382936527690</v>
      </c>
      <c r="C18" t="s">
        <v>40</v>
      </c>
      <c r="D18">
        <v>3.698245</v>
      </c>
      <c r="E18">
        <v>0.50924659999999999</v>
      </c>
      <c r="F18" t="s">
        <v>41</v>
      </c>
      <c r="G18">
        <v>-456.34010000000001</v>
      </c>
      <c r="H18" s="1">
        <v>-2.105394E-6</v>
      </c>
      <c r="I18">
        <v>366.49880000000002</v>
      </c>
      <c r="J18">
        <v>-476.34949999999998</v>
      </c>
      <c r="K18">
        <v>1.109966</v>
      </c>
      <c r="L18">
        <v>367.21859999999998</v>
      </c>
      <c r="M18">
        <v>0.99996479999999999</v>
      </c>
      <c r="N18">
        <v>0</v>
      </c>
      <c r="O18">
        <v>2.0144189999999999E-3</v>
      </c>
      <c r="P18">
        <v>0.97815070000000004</v>
      </c>
      <c r="Q18">
        <v>0.20652209999999999</v>
      </c>
      <c r="R18">
        <v>-2.387247E-2</v>
      </c>
      <c r="S18">
        <v>3.1008909999999998</v>
      </c>
      <c r="T18">
        <v>-0.17180490000000001</v>
      </c>
      <c r="U18">
        <v>-0.11138919999999999</v>
      </c>
      <c r="V18">
        <v>2.5835859999999999E-2</v>
      </c>
      <c r="W18">
        <v>0.21449889999999999</v>
      </c>
      <c r="X18">
        <v>0.97638250000000004</v>
      </c>
      <c r="Y18">
        <v>3.785057E-2</v>
      </c>
      <c r="Z18">
        <v>-1.158907E-3</v>
      </c>
      <c r="AA18">
        <v>0.99928269999999997</v>
      </c>
      <c r="AB18">
        <v>2</v>
      </c>
      <c r="AC18">
        <v>20.0093999999999</v>
      </c>
      <c r="AD18">
        <v>-1.109968105394</v>
      </c>
      <c r="AE18">
        <v>-0.71979999999996302</v>
      </c>
      <c r="AF18">
        <v>0.75777838539993903</v>
      </c>
      <c r="AG18">
        <v>-1.109968105394</v>
      </c>
      <c r="AH18">
        <v>19.9466093958263</v>
      </c>
      <c r="AI18">
        <v>93.182759638075296</v>
      </c>
      <c r="AJ18">
        <v>87.824360379514303</v>
      </c>
      <c r="AK18">
        <v>19.991835425143801</v>
      </c>
      <c r="AL18">
        <v>77.613869814186103</v>
      </c>
      <c r="AM18">
        <v>88.484261652187996</v>
      </c>
      <c r="AN18">
        <v>1.0000000280346899</v>
      </c>
    </row>
    <row r="19" spans="1:40" x14ac:dyDescent="0.25">
      <c r="A19" t="str">
        <f>"20190312172856551"</f>
        <v>20190312172856551</v>
      </c>
      <c r="B19" t="str">
        <f>"1552382936547211"</f>
        <v>1552382936547211</v>
      </c>
      <c r="C19" t="s">
        <v>40</v>
      </c>
      <c r="D19">
        <v>3.688863</v>
      </c>
      <c r="E19">
        <v>0.50862649999999998</v>
      </c>
      <c r="F19" t="s">
        <v>41</v>
      </c>
      <c r="G19">
        <v>-456.57600000000002</v>
      </c>
      <c r="H19" s="1">
        <v>-1.993438E-6</v>
      </c>
      <c r="I19">
        <v>366.55950000000001</v>
      </c>
      <c r="J19">
        <v>-476.32670000000002</v>
      </c>
      <c r="K19">
        <v>1.109769</v>
      </c>
      <c r="L19">
        <v>367.21890000000002</v>
      </c>
      <c r="M19">
        <v>0.99996949999999996</v>
      </c>
      <c r="N19">
        <v>0</v>
      </c>
      <c r="O19">
        <v>2.1620570000000002E-3</v>
      </c>
      <c r="P19">
        <v>0.97806720000000003</v>
      </c>
      <c r="Q19">
        <v>0.20694309999999999</v>
      </c>
      <c r="R19">
        <v>-2.3650009999999999E-2</v>
      </c>
      <c r="S19">
        <v>3.1012270000000002</v>
      </c>
      <c r="T19">
        <v>-0.17408319999999999</v>
      </c>
      <c r="U19">
        <v>-0.103363</v>
      </c>
      <c r="V19">
        <v>2.575386E-2</v>
      </c>
      <c r="W19">
        <v>0.21428</v>
      </c>
      <c r="X19">
        <v>0.97643270000000004</v>
      </c>
      <c r="Y19">
        <v>3.5412979999999997E-2</v>
      </c>
      <c r="Z19">
        <v>-1.1141129999999999E-3</v>
      </c>
      <c r="AA19">
        <v>0.99937209999999999</v>
      </c>
      <c r="AB19">
        <v>2</v>
      </c>
      <c r="AC19">
        <v>19.750699999999998</v>
      </c>
      <c r="AD19">
        <v>-1.109770993438</v>
      </c>
      <c r="AE19">
        <v>-0.65940000000000498</v>
      </c>
      <c r="AF19">
        <v>0.69989455547778401</v>
      </c>
      <c r="AG19">
        <v>-1.109770993438</v>
      </c>
      <c r="AH19">
        <v>19.687141145635199</v>
      </c>
      <c r="AI19">
        <v>93.224335908505395</v>
      </c>
      <c r="AJ19">
        <v>87.963943947946504</v>
      </c>
      <c r="AK19">
        <v>19.730812718558401</v>
      </c>
      <c r="AL19">
        <v>77.626710057431197</v>
      </c>
      <c r="AM19">
        <v>88.489147838354299</v>
      </c>
      <c r="AN19">
        <v>0.99999999866709399</v>
      </c>
    </row>
    <row r="20" spans="1:40" x14ac:dyDescent="0.25">
      <c r="A20" t="str">
        <f>"20190312172856573"</f>
        <v>20190312172856573</v>
      </c>
      <c r="B20" t="str">
        <f>"1552382936567706"</f>
        <v>1552382936567706</v>
      </c>
      <c r="C20" t="s">
        <v>40</v>
      </c>
      <c r="D20">
        <v>3.6793390000000001</v>
      </c>
      <c r="E20">
        <v>0.50805630000000002</v>
      </c>
      <c r="F20" t="s">
        <v>41</v>
      </c>
      <c r="G20">
        <v>-456.49419999999998</v>
      </c>
      <c r="H20" s="1">
        <v>-2.021852E-6</v>
      </c>
      <c r="I20">
        <v>366.59710000000001</v>
      </c>
      <c r="J20">
        <v>-476.2989</v>
      </c>
      <c r="K20">
        <v>1.109448</v>
      </c>
      <c r="L20">
        <v>367.21910000000003</v>
      </c>
      <c r="M20">
        <v>0.99997760000000002</v>
      </c>
      <c r="N20">
        <v>0</v>
      </c>
      <c r="O20">
        <v>2.3853429999999998E-3</v>
      </c>
      <c r="P20">
        <v>0.97802290000000003</v>
      </c>
      <c r="Q20">
        <v>0.20718600000000001</v>
      </c>
      <c r="R20">
        <v>-2.3351279999999999E-2</v>
      </c>
      <c r="S20">
        <v>3.1016539999999999</v>
      </c>
      <c r="T20">
        <v>-0.17355880000000001</v>
      </c>
      <c r="U20">
        <v>-9.7228999999999996E-2</v>
      </c>
      <c r="V20">
        <v>2.5666310000000001E-2</v>
      </c>
      <c r="W20">
        <v>0.2133101</v>
      </c>
      <c r="X20">
        <v>0.9766473</v>
      </c>
      <c r="Y20">
        <v>3.3659880000000003E-2</v>
      </c>
      <c r="Z20">
        <v>-1.074127E-3</v>
      </c>
      <c r="AA20">
        <v>0.99943269999999995</v>
      </c>
      <c r="AB20">
        <v>2</v>
      </c>
      <c r="AC20">
        <v>19.8047</v>
      </c>
      <c r="AD20">
        <v>-1.109450021852</v>
      </c>
      <c r="AE20">
        <v>-0.62200000000001399</v>
      </c>
      <c r="AF20">
        <v>0.66714858215872397</v>
      </c>
      <c r="AG20">
        <v>-1.109450021852</v>
      </c>
      <c r="AH20">
        <v>19.741269177208999</v>
      </c>
      <c r="AI20">
        <v>93.214780826327299</v>
      </c>
      <c r="AJ20">
        <v>88.064447842139401</v>
      </c>
      <c r="AK20">
        <v>19.783671936945499</v>
      </c>
      <c r="AL20">
        <v>77.683595969145202</v>
      </c>
      <c r="AM20">
        <v>88.494612298554202</v>
      </c>
      <c r="AN20">
        <v>0.99999995341415604</v>
      </c>
    </row>
    <row r="21" spans="1:40" x14ac:dyDescent="0.25">
      <c r="A21" t="str">
        <f>"20190312172856595"</f>
        <v>20190312172856595</v>
      </c>
      <c r="B21" t="str">
        <f>"1552382936587227"</f>
        <v>1552382936587227</v>
      </c>
      <c r="C21" t="s">
        <v>40</v>
      </c>
      <c r="D21">
        <v>3.733034</v>
      </c>
      <c r="E21">
        <v>0.5074803</v>
      </c>
      <c r="F21" t="s">
        <v>41</v>
      </c>
      <c r="G21">
        <v>-456.46870000000001</v>
      </c>
      <c r="H21" s="1">
        <v>-2.0268190000000001E-6</v>
      </c>
      <c r="I21">
        <v>366.63080000000002</v>
      </c>
      <c r="J21">
        <v>-476.26949999999999</v>
      </c>
      <c r="K21">
        <v>1.109251</v>
      </c>
      <c r="L21">
        <v>367.21940000000001</v>
      </c>
      <c r="M21">
        <v>0.9999827</v>
      </c>
      <c r="N21">
        <v>0</v>
      </c>
      <c r="O21">
        <v>2.6411989999999999E-3</v>
      </c>
      <c r="P21">
        <v>0.97783830000000005</v>
      </c>
      <c r="Q21">
        <v>0.20806730000000001</v>
      </c>
      <c r="R21">
        <v>-2.325023E-2</v>
      </c>
      <c r="S21">
        <v>3.1019589999999999</v>
      </c>
      <c r="T21">
        <v>-0.17354600000000001</v>
      </c>
      <c r="U21">
        <v>-9.2010499999999995E-2</v>
      </c>
      <c r="V21">
        <v>2.580615E-2</v>
      </c>
      <c r="W21">
        <v>0.21321329999999999</v>
      </c>
      <c r="X21">
        <v>0.9766648</v>
      </c>
      <c r="Y21">
        <v>3.2234499999999999E-2</v>
      </c>
      <c r="Z21">
        <v>-1.048436E-3</v>
      </c>
      <c r="AA21">
        <v>0.99947980000000003</v>
      </c>
      <c r="AB21">
        <v>3</v>
      </c>
      <c r="AC21">
        <v>19.800799999999899</v>
      </c>
      <c r="AD21">
        <v>-1.109253026819</v>
      </c>
      <c r="AE21">
        <v>-0.58859999999998502</v>
      </c>
      <c r="AF21">
        <v>0.63889324785601798</v>
      </c>
      <c r="AG21">
        <v>-1.109253026819</v>
      </c>
      <c r="AH21">
        <v>19.737289265788899</v>
      </c>
      <c r="AI21">
        <v>93.215009021452303</v>
      </c>
      <c r="AJ21">
        <v>88.145991129239604</v>
      </c>
      <c r="AK21">
        <v>19.778756644973701</v>
      </c>
      <c r="AL21">
        <v>77.689273379596102</v>
      </c>
      <c r="AM21">
        <v>88.486441276182504</v>
      </c>
      <c r="AN21">
        <v>1.0000000001168701</v>
      </c>
    </row>
    <row r="22" spans="1:40" x14ac:dyDescent="0.25">
      <c r="A22" t="str">
        <f>"20190312172856617"</f>
        <v>20190312172856617</v>
      </c>
      <c r="B22" t="str">
        <f>"1552382936607722"</f>
        <v>1552382936607722</v>
      </c>
      <c r="C22" t="s">
        <v>40</v>
      </c>
      <c r="D22">
        <v>3.7148330000000001</v>
      </c>
      <c r="E22">
        <v>0.50694529999999904</v>
      </c>
      <c r="F22" t="s">
        <v>41</v>
      </c>
      <c r="G22">
        <v>-456.226</v>
      </c>
      <c r="H22" s="1">
        <v>-2.1265619999999999E-6</v>
      </c>
      <c r="I22">
        <v>366.65530000000001</v>
      </c>
      <c r="J22">
        <v>-476.24020000000002</v>
      </c>
      <c r="K22">
        <v>1.109405</v>
      </c>
      <c r="L22">
        <v>367.21980000000002</v>
      </c>
      <c r="M22">
        <v>0.99998089999999995</v>
      </c>
      <c r="N22">
        <v>0</v>
      </c>
      <c r="O22">
        <v>2.869501E-3</v>
      </c>
      <c r="P22">
        <v>0.97781870000000004</v>
      </c>
      <c r="Q22">
        <v>0.20815810000000001</v>
      </c>
      <c r="R22">
        <v>-2.325292E-2</v>
      </c>
      <c r="S22">
        <v>3.1024780000000001</v>
      </c>
      <c r="T22">
        <v>-0.17169770000000001</v>
      </c>
      <c r="U22">
        <v>-8.7310789999999999E-2</v>
      </c>
      <c r="V22">
        <v>2.6036139999999999E-2</v>
      </c>
      <c r="W22">
        <v>0.21352160000000001</v>
      </c>
      <c r="X22">
        <v>0.97659130000000005</v>
      </c>
      <c r="Y22">
        <v>3.0947720000000001E-2</v>
      </c>
      <c r="Z22">
        <v>-1.0141880000000001E-3</v>
      </c>
      <c r="AA22">
        <v>0.99952050000000003</v>
      </c>
      <c r="AB22">
        <v>3</v>
      </c>
      <c r="AC22">
        <v>20.014199999999999</v>
      </c>
      <c r="AD22">
        <v>-1.109407126562</v>
      </c>
      <c r="AE22">
        <v>-0.56450000000000899</v>
      </c>
      <c r="AF22">
        <v>0.62002572915955201</v>
      </c>
      <c r="AG22">
        <v>-1.109407126562</v>
      </c>
      <c r="AH22">
        <v>19.951244359731099</v>
      </c>
      <c r="AI22">
        <v>93.1811737787082</v>
      </c>
      <c r="AJ22">
        <v>88.219989338964297</v>
      </c>
      <c r="AK22">
        <v>19.991682459937898</v>
      </c>
      <c r="AL22">
        <v>77.671192236830393</v>
      </c>
      <c r="AM22">
        <v>88.472843598151997</v>
      </c>
      <c r="AN22">
        <v>0.99999996074417397</v>
      </c>
    </row>
    <row r="23" spans="1:40" x14ac:dyDescent="0.25">
      <c r="A23" t="str">
        <f>"20190312172856638"</f>
        <v>20190312172856638</v>
      </c>
      <c r="B23" t="str">
        <f>"1552382936627247"</f>
        <v>1552382936627247</v>
      </c>
      <c r="C23" t="s">
        <v>40</v>
      </c>
      <c r="D23">
        <v>3.5674510000000001</v>
      </c>
      <c r="E23">
        <v>0.50646950000000002</v>
      </c>
      <c r="F23" t="s">
        <v>41</v>
      </c>
      <c r="G23">
        <v>-456.19540000000001</v>
      </c>
      <c r="H23" s="1">
        <v>-2.1347609999999999E-6</v>
      </c>
      <c r="I23">
        <v>366.6832</v>
      </c>
      <c r="J23">
        <v>-476.21069999999997</v>
      </c>
      <c r="K23">
        <v>1.109486</v>
      </c>
      <c r="L23">
        <v>367.2201</v>
      </c>
      <c r="M23">
        <v>0.99997990000000003</v>
      </c>
      <c r="N23">
        <v>0</v>
      </c>
      <c r="O23">
        <v>3.0800530000000001E-3</v>
      </c>
      <c r="P23">
        <v>0.97775749999999995</v>
      </c>
      <c r="Q23">
        <v>0.2084163</v>
      </c>
      <c r="R23">
        <v>-2.3527099999999999E-2</v>
      </c>
      <c r="S23">
        <v>3.1026310000000001</v>
      </c>
      <c r="T23">
        <v>-0.1717185</v>
      </c>
      <c r="U23">
        <v>-8.3038329999999994E-2</v>
      </c>
      <c r="V23">
        <v>2.6516680000000001E-2</v>
      </c>
      <c r="W23">
        <v>0.21385100000000001</v>
      </c>
      <c r="X23">
        <v>0.9765064</v>
      </c>
      <c r="Y23">
        <v>2.9782880000000001E-2</v>
      </c>
      <c r="Z23">
        <v>-9.9371820000000006E-4</v>
      </c>
      <c r="AA23">
        <v>0.99955590000000005</v>
      </c>
      <c r="AB23">
        <v>3</v>
      </c>
      <c r="AC23">
        <v>20.0152999999999</v>
      </c>
      <c r="AD23">
        <v>-1.1094881347609999</v>
      </c>
      <c r="AE23">
        <v>-0.53690000000000204</v>
      </c>
      <c r="AF23">
        <v>0.59671437480935496</v>
      </c>
      <c r="AG23">
        <v>-1.1094881347609999</v>
      </c>
      <c r="AH23">
        <v>19.952287903462501</v>
      </c>
      <c r="AI23">
        <v>93.181352691586895</v>
      </c>
      <c r="AJ23">
        <v>88.286961998145202</v>
      </c>
      <c r="AK23">
        <v>19.9920190213228</v>
      </c>
      <c r="AL23">
        <v>77.651874102829893</v>
      </c>
      <c r="AM23">
        <v>88.444535963800803</v>
      </c>
      <c r="AN23">
        <v>1.0000000668800799</v>
      </c>
    </row>
    <row r="24" spans="1:40" x14ac:dyDescent="0.25">
      <c r="A24" t="str">
        <f>"20190312172856661"</f>
        <v>20190312172856661</v>
      </c>
      <c r="B24" t="str">
        <f>"1552382936657499"</f>
        <v>1552382936657499</v>
      </c>
      <c r="C24" t="s">
        <v>40</v>
      </c>
      <c r="D24">
        <v>3.6958310000000001</v>
      </c>
      <c r="E24">
        <v>0.50587789999999999</v>
      </c>
      <c r="F24" t="s">
        <v>41</v>
      </c>
      <c r="G24">
        <v>-456.05509999999998</v>
      </c>
      <c r="H24" s="1">
        <v>-2.1916680000000001E-6</v>
      </c>
      <c r="I24">
        <v>366.70159999999998</v>
      </c>
      <c r="J24">
        <v>-476.17570000000001</v>
      </c>
      <c r="K24">
        <v>1.1093150000000001</v>
      </c>
      <c r="L24">
        <v>367.22050000000002</v>
      </c>
      <c r="M24">
        <v>0.99998339999999997</v>
      </c>
      <c r="N24">
        <v>0</v>
      </c>
      <c r="O24">
        <v>3.351882E-3</v>
      </c>
      <c r="P24">
        <v>0.97754249999999998</v>
      </c>
      <c r="Q24">
        <v>0.20944209999999999</v>
      </c>
      <c r="R24">
        <v>-2.3341879999999999E-2</v>
      </c>
      <c r="S24">
        <v>3.1026919999999998</v>
      </c>
      <c r="T24">
        <v>-0.17079059999999999</v>
      </c>
      <c r="U24">
        <v>-7.9803470000000001E-2</v>
      </c>
      <c r="V24">
        <v>2.6589439999999999E-2</v>
      </c>
      <c r="W24">
        <v>0.21406430000000001</v>
      </c>
      <c r="X24">
        <v>0.97645760000000004</v>
      </c>
      <c r="Y24">
        <v>2.9013919999999999E-2</v>
      </c>
      <c r="Z24">
        <v>-9.8215470000000008E-4</v>
      </c>
      <c r="AA24">
        <v>0.99957850000000004</v>
      </c>
      <c r="AB24">
        <v>3</v>
      </c>
      <c r="AC24">
        <v>20.1206</v>
      </c>
      <c r="AD24">
        <v>-1.109317191668</v>
      </c>
      <c r="AE24">
        <v>-0.51890000000003</v>
      </c>
      <c r="AF24">
        <v>0.58456398895647399</v>
      </c>
      <c r="AG24">
        <v>-1.109317191668</v>
      </c>
      <c r="AH24">
        <v>20.0578185837356</v>
      </c>
      <c r="AI24">
        <v>93.164233164494703</v>
      </c>
      <c r="AJ24">
        <v>88.330647400515801</v>
      </c>
      <c r="AK24">
        <v>20.096974549094799</v>
      </c>
      <c r="AL24">
        <v>77.639362153994796</v>
      </c>
      <c r="AM24">
        <v>88.440192068275493</v>
      </c>
      <c r="AN24">
        <v>0.99999998372588095</v>
      </c>
    </row>
    <row r="25" spans="1:40" x14ac:dyDescent="0.25">
      <c r="A25" t="str">
        <f>"20190312172856785"</f>
        <v>20190312172856785</v>
      </c>
      <c r="B25" t="str">
        <f>"1552382936777547"</f>
        <v>1552382936777547</v>
      </c>
      <c r="C25" t="s">
        <v>40</v>
      </c>
      <c r="D25">
        <v>3.752596</v>
      </c>
      <c r="E25">
        <v>0.5236094</v>
      </c>
      <c r="F25" t="s">
        <v>41</v>
      </c>
      <c r="G25">
        <v>-455.79930000000002</v>
      </c>
      <c r="H25" s="1">
        <v>-2.2967139999999999E-6</v>
      </c>
      <c r="I25">
        <v>366.72809999999998</v>
      </c>
      <c r="J25">
        <v>-475.95530000000002</v>
      </c>
      <c r="K25">
        <v>1.1091340000000001</v>
      </c>
      <c r="L25">
        <v>367.22320000000002</v>
      </c>
      <c r="M25">
        <v>0.99998279999999995</v>
      </c>
      <c r="N25">
        <v>0</v>
      </c>
      <c r="O25">
        <v>4.9743410000000002E-3</v>
      </c>
      <c r="P25">
        <v>0.9773288</v>
      </c>
      <c r="Q25">
        <v>0.21028259999999999</v>
      </c>
      <c r="R25">
        <v>-2.4696719999999998E-2</v>
      </c>
      <c r="S25">
        <v>3.1033330000000001</v>
      </c>
      <c r="T25">
        <v>-0.16894890000000001</v>
      </c>
      <c r="U25">
        <v>-7.4981690000000004E-2</v>
      </c>
      <c r="V25">
        <v>2.9523750000000001E-2</v>
      </c>
      <c r="W25">
        <v>0.21335399999999999</v>
      </c>
      <c r="X25">
        <v>0.97652879999999997</v>
      </c>
      <c r="Y25">
        <v>2.907684E-2</v>
      </c>
      <c r="Z25">
        <v>-1.061361E-3</v>
      </c>
      <c r="AA25">
        <v>0.99957660000000004</v>
      </c>
      <c r="AB25">
        <v>4</v>
      </c>
      <c r="AC25">
        <v>20.155999999999999</v>
      </c>
      <c r="AD25">
        <v>-1.1091362967139999</v>
      </c>
      <c r="AE25">
        <v>-0.49510000000003601</v>
      </c>
      <c r="AF25">
        <v>0.59356093523682796</v>
      </c>
      <c r="AG25">
        <v>-1.1091362967139999</v>
      </c>
      <c r="AH25">
        <v>20.092483725638299</v>
      </c>
      <c r="AI25">
        <v>93.158234257370694</v>
      </c>
      <c r="AJ25">
        <v>88.307892191556604</v>
      </c>
      <c r="AK25">
        <v>20.131825554915999</v>
      </c>
      <c r="AL25">
        <v>77.681022490616499</v>
      </c>
      <c r="AM25">
        <v>88.268283381701806</v>
      </c>
      <c r="AN25">
        <v>1.0000000391797501</v>
      </c>
    </row>
    <row r="26" spans="1:40" x14ac:dyDescent="0.25">
      <c r="A26" t="str">
        <f>"20190312172856807"</f>
        <v>20190312172856807</v>
      </c>
      <c r="B26" t="str">
        <f>"1552382936797071"</f>
        <v>1552382936797071</v>
      </c>
      <c r="C26" t="s">
        <v>40</v>
      </c>
      <c r="D26">
        <v>3.6312859999999998</v>
      </c>
      <c r="E26">
        <v>0.52802789999999999</v>
      </c>
      <c r="F26" t="s">
        <v>42</v>
      </c>
      <c r="G26">
        <v>-475.21769999999998</v>
      </c>
      <c r="H26">
        <v>0.98952099999999998</v>
      </c>
      <c r="I26">
        <v>367.1764</v>
      </c>
      <c r="J26">
        <v>-475.9117</v>
      </c>
      <c r="K26">
        <v>1.109434</v>
      </c>
      <c r="L26">
        <v>367.22379999999998</v>
      </c>
      <c r="M26">
        <v>0.99997769999999997</v>
      </c>
      <c r="N26">
        <v>0</v>
      </c>
      <c r="O26">
        <v>5.2654609999999999E-3</v>
      </c>
      <c r="P26">
        <v>0.97761600000000004</v>
      </c>
      <c r="Q26">
        <v>0.20877100000000001</v>
      </c>
      <c r="R26">
        <v>-2.6112460000000001E-2</v>
      </c>
      <c r="S26">
        <v>3.175354</v>
      </c>
      <c r="T26">
        <v>-0.51513350000000002</v>
      </c>
      <c r="U26">
        <v>-0.20101930000000001</v>
      </c>
      <c r="V26">
        <v>3.1235220000000001E-2</v>
      </c>
      <c r="W26">
        <v>0.2128167</v>
      </c>
      <c r="X26">
        <v>0.97659269999999998</v>
      </c>
      <c r="Y26">
        <v>6.7486309999999994E-2</v>
      </c>
      <c r="Z26">
        <v>-6.2810919999999899E-3</v>
      </c>
      <c r="AA26">
        <v>0.99770049999999999</v>
      </c>
      <c r="AB26">
        <v>5</v>
      </c>
      <c r="AC26">
        <v>0.69400000000001605</v>
      </c>
      <c r="AD26">
        <v>-0.11991300000000001</v>
      </c>
      <c r="AE26">
        <v>-4.7399999999981901E-2</v>
      </c>
      <c r="AF26">
        <v>4.9580269464939201E-2</v>
      </c>
      <c r="AG26">
        <v>-0.11991300000000001</v>
      </c>
      <c r="AH26">
        <v>0.67372042414343503</v>
      </c>
      <c r="AI26">
        <v>100.065517975153</v>
      </c>
      <c r="AJ26">
        <v>85.791090127935504</v>
      </c>
      <c r="AK26">
        <v>0.68610242719088699</v>
      </c>
      <c r="AL26">
        <v>77.712529968116797</v>
      </c>
      <c r="AM26">
        <v>88.168083376050504</v>
      </c>
      <c r="AN26">
        <v>0.99999994423031202</v>
      </c>
    </row>
    <row r="27" spans="1:40" x14ac:dyDescent="0.25">
      <c r="A27" t="str">
        <f>"20190312172856829"</f>
        <v>20190312172856829</v>
      </c>
      <c r="B27" t="str">
        <f>"1552382936817563"</f>
        <v>1552382936817563</v>
      </c>
      <c r="C27" t="s">
        <v>40</v>
      </c>
      <c r="D27">
        <v>3.6737799999999998</v>
      </c>
      <c r="E27">
        <v>0.53139729999999996</v>
      </c>
      <c r="F27" t="s">
        <v>42</v>
      </c>
      <c r="G27">
        <v>-475.17930000000001</v>
      </c>
      <c r="H27">
        <v>0.99644770000000005</v>
      </c>
      <c r="I27">
        <v>367.16739999999999</v>
      </c>
      <c r="J27">
        <v>-475.87509999999997</v>
      </c>
      <c r="K27">
        <v>1.1099479999999999</v>
      </c>
      <c r="L27">
        <v>367.22430000000003</v>
      </c>
      <c r="M27">
        <v>0.99996600000000002</v>
      </c>
      <c r="N27">
        <v>0</v>
      </c>
      <c r="O27">
        <v>5.4673949999999999E-3</v>
      </c>
      <c r="P27">
        <v>0.97838510000000001</v>
      </c>
      <c r="Q27">
        <v>0.20485500000000001</v>
      </c>
      <c r="R27">
        <v>-2.8235949999999999E-2</v>
      </c>
      <c r="S27">
        <v>3.1666560000000001</v>
      </c>
      <c r="T27">
        <v>-0.48884949999999999</v>
      </c>
      <c r="U27">
        <v>-0.24237059999999999</v>
      </c>
      <c r="V27">
        <v>3.3582769999999998E-2</v>
      </c>
      <c r="W27">
        <v>0.21091119999999999</v>
      </c>
      <c r="X27">
        <v>0.97692820000000002</v>
      </c>
      <c r="Y27">
        <v>8.0750059999999999E-2</v>
      </c>
      <c r="Z27">
        <v>-7.0251749999999998E-3</v>
      </c>
      <c r="AA27">
        <v>0.99670959999999997</v>
      </c>
      <c r="AB27">
        <v>4</v>
      </c>
      <c r="AC27">
        <v>0.695799999999962</v>
      </c>
      <c r="AD27">
        <v>-0.1135003</v>
      </c>
      <c r="AE27">
        <v>-5.6900000000041397E-2</v>
      </c>
      <c r="AF27">
        <v>5.9140238776624499E-2</v>
      </c>
      <c r="AG27">
        <v>-0.1135003</v>
      </c>
      <c r="AH27">
        <v>0.67756897458028897</v>
      </c>
      <c r="AI27">
        <v>99.474025610323693</v>
      </c>
      <c r="AJ27">
        <v>85.011695528175494</v>
      </c>
      <c r="AK27">
        <v>0.68955028914244598</v>
      </c>
      <c r="AL27">
        <v>77.824244048195794</v>
      </c>
      <c r="AM27">
        <v>88.031182231878105</v>
      </c>
      <c r="AN27">
        <v>1.0000000223407699</v>
      </c>
    </row>
    <row r="28" spans="1:40" x14ac:dyDescent="0.25">
      <c r="A28" t="str">
        <f>"20190312172856851"</f>
        <v>20190312172856851</v>
      </c>
      <c r="B28" t="str">
        <f>"1552382936847819"</f>
        <v>1552382936847819</v>
      </c>
      <c r="C28" t="s">
        <v>40</v>
      </c>
      <c r="D28">
        <v>3.601321</v>
      </c>
      <c r="E28">
        <v>0.53359939999999995</v>
      </c>
      <c r="F28" t="s">
        <v>42</v>
      </c>
      <c r="G28">
        <v>-475.14580000000001</v>
      </c>
      <c r="H28">
        <v>0.99944460000000002</v>
      </c>
      <c r="I28">
        <v>367.1601</v>
      </c>
      <c r="J28">
        <v>-475.83730000000003</v>
      </c>
      <c r="K28">
        <v>1.110241</v>
      </c>
      <c r="L28">
        <v>367.22480000000002</v>
      </c>
      <c r="M28">
        <v>0.99995369999999995</v>
      </c>
      <c r="N28">
        <v>0</v>
      </c>
      <c r="O28">
        <v>5.6660030000000002E-3</v>
      </c>
      <c r="P28">
        <v>0.97886280000000003</v>
      </c>
      <c r="Q28">
        <v>0.20221739999999999</v>
      </c>
      <c r="R28">
        <v>-3.0589209999999999E-2</v>
      </c>
      <c r="S28">
        <v>3.1585079999999999</v>
      </c>
      <c r="T28">
        <v>-0.47874060000000002</v>
      </c>
      <c r="U28">
        <v>-0.27746579999999998</v>
      </c>
      <c r="V28">
        <v>3.614622E-2</v>
      </c>
      <c r="W28">
        <v>0.20983109999999999</v>
      </c>
      <c r="X28">
        <v>0.97706930000000003</v>
      </c>
      <c r="Y28">
        <v>9.2045459999999996E-2</v>
      </c>
      <c r="Z28">
        <v>-7.7754190000000004E-3</v>
      </c>
      <c r="AA28">
        <v>0.99572439999999995</v>
      </c>
      <c r="AB28">
        <v>4</v>
      </c>
      <c r="AC28">
        <v>0.69150000000001899</v>
      </c>
      <c r="AD28">
        <v>-0.1107964</v>
      </c>
      <c r="AE28">
        <v>-6.4700000000016106E-2</v>
      </c>
      <c r="AF28">
        <v>6.6914179716643998E-2</v>
      </c>
      <c r="AG28">
        <v>-0.1107964</v>
      </c>
      <c r="AH28">
        <v>0.67397000921573602</v>
      </c>
      <c r="AI28">
        <v>99.290686412411304</v>
      </c>
      <c r="AJ28">
        <v>84.330049113635994</v>
      </c>
      <c r="AK28">
        <v>0.68628632728794103</v>
      </c>
      <c r="AL28">
        <v>77.887545888668598</v>
      </c>
      <c r="AM28">
        <v>87.881335717248206</v>
      </c>
      <c r="AN28">
        <v>1.0000000283749899</v>
      </c>
    </row>
    <row r="29" spans="1:40" x14ac:dyDescent="0.25">
      <c r="A29" t="str">
        <f>"20190312172856874"</f>
        <v>20190312172856874</v>
      </c>
      <c r="B29" t="str">
        <f>"1552382936867339"</f>
        <v>1552382936867339</v>
      </c>
      <c r="C29" t="s">
        <v>40</v>
      </c>
      <c r="D29">
        <v>3.5839850000000002</v>
      </c>
      <c r="E29">
        <v>0.53445710000000002</v>
      </c>
      <c r="F29" t="s">
        <v>42</v>
      </c>
      <c r="G29">
        <v>-475.10849999999999</v>
      </c>
      <c r="H29">
        <v>1.0012890000000001</v>
      </c>
      <c r="I29">
        <v>367.154</v>
      </c>
      <c r="J29">
        <v>-475.79469999999998</v>
      </c>
      <c r="K29">
        <v>1.109985</v>
      </c>
      <c r="L29">
        <v>367.2253</v>
      </c>
      <c r="M29">
        <v>0.99995540000000005</v>
      </c>
      <c r="N29">
        <v>0</v>
      </c>
      <c r="O29">
        <v>5.9628429999999998E-3</v>
      </c>
      <c r="P29">
        <v>0.97878129999999997</v>
      </c>
      <c r="Q29">
        <v>0.2022178</v>
      </c>
      <c r="R29">
        <v>-3.3093909999999997E-2</v>
      </c>
      <c r="S29">
        <v>3.1527099999999999</v>
      </c>
      <c r="T29">
        <v>-0.47173229999999999</v>
      </c>
      <c r="U29">
        <v>-0.30456539999999999</v>
      </c>
      <c r="V29">
        <v>3.8924029999999998E-2</v>
      </c>
      <c r="W29">
        <v>0.2093882</v>
      </c>
      <c r="X29">
        <v>0.97705759999999997</v>
      </c>
      <c r="Y29">
        <v>0.1009114</v>
      </c>
      <c r="Z29">
        <v>-8.3759449999999992E-3</v>
      </c>
      <c r="AA29">
        <v>0.99486019999999997</v>
      </c>
      <c r="AB29">
        <v>3</v>
      </c>
      <c r="AC29">
        <v>0.68619999999998504</v>
      </c>
      <c r="AD29">
        <v>-0.108696</v>
      </c>
      <c r="AE29">
        <v>-7.1300000000007899E-2</v>
      </c>
      <c r="AF29">
        <v>7.3564422698424295E-2</v>
      </c>
      <c r="AG29">
        <v>-0.108696</v>
      </c>
      <c r="AH29">
        <v>0.66915198168094003</v>
      </c>
      <c r="AI29">
        <v>99.172135909558307</v>
      </c>
      <c r="AJ29">
        <v>83.726279749798294</v>
      </c>
      <c r="AK29">
        <v>0.68190242651751998</v>
      </c>
      <c r="AL29">
        <v>77.913498699042506</v>
      </c>
      <c r="AM29">
        <v>87.718656559849407</v>
      </c>
      <c r="AN29">
        <v>1.0000000260642199</v>
      </c>
    </row>
    <row r="30" spans="1:40" x14ac:dyDescent="0.25">
      <c r="A30" t="str">
        <f>"20190312172856896"</f>
        <v>20190312172856896</v>
      </c>
      <c r="B30" t="str">
        <f>"1552382936887835"</f>
        <v>1552382936887835</v>
      </c>
      <c r="C30" t="s">
        <v>40</v>
      </c>
      <c r="D30">
        <v>3.5869719999999998</v>
      </c>
      <c r="E30">
        <v>0.53486880000000003</v>
      </c>
      <c r="F30" t="s">
        <v>42</v>
      </c>
      <c r="G30">
        <v>-475.06790000000001</v>
      </c>
      <c r="H30">
        <v>1.001557</v>
      </c>
      <c r="I30">
        <v>367.15109999999999</v>
      </c>
      <c r="J30">
        <v>-475.74779999999998</v>
      </c>
      <c r="K30">
        <v>1.109618</v>
      </c>
      <c r="L30">
        <v>367.226</v>
      </c>
      <c r="M30">
        <v>0.99996070000000004</v>
      </c>
      <c r="N30">
        <v>0</v>
      </c>
      <c r="O30">
        <v>6.3657019999999896E-3</v>
      </c>
      <c r="P30">
        <v>0.97841670000000003</v>
      </c>
      <c r="Q30">
        <v>0.2036491</v>
      </c>
      <c r="R30">
        <v>-3.5040750000000002E-2</v>
      </c>
      <c r="S30">
        <v>3.1513979999999999</v>
      </c>
      <c r="T30">
        <v>-0.47034749999999997</v>
      </c>
      <c r="U30">
        <v>-0.32098389999999999</v>
      </c>
      <c r="V30">
        <v>4.1238589999999999E-2</v>
      </c>
      <c r="W30">
        <v>0.209702</v>
      </c>
      <c r="X30">
        <v>0.97689530000000002</v>
      </c>
      <c r="Y30">
        <v>0.10642450000000001</v>
      </c>
      <c r="Z30">
        <v>-8.8207010000000002E-3</v>
      </c>
      <c r="AA30">
        <v>0.99428159999999999</v>
      </c>
      <c r="AB30">
        <v>4</v>
      </c>
      <c r="AC30">
        <v>0.67989999999997497</v>
      </c>
      <c r="AD30">
        <v>-0.10806099999999901</v>
      </c>
      <c r="AE30">
        <v>-7.4900000000013706E-2</v>
      </c>
      <c r="AF30">
        <v>7.7297419872527598E-2</v>
      </c>
      <c r="AG30">
        <v>-0.10806099999999901</v>
      </c>
      <c r="AH30">
        <v>0.66286565118205099</v>
      </c>
      <c r="AI30">
        <v>99.197716353065502</v>
      </c>
      <c r="AJ30">
        <v>83.348722170906498</v>
      </c>
      <c r="AK30">
        <v>0.67604951176445205</v>
      </c>
      <c r="AL30">
        <v>77.8951105996032</v>
      </c>
      <c r="AM30">
        <v>87.582755137857902</v>
      </c>
      <c r="AN30">
        <v>0.99999998863563899</v>
      </c>
    </row>
    <row r="31" spans="1:40" x14ac:dyDescent="0.25">
      <c r="A31" t="str">
        <f>"20190312172856921"</f>
        <v>20190312172856921</v>
      </c>
      <c r="B31" t="str">
        <f>"1552382936917114"</f>
        <v>1552382936917114</v>
      </c>
      <c r="C31" t="s">
        <v>40</v>
      </c>
      <c r="D31">
        <v>3.853891</v>
      </c>
      <c r="E31">
        <v>0.53463070000000001</v>
      </c>
      <c r="F31" t="s">
        <v>42</v>
      </c>
      <c r="G31">
        <v>-475.02449999999999</v>
      </c>
      <c r="H31">
        <v>1.003018</v>
      </c>
      <c r="I31">
        <v>367.14929999999998</v>
      </c>
      <c r="J31">
        <v>-475.69569999999999</v>
      </c>
      <c r="K31">
        <v>1.109378</v>
      </c>
      <c r="L31">
        <v>367.22669999999999</v>
      </c>
      <c r="M31">
        <v>0.99996289999999999</v>
      </c>
      <c r="N31">
        <v>0</v>
      </c>
      <c r="O31">
        <v>6.8723539999999998E-3</v>
      </c>
      <c r="P31">
        <v>0.97814769999999895</v>
      </c>
      <c r="Q31">
        <v>0.20451720000000001</v>
      </c>
      <c r="R31">
        <v>-3.7413019999999998E-2</v>
      </c>
      <c r="S31">
        <v>3.1510310000000001</v>
      </c>
      <c r="T31">
        <v>-0.46484829999999999</v>
      </c>
      <c r="U31">
        <v>-0.3319397</v>
      </c>
      <c r="V31">
        <v>4.4079E-2</v>
      </c>
      <c r="W31">
        <v>0.20961299999999999</v>
      </c>
      <c r="X31">
        <v>0.97679039999999995</v>
      </c>
      <c r="Y31">
        <v>0.1103407</v>
      </c>
      <c r="Z31">
        <v>-9.0788190000000001E-3</v>
      </c>
      <c r="AA31">
        <v>0.99385239999999997</v>
      </c>
      <c r="AB31">
        <v>5</v>
      </c>
      <c r="AC31">
        <v>0.67119999999999802</v>
      </c>
      <c r="AD31">
        <v>-0.10636</v>
      </c>
      <c r="AE31">
        <v>-7.7400000000011404E-2</v>
      </c>
      <c r="AF31">
        <v>8.0027803710609899E-2</v>
      </c>
      <c r="AG31">
        <v>-0.10636</v>
      </c>
      <c r="AH31">
        <v>0.65443479067727695</v>
      </c>
      <c r="AI31">
        <v>99.164017134942895</v>
      </c>
      <c r="AJ31">
        <v>83.028178161934903</v>
      </c>
      <c r="AK31">
        <v>0.66783365759413205</v>
      </c>
      <c r="AL31">
        <v>77.900326301600501</v>
      </c>
      <c r="AM31">
        <v>87.416202668293096</v>
      </c>
      <c r="AN31">
        <v>1.00000002677107</v>
      </c>
    </row>
    <row r="32" spans="1:40" x14ac:dyDescent="0.25">
      <c r="A32" t="str">
        <f>"20190312172856942"</f>
        <v>20190312172856942</v>
      </c>
      <c r="B32" t="str">
        <f>"1552382936937611"</f>
        <v>1552382936937611</v>
      </c>
      <c r="C32" t="s">
        <v>40</v>
      </c>
      <c r="D32">
        <v>3.5792950000000001</v>
      </c>
      <c r="E32">
        <v>0.53493630000000003</v>
      </c>
      <c r="F32" t="s">
        <v>42</v>
      </c>
      <c r="G32">
        <v>-474.97919999999999</v>
      </c>
      <c r="H32">
        <v>1.004758</v>
      </c>
      <c r="I32">
        <v>367.14980000000003</v>
      </c>
      <c r="J32">
        <v>-475.65010000000001</v>
      </c>
      <c r="K32">
        <v>1.1095729999999999</v>
      </c>
      <c r="L32">
        <v>367.22750000000002</v>
      </c>
      <c r="M32">
        <v>0.99995730000000005</v>
      </c>
      <c r="N32">
        <v>0</v>
      </c>
      <c r="O32">
        <v>7.25873199999999E-3</v>
      </c>
      <c r="P32">
        <v>0.97834010000000005</v>
      </c>
      <c r="Q32">
        <v>0.2032813</v>
      </c>
      <c r="R32">
        <v>-3.908478E-2</v>
      </c>
      <c r="S32">
        <v>3.1502379999999999</v>
      </c>
      <c r="T32">
        <v>-0.45998699999999998</v>
      </c>
      <c r="U32">
        <v>-0.33761600000000003</v>
      </c>
      <c r="V32">
        <v>4.6125039999999999E-2</v>
      </c>
      <c r="W32">
        <v>0.20890610000000001</v>
      </c>
      <c r="X32">
        <v>0.97684740000000003</v>
      </c>
      <c r="Y32">
        <v>0.11252</v>
      </c>
      <c r="Z32">
        <v>-9.200059E-3</v>
      </c>
      <c r="AA32">
        <v>0.99360689999999996</v>
      </c>
      <c r="AB32">
        <v>5</v>
      </c>
      <c r="AC32">
        <v>0.67090000000001704</v>
      </c>
      <c r="AD32">
        <v>-0.10481499999999901</v>
      </c>
      <c r="AE32">
        <v>-7.7699999999992997E-2</v>
      </c>
      <c r="AF32">
        <v>8.0626045769513904E-2</v>
      </c>
      <c r="AG32">
        <v>-0.10481499999999901</v>
      </c>
      <c r="AH32">
        <v>0.65455345846870605</v>
      </c>
      <c r="AI32">
        <v>99.030541593954197</v>
      </c>
      <c r="AJ32">
        <v>82.977840034831203</v>
      </c>
      <c r="AK32">
        <v>0.66777763774685694</v>
      </c>
      <c r="AL32">
        <v>77.941746119854699</v>
      </c>
      <c r="AM32">
        <v>87.296600605643903</v>
      </c>
      <c r="AN32">
        <v>1.0000000604094801</v>
      </c>
    </row>
    <row r="33" spans="1:40" x14ac:dyDescent="0.25">
      <c r="A33" t="str">
        <f>"20190312172856963"</f>
        <v>20190312172856963</v>
      </c>
      <c r="B33" t="str">
        <f>"1552382936957131"</f>
        <v>1552382936957131</v>
      </c>
      <c r="C33" t="s">
        <v>40</v>
      </c>
      <c r="D33">
        <v>3.5824549999999999</v>
      </c>
      <c r="E33">
        <v>0.53498290000000004</v>
      </c>
      <c r="F33" t="s">
        <v>42</v>
      </c>
      <c r="G33">
        <v>-474.93759999999997</v>
      </c>
      <c r="H33">
        <v>1.0045759999999999</v>
      </c>
      <c r="I33">
        <v>367.149</v>
      </c>
      <c r="J33">
        <v>-475.60890000000001</v>
      </c>
      <c r="K33">
        <v>1.1100139999999901</v>
      </c>
      <c r="L33">
        <v>367.22820000000002</v>
      </c>
      <c r="M33">
        <v>0.99994340000000004</v>
      </c>
      <c r="N33">
        <v>0</v>
      </c>
      <c r="O33">
        <v>7.5485659999999996E-3</v>
      </c>
      <c r="P33">
        <v>0.97879859999999996</v>
      </c>
      <c r="Q33">
        <v>0.20064190000000001</v>
      </c>
      <c r="R33">
        <v>-4.1184350000000002E-2</v>
      </c>
      <c r="S33">
        <v>3.1490779999999998</v>
      </c>
      <c r="T33">
        <v>-0.4643313</v>
      </c>
      <c r="U33">
        <v>-0.34573359999999997</v>
      </c>
      <c r="V33">
        <v>4.8531699999999997E-2</v>
      </c>
      <c r="W33">
        <v>0.2079733</v>
      </c>
      <c r="X33">
        <v>0.97692979999999996</v>
      </c>
      <c r="Y33">
        <v>0.1153206</v>
      </c>
      <c r="Z33">
        <v>-9.5352890000000006E-3</v>
      </c>
      <c r="AA33">
        <v>0.99328260000000002</v>
      </c>
      <c r="AB33">
        <v>5</v>
      </c>
      <c r="AC33">
        <v>0.67130000000002998</v>
      </c>
      <c r="AD33">
        <v>-0.105437999999999</v>
      </c>
      <c r="AE33">
        <v>-7.9200000000014301E-2</v>
      </c>
      <c r="AF33">
        <v>8.2263691019090895E-2</v>
      </c>
      <c r="AG33">
        <v>-0.105437999999999</v>
      </c>
      <c r="AH33">
        <v>0.65475231628298702</v>
      </c>
      <c r="AI33">
        <v>99.077917488874405</v>
      </c>
      <c r="AJ33">
        <v>82.838828793604506</v>
      </c>
      <c r="AK33">
        <v>0.66827021659057995</v>
      </c>
      <c r="AL33">
        <v>77.996391494779402</v>
      </c>
      <c r="AM33">
        <v>87.156011091061401</v>
      </c>
      <c r="AN33">
        <v>1.0000000267728999</v>
      </c>
    </row>
    <row r="34" spans="1:40" x14ac:dyDescent="0.25">
      <c r="A34" t="str">
        <f>"20190312172856987"</f>
        <v>20190312172856987</v>
      </c>
      <c r="B34" t="str">
        <f>"1552382936977627"</f>
        <v>1552382936977627</v>
      </c>
      <c r="C34" t="s">
        <v>40</v>
      </c>
      <c r="D34">
        <v>3.7642350000000002</v>
      </c>
      <c r="E34">
        <v>0.53485150000000004</v>
      </c>
      <c r="F34" t="s">
        <v>42</v>
      </c>
      <c r="G34">
        <v>-474.86090000000002</v>
      </c>
      <c r="H34">
        <v>0.99783460000000002</v>
      </c>
      <c r="I34">
        <v>367.14370000000002</v>
      </c>
      <c r="J34">
        <v>-475.55930000000001</v>
      </c>
      <c r="K34">
        <v>1.10991</v>
      </c>
      <c r="L34">
        <v>367.22910000000002</v>
      </c>
      <c r="M34">
        <v>0.99994090000000002</v>
      </c>
      <c r="N34">
        <v>0</v>
      </c>
      <c r="O34">
        <v>7.9556680000000008E-3</v>
      </c>
      <c r="P34">
        <v>0.97879959999999999</v>
      </c>
      <c r="Q34">
        <v>0.2004011</v>
      </c>
      <c r="R34">
        <v>-4.2317979999999998E-2</v>
      </c>
      <c r="S34">
        <v>3.1469119999999999</v>
      </c>
      <c r="T34">
        <v>-0.47240009999999999</v>
      </c>
      <c r="U34">
        <v>-0.35424800000000001</v>
      </c>
      <c r="V34">
        <v>5.0061469999999997E-2</v>
      </c>
      <c r="W34">
        <v>0.20764730000000001</v>
      </c>
      <c r="X34">
        <v>0.97692190000000001</v>
      </c>
      <c r="Y34">
        <v>0.118367899999999</v>
      </c>
      <c r="Z34">
        <v>-9.9916650000000003E-3</v>
      </c>
      <c r="AA34">
        <v>0.99291960000000001</v>
      </c>
      <c r="AB34">
        <v>4</v>
      </c>
      <c r="AC34">
        <v>0.69839999999999203</v>
      </c>
      <c r="AD34">
        <v>-0.11207540000000001</v>
      </c>
      <c r="AE34">
        <v>-8.5399999999992801E-2</v>
      </c>
      <c r="AF34">
        <v>8.8703053213800107E-2</v>
      </c>
      <c r="AG34">
        <v>-0.11207540000000001</v>
      </c>
      <c r="AH34">
        <v>0.68043402246819096</v>
      </c>
      <c r="AI34">
        <v>99.276192043619602</v>
      </c>
      <c r="AJ34">
        <v>82.572666512444002</v>
      </c>
      <c r="AK34">
        <v>0.69528381677330398</v>
      </c>
      <c r="AL34">
        <v>78.015486159382505</v>
      </c>
      <c r="AM34">
        <v>87.066496094390601</v>
      </c>
      <c r="AN34">
        <v>0.99999997533773</v>
      </c>
    </row>
    <row r="35" spans="1:40" x14ac:dyDescent="0.25">
      <c r="A35" t="str">
        <f>"20190312172857009"</f>
        <v>20190312172857009</v>
      </c>
      <c r="B35" t="str">
        <f>"1552382936997202"</f>
        <v>1552382936997202</v>
      </c>
      <c r="C35" t="s">
        <v>40</v>
      </c>
      <c r="D35">
        <v>3.8495460000000001</v>
      </c>
      <c r="E35">
        <v>0.53450509999999996</v>
      </c>
      <c r="F35" t="s">
        <v>42</v>
      </c>
      <c r="G35">
        <v>-474.81490000000002</v>
      </c>
      <c r="H35">
        <v>0.99787700000000001</v>
      </c>
      <c r="I35">
        <v>367.14440000000002</v>
      </c>
      <c r="J35">
        <v>-475.50740000000002</v>
      </c>
      <c r="K35">
        <v>1.10955</v>
      </c>
      <c r="L35">
        <v>367.23</v>
      </c>
      <c r="M35">
        <v>0.99994479999999997</v>
      </c>
      <c r="N35">
        <v>0</v>
      </c>
      <c r="O35">
        <v>8.4539990000000002E-3</v>
      </c>
      <c r="P35">
        <v>0.97862059999999995</v>
      </c>
      <c r="Q35">
        <v>0.20109170000000001</v>
      </c>
      <c r="R35">
        <v>-4.3173370000000003E-2</v>
      </c>
      <c r="S35">
        <v>3.146576</v>
      </c>
      <c r="T35">
        <v>-0.473773</v>
      </c>
      <c r="U35">
        <v>-0.3576355</v>
      </c>
      <c r="V35">
        <v>5.1393550000000003E-2</v>
      </c>
      <c r="W35">
        <v>0.2071953</v>
      </c>
      <c r="X35">
        <v>0.9769487</v>
      </c>
      <c r="Y35">
        <v>0.1198988</v>
      </c>
      <c r="Z35">
        <v>-1.020947E-2</v>
      </c>
      <c r="AA35">
        <v>0.99273359999999999</v>
      </c>
      <c r="AB35">
        <v>5</v>
      </c>
      <c r="AC35">
        <v>0.69249999999999501</v>
      </c>
      <c r="AD35">
        <v>-0.11167299999999999</v>
      </c>
      <c r="AE35">
        <v>-8.5599999999999399E-2</v>
      </c>
      <c r="AF35">
        <v>8.9167544257521297E-2</v>
      </c>
      <c r="AG35">
        <v>-0.11167299999999999</v>
      </c>
      <c r="AH35">
        <v>0.67447579894330401</v>
      </c>
      <c r="AI35">
        <v>99.321514691649</v>
      </c>
      <c r="AJ35">
        <v>82.469013132006197</v>
      </c>
      <c r="AK35">
        <v>0.68944855735444499</v>
      </c>
      <c r="AL35">
        <v>78.0419596114249</v>
      </c>
      <c r="AM35">
        <v>86.988663096391804</v>
      </c>
      <c r="AN35">
        <v>0.99999997587769096</v>
      </c>
    </row>
    <row r="36" spans="1:40" x14ac:dyDescent="0.25">
      <c r="A36" t="str">
        <f>"20190312172857031"</f>
        <v>20190312172857031</v>
      </c>
      <c r="B36" t="str">
        <f>"1552382937027455"</f>
        <v>1552382937027455</v>
      </c>
      <c r="C36" t="s">
        <v>40</v>
      </c>
      <c r="D36">
        <v>3.7607059999999999</v>
      </c>
      <c r="E36">
        <v>0.53408069999999996</v>
      </c>
      <c r="F36" t="s">
        <v>42</v>
      </c>
      <c r="G36">
        <v>-474.76600000000002</v>
      </c>
      <c r="H36">
        <v>0.99830850000000004</v>
      </c>
      <c r="I36">
        <v>367.14569999999998</v>
      </c>
      <c r="J36">
        <v>-475.45429999999999</v>
      </c>
      <c r="K36">
        <v>1.10927</v>
      </c>
      <c r="L36">
        <v>367.23099999999999</v>
      </c>
      <c r="M36">
        <v>0.99994649999999996</v>
      </c>
      <c r="N36">
        <v>0</v>
      </c>
      <c r="O36">
        <v>9.0055989999999995E-3</v>
      </c>
      <c r="P36">
        <v>0.97853880000000004</v>
      </c>
      <c r="Q36">
        <v>0.20138900000000001</v>
      </c>
      <c r="R36">
        <v>-4.3638839999999998E-2</v>
      </c>
      <c r="S36">
        <v>3.14682</v>
      </c>
      <c r="T36">
        <v>-0.47236159999999999</v>
      </c>
      <c r="U36">
        <v>-0.35690309999999997</v>
      </c>
      <c r="V36">
        <v>5.2385599999999997E-2</v>
      </c>
      <c r="W36">
        <v>0.20638870000000001</v>
      </c>
      <c r="X36">
        <v>0.97706680000000001</v>
      </c>
      <c r="Y36">
        <v>0.1202086</v>
      </c>
      <c r="Z36">
        <v>-1.028389E-2</v>
      </c>
      <c r="AA36">
        <v>0.99269540000000001</v>
      </c>
      <c r="AB36">
        <v>5</v>
      </c>
      <c r="AC36">
        <v>0.688300000000026</v>
      </c>
      <c r="AD36">
        <v>-0.1109615</v>
      </c>
      <c r="AE36">
        <v>-8.5300000000017903E-2</v>
      </c>
      <c r="AF36">
        <v>8.9211723840121604E-2</v>
      </c>
      <c r="AG36">
        <v>-0.1109615</v>
      </c>
      <c r="AH36">
        <v>0.67034582023043798</v>
      </c>
      <c r="AI36">
        <v>99.318178518124299</v>
      </c>
      <c r="AJ36">
        <v>82.419441956773795</v>
      </c>
      <c r="AK36">
        <v>0.68529898938579703</v>
      </c>
      <c r="AL36">
        <v>78.089196158942698</v>
      </c>
      <c r="AM36">
        <v>86.931015628476501</v>
      </c>
      <c r="AN36">
        <v>1.0000000391186401</v>
      </c>
    </row>
    <row r="37" spans="1:40" x14ac:dyDescent="0.25">
      <c r="A37" t="str">
        <f>"20190312172857053"</f>
        <v>20190312172857053</v>
      </c>
      <c r="B37" t="str">
        <f>"1552382937046975"</f>
        <v>1552382937046975</v>
      </c>
      <c r="C37" t="s">
        <v>40</v>
      </c>
      <c r="D37">
        <v>3.5626799999999998</v>
      </c>
      <c r="E37">
        <v>0.53361210000000003</v>
      </c>
      <c r="F37" t="s">
        <v>42</v>
      </c>
      <c r="G37">
        <v>-474.71530000000001</v>
      </c>
      <c r="H37">
        <v>0.99867079999999997</v>
      </c>
      <c r="I37">
        <v>367.1474</v>
      </c>
      <c r="J37">
        <v>-475.39850000000001</v>
      </c>
      <c r="K37">
        <v>1.109327</v>
      </c>
      <c r="L37">
        <v>367.2321</v>
      </c>
      <c r="M37">
        <v>0.99994150000000004</v>
      </c>
      <c r="N37">
        <v>0</v>
      </c>
      <c r="O37">
        <v>9.5657999999999993E-3</v>
      </c>
      <c r="P37">
        <v>0.97873739999999998</v>
      </c>
      <c r="Q37">
        <v>0.200462</v>
      </c>
      <c r="R37">
        <v>-4.3451690000000001E-2</v>
      </c>
      <c r="S37">
        <v>3.1470340000000001</v>
      </c>
      <c r="T37">
        <v>-0.4713367</v>
      </c>
      <c r="U37">
        <v>-0.354278599999999</v>
      </c>
      <c r="V37">
        <v>5.27474E-2</v>
      </c>
      <c r="W37">
        <v>0.2054279</v>
      </c>
      <c r="X37">
        <v>0.9772497</v>
      </c>
      <c r="Y37">
        <v>0.1199426</v>
      </c>
      <c r="Z37">
        <v>-1.032506E-2</v>
      </c>
      <c r="AA37">
        <v>0.99272720000000003</v>
      </c>
      <c r="AB37">
        <v>6</v>
      </c>
      <c r="AC37">
        <v>0.68319999999999903</v>
      </c>
      <c r="AD37">
        <v>-0.110656199999999</v>
      </c>
      <c r="AE37">
        <v>-8.4699999999997999E-2</v>
      </c>
      <c r="AF37">
        <v>8.8933834950493604E-2</v>
      </c>
      <c r="AG37">
        <v>-0.110656199999999</v>
      </c>
      <c r="AH37">
        <v>0.66517285465754605</v>
      </c>
      <c r="AI37">
        <v>99.363239458728401</v>
      </c>
      <c r="AJ37">
        <v>82.384697151449799</v>
      </c>
      <c r="AK37">
        <v>0.68015362100830601</v>
      </c>
      <c r="AL37">
        <v>78.145450268552395</v>
      </c>
      <c r="AM37">
        <v>86.910437916902595</v>
      </c>
      <c r="AN37">
        <v>0.99999994322762797</v>
      </c>
    </row>
    <row r="38" spans="1:40" x14ac:dyDescent="0.25">
      <c r="A38" t="str">
        <f>"20190312172857075"</f>
        <v>20190312172857075</v>
      </c>
      <c r="B38" t="str">
        <f>"1552382937067471"</f>
        <v>1552382937067471</v>
      </c>
      <c r="C38" t="s">
        <v>40</v>
      </c>
      <c r="D38">
        <v>3.5528499999999998</v>
      </c>
      <c r="E38">
        <v>0.53327990000000003</v>
      </c>
      <c r="F38" t="s">
        <v>42</v>
      </c>
      <c r="G38">
        <v>-474.66829999999999</v>
      </c>
      <c r="H38">
        <v>0.9992683</v>
      </c>
      <c r="I38">
        <v>367.15069999999997</v>
      </c>
      <c r="J38">
        <v>-475.3501</v>
      </c>
      <c r="K38">
        <v>1.109766</v>
      </c>
      <c r="L38">
        <v>367.23309999999998</v>
      </c>
      <c r="M38">
        <v>0.99992820000000004</v>
      </c>
      <c r="N38">
        <v>0</v>
      </c>
      <c r="O38">
        <v>9.9743690000000003E-3</v>
      </c>
      <c r="P38">
        <v>0.97916159999999997</v>
      </c>
      <c r="Q38">
        <v>0.1984831</v>
      </c>
      <c r="R38">
        <v>-4.2978599999999999E-2</v>
      </c>
      <c r="S38">
        <v>3.1469119999999999</v>
      </c>
      <c r="T38">
        <v>-0.47477589999999997</v>
      </c>
      <c r="U38">
        <v>-0.3488464</v>
      </c>
      <c r="V38">
        <v>5.2700520000000001E-2</v>
      </c>
      <c r="W38">
        <v>0.2049976</v>
      </c>
      <c r="X38">
        <v>0.97734270000000001</v>
      </c>
      <c r="Y38">
        <v>0.11864860000000001</v>
      </c>
      <c r="Z38">
        <v>-1.0365299999999999E-2</v>
      </c>
      <c r="AA38">
        <v>0.99288220000000005</v>
      </c>
      <c r="AB38">
        <v>6</v>
      </c>
      <c r="AC38">
        <v>0.68180000000000895</v>
      </c>
      <c r="AD38">
        <v>-0.11049769999999901</v>
      </c>
      <c r="AE38">
        <v>-8.2400000000006898E-2</v>
      </c>
      <c r="AF38">
        <v>8.6945742714028204E-2</v>
      </c>
      <c r="AG38">
        <v>-0.11049769999999901</v>
      </c>
      <c r="AH38">
        <v>0.66376087594238997</v>
      </c>
      <c r="AI38">
        <v>99.372847897283805</v>
      </c>
      <c r="AJ38">
        <v>82.537339796505904</v>
      </c>
      <c r="AK38">
        <v>0.67848935460565096</v>
      </c>
      <c r="AL38">
        <v>78.170642129328002</v>
      </c>
      <c r="AM38">
        <v>86.913471657945493</v>
      </c>
      <c r="AN38">
        <v>1.00000005702865</v>
      </c>
    </row>
    <row r="39" spans="1:40" x14ac:dyDescent="0.25">
      <c r="A39" t="str">
        <f>"20190312172857097"</f>
        <v>20190312172857097</v>
      </c>
      <c r="B39" t="str">
        <f>"1552382937087526"</f>
        <v>1552382937087526</v>
      </c>
      <c r="C39" t="s">
        <v>40</v>
      </c>
      <c r="D39">
        <v>3.844255</v>
      </c>
      <c r="E39">
        <v>0.53294519999999901</v>
      </c>
      <c r="F39" t="s">
        <v>42</v>
      </c>
      <c r="G39">
        <v>-474.62529999999998</v>
      </c>
      <c r="H39">
        <v>0.99901189999999995</v>
      </c>
      <c r="I39">
        <v>367.15379999999999</v>
      </c>
      <c r="J39">
        <v>-475.3</v>
      </c>
      <c r="K39">
        <v>1.1100179999999999</v>
      </c>
      <c r="L39">
        <v>367.23399999999998</v>
      </c>
      <c r="M39">
        <v>0.99991600000000003</v>
      </c>
      <c r="N39">
        <v>0</v>
      </c>
      <c r="O39">
        <v>1.0348329999999999E-2</v>
      </c>
      <c r="P39">
        <v>0.97945000000000004</v>
      </c>
      <c r="Q39">
        <v>0.1972207</v>
      </c>
      <c r="R39">
        <v>-4.2208320000000001E-2</v>
      </c>
      <c r="S39">
        <v>3.146271</v>
      </c>
      <c r="T39">
        <v>-0.4809755</v>
      </c>
      <c r="U39">
        <v>-0.34341430000000001</v>
      </c>
      <c r="V39">
        <v>5.2316809999999998E-2</v>
      </c>
      <c r="W39">
        <v>0.204873</v>
      </c>
      <c r="X39">
        <v>0.97738939999999996</v>
      </c>
      <c r="Y39">
        <v>0.1173207</v>
      </c>
      <c r="Z39">
        <v>-1.045827E-2</v>
      </c>
      <c r="AA39">
        <v>0.99303900000000001</v>
      </c>
      <c r="AB39">
        <v>5</v>
      </c>
      <c r="AC39">
        <v>0.67470000000002905</v>
      </c>
      <c r="AD39">
        <v>-0.111006099999999</v>
      </c>
      <c r="AE39">
        <v>-8.0200000000047497E-2</v>
      </c>
      <c r="AF39">
        <v>8.4911490618577196E-2</v>
      </c>
      <c r="AG39">
        <v>-0.111006099999999</v>
      </c>
      <c r="AH39">
        <v>0.65631562431208101</v>
      </c>
      <c r="AI39">
        <v>99.521994399573998</v>
      </c>
      <c r="AJ39">
        <v>82.6282490266005</v>
      </c>
      <c r="AK39">
        <v>0.67103093385658097</v>
      </c>
      <c r="AL39">
        <v>78.1779355112171</v>
      </c>
      <c r="AM39">
        <v>86.936047670167298</v>
      </c>
      <c r="AN39">
        <v>1.0000000169849601</v>
      </c>
    </row>
    <row r="40" spans="1:40" x14ac:dyDescent="0.25">
      <c r="A40" t="str">
        <f>"20190312172857121"</f>
        <v>20190312172857121</v>
      </c>
      <c r="B40" t="str">
        <f>"1552382937117779"</f>
        <v>1552382937117779</v>
      </c>
      <c r="C40" t="s">
        <v>40</v>
      </c>
      <c r="D40">
        <v>3.9072079999999998</v>
      </c>
      <c r="E40">
        <v>0.53254119999999905</v>
      </c>
      <c r="F40" t="s">
        <v>42</v>
      </c>
      <c r="G40">
        <v>-474.57960000000003</v>
      </c>
      <c r="H40">
        <v>0.99930260000000004</v>
      </c>
      <c r="I40">
        <v>367.15620000000001</v>
      </c>
      <c r="J40">
        <v>-475.24270000000001</v>
      </c>
      <c r="K40">
        <v>1.1097870000000001</v>
      </c>
      <c r="L40">
        <v>367.23520000000002</v>
      </c>
      <c r="M40">
        <v>0.99991529999999995</v>
      </c>
      <c r="N40">
        <v>0</v>
      </c>
      <c r="O40">
        <v>1.0804390000000001E-2</v>
      </c>
      <c r="P40">
        <v>0.97941319999999998</v>
      </c>
      <c r="Q40">
        <v>0.1976174</v>
      </c>
      <c r="R40">
        <v>-4.1196860000000002E-2</v>
      </c>
      <c r="S40">
        <v>3.145905</v>
      </c>
      <c r="T40">
        <v>-0.48415540000000001</v>
      </c>
      <c r="U40">
        <v>-0.33758539999999998</v>
      </c>
      <c r="V40">
        <v>5.1746529999999999E-2</v>
      </c>
      <c r="W40">
        <v>0.20472409999999999</v>
      </c>
      <c r="X40">
        <v>0.97745090000000001</v>
      </c>
      <c r="Y40">
        <v>0.1159578</v>
      </c>
      <c r="Z40">
        <v>-1.0494470000000001E-2</v>
      </c>
      <c r="AA40">
        <v>0.99319869999999999</v>
      </c>
      <c r="AB40">
        <v>5</v>
      </c>
      <c r="AC40">
        <v>0.66309999999998503</v>
      </c>
      <c r="AD40">
        <v>-0.1104844</v>
      </c>
      <c r="AE40">
        <v>-7.9000000000007703E-2</v>
      </c>
      <c r="AF40">
        <v>8.3864346555702601E-2</v>
      </c>
      <c r="AG40">
        <v>-0.1104844</v>
      </c>
      <c r="AH40">
        <v>0.64456404985521198</v>
      </c>
      <c r="AI40">
        <v>99.646753161748606</v>
      </c>
      <c r="AJ40">
        <v>82.586879848603004</v>
      </c>
      <c r="AK40">
        <v>0.659319987284117</v>
      </c>
      <c r="AL40">
        <v>78.186650929032993</v>
      </c>
      <c r="AM40">
        <v>86.969574043262995</v>
      </c>
      <c r="AN40">
        <v>0.99999996119932899</v>
      </c>
    </row>
    <row r="41" spans="1:40" x14ac:dyDescent="0.25">
      <c r="A41" t="str">
        <f>"20190312172857144"</f>
        <v>20190312172857144</v>
      </c>
      <c r="B41" t="str">
        <f>"1552382937137299"</f>
        <v>1552382937137299</v>
      </c>
      <c r="C41" t="s">
        <v>40</v>
      </c>
      <c r="D41">
        <v>3.7966929999999999</v>
      </c>
      <c r="E41">
        <v>0.49511090000000002</v>
      </c>
      <c r="F41" t="s">
        <v>42</v>
      </c>
      <c r="G41">
        <v>-474.52910000000003</v>
      </c>
      <c r="H41">
        <v>1.0006649999999999</v>
      </c>
      <c r="I41">
        <v>367.16</v>
      </c>
      <c r="J41">
        <v>-475.18239999999997</v>
      </c>
      <c r="K41">
        <v>1.109426</v>
      </c>
      <c r="L41">
        <v>367.2364</v>
      </c>
      <c r="M41">
        <v>0.99991779999999997</v>
      </c>
      <c r="N41">
        <v>0</v>
      </c>
      <c r="O41">
        <v>1.135536E-2</v>
      </c>
      <c r="P41">
        <v>0.97925390000000001</v>
      </c>
      <c r="Q41">
        <v>0.19856740000000001</v>
      </c>
      <c r="R41">
        <v>-4.0412959999999998E-2</v>
      </c>
      <c r="S41">
        <v>3.1463930000000002</v>
      </c>
      <c r="T41">
        <v>-0.48151680000000002</v>
      </c>
      <c r="U41">
        <v>-0.3297119</v>
      </c>
      <c r="V41">
        <v>5.1485749999999997E-2</v>
      </c>
      <c r="W41">
        <v>0.2044202</v>
      </c>
      <c r="X41">
        <v>0.97752830000000002</v>
      </c>
      <c r="Y41">
        <v>0.114061999999999</v>
      </c>
      <c r="Z41">
        <v>-1.037746E-2</v>
      </c>
      <c r="AA41">
        <v>0.99341939999999995</v>
      </c>
      <c r="AB41">
        <v>5</v>
      </c>
      <c r="AC41">
        <v>0.65329999999994404</v>
      </c>
      <c r="AD41">
        <v>-0.108761</v>
      </c>
      <c r="AE41">
        <v>-7.6399999999978194E-2</v>
      </c>
      <c r="AF41">
        <v>8.1583061294129594E-2</v>
      </c>
      <c r="AG41">
        <v>-0.108761</v>
      </c>
      <c r="AH41">
        <v>0.63502772079108205</v>
      </c>
      <c r="AI41">
        <v>99.6410034688152</v>
      </c>
      <c r="AJ41">
        <v>82.679217138891801</v>
      </c>
      <c r="AK41">
        <v>0.64941893811640405</v>
      </c>
      <c r="AL41">
        <v>78.204439647279202</v>
      </c>
      <c r="AM41">
        <v>86.985056119749402</v>
      </c>
      <c r="AN41">
        <v>0.99999998896099596</v>
      </c>
    </row>
    <row r="42" spans="1:40" x14ac:dyDescent="0.25">
      <c r="A42" t="str">
        <f>"20190312172857165"</f>
        <v>20190312172857165</v>
      </c>
      <c r="B42" t="str">
        <f>"1552382937157795"</f>
        <v>1552382937157795</v>
      </c>
      <c r="C42" t="s">
        <v>40</v>
      </c>
      <c r="D42">
        <v>3.5727669999999998</v>
      </c>
      <c r="E42">
        <v>0.49292340000000001</v>
      </c>
      <c r="F42" t="s">
        <v>42</v>
      </c>
      <c r="G42">
        <v>-474.40600000000001</v>
      </c>
      <c r="H42">
        <v>1.032899</v>
      </c>
      <c r="I42">
        <v>367.22739999999999</v>
      </c>
      <c r="J42">
        <v>-475.12380000000002</v>
      </c>
      <c r="K42">
        <v>1.109218</v>
      </c>
      <c r="L42">
        <v>367.23759999999999</v>
      </c>
      <c r="M42">
        <v>0.99991629999999998</v>
      </c>
      <c r="N42">
        <v>0</v>
      </c>
      <c r="O42">
        <v>1.193702E-2</v>
      </c>
      <c r="P42">
        <v>0.97906859999999996</v>
      </c>
      <c r="Q42">
        <v>0.199624</v>
      </c>
      <c r="R42">
        <v>-3.9685320000000003E-2</v>
      </c>
      <c r="S42">
        <v>3.1245419999999999</v>
      </c>
      <c r="T42">
        <v>-0.30794700000000003</v>
      </c>
      <c r="U42">
        <v>-3.6132810000000001E-2</v>
      </c>
      <c r="V42">
        <v>5.1309849999999997E-2</v>
      </c>
      <c r="W42">
        <v>0.20452670000000001</v>
      </c>
      <c r="X42">
        <v>0.97751529999999998</v>
      </c>
      <c r="Y42">
        <v>2.3328120000000001E-2</v>
      </c>
      <c r="Z42">
        <v>-2.320379E-3</v>
      </c>
      <c r="AA42">
        <v>0.99972519999999998</v>
      </c>
      <c r="AB42">
        <v>6</v>
      </c>
      <c r="AC42">
        <v>0.71780000000001098</v>
      </c>
      <c r="AD42">
        <v>-7.6318999999999998E-2</v>
      </c>
      <c r="AE42">
        <v>-1.0199999999997499E-2</v>
      </c>
      <c r="AF42">
        <v>1.8558022650192699E-2</v>
      </c>
      <c r="AG42">
        <v>-7.6318999999999998E-2</v>
      </c>
      <c r="AH42">
        <v>0.70960683557175896</v>
      </c>
      <c r="AI42">
        <v>96.136545845119002</v>
      </c>
      <c r="AJ42">
        <v>88.501911193184</v>
      </c>
      <c r="AK42">
        <v>0.71394036939778904</v>
      </c>
      <c r="AL42">
        <v>78.198206274045006</v>
      </c>
      <c r="AM42">
        <v>86.995297820609807</v>
      </c>
      <c r="AN42">
        <v>1.000000016727</v>
      </c>
    </row>
    <row r="43" spans="1:40" x14ac:dyDescent="0.25">
      <c r="A43" t="str">
        <f>"20190312172857187"</f>
        <v>20190312172857187</v>
      </c>
      <c r="B43" t="str">
        <f>"1552382937177315"</f>
        <v>1552382937177315</v>
      </c>
      <c r="C43" t="s">
        <v>40</v>
      </c>
      <c r="D43">
        <v>3.6009389999999999</v>
      </c>
      <c r="E43">
        <v>0.49198890000000001</v>
      </c>
      <c r="F43" t="s">
        <v>42</v>
      </c>
      <c r="G43">
        <v>-474.34620000000001</v>
      </c>
      <c r="H43">
        <v>1.0400799999999999</v>
      </c>
      <c r="I43">
        <v>367.233</v>
      </c>
      <c r="J43">
        <v>-475.06049999999999</v>
      </c>
      <c r="K43">
        <v>1.10911</v>
      </c>
      <c r="L43">
        <v>367.23899999999998</v>
      </c>
      <c r="M43">
        <v>0.99991180000000002</v>
      </c>
      <c r="N43">
        <v>0</v>
      </c>
      <c r="O43">
        <v>1.2589599999999999E-2</v>
      </c>
      <c r="P43">
        <v>0.97905120000000001</v>
      </c>
      <c r="Q43">
        <v>0.19993359999999999</v>
      </c>
      <c r="R43">
        <v>-3.854283E-2</v>
      </c>
      <c r="S43">
        <v>3.1200559999999999</v>
      </c>
      <c r="T43">
        <v>-0.27777230000000003</v>
      </c>
      <c r="U43">
        <v>-1.7028809999999998E-2</v>
      </c>
      <c r="V43">
        <v>5.0790660000000001E-2</v>
      </c>
      <c r="W43">
        <v>0.204093</v>
      </c>
      <c r="X43">
        <v>0.97763310000000003</v>
      </c>
      <c r="Y43">
        <v>1.7926170000000002E-2</v>
      </c>
      <c r="Z43">
        <v>-1.9149880000000001E-3</v>
      </c>
      <c r="AA43">
        <v>0.99983750000000005</v>
      </c>
      <c r="AB43">
        <v>6</v>
      </c>
      <c r="AC43">
        <v>0.71429999999997995</v>
      </c>
      <c r="AD43">
        <v>-6.9030000000000105E-2</v>
      </c>
      <c r="AE43">
        <v>-6.0000000000286404E-3</v>
      </c>
      <c r="AF43">
        <v>1.48536433362192E-2</v>
      </c>
      <c r="AG43">
        <v>-6.9030000000000105E-2</v>
      </c>
      <c r="AH43">
        <v>0.70756019832294004</v>
      </c>
      <c r="AI43">
        <v>95.570956997414896</v>
      </c>
      <c r="AJ43">
        <v>88.797379939785699</v>
      </c>
      <c r="AK43">
        <v>0.71107468375070004</v>
      </c>
      <c r="AL43">
        <v>78.223591438969706</v>
      </c>
      <c r="AM43">
        <v>87.026004440115699</v>
      </c>
      <c r="AN43">
        <v>1.0000000610039199</v>
      </c>
    </row>
    <row r="44" spans="1:40" x14ac:dyDescent="0.25">
      <c r="A44" t="str">
        <f>"20190312172857209"</f>
        <v>20190312172857209</v>
      </c>
      <c r="B44" t="str">
        <f>"1552382937197576"</f>
        <v>1552382937197576</v>
      </c>
      <c r="C44" t="s">
        <v>40</v>
      </c>
      <c r="D44">
        <v>3.6707719999999999</v>
      </c>
      <c r="E44">
        <v>0.49118440000000002</v>
      </c>
      <c r="F44" t="s">
        <v>42</v>
      </c>
      <c r="G44">
        <v>-474.28550000000001</v>
      </c>
      <c r="H44">
        <v>1.04301</v>
      </c>
      <c r="I44">
        <v>367.2373</v>
      </c>
      <c r="J44">
        <v>-474.99880000000002</v>
      </c>
      <c r="K44">
        <v>1.1091610000000001</v>
      </c>
      <c r="L44">
        <v>367.2405</v>
      </c>
      <c r="M44">
        <v>0.99990460000000003</v>
      </c>
      <c r="N44">
        <v>0</v>
      </c>
      <c r="O44">
        <v>1.32067E-2</v>
      </c>
      <c r="P44">
        <v>0.97926690000000005</v>
      </c>
      <c r="Q44">
        <v>0.19902220000000001</v>
      </c>
      <c r="R44">
        <v>-3.7772739999999999E-2</v>
      </c>
      <c r="S44">
        <v>3.1182560000000001</v>
      </c>
      <c r="T44">
        <v>-0.26606550000000001</v>
      </c>
      <c r="U44">
        <v>-6.4086909999999898E-3</v>
      </c>
      <c r="V44">
        <v>5.0622430000000003E-2</v>
      </c>
      <c r="W44">
        <v>0.20301649999999999</v>
      </c>
      <c r="X44">
        <v>0.97786589999999995</v>
      </c>
      <c r="Y44">
        <v>1.515875E-2</v>
      </c>
      <c r="Z44">
        <v>-1.7703440000000001E-3</v>
      </c>
      <c r="AA44">
        <v>0.99988350000000004</v>
      </c>
      <c r="AB44">
        <v>6</v>
      </c>
      <c r="AC44">
        <v>0.71330000000000304</v>
      </c>
      <c r="AD44">
        <v>-6.6151000000000001E-2</v>
      </c>
      <c r="AE44">
        <v>-3.19999999999254E-3</v>
      </c>
      <c r="AF44">
        <v>1.25125241933031E-2</v>
      </c>
      <c r="AG44">
        <v>-6.6151000000000001E-2</v>
      </c>
      <c r="AH44">
        <v>0.70711405115872095</v>
      </c>
      <c r="AI44">
        <v>95.343672414436497</v>
      </c>
      <c r="AJ44">
        <v>88.986245552041893</v>
      </c>
      <c r="AK44">
        <v>0.71031176212194702</v>
      </c>
      <c r="AL44">
        <v>78.286588856608802</v>
      </c>
      <c r="AM44">
        <v>87.0365417996247</v>
      </c>
      <c r="AN44">
        <v>1.0000000240370801</v>
      </c>
    </row>
    <row r="45" spans="1:40" x14ac:dyDescent="0.25">
      <c r="A45" t="str">
        <f>"20190312172857232"</f>
        <v>20190312172857232</v>
      </c>
      <c r="B45" t="str">
        <f>"1552382937227829"</f>
        <v>1552382937227829</v>
      </c>
      <c r="C45" t="s">
        <v>40</v>
      </c>
      <c r="D45">
        <v>3.6152389999999999</v>
      </c>
      <c r="E45">
        <v>0.48944569999999998</v>
      </c>
      <c r="F45" t="s">
        <v>42</v>
      </c>
      <c r="G45">
        <v>-474.22879999999998</v>
      </c>
      <c r="H45">
        <v>1.044467</v>
      </c>
      <c r="I45">
        <v>367.2405</v>
      </c>
      <c r="J45">
        <v>-474.93529999999998</v>
      </c>
      <c r="K45">
        <v>1.109618</v>
      </c>
      <c r="L45">
        <v>367.24200000000002</v>
      </c>
      <c r="M45">
        <v>0.9998899</v>
      </c>
      <c r="N45">
        <v>0</v>
      </c>
      <c r="O45">
        <v>1.374558E-2</v>
      </c>
      <c r="P45">
        <v>0.97969680000000003</v>
      </c>
      <c r="Q45">
        <v>0.1970346</v>
      </c>
      <c r="R45">
        <v>-3.7046309999999999E-2</v>
      </c>
      <c r="S45">
        <v>3.116943</v>
      </c>
      <c r="T45">
        <v>-0.26246019999999998</v>
      </c>
      <c r="U45">
        <v>1.708984E-3</v>
      </c>
      <c r="V45">
        <v>5.0453890000000001E-2</v>
      </c>
      <c r="W45">
        <v>0.2025402</v>
      </c>
      <c r="X45">
        <v>0.97797330000000005</v>
      </c>
      <c r="Y45">
        <v>1.3102549999999999E-2</v>
      </c>
      <c r="Z45">
        <v>-1.706054E-3</v>
      </c>
      <c r="AA45">
        <v>0.99991269999999999</v>
      </c>
      <c r="AB45">
        <v>7</v>
      </c>
      <c r="AC45">
        <v>0.70650000000000501</v>
      </c>
      <c r="AD45">
        <v>-6.5150999999999903E-2</v>
      </c>
      <c r="AE45">
        <v>-1.4999999999645199E-3</v>
      </c>
      <c r="AF45">
        <v>1.11167272357171E-2</v>
      </c>
      <c r="AG45">
        <v>-6.5150999999999903E-2</v>
      </c>
      <c r="AH45">
        <v>0.70045605545252398</v>
      </c>
      <c r="AI45">
        <v>95.313255723108099</v>
      </c>
      <c r="AJ45">
        <v>89.090752263031305</v>
      </c>
      <c r="AK45">
        <v>0.70356728181854999</v>
      </c>
      <c r="AL45">
        <v>78.314456964453498</v>
      </c>
      <c r="AM45">
        <v>87.046714490374399</v>
      </c>
      <c r="AN45">
        <v>0.99999995157252897</v>
      </c>
    </row>
    <row r="46" spans="1:40" x14ac:dyDescent="0.25">
      <c r="A46" t="str">
        <f>"20190312172857254"</f>
        <v>20190312172857254</v>
      </c>
      <c r="B46" t="str">
        <f>"1552382937247351"</f>
        <v>1552382937247351</v>
      </c>
      <c r="C46" t="s">
        <v>40</v>
      </c>
      <c r="D46">
        <v>3.5685530000000001</v>
      </c>
      <c r="E46">
        <v>0.48877350000000003</v>
      </c>
      <c r="F46" t="s">
        <v>42</v>
      </c>
      <c r="G46">
        <v>-474.17450000000002</v>
      </c>
      <c r="H46">
        <v>1.045852</v>
      </c>
      <c r="I46">
        <v>367.24599999999998</v>
      </c>
      <c r="J46">
        <v>-474.8793</v>
      </c>
      <c r="K46">
        <v>1.110017</v>
      </c>
      <c r="L46">
        <v>367.24340000000001</v>
      </c>
      <c r="M46">
        <v>0.99987329999999996</v>
      </c>
      <c r="N46">
        <v>0</v>
      </c>
      <c r="O46">
        <v>1.4140109999999999E-2</v>
      </c>
      <c r="P46">
        <v>0.98000240000000005</v>
      </c>
      <c r="Q46">
        <v>0.19559650000000001</v>
      </c>
      <c r="R46">
        <v>-3.6572010000000002E-2</v>
      </c>
      <c r="S46">
        <v>3.115326</v>
      </c>
      <c r="T46">
        <v>-0.26124019999999998</v>
      </c>
      <c r="U46">
        <v>1.6815190000000001E-2</v>
      </c>
      <c r="V46">
        <v>5.0400529999999999E-2</v>
      </c>
      <c r="W46">
        <v>0.20276810000000001</v>
      </c>
      <c r="X46">
        <v>0.97792889999999999</v>
      </c>
      <c r="Y46">
        <v>8.6633019999999995E-3</v>
      </c>
      <c r="Z46">
        <v>-1.5462430000000001E-3</v>
      </c>
      <c r="AA46">
        <v>0.99996130000000005</v>
      </c>
      <c r="AB46">
        <v>6</v>
      </c>
      <c r="AC46">
        <v>0.704799999999977</v>
      </c>
      <c r="AD46">
        <v>-6.4165E-2</v>
      </c>
      <c r="AE46">
        <v>2.5999999999726199E-3</v>
      </c>
      <c r="AF46">
        <v>7.3059230488083798E-3</v>
      </c>
      <c r="AG46">
        <v>-6.4165E-2</v>
      </c>
      <c r="AH46">
        <v>0.69897308976306305</v>
      </c>
      <c r="AI46">
        <v>95.244707553135896</v>
      </c>
      <c r="AJ46">
        <v>89.401145310120199</v>
      </c>
      <c r="AK46">
        <v>0.70195007226263495</v>
      </c>
      <c r="AL46">
        <v>78.301123438708203</v>
      </c>
      <c r="AM46">
        <v>87.049698655491497</v>
      </c>
      <c r="AN46">
        <v>1.0000000246285501</v>
      </c>
    </row>
    <row r="47" spans="1:40" x14ac:dyDescent="0.25">
      <c r="A47" t="str">
        <f>"20190312172857277"</f>
        <v>20190312172857277</v>
      </c>
      <c r="B47" t="str">
        <f>"1552382937267846"</f>
        <v>1552382937267846</v>
      </c>
      <c r="C47" t="s">
        <v>40</v>
      </c>
      <c r="D47">
        <v>3.6291039999999999</v>
      </c>
      <c r="E47">
        <v>0.48824030000000002</v>
      </c>
      <c r="F47" t="s">
        <v>42</v>
      </c>
      <c r="G47">
        <v>-474.11290000000002</v>
      </c>
      <c r="H47">
        <v>1.0472729999999999</v>
      </c>
      <c r="I47">
        <v>367.24849999999998</v>
      </c>
      <c r="J47">
        <v>-474.81799999999998</v>
      </c>
      <c r="K47">
        <v>1.1100190000000001</v>
      </c>
      <c r="L47">
        <v>367.2448</v>
      </c>
      <c r="M47">
        <v>0.99986430000000004</v>
      </c>
      <c r="N47">
        <v>0</v>
      </c>
      <c r="O47">
        <v>1.45437E-2</v>
      </c>
      <c r="P47">
        <v>0.97996839999999996</v>
      </c>
      <c r="Q47">
        <v>0.1958445</v>
      </c>
      <c r="R47">
        <v>-3.6153860000000003E-2</v>
      </c>
      <c r="S47">
        <v>3.1130369999999998</v>
      </c>
      <c r="T47">
        <v>-0.2552876</v>
      </c>
      <c r="U47">
        <v>2.2186279999999999E-2</v>
      </c>
      <c r="V47">
        <v>5.0386680000000003E-2</v>
      </c>
      <c r="W47">
        <v>0.20342969999999999</v>
      </c>
      <c r="X47">
        <v>0.9777922</v>
      </c>
      <c r="Y47">
        <v>7.3443400000000004E-3</v>
      </c>
      <c r="Z47">
        <v>-1.4912770000000001E-3</v>
      </c>
      <c r="AA47">
        <v>0.99997190000000002</v>
      </c>
      <c r="AB47">
        <v>6</v>
      </c>
      <c r="AC47">
        <v>0.70510000000001505</v>
      </c>
      <c r="AD47">
        <v>-6.2746000000000093E-2</v>
      </c>
      <c r="AE47">
        <v>3.69999999998071E-3</v>
      </c>
      <c r="AF47">
        <v>6.5039577150409096E-3</v>
      </c>
      <c r="AG47">
        <v>-6.2746000000000093E-2</v>
      </c>
      <c r="AH47">
        <v>0.69953972717538504</v>
      </c>
      <c r="AI47">
        <v>95.125272662693405</v>
      </c>
      <c r="AJ47">
        <v>89.467308895232094</v>
      </c>
      <c r="AK47">
        <v>0.70237823989540804</v>
      </c>
      <c r="AL47">
        <v>78.262409673046704</v>
      </c>
      <c r="AM47">
        <v>87.050096337952098</v>
      </c>
      <c r="AN47">
        <v>1.00000002337217</v>
      </c>
    </row>
    <row r="48" spans="1:40" x14ac:dyDescent="0.25">
      <c r="A48" t="str">
        <f>"20190312172857300"</f>
        <v>20190312172857300</v>
      </c>
      <c r="B48" t="str">
        <f>"1552382937287365"</f>
        <v>1552382937287365</v>
      </c>
      <c r="C48" t="s">
        <v>40</v>
      </c>
      <c r="D48">
        <v>3.733962</v>
      </c>
      <c r="E48">
        <v>0.48797380000000001</v>
      </c>
      <c r="F48" t="s">
        <v>41</v>
      </c>
      <c r="G48">
        <v>-461.0188</v>
      </c>
      <c r="H48" s="1">
        <v>-4.2341459999999998E-6</v>
      </c>
      <c r="I48">
        <v>367.3673</v>
      </c>
      <c r="J48">
        <v>-474.75189999999998</v>
      </c>
      <c r="K48">
        <v>1.1096790000000001</v>
      </c>
      <c r="L48">
        <v>367.24639999999999</v>
      </c>
      <c r="M48">
        <v>0.99986370000000002</v>
      </c>
      <c r="N48">
        <v>0</v>
      </c>
      <c r="O48">
        <v>1.506468E-2</v>
      </c>
      <c r="P48">
        <v>0.97973940000000004</v>
      </c>
      <c r="Q48">
        <v>0.19708059999999999</v>
      </c>
      <c r="R48">
        <v>-3.5638089999999997E-2</v>
      </c>
      <c r="S48">
        <v>3.1124269999999998</v>
      </c>
      <c r="T48">
        <v>-0.25036599999999998</v>
      </c>
      <c r="U48">
        <v>2.7648929999999999E-2</v>
      </c>
      <c r="V48">
        <v>5.0366710000000002E-2</v>
      </c>
      <c r="W48">
        <v>0.2037098</v>
      </c>
      <c r="X48">
        <v>0.97773489999999996</v>
      </c>
      <c r="Y48">
        <v>6.113991E-3</v>
      </c>
      <c r="Z48">
        <v>-1.4553159999999999E-3</v>
      </c>
      <c r="AA48">
        <v>0.99998030000000004</v>
      </c>
      <c r="AB48">
        <v>6</v>
      </c>
      <c r="AC48">
        <v>13.733099999999901</v>
      </c>
      <c r="AD48">
        <v>-1.1096832341459999</v>
      </c>
      <c r="AE48">
        <v>0.120900000000006</v>
      </c>
      <c r="AF48">
        <v>8.5445350338940795E-2</v>
      </c>
      <c r="AG48">
        <v>-1.1096832341459999</v>
      </c>
      <c r="AH48">
        <v>13.6442833375172</v>
      </c>
      <c r="AI48">
        <v>94.649514823028696</v>
      </c>
      <c r="AJ48">
        <v>89.641198160722993</v>
      </c>
      <c r="AK48">
        <v>13.6896006363403</v>
      </c>
      <c r="AL48">
        <v>78.246017745978904</v>
      </c>
      <c r="AM48">
        <v>87.051090918733607</v>
      </c>
      <c r="AN48">
        <v>1.0000000113851299</v>
      </c>
    </row>
    <row r="49" spans="1:40" x14ac:dyDescent="0.25">
      <c r="A49" t="str">
        <f>"20190312172857322"</f>
        <v>20190312172857322</v>
      </c>
      <c r="B49" t="str">
        <f>"1552382937317621"</f>
        <v>1552382937317621</v>
      </c>
      <c r="C49" t="s">
        <v>40</v>
      </c>
      <c r="D49">
        <v>3.6403439999999998</v>
      </c>
      <c r="E49">
        <v>0.48779529999999899</v>
      </c>
      <c r="F49" t="s">
        <v>41</v>
      </c>
      <c r="G49">
        <v>-460.73860000000002</v>
      </c>
      <c r="H49" s="1">
        <v>-4.3509930000000004E-6</v>
      </c>
      <c r="I49">
        <v>367.38630000000001</v>
      </c>
      <c r="J49">
        <v>-474.68259999999998</v>
      </c>
      <c r="K49">
        <v>1.1093850000000001</v>
      </c>
      <c r="L49">
        <v>367.24799999999999</v>
      </c>
      <c r="M49">
        <v>0.999861</v>
      </c>
      <c r="N49">
        <v>0</v>
      </c>
      <c r="O49">
        <v>1.5687429999999999E-2</v>
      </c>
      <c r="P49">
        <v>0.97950709999999996</v>
      </c>
      <c r="Q49">
        <v>0.19835929999999999</v>
      </c>
      <c r="R49">
        <v>-3.4927159999999999E-2</v>
      </c>
      <c r="S49">
        <v>3.1127319999999998</v>
      </c>
      <c r="T49">
        <v>-0.24648880000000001</v>
      </c>
      <c r="U49">
        <v>3.1097409999999999E-2</v>
      </c>
      <c r="V49">
        <v>5.0243900000000001E-2</v>
      </c>
      <c r="W49">
        <v>0.20391519999999999</v>
      </c>
      <c r="X49">
        <v>0.97769839999999997</v>
      </c>
      <c r="Y49">
        <v>5.6315130000000003E-3</v>
      </c>
      <c r="Z49">
        <v>-1.462849E-3</v>
      </c>
      <c r="AA49">
        <v>0.99998310000000001</v>
      </c>
      <c r="AB49">
        <v>6</v>
      </c>
      <c r="AC49">
        <v>13.9439999999999</v>
      </c>
      <c r="AD49">
        <v>-1.109389350993</v>
      </c>
      <c r="AE49">
        <v>0.13829999999995801</v>
      </c>
      <c r="AF49">
        <v>7.9959946000082993E-2</v>
      </c>
      <c r="AG49">
        <v>-1.109389350993</v>
      </c>
      <c r="AH49">
        <v>13.856751175918101</v>
      </c>
      <c r="AI49">
        <v>94.577334589298204</v>
      </c>
      <c r="AJ49">
        <v>89.669380179512501</v>
      </c>
      <c r="AK49">
        <v>13.9013197746246</v>
      </c>
      <c r="AL49">
        <v>78.233996855501701</v>
      </c>
      <c r="AM49">
        <v>87.058159019009395</v>
      </c>
      <c r="AN49">
        <v>1.0000000098204</v>
      </c>
    </row>
    <row r="50" spans="1:40" x14ac:dyDescent="0.25">
      <c r="A50" t="str">
        <f>"20190312172857346"</f>
        <v>20190312172857346</v>
      </c>
      <c r="B50" t="str">
        <f>"1552382937338117"</f>
        <v>1552382937338117</v>
      </c>
      <c r="C50" t="s">
        <v>40</v>
      </c>
      <c r="D50">
        <v>3.6333199999999999</v>
      </c>
      <c r="E50">
        <v>0.48765710000000001</v>
      </c>
      <c r="F50" t="s">
        <v>41</v>
      </c>
      <c r="G50">
        <v>-460.37439999999998</v>
      </c>
      <c r="H50" s="1">
        <v>-4.5034449999999997E-6</v>
      </c>
      <c r="I50">
        <v>367.40769999999998</v>
      </c>
      <c r="J50">
        <v>-474.60719999999998</v>
      </c>
      <c r="K50">
        <v>1.1092299999999999</v>
      </c>
      <c r="L50">
        <v>367.24990000000003</v>
      </c>
      <c r="M50">
        <v>0.99985369999999996</v>
      </c>
      <c r="N50">
        <v>0</v>
      </c>
      <c r="O50">
        <v>1.6416469999999999E-2</v>
      </c>
      <c r="P50">
        <v>0.97937079999999999</v>
      </c>
      <c r="Q50">
        <v>0.19915340000000001</v>
      </c>
      <c r="R50">
        <v>-3.4221170000000002E-2</v>
      </c>
      <c r="S50">
        <v>3.112854</v>
      </c>
      <c r="T50">
        <v>-0.2413535</v>
      </c>
      <c r="U50">
        <v>3.4759520000000002E-2</v>
      </c>
      <c r="V50">
        <v>5.022778E-2</v>
      </c>
      <c r="W50">
        <v>0.2038867</v>
      </c>
      <c r="X50">
        <v>0.97770520000000005</v>
      </c>
      <c r="Y50">
        <v>5.1865640000000003E-3</v>
      </c>
      <c r="Z50">
        <v>-1.4716E-3</v>
      </c>
      <c r="AA50">
        <v>0.99998549999999997</v>
      </c>
      <c r="AB50">
        <v>7</v>
      </c>
      <c r="AC50">
        <v>14.2327999999999</v>
      </c>
      <c r="AD50">
        <v>-1.109234503445</v>
      </c>
      <c r="AE50">
        <v>0.15779999999995101</v>
      </c>
      <c r="AF50">
        <v>7.5418270846040997E-2</v>
      </c>
      <c r="AG50">
        <v>-1.109234503445</v>
      </c>
      <c r="AH50">
        <v>14.147552558855701</v>
      </c>
      <c r="AI50">
        <v>94.483023241099303</v>
      </c>
      <c r="AJ50">
        <v>89.6945685362993</v>
      </c>
      <c r="AK50">
        <v>14.1911709349438</v>
      </c>
      <c r="AL50">
        <v>78.235665153607897</v>
      </c>
      <c r="AM50">
        <v>87.059121625526899</v>
      </c>
      <c r="AN50">
        <v>1.00000003721382</v>
      </c>
    </row>
    <row r="51" spans="1:40" x14ac:dyDescent="0.25">
      <c r="A51" t="str">
        <f>"20190312172857366"</f>
        <v>20190312172857366</v>
      </c>
      <c r="B51" t="str">
        <f>"1552382937357637"</f>
        <v>1552382937357637</v>
      </c>
      <c r="C51" t="s">
        <v>40</v>
      </c>
      <c r="D51">
        <v>3.6702340000000002</v>
      </c>
      <c r="E51">
        <v>0.48746319999999999</v>
      </c>
      <c r="F51" t="s">
        <v>42</v>
      </c>
      <c r="G51">
        <v>-473.81200000000001</v>
      </c>
      <c r="H51">
        <v>1.048422</v>
      </c>
      <c r="I51">
        <v>367.25920000000002</v>
      </c>
      <c r="J51">
        <v>-474.5403</v>
      </c>
      <c r="K51">
        <v>1.109154</v>
      </c>
      <c r="L51">
        <v>367.2516</v>
      </c>
      <c r="M51">
        <v>0.9998454</v>
      </c>
      <c r="N51">
        <v>0</v>
      </c>
      <c r="O51">
        <v>1.7075770000000001E-2</v>
      </c>
      <c r="P51">
        <v>0.9793075</v>
      </c>
      <c r="Q51">
        <v>0.19959769999999999</v>
      </c>
      <c r="R51">
        <v>-3.3433589999999999E-2</v>
      </c>
      <c r="S51">
        <v>3.1130680000000002</v>
      </c>
      <c r="T51">
        <v>-0.23870549999999999</v>
      </c>
      <c r="U51">
        <v>3.8299560000000003E-2</v>
      </c>
      <c r="V51">
        <v>5.0066979999999997E-2</v>
      </c>
      <c r="W51">
        <v>0.20372000000000001</v>
      </c>
      <c r="X51">
        <v>0.97774819999999996</v>
      </c>
      <c r="Y51">
        <v>4.7105740000000004E-3</v>
      </c>
      <c r="Z51">
        <v>-1.487635E-3</v>
      </c>
      <c r="AA51">
        <v>0.99998779999999998</v>
      </c>
      <c r="AB51">
        <v>7</v>
      </c>
      <c r="AC51">
        <v>0.72830000000004602</v>
      </c>
      <c r="AD51">
        <v>-6.0732000000000202E-2</v>
      </c>
      <c r="AE51">
        <v>7.6000000000249202E-3</v>
      </c>
      <c r="AF51">
        <v>4.8040982940853799E-3</v>
      </c>
      <c r="AG51">
        <v>-6.0732000000000202E-2</v>
      </c>
      <c r="AH51">
        <v>0.72329457820412202</v>
      </c>
      <c r="AI51">
        <v>94.799521565701397</v>
      </c>
      <c r="AJ51">
        <v>89.619448952979099</v>
      </c>
      <c r="AK51">
        <v>0.72585570332118898</v>
      </c>
      <c r="AL51">
        <v>78.245421173427403</v>
      </c>
      <c r="AM51">
        <v>87.068648848642596</v>
      </c>
      <c r="AN51">
        <v>1.0000000417447701</v>
      </c>
    </row>
    <row r="52" spans="1:40" x14ac:dyDescent="0.25">
      <c r="A52" t="str">
        <f>"20190312172857388"</f>
        <v>20190312172857388</v>
      </c>
      <c r="B52" t="str">
        <f>"1552382937377158"</f>
        <v>1552382937377158</v>
      </c>
      <c r="C52" t="s">
        <v>40</v>
      </c>
      <c r="D52">
        <v>3.665845</v>
      </c>
      <c r="E52">
        <v>0.48747950000000001</v>
      </c>
      <c r="F52" t="s">
        <v>42</v>
      </c>
      <c r="G52">
        <v>-473.74020000000002</v>
      </c>
      <c r="H52">
        <v>1.048975</v>
      </c>
      <c r="I52">
        <v>367.26209999999998</v>
      </c>
      <c r="J52">
        <v>-474.46499999999997</v>
      </c>
      <c r="K52">
        <v>1.109059</v>
      </c>
      <c r="L52">
        <v>367.25369999999998</v>
      </c>
      <c r="M52">
        <v>0.99983549999999999</v>
      </c>
      <c r="N52">
        <v>0</v>
      </c>
      <c r="O52">
        <v>1.7809430000000001E-2</v>
      </c>
      <c r="P52">
        <v>0.97932759999999996</v>
      </c>
      <c r="Q52">
        <v>0.19962779999999999</v>
      </c>
      <c r="R52">
        <v>-3.2655089999999998E-2</v>
      </c>
      <c r="S52">
        <v>3.1126100000000001</v>
      </c>
      <c r="T52">
        <v>-0.23460049999999999</v>
      </c>
      <c r="U52">
        <v>4.2388919999999997E-2</v>
      </c>
      <c r="V52">
        <v>4.9992200000000001E-2</v>
      </c>
      <c r="W52">
        <v>0.20301549999999999</v>
      </c>
      <c r="X52">
        <v>0.9778985</v>
      </c>
      <c r="Y52">
        <v>4.130646E-3</v>
      </c>
      <c r="Z52">
        <v>-1.495704E-3</v>
      </c>
      <c r="AA52">
        <v>0.9999903</v>
      </c>
      <c r="AB52">
        <v>7</v>
      </c>
      <c r="AC52">
        <v>0.72479999999995903</v>
      </c>
      <c r="AD52">
        <v>-6.0083999999999999E-2</v>
      </c>
      <c r="AE52">
        <v>8.3999999999946305E-3</v>
      </c>
      <c r="AF52">
        <v>4.4789084700367398E-3</v>
      </c>
      <c r="AG52">
        <v>-6.0083999999999999E-2</v>
      </c>
      <c r="AH52">
        <v>0.719888258391709</v>
      </c>
      <c r="AI52">
        <v>94.770925150708507</v>
      </c>
      <c r="AJ52">
        <v>89.643529064370497</v>
      </c>
      <c r="AK52">
        <v>0.72240518564537703</v>
      </c>
      <c r="AL52">
        <v>78.286647023626401</v>
      </c>
      <c r="AM52">
        <v>87.073468579056595</v>
      </c>
      <c r="AN52">
        <v>0.99999999480167001</v>
      </c>
    </row>
    <row r="53" spans="1:40" x14ac:dyDescent="0.25">
      <c r="A53" t="str">
        <f>"20190312172857410"</f>
        <v>20190312172857410</v>
      </c>
      <c r="B53" t="str">
        <f>"1552382937407413"</f>
        <v>1552382937407413</v>
      </c>
      <c r="C53" t="s">
        <v>40</v>
      </c>
      <c r="D53">
        <v>3.7867419999999998</v>
      </c>
      <c r="E53">
        <v>0.48756319999999997</v>
      </c>
      <c r="F53" t="s">
        <v>42</v>
      </c>
      <c r="G53">
        <v>-473.67070000000001</v>
      </c>
      <c r="H53">
        <v>1.049329</v>
      </c>
      <c r="I53">
        <v>367.26490000000001</v>
      </c>
      <c r="J53">
        <v>-474.39049999999997</v>
      </c>
      <c r="K53">
        <v>1.108957</v>
      </c>
      <c r="L53">
        <v>367.25580000000002</v>
      </c>
      <c r="M53">
        <v>0.99982510000000002</v>
      </c>
      <c r="N53">
        <v>0</v>
      </c>
      <c r="O53">
        <v>1.8508610000000002E-2</v>
      </c>
      <c r="P53">
        <v>0.97931330000000005</v>
      </c>
      <c r="Q53">
        <v>0.19986950000000001</v>
      </c>
      <c r="R53">
        <v>-3.1588239999999997E-2</v>
      </c>
      <c r="S53">
        <v>3.1125790000000002</v>
      </c>
      <c r="T53">
        <v>-0.23430239999999999</v>
      </c>
      <c r="U53">
        <v>4.4647220000000001E-2</v>
      </c>
      <c r="V53">
        <v>4.9600650000000003E-2</v>
      </c>
      <c r="W53">
        <v>0.20252249999999999</v>
      </c>
      <c r="X53">
        <v>0.97802069999999997</v>
      </c>
      <c r="Y53">
        <v>4.1026379999999996E-3</v>
      </c>
      <c r="Z53">
        <v>-1.5453029999999901E-3</v>
      </c>
      <c r="AA53">
        <v>0.99999039999999995</v>
      </c>
      <c r="AB53">
        <v>8</v>
      </c>
      <c r="AC53">
        <v>0.71979999999996302</v>
      </c>
      <c r="AD53">
        <v>-5.9627999999999702E-2</v>
      </c>
      <c r="AE53">
        <v>9.0999999999894499E-3</v>
      </c>
      <c r="AF53">
        <v>4.1953188698172E-3</v>
      </c>
      <c r="AG53">
        <v>-5.9627999999999702E-2</v>
      </c>
      <c r="AH53">
        <v>0.71493970016921704</v>
      </c>
      <c r="AI53">
        <v>94.767514824358102</v>
      </c>
      <c r="AJ53">
        <v>89.663788000700507</v>
      </c>
      <c r="AK53">
        <v>0.71743422971201298</v>
      </c>
      <c r="AL53">
        <v>78.315493592454601</v>
      </c>
      <c r="AM53">
        <v>87.096712621889097</v>
      </c>
      <c r="AN53">
        <v>1.00000003855758</v>
      </c>
    </row>
    <row r="54" spans="1:40" x14ac:dyDescent="0.25">
      <c r="A54" t="str">
        <f>"20190312172857432"</f>
        <v>20190312172857432</v>
      </c>
      <c r="B54" t="str">
        <f>"1552382937427909"</f>
        <v>1552382937427909</v>
      </c>
      <c r="C54" t="s">
        <v>40</v>
      </c>
      <c r="D54">
        <v>3.634134</v>
      </c>
      <c r="E54">
        <v>0.4876838</v>
      </c>
      <c r="F54" t="s">
        <v>42</v>
      </c>
      <c r="G54">
        <v>-473.59809999999999</v>
      </c>
      <c r="H54">
        <v>1.049825</v>
      </c>
      <c r="I54">
        <v>367.26729999999998</v>
      </c>
      <c r="J54">
        <v>-474.30889999999999</v>
      </c>
      <c r="K54">
        <v>1.108895</v>
      </c>
      <c r="L54">
        <v>367.25819999999999</v>
      </c>
      <c r="M54">
        <v>0.99981319999999996</v>
      </c>
      <c r="N54">
        <v>0</v>
      </c>
      <c r="O54">
        <v>1.921923E-2</v>
      </c>
      <c r="P54">
        <v>0.97937839999999998</v>
      </c>
      <c r="Q54">
        <v>0.19965920000000001</v>
      </c>
      <c r="R54">
        <v>-3.0895140000000001E-2</v>
      </c>
      <c r="S54">
        <v>3.1123660000000002</v>
      </c>
      <c r="T54">
        <v>-0.2327659</v>
      </c>
      <c r="U54">
        <v>4.6905519999999999E-2</v>
      </c>
      <c r="V54">
        <v>4.9602880000000002E-2</v>
      </c>
      <c r="W54">
        <v>0.2016954</v>
      </c>
      <c r="X54">
        <v>0.97819140000000004</v>
      </c>
      <c r="Y54">
        <v>4.0858220000000002E-3</v>
      </c>
      <c r="Z54">
        <v>-1.587719E-3</v>
      </c>
      <c r="AA54">
        <v>0.99999039999999995</v>
      </c>
      <c r="AB54">
        <v>8</v>
      </c>
      <c r="AC54">
        <v>0.71080000000000598</v>
      </c>
      <c r="AD54">
        <v>-5.90699999999999E-2</v>
      </c>
      <c r="AE54">
        <v>9.0999999999894499E-3</v>
      </c>
      <c r="AF54">
        <v>4.5314481592143201E-3</v>
      </c>
      <c r="AG54">
        <v>-5.90699999999999E-2</v>
      </c>
      <c r="AH54">
        <v>0.70596884296053097</v>
      </c>
      <c r="AI54">
        <v>94.782827531077501</v>
      </c>
      <c r="AJ54">
        <v>89.632236901655602</v>
      </c>
      <c r="AK54">
        <v>0.70845028488486805</v>
      </c>
      <c r="AL54">
        <v>78.363880437039597</v>
      </c>
      <c r="AM54">
        <v>87.097088112387596</v>
      </c>
      <c r="AN54">
        <v>0.999999947559705</v>
      </c>
    </row>
    <row r="55" spans="1:40" x14ac:dyDescent="0.25">
      <c r="A55" t="str">
        <f>"20190312172857454"</f>
        <v>20190312172857454</v>
      </c>
      <c r="B55" t="str">
        <f>"1552382937447430"</f>
        <v>1552382937447430</v>
      </c>
      <c r="C55" t="s">
        <v>40</v>
      </c>
      <c r="D55">
        <v>3.6889859999999999</v>
      </c>
      <c r="E55">
        <v>0.48757990000000001</v>
      </c>
      <c r="F55" t="s">
        <v>41</v>
      </c>
      <c r="G55">
        <v>-459.46699999999998</v>
      </c>
      <c r="H55" s="1">
        <v>-7.329298E-7</v>
      </c>
      <c r="I55">
        <v>367.49099999999999</v>
      </c>
      <c r="J55">
        <v>-474.22789999999998</v>
      </c>
      <c r="K55">
        <v>1.1089020000000001</v>
      </c>
      <c r="L55">
        <v>367.26060000000001</v>
      </c>
      <c r="M55">
        <v>0.99980139999999995</v>
      </c>
      <c r="N55">
        <v>0</v>
      </c>
      <c r="O55">
        <v>1.985425E-2</v>
      </c>
      <c r="P55">
        <v>0.97948080000000004</v>
      </c>
      <c r="Q55">
        <v>0.19924610000000001</v>
      </c>
      <c r="R55">
        <v>-3.0306719999999999E-2</v>
      </c>
      <c r="S55">
        <v>3.1121219999999998</v>
      </c>
      <c r="T55">
        <v>-0.23251749999999999</v>
      </c>
      <c r="U55">
        <v>4.8828129999999997E-2</v>
      </c>
      <c r="V55">
        <v>4.9644149999999998E-2</v>
      </c>
      <c r="W55">
        <v>0.20100979999999999</v>
      </c>
      <c r="X55">
        <v>0.97833049999999999</v>
      </c>
      <c r="Y55">
        <v>4.1004659999999997E-3</v>
      </c>
      <c r="Z55">
        <v>-1.6340549999999999E-3</v>
      </c>
      <c r="AA55">
        <v>0.9999903</v>
      </c>
      <c r="AB55">
        <v>8</v>
      </c>
      <c r="AC55">
        <v>14.7608999999999</v>
      </c>
      <c r="AD55">
        <v>-1.1089027329298</v>
      </c>
      <c r="AE55">
        <v>0.23039999999997399</v>
      </c>
      <c r="AF55">
        <v>6.2360592797276203E-2</v>
      </c>
      <c r="AG55">
        <v>-1.1089027329298</v>
      </c>
      <c r="AH55">
        <v>14.679737479912999</v>
      </c>
      <c r="AI55">
        <v>94.319861921604499</v>
      </c>
      <c r="AJ55">
        <v>89.756604824342702</v>
      </c>
      <c r="AK55">
        <v>14.721693061390599</v>
      </c>
      <c r="AL55">
        <v>78.403984692253104</v>
      </c>
      <c r="AM55">
        <v>87.095089376475102</v>
      </c>
      <c r="AN55">
        <v>1.00000002427775</v>
      </c>
    </row>
    <row r="56" spans="1:40" x14ac:dyDescent="0.25">
      <c r="A56" t="str">
        <f>"20190312172857477"</f>
        <v>20190312172857477</v>
      </c>
      <c r="B56" t="str">
        <f>"1552382937467925"</f>
        <v>1552382937467925</v>
      </c>
      <c r="C56" t="s">
        <v>40</v>
      </c>
      <c r="D56">
        <v>3.6945100000000002</v>
      </c>
      <c r="E56">
        <v>0.4875621</v>
      </c>
      <c r="F56" t="s">
        <v>41</v>
      </c>
      <c r="G56">
        <v>-459.49650000000003</v>
      </c>
      <c r="H56" s="1">
        <v>-7.1865369999999997E-7</v>
      </c>
      <c r="I56">
        <v>367.50689999999997</v>
      </c>
      <c r="J56">
        <v>-474.1413</v>
      </c>
      <c r="K56">
        <v>1.108976</v>
      </c>
      <c r="L56">
        <v>367.26330000000002</v>
      </c>
      <c r="M56">
        <v>0.99978840000000002</v>
      </c>
      <c r="N56">
        <v>0</v>
      </c>
      <c r="O56">
        <v>2.0490999999999999E-2</v>
      </c>
      <c r="P56">
        <v>0.97973410000000005</v>
      </c>
      <c r="Q56">
        <v>0.198104</v>
      </c>
      <c r="R56">
        <v>-2.9596299999999999E-2</v>
      </c>
      <c r="S56">
        <v>3.112152</v>
      </c>
      <c r="T56">
        <v>-0.23426530000000001</v>
      </c>
      <c r="U56">
        <v>5.2062990000000003E-2</v>
      </c>
      <c r="V56">
        <v>4.9574859999999998E-2</v>
      </c>
      <c r="W56">
        <v>0.19989979999999999</v>
      </c>
      <c r="X56">
        <v>0.97856140000000003</v>
      </c>
      <c r="Y56">
        <v>3.6966910000000002E-3</v>
      </c>
      <c r="Z56">
        <v>-1.6789439999999999E-3</v>
      </c>
      <c r="AA56">
        <v>0.99999179999999999</v>
      </c>
      <c r="AB56">
        <v>8</v>
      </c>
      <c r="AC56">
        <v>14.644799999999901</v>
      </c>
      <c r="AD56">
        <v>-1.1089767186536901</v>
      </c>
      <c r="AE56">
        <v>0.24359999999995799</v>
      </c>
      <c r="AF56">
        <v>5.6215966878511499E-2</v>
      </c>
      <c r="AG56">
        <v>-1.1089767186536901</v>
      </c>
      <c r="AH56">
        <v>14.5632303828645</v>
      </c>
      <c r="AI56">
        <v>94.3545850241414</v>
      </c>
      <c r="AJ56">
        <v>89.778831923901606</v>
      </c>
      <c r="AK56">
        <v>14.6055013190865</v>
      </c>
      <c r="AL56">
        <v>78.468900388015399</v>
      </c>
      <c r="AM56">
        <v>87.099820242309306</v>
      </c>
      <c r="AN56">
        <v>1.0000000051769999</v>
      </c>
    </row>
    <row r="57" spans="1:40" x14ac:dyDescent="0.25">
      <c r="A57" t="str">
        <f>"20190312172857500"</f>
        <v>20190312172857500</v>
      </c>
      <c r="B57" t="str">
        <f>"1552382937487445"</f>
        <v>1552382937487445</v>
      </c>
      <c r="C57" t="s">
        <v>40</v>
      </c>
      <c r="D57">
        <v>3.7044450000000002</v>
      </c>
      <c r="E57">
        <v>0.48756169999999999</v>
      </c>
      <c r="F57" t="s">
        <v>41</v>
      </c>
      <c r="G57">
        <v>-459.58479999999997</v>
      </c>
      <c r="H57" s="1">
        <v>-6.8556439999999998E-7</v>
      </c>
      <c r="I57">
        <v>367.51830000000001</v>
      </c>
      <c r="J57">
        <v>-474.05799999999999</v>
      </c>
      <c r="K57">
        <v>1.109056</v>
      </c>
      <c r="L57">
        <v>367.26580000000001</v>
      </c>
      <c r="M57">
        <v>0.99977519999999998</v>
      </c>
      <c r="N57">
        <v>0</v>
      </c>
      <c r="O57">
        <v>2.1111910000000001E-2</v>
      </c>
      <c r="P57">
        <v>0.98001689999999997</v>
      </c>
      <c r="Q57">
        <v>0.19679930000000001</v>
      </c>
      <c r="R57">
        <v>-2.893768E-2</v>
      </c>
      <c r="S57">
        <v>3.1116329999999999</v>
      </c>
      <c r="T57">
        <v>-0.23705709999999999</v>
      </c>
      <c r="U57">
        <v>5.4534909999999999E-2</v>
      </c>
      <c r="V57">
        <v>4.9542660000000002E-2</v>
      </c>
      <c r="W57">
        <v>0.19876289999999999</v>
      </c>
      <c r="X57">
        <v>0.97879459999999996</v>
      </c>
      <c r="Y57">
        <v>3.5178290000000001E-3</v>
      </c>
      <c r="Z57">
        <v>-1.739579E-3</v>
      </c>
      <c r="AA57">
        <v>0.99999229999999995</v>
      </c>
      <c r="AB57">
        <v>8</v>
      </c>
      <c r="AC57">
        <v>14.4732</v>
      </c>
      <c r="AD57">
        <v>-1.1090566855644</v>
      </c>
      <c r="AE57">
        <v>0.252499999999997</v>
      </c>
      <c r="AF57">
        <v>5.2803795644470297E-2</v>
      </c>
      <c r="AG57">
        <v>-1.1090566855644</v>
      </c>
      <c r="AH57">
        <v>14.390829208493299</v>
      </c>
      <c r="AI57">
        <v>94.406868054217696</v>
      </c>
      <c r="AJ57">
        <v>89.789767426788998</v>
      </c>
      <c r="AK57">
        <v>14.4335983136796</v>
      </c>
      <c r="AL57">
        <v>78.535374085734404</v>
      </c>
      <c r="AM57">
        <v>87.102390111578302</v>
      </c>
      <c r="AN57">
        <v>1.0000000172827199</v>
      </c>
    </row>
    <row r="58" spans="1:40" x14ac:dyDescent="0.25">
      <c r="A58" t="str">
        <f>"20190312172857523"</f>
        <v>20190312172857523</v>
      </c>
      <c r="B58" t="str">
        <f>"1552382937517701"</f>
        <v>1552382937517701</v>
      </c>
      <c r="C58" t="s">
        <v>40</v>
      </c>
      <c r="D58">
        <v>3.599828</v>
      </c>
      <c r="E58">
        <v>0.48755680000000001</v>
      </c>
      <c r="F58" t="s">
        <v>41</v>
      </c>
      <c r="G58">
        <v>-459.77690000000001</v>
      </c>
      <c r="H58" s="1">
        <v>-6.1831400000000004E-7</v>
      </c>
      <c r="I58">
        <v>367.52550000000002</v>
      </c>
      <c r="J58">
        <v>-473.96679999999998</v>
      </c>
      <c r="K58">
        <v>1.1091260000000001</v>
      </c>
      <c r="L58">
        <v>367.26859999999999</v>
      </c>
      <c r="M58">
        <v>0.99975939999999996</v>
      </c>
      <c r="N58">
        <v>0</v>
      </c>
      <c r="O58">
        <v>2.1830840000000001E-2</v>
      </c>
      <c r="P58">
        <v>0.98019160000000005</v>
      </c>
      <c r="Q58">
        <v>0.19599530000000001</v>
      </c>
      <c r="R58">
        <v>-2.8468630000000002E-2</v>
      </c>
      <c r="S58">
        <v>3.1113279999999999</v>
      </c>
      <c r="T58">
        <v>-0.24162049999999999</v>
      </c>
      <c r="U58">
        <v>5.6579589999999999E-2</v>
      </c>
      <c r="V58">
        <v>4.9790889999999997E-2</v>
      </c>
      <c r="W58">
        <v>0.1981385</v>
      </c>
      <c r="X58">
        <v>0.97890860000000002</v>
      </c>
      <c r="Y58">
        <v>3.5731410000000002E-3</v>
      </c>
      <c r="Z58">
        <v>-1.8309999999999999E-3</v>
      </c>
      <c r="AA58">
        <v>0.99999199999999999</v>
      </c>
      <c r="AB58">
        <v>8</v>
      </c>
      <c r="AC58">
        <v>14.1898999999999</v>
      </c>
      <c r="AD58">
        <v>-1.1091266183140001</v>
      </c>
      <c r="AE58">
        <v>0.25690000000002999</v>
      </c>
      <c r="AF58">
        <v>5.2618004442703398E-2</v>
      </c>
      <c r="AG58">
        <v>-1.1091266183140001</v>
      </c>
      <c r="AH58">
        <v>14.1059747846608</v>
      </c>
      <c r="AI58">
        <v>94.495779939597597</v>
      </c>
      <c r="AJ58">
        <v>89.786276691673294</v>
      </c>
      <c r="AK58">
        <v>14.1496097167141</v>
      </c>
      <c r="AL58">
        <v>78.571875613675999</v>
      </c>
      <c r="AM58">
        <v>87.088235318671295</v>
      </c>
      <c r="AN58">
        <v>1.0000000225315999</v>
      </c>
    </row>
    <row r="59" spans="1:40" x14ac:dyDescent="0.25">
      <c r="A59" t="str">
        <f>"20190312172857546"</f>
        <v>20190312172857546</v>
      </c>
      <c r="B59" t="str">
        <f>"1552382937537222"</f>
        <v>1552382937537222</v>
      </c>
      <c r="C59" t="s">
        <v>40</v>
      </c>
      <c r="D59">
        <v>3.5969340000000001</v>
      </c>
      <c r="E59">
        <v>0.48764400000000002</v>
      </c>
      <c r="F59" t="s">
        <v>41</v>
      </c>
      <c r="G59">
        <v>-459.74419999999998</v>
      </c>
      <c r="H59" s="1">
        <v>-6.2754399999999997E-7</v>
      </c>
      <c r="I59">
        <v>367.53250000000003</v>
      </c>
      <c r="J59">
        <v>-473.87569999999999</v>
      </c>
      <c r="K59">
        <v>1.10917</v>
      </c>
      <c r="L59">
        <v>367.2715</v>
      </c>
      <c r="M59">
        <v>0.99974229999999997</v>
      </c>
      <c r="N59">
        <v>0</v>
      </c>
      <c r="O59">
        <v>2.2585350000000001E-2</v>
      </c>
      <c r="P59">
        <v>0.98033550000000003</v>
      </c>
      <c r="Q59">
        <v>0.19531419999999999</v>
      </c>
      <c r="R59">
        <v>-2.8192160000000001E-2</v>
      </c>
      <c r="S59">
        <v>3.1108090000000002</v>
      </c>
      <c r="T59">
        <v>-0.2425908</v>
      </c>
      <c r="U59">
        <v>5.7739260000000001E-2</v>
      </c>
      <c r="V59">
        <v>5.0258650000000002E-2</v>
      </c>
      <c r="W59">
        <v>0.19758980000000001</v>
      </c>
      <c r="X59">
        <v>0.97899559999999997</v>
      </c>
      <c r="Y59">
        <v>3.9480899999999996E-3</v>
      </c>
      <c r="Z59">
        <v>-1.9119530000000001E-3</v>
      </c>
      <c r="AA59">
        <v>0.99999039999999995</v>
      </c>
      <c r="AB59">
        <v>9</v>
      </c>
      <c r="AC59">
        <v>14.131500000000001</v>
      </c>
      <c r="AD59">
        <v>-1.1091706275440001</v>
      </c>
      <c r="AE59">
        <v>0.26100000000002399</v>
      </c>
      <c r="AF59">
        <v>5.7875859539803801E-2</v>
      </c>
      <c r="AG59">
        <v>-1.1091706275440001</v>
      </c>
      <c r="AH59">
        <v>14.0472804830514</v>
      </c>
      <c r="AI59">
        <v>94.514658852099899</v>
      </c>
      <c r="AJ59">
        <v>89.763938384499795</v>
      </c>
      <c r="AK59">
        <v>14.0911212494123</v>
      </c>
      <c r="AL59">
        <v>78.603947898344103</v>
      </c>
      <c r="AM59">
        <v>87.061189240981506</v>
      </c>
      <c r="AN59">
        <v>1.0000000228916099</v>
      </c>
    </row>
    <row r="60" spans="1:40" x14ac:dyDescent="0.25">
      <c r="A60" t="str">
        <f>"20190312172857566"</f>
        <v>20190312172857566</v>
      </c>
      <c r="B60" t="str">
        <f>"1552382937557718"</f>
        <v>1552382937557718</v>
      </c>
      <c r="C60" t="s">
        <v>40</v>
      </c>
      <c r="D60">
        <v>3.5950160000000002</v>
      </c>
      <c r="E60">
        <v>0.48778890000000003</v>
      </c>
      <c r="F60" t="s">
        <v>42</v>
      </c>
      <c r="G60">
        <v>-473.07479999999998</v>
      </c>
      <c r="H60">
        <v>1.0462419999999999</v>
      </c>
      <c r="I60">
        <v>367.28620000000001</v>
      </c>
      <c r="J60">
        <v>-473.79180000000002</v>
      </c>
      <c r="K60">
        <v>1.1092010000000001</v>
      </c>
      <c r="L60">
        <v>367.27409999999998</v>
      </c>
      <c r="M60">
        <v>0.99972589999999995</v>
      </c>
      <c r="N60">
        <v>0</v>
      </c>
      <c r="O60">
        <v>2.3292469999999999E-2</v>
      </c>
      <c r="P60">
        <v>0.98045780000000005</v>
      </c>
      <c r="Q60">
        <v>0.1947381</v>
      </c>
      <c r="R60">
        <v>-2.792302E-2</v>
      </c>
      <c r="S60">
        <v>3.1106259999999999</v>
      </c>
      <c r="T60">
        <v>-0.2446603</v>
      </c>
      <c r="U60">
        <v>5.7739260000000001E-2</v>
      </c>
      <c r="V60">
        <v>5.0681780000000003E-2</v>
      </c>
      <c r="W60">
        <v>0.19711719999999999</v>
      </c>
      <c r="X60">
        <v>0.97906910000000003</v>
      </c>
      <c r="Y60">
        <v>4.6485700000000003E-3</v>
      </c>
      <c r="Z60">
        <v>-2.0113399999999999E-3</v>
      </c>
      <c r="AA60">
        <v>0.99998719999999996</v>
      </c>
      <c r="AB60">
        <v>9</v>
      </c>
      <c r="AC60">
        <v>0.71700000000004105</v>
      </c>
      <c r="AD60">
        <v>-6.2958999999999904E-2</v>
      </c>
      <c r="AE60">
        <v>1.2100000000032101E-2</v>
      </c>
      <c r="AF60">
        <v>4.5688130774964803E-3</v>
      </c>
      <c r="AG60">
        <v>-6.2958999999999904E-2</v>
      </c>
      <c r="AH60">
        <v>0.71160213165053499</v>
      </c>
      <c r="AI60">
        <v>95.055975261436799</v>
      </c>
      <c r="AJ60">
        <v>89.632139789639993</v>
      </c>
      <c r="AK60">
        <v>0.71439646100993703</v>
      </c>
      <c r="AL60">
        <v>78.631569646198599</v>
      </c>
      <c r="AM60">
        <v>87.036713249758904</v>
      </c>
      <c r="AN60">
        <v>1.0000000679673</v>
      </c>
    </row>
    <row r="61" spans="1:40" x14ac:dyDescent="0.25">
      <c r="A61" t="str">
        <f>"20190312172857588"</f>
        <v>20190312172857588</v>
      </c>
      <c r="B61" t="str">
        <f>"1552382937577237"</f>
        <v>1552382937577237</v>
      </c>
      <c r="C61" t="s">
        <v>40</v>
      </c>
      <c r="D61">
        <v>3.5907420000000001</v>
      </c>
      <c r="E61">
        <v>0.48798589999999997</v>
      </c>
      <c r="F61" t="s">
        <v>42</v>
      </c>
      <c r="G61">
        <v>-472.99360000000001</v>
      </c>
      <c r="H61">
        <v>1.0461480000000001</v>
      </c>
      <c r="I61">
        <v>367.28809999999999</v>
      </c>
      <c r="J61">
        <v>-473.69959999999998</v>
      </c>
      <c r="K61">
        <v>1.109232</v>
      </c>
      <c r="L61">
        <v>367.27710000000002</v>
      </c>
      <c r="M61">
        <v>0.99970720000000002</v>
      </c>
      <c r="N61">
        <v>0</v>
      </c>
      <c r="O61">
        <v>2.4069170000000001E-2</v>
      </c>
      <c r="P61">
        <v>0.98051049999999995</v>
      </c>
      <c r="Q61">
        <v>0.19448509999999999</v>
      </c>
      <c r="R61">
        <v>-2.7840690000000001E-2</v>
      </c>
      <c r="S61">
        <v>3.1103519999999998</v>
      </c>
      <c r="T61">
        <v>-0.24645320000000001</v>
      </c>
      <c r="U61">
        <v>5.6671140000000002E-2</v>
      </c>
      <c r="V61">
        <v>5.1354240000000002E-2</v>
      </c>
      <c r="W61">
        <v>0.196961</v>
      </c>
      <c r="X61">
        <v>0.97906539999999997</v>
      </c>
      <c r="Y61">
        <v>5.7599410000000002E-3</v>
      </c>
      <c r="Z61">
        <v>-2.1316009999999999E-3</v>
      </c>
      <c r="AA61">
        <v>0.99998120000000001</v>
      </c>
      <c r="AB61">
        <v>9</v>
      </c>
      <c r="AC61">
        <v>0.70599999999995999</v>
      </c>
      <c r="AD61">
        <v>-6.3084000000000098E-2</v>
      </c>
      <c r="AE61">
        <v>1.0999999999967199E-2</v>
      </c>
      <c r="AF61">
        <v>5.9485904255784702E-3</v>
      </c>
      <c r="AG61">
        <v>-6.3084000000000098E-2</v>
      </c>
      <c r="AH61">
        <v>0.70046893280988498</v>
      </c>
      <c r="AI61">
        <v>95.145971271323006</v>
      </c>
      <c r="AJ61">
        <v>89.513438903002495</v>
      </c>
      <c r="AK61">
        <v>0.70332901448459395</v>
      </c>
      <c r="AL61">
        <v>78.640697141439801</v>
      </c>
      <c r="AM61">
        <v>86.997455681458206</v>
      </c>
      <c r="AN61">
        <v>0.99999997548206798</v>
      </c>
    </row>
    <row r="62" spans="1:40" x14ac:dyDescent="0.25">
      <c r="A62" t="str">
        <f>"20190312172857611"</f>
        <v>20190312172857611</v>
      </c>
      <c r="B62" t="str">
        <f>"1552382937607494"</f>
        <v>1552382937607494</v>
      </c>
      <c r="C62" t="s">
        <v>40</v>
      </c>
      <c r="D62">
        <v>3.6995770000000001</v>
      </c>
      <c r="E62">
        <v>0.48814030000000003</v>
      </c>
      <c r="F62" t="s">
        <v>42</v>
      </c>
      <c r="G62">
        <v>-472.91050000000001</v>
      </c>
      <c r="H62">
        <v>1.0467900000000001</v>
      </c>
      <c r="I62">
        <v>367.29079999999999</v>
      </c>
      <c r="J62">
        <v>-473.60739999999998</v>
      </c>
      <c r="K62">
        <v>1.109248</v>
      </c>
      <c r="L62">
        <v>367.28019999999998</v>
      </c>
      <c r="M62">
        <v>0.99968829999999997</v>
      </c>
      <c r="N62">
        <v>0</v>
      </c>
      <c r="O62">
        <v>2.4836779999999999E-2</v>
      </c>
      <c r="P62">
        <v>0.98057369999999999</v>
      </c>
      <c r="Q62">
        <v>0.19418189999999999</v>
      </c>
      <c r="R62">
        <v>-2.7730500000000002E-2</v>
      </c>
      <c r="S62">
        <v>3.110077</v>
      </c>
      <c r="T62">
        <v>-0.24651029999999999</v>
      </c>
      <c r="U62">
        <v>5.5236819999999999E-2</v>
      </c>
      <c r="V62">
        <v>5.1990750000000002E-2</v>
      </c>
      <c r="W62">
        <v>0.19672870000000001</v>
      </c>
      <c r="X62">
        <v>0.97907849999999996</v>
      </c>
      <c r="Y62">
        <v>6.980895E-3</v>
      </c>
      <c r="Z62">
        <v>-2.2413229999999999E-3</v>
      </c>
      <c r="AA62">
        <v>0.99997309999999995</v>
      </c>
      <c r="AB62">
        <v>9</v>
      </c>
      <c r="AC62">
        <v>0.69689999999997099</v>
      </c>
      <c r="AD62">
        <v>-6.2458000000000097E-2</v>
      </c>
      <c r="AE62">
        <v>1.06000000000108E-2</v>
      </c>
      <c r="AF62">
        <v>6.6586066292209003E-3</v>
      </c>
      <c r="AG62">
        <v>-6.2458000000000097E-2</v>
      </c>
      <c r="AH62">
        <v>0.69139613281664702</v>
      </c>
      <c r="AI62">
        <v>95.161625813137107</v>
      </c>
      <c r="AJ62">
        <v>89.448220426971702</v>
      </c>
      <c r="AK62">
        <v>0.69424343805329403</v>
      </c>
      <c r="AL62">
        <v>78.654272430922603</v>
      </c>
      <c r="AM62">
        <v>86.960350612423298</v>
      </c>
      <c r="AN62">
        <v>0.99999996432575</v>
      </c>
    </row>
    <row r="63" spans="1:40" x14ac:dyDescent="0.25">
      <c r="A63" t="str">
        <f>"20190312172857633"</f>
        <v>20190312172857633</v>
      </c>
      <c r="B63" t="str">
        <f>"1552382937627990"</f>
        <v>1552382937627990</v>
      </c>
      <c r="C63" t="s">
        <v>40</v>
      </c>
      <c r="D63">
        <v>3.642344</v>
      </c>
      <c r="E63">
        <v>0.48818610000000001</v>
      </c>
      <c r="F63" t="s">
        <v>42</v>
      </c>
      <c r="G63">
        <v>-472.82589999999999</v>
      </c>
      <c r="H63">
        <v>1.047439</v>
      </c>
      <c r="I63">
        <v>367.29320000000001</v>
      </c>
      <c r="J63">
        <v>-473.51519999999999</v>
      </c>
      <c r="K63">
        <v>1.1092519999999999</v>
      </c>
      <c r="L63">
        <v>367.2833</v>
      </c>
      <c r="M63">
        <v>0.99966929999999998</v>
      </c>
      <c r="N63">
        <v>0</v>
      </c>
      <c r="O63">
        <v>2.5586770000000002E-2</v>
      </c>
      <c r="P63">
        <v>0.98060259999999999</v>
      </c>
      <c r="Q63">
        <v>0.1940993</v>
      </c>
      <c r="R63">
        <v>-2.728005E-2</v>
      </c>
      <c r="S63">
        <v>3.1098629999999998</v>
      </c>
      <c r="T63">
        <v>-0.24670890000000001</v>
      </c>
      <c r="U63">
        <v>5.4077149999999997E-2</v>
      </c>
      <c r="V63">
        <v>5.2271329999999998E-2</v>
      </c>
      <c r="W63">
        <v>0.196688</v>
      </c>
      <c r="X63">
        <v>0.97907180000000005</v>
      </c>
      <c r="Y63">
        <v>8.0966230000000007E-3</v>
      </c>
      <c r="Z63">
        <v>-2.346847E-3</v>
      </c>
      <c r="AA63">
        <v>0.99996450000000003</v>
      </c>
      <c r="AB63">
        <v>9</v>
      </c>
      <c r="AC63">
        <v>0.68930000000000202</v>
      </c>
      <c r="AD63">
        <v>-6.1813000000000097E-2</v>
      </c>
      <c r="AE63">
        <v>9.9000000000160002E-3</v>
      </c>
      <c r="AF63">
        <v>7.6785250833612904E-3</v>
      </c>
      <c r="AG63">
        <v>-6.1813000000000097E-2</v>
      </c>
      <c r="AH63">
        <v>0.68382967653317805</v>
      </c>
      <c r="AI63">
        <v>95.164741697418094</v>
      </c>
      <c r="AJ63">
        <v>89.356669348271396</v>
      </c>
      <c r="AK63">
        <v>0.686660639052455</v>
      </c>
      <c r="AL63">
        <v>78.656651540658103</v>
      </c>
      <c r="AM63">
        <v>86.943956585654405</v>
      </c>
      <c r="AN63">
        <v>1.0000000254196</v>
      </c>
    </row>
    <row r="64" spans="1:40" x14ac:dyDescent="0.25">
      <c r="A64" t="str">
        <f>"20190312172857656"</f>
        <v>20190312172857656</v>
      </c>
      <c r="B64" t="str">
        <f>"1552382937647510"</f>
        <v>1552382937647510</v>
      </c>
      <c r="C64" t="s">
        <v>40</v>
      </c>
      <c r="D64">
        <v>3.6451859999999998</v>
      </c>
      <c r="E64">
        <v>0.48828450000000001</v>
      </c>
      <c r="F64" t="s">
        <v>42</v>
      </c>
      <c r="G64">
        <v>-472.74020000000002</v>
      </c>
      <c r="H64">
        <v>1.0477459999999901</v>
      </c>
      <c r="I64">
        <v>367.29689999999999</v>
      </c>
      <c r="J64">
        <v>-473.41550000000001</v>
      </c>
      <c r="K64">
        <v>1.1092390000000001</v>
      </c>
      <c r="L64">
        <v>367.2867</v>
      </c>
      <c r="M64">
        <v>0.99964889999999995</v>
      </c>
      <c r="N64">
        <v>0</v>
      </c>
      <c r="O64">
        <v>2.6367270000000002E-2</v>
      </c>
      <c r="P64">
        <v>0.98068710000000003</v>
      </c>
      <c r="Q64">
        <v>0.19379679999999999</v>
      </c>
      <c r="R64">
        <v>-2.6382249999999999E-2</v>
      </c>
      <c r="S64">
        <v>3.109772</v>
      </c>
      <c r="T64">
        <v>-0.24708959999999999</v>
      </c>
      <c r="U64">
        <v>5.4931639999999997E-2</v>
      </c>
      <c r="V64">
        <v>5.2140529999999997E-2</v>
      </c>
      <c r="W64">
        <v>0.19640659999999999</v>
      </c>
      <c r="X64">
        <v>0.97913530000000004</v>
      </c>
      <c r="Y64">
        <v>8.5977980000000002E-3</v>
      </c>
      <c r="Z64">
        <v>-2.4322879999999999E-3</v>
      </c>
      <c r="AA64">
        <v>0.99996010000000002</v>
      </c>
      <c r="AB64">
        <v>9</v>
      </c>
      <c r="AC64">
        <v>0.67529999999999202</v>
      </c>
      <c r="AD64">
        <v>-6.1492999999999999E-2</v>
      </c>
      <c r="AE64">
        <v>1.0199999999997499E-2</v>
      </c>
      <c r="AF64">
        <v>7.5468606013415502E-3</v>
      </c>
      <c r="AG64">
        <v>-6.1492999999999999E-2</v>
      </c>
      <c r="AH64">
        <v>0.66978161517089196</v>
      </c>
      <c r="AI64">
        <v>95.245318502117897</v>
      </c>
      <c r="AJ64">
        <v>89.354438889700504</v>
      </c>
      <c r="AK64">
        <v>0.67264088202759797</v>
      </c>
      <c r="AL64">
        <v>78.673095733989001</v>
      </c>
      <c r="AM64">
        <v>86.951786692624907</v>
      </c>
      <c r="AN64">
        <v>1.00000006154916</v>
      </c>
    </row>
    <row r="65" spans="1:40" x14ac:dyDescent="0.25">
      <c r="A65" t="str">
        <f>"20190312172857678"</f>
        <v>20190312172857678</v>
      </c>
      <c r="B65" t="str">
        <f>"1552382937667033"</f>
        <v>1552382937667033</v>
      </c>
      <c r="C65" t="s">
        <v>40</v>
      </c>
      <c r="D65">
        <v>3.5940199999999898</v>
      </c>
      <c r="E65">
        <v>0.48834179999999999</v>
      </c>
      <c r="F65" t="s">
        <v>42</v>
      </c>
      <c r="G65">
        <v>-472.65269999999998</v>
      </c>
      <c r="H65">
        <v>1.0485949999999999</v>
      </c>
      <c r="I65">
        <v>367.3</v>
      </c>
      <c r="J65">
        <v>-473.31779999999998</v>
      </c>
      <c r="K65">
        <v>1.1092150000000001</v>
      </c>
      <c r="L65">
        <v>367.29020000000003</v>
      </c>
      <c r="M65">
        <v>0.9996294</v>
      </c>
      <c r="N65">
        <v>0</v>
      </c>
      <c r="O65">
        <v>2.7093510000000001E-2</v>
      </c>
      <c r="P65">
        <v>0.98085409999999995</v>
      </c>
      <c r="Q65">
        <v>0.19300229999999999</v>
      </c>
      <c r="R65">
        <v>-2.5990820000000001E-2</v>
      </c>
      <c r="S65">
        <v>3.1096189999999999</v>
      </c>
      <c r="T65">
        <v>-0.24786910000000001</v>
      </c>
      <c r="U65">
        <v>5.6091309999999998E-2</v>
      </c>
      <c r="V65">
        <v>5.2470450000000002E-2</v>
      </c>
      <c r="W65">
        <v>0.19562009999999999</v>
      </c>
      <c r="X65">
        <v>0.97927500000000001</v>
      </c>
      <c r="Y65">
        <v>8.9465080000000006E-3</v>
      </c>
      <c r="Z65">
        <v>-2.5116909999999999E-3</v>
      </c>
      <c r="AA65">
        <v>0.99995679999999998</v>
      </c>
      <c r="AB65">
        <v>10</v>
      </c>
      <c r="AC65">
        <v>0.66509999999999503</v>
      </c>
      <c r="AD65">
        <v>-6.0619999999999903E-2</v>
      </c>
      <c r="AE65">
        <v>9.7999999999842605E-3</v>
      </c>
      <c r="AF65">
        <v>8.1558163750700408E-3</v>
      </c>
      <c r="AG65">
        <v>-6.0619999999999903E-2</v>
      </c>
      <c r="AH65">
        <v>0.65964272348745301</v>
      </c>
      <c r="AI65">
        <v>95.250233906832705</v>
      </c>
      <c r="AJ65">
        <v>89.291631619883404</v>
      </c>
      <c r="AK65">
        <v>0.66247250840369798</v>
      </c>
      <c r="AL65">
        <v>78.719049035247096</v>
      </c>
      <c r="AM65">
        <v>86.932972553554507</v>
      </c>
      <c r="AN65">
        <v>0.99999994863610497</v>
      </c>
    </row>
    <row r="66" spans="1:40" x14ac:dyDescent="0.25">
      <c r="A66" t="str">
        <f>"20190312172857700"</f>
        <v>20190312172857700</v>
      </c>
      <c r="B66" t="str">
        <f>"1552382937697286"</f>
        <v>1552382937697286</v>
      </c>
      <c r="C66" t="s">
        <v>40</v>
      </c>
      <c r="D66">
        <v>3.6247790000000002</v>
      </c>
      <c r="E66">
        <v>0.4885795</v>
      </c>
      <c r="F66" t="s">
        <v>42</v>
      </c>
      <c r="G66">
        <v>-472.56450000000001</v>
      </c>
      <c r="H66">
        <v>1.04863</v>
      </c>
      <c r="I66">
        <v>367.30360000000002</v>
      </c>
      <c r="J66">
        <v>-473.22280000000001</v>
      </c>
      <c r="K66">
        <v>1.1091799999999901</v>
      </c>
      <c r="L66">
        <v>367.29349999999999</v>
      </c>
      <c r="M66">
        <v>0.99961109999999997</v>
      </c>
      <c r="N66">
        <v>0</v>
      </c>
      <c r="O66">
        <v>2.775615E-2</v>
      </c>
      <c r="P66">
        <v>0.98093419999999998</v>
      </c>
      <c r="Q66">
        <v>0.1927161</v>
      </c>
      <c r="R66">
        <v>-2.506895E-2</v>
      </c>
      <c r="S66">
        <v>3.1093440000000001</v>
      </c>
      <c r="T66">
        <v>-0.25031229999999999</v>
      </c>
      <c r="U66">
        <v>5.6457519999999997E-2</v>
      </c>
      <c r="V66">
        <v>5.2209129999999999E-2</v>
      </c>
      <c r="W66">
        <v>0.1953348</v>
      </c>
      <c r="X66">
        <v>0.97934600000000005</v>
      </c>
      <c r="Y66">
        <v>9.4838830000000002E-3</v>
      </c>
      <c r="Z66">
        <v>-2.6114150000000002E-3</v>
      </c>
      <c r="AA66">
        <v>0.99995160000000005</v>
      </c>
      <c r="AB66">
        <v>10</v>
      </c>
      <c r="AC66">
        <v>0.658299999999997</v>
      </c>
      <c r="AD66">
        <v>-6.0549999999999798E-2</v>
      </c>
      <c r="AE66">
        <v>1.01000000000226E-2</v>
      </c>
      <c r="AF66">
        <v>8.1072581746976496E-3</v>
      </c>
      <c r="AG66">
        <v>-6.0549999999999798E-2</v>
      </c>
      <c r="AH66">
        <v>0.652805147212139</v>
      </c>
      <c r="AI66">
        <v>95.298819016362501</v>
      </c>
      <c r="AJ66">
        <v>89.288474057196197</v>
      </c>
      <c r="AK66">
        <v>0.65565737268925295</v>
      </c>
      <c r="AL66">
        <v>78.735718036084506</v>
      </c>
      <c r="AM66">
        <v>86.948439235621393</v>
      </c>
      <c r="AN66">
        <v>1.00000003253119</v>
      </c>
    </row>
    <row r="67" spans="1:40" x14ac:dyDescent="0.25">
      <c r="A67" t="str">
        <f>"20190312172857724"</f>
        <v>20190312172857724</v>
      </c>
      <c r="B67" t="str">
        <f>"1552382937717781"</f>
        <v>1552382937717781</v>
      </c>
      <c r="C67" t="s">
        <v>40</v>
      </c>
      <c r="D67">
        <v>3.6855069999999999</v>
      </c>
      <c r="E67">
        <v>0.48874719999999999</v>
      </c>
      <c r="F67" t="s">
        <v>42</v>
      </c>
      <c r="G67">
        <v>-472.47460000000001</v>
      </c>
      <c r="H67">
        <v>1.0491090000000001</v>
      </c>
      <c r="I67">
        <v>367.30669999999998</v>
      </c>
      <c r="J67">
        <v>-473.11259999999999</v>
      </c>
      <c r="K67">
        <v>1.10914</v>
      </c>
      <c r="L67">
        <v>367.29750000000001</v>
      </c>
      <c r="M67">
        <v>0.99959120000000001</v>
      </c>
      <c r="N67">
        <v>0</v>
      </c>
      <c r="O67">
        <v>2.8469419999999999E-2</v>
      </c>
      <c r="P67">
        <v>0.98099020000000003</v>
      </c>
      <c r="Q67">
        <v>0.19251460000000001</v>
      </c>
      <c r="R67">
        <v>-2.442621E-2</v>
      </c>
      <c r="S67">
        <v>3.1089169999999999</v>
      </c>
      <c r="T67">
        <v>-0.25022280000000002</v>
      </c>
      <c r="U67">
        <v>5.6701660000000001E-2</v>
      </c>
      <c r="V67">
        <v>5.2280159999999999E-2</v>
      </c>
      <c r="W67">
        <v>0.19512579999999999</v>
      </c>
      <c r="X67">
        <v>0.97938380000000003</v>
      </c>
      <c r="Y67">
        <v>1.011213E-2</v>
      </c>
      <c r="Z67">
        <v>-2.693366E-3</v>
      </c>
      <c r="AA67">
        <v>0.99994519999999998</v>
      </c>
      <c r="AB67">
        <v>10</v>
      </c>
      <c r="AC67">
        <v>0.63799999999997603</v>
      </c>
      <c r="AD67">
        <v>-6.0030999999999897E-2</v>
      </c>
      <c r="AE67">
        <v>9.1999999999643391E-3</v>
      </c>
      <c r="AF67">
        <v>8.8886040148632803E-3</v>
      </c>
      <c r="AG67">
        <v>-6.0030999999999897E-2</v>
      </c>
      <c r="AH67">
        <v>0.63240554183420306</v>
      </c>
      <c r="AI67">
        <v>95.422012755705694</v>
      </c>
      <c r="AJ67">
        <v>89.194747784224205</v>
      </c>
      <c r="AK67">
        <v>0.63531055208058995</v>
      </c>
      <c r="AL67">
        <v>78.747926977884205</v>
      </c>
      <c r="AM67">
        <v>86.944413193755395</v>
      </c>
      <c r="AN67">
        <v>0.99999996032885197</v>
      </c>
    </row>
    <row r="68" spans="1:40" x14ac:dyDescent="0.25">
      <c r="A68" t="str">
        <f>"20190312172857747"</f>
        <v>20190312172857747</v>
      </c>
      <c r="B68" t="str">
        <f>"1552382937737302"</f>
        <v>1552382937737302</v>
      </c>
      <c r="C68" t="s">
        <v>40</v>
      </c>
      <c r="D68">
        <v>3.6132119999999999</v>
      </c>
      <c r="E68">
        <v>0.48890600000000001</v>
      </c>
      <c r="F68" t="s">
        <v>42</v>
      </c>
      <c r="G68">
        <v>-472.29640000000001</v>
      </c>
      <c r="H68">
        <v>1.0434920000000001</v>
      </c>
      <c r="I68">
        <v>367.3125</v>
      </c>
      <c r="J68">
        <v>-473.01010000000002</v>
      </c>
      <c r="K68">
        <v>1.109091</v>
      </c>
      <c r="L68">
        <v>367.30110000000002</v>
      </c>
      <c r="M68">
        <v>0.99957379999999996</v>
      </c>
      <c r="N68">
        <v>0</v>
      </c>
      <c r="O68">
        <v>2.9075119999999999E-2</v>
      </c>
      <c r="P68">
        <v>0.98106550000000003</v>
      </c>
      <c r="Q68">
        <v>0.19217119999999999</v>
      </c>
      <c r="R68">
        <v>-2.4103940000000001E-2</v>
      </c>
      <c r="S68">
        <v>3.1086119999999999</v>
      </c>
      <c r="T68">
        <v>-0.25006850000000003</v>
      </c>
      <c r="U68">
        <v>5.7403559999999999E-2</v>
      </c>
      <c r="V68">
        <v>5.2566920000000003E-2</v>
      </c>
      <c r="W68">
        <v>0.194767</v>
      </c>
      <c r="X68">
        <v>0.97943990000000003</v>
      </c>
      <c r="Y68">
        <v>1.048752E-2</v>
      </c>
      <c r="Z68">
        <v>-2.7556600000000001E-3</v>
      </c>
      <c r="AA68">
        <v>0.99994119999999997</v>
      </c>
      <c r="AB68">
        <v>10</v>
      </c>
      <c r="AC68">
        <v>0.71370000000001699</v>
      </c>
      <c r="AD68">
        <v>-6.5598999999999894E-2</v>
      </c>
      <c r="AE68">
        <v>1.13999999999805E-2</v>
      </c>
      <c r="AF68">
        <v>9.2774463704404699E-3</v>
      </c>
      <c r="AG68">
        <v>-6.5598999999999894E-2</v>
      </c>
      <c r="AH68">
        <v>0.70775203414631505</v>
      </c>
      <c r="AI68">
        <v>95.294958885434397</v>
      </c>
      <c r="AJ68">
        <v>89.248991096339793</v>
      </c>
      <c r="AK68">
        <v>0.71084614485161501</v>
      </c>
      <c r="AL68">
        <v>78.768887197759597</v>
      </c>
      <c r="AM68">
        <v>86.927860765062405</v>
      </c>
      <c r="AN68">
        <v>0.99999999153964803</v>
      </c>
    </row>
    <row r="69" spans="1:40" x14ac:dyDescent="0.25">
      <c r="A69" t="str">
        <f>"20190312172857768"</f>
        <v>20190312172857768</v>
      </c>
      <c r="B69" t="str">
        <f>"1552382937757804"</f>
        <v>1552382937757804</v>
      </c>
      <c r="C69" t="s">
        <v>40</v>
      </c>
      <c r="D69">
        <v>3.694404</v>
      </c>
      <c r="E69">
        <v>0.48899340000000002</v>
      </c>
      <c r="F69" t="s">
        <v>42</v>
      </c>
      <c r="G69">
        <v>-472.2022</v>
      </c>
      <c r="H69">
        <v>1.0439830000000001</v>
      </c>
      <c r="I69">
        <v>367.3159</v>
      </c>
      <c r="J69">
        <v>-472.90719999999999</v>
      </c>
      <c r="K69">
        <v>1.1090500000000001</v>
      </c>
      <c r="L69">
        <v>367.30470000000003</v>
      </c>
      <c r="M69">
        <v>0.99955720000000003</v>
      </c>
      <c r="N69">
        <v>0</v>
      </c>
      <c r="O69">
        <v>2.964079E-2</v>
      </c>
      <c r="P69">
        <v>0.98117509999999997</v>
      </c>
      <c r="Q69">
        <v>0.1916591</v>
      </c>
      <c r="R69">
        <v>-2.3715900000000002E-2</v>
      </c>
      <c r="S69">
        <v>3.1083980000000002</v>
      </c>
      <c r="T69">
        <v>-0.25042199999999998</v>
      </c>
      <c r="U69">
        <v>5.7189940000000002E-2</v>
      </c>
      <c r="V69">
        <v>5.2747420000000003E-2</v>
      </c>
      <c r="W69">
        <v>0.1942306</v>
      </c>
      <c r="X69">
        <v>0.97953670000000004</v>
      </c>
      <c r="Y69">
        <v>1.1116579999999999E-2</v>
      </c>
      <c r="Z69">
        <v>-2.8305040000000002E-3</v>
      </c>
      <c r="AA69">
        <v>0.9999342</v>
      </c>
      <c r="AB69">
        <v>10</v>
      </c>
      <c r="AC69">
        <v>0.70499999999998397</v>
      </c>
      <c r="AD69">
        <v>-6.5067000000000194E-2</v>
      </c>
      <c r="AE69">
        <v>1.1199999999973899E-2</v>
      </c>
      <c r="AF69">
        <v>9.6198273408089601E-3</v>
      </c>
      <c r="AG69">
        <v>-6.5067000000000194E-2</v>
      </c>
      <c r="AH69">
        <v>0.69906896455425904</v>
      </c>
      <c r="AI69">
        <v>95.317078368221502</v>
      </c>
      <c r="AJ69">
        <v>89.211607513034494</v>
      </c>
      <c r="AK69">
        <v>0.70215644465463001</v>
      </c>
      <c r="AL69">
        <v>78.800218891533007</v>
      </c>
      <c r="AM69">
        <v>86.917636263627102</v>
      </c>
      <c r="AN69">
        <v>0.99999998146995295</v>
      </c>
    </row>
    <row r="70" spans="1:40" x14ac:dyDescent="0.25">
      <c r="A70" t="str">
        <f>"20190312172857790"</f>
        <v>20190312172857790</v>
      </c>
      <c r="B70" t="str">
        <f>"1552382937787078"</f>
        <v>1552382937787078</v>
      </c>
      <c r="C70" t="s">
        <v>40</v>
      </c>
      <c r="D70">
        <v>3.5903350000000001</v>
      </c>
      <c r="E70">
        <v>0.48909740000000002</v>
      </c>
      <c r="F70" t="s">
        <v>42</v>
      </c>
      <c r="G70">
        <v>-472.1069</v>
      </c>
      <c r="H70">
        <v>1.0443659999999999</v>
      </c>
      <c r="I70">
        <v>367.31909999999999</v>
      </c>
      <c r="J70">
        <v>-472.8057</v>
      </c>
      <c r="K70">
        <v>1.1090139999999999</v>
      </c>
      <c r="L70">
        <v>367.30829999999997</v>
      </c>
      <c r="M70">
        <v>0.99954180000000004</v>
      </c>
      <c r="N70">
        <v>0</v>
      </c>
      <c r="O70">
        <v>3.0159040000000002E-2</v>
      </c>
      <c r="P70">
        <v>0.98125450000000003</v>
      </c>
      <c r="Q70">
        <v>0.19125490000000001</v>
      </c>
      <c r="R70">
        <v>-2.3695629999999999E-2</v>
      </c>
      <c r="S70">
        <v>3.1080930000000002</v>
      </c>
      <c r="T70">
        <v>-0.25173069999999997</v>
      </c>
      <c r="U70">
        <v>5.7708740000000001E-2</v>
      </c>
      <c r="V70">
        <v>5.3245599999999997E-2</v>
      </c>
      <c r="W70">
        <v>0.19379550000000001</v>
      </c>
      <c r="X70">
        <v>0.97959600000000002</v>
      </c>
      <c r="Y70">
        <v>1.1462139999999999E-2</v>
      </c>
      <c r="Z70">
        <v>-2.9013709999999998E-3</v>
      </c>
      <c r="AA70">
        <v>0.99993010000000004</v>
      </c>
      <c r="AB70">
        <v>11</v>
      </c>
      <c r="AC70">
        <v>0.69880000000000497</v>
      </c>
      <c r="AD70">
        <v>-6.4647999999999997E-2</v>
      </c>
      <c r="AE70">
        <v>1.08000000000174E-2</v>
      </c>
      <c r="AF70">
        <v>1.01929032673544E-2</v>
      </c>
      <c r="AG70">
        <v>-6.4647999999999997E-2</v>
      </c>
      <c r="AH70">
        <v>0.69287915916033305</v>
      </c>
      <c r="AI70">
        <v>95.329886792000494</v>
      </c>
      <c r="AJ70">
        <v>89.157186058988003</v>
      </c>
      <c r="AK70">
        <v>0.695963209070529</v>
      </c>
      <c r="AL70">
        <v>78.825631994416497</v>
      </c>
      <c r="AM70">
        <v>86.888769383790702</v>
      </c>
      <c r="AN70">
        <v>1.0000000564778</v>
      </c>
    </row>
    <row r="71" spans="1:40" x14ac:dyDescent="0.25">
      <c r="A71" t="str">
        <f>"20190312172857824"</f>
        <v>20190312172857824</v>
      </c>
      <c r="B71" t="str">
        <f>"1552382937817334"</f>
        <v>1552382937817334</v>
      </c>
      <c r="C71" t="s">
        <v>40</v>
      </c>
      <c r="D71">
        <v>3.5882459999999998</v>
      </c>
      <c r="E71">
        <v>0.48924709999999899</v>
      </c>
      <c r="F71" t="s">
        <v>42</v>
      </c>
      <c r="G71">
        <v>-472.01029999999997</v>
      </c>
      <c r="H71">
        <v>1.0444659999999999</v>
      </c>
      <c r="I71">
        <v>367.32279999999997</v>
      </c>
      <c r="J71">
        <v>-472.64170000000001</v>
      </c>
      <c r="K71">
        <v>1.108976</v>
      </c>
      <c r="L71">
        <v>367.3141</v>
      </c>
      <c r="M71">
        <v>0.99951889999999999</v>
      </c>
      <c r="N71">
        <v>0</v>
      </c>
      <c r="O71">
        <v>3.091615E-2</v>
      </c>
      <c r="P71">
        <v>0.98126939999999996</v>
      </c>
      <c r="Q71">
        <v>0.19111069999999999</v>
      </c>
      <c r="R71">
        <v>-2.4234350000000002E-2</v>
      </c>
      <c r="S71">
        <v>3.1078800000000002</v>
      </c>
      <c r="T71">
        <v>-0.25245450000000003</v>
      </c>
      <c r="U71">
        <v>5.755615E-2</v>
      </c>
      <c r="V71">
        <v>5.4536359999999999E-2</v>
      </c>
      <c r="W71">
        <v>0.19359299999999999</v>
      </c>
      <c r="X71">
        <v>0.97956500000000002</v>
      </c>
      <c r="Y71">
        <v>1.226142E-2</v>
      </c>
      <c r="Z71">
        <v>-3.0036580000000002E-3</v>
      </c>
      <c r="AA71">
        <v>0.99992029999999998</v>
      </c>
      <c r="AB71">
        <v>11</v>
      </c>
      <c r="AC71">
        <v>0.63140000000004104</v>
      </c>
      <c r="AD71">
        <v>-6.4509999999999998E-2</v>
      </c>
      <c r="AE71">
        <v>8.6999999999761695E-3</v>
      </c>
      <c r="AF71">
        <v>1.07128692040084E-2</v>
      </c>
      <c r="AG71">
        <v>-6.4509999999999998E-2</v>
      </c>
      <c r="AH71">
        <v>0.624845830940988</v>
      </c>
      <c r="AI71">
        <v>95.893557003498401</v>
      </c>
      <c r="AJ71">
        <v>89.017770415119401</v>
      </c>
      <c r="AK71">
        <v>0.62825840074838302</v>
      </c>
      <c r="AL71">
        <v>78.837458020975404</v>
      </c>
      <c r="AM71">
        <v>86.813401045826893</v>
      </c>
      <c r="AN71">
        <v>1.00000002671802</v>
      </c>
    </row>
    <row r="72" spans="1:40" x14ac:dyDescent="0.25">
      <c r="A72" t="str">
        <f>"20190312172857845"</f>
        <v>20190312172857845</v>
      </c>
      <c r="B72" t="str">
        <f>"1552382937837830"</f>
        <v>1552382937837830</v>
      </c>
      <c r="C72" t="s">
        <v>40</v>
      </c>
      <c r="D72">
        <v>3.6136560000000002</v>
      </c>
      <c r="E72">
        <v>0.48931409999999997</v>
      </c>
      <c r="F72" t="s">
        <v>42</v>
      </c>
      <c r="G72">
        <v>-471.81529999999998</v>
      </c>
      <c r="H72">
        <v>1.0418449999999999</v>
      </c>
      <c r="I72">
        <v>367.32889999999998</v>
      </c>
      <c r="J72">
        <v>-472.53070000000002</v>
      </c>
      <c r="K72">
        <v>1.1089530000000001</v>
      </c>
      <c r="L72">
        <v>367.31810000000002</v>
      </c>
      <c r="M72">
        <v>0.99950479999999997</v>
      </c>
      <c r="N72">
        <v>0</v>
      </c>
      <c r="O72">
        <v>3.1369059999999997E-2</v>
      </c>
      <c r="P72">
        <v>0.98121670000000005</v>
      </c>
      <c r="Q72">
        <v>0.1913154</v>
      </c>
      <c r="R72">
        <v>-2.4746560000000001E-2</v>
      </c>
      <c r="S72">
        <v>3.107758</v>
      </c>
      <c r="T72">
        <v>-0.25235079999999999</v>
      </c>
      <c r="U72">
        <v>5.5175780000000001E-2</v>
      </c>
      <c r="V72">
        <v>5.5494710000000003E-2</v>
      </c>
      <c r="W72">
        <v>0.19375249999999999</v>
      </c>
      <c r="X72">
        <v>0.97947960000000001</v>
      </c>
      <c r="Y72">
        <v>1.347403E-2</v>
      </c>
      <c r="Z72">
        <v>-3.0884160000000001E-3</v>
      </c>
      <c r="AA72">
        <v>0.99990449999999997</v>
      </c>
      <c r="AB72">
        <v>11</v>
      </c>
      <c r="AC72">
        <v>0.715400000000045</v>
      </c>
      <c r="AD72">
        <v>-6.7107999999999904E-2</v>
      </c>
      <c r="AE72">
        <v>1.07999999999606E-2</v>
      </c>
      <c r="AF72">
        <v>1.15452419146721E-2</v>
      </c>
      <c r="AG72">
        <v>-6.7107999999999904E-2</v>
      </c>
      <c r="AH72">
        <v>0.70914809257872702</v>
      </c>
      <c r="AI72">
        <v>95.405195285422593</v>
      </c>
      <c r="AJ72">
        <v>89.0672819854842</v>
      </c>
      <c r="AK72">
        <v>0.71240984937247698</v>
      </c>
      <c r="AL72">
        <v>78.828142564724004</v>
      </c>
      <c r="AM72">
        <v>86.757240311064507</v>
      </c>
      <c r="AN72">
        <v>0.99999999045519705</v>
      </c>
    </row>
    <row r="73" spans="1:40" x14ac:dyDescent="0.25">
      <c r="A73" t="str">
        <f>"20190312172857868"</f>
        <v>20190312172857868</v>
      </c>
      <c r="B73" t="str">
        <f>"1552382937857350"</f>
        <v>1552382937857350</v>
      </c>
      <c r="C73" t="s">
        <v>40</v>
      </c>
      <c r="D73">
        <v>3.617553</v>
      </c>
      <c r="E73">
        <v>0.48938999999999999</v>
      </c>
      <c r="F73" t="s">
        <v>42</v>
      </c>
      <c r="G73">
        <v>-471.71350000000001</v>
      </c>
      <c r="H73">
        <v>1.043013</v>
      </c>
      <c r="I73">
        <v>367.33199999999999</v>
      </c>
      <c r="J73">
        <v>-472.4171</v>
      </c>
      <c r="K73">
        <v>1.1089340000000001</v>
      </c>
      <c r="L73">
        <v>367.32220000000001</v>
      </c>
      <c r="M73">
        <v>0.99949129999999997</v>
      </c>
      <c r="N73">
        <v>0</v>
      </c>
      <c r="O73">
        <v>3.179825E-2</v>
      </c>
      <c r="P73">
        <v>0.98121360000000002</v>
      </c>
      <c r="Q73">
        <v>0.19131000000000001</v>
      </c>
      <c r="R73">
        <v>-2.4905750000000001E-2</v>
      </c>
      <c r="S73">
        <v>3.1077270000000001</v>
      </c>
      <c r="T73">
        <v>-0.25100460000000002</v>
      </c>
      <c r="U73">
        <v>5.3833010000000001E-2</v>
      </c>
      <c r="V73">
        <v>5.6076580000000001E-2</v>
      </c>
      <c r="W73">
        <v>0.1936987</v>
      </c>
      <c r="X73">
        <v>0.97945709999999997</v>
      </c>
      <c r="Y73">
        <v>1.4332499999999899E-2</v>
      </c>
      <c r="Z73">
        <v>-3.1412369999999998E-3</v>
      </c>
      <c r="AA73">
        <v>0.99989240000000001</v>
      </c>
      <c r="AB73">
        <v>11</v>
      </c>
      <c r="AC73">
        <v>0.70359999999999401</v>
      </c>
      <c r="AD73">
        <v>-6.5921000000000105E-2</v>
      </c>
      <c r="AE73">
        <v>9.7999999999842605E-3</v>
      </c>
      <c r="AF73">
        <v>1.2468841428422601E-2</v>
      </c>
      <c r="AG73">
        <v>-6.5921000000000105E-2</v>
      </c>
      <c r="AH73">
        <v>0.69743491563631399</v>
      </c>
      <c r="AI73">
        <v>95.398653027757007</v>
      </c>
      <c r="AJ73">
        <v>88.975766953325603</v>
      </c>
      <c r="AK73">
        <v>0.70065434544873795</v>
      </c>
      <c r="AL73">
        <v>78.831284595754298</v>
      </c>
      <c r="AM73">
        <v>86.723238105867296</v>
      </c>
      <c r="AN73">
        <v>0.99999998997329798</v>
      </c>
    </row>
    <row r="74" spans="1:40" x14ac:dyDescent="0.25">
      <c r="A74" t="str">
        <f>"20190312172857891"</f>
        <v>20190312172857891</v>
      </c>
      <c r="B74" t="str">
        <f>"1552382937887608"</f>
        <v>1552382937887608</v>
      </c>
      <c r="C74" t="s">
        <v>40</v>
      </c>
      <c r="D74">
        <v>3.6117759999999999</v>
      </c>
      <c r="E74">
        <v>0.48953459999999899</v>
      </c>
      <c r="F74" t="s">
        <v>42</v>
      </c>
      <c r="G74">
        <v>-471.6105</v>
      </c>
      <c r="H74">
        <v>1.0438689999999999</v>
      </c>
      <c r="I74">
        <v>367.3356</v>
      </c>
      <c r="J74">
        <v>-472.30090000000001</v>
      </c>
      <c r="K74">
        <v>1.1089199999999999</v>
      </c>
      <c r="L74">
        <v>367.32639999999998</v>
      </c>
      <c r="M74">
        <v>0.99947850000000005</v>
      </c>
      <c r="N74">
        <v>0</v>
      </c>
      <c r="O74">
        <v>3.2205709999999999E-2</v>
      </c>
      <c r="P74">
        <v>0.98114230000000002</v>
      </c>
      <c r="Q74">
        <v>0.19162119999999999</v>
      </c>
      <c r="R74">
        <v>-2.5325770000000001E-2</v>
      </c>
      <c r="S74">
        <v>3.1076350000000001</v>
      </c>
      <c r="T74">
        <v>-0.25090869999999998</v>
      </c>
      <c r="U74">
        <v>5.2612300000000001E-2</v>
      </c>
      <c r="V74">
        <v>5.6894130000000001E-2</v>
      </c>
      <c r="W74">
        <v>0.1939583</v>
      </c>
      <c r="X74">
        <v>0.97935859999999997</v>
      </c>
      <c r="Y74">
        <v>1.512844E-2</v>
      </c>
      <c r="Z74">
        <v>-3.2050500000000001E-3</v>
      </c>
      <c r="AA74">
        <v>0.9998804</v>
      </c>
      <c r="AB74">
        <v>11</v>
      </c>
      <c r="AC74">
        <v>0.690400000000011</v>
      </c>
      <c r="AD74">
        <v>-6.5050999999999901E-2</v>
      </c>
      <c r="AE74">
        <v>9.2000000000211895E-3</v>
      </c>
      <c r="AF74">
        <v>1.2924931121058201E-2</v>
      </c>
      <c r="AG74">
        <v>-6.5050999999999901E-2</v>
      </c>
      <c r="AH74">
        <v>0.68426445546560999</v>
      </c>
      <c r="AI74">
        <v>95.429656791583</v>
      </c>
      <c r="AJ74">
        <v>88.917880441379197</v>
      </c>
      <c r="AK74">
        <v>0.68747111318158804</v>
      </c>
      <c r="AL74">
        <v>78.816123371884302</v>
      </c>
      <c r="AM74">
        <v>86.675238409532597</v>
      </c>
      <c r="AN74">
        <v>1.0000000157806499</v>
      </c>
    </row>
    <row r="75" spans="1:40" x14ac:dyDescent="0.25">
      <c r="A75" t="str">
        <f>"20190312172857912"</f>
        <v>20190312172857912</v>
      </c>
      <c r="B75" t="str">
        <f>"1552382937907126"</f>
        <v>1552382937907126</v>
      </c>
      <c r="C75" t="s">
        <v>40</v>
      </c>
      <c r="D75">
        <v>3.6176940000000002</v>
      </c>
      <c r="E75">
        <v>0.48963430000000002</v>
      </c>
      <c r="F75" t="s">
        <v>42</v>
      </c>
      <c r="G75">
        <v>-471.50560000000002</v>
      </c>
      <c r="H75">
        <v>1.04532</v>
      </c>
      <c r="I75">
        <v>367.33870000000002</v>
      </c>
      <c r="J75">
        <v>-472.18680000000001</v>
      </c>
      <c r="K75">
        <v>1.1089119999999999</v>
      </c>
      <c r="L75">
        <v>367.3304</v>
      </c>
      <c r="M75">
        <v>0.99946659999999998</v>
      </c>
      <c r="N75">
        <v>0</v>
      </c>
      <c r="O75">
        <v>3.2578719999999999E-2</v>
      </c>
      <c r="P75">
        <v>0.98127419999999999</v>
      </c>
      <c r="Q75">
        <v>0.19095880000000001</v>
      </c>
      <c r="R75">
        <v>-2.5217570000000002E-2</v>
      </c>
      <c r="S75">
        <v>3.1076350000000001</v>
      </c>
      <c r="T75">
        <v>-0.24915979999999999</v>
      </c>
      <c r="U75">
        <v>5.044556E-2</v>
      </c>
      <c r="V75">
        <v>5.71558E-2</v>
      </c>
      <c r="W75">
        <v>0.1932449</v>
      </c>
      <c r="X75">
        <v>0.97948440000000003</v>
      </c>
      <c r="Y75">
        <v>1.6196060000000002E-2</v>
      </c>
      <c r="Z75">
        <v>-3.2553759999999999E-3</v>
      </c>
      <c r="AA75">
        <v>0.99986359999999996</v>
      </c>
      <c r="AB75">
        <v>11</v>
      </c>
      <c r="AC75">
        <v>0.68119999999998904</v>
      </c>
      <c r="AD75">
        <v>-6.3591999999999996E-2</v>
      </c>
      <c r="AE75">
        <v>8.3000000000197308E-3</v>
      </c>
      <c r="AF75">
        <v>1.37770411601794E-2</v>
      </c>
      <c r="AG75">
        <v>-6.3591999999999996E-2</v>
      </c>
      <c r="AH75">
        <v>0.67522524659676897</v>
      </c>
      <c r="AI75">
        <v>95.379073579559204</v>
      </c>
      <c r="AJ75">
        <v>88.831120719791997</v>
      </c>
      <c r="AK75">
        <v>0.67835306660233796</v>
      </c>
      <c r="AL75">
        <v>78.857786635100197</v>
      </c>
      <c r="AM75">
        <v>86.660409562850006</v>
      </c>
      <c r="AN75">
        <v>1.0000000333465</v>
      </c>
    </row>
    <row r="76" spans="1:40" x14ac:dyDescent="0.25">
      <c r="A76" t="str">
        <f>"20190312172857936"</f>
        <v>20190312172857936</v>
      </c>
      <c r="B76" t="str">
        <f>"1552382937927621"</f>
        <v>1552382937927621</v>
      </c>
      <c r="C76" t="s">
        <v>40</v>
      </c>
      <c r="D76">
        <v>3.6715450000000001</v>
      </c>
      <c r="E76">
        <v>0.48973070000000002</v>
      </c>
      <c r="F76" t="s">
        <v>42</v>
      </c>
      <c r="G76">
        <v>-471.40019999999998</v>
      </c>
      <c r="H76">
        <v>1.0452859999999999</v>
      </c>
      <c r="I76">
        <v>367.34320000000002</v>
      </c>
      <c r="J76">
        <v>-472.06130000000002</v>
      </c>
      <c r="K76">
        <v>1.1088990000000001</v>
      </c>
      <c r="L76">
        <v>367.33499999999998</v>
      </c>
      <c r="M76">
        <v>0.99945399999999995</v>
      </c>
      <c r="N76">
        <v>0</v>
      </c>
      <c r="O76">
        <v>3.2964260000000002E-2</v>
      </c>
      <c r="P76">
        <v>0.98144039999999999</v>
      </c>
      <c r="Q76">
        <v>0.1901525</v>
      </c>
      <c r="R76">
        <v>-2.4844680000000001E-2</v>
      </c>
      <c r="S76">
        <v>3.1074519999999999</v>
      </c>
      <c r="T76">
        <v>-0.25141079999999999</v>
      </c>
      <c r="U76">
        <v>5.1055910000000003E-2</v>
      </c>
      <c r="V76">
        <v>5.7165239999999999E-2</v>
      </c>
      <c r="W76">
        <v>0.1923821</v>
      </c>
      <c r="X76">
        <v>0.97965369999999996</v>
      </c>
      <c r="Y76">
        <v>1.6379749999999998E-2</v>
      </c>
      <c r="Z76">
        <v>-3.3234179999999999E-3</v>
      </c>
      <c r="AA76">
        <v>0.99986030000000004</v>
      </c>
      <c r="AB76">
        <v>12</v>
      </c>
      <c r="AC76">
        <v>0.66110000000003299</v>
      </c>
      <c r="AD76">
        <v>-6.3612999999999906E-2</v>
      </c>
      <c r="AE76">
        <v>8.2000000000448294E-3</v>
      </c>
      <c r="AF76">
        <v>1.3472463440360599E-2</v>
      </c>
      <c r="AG76">
        <v>-6.3612999999999906E-2</v>
      </c>
      <c r="AH76">
        <v>0.65494788164188</v>
      </c>
      <c r="AI76">
        <v>95.546389590059306</v>
      </c>
      <c r="AJ76">
        <v>88.8215757790026</v>
      </c>
      <c r="AK76">
        <v>0.65816779677171799</v>
      </c>
      <c r="AL76">
        <v>78.908167033711095</v>
      </c>
      <c r="AM76">
        <v>86.660435159924006</v>
      </c>
      <c r="AN76">
        <v>1.0000000544941701</v>
      </c>
    </row>
    <row r="77" spans="1:40" x14ac:dyDescent="0.25">
      <c r="A77" t="str">
        <f>"20190312172857958"</f>
        <v>20190312172857958</v>
      </c>
      <c r="B77" t="str">
        <f>"1552382937947141"</f>
        <v>1552382937947141</v>
      </c>
      <c r="C77" t="s">
        <v>40</v>
      </c>
      <c r="D77">
        <v>3.647268</v>
      </c>
      <c r="E77">
        <v>0.48984699999999998</v>
      </c>
      <c r="F77" t="s">
        <v>42</v>
      </c>
      <c r="G77">
        <v>-471.2928</v>
      </c>
      <c r="H77">
        <v>1.046049</v>
      </c>
      <c r="I77">
        <v>367.34739999999999</v>
      </c>
      <c r="J77">
        <v>-471.9409</v>
      </c>
      <c r="K77">
        <v>1.1088880000000001</v>
      </c>
      <c r="L77">
        <v>367.33940000000001</v>
      </c>
      <c r="M77">
        <v>0.99944250000000001</v>
      </c>
      <c r="N77">
        <v>0</v>
      </c>
      <c r="O77">
        <v>3.3316470000000001E-2</v>
      </c>
      <c r="P77">
        <v>0.98143219999999998</v>
      </c>
      <c r="Q77">
        <v>0.19023580000000001</v>
      </c>
      <c r="R77">
        <v>-2.4519969999999999E-2</v>
      </c>
      <c r="S77">
        <v>3.107361</v>
      </c>
      <c r="T77">
        <v>-0.25441279999999999</v>
      </c>
      <c r="U77">
        <v>5.1727290000000002E-2</v>
      </c>
      <c r="V77">
        <v>5.7183680000000001E-2</v>
      </c>
      <c r="W77">
        <v>0.19241069999999999</v>
      </c>
      <c r="X77">
        <v>0.97964700000000005</v>
      </c>
      <c r="Y77">
        <v>1.6510159999999999E-2</v>
      </c>
      <c r="Z77">
        <v>-3.3971589999999999E-3</v>
      </c>
      <c r="AA77">
        <v>0.99985789999999997</v>
      </c>
      <c r="AB77">
        <v>12</v>
      </c>
      <c r="AC77">
        <v>0.64809999999999901</v>
      </c>
      <c r="AD77">
        <v>-6.2838999999999798E-2</v>
      </c>
      <c r="AE77">
        <v>7.9999999999813502E-3</v>
      </c>
      <c r="AF77">
        <v>1.3470281225080601E-2</v>
      </c>
      <c r="AG77">
        <v>-6.2838999999999798E-2</v>
      </c>
      <c r="AH77">
        <v>0.641972469686653</v>
      </c>
      <c r="AI77">
        <v>95.589322927213502</v>
      </c>
      <c r="AJ77">
        <v>88.797959314981696</v>
      </c>
      <c r="AK77">
        <v>0.64518124603313098</v>
      </c>
      <c r="AL77">
        <v>78.906497100409396</v>
      </c>
      <c r="AM77">
        <v>86.659337548122295</v>
      </c>
      <c r="AN77">
        <v>1.0000000476709101</v>
      </c>
    </row>
    <row r="78" spans="1:40" x14ac:dyDescent="0.25">
      <c r="A78" t="str">
        <f>"20190312172857981"</f>
        <v>20190312172857981</v>
      </c>
      <c r="B78" t="str">
        <f>"1552382937977398"</f>
        <v>1552382937977398</v>
      </c>
      <c r="C78" t="s">
        <v>40</v>
      </c>
      <c r="D78">
        <v>3.782197</v>
      </c>
      <c r="E78">
        <v>0.48991950000000001</v>
      </c>
      <c r="F78" t="s">
        <v>42</v>
      </c>
      <c r="G78">
        <v>-471.18380000000002</v>
      </c>
      <c r="H78">
        <v>1.0468999999999999</v>
      </c>
      <c r="I78">
        <v>367.35169999999999</v>
      </c>
      <c r="J78">
        <v>-471.82150000000001</v>
      </c>
      <c r="K78">
        <v>1.1088830000000001</v>
      </c>
      <c r="L78">
        <v>367.34370000000001</v>
      </c>
      <c r="M78">
        <v>0.99943130000000002</v>
      </c>
      <c r="N78">
        <v>0</v>
      </c>
      <c r="O78">
        <v>3.3654450000000002E-2</v>
      </c>
      <c r="P78">
        <v>0.98143279999999999</v>
      </c>
      <c r="Q78">
        <v>0.19026219999999999</v>
      </c>
      <c r="R78">
        <v>-2.4295480000000001E-2</v>
      </c>
      <c r="S78">
        <v>3.1074830000000002</v>
      </c>
      <c r="T78">
        <v>-0.25472800000000001</v>
      </c>
      <c r="U78">
        <v>5.230713E-2</v>
      </c>
      <c r="V78">
        <v>5.7287240000000003E-2</v>
      </c>
      <c r="W78">
        <v>0.192384</v>
      </c>
      <c r="X78">
        <v>0.97964609999999996</v>
      </c>
      <c r="Y78">
        <v>1.6660379999999999E-2</v>
      </c>
      <c r="Z78">
        <v>-3.435001E-3</v>
      </c>
      <c r="AA78">
        <v>0.9998553</v>
      </c>
      <c r="AB78">
        <v>12</v>
      </c>
      <c r="AC78">
        <v>0.63769999999999505</v>
      </c>
      <c r="AD78">
        <v>-6.1983000000000101E-2</v>
      </c>
      <c r="AE78">
        <v>7.9999999999813502E-3</v>
      </c>
      <c r="AF78">
        <v>1.33400137294718E-2</v>
      </c>
      <c r="AG78">
        <v>-6.1983000000000101E-2</v>
      </c>
      <c r="AH78">
        <v>0.63164156358313694</v>
      </c>
      <c r="AI78">
        <v>95.603250994139401</v>
      </c>
      <c r="AJ78">
        <v>88.790116229771996</v>
      </c>
      <c r="AK78">
        <v>0.63481565284817398</v>
      </c>
      <c r="AL78">
        <v>78.908054996317006</v>
      </c>
      <c r="AM78">
        <v>86.653298259236493</v>
      </c>
      <c r="AN78">
        <v>0.99999995628401195</v>
      </c>
    </row>
    <row r="79" spans="1:40" x14ac:dyDescent="0.25">
      <c r="A79" t="str">
        <f>"20190312172858001"</f>
        <v>20190312172858001</v>
      </c>
      <c r="B79" t="str">
        <f>"1552382937997894"</f>
        <v>1552382937997894</v>
      </c>
      <c r="C79" t="s">
        <v>40</v>
      </c>
      <c r="D79">
        <v>3.6279050000000002</v>
      </c>
      <c r="E79">
        <v>0.49000510000000003</v>
      </c>
      <c r="F79" t="s">
        <v>42</v>
      </c>
      <c r="G79">
        <v>-471.07350000000002</v>
      </c>
      <c r="H79">
        <v>1.0475239999999999</v>
      </c>
      <c r="I79">
        <v>367.35599999999999</v>
      </c>
      <c r="J79">
        <v>-471.70069999999998</v>
      </c>
      <c r="K79">
        <v>1.1088750000000001</v>
      </c>
      <c r="L79">
        <v>367.34809999999999</v>
      </c>
      <c r="M79">
        <v>0.99941999999999998</v>
      </c>
      <c r="N79">
        <v>0</v>
      </c>
      <c r="O79">
        <v>3.3990939999999997E-2</v>
      </c>
      <c r="P79">
        <v>0.98148950000000001</v>
      </c>
      <c r="Q79">
        <v>0.18997549999999999</v>
      </c>
      <c r="R79">
        <v>-2.4245340000000001E-2</v>
      </c>
      <c r="S79">
        <v>3.1075439999999999</v>
      </c>
      <c r="T79">
        <v>-0.25540649999999998</v>
      </c>
      <c r="U79">
        <v>5.264282E-2</v>
      </c>
      <c r="V79">
        <v>5.7564560000000001E-2</v>
      </c>
      <c r="W79">
        <v>0.19204470000000001</v>
      </c>
      <c r="X79">
        <v>0.97969649999999997</v>
      </c>
      <c r="Y79">
        <v>1.6886580000000002E-2</v>
      </c>
      <c r="Z79">
        <v>-3.4809179999999999E-3</v>
      </c>
      <c r="AA79">
        <v>0.9998513</v>
      </c>
      <c r="AB79">
        <v>12</v>
      </c>
      <c r="AC79">
        <v>0.62719999999995901</v>
      </c>
      <c r="AD79">
        <v>-6.13510000000001E-2</v>
      </c>
      <c r="AE79">
        <v>7.9000000000064505E-3</v>
      </c>
      <c r="AF79">
        <v>1.3296524390715801E-2</v>
      </c>
      <c r="AG79">
        <v>-6.13510000000001E-2</v>
      </c>
      <c r="AH79">
        <v>0.62116360649546198</v>
      </c>
      <c r="AI79">
        <v>95.639403648963693</v>
      </c>
      <c r="AJ79">
        <v>88.773723389814606</v>
      </c>
      <c r="AK79">
        <v>0.62432761335401699</v>
      </c>
      <c r="AL79">
        <v>78.927865774810897</v>
      </c>
      <c r="AM79">
        <v>86.637307011866</v>
      </c>
      <c r="AN79">
        <v>1.0000000387391601</v>
      </c>
    </row>
    <row r="80" spans="1:40" x14ac:dyDescent="0.25">
      <c r="A80" t="str">
        <f>"20190312172858024"</f>
        <v>20190312172858024</v>
      </c>
      <c r="B80" t="str">
        <f>"1552382938017414"</f>
        <v>1552382938017414</v>
      </c>
      <c r="C80" t="s">
        <v>40</v>
      </c>
      <c r="D80">
        <v>3.5625969999999998</v>
      </c>
      <c r="E80">
        <v>0.49012339999999999</v>
      </c>
      <c r="F80" t="s">
        <v>42</v>
      </c>
      <c r="G80">
        <v>-470.96190000000001</v>
      </c>
      <c r="H80">
        <v>1.0478829999999999</v>
      </c>
      <c r="I80">
        <v>367.36020000000002</v>
      </c>
      <c r="J80">
        <v>-471.57780000000002</v>
      </c>
      <c r="K80">
        <v>1.108876</v>
      </c>
      <c r="L80">
        <v>367.35270000000003</v>
      </c>
      <c r="M80">
        <v>0.99940830000000003</v>
      </c>
      <c r="N80">
        <v>0</v>
      </c>
      <c r="O80">
        <v>3.433166E-2</v>
      </c>
      <c r="P80">
        <v>0.98156149999999998</v>
      </c>
      <c r="Q80">
        <v>0.18961980000000001</v>
      </c>
      <c r="R80">
        <v>-2.410472E-2</v>
      </c>
      <c r="S80">
        <v>3.107605</v>
      </c>
      <c r="T80">
        <v>-0.25688870000000003</v>
      </c>
      <c r="U80">
        <v>5.264282E-2</v>
      </c>
      <c r="V80">
        <v>5.7755420000000002E-2</v>
      </c>
      <c r="W80">
        <v>0.1916371</v>
      </c>
      <c r="X80">
        <v>0.97976510000000006</v>
      </c>
      <c r="Y80">
        <v>1.7223490000000001E-2</v>
      </c>
      <c r="Z80">
        <v>-3.5429820000000001E-3</v>
      </c>
      <c r="AA80">
        <v>0.9998454</v>
      </c>
      <c r="AB80">
        <v>12</v>
      </c>
      <c r="AC80">
        <v>0.61590000000001</v>
      </c>
      <c r="AD80">
        <v>-6.0992999999999999E-2</v>
      </c>
      <c r="AE80">
        <v>7.4999999999931797E-3</v>
      </c>
      <c r="AF80">
        <v>1.35167964751017E-2</v>
      </c>
      <c r="AG80">
        <v>-6.0992999999999999E-2</v>
      </c>
      <c r="AH80">
        <v>0.60981479624883606</v>
      </c>
      <c r="AI80">
        <v>95.710271528175298</v>
      </c>
      <c r="AJ80">
        <v>88.730223337809207</v>
      </c>
      <c r="AK80">
        <v>0.6130064726901</v>
      </c>
      <c r="AL80">
        <v>78.951661740572305</v>
      </c>
      <c r="AM80">
        <v>86.626419118846997</v>
      </c>
      <c r="AN80">
        <v>1.00000005890689</v>
      </c>
    </row>
    <row r="81" spans="1:40" x14ac:dyDescent="0.25">
      <c r="A81" t="str">
        <f>"20190312172858047"</f>
        <v>20190312172858047</v>
      </c>
      <c r="B81" t="str">
        <f>"1552382938037910"</f>
        <v>1552382938037910</v>
      </c>
      <c r="C81" t="s">
        <v>40</v>
      </c>
      <c r="D81">
        <v>3.6404299999999998</v>
      </c>
      <c r="E81">
        <v>0.49020829999999999</v>
      </c>
      <c r="F81" t="s">
        <v>42</v>
      </c>
      <c r="G81">
        <v>-470.74090000000001</v>
      </c>
      <c r="H81">
        <v>1.0392509999999999</v>
      </c>
      <c r="I81">
        <v>367.36660000000001</v>
      </c>
      <c r="J81">
        <v>-471.44119999999998</v>
      </c>
      <c r="K81">
        <v>1.108884</v>
      </c>
      <c r="L81">
        <v>367.3578</v>
      </c>
      <c r="M81">
        <v>0.99939540000000004</v>
      </c>
      <c r="N81">
        <v>0</v>
      </c>
      <c r="O81">
        <v>3.4711430000000001E-2</v>
      </c>
      <c r="P81">
        <v>0.98150009999999999</v>
      </c>
      <c r="Q81">
        <v>0.18995970000000001</v>
      </c>
      <c r="R81">
        <v>-2.393493E-2</v>
      </c>
      <c r="S81">
        <v>3.1075740000000001</v>
      </c>
      <c r="T81">
        <v>-0.25865329999999997</v>
      </c>
      <c r="U81">
        <v>5.1666259999999999E-2</v>
      </c>
      <c r="V81">
        <v>5.7949599999999997E-2</v>
      </c>
      <c r="W81">
        <v>0.1919207</v>
      </c>
      <c r="X81">
        <v>0.97969810000000002</v>
      </c>
      <c r="Y81">
        <v>1.7911259999999998E-2</v>
      </c>
      <c r="Z81">
        <v>-3.6273880000000001E-3</v>
      </c>
      <c r="AA81">
        <v>0.99983299999999997</v>
      </c>
      <c r="AB81">
        <v>13</v>
      </c>
      <c r="AC81">
        <v>0.70029999999996995</v>
      </c>
      <c r="AD81">
        <v>-6.9633E-2</v>
      </c>
      <c r="AE81">
        <v>8.8000000000079091E-3</v>
      </c>
      <c r="AF81">
        <v>1.5361907259586499E-2</v>
      </c>
      <c r="AG81">
        <v>-6.9633E-2</v>
      </c>
      <c r="AH81">
        <v>0.69332961542896998</v>
      </c>
      <c r="AI81">
        <v>95.733743493286596</v>
      </c>
      <c r="AJ81">
        <v>88.730721373159895</v>
      </c>
      <c r="AK81">
        <v>0.69698687112063695</v>
      </c>
      <c r="AL81">
        <v>78.935105120162802</v>
      </c>
      <c r="AM81">
        <v>86.614872152433094</v>
      </c>
      <c r="AN81">
        <v>1.0000000391861199</v>
      </c>
    </row>
    <row r="82" spans="1:40" x14ac:dyDescent="0.25">
      <c r="A82" t="str">
        <f>"20190312172858069"</f>
        <v>20190312172858069</v>
      </c>
      <c r="B82" t="str">
        <f>"1552382938057446"</f>
        <v>1552382938057446</v>
      </c>
      <c r="C82" t="s">
        <v>40</v>
      </c>
      <c r="D82">
        <v>3.6773690000000001</v>
      </c>
      <c r="E82">
        <v>0.49014669999999999</v>
      </c>
      <c r="F82" t="s">
        <v>42</v>
      </c>
      <c r="G82">
        <v>-470.6241</v>
      </c>
      <c r="H82">
        <v>1.0412790000000001</v>
      </c>
      <c r="I82">
        <v>367.37110000000001</v>
      </c>
      <c r="J82">
        <v>-471.31830000000002</v>
      </c>
      <c r="K82">
        <v>1.108892</v>
      </c>
      <c r="L82">
        <v>367.36239999999998</v>
      </c>
      <c r="M82">
        <v>0.99938349999999998</v>
      </c>
      <c r="N82">
        <v>0</v>
      </c>
      <c r="O82">
        <v>3.5055839999999998E-2</v>
      </c>
      <c r="P82">
        <v>0.98146149999999999</v>
      </c>
      <c r="Q82">
        <v>0.1901882</v>
      </c>
      <c r="R82">
        <v>-2.3707539999999999E-2</v>
      </c>
      <c r="S82">
        <v>3.107605</v>
      </c>
      <c r="T82">
        <v>-0.2574592</v>
      </c>
      <c r="U82">
        <v>5.2032469999999997E-2</v>
      </c>
      <c r="V82">
        <v>5.8053220000000003E-2</v>
      </c>
      <c r="W82">
        <v>0.19209999999999999</v>
      </c>
      <c r="X82">
        <v>0.97965679999999999</v>
      </c>
      <c r="Y82">
        <v>1.813791E-2</v>
      </c>
      <c r="Z82">
        <v>-3.6484960000000002E-3</v>
      </c>
      <c r="AA82">
        <v>0.99982879999999996</v>
      </c>
      <c r="AB82">
        <v>13</v>
      </c>
      <c r="AC82">
        <v>0.69420000000002302</v>
      </c>
      <c r="AD82">
        <v>-6.7612999999999895E-2</v>
      </c>
      <c r="AE82">
        <v>8.7000000000330095E-3</v>
      </c>
      <c r="AF82">
        <v>1.5494199053686999E-2</v>
      </c>
      <c r="AG82">
        <v>-6.7612999999999895E-2</v>
      </c>
      <c r="AH82">
        <v>0.68755703529240797</v>
      </c>
      <c r="AI82">
        <v>95.614879873228702</v>
      </c>
      <c r="AJ82">
        <v>88.709049669567506</v>
      </c>
      <c r="AK82">
        <v>0.69104722324411505</v>
      </c>
      <c r="AL82">
        <v>78.924636950586802</v>
      </c>
      <c r="AM82">
        <v>86.608690670417502</v>
      </c>
      <c r="AN82">
        <v>1.0000000160692999</v>
      </c>
    </row>
    <row r="83" spans="1:40" x14ac:dyDescent="0.25">
      <c r="A83" t="str">
        <f>"20190312172858091"</f>
        <v>20190312172858091</v>
      </c>
      <c r="B83" t="str">
        <f>"1552382938087686"</f>
        <v>1552382938087686</v>
      </c>
      <c r="C83" t="s">
        <v>40</v>
      </c>
      <c r="D83">
        <v>3.7057549999999999</v>
      </c>
      <c r="E83">
        <v>0.47932959999999902</v>
      </c>
      <c r="F83" t="s">
        <v>42</v>
      </c>
      <c r="G83">
        <v>-470.50639999999999</v>
      </c>
      <c r="H83">
        <v>1.0419259999999999</v>
      </c>
      <c r="I83">
        <v>367.37599999999998</v>
      </c>
      <c r="J83">
        <v>-471.18650000000002</v>
      </c>
      <c r="K83">
        <v>1.1088929999999999</v>
      </c>
      <c r="L83">
        <v>367.36750000000001</v>
      </c>
      <c r="M83">
        <v>0.99937050000000005</v>
      </c>
      <c r="N83">
        <v>0</v>
      </c>
      <c r="O83">
        <v>3.542849E-2</v>
      </c>
      <c r="P83">
        <v>0.98151980000000005</v>
      </c>
      <c r="Q83">
        <v>0.1899681</v>
      </c>
      <c r="R83">
        <v>-2.3053609999999999E-2</v>
      </c>
      <c r="S83">
        <v>3.1076969999999999</v>
      </c>
      <c r="T83">
        <v>-0.2566427</v>
      </c>
      <c r="U83">
        <v>5.3009029999999999E-2</v>
      </c>
      <c r="V83">
        <v>5.7762059999999997E-2</v>
      </c>
      <c r="W83">
        <v>0.191829</v>
      </c>
      <c r="X83">
        <v>0.97972709999999996</v>
      </c>
      <c r="Y83">
        <v>1.8196819999999999E-2</v>
      </c>
      <c r="Z83">
        <v>-3.6699739999999999E-3</v>
      </c>
      <c r="AA83">
        <v>0.99982769999999999</v>
      </c>
      <c r="AB83">
        <v>13</v>
      </c>
      <c r="AC83">
        <v>0.68010000000003801</v>
      </c>
      <c r="AD83">
        <v>-6.6966999999999999E-2</v>
      </c>
      <c r="AE83">
        <v>8.4999999999695302E-3</v>
      </c>
      <c r="AF83">
        <v>1.54505144101863E-2</v>
      </c>
      <c r="AG83">
        <v>-6.6966999999999999E-2</v>
      </c>
      <c r="AH83">
        <v>0.673445721618806</v>
      </c>
      <c r="AI83">
        <v>95.677301953948401</v>
      </c>
      <c r="AJ83">
        <v>88.685723335262296</v>
      </c>
      <c r="AK83">
        <v>0.67694345218135699</v>
      </c>
      <c r="AL83">
        <v>78.940458238430793</v>
      </c>
      <c r="AM83">
        <v>86.625901600991398</v>
      </c>
      <c r="AN83">
        <v>1.0000000056454199</v>
      </c>
    </row>
    <row r="84" spans="1:40" x14ac:dyDescent="0.25">
      <c r="A84" t="str">
        <f>"20190312172858114"</f>
        <v>20190312172858114</v>
      </c>
      <c r="B84" t="str">
        <f>"1552382938107206"</f>
        <v>1552382938107206</v>
      </c>
      <c r="C84" t="s">
        <v>40</v>
      </c>
      <c r="D84">
        <v>3.574106</v>
      </c>
      <c r="E84">
        <v>0.4800548</v>
      </c>
      <c r="F84" t="s">
        <v>41</v>
      </c>
      <c r="G84">
        <v>-456.19529999999997</v>
      </c>
      <c r="H84" s="1">
        <v>-1.8941410000000001E-6</v>
      </c>
      <c r="I84">
        <v>368.03989999999999</v>
      </c>
      <c r="J84">
        <v>-471.05130000000003</v>
      </c>
      <c r="K84">
        <v>1.108897</v>
      </c>
      <c r="L84">
        <v>367.37270000000001</v>
      </c>
      <c r="M84">
        <v>0.99935689999999999</v>
      </c>
      <c r="N84">
        <v>0</v>
      </c>
      <c r="O84">
        <v>3.5813959999999999E-2</v>
      </c>
      <c r="P84">
        <v>0.98149629999999999</v>
      </c>
      <c r="Q84">
        <v>0.19014629999999999</v>
      </c>
      <c r="R84">
        <v>-2.2582120000000001E-2</v>
      </c>
      <c r="S84">
        <v>3.104187</v>
      </c>
      <c r="T84">
        <v>-0.2296144</v>
      </c>
      <c r="U84">
        <v>0.13925170000000001</v>
      </c>
      <c r="V84">
        <v>5.7663319999999997E-2</v>
      </c>
      <c r="W84">
        <v>0.1919573</v>
      </c>
      <c r="X84">
        <v>0.97970780000000002</v>
      </c>
      <c r="Y84">
        <v>-9.0802959999999999E-3</v>
      </c>
      <c r="Z84">
        <v>-2.3080380000000001E-3</v>
      </c>
      <c r="AA84">
        <v>0.99995610000000001</v>
      </c>
      <c r="AB84">
        <v>13</v>
      </c>
      <c r="AC84">
        <v>14.856</v>
      </c>
      <c r="AD84">
        <v>-1.1088988941410001</v>
      </c>
      <c r="AE84">
        <v>0.66719999999997903</v>
      </c>
      <c r="AF84">
        <v>-0.13397399859023501</v>
      </c>
      <c r="AG84">
        <v>-1.1088988941410001</v>
      </c>
      <c r="AH84">
        <v>14.7881368120459</v>
      </c>
      <c r="AI84">
        <v>94.288163663600798</v>
      </c>
      <c r="AJ84">
        <v>90.5190602970155</v>
      </c>
      <c r="AK84">
        <v>14.8302594772146</v>
      </c>
      <c r="AL84">
        <v>78.932968133228201</v>
      </c>
      <c r="AM84">
        <v>86.631589880168505</v>
      </c>
      <c r="AN84">
        <v>1.0000000184387701</v>
      </c>
    </row>
    <row r="85" spans="1:40" x14ac:dyDescent="0.25">
      <c r="A85" t="str">
        <f>"20190312172858138"</f>
        <v>20190312172858138</v>
      </c>
      <c r="B85" t="str">
        <f>"1552382938127702"</f>
        <v>1552382938127702</v>
      </c>
      <c r="C85" t="s">
        <v>40</v>
      </c>
      <c r="D85">
        <v>3.603386</v>
      </c>
      <c r="E85">
        <v>0.4802862</v>
      </c>
      <c r="F85" t="s">
        <v>41</v>
      </c>
      <c r="G85">
        <v>-456.0967</v>
      </c>
      <c r="H85" s="1">
        <v>-1.9392890000000001E-6</v>
      </c>
      <c r="I85">
        <v>368.02390000000003</v>
      </c>
      <c r="J85">
        <v>-470.90519999999998</v>
      </c>
      <c r="K85">
        <v>1.108903</v>
      </c>
      <c r="L85">
        <v>367.3784</v>
      </c>
      <c r="M85">
        <v>0.99934179999999995</v>
      </c>
      <c r="N85">
        <v>0</v>
      </c>
      <c r="O85">
        <v>3.6233630000000003E-2</v>
      </c>
      <c r="P85">
        <v>0.98155709999999996</v>
      </c>
      <c r="Q85">
        <v>0.1898591</v>
      </c>
      <c r="R85">
        <v>-2.2343459999999999E-2</v>
      </c>
      <c r="S85">
        <v>3.104279</v>
      </c>
      <c r="T85">
        <v>-0.23018440000000001</v>
      </c>
      <c r="U85">
        <v>0.13519289999999901</v>
      </c>
      <c r="V85">
        <v>5.783485E-2</v>
      </c>
      <c r="W85">
        <v>0.19161839999999999</v>
      </c>
      <c r="X85">
        <v>0.97976399999999997</v>
      </c>
      <c r="Y85">
        <v>-7.3603590000000003E-3</v>
      </c>
      <c r="Z85">
        <v>-2.4084509999999998E-3</v>
      </c>
      <c r="AA85">
        <v>0.99997000000000003</v>
      </c>
      <c r="AB85">
        <v>13</v>
      </c>
      <c r="AC85">
        <v>14.808499999999899</v>
      </c>
      <c r="AD85">
        <v>-1.108904939289</v>
      </c>
      <c r="AE85">
        <v>0.64550000000002605</v>
      </c>
      <c r="AF85">
        <v>-0.107905660140045</v>
      </c>
      <c r="AG85">
        <v>-1.108904939289</v>
      </c>
      <c r="AH85">
        <v>14.739669341560401</v>
      </c>
      <c r="AI85">
        <v>94.302295690976706</v>
      </c>
      <c r="AJ85">
        <v>90.419441462606898</v>
      </c>
      <c r="AK85">
        <v>14.7817172917901</v>
      </c>
      <c r="AL85">
        <v>78.952752613848702</v>
      </c>
      <c r="AM85">
        <v>86.621786447103801</v>
      </c>
      <c r="AN85">
        <v>0.99999998839454096</v>
      </c>
    </row>
    <row r="86" spans="1:40" x14ac:dyDescent="0.25">
      <c r="A86" t="str">
        <f>"20190312172858159"</f>
        <v>20190312172858159</v>
      </c>
      <c r="B86" t="str">
        <f>"1552382938157958"</f>
        <v>1552382938157958</v>
      </c>
      <c r="C86" t="s">
        <v>40</v>
      </c>
      <c r="D86">
        <v>3.6596959999999998</v>
      </c>
      <c r="E86">
        <v>0.47993609999999998</v>
      </c>
      <c r="F86" t="s">
        <v>41</v>
      </c>
      <c r="G86">
        <v>-456.1037</v>
      </c>
      <c r="H86" s="1">
        <v>-1.936753E-6</v>
      </c>
      <c r="I86">
        <v>368.0213</v>
      </c>
      <c r="J86">
        <v>-470.76960000000003</v>
      </c>
      <c r="K86">
        <v>1.1088990000000001</v>
      </c>
      <c r="L86">
        <v>367.38380000000001</v>
      </c>
      <c r="M86">
        <v>0.99932770000000004</v>
      </c>
      <c r="N86">
        <v>0</v>
      </c>
      <c r="O86">
        <v>3.6624570000000002E-2</v>
      </c>
      <c r="P86">
        <v>0.981653</v>
      </c>
      <c r="Q86">
        <v>0.18946940000000001</v>
      </c>
      <c r="R86">
        <v>-2.1424220000000001E-2</v>
      </c>
      <c r="S86">
        <v>3.1044309999999999</v>
      </c>
      <c r="T86">
        <v>-0.2325778</v>
      </c>
      <c r="U86">
        <v>0.13485720000000001</v>
      </c>
      <c r="V86">
        <v>5.7300080000000003E-2</v>
      </c>
      <c r="W86">
        <v>0.19118360000000001</v>
      </c>
      <c r="X86">
        <v>0.97988030000000004</v>
      </c>
      <c r="Y86">
        <v>-6.863241E-3</v>
      </c>
      <c r="Z86">
        <v>-2.4811049999999999E-3</v>
      </c>
      <c r="AA86">
        <v>0.99997340000000001</v>
      </c>
      <c r="AB86">
        <v>14</v>
      </c>
      <c r="AC86">
        <v>14.665900000000001</v>
      </c>
      <c r="AD86">
        <v>-1.1089009367530001</v>
      </c>
      <c r="AE86">
        <v>0.63749999999998797</v>
      </c>
      <c r="AF86">
        <v>-9.9372227503787797E-2</v>
      </c>
      <c r="AG86">
        <v>-1.1089009367530001</v>
      </c>
      <c r="AH86">
        <v>14.596120127105999</v>
      </c>
      <c r="AI86">
        <v>94.344446542311601</v>
      </c>
      <c r="AJ86">
        <v>90.390070869674901</v>
      </c>
      <c r="AK86">
        <v>14.638519696063501</v>
      </c>
      <c r="AL86">
        <v>78.978133480047106</v>
      </c>
      <c r="AM86">
        <v>86.653348107493102</v>
      </c>
      <c r="AN86">
        <v>0.99999993520252595</v>
      </c>
    </row>
    <row r="87" spans="1:40" x14ac:dyDescent="0.25">
      <c r="A87" t="str">
        <f>"20190312172858181"</f>
        <v>20190312172858181</v>
      </c>
      <c r="B87" t="str">
        <f>"1552382938177478"</f>
        <v>1552382938177478</v>
      </c>
      <c r="C87" t="s">
        <v>40</v>
      </c>
      <c r="D87">
        <v>3.6717870000000001</v>
      </c>
      <c r="E87">
        <v>0.48011510000000002</v>
      </c>
      <c r="F87" t="s">
        <v>41</v>
      </c>
      <c r="G87">
        <v>-456.36110000000002</v>
      </c>
      <c r="H87" s="1">
        <v>-1.82396E-6</v>
      </c>
      <c r="I87">
        <v>368.03469999999999</v>
      </c>
      <c r="J87">
        <v>-470.637</v>
      </c>
      <c r="K87">
        <v>1.1088979999999999</v>
      </c>
      <c r="L87">
        <v>367.38909999999998</v>
      </c>
      <c r="M87">
        <v>0.99931349999999997</v>
      </c>
      <c r="N87">
        <v>0</v>
      </c>
      <c r="O87">
        <v>3.7007810000000002E-2</v>
      </c>
      <c r="P87">
        <v>0.98178319999999997</v>
      </c>
      <c r="Q87">
        <v>0.1888717</v>
      </c>
      <c r="R87">
        <v>-2.071914E-2</v>
      </c>
      <c r="S87">
        <v>3.1052249999999999</v>
      </c>
      <c r="T87">
        <v>-0.23898079999999999</v>
      </c>
      <c r="U87">
        <v>0.14028929999999901</v>
      </c>
      <c r="V87">
        <v>5.6973999999999997E-2</v>
      </c>
      <c r="W87">
        <v>0.1905433</v>
      </c>
      <c r="X87">
        <v>0.98002409999999995</v>
      </c>
      <c r="Y87">
        <v>-8.2162669999999993E-3</v>
      </c>
      <c r="Z87">
        <v>-2.5258899999999998E-3</v>
      </c>
      <c r="AA87">
        <v>0.99996300000000005</v>
      </c>
      <c r="AB87">
        <v>14</v>
      </c>
      <c r="AC87">
        <v>14.275899999999901</v>
      </c>
      <c r="AD87">
        <v>-1.1088998239600001</v>
      </c>
      <c r="AE87">
        <v>0.64560000000000095</v>
      </c>
      <c r="AF87">
        <v>-0.116137872084996</v>
      </c>
      <c r="AG87">
        <v>-1.1088998239600001</v>
      </c>
      <c r="AH87">
        <v>14.204483445949</v>
      </c>
      <c r="AI87">
        <v>94.463701103569505</v>
      </c>
      <c r="AJ87">
        <v>90.468447984536098</v>
      </c>
      <c r="AK87">
        <v>14.248175209168</v>
      </c>
      <c r="AL87">
        <v>79.015507869127703</v>
      </c>
      <c r="AM87">
        <v>86.672837294088296</v>
      </c>
      <c r="AN87">
        <v>1.00000001121584</v>
      </c>
    </row>
    <row r="88" spans="1:40" x14ac:dyDescent="0.25">
      <c r="A88" t="str">
        <f>"20190312172858202"</f>
        <v>20190312172858202</v>
      </c>
      <c r="B88" t="str">
        <f>"1552382938197974"</f>
        <v>1552382938197974</v>
      </c>
      <c r="C88" t="s">
        <v>40</v>
      </c>
      <c r="D88">
        <v>3.6639379999999999</v>
      </c>
      <c r="E88">
        <v>0.48005429999999999</v>
      </c>
      <c r="F88" t="s">
        <v>41</v>
      </c>
      <c r="G88">
        <v>-456.34190000000001</v>
      </c>
      <c r="H88" s="1">
        <v>-1.831861E-6</v>
      </c>
      <c r="I88">
        <v>368.03640000000001</v>
      </c>
      <c r="J88">
        <v>-470.49990000000003</v>
      </c>
      <c r="K88">
        <v>1.1088929999999999</v>
      </c>
      <c r="L88">
        <v>367.39460000000003</v>
      </c>
      <c r="M88">
        <v>0.99929900000000005</v>
      </c>
      <c r="N88">
        <v>0</v>
      </c>
      <c r="O88">
        <v>3.7403970000000002E-2</v>
      </c>
      <c r="P88">
        <v>0.98179499999999997</v>
      </c>
      <c r="Q88">
        <v>0.18883140000000001</v>
      </c>
      <c r="R88">
        <v>-2.0536169999999999E-2</v>
      </c>
      <c r="S88">
        <v>3.1050110000000002</v>
      </c>
      <c r="T88">
        <v>-0.24086080000000001</v>
      </c>
      <c r="U88">
        <v>0.140625</v>
      </c>
      <c r="V88">
        <v>5.717821E-2</v>
      </c>
      <c r="W88">
        <v>0.19046179999999999</v>
      </c>
      <c r="X88">
        <v>0.98002800000000001</v>
      </c>
      <c r="Y88">
        <v>-7.9342149999999997E-3</v>
      </c>
      <c r="Z88">
        <v>-2.5874270000000002E-3</v>
      </c>
      <c r="AA88">
        <v>0.9999652</v>
      </c>
      <c r="AB88">
        <v>14</v>
      </c>
      <c r="AC88">
        <v>14.157999999999999</v>
      </c>
      <c r="AD88">
        <v>-1.1088948318609999</v>
      </c>
      <c r="AE88">
        <v>0.64179999999998905</v>
      </c>
      <c r="AF88">
        <v>-0.111104657701789</v>
      </c>
      <c r="AG88">
        <v>-1.1088948318609999</v>
      </c>
      <c r="AH88">
        <v>14.0858663865507</v>
      </c>
      <c r="AI88">
        <v>94.501126304738804</v>
      </c>
      <c r="AJ88">
        <v>90.451920796593896</v>
      </c>
      <c r="AK88">
        <v>14.129884070750499</v>
      </c>
      <c r="AL88">
        <v>79.020264048881899</v>
      </c>
      <c r="AM88">
        <v>86.660952048964305</v>
      </c>
      <c r="AN88">
        <v>0.999999962871021</v>
      </c>
    </row>
    <row r="89" spans="1:40" x14ac:dyDescent="0.25">
      <c r="A89" t="str">
        <f>"20190312172858225"</f>
        <v>20190312172858225</v>
      </c>
      <c r="B89" t="str">
        <f>"1552382938217494"</f>
        <v>1552382938217494</v>
      </c>
      <c r="C89" t="s">
        <v>40</v>
      </c>
      <c r="D89">
        <v>3.7092369999999999</v>
      </c>
      <c r="E89">
        <v>0.48009560000000001</v>
      </c>
      <c r="F89" t="s">
        <v>41</v>
      </c>
      <c r="G89">
        <v>-456.27100000000002</v>
      </c>
      <c r="H89" s="1">
        <v>-1.860928E-6</v>
      </c>
      <c r="I89">
        <v>368.04410000000001</v>
      </c>
      <c r="J89">
        <v>-470.35989999999998</v>
      </c>
      <c r="K89">
        <v>1.1088910000000001</v>
      </c>
      <c r="L89">
        <v>367.40030000000002</v>
      </c>
      <c r="M89">
        <v>0.9992839</v>
      </c>
      <c r="N89">
        <v>0</v>
      </c>
      <c r="O89">
        <v>3.7807050000000002E-2</v>
      </c>
      <c r="P89">
        <v>0.98185040000000001</v>
      </c>
      <c r="Q89">
        <v>0.18857769999999999</v>
      </c>
      <c r="R89">
        <v>-2.0212819999999999E-2</v>
      </c>
      <c r="S89">
        <v>3.1051329999999999</v>
      </c>
      <c r="T89">
        <v>-0.2419888</v>
      </c>
      <c r="U89">
        <v>0.1417542</v>
      </c>
      <c r="V89">
        <v>5.7250820000000001E-2</v>
      </c>
      <c r="W89">
        <v>0.1901698</v>
      </c>
      <c r="X89">
        <v>0.98008050000000002</v>
      </c>
      <c r="Y89">
        <v>-7.8941210000000005E-3</v>
      </c>
      <c r="Z89">
        <v>-2.6322569999999998E-3</v>
      </c>
      <c r="AA89">
        <v>0.9999654</v>
      </c>
      <c r="AB89">
        <v>14</v>
      </c>
      <c r="AC89">
        <v>14.088900000000001</v>
      </c>
      <c r="AD89">
        <v>-1.108892860928</v>
      </c>
      <c r="AE89">
        <v>0.64379999999999804</v>
      </c>
      <c r="AF89">
        <v>-0.10999935561976</v>
      </c>
      <c r="AG89">
        <v>-1.108892860928</v>
      </c>
      <c r="AH89">
        <v>14.016519288351899</v>
      </c>
      <c r="AI89">
        <v>94.523296961844295</v>
      </c>
      <c r="AJ89">
        <v>90.449638695175295</v>
      </c>
      <c r="AK89">
        <v>14.0607452219288</v>
      </c>
      <c r="AL89">
        <v>79.037306280537706</v>
      </c>
      <c r="AM89">
        <v>86.656900123108798</v>
      </c>
      <c r="AN89">
        <v>0.99999999785148097</v>
      </c>
    </row>
    <row r="90" spans="1:40" x14ac:dyDescent="0.25">
      <c r="A90" t="str">
        <f>"20190312172858249"</f>
        <v>20190312172858249</v>
      </c>
      <c r="B90" t="str">
        <f>"1552382938237014"</f>
        <v>1552382938237014</v>
      </c>
      <c r="C90" t="s">
        <v>40</v>
      </c>
      <c r="D90">
        <v>3.6484049999999999</v>
      </c>
      <c r="E90">
        <v>0.48013630000000002</v>
      </c>
      <c r="F90" t="s">
        <v>42</v>
      </c>
      <c r="G90">
        <v>-469.50970000000001</v>
      </c>
      <c r="H90">
        <v>1.042151</v>
      </c>
      <c r="I90">
        <v>367.43920000000003</v>
      </c>
      <c r="J90">
        <v>-470.1995</v>
      </c>
      <c r="K90">
        <v>1.108886</v>
      </c>
      <c r="L90">
        <v>367.40690000000001</v>
      </c>
      <c r="M90">
        <v>0.99926619999999999</v>
      </c>
      <c r="N90">
        <v>0</v>
      </c>
      <c r="O90">
        <v>3.8268429999999999E-2</v>
      </c>
      <c r="P90">
        <v>0.98192979999999996</v>
      </c>
      <c r="Q90">
        <v>0.18822929999999999</v>
      </c>
      <c r="R90">
        <v>-1.9589180000000001E-2</v>
      </c>
      <c r="S90">
        <v>3.1052550000000001</v>
      </c>
      <c r="T90">
        <v>-0.2439433</v>
      </c>
      <c r="U90">
        <v>0.14251710000000001</v>
      </c>
      <c r="V90">
        <v>5.7081680000000003E-2</v>
      </c>
      <c r="W90">
        <v>0.1897798</v>
      </c>
      <c r="X90">
        <v>0.98016599999999998</v>
      </c>
      <c r="Y90">
        <v>-7.6793390000000003E-3</v>
      </c>
      <c r="Z90">
        <v>-2.6978850000000001E-3</v>
      </c>
      <c r="AA90">
        <v>0.99996689999999999</v>
      </c>
      <c r="AB90">
        <v>14</v>
      </c>
      <c r="AC90">
        <v>0.68979999999999098</v>
      </c>
      <c r="AD90">
        <v>-6.6734999999999906E-2</v>
      </c>
      <c r="AE90">
        <v>3.2300000000020597E-2</v>
      </c>
      <c r="AF90">
        <v>-5.8243480933030901E-3</v>
      </c>
      <c r="AG90">
        <v>-6.6734999999999906E-2</v>
      </c>
      <c r="AH90">
        <v>0.684141453779465</v>
      </c>
      <c r="AI90">
        <v>95.571125480762106</v>
      </c>
      <c r="AJ90">
        <v>90.4877682831615</v>
      </c>
      <c r="AK90">
        <v>0.68741327601028501</v>
      </c>
      <c r="AL90">
        <v>79.060066571877698</v>
      </c>
      <c r="AM90">
        <v>86.667044672085694</v>
      </c>
      <c r="AN90">
        <v>1.0000000391178301</v>
      </c>
    </row>
    <row r="91" spans="1:40" x14ac:dyDescent="0.25">
      <c r="A91" t="str">
        <f>"20190312172858271"</f>
        <v>20190312172858271</v>
      </c>
      <c r="B91" t="str">
        <f>"1552382938267272"</f>
        <v>1552382938267272</v>
      </c>
      <c r="C91" t="s">
        <v>40</v>
      </c>
      <c r="D91">
        <v>3.6821480000000002</v>
      </c>
      <c r="E91">
        <v>0.5003862</v>
      </c>
      <c r="F91" t="s">
        <v>42</v>
      </c>
      <c r="G91">
        <v>-469.37689999999998</v>
      </c>
      <c r="H91">
        <v>1.0439609999999999</v>
      </c>
      <c r="I91">
        <v>367.44479999999999</v>
      </c>
      <c r="J91">
        <v>-470.05990000000003</v>
      </c>
      <c r="K91">
        <v>1.1088849999999999</v>
      </c>
      <c r="L91">
        <v>367.41269999999997</v>
      </c>
      <c r="M91">
        <v>0.999251</v>
      </c>
      <c r="N91">
        <v>0</v>
      </c>
      <c r="O91">
        <v>3.8668040000000001E-2</v>
      </c>
      <c r="P91">
        <v>0.98196470000000002</v>
      </c>
      <c r="Q91">
        <v>0.18808150000000001</v>
      </c>
      <c r="R91">
        <v>-1.9250469999999999E-2</v>
      </c>
      <c r="S91">
        <v>3.1051030000000002</v>
      </c>
      <c r="T91">
        <v>-0.2453814</v>
      </c>
      <c r="U91">
        <v>0.1441345</v>
      </c>
      <c r="V91">
        <v>5.7135449999999997E-2</v>
      </c>
      <c r="W91">
        <v>0.1895995</v>
      </c>
      <c r="X91">
        <v>0.98019769999999995</v>
      </c>
      <c r="Y91">
        <v>-7.80343099999999E-3</v>
      </c>
      <c r="Z91">
        <v>-2.7404209999999998E-3</v>
      </c>
      <c r="AA91">
        <v>0.99996580000000002</v>
      </c>
      <c r="AB91">
        <v>15</v>
      </c>
      <c r="AC91">
        <v>0.68300000000004901</v>
      </c>
      <c r="AD91">
        <v>-6.4923999999999898E-2</v>
      </c>
      <c r="AE91">
        <v>3.2100000000013999E-2</v>
      </c>
      <c r="AF91">
        <v>-5.6150669807954199E-3</v>
      </c>
      <c r="AG91">
        <v>-6.4923999999999898E-2</v>
      </c>
      <c r="AH91">
        <v>0.67762104759300301</v>
      </c>
      <c r="AI91">
        <v>95.472711176343395</v>
      </c>
      <c r="AJ91">
        <v>90.474767242680798</v>
      </c>
      <c r="AK91">
        <v>0.68074733851425195</v>
      </c>
      <c r="AL91">
        <v>79.070587379195899</v>
      </c>
      <c r="AM91">
        <v>86.664019817819707</v>
      </c>
      <c r="AN91">
        <v>0.99999998056612105</v>
      </c>
    </row>
    <row r="92" spans="1:40" x14ac:dyDescent="0.25">
      <c r="A92" t="str">
        <f>"20190312172858293"</f>
        <v>20190312172858293</v>
      </c>
      <c r="B92" t="str">
        <f>"1552382938287767"</f>
        <v>1552382938287767</v>
      </c>
      <c r="C92" t="s">
        <v>40</v>
      </c>
      <c r="D92">
        <v>3.8515609999999998</v>
      </c>
      <c r="E92">
        <v>0.50550620000000002</v>
      </c>
      <c r="F92" t="s">
        <v>42</v>
      </c>
      <c r="G92">
        <v>-469.26119999999997</v>
      </c>
      <c r="H92">
        <v>1.0123850000000001</v>
      </c>
      <c r="I92">
        <v>367.41019999999997</v>
      </c>
      <c r="J92">
        <v>-469.90879999999999</v>
      </c>
      <c r="K92">
        <v>1.108886</v>
      </c>
      <c r="L92">
        <v>367.41899999999998</v>
      </c>
      <c r="M92">
        <v>0.99923430000000002</v>
      </c>
      <c r="N92">
        <v>0</v>
      </c>
      <c r="O92">
        <v>3.9100080000000002E-2</v>
      </c>
      <c r="P92">
        <v>0.98188330000000001</v>
      </c>
      <c r="Q92">
        <v>0.18856519999999999</v>
      </c>
      <c r="R92">
        <v>-1.8670760000000002E-2</v>
      </c>
      <c r="S92">
        <v>3.1272579999999999</v>
      </c>
      <c r="T92">
        <v>-0.37784430000000002</v>
      </c>
      <c r="U92">
        <v>-9.6435549999999998E-3</v>
      </c>
      <c r="V92">
        <v>5.6975039999999998E-2</v>
      </c>
      <c r="W92">
        <v>0.19005089999999999</v>
      </c>
      <c r="X92">
        <v>0.98011959999999998</v>
      </c>
      <c r="Y92">
        <v>4.1594510000000001E-2</v>
      </c>
      <c r="Z92">
        <v>-7.2099030000000001E-3</v>
      </c>
      <c r="AA92">
        <v>0.99910860000000001</v>
      </c>
      <c r="AB92">
        <v>15</v>
      </c>
      <c r="AC92">
        <v>0.64760000000001094</v>
      </c>
      <c r="AD92">
        <v>-9.6500999999999906E-2</v>
      </c>
      <c r="AE92">
        <v>-8.8000000000647508E-3</v>
      </c>
      <c r="AF92">
        <v>3.3373585481917302E-2</v>
      </c>
      <c r="AG92">
        <v>-9.6500999999999906E-2</v>
      </c>
      <c r="AH92">
        <v>0.63271390623184598</v>
      </c>
      <c r="AI92">
        <v>98.660019092284401</v>
      </c>
      <c r="AJ92">
        <v>86.980633461901505</v>
      </c>
      <c r="AK92">
        <v>0.64090024679982704</v>
      </c>
      <c r="AL92">
        <v>79.044244933546494</v>
      </c>
      <c r="AM92">
        <v>86.673100163410695</v>
      </c>
      <c r="AN92">
        <v>0.99999996503898503</v>
      </c>
    </row>
    <row r="93" spans="1:40" x14ac:dyDescent="0.25">
      <c r="A93" t="str">
        <f>"20190312172858315"</f>
        <v>20190312172858315</v>
      </c>
      <c r="B93" t="str">
        <f>"1552382938307287"</f>
        <v>1552382938307287</v>
      </c>
      <c r="C93" t="s">
        <v>40</v>
      </c>
      <c r="D93">
        <v>3.6505550000000002</v>
      </c>
      <c r="E93">
        <v>0.50737730000000003</v>
      </c>
      <c r="F93" t="s">
        <v>42</v>
      </c>
      <c r="G93">
        <v>-469.12900000000002</v>
      </c>
      <c r="H93">
        <v>1.007104</v>
      </c>
      <c r="I93">
        <v>367.40710000000001</v>
      </c>
      <c r="J93">
        <v>-469.7629</v>
      </c>
      <c r="K93">
        <v>1.1088819999999999</v>
      </c>
      <c r="L93">
        <v>367.42520000000002</v>
      </c>
      <c r="M93">
        <v>0.99921789999999999</v>
      </c>
      <c r="N93">
        <v>0</v>
      </c>
      <c r="O93">
        <v>3.9516200000000001E-2</v>
      </c>
      <c r="P93">
        <v>0.98192820000000003</v>
      </c>
      <c r="Q93">
        <v>0.18836749999999999</v>
      </c>
      <c r="R93">
        <v>-1.8299269999999999E-2</v>
      </c>
      <c r="S93">
        <v>3.1330260000000001</v>
      </c>
      <c r="T93">
        <v>-0.40922809999999998</v>
      </c>
      <c r="U93">
        <v>-4.6447750000000003E-2</v>
      </c>
      <c r="V93">
        <v>5.701225E-2</v>
      </c>
      <c r="W93">
        <v>0.1898252</v>
      </c>
      <c r="X93">
        <v>0.98016119999999995</v>
      </c>
      <c r="Y93">
        <v>5.353368E-2</v>
      </c>
      <c r="Z93">
        <v>-8.6200140000000005E-3</v>
      </c>
      <c r="AA93">
        <v>0.99852879999999999</v>
      </c>
      <c r="AB93">
        <v>15</v>
      </c>
      <c r="AC93">
        <v>0.63389999999998203</v>
      </c>
      <c r="AD93">
        <v>-0.10177799999999899</v>
      </c>
      <c r="AE93">
        <v>-1.8100000000003998E-2</v>
      </c>
      <c r="AF93">
        <v>4.2052030735563302E-2</v>
      </c>
      <c r="AG93">
        <v>-0.10177799999999899</v>
      </c>
      <c r="AH93">
        <v>0.61680203872464501</v>
      </c>
      <c r="AI93">
        <v>99.348579960119594</v>
      </c>
      <c r="AJ93">
        <v>86.099751625821995</v>
      </c>
      <c r="AK93">
        <v>0.62655557578547105</v>
      </c>
      <c r="AL93">
        <v>79.057416646273893</v>
      </c>
      <c r="AM93">
        <v>86.6710732482005</v>
      </c>
      <c r="AN93">
        <v>0.999999990595271</v>
      </c>
    </row>
    <row r="94" spans="1:40" x14ac:dyDescent="0.25">
      <c r="A94" t="str">
        <f>"20190312172858338"</f>
        <v>20190312172858338</v>
      </c>
      <c r="B94" t="str">
        <f>"1552382938327782"</f>
        <v>1552382938327782</v>
      </c>
      <c r="C94" t="s">
        <v>40</v>
      </c>
      <c r="D94">
        <v>3.6280009999999998</v>
      </c>
      <c r="E94">
        <v>0.50867099999999998</v>
      </c>
      <c r="F94" t="s">
        <v>42</v>
      </c>
      <c r="G94">
        <v>-468.99380000000002</v>
      </c>
      <c r="H94">
        <v>1.005166</v>
      </c>
      <c r="I94">
        <v>367.41059999999999</v>
      </c>
      <c r="J94">
        <v>-469.59960000000001</v>
      </c>
      <c r="K94">
        <v>1.108884</v>
      </c>
      <c r="L94">
        <v>367.43220000000002</v>
      </c>
      <c r="M94">
        <v>0.99919950000000002</v>
      </c>
      <c r="N94">
        <v>0</v>
      </c>
      <c r="O94">
        <v>3.9981080000000002E-2</v>
      </c>
      <c r="P94">
        <v>0.98200480000000001</v>
      </c>
      <c r="Q94">
        <v>0.18804670000000001</v>
      </c>
      <c r="R94">
        <v>-1.7479040000000001E-2</v>
      </c>
      <c r="S94">
        <v>3.1352229999999999</v>
      </c>
      <c r="T94">
        <v>-0.42282920000000002</v>
      </c>
      <c r="U94">
        <v>-5.9692380000000003E-2</v>
      </c>
      <c r="V94">
        <v>5.6649989999999997E-2</v>
      </c>
      <c r="W94">
        <v>0.1894769</v>
      </c>
      <c r="X94">
        <v>0.98024960000000005</v>
      </c>
      <c r="Y94">
        <v>5.8106770000000002E-2</v>
      </c>
      <c r="Z94">
        <v>-9.266926E-3</v>
      </c>
      <c r="AA94">
        <v>0.99826740000000003</v>
      </c>
      <c r="AB94">
        <v>15</v>
      </c>
      <c r="AC94">
        <v>0.60579999999998702</v>
      </c>
      <c r="AD94">
        <v>-0.10371799999999901</v>
      </c>
      <c r="AE94">
        <v>-2.16000000000349E-2</v>
      </c>
      <c r="AF94">
        <v>4.4500534042804102E-2</v>
      </c>
      <c r="AG94">
        <v>-0.10371799999999901</v>
      </c>
      <c r="AH94">
        <v>0.58725995467745595</v>
      </c>
      <c r="AI94">
        <v>99.987861614265697</v>
      </c>
      <c r="AJ94">
        <v>85.666605007837703</v>
      </c>
      <c r="AK94">
        <v>0.59800666837574801</v>
      </c>
      <c r="AL94">
        <v>79.077741711473607</v>
      </c>
      <c r="AM94">
        <v>86.692476013625694</v>
      </c>
      <c r="AN94">
        <v>0.99999999765038505</v>
      </c>
    </row>
    <row r="95" spans="1:40" x14ac:dyDescent="0.25">
      <c r="A95" t="str">
        <f>"20190312172858360"</f>
        <v>20190312172858360</v>
      </c>
      <c r="B95" t="str">
        <f>"1552382938358038"</f>
        <v>1552382938358038</v>
      </c>
      <c r="C95" t="s">
        <v>40</v>
      </c>
      <c r="D95">
        <v>3.6423749999999999</v>
      </c>
      <c r="E95">
        <v>0.50962750000000001</v>
      </c>
      <c r="F95" t="s">
        <v>42</v>
      </c>
      <c r="G95">
        <v>-468.85559999999998</v>
      </c>
      <c r="H95">
        <v>1.0064630000000001</v>
      </c>
      <c r="I95">
        <v>367.41609999999997</v>
      </c>
      <c r="J95">
        <v>-469.4434</v>
      </c>
      <c r="K95">
        <v>1.1088800000000001</v>
      </c>
      <c r="L95">
        <v>367.43900000000002</v>
      </c>
      <c r="M95">
        <v>0.9991816</v>
      </c>
      <c r="N95">
        <v>0</v>
      </c>
      <c r="O95">
        <v>4.0425750000000003E-2</v>
      </c>
      <c r="P95">
        <v>0.98205480000000001</v>
      </c>
      <c r="Q95">
        <v>0.18785170000000001</v>
      </c>
      <c r="R95">
        <v>-1.6744510000000001E-2</v>
      </c>
      <c r="S95">
        <v>3.136536</v>
      </c>
      <c r="T95">
        <v>-0.4319597</v>
      </c>
      <c r="U95">
        <v>-6.692505E-2</v>
      </c>
      <c r="V95">
        <v>5.6352470000000002E-2</v>
      </c>
      <c r="W95">
        <v>0.1892586</v>
      </c>
      <c r="X95">
        <v>0.98030890000000004</v>
      </c>
      <c r="Y95">
        <v>6.0776709999999998E-2</v>
      </c>
      <c r="Z95">
        <v>-9.7049939999999998E-3</v>
      </c>
      <c r="AA95">
        <v>0.9981042</v>
      </c>
      <c r="AB95">
        <v>15</v>
      </c>
      <c r="AC95">
        <v>0.58780000000001498</v>
      </c>
      <c r="AD95">
        <v>-0.10241699999999899</v>
      </c>
      <c r="AE95">
        <v>-2.2900000000049599E-2</v>
      </c>
      <c r="AF95">
        <v>4.5271259238114002E-2</v>
      </c>
      <c r="AG95">
        <v>-0.10241699999999899</v>
      </c>
      <c r="AH95">
        <v>0.56914146859895098</v>
      </c>
      <c r="AI95">
        <v>100.16974984287</v>
      </c>
      <c r="AJ95">
        <v>85.4520934001104</v>
      </c>
      <c r="AK95">
        <v>0.58005235977536995</v>
      </c>
      <c r="AL95">
        <v>79.090479655146595</v>
      </c>
      <c r="AM95">
        <v>86.710007121190401</v>
      </c>
      <c r="AN95">
        <v>0.99999997898413495</v>
      </c>
    </row>
    <row r="96" spans="1:40" x14ac:dyDescent="0.25">
      <c r="A96" t="str">
        <f>"20190312172858384"</f>
        <v>20190312172858384</v>
      </c>
      <c r="B96" t="str">
        <f>"1552382938377558"</f>
        <v>1552382938377558</v>
      </c>
      <c r="C96" t="s">
        <v>40</v>
      </c>
      <c r="D96">
        <v>3.6400229999999998</v>
      </c>
      <c r="E96">
        <v>0.50992020000000005</v>
      </c>
      <c r="F96" t="s">
        <v>42</v>
      </c>
      <c r="G96">
        <v>-468.71620000000001</v>
      </c>
      <c r="H96">
        <v>1.0070319999999999</v>
      </c>
      <c r="I96">
        <v>367.42219999999998</v>
      </c>
      <c r="J96">
        <v>-469.28530000000001</v>
      </c>
      <c r="K96">
        <v>1.108878</v>
      </c>
      <c r="L96">
        <v>367.44589999999999</v>
      </c>
      <c r="M96">
        <v>0.99916340000000003</v>
      </c>
      <c r="N96">
        <v>0</v>
      </c>
      <c r="O96">
        <v>4.0875719999999997E-2</v>
      </c>
      <c r="P96">
        <v>0.98208249999999997</v>
      </c>
      <c r="Q96">
        <v>0.18776029999999999</v>
      </c>
      <c r="R96">
        <v>-1.6138159999999999E-2</v>
      </c>
      <c r="S96">
        <v>3.1376339999999998</v>
      </c>
      <c r="T96">
        <v>-0.43944559999999999</v>
      </c>
      <c r="U96">
        <v>-7.2540279999999999E-2</v>
      </c>
      <c r="V96">
        <v>5.6187550000000003E-2</v>
      </c>
      <c r="W96">
        <v>0.18914719999999999</v>
      </c>
      <c r="X96">
        <v>0.98033990000000004</v>
      </c>
      <c r="Y96">
        <v>6.2945909999999994E-2</v>
      </c>
      <c r="Z96">
        <v>-1.008183E-2</v>
      </c>
      <c r="AA96">
        <v>0.99796600000000002</v>
      </c>
      <c r="AB96">
        <v>15</v>
      </c>
      <c r="AC96">
        <v>0.56909999999999095</v>
      </c>
      <c r="AD96">
        <v>-0.10184600000000001</v>
      </c>
      <c r="AE96">
        <v>-2.3700000000019299E-2</v>
      </c>
      <c r="AF96">
        <v>4.54882718394592E-2</v>
      </c>
      <c r="AG96">
        <v>-0.10184600000000001</v>
      </c>
      <c r="AH96">
        <v>0.55006926545924495</v>
      </c>
      <c r="AI96">
        <v>100.45470010339</v>
      </c>
      <c r="AJ96">
        <v>85.272651387724906</v>
      </c>
      <c r="AK96">
        <v>0.56126463223136902</v>
      </c>
      <c r="AL96">
        <v>79.096980172886404</v>
      </c>
      <c r="AM96">
        <v>86.719717994594703</v>
      </c>
      <c r="AN96">
        <v>1.0000000117874199</v>
      </c>
    </row>
    <row r="97" spans="1:40" x14ac:dyDescent="0.25">
      <c r="A97" t="str">
        <f>"20190312172858404"</f>
        <v>20190312172858404</v>
      </c>
      <c r="B97" t="str">
        <f>"1552382938397079"</f>
        <v>1552382938397079</v>
      </c>
      <c r="C97" t="s">
        <v>40</v>
      </c>
      <c r="D97">
        <v>3.6609660000000002</v>
      </c>
      <c r="E97">
        <v>0.51025750000000003</v>
      </c>
      <c r="F97" t="s">
        <v>42</v>
      </c>
      <c r="G97">
        <v>-468.44119999999998</v>
      </c>
      <c r="H97">
        <v>0.98966419999999999</v>
      </c>
      <c r="I97">
        <v>367.42630000000003</v>
      </c>
      <c r="J97">
        <v>-469.13709999999998</v>
      </c>
      <c r="K97">
        <v>1.10887</v>
      </c>
      <c r="L97">
        <v>367.45249999999999</v>
      </c>
      <c r="M97">
        <v>0.99914599999999998</v>
      </c>
      <c r="N97">
        <v>0</v>
      </c>
      <c r="O97">
        <v>4.129654E-2</v>
      </c>
      <c r="P97">
        <v>0.98219999999999996</v>
      </c>
      <c r="Q97">
        <v>0.1871816</v>
      </c>
      <c r="R97">
        <v>-1.569502E-2</v>
      </c>
      <c r="S97">
        <v>3.1382750000000001</v>
      </c>
      <c r="T97">
        <v>-0.44334030000000002</v>
      </c>
      <c r="U97">
        <v>-7.2448730000000003E-2</v>
      </c>
      <c r="V97">
        <v>5.6161009999999997E-2</v>
      </c>
      <c r="W97">
        <v>0.18855350000000001</v>
      </c>
      <c r="X97">
        <v>0.98045579999999999</v>
      </c>
      <c r="Y97">
        <v>6.330711E-2</v>
      </c>
      <c r="Z97">
        <v>-1.025276E-2</v>
      </c>
      <c r="AA97">
        <v>0.99794139999999998</v>
      </c>
      <c r="AB97">
        <v>16</v>
      </c>
      <c r="AC97">
        <v>0.69589999999999397</v>
      </c>
      <c r="AD97">
        <v>-0.1192058</v>
      </c>
      <c r="AE97">
        <v>-2.61999999999602E-2</v>
      </c>
      <c r="AF97">
        <v>5.33526403176856E-2</v>
      </c>
      <c r="AG97">
        <v>-0.1192058</v>
      </c>
      <c r="AH97">
        <v>0.67446181495449997</v>
      </c>
      <c r="AI97">
        <v>99.992482994179696</v>
      </c>
      <c r="AJ97">
        <v>85.477091821298799</v>
      </c>
      <c r="AK97">
        <v>0.68699000488669903</v>
      </c>
      <c r="AL97">
        <v>79.131620175160194</v>
      </c>
      <c r="AM97">
        <v>86.721650778606701</v>
      </c>
      <c r="AN97">
        <v>1.0000000285800501</v>
      </c>
    </row>
    <row r="98" spans="1:40" x14ac:dyDescent="0.25">
      <c r="A98" t="str">
        <f>"20190312172858428"</f>
        <v>20190312172858428</v>
      </c>
      <c r="B98" t="str">
        <f>"1552382938417574"</f>
        <v>1552382938417574</v>
      </c>
      <c r="C98" t="s">
        <v>40</v>
      </c>
      <c r="D98">
        <v>3.6079340000000002</v>
      </c>
      <c r="E98">
        <v>0.51060709999999998</v>
      </c>
      <c r="F98" t="s">
        <v>42</v>
      </c>
      <c r="G98">
        <v>-468.29750000000001</v>
      </c>
      <c r="H98">
        <v>0.98922489999999996</v>
      </c>
      <c r="I98">
        <v>367.4325</v>
      </c>
      <c r="J98">
        <v>-468.96859999999998</v>
      </c>
      <c r="K98">
        <v>1.1088720000000001</v>
      </c>
      <c r="L98">
        <v>367.46</v>
      </c>
      <c r="M98">
        <v>0.99912630000000002</v>
      </c>
      <c r="N98">
        <v>0</v>
      </c>
      <c r="O98">
        <v>4.1775E-2</v>
      </c>
      <c r="P98">
        <v>0.98231040000000003</v>
      </c>
      <c r="Q98">
        <v>0.18665950000000001</v>
      </c>
      <c r="R98">
        <v>-1.499228E-2</v>
      </c>
      <c r="S98">
        <v>3.138458</v>
      </c>
      <c r="T98">
        <v>-0.44746360000000002</v>
      </c>
      <c r="U98">
        <v>-7.3547360000000006E-2</v>
      </c>
      <c r="V98">
        <v>5.5931370000000001E-2</v>
      </c>
      <c r="W98">
        <v>0.18801770000000001</v>
      </c>
      <c r="X98">
        <v>0.98057179999999999</v>
      </c>
      <c r="Y98">
        <v>6.4100760000000007E-2</v>
      </c>
      <c r="Z98">
        <v>-1.047066E-2</v>
      </c>
      <c r="AA98">
        <v>0.99788849999999996</v>
      </c>
      <c r="AB98">
        <v>16</v>
      </c>
      <c r="AC98">
        <v>0.67109999999996695</v>
      </c>
      <c r="AD98">
        <v>-0.11964709999999899</v>
      </c>
      <c r="AE98">
        <v>-2.7499999999974899E-2</v>
      </c>
      <c r="AF98">
        <v>5.38038968273747E-2</v>
      </c>
      <c r="AG98">
        <v>-0.11964709999999899</v>
      </c>
      <c r="AH98">
        <v>0.64877813709450205</v>
      </c>
      <c r="AI98">
        <v>100.414070532754</v>
      </c>
      <c r="AJ98">
        <v>85.259245327014298</v>
      </c>
      <c r="AK98">
        <v>0.66190887516638797</v>
      </c>
      <c r="AL98">
        <v>79.162878170182495</v>
      </c>
      <c r="AM98">
        <v>86.735412155611002</v>
      </c>
      <c r="AN98">
        <v>1.0000000143093</v>
      </c>
    </row>
    <row r="99" spans="1:40" x14ac:dyDescent="0.25">
      <c r="A99" t="str">
        <f>"20190312172858448"</f>
        <v>20190312172858448</v>
      </c>
      <c r="B99" t="str">
        <f>"1552382938437097"</f>
        <v>1552382938437097</v>
      </c>
      <c r="C99" t="s">
        <v>40</v>
      </c>
      <c r="D99">
        <v>3.7194790000000002</v>
      </c>
      <c r="E99">
        <v>0.51096529999999996</v>
      </c>
      <c r="F99" t="s">
        <v>42</v>
      </c>
      <c r="G99">
        <v>-468.15100000000001</v>
      </c>
      <c r="H99">
        <v>0.99167669999999997</v>
      </c>
      <c r="I99">
        <v>367.44060000000002</v>
      </c>
      <c r="J99">
        <v>-468.81720000000001</v>
      </c>
      <c r="K99">
        <v>1.108868</v>
      </c>
      <c r="L99">
        <v>367.46679999999998</v>
      </c>
      <c r="M99">
        <v>0.99910810000000005</v>
      </c>
      <c r="N99">
        <v>0</v>
      </c>
      <c r="O99">
        <v>4.2203869999999997E-2</v>
      </c>
      <c r="P99">
        <v>0.98237699999999994</v>
      </c>
      <c r="Q99">
        <v>0.1863582</v>
      </c>
      <c r="R99">
        <v>-1.4355110000000001E-2</v>
      </c>
      <c r="S99">
        <v>3.1383969999999999</v>
      </c>
      <c r="T99">
        <v>-0.44991310000000001</v>
      </c>
      <c r="U99">
        <v>-7.4157710000000002E-2</v>
      </c>
      <c r="V99">
        <v>5.5716559999999998E-2</v>
      </c>
      <c r="W99">
        <v>0.18770719999999999</v>
      </c>
      <c r="X99">
        <v>0.9806435</v>
      </c>
      <c r="Y99">
        <v>6.4701239999999993E-2</v>
      </c>
      <c r="Z99">
        <v>-1.063154E-2</v>
      </c>
      <c r="AA99">
        <v>0.99784799999999996</v>
      </c>
      <c r="AB99">
        <v>16</v>
      </c>
      <c r="AC99">
        <v>0.66620000000000301</v>
      </c>
      <c r="AD99">
        <v>-0.1171913</v>
      </c>
      <c r="AE99">
        <v>-2.61999999999602E-2</v>
      </c>
      <c r="AF99">
        <v>5.2665710371889801E-2</v>
      </c>
      <c r="AG99">
        <v>-0.1171913</v>
      </c>
      <c r="AH99">
        <v>0.64458521179220996</v>
      </c>
      <c r="AI99">
        <v>100.270835936471</v>
      </c>
      <c r="AJ99">
        <v>85.329034899174104</v>
      </c>
      <c r="AK99">
        <v>0.65726522280269395</v>
      </c>
      <c r="AL99">
        <v>79.1809908569481</v>
      </c>
      <c r="AM99">
        <v>86.7481604337965</v>
      </c>
      <c r="AN99">
        <v>1.00000000104116</v>
      </c>
    </row>
    <row r="100" spans="1:40" x14ac:dyDescent="0.25">
      <c r="A100" t="str">
        <f>"20190312172858605"</f>
        <v>20190312172858605</v>
      </c>
      <c r="B100" t="str">
        <f>"1552382938597158"</f>
        <v>1552382938597158</v>
      </c>
      <c r="C100" t="s">
        <v>40</v>
      </c>
      <c r="D100">
        <v>3.6313219999999999</v>
      </c>
      <c r="E100">
        <v>0.50075379999999903</v>
      </c>
      <c r="F100" t="s">
        <v>42</v>
      </c>
      <c r="G100">
        <v>-467.084</v>
      </c>
      <c r="H100">
        <v>1.0042120000000001</v>
      </c>
      <c r="I100">
        <v>367.49869999999999</v>
      </c>
      <c r="J100">
        <v>-467.61750000000001</v>
      </c>
      <c r="K100">
        <v>1.1088549999999999</v>
      </c>
      <c r="L100">
        <v>367.52300000000002</v>
      </c>
      <c r="M100">
        <v>0.99896359999999995</v>
      </c>
      <c r="N100">
        <v>0</v>
      </c>
      <c r="O100">
        <v>4.54969E-2</v>
      </c>
      <c r="P100">
        <v>0.98254450000000004</v>
      </c>
      <c r="Q100">
        <v>0.18569859999999999</v>
      </c>
      <c r="R100">
        <v>-1.1065470000000001E-2</v>
      </c>
      <c r="S100">
        <v>3.139923</v>
      </c>
      <c r="T100">
        <v>-0.46099010000000001</v>
      </c>
      <c r="U100">
        <v>-6.8542480000000003E-2</v>
      </c>
      <c r="V100">
        <v>5.5669870000000003E-2</v>
      </c>
      <c r="W100">
        <v>0.18705620000000001</v>
      </c>
      <c r="X100">
        <v>0.98077049999999999</v>
      </c>
      <c r="Y100">
        <v>6.6091949999999997E-2</v>
      </c>
      <c r="Z100">
        <v>-1.14676E-2</v>
      </c>
      <c r="AA100">
        <v>0.99774770000000002</v>
      </c>
      <c r="AB100">
        <v>17</v>
      </c>
      <c r="AC100">
        <v>0.53350000000000297</v>
      </c>
      <c r="AD100">
        <v>-0.104642999999999</v>
      </c>
      <c r="AE100">
        <v>-2.43000000000392E-2</v>
      </c>
      <c r="AF100">
        <v>4.6752488515228702E-2</v>
      </c>
      <c r="AG100">
        <v>-0.104642999999999</v>
      </c>
      <c r="AH100">
        <v>0.51217795270734501</v>
      </c>
      <c r="AI100">
        <v>101.50064046240399</v>
      </c>
      <c r="AJ100">
        <v>84.784396282138601</v>
      </c>
      <c r="AK100">
        <v>0.52484493697744095</v>
      </c>
      <c r="AL100">
        <v>79.218962611125093</v>
      </c>
      <c r="AM100">
        <v>86.751299434249702</v>
      </c>
      <c r="AN100">
        <v>0.99999996502725197</v>
      </c>
    </row>
    <row r="101" spans="1:40" x14ac:dyDescent="0.25">
      <c r="A101" t="str">
        <f>"20190312172858628"</f>
        <v>20190312172858628</v>
      </c>
      <c r="B101" t="str">
        <f>"1552382938617659"</f>
        <v>1552382938617659</v>
      </c>
      <c r="C101" t="s">
        <v>40</v>
      </c>
      <c r="D101">
        <v>3.762213</v>
      </c>
      <c r="E101">
        <v>0.5032991</v>
      </c>
      <c r="F101" t="s">
        <v>43</v>
      </c>
      <c r="G101">
        <v>-422.76870000000002</v>
      </c>
      <c r="H101">
        <v>-0.05</v>
      </c>
      <c r="I101">
        <v>367.45830000000001</v>
      </c>
      <c r="J101">
        <v>-467.43610000000001</v>
      </c>
      <c r="K101">
        <v>1.10884</v>
      </c>
      <c r="L101">
        <v>367.53179999999998</v>
      </c>
      <c r="M101">
        <v>0.99894400000000005</v>
      </c>
      <c r="N101">
        <v>0</v>
      </c>
      <c r="O101">
        <v>4.5925439999999998E-2</v>
      </c>
      <c r="P101">
        <v>0.98263319999999998</v>
      </c>
      <c r="Q101">
        <v>0.18525559999999999</v>
      </c>
      <c r="R101">
        <v>-1.060033E-2</v>
      </c>
      <c r="S101">
        <v>3.068298</v>
      </c>
      <c r="T101">
        <v>-7.9282279999999997E-2</v>
      </c>
      <c r="U101">
        <v>-4.4250490000000003E-3</v>
      </c>
      <c r="V101">
        <v>5.5636789999999998E-2</v>
      </c>
      <c r="W101">
        <v>0.18662239999999999</v>
      </c>
      <c r="X101">
        <v>0.98085500000000003</v>
      </c>
      <c r="Y101">
        <v>4.7334979999999999E-2</v>
      </c>
      <c r="Z101">
        <v>-1.79762E-3</v>
      </c>
      <c r="AA101">
        <v>0.99887749999999997</v>
      </c>
      <c r="AB101">
        <v>18</v>
      </c>
      <c r="AC101">
        <v>44.667400000000001</v>
      </c>
      <c r="AD101">
        <v>-1.1588399999999901</v>
      </c>
      <c r="AE101">
        <v>-7.3499999999967203E-2</v>
      </c>
      <c r="AF101">
        <v>2.1233650428558799</v>
      </c>
      <c r="AG101">
        <v>-1.1588399999999901</v>
      </c>
      <c r="AH101">
        <v>44.586884112100698</v>
      </c>
      <c r="AI101">
        <v>91.487132013070607</v>
      </c>
      <c r="AJ101">
        <v>87.273458113705402</v>
      </c>
      <c r="AK101">
        <v>44.6524559691482</v>
      </c>
      <c r="AL101">
        <v>79.244262905795196</v>
      </c>
      <c r="AM101">
        <v>86.7535048462736</v>
      </c>
      <c r="AN101">
        <v>0.99999995180413004</v>
      </c>
    </row>
    <row r="102" spans="1:40" x14ac:dyDescent="0.25">
      <c r="A102" t="str">
        <f>"20190312172858649"</f>
        <v>20190312172858649</v>
      </c>
      <c r="B102" t="str">
        <f>"1552382938637178"</f>
        <v>1552382938637178</v>
      </c>
      <c r="C102" t="s">
        <v>40</v>
      </c>
      <c r="D102">
        <v>3.5385870000000001</v>
      </c>
      <c r="E102">
        <v>0.50430719999999996</v>
      </c>
      <c r="F102" t="s">
        <v>43</v>
      </c>
      <c r="G102">
        <v>-432.05829999999997</v>
      </c>
      <c r="H102">
        <v>-0.05</v>
      </c>
      <c r="I102">
        <v>367.26749999999998</v>
      </c>
      <c r="J102">
        <v>-467.26670000000001</v>
      </c>
      <c r="K102">
        <v>1.1088260000000001</v>
      </c>
      <c r="L102">
        <v>367.54</v>
      </c>
      <c r="M102">
        <v>0.9989266</v>
      </c>
      <c r="N102">
        <v>0</v>
      </c>
      <c r="O102">
        <v>4.6301160000000001E-2</v>
      </c>
      <c r="P102">
        <v>0.98267499999999997</v>
      </c>
      <c r="Q102">
        <v>0.18503259999999999</v>
      </c>
      <c r="R102">
        <v>-1.063335E-2</v>
      </c>
      <c r="S102">
        <v>3.071777</v>
      </c>
      <c r="T102">
        <v>-0.10061970000000001</v>
      </c>
      <c r="U102">
        <v>-2.2949219999999999E-2</v>
      </c>
      <c r="V102">
        <v>5.6047390000000002E-2</v>
      </c>
      <c r="W102">
        <v>0.18640970000000001</v>
      </c>
      <c r="X102">
        <v>0.98087210000000002</v>
      </c>
      <c r="Y102">
        <v>5.3709050000000001E-2</v>
      </c>
      <c r="Z102">
        <v>-2.395285E-3</v>
      </c>
      <c r="AA102">
        <v>0.99855380000000005</v>
      </c>
      <c r="AB102">
        <v>18</v>
      </c>
      <c r="AC102">
        <v>35.208399999999997</v>
      </c>
      <c r="AD102">
        <v>-1.1588259999999999</v>
      </c>
      <c r="AE102">
        <v>-0.27250000000003599</v>
      </c>
      <c r="AF102">
        <v>1.90034052779507</v>
      </c>
      <c r="AG102">
        <v>-1.1588259999999999</v>
      </c>
      <c r="AH102">
        <v>35.119979995802801</v>
      </c>
      <c r="AI102">
        <v>91.887098941047498</v>
      </c>
      <c r="AJ102">
        <v>86.902748408756096</v>
      </c>
      <c r="AK102">
        <v>35.190441411347003</v>
      </c>
      <c r="AL102">
        <v>79.256667715157903</v>
      </c>
      <c r="AM102">
        <v>86.729654390443599</v>
      </c>
      <c r="AN102">
        <v>0.99999998136915502</v>
      </c>
    </row>
    <row r="103" spans="1:40" x14ac:dyDescent="0.25">
      <c r="A103" t="str">
        <f>"20190312172858672"</f>
        <v>20190312172858672</v>
      </c>
      <c r="B103" t="str">
        <f>"1552382938667431"</f>
        <v>1552382938667431</v>
      </c>
      <c r="C103" t="s">
        <v>40</v>
      </c>
      <c r="D103">
        <v>3.5244949999999902</v>
      </c>
      <c r="E103">
        <v>0.50489589999999995</v>
      </c>
      <c r="F103" t="s">
        <v>41</v>
      </c>
      <c r="G103">
        <v>-441.19639999999998</v>
      </c>
      <c r="H103" s="1">
        <v>-4.5538950000000002E-6</v>
      </c>
      <c r="I103">
        <v>367.29410000000001</v>
      </c>
      <c r="J103">
        <v>-467.08030000000002</v>
      </c>
      <c r="K103">
        <v>1.1088089999999999</v>
      </c>
      <c r="L103">
        <v>367.54899999999998</v>
      </c>
      <c r="M103">
        <v>0.99890909999999999</v>
      </c>
      <c r="N103">
        <v>0</v>
      </c>
      <c r="O103">
        <v>4.6680569999999998E-2</v>
      </c>
      <c r="P103">
        <v>0.98264580000000001</v>
      </c>
      <c r="Q103">
        <v>0.18518180000000001</v>
      </c>
      <c r="R103">
        <v>-1.07378E-2</v>
      </c>
      <c r="S103">
        <v>3.0772400000000002</v>
      </c>
      <c r="T103">
        <v>-0.13088239999999901</v>
      </c>
      <c r="U103">
        <v>-2.9022220000000001E-2</v>
      </c>
      <c r="V103">
        <v>5.6530909999999997E-2</v>
      </c>
      <c r="W103">
        <v>0.1865723</v>
      </c>
      <c r="X103">
        <v>0.98081339999999995</v>
      </c>
      <c r="Y103">
        <v>5.6006269999999997E-2</v>
      </c>
      <c r="Z103">
        <v>-3.1745409999999999E-3</v>
      </c>
      <c r="AA103">
        <v>0.99842540000000002</v>
      </c>
      <c r="AB103">
        <v>18</v>
      </c>
      <c r="AC103">
        <v>25.883900000000001</v>
      </c>
      <c r="AD103">
        <v>-1.1088135538949999</v>
      </c>
      <c r="AE103">
        <v>-0.25490000000002</v>
      </c>
      <c r="AF103">
        <v>1.4602188828818301</v>
      </c>
      <c r="AG103">
        <v>-1.1088135538949999</v>
      </c>
      <c r="AH103">
        <v>25.796449957650101</v>
      </c>
      <c r="AI103">
        <v>92.457311174929998</v>
      </c>
      <c r="AJ103">
        <v>86.760205675822107</v>
      </c>
      <c r="AK103">
        <v>25.861526194344599</v>
      </c>
      <c r="AL103">
        <v>79.247184681979405</v>
      </c>
      <c r="AM103">
        <v>86.701306224613305</v>
      </c>
      <c r="AN103">
        <v>0.99999994626613697</v>
      </c>
    </row>
    <row r="104" spans="1:40" x14ac:dyDescent="0.25">
      <c r="A104" t="str">
        <f>"20190312172858694"</f>
        <v>20190312172858694</v>
      </c>
      <c r="B104" t="str">
        <f>"1552382938687927"</f>
        <v>1552382938687927</v>
      </c>
      <c r="C104" t="s">
        <v>40</v>
      </c>
      <c r="D104">
        <v>3.4804750000000002</v>
      </c>
      <c r="E104">
        <v>0.50529789999999997</v>
      </c>
      <c r="F104" t="s">
        <v>41</v>
      </c>
      <c r="G104">
        <v>-444.43680000000001</v>
      </c>
      <c r="H104" s="1">
        <v>-3.0192030000000001E-6</v>
      </c>
      <c r="I104">
        <v>367.3109</v>
      </c>
      <c r="J104">
        <v>-466.89749999999998</v>
      </c>
      <c r="K104">
        <v>1.108787</v>
      </c>
      <c r="L104">
        <v>367.55799999999999</v>
      </c>
      <c r="M104">
        <v>0.99889329999999998</v>
      </c>
      <c r="N104">
        <v>0</v>
      </c>
      <c r="O104">
        <v>4.7015809999999998E-2</v>
      </c>
      <c r="P104">
        <v>0.98262930000000004</v>
      </c>
      <c r="Q104">
        <v>0.18525269999999999</v>
      </c>
      <c r="R104">
        <v>-1.1008449999999999E-2</v>
      </c>
      <c r="S104">
        <v>3.0810849999999999</v>
      </c>
      <c r="T104">
        <v>-0.15087490000000001</v>
      </c>
      <c r="U104">
        <v>-3.2409670000000002E-2</v>
      </c>
      <c r="V104">
        <v>5.7138380000000003E-2</v>
      </c>
      <c r="W104">
        <v>0.18665989999999999</v>
      </c>
      <c r="X104">
        <v>0.98076160000000001</v>
      </c>
      <c r="Y104">
        <v>5.7394880000000002E-2</v>
      </c>
      <c r="Z104">
        <v>-3.704719E-3</v>
      </c>
      <c r="AA104">
        <v>0.99834469999999997</v>
      </c>
      <c r="AB104">
        <v>18</v>
      </c>
      <c r="AC104">
        <v>22.4606999999999</v>
      </c>
      <c r="AD104">
        <v>-1.108790019203</v>
      </c>
      <c r="AE104">
        <v>-0.24710000000004501</v>
      </c>
      <c r="AF104">
        <v>1.29966875420201</v>
      </c>
      <c r="AG104">
        <v>-1.108790019203</v>
      </c>
      <c r="AH104">
        <v>22.369736060171999</v>
      </c>
      <c r="AI104">
        <v>92.832860788037493</v>
      </c>
      <c r="AJ104">
        <v>86.6748862719611</v>
      </c>
      <c r="AK104">
        <v>22.434875653301301</v>
      </c>
      <c r="AL104">
        <v>79.242076565222206</v>
      </c>
      <c r="AM104">
        <v>86.665762958585105</v>
      </c>
      <c r="AN104">
        <v>1.0000000143857899</v>
      </c>
    </row>
    <row r="105" spans="1:40" x14ac:dyDescent="0.25">
      <c r="A105" t="str">
        <f>"20190312172858717"</f>
        <v>20190312172858717</v>
      </c>
      <c r="B105" t="str">
        <f>"1552382938707446"</f>
        <v>1552382938707446</v>
      </c>
      <c r="C105" t="s">
        <v>40</v>
      </c>
      <c r="D105">
        <v>3.5092729999999999</v>
      </c>
      <c r="E105">
        <v>0.50542600000000004</v>
      </c>
      <c r="F105" t="s">
        <v>41</v>
      </c>
      <c r="G105">
        <v>-445.41770000000002</v>
      </c>
      <c r="H105" s="1">
        <v>-2.555879E-6</v>
      </c>
      <c r="I105">
        <v>367.30869999999999</v>
      </c>
      <c r="J105">
        <v>-466.70609999999999</v>
      </c>
      <c r="K105">
        <v>1.1087629999999999</v>
      </c>
      <c r="L105">
        <v>367.56740000000002</v>
      </c>
      <c r="M105">
        <v>0.99887840000000006</v>
      </c>
      <c r="N105">
        <v>0</v>
      </c>
      <c r="O105">
        <v>4.7326609999999998E-2</v>
      </c>
      <c r="P105">
        <v>0.98266920000000002</v>
      </c>
      <c r="Q105">
        <v>0.18503339999999999</v>
      </c>
      <c r="R105">
        <v>-1.1131200000000001E-2</v>
      </c>
      <c r="S105">
        <v>3.082611</v>
      </c>
      <c r="T105">
        <v>-0.15912499999999999</v>
      </c>
      <c r="U105">
        <v>-3.5766600000000003E-2</v>
      </c>
      <c r="V105">
        <v>5.7577209999999997E-2</v>
      </c>
      <c r="W105">
        <v>0.18646119999999999</v>
      </c>
      <c r="X105">
        <v>0.98077369999999997</v>
      </c>
      <c r="Y105">
        <v>5.8771160000000003E-2</v>
      </c>
      <c r="Z105">
        <v>-3.9566159999999996E-3</v>
      </c>
      <c r="AA105">
        <v>0.99826369999999998</v>
      </c>
      <c r="AB105">
        <v>18</v>
      </c>
      <c r="AC105">
        <v>21.2883999999999</v>
      </c>
      <c r="AD105">
        <v>-1.1087655558789999</v>
      </c>
      <c r="AE105">
        <v>-0.25870000000003301</v>
      </c>
      <c r="AF105">
        <v>1.26249479908411</v>
      </c>
      <c r="AG105">
        <v>-1.1087655558789999</v>
      </c>
      <c r="AH105">
        <v>21.194816629498501</v>
      </c>
      <c r="AI105">
        <v>92.989298513747698</v>
      </c>
      <c r="AJ105">
        <v>86.591135726991098</v>
      </c>
      <c r="AK105">
        <v>21.261314779046099</v>
      </c>
      <c r="AL105">
        <v>79.253664336011596</v>
      </c>
      <c r="AM105">
        <v>86.640255389654698</v>
      </c>
      <c r="AN105">
        <v>0.99999998241425603</v>
      </c>
    </row>
    <row r="106" spans="1:40" x14ac:dyDescent="0.25">
      <c r="A106" t="str">
        <f>"20190312172858740"</f>
        <v>20190312172858740</v>
      </c>
      <c r="B106" t="str">
        <f>"1552382938737702"</f>
        <v>1552382938737702</v>
      </c>
      <c r="C106" t="s">
        <v>40</v>
      </c>
      <c r="D106">
        <v>3.4673240000000001</v>
      </c>
      <c r="E106">
        <v>0.50571529999999998</v>
      </c>
      <c r="F106" t="s">
        <v>41</v>
      </c>
      <c r="G106">
        <v>-446.34719999999999</v>
      </c>
      <c r="H106" s="1">
        <v>-2.1128879999999998E-6</v>
      </c>
      <c r="I106">
        <v>367.32909999999998</v>
      </c>
      <c r="J106">
        <v>-466.51170000000002</v>
      </c>
      <c r="K106">
        <v>1.108738</v>
      </c>
      <c r="L106">
        <v>367.57690000000002</v>
      </c>
      <c r="M106">
        <v>0.99886509999999995</v>
      </c>
      <c r="N106">
        <v>0</v>
      </c>
      <c r="O106">
        <v>4.7605450000000001E-2</v>
      </c>
      <c r="P106">
        <v>0.98271730000000002</v>
      </c>
      <c r="Q106">
        <v>0.18477180000000001</v>
      </c>
      <c r="R106">
        <v>-1.1229599999999999E-2</v>
      </c>
      <c r="S106">
        <v>3.0841370000000001</v>
      </c>
      <c r="T106">
        <v>-0.16796549999999999</v>
      </c>
      <c r="U106">
        <v>-3.6102290000000002E-2</v>
      </c>
      <c r="V106">
        <v>5.7960520000000001E-2</v>
      </c>
      <c r="W106">
        <v>0.18622320000000001</v>
      </c>
      <c r="X106">
        <v>0.98079629999999995</v>
      </c>
      <c r="Y106">
        <v>5.9135840000000002E-2</v>
      </c>
      <c r="Z106">
        <v>-4.199141E-3</v>
      </c>
      <c r="AA106">
        <v>0.99824109999999999</v>
      </c>
      <c r="AB106">
        <v>19</v>
      </c>
      <c r="AC106">
        <v>20.1645</v>
      </c>
      <c r="AD106">
        <v>-1.1087401128879999</v>
      </c>
      <c r="AE106">
        <v>-0.24780000000003999</v>
      </c>
      <c r="AF106">
        <v>1.20382122519306</v>
      </c>
      <c r="AG106">
        <v>-1.1087401128879999</v>
      </c>
      <c r="AH106">
        <v>20.069174711027799</v>
      </c>
      <c r="AI106">
        <v>93.156481897840607</v>
      </c>
      <c r="AJ106">
        <v>86.567306268547796</v>
      </c>
      <c r="AK106">
        <v>20.135795583038501</v>
      </c>
      <c r="AL106">
        <v>79.267543394695593</v>
      </c>
      <c r="AM106">
        <v>86.618017988032193</v>
      </c>
      <c r="AN106">
        <v>0.99999994209529797</v>
      </c>
    </row>
    <row r="107" spans="1:40" x14ac:dyDescent="0.25">
      <c r="A107" t="str">
        <f>"20190312172858763"</f>
        <v>20190312172858763</v>
      </c>
      <c r="B107" t="str">
        <f>"1552382938757222"</f>
        <v>1552382938757222</v>
      </c>
      <c r="C107" t="s">
        <v>40</v>
      </c>
      <c r="D107">
        <v>3.5064350000000002</v>
      </c>
      <c r="E107">
        <v>0.50579750000000001</v>
      </c>
      <c r="F107" t="s">
        <v>41</v>
      </c>
      <c r="G107">
        <v>-447.50889999999998</v>
      </c>
      <c r="H107" s="1">
        <v>-1.5608820000000001E-6</v>
      </c>
      <c r="I107">
        <v>367.34519999999998</v>
      </c>
      <c r="J107">
        <v>-466.32510000000002</v>
      </c>
      <c r="K107">
        <v>1.1087209999999901</v>
      </c>
      <c r="L107">
        <v>367.58609999999999</v>
      </c>
      <c r="M107">
        <v>0.99885369999999996</v>
      </c>
      <c r="N107">
        <v>0</v>
      </c>
      <c r="O107">
        <v>4.7845140000000001E-2</v>
      </c>
      <c r="P107">
        <v>0.98284700000000003</v>
      </c>
      <c r="Q107">
        <v>0.1840628</v>
      </c>
      <c r="R107">
        <v>-1.1526450000000001E-2</v>
      </c>
      <c r="S107">
        <v>3.086182</v>
      </c>
      <c r="T107">
        <v>-0.18006720000000001</v>
      </c>
      <c r="U107">
        <v>-3.7628170000000002E-2</v>
      </c>
      <c r="V107">
        <v>5.850503E-2</v>
      </c>
      <c r="W107">
        <v>0.18553919999999999</v>
      </c>
      <c r="X107">
        <v>0.98089369999999998</v>
      </c>
      <c r="Y107">
        <v>5.9836149999999998E-2</v>
      </c>
      <c r="Z107">
        <v>-4.5325770000000003E-3</v>
      </c>
      <c r="AA107">
        <v>0.99819789999999997</v>
      </c>
      <c r="AB107">
        <v>19</v>
      </c>
      <c r="AC107">
        <v>18.816199999999998</v>
      </c>
      <c r="AD107">
        <v>-1.1087225608819999</v>
      </c>
      <c r="AE107">
        <v>-0.24090000000001</v>
      </c>
      <c r="AF107">
        <v>1.13694195817939</v>
      </c>
      <c r="AG107">
        <v>-1.1087225608819999</v>
      </c>
      <c r="AH107">
        <v>18.7181460032503</v>
      </c>
      <c r="AI107">
        <v>93.383590157034504</v>
      </c>
      <c r="AJ107">
        <v>86.524119327915599</v>
      </c>
      <c r="AK107">
        <v>18.785390401380301</v>
      </c>
      <c r="AL107">
        <v>79.307429906038607</v>
      </c>
      <c r="AM107">
        <v>86.586658918678594</v>
      </c>
      <c r="AN107">
        <v>1.0000000419858099</v>
      </c>
    </row>
    <row r="108" spans="1:40" x14ac:dyDescent="0.25">
      <c r="A108" t="str">
        <f>"20190312172858784"</f>
        <v>20190312172858784</v>
      </c>
      <c r="B108" t="str">
        <f>"1552382938777719"</f>
        <v>1552382938777719</v>
      </c>
      <c r="C108" t="s">
        <v>40</v>
      </c>
      <c r="D108">
        <v>3.520905</v>
      </c>
      <c r="E108">
        <v>0.50585100000000005</v>
      </c>
      <c r="F108" t="s">
        <v>41</v>
      </c>
      <c r="G108">
        <v>-448.10169999999999</v>
      </c>
      <c r="H108" s="1">
        <v>-1.3135499999999999E-6</v>
      </c>
      <c r="I108">
        <v>367.36</v>
      </c>
      <c r="J108">
        <v>-466.14229999999998</v>
      </c>
      <c r="K108">
        <v>1.1087089999999999</v>
      </c>
      <c r="L108">
        <v>367.59519999999998</v>
      </c>
      <c r="M108">
        <v>0.99884329999999999</v>
      </c>
      <c r="N108">
        <v>0</v>
      </c>
      <c r="O108">
        <v>4.8060400000000003E-2</v>
      </c>
      <c r="P108">
        <v>0.98293129999999995</v>
      </c>
      <c r="Q108">
        <v>0.1836013</v>
      </c>
      <c r="R108">
        <v>-1.169072E-2</v>
      </c>
      <c r="S108">
        <v>3.087097</v>
      </c>
      <c r="T108">
        <v>-0.18782070000000001</v>
      </c>
      <c r="U108">
        <v>-3.8299560000000003E-2</v>
      </c>
      <c r="V108">
        <v>5.888885E-2</v>
      </c>
      <c r="W108">
        <v>0.18510389999999999</v>
      </c>
      <c r="X108">
        <v>0.98095290000000002</v>
      </c>
      <c r="Y108">
        <v>6.0247589999999997E-2</v>
      </c>
      <c r="Z108">
        <v>-4.7515700000000001E-3</v>
      </c>
      <c r="AA108">
        <v>0.99817219999999995</v>
      </c>
      <c r="AB108">
        <v>19</v>
      </c>
      <c r="AC108">
        <v>18.040599999999898</v>
      </c>
      <c r="AD108">
        <v>-1.10871031355</v>
      </c>
      <c r="AE108">
        <v>-0.23519999999996299</v>
      </c>
      <c r="AF108">
        <v>1.0978219944549099</v>
      </c>
      <c r="AG108">
        <v>-1.10871031355</v>
      </c>
      <c r="AH108">
        <v>17.940700462608199</v>
      </c>
      <c r="AI108">
        <v>93.529716730292094</v>
      </c>
      <c r="AJ108">
        <v>86.498339951878606</v>
      </c>
      <c r="AK108">
        <v>18.008419830176901</v>
      </c>
      <c r="AL108">
        <v>79.332809637022905</v>
      </c>
      <c r="AM108">
        <v>86.564526136793305</v>
      </c>
      <c r="AN108">
        <v>0.99999997123397</v>
      </c>
    </row>
    <row r="109" spans="1:40" x14ac:dyDescent="0.25">
      <c r="A109" t="str">
        <f>"20190312172858806"</f>
        <v>20190312172858806</v>
      </c>
      <c r="B109" t="str">
        <f>"1552382938798219"</f>
        <v>1552382938798219</v>
      </c>
      <c r="C109" t="s">
        <v>40</v>
      </c>
      <c r="D109">
        <v>3.5390679999999999</v>
      </c>
      <c r="E109">
        <v>0.50580999999999998</v>
      </c>
      <c r="F109" t="s">
        <v>42</v>
      </c>
      <c r="G109">
        <v>-465.24059999999997</v>
      </c>
      <c r="H109">
        <v>1.0522469999999999</v>
      </c>
      <c r="I109">
        <v>367.58350000000002</v>
      </c>
      <c r="J109">
        <v>-465.95170000000002</v>
      </c>
      <c r="K109">
        <v>1.1087089999999999</v>
      </c>
      <c r="L109">
        <v>367.6046</v>
      </c>
      <c r="M109">
        <v>0.99883310000000003</v>
      </c>
      <c r="N109">
        <v>0</v>
      </c>
      <c r="O109">
        <v>4.8272210000000003E-2</v>
      </c>
      <c r="P109">
        <v>0.98298430000000003</v>
      </c>
      <c r="Q109">
        <v>0.1833214</v>
      </c>
      <c r="R109">
        <v>-1.1635589999999999E-2</v>
      </c>
      <c r="S109">
        <v>3.0877690000000002</v>
      </c>
      <c r="T109">
        <v>-0.19349920000000001</v>
      </c>
      <c r="U109">
        <v>-3.9184570000000002E-2</v>
      </c>
      <c r="V109">
        <v>5.9045630000000002E-2</v>
      </c>
      <c r="W109">
        <v>0.18485180000000001</v>
      </c>
      <c r="X109">
        <v>0.9809911</v>
      </c>
      <c r="Y109">
        <v>6.0729060000000001E-2</v>
      </c>
      <c r="Z109">
        <v>-4.9222049999999998E-3</v>
      </c>
      <c r="AA109">
        <v>0.99814210000000003</v>
      </c>
      <c r="AB109">
        <v>19</v>
      </c>
      <c r="AC109">
        <v>0.71110000000004403</v>
      </c>
      <c r="AD109">
        <v>-5.6461999999999998E-2</v>
      </c>
      <c r="AE109">
        <v>-2.1099999999989901E-2</v>
      </c>
      <c r="AF109">
        <v>5.5055019325630901E-2</v>
      </c>
      <c r="AG109">
        <v>-5.6461999999999998E-2</v>
      </c>
      <c r="AH109">
        <v>0.70481287617574395</v>
      </c>
      <c r="AI109">
        <v>94.5662878356909</v>
      </c>
      <c r="AJ109">
        <v>85.533526650351206</v>
      </c>
      <c r="AK109">
        <v>0.70921097215149598</v>
      </c>
      <c r="AL109">
        <v>79.347508467050403</v>
      </c>
      <c r="AM109">
        <v>86.555535666221502</v>
      </c>
      <c r="AN109">
        <v>1.00000005633227</v>
      </c>
    </row>
    <row r="110" spans="1:40" x14ac:dyDescent="0.25">
      <c r="A110" t="str">
        <f>"20190312172858829"</f>
        <v>20190312172858829</v>
      </c>
      <c r="B110" t="str">
        <f>"1552382938817742"</f>
        <v>1552382938817742</v>
      </c>
      <c r="C110" t="s">
        <v>40</v>
      </c>
      <c r="D110">
        <v>3.5412170000000001</v>
      </c>
      <c r="E110">
        <v>0.50584659999999904</v>
      </c>
      <c r="F110" t="s">
        <v>42</v>
      </c>
      <c r="G110">
        <v>-465.06599999999997</v>
      </c>
      <c r="H110">
        <v>1.0523720000000001</v>
      </c>
      <c r="I110">
        <v>367.59309999999999</v>
      </c>
      <c r="J110">
        <v>-465.75130000000001</v>
      </c>
      <c r="K110">
        <v>1.1087119999999999</v>
      </c>
      <c r="L110">
        <v>367.61450000000002</v>
      </c>
      <c r="M110">
        <v>0.9988226</v>
      </c>
      <c r="N110">
        <v>0</v>
      </c>
      <c r="O110">
        <v>4.8487839999999997E-2</v>
      </c>
      <c r="P110">
        <v>0.98300549999999998</v>
      </c>
      <c r="Q110">
        <v>0.1832144</v>
      </c>
      <c r="R110">
        <v>-1.153062E-2</v>
      </c>
      <c r="S110">
        <v>3.088165</v>
      </c>
      <c r="T110">
        <v>-0.19673840000000001</v>
      </c>
      <c r="U110">
        <v>-3.823853E-2</v>
      </c>
      <c r="V110">
        <v>5.915223E-2</v>
      </c>
      <c r="W110">
        <v>0.18477489999999999</v>
      </c>
      <c r="X110">
        <v>0.98099910000000001</v>
      </c>
      <c r="Y110">
        <v>6.0629799999999998E-2</v>
      </c>
      <c r="Z110">
        <v>-5.014353E-3</v>
      </c>
      <c r="AA110">
        <v>0.99814769999999997</v>
      </c>
      <c r="AB110">
        <v>19</v>
      </c>
      <c r="AC110">
        <v>0.68530000000003999</v>
      </c>
      <c r="AD110">
        <v>-5.6340000000000202E-2</v>
      </c>
      <c r="AE110">
        <v>-2.1400000000028199E-2</v>
      </c>
      <c r="AF110">
        <v>5.4237359798239002E-2</v>
      </c>
      <c r="AG110">
        <v>-5.6340000000000202E-2</v>
      </c>
      <c r="AH110">
        <v>0.67887236835313203</v>
      </c>
      <c r="AI110">
        <v>94.729137062148098</v>
      </c>
      <c r="AJ110">
        <v>85.432152869787203</v>
      </c>
      <c r="AK110">
        <v>0.68336196800178595</v>
      </c>
      <c r="AL110">
        <v>79.3519910507529</v>
      </c>
      <c r="AM110">
        <v>86.549360172139501</v>
      </c>
      <c r="AN110">
        <v>0.99999999209239598</v>
      </c>
    </row>
    <row r="111" spans="1:40" x14ac:dyDescent="0.25">
      <c r="A111" t="str">
        <f>"20190312172858861"</f>
        <v>20190312172858861</v>
      </c>
      <c r="B111" t="str">
        <f>"1552382938857755"</f>
        <v>1552382938857755</v>
      </c>
      <c r="C111" t="s">
        <v>40</v>
      </c>
      <c r="D111">
        <v>3.6271010000000001</v>
      </c>
      <c r="E111">
        <v>0.50571659999999996</v>
      </c>
      <c r="F111" t="s">
        <v>42</v>
      </c>
      <c r="G111">
        <v>-464.88929999999999</v>
      </c>
      <c r="H111">
        <v>1.0532170000000001</v>
      </c>
      <c r="I111">
        <v>367.6037</v>
      </c>
      <c r="J111">
        <v>-465.45780000000002</v>
      </c>
      <c r="K111">
        <v>1.1087209999999901</v>
      </c>
      <c r="L111">
        <v>367.62909999999999</v>
      </c>
      <c r="M111">
        <v>0.99880729999999995</v>
      </c>
      <c r="N111">
        <v>0</v>
      </c>
      <c r="O111">
        <v>4.8799380000000003E-2</v>
      </c>
      <c r="P111">
        <v>0.98297230000000002</v>
      </c>
      <c r="Q111">
        <v>0.18342620000000001</v>
      </c>
      <c r="R111">
        <v>-1.0962390000000001E-2</v>
      </c>
      <c r="S111">
        <v>3.0885310000000001</v>
      </c>
      <c r="T111">
        <v>-0.19905519999999999</v>
      </c>
      <c r="U111">
        <v>-3.7658690000000002E-2</v>
      </c>
      <c r="V111">
        <v>5.888413E-2</v>
      </c>
      <c r="W111">
        <v>0.18503410000000001</v>
      </c>
      <c r="X111">
        <v>0.98096640000000002</v>
      </c>
      <c r="Y111">
        <v>6.0746250000000002E-2</v>
      </c>
      <c r="Z111">
        <v>-5.0964749999999996E-3</v>
      </c>
      <c r="AA111">
        <v>0.99814020000000003</v>
      </c>
      <c r="AB111">
        <v>20</v>
      </c>
      <c r="AC111">
        <v>0.56850000000002798</v>
      </c>
      <c r="AD111">
        <v>-5.5503999999999699E-2</v>
      </c>
      <c r="AE111">
        <v>-2.53999999999905E-2</v>
      </c>
      <c r="AF111">
        <v>5.26117219628729E-2</v>
      </c>
      <c r="AG111">
        <v>-5.5503999999999699E-2</v>
      </c>
      <c r="AH111">
        <v>0.56124401764389198</v>
      </c>
      <c r="AI111">
        <v>95.623383915884105</v>
      </c>
      <c r="AJ111">
        <v>84.644671300907206</v>
      </c>
      <c r="AK111">
        <v>0.56643052058037702</v>
      </c>
      <c r="AL111">
        <v>79.336879690922203</v>
      </c>
      <c r="AM111">
        <v>86.564847995811505</v>
      </c>
      <c r="AN111">
        <v>1.00000001842881</v>
      </c>
    </row>
    <row r="112" spans="1:40" x14ac:dyDescent="0.25">
      <c r="A112" t="str">
        <f>"20190312172858884"</f>
        <v>20190312172858884</v>
      </c>
      <c r="B112" t="str">
        <f>"1552382938877275"</f>
        <v>1552382938877275</v>
      </c>
      <c r="C112" t="s">
        <v>40</v>
      </c>
      <c r="D112">
        <v>3.5350630000000001</v>
      </c>
      <c r="E112">
        <v>0.50571339999999998</v>
      </c>
      <c r="F112" t="s">
        <v>42</v>
      </c>
      <c r="G112">
        <v>-464.70229999999998</v>
      </c>
      <c r="H112">
        <v>1.059485</v>
      </c>
      <c r="I112">
        <v>367.61989999999997</v>
      </c>
      <c r="J112">
        <v>-465.26319999999998</v>
      </c>
      <c r="K112">
        <v>1.1087370000000001</v>
      </c>
      <c r="L112">
        <v>367.63889999999998</v>
      </c>
      <c r="M112">
        <v>0.99879709999999999</v>
      </c>
      <c r="N112">
        <v>0</v>
      </c>
      <c r="O112">
        <v>4.900786E-2</v>
      </c>
      <c r="P112">
        <v>0.98290869999999997</v>
      </c>
      <c r="Q112">
        <v>0.183784</v>
      </c>
      <c r="R112">
        <v>-1.0686029999999999E-2</v>
      </c>
      <c r="S112">
        <v>3.089264</v>
      </c>
      <c r="T112">
        <v>-0.2018394</v>
      </c>
      <c r="U112">
        <v>-3.5247800000000003E-2</v>
      </c>
      <c r="V112">
        <v>5.880548E-2</v>
      </c>
      <c r="W112">
        <v>0.1854277</v>
      </c>
      <c r="X112">
        <v>0.98089680000000001</v>
      </c>
      <c r="Y112">
        <v>6.0167350000000001E-2</v>
      </c>
      <c r="Z112">
        <v>-5.1611010000000004E-3</v>
      </c>
      <c r="AA112">
        <v>0.99817500000000003</v>
      </c>
      <c r="AB112">
        <v>20</v>
      </c>
      <c r="AC112">
        <v>0.56090000000000295</v>
      </c>
      <c r="AD112">
        <v>-4.9251999999999997E-2</v>
      </c>
      <c r="AE112">
        <v>-1.9000000000005401E-2</v>
      </c>
      <c r="AF112">
        <v>4.6110590011793802E-2</v>
      </c>
      <c r="AG112">
        <v>-4.9251999999999997E-2</v>
      </c>
      <c r="AH112">
        <v>0.55502034274008905</v>
      </c>
      <c r="AI112">
        <v>95.053771880368103</v>
      </c>
      <c r="AJ112">
        <v>85.250824707599193</v>
      </c>
      <c r="AK112">
        <v>0.55910600682747302</v>
      </c>
      <c r="AL112">
        <v>79.313931008689195</v>
      </c>
      <c r="AM112">
        <v>86.569182436968205</v>
      </c>
      <c r="AN112">
        <v>1.00000002432778</v>
      </c>
    </row>
    <row r="113" spans="1:40" x14ac:dyDescent="0.25">
      <c r="A113" t="str">
        <f>"20190312172858906"</f>
        <v>20190312172858906</v>
      </c>
      <c r="B113" t="str">
        <f>"1552382938897786"</f>
        <v>1552382938897786</v>
      </c>
      <c r="C113" t="s">
        <v>40</v>
      </c>
      <c r="D113">
        <v>3.543069</v>
      </c>
      <c r="E113">
        <v>0.50571290000000002</v>
      </c>
      <c r="F113" t="s">
        <v>42</v>
      </c>
      <c r="G113">
        <v>-464.35520000000002</v>
      </c>
      <c r="H113">
        <v>1.049623</v>
      </c>
      <c r="I113">
        <v>367.62799999999999</v>
      </c>
      <c r="J113">
        <v>-465.05650000000003</v>
      </c>
      <c r="K113">
        <v>1.1087499999999999</v>
      </c>
      <c r="L113">
        <v>367.64920000000001</v>
      </c>
      <c r="M113">
        <v>0.9987859</v>
      </c>
      <c r="N113">
        <v>0</v>
      </c>
      <c r="O113">
        <v>4.9233569999999997E-2</v>
      </c>
      <c r="P113">
        <v>0.98299420000000004</v>
      </c>
      <c r="Q113">
        <v>0.18337639999999999</v>
      </c>
      <c r="R113">
        <v>-9.7787910000000002E-3</v>
      </c>
      <c r="S113">
        <v>3.0895079999999999</v>
      </c>
      <c r="T113">
        <v>-0.20178570000000001</v>
      </c>
      <c r="U113">
        <v>-3.4301760000000001E-2</v>
      </c>
      <c r="V113">
        <v>5.8121199999999998E-2</v>
      </c>
      <c r="W113">
        <v>0.18506449999999999</v>
      </c>
      <c r="X113">
        <v>0.98100609999999999</v>
      </c>
      <c r="Y113">
        <v>6.0086260000000002E-2</v>
      </c>
      <c r="Z113">
        <v>-5.1713940000000002E-3</v>
      </c>
      <c r="AA113">
        <v>0.99817979999999995</v>
      </c>
      <c r="AB113">
        <v>20</v>
      </c>
      <c r="AC113">
        <v>0.70130000000000303</v>
      </c>
      <c r="AD113">
        <v>-5.9126999999999902E-2</v>
      </c>
      <c r="AE113">
        <v>-2.1199999999964799E-2</v>
      </c>
      <c r="AF113">
        <v>5.5309048398898199E-2</v>
      </c>
      <c r="AG113">
        <v>-5.9126999999999902E-2</v>
      </c>
      <c r="AH113">
        <v>0.69447377154213996</v>
      </c>
      <c r="AI113">
        <v>94.851099198565294</v>
      </c>
      <c r="AJ113">
        <v>85.446479763568306</v>
      </c>
      <c r="AK113">
        <v>0.69917731107620695</v>
      </c>
      <c r="AL113">
        <v>79.335106611078203</v>
      </c>
      <c r="AM113">
        <v>86.609387788210597</v>
      </c>
      <c r="AN113">
        <v>0.99999995564344901</v>
      </c>
    </row>
    <row r="114" spans="1:40" x14ac:dyDescent="0.25">
      <c r="A114" t="str">
        <f>"20190312172858929"</f>
        <v>20190312172858929</v>
      </c>
      <c r="B114" t="str">
        <f>"1552382938917306"</f>
        <v>1552382938917306</v>
      </c>
      <c r="C114" t="s">
        <v>40</v>
      </c>
      <c r="D114">
        <v>3.540467</v>
      </c>
      <c r="E114">
        <v>0.50567910000000005</v>
      </c>
      <c r="F114" t="s">
        <v>42</v>
      </c>
      <c r="G114">
        <v>-464.17320000000001</v>
      </c>
      <c r="H114">
        <v>1.0504249999999999</v>
      </c>
      <c r="I114">
        <v>367.63990000000001</v>
      </c>
      <c r="J114">
        <v>-464.85250000000002</v>
      </c>
      <c r="K114">
        <v>1.1087629999999999</v>
      </c>
      <c r="L114">
        <v>367.65949999999998</v>
      </c>
      <c r="M114">
        <v>0.99877470000000002</v>
      </c>
      <c r="N114">
        <v>0</v>
      </c>
      <c r="O114">
        <v>4.9459860000000001E-2</v>
      </c>
      <c r="P114">
        <v>0.98293640000000004</v>
      </c>
      <c r="Q114">
        <v>0.1837297</v>
      </c>
      <c r="R114">
        <v>-8.9217619999999997E-3</v>
      </c>
      <c r="S114">
        <v>3.0896910000000002</v>
      </c>
      <c r="T114">
        <v>-0.20411670000000001</v>
      </c>
      <c r="U114">
        <v>-3.2135009999999999E-2</v>
      </c>
      <c r="V114">
        <v>5.7481070000000002E-2</v>
      </c>
      <c r="W114">
        <v>0.18546699999999999</v>
      </c>
      <c r="X114">
        <v>0.98096779999999995</v>
      </c>
      <c r="Y114">
        <v>5.9607E-2</v>
      </c>
      <c r="Z114">
        <v>-5.2298099999999997E-3</v>
      </c>
      <c r="AA114">
        <v>0.99820819999999999</v>
      </c>
      <c r="AB114">
        <v>20</v>
      </c>
      <c r="AC114">
        <v>0.67930000000001201</v>
      </c>
      <c r="AD114">
        <v>-5.8338000000000001E-2</v>
      </c>
      <c r="AE114">
        <v>-1.95999999999685E-2</v>
      </c>
      <c r="AF114">
        <v>5.2785159326406497E-2</v>
      </c>
      <c r="AG114">
        <v>-5.8338000000000001E-2</v>
      </c>
      <c r="AH114">
        <v>0.67254311304869996</v>
      </c>
      <c r="AI114">
        <v>94.9424401803455</v>
      </c>
      <c r="AJ114">
        <v>85.512288250479301</v>
      </c>
      <c r="AK114">
        <v>0.67712911191171699</v>
      </c>
      <c r="AL114">
        <v>79.311638766589198</v>
      </c>
      <c r="AM114">
        <v>86.646514687110596</v>
      </c>
      <c r="AN114">
        <v>0.999999953067091</v>
      </c>
    </row>
    <row r="115" spans="1:40" x14ac:dyDescent="0.25">
      <c r="A115" t="str">
        <f>"20190312172858952"</f>
        <v>20190312172858952</v>
      </c>
      <c r="B115" t="str">
        <f>"1552382938947562"</f>
        <v>1552382938947562</v>
      </c>
      <c r="C115" t="s">
        <v>40</v>
      </c>
      <c r="D115">
        <v>3.5450029999999999</v>
      </c>
      <c r="E115">
        <v>0.50577240000000001</v>
      </c>
      <c r="F115" t="s">
        <v>42</v>
      </c>
      <c r="G115">
        <v>-463.98880000000003</v>
      </c>
      <c r="H115">
        <v>1.0518940000000001</v>
      </c>
      <c r="I115">
        <v>367.6508</v>
      </c>
      <c r="J115">
        <v>-464.64030000000002</v>
      </c>
      <c r="K115">
        <v>1.1087750000000001</v>
      </c>
      <c r="L115">
        <v>367.6703</v>
      </c>
      <c r="M115">
        <v>0.9987627</v>
      </c>
      <c r="N115">
        <v>0</v>
      </c>
      <c r="O115">
        <v>4.9698190000000003E-2</v>
      </c>
      <c r="P115">
        <v>0.98281649999999998</v>
      </c>
      <c r="Q115">
        <v>0.18437919999999999</v>
      </c>
      <c r="R115">
        <v>-8.7470919999999997E-3</v>
      </c>
      <c r="S115">
        <v>3.089966</v>
      </c>
      <c r="T115">
        <v>-0.20388770000000001</v>
      </c>
      <c r="U115">
        <v>-2.966309E-2</v>
      </c>
      <c r="V115">
        <v>5.7531939999999997E-2</v>
      </c>
      <c r="W115">
        <v>0.18617449999999999</v>
      </c>
      <c r="X115">
        <v>0.9808308</v>
      </c>
      <c r="Y115">
        <v>5.904707E-2</v>
      </c>
      <c r="Z115">
        <v>-5.2207390000000003E-3</v>
      </c>
      <c r="AA115">
        <v>0.9982415</v>
      </c>
      <c r="AB115">
        <v>20</v>
      </c>
      <c r="AC115">
        <v>0.65149999999999797</v>
      </c>
      <c r="AD115">
        <v>-5.6880999999999897E-2</v>
      </c>
      <c r="AE115">
        <v>-1.9499999999993599E-2</v>
      </c>
      <c r="AF115">
        <v>5.14623969493605E-2</v>
      </c>
      <c r="AG115">
        <v>-5.6880999999999897E-2</v>
      </c>
      <c r="AH115">
        <v>0.644815015027981</v>
      </c>
      <c r="AI115">
        <v>95.025280864226204</v>
      </c>
      <c r="AJ115">
        <v>85.436921425062394</v>
      </c>
      <c r="AK115">
        <v>0.64936140173736001</v>
      </c>
      <c r="AL115">
        <v>79.270383595785106</v>
      </c>
      <c r="AM115">
        <v>86.643085930341599</v>
      </c>
      <c r="AN115">
        <v>0.99999996339952602</v>
      </c>
    </row>
    <row r="116" spans="1:40" x14ac:dyDescent="0.25">
      <c r="A116" t="str">
        <f>"20190312172858973"</f>
        <v>20190312172858973</v>
      </c>
      <c r="B116" t="str">
        <f>"1552382938967082"</f>
        <v>1552382938967082</v>
      </c>
      <c r="C116" t="s">
        <v>40</v>
      </c>
      <c r="D116">
        <v>3.5403440000000002</v>
      </c>
      <c r="E116">
        <v>0.50580919999999996</v>
      </c>
      <c r="F116" t="s">
        <v>42</v>
      </c>
      <c r="G116">
        <v>-463.80259999999998</v>
      </c>
      <c r="H116">
        <v>1.0538379999999901</v>
      </c>
      <c r="I116">
        <v>367.6619</v>
      </c>
      <c r="J116">
        <v>-464.44040000000001</v>
      </c>
      <c r="K116">
        <v>1.108786</v>
      </c>
      <c r="L116">
        <v>367.68049999999999</v>
      </c>
      <c r="M116">
        <v>0.99875130000000001</v>
      </c>
      <c r="N116">
        <v>0</v>
      </c>
      <c r="O116">
        <v>4.9922250000000001E-2</v>
      </c>
      <c r="P116">
        <v>0.98282579999999997</v>
      </c>
      <c r="Q116">
        <v>0.18436</v>
      </c>
      <c r="R116">
        <v>-8.0520360000000003E-3</v>
      </c>
      <c r="S116">
        <v>3.0902400000000001</v>
      </c>
      <c r="T116">
        <v>-0.20290900000000001</v>
      </c>
      <c r="U116">
        <v>-2.990723E-2</v>
      </c>
      <c r="V116">
        <v>5.7057400000000001E-2</v>
      </c>
      <c r="W116">
        <v>0.18622</v>
      </c>
      <c r="X116">
        <v>0.98084990000000005</v>
      </c>
      <c r="Y116">
        <v>5.9350199999999902E-2</v>
      </c>
      <c r="Z116">
        <v>-5.2198970000000003E-3</v>
      </c>
      <c r="AA116">
        <v>0.99822359999999999</v>
      </c>
      <c r="AB116">
        <v>21</v>
      </c>
      <c r="AC116">
        <v>0.63780000000002701</v>
      </c>
      <c r="AD116">
        <v>-5.4948000000000198E-2</v>
      </c>
      <c r="AE116">
        <v>-1.8599999999992099E-2</v>
      </c>
      <c r="AF116">
        <v>5.0046137630527399E-2</v>
      </c>
      <c r="AG116">
        <v>-5.4948000000000198E-2</v>
      </c>
      <c r="AH116">
        <v>0.63139380181161198</v>
      </c>
      <c r="AI116">
        <v>94.958247621277494</v>
      </c>
      <c r="AJ116">
        <v>85.468042286911299</v>
      </c>
      <c r="AK116">
        <v>0.63575312155101105</v>
      </c>
      <c r="AL116">
        <v>79.267730425890406</v>
      </c>
      <c r="AM116">
        <v>86.670776866739402</v>
      </c>
      <c r="AN116">
        <v>0.99999998081238395</v>
      </c>
    </row>
    <row r="117" spans="1:40" x14ac:dyDescent="0.25">
      <c r="A117" t="str">
        <f>"20190312172858996"</f>
        <v>20190312172858996</v>
      </c>
      <c r="B117" t="str">
        <f>"1552382938987578"</f>
        <v>1552382938987578</v>
      </c>
      <c r="C117" t="s">
        <v>40</v>
      </c>
      <c r="D117">
        <v>3.55315</v>
      </c>
      <c r="E117">
        <v>0.50582720000000003</v>
      </c>
      <c r="F117" t="s">
        <v>42</v>
      </c>
      <c r="G117">
        <v>-463.61599999999999</v>
      </c>
      <c r="H117">
        <v>1.054516</v>
      </c>
      <c r="I117">
        <v>367.67270000000002</v>
      </c>
      <c r="J117">
        <v>-464.22879999999998</v>
      </c>
      <c r="K117">
        <v>1.1087959999999999</v>
      </c>
      <c r="L117">
        <v>367.69139999999999</v>
      </c>
      <c r="M117">
        <v>0.99873970000000001</v>
      </c>
      <c r="N117">
        <v>0</v>
      </c>
      <c r="O117">
        <v>5.0154219999999999E-2</v>
      </c>
      <c r="P117">
        <v>0.98287809999999998</v>
      </c>
      <c r="Q117">
        <v>0.18409629999999999</v>
      </c>
      <c r="R117">
        <v>-7.7145709999999999E-3</v>
      </c>
      <c r="S117">
        <v>3.0904539999999998</v>
      </c>
      <c r="T117">
        <v>-0.2036229</v>
      </c>
      <c r="U117">
        <v>-2.8320310000000001E-2</v>
      </c>
      <c r="V117">
        <v>5.6950729999999998E-2</v>
      </c>
      <c r="W117">
        <v>0.1860377</v>
      </c>
      <c r="X117">
        <v>0.9808907</v>
      </c>
      <c r="Y117">
        <v>5.9067330000000001E-2</v>
      </c>
      <c r="Z117">
        <v>-5.2438110000000001E-3</v>
      </c>
      <c r="AA117">
        <v>0.99824020000000002</v>
      </c>
      <c r="AB117">
        <v>21</v>
      </c>
      <c r="AC117">
        <v>0.61279999999999202</v>
      </c>
      <c r="AD117">
        <v>-5.4279999999999801E-2</v>
      </c>
      <c r="AE117">
        <v>-1.8699999999967E-2</v>
      </c>
      <c r="AF117">
        <v>4.9026726109632102E-2</v>
      </c>
      <c r="AG117">
        <v>-5.4279999999999801E-2</v>
      </c>
      <c r="AH117">
        <v>0.60633805848826405</v>
      </c>
      <c r="AI117">
        <v>95.098987288313197</v>
      </c>
      <c r="AJ117">
        <v>85.377287182608498</v>
      </c>
      <c r="AK117">
        <v>0.61073380407862299</v>
      </c>
      <c r="AL117">
        <v>79.278361298522199</v>
      </c>
      <c r="AM117">
        <v>86.677124868450306</v>
      </c>
      <c r="AN117">
        <v>0.99999998840765603</v>
      </c>
    </row>
    <row r="118" spans="1:40" x14ac:dyDescent="0.25">
      <c r="A118" t="str">
        <f>"20190312172859018"</f>
        <v>20190312172859018</v>
      </c>
      <c r="B118" t="str">
        <f>"1552382939007102"</f>
        <v>1552382939007102</v>
      </c>
      <c r="C118" t="s">
        <v>40</v>
      </c>
      <c r="D118">
        <v>3.558983</v>
      </c>
      <c r="E118">
        <v>0.50587280000000001</v>
      </c>
      <c r="F118" t="s">
        <v>42</v>
      </c>
      <c r="G118">
        <v>-463.42759999999998</v>
      </c>
      <c r="H118">
        <v>1.0556430000000001</v>
      </c>
      <c r="I118">
        <v>367.68369999999999</v>
      </c>
      <c r="J118">
        <v>-464.02350000000001</v>
      </c>
      <c r="K118">
        <v>1.108806</v>
      </c>
      <c r="L118">
        <v>367.702</v>
      </c>
      <c r="M118">
        <v>0.99872850000000002</v>
      </c>
      <c r="N118">
        <v>0</v>
      </c>
      <c r="O118">
        <v>5.0370190000000002E-2</v>
      </c>
      <c r="P118">
        <v>0.98284950000000004</v>
      </c>
      <c r="Q118">
        <v>0.18428020000000001</v>
      </c>
      <c r="R118">
        <v>-6.9144829999999999E-3</v>
      </c>
      <c r="S118">
        <v>3.0905149999999999</v>
      </c>
      <c r="T118">
        <v>-0.20538529999999999</v>
      </c>
      <c r="U118">
        <v>-2.8137209999999999E-2</v>
      </c>
      <c r="V118">
        <v>5.6363900000000002E-2</v>
      </c>
      <c r="W118">
        <v>0.1863136</v>
      </c>
      <c r="X118">
        <v>0.98087219999999997</v>
      </c>
      <c r="Y118">
        <v>5.9218979999999997E-2</v>
      </c>
      <c r="Z118">
        <v>-5.308353E-3</v>
      </c>
      <c r="AA118">
        <v>0.99823090000000003</v>
      </c>
      <c r="AB118">
        <v>21</v>
      </c>
      <c r="AC118">
        <v>0.59590000000002796</v>
      </c>
      <c r="AD118">
        <v>-5.3162999999999801E-2</v>
      </c>
      <c r="AE118">
        <v>-1.8300000000010599E-2</v>
      </c>
      <c r="AF118">
        <v>4.7911449897474999E-2</v>
      </c>
      <c r="AG118">
        <v>-5.3162999999999801E-2</v>
      </c>
      <c r="AH118">
        <v>0.58953396700361105</v>
      </c>
      <c r="AI118">
        <v>95.136039291140904</v>
      </c>
      <c r="AJ118">
        <v>85.3537808198313</v>
      </c>
      <c r="AK118">
        <v>0.59386202930587595</v>
      </c>
      <c r="AL118">
        <v>79.262271785409993</v>
      </c>
      <c r="AM118">
        <v>86.711226902541696</v>
      </c>
      <c r="AN118">
        <v>0.99999995975050404</v>
      </c>
    </row>
    <row r="119" spans="1:40" x14ac:dyDescent="0.25">
      <c r="A119" t="str">
        <f>"20190312172859040"</f>
        <v>20190312172859040</v>
      </c>
      <c r="B119" t="str">
        <f>"1552382939037354"</f>
        <v>1552382939037354</v>
      </c>
      <c r="C119" t="s">
        <v>40</v>
      </c>
      <c r="D119">
        <v>3.5433509999999999</v>
      </c>
      <c r="E119">
        <v>0.50594659999999902</v>
      </c>
      <c r="F119" t="s">
        <v>42</v>
      </c>
      <c r="G119">
        <v>-463.23820000000001</v>
      </c>
      <c r="H119">
        <v>1.0566450000000001</v>
      </c>
      <c r="I119">
        <v>367.69459999999998</v>
      </c>
      <c r="J119">
        <v>-463.81610000000001</v>
      </c>
      <c r="K119">
        <v>1.1088229999999999</v>
      </c>
      <c r="L119">
        <v>367.71260000000001</v>
      </c>
      <c r="M119">
        <v>0.99871799999999999</v>
      </c>
      <c r="N119">
        <v>0</v>
      </c>
      <c r="O119">
        <v>5.0573729999999997E-2</v>
      </c>
      <c r="P119">
        <v>0.98286989999999996</v>
      </c>
      <c r="Q119">
        <v>0.184172</v>
      </c>
      <c r="R119">
        <v>-6.8934199999999999E-3</v>
      </c>
      <c r="S119">
        <v>3.0907290000000001</v>
      </c>
      <c r="T119">
        <v>-0.2057213</v>
      </c>
      <c r="U119">
        <v>-2.6611329999999999E-2</v>
      </c>
      <c r="V119">
        <v>5.6547399999999998E-2</v>
      </c>
      <c r="W119">
        <v>0.1863118</v>
      </c>
      <c r="X119">
        <v>0.98086200000000001</v>
      </c>
      <c r="Y119">
        <v>5.892845E-2</v>
      </c>
      <c r="Z119">
        <v>-5.3205149999999996E-3</v>
      </c>
      <c r="AA119">
        <v>0.99824800000000002</v>
      </c>
      <c r="AB119">
        <v>21</v>
      </c>
      <c r="AC119">
        <v>0.57789999999999897</v>
      </c>
      <c r="AD119">
        <v>-5.2177999999999801E-2</v>
      </c>
      <c r="AE119">
        <v>-1.80000000000291E-2</v>
      </c>
      <c r="AF119">
        <v>4.6822262624611803E-2</v>
      </c>
      <c r="AG119">
        <v>-5.2177999999999801E-2</v>
      </c>
      <c r="AH119">
        <v>0.57159496334459003</v>
      </c>
      <c r="AI119">
        <v>95.198469002877601</v>
      </c>
      <c r="AJ119">
        <v>85.317065705075805</v>
      </c>
      <c r="AK119">
        <v>0.57587817295170296</v>
      </c>
      <c r="AL119">
        <v>79.262376966628807</v>
      </c>
      <c r="AM119">
        <v>86.700509256198501</v>
      </c>
      <c r="AN119">
        <v>0.99999997915499905</v>
      </c>
    </row>
    <row r="120" spans="1:40" x14ac:dyDescent="0.25">
      <c r="A120" t="str">
        <f>"20190312172859062"</f>
        <v>20190312172859062</v>
      </c>
      <c r="B120" t="str">
        <f>"1552382939057850"</f>
        <v>1552382939057850</v>
      </c>
      <c r="C120" t="s">
        <v>40</v>
      </c>
      <c r="D120">
        <v>3.5550760000000001</v>
      </c>
      <c r="E120">
        <v>0.50598500000000002</v>
      </c>
      <c r="F120" t="s">
        <v>42</v>
      </c>
      <c r="G120">
        <v>-463.04770000000002</v>
      </c>
      <c r="H120">
        <v>1.0573809999999999</v>
      </c>
      <c r="I120">
        <v>367.70589999999999</v>
      </c>
      <c r="J120">
        <v>-463.60410000000002</v>
      </c>
      <c r="K120">
        <v>1.1088279999999999</v>
      </c>
      <c r="L120">
        <v>367.72359999999998</v>
      </c>
      <c r="M120">
        <v>0.99870829999999999</v>
      </c>
      <c r="N120">
        <v>0</v>
      </c>
      <c r="O120">
        <v>5.076133E-2</v>
      </c>
      <c r="P120">
        <v>0.98277979999999998</v>
      </c>
      <c r="Q120">
        <v>0.18465960000000001</v>
      </c>
      <c r="R120">
        <v>-6.7376490000000001E-3</v>
      </c>
      <c r="S120">
        <v>3.090881</v>
      </c>
      <c r="T120">
        <v>-0.20696619999999999</v>
      </c>
      <c r="U120">
        <v>-2.7252200000000001E-2</v>
      </c>
      <c r="V120">
        <v>5.6576729999999999E-2</v>
      </c>
      <c r="W120">
        <v>0.18691749999999999</v>
      </c>
      <c r="X120">
        <v>0.98074510000000004</v>
      </c>
      <c r="Y120">
        <v>5.9318299999999997E-2</v>
      </c>
      <c r="Z120">
        <v>-5.3779489999999999E-3</v>
      </c>
      <c r="AA120">
        <v>0.99822460000000002</v>
      </c>
      <c r="AB120">
        <v>21</v>
      </c>
      <c r="AC120">
        <v>0.55639999999999601</v>
      </c>
      <c r="AD120">
        <v>-5.1447000000000201E-2</v>
      </c>
      <c r="AE120">
        <v>-1.7699999999990699E-2</v>
      </c>
      <c r="AF120">
        <v>4.5531969513486301E-2</v>
      </c>
      <c r="AG120">
        <v>-5.1447000000000201E-2</v>
      </c>
      <c r="AH120">
        <v>0.55008595369104996</v>
      </c>
      <c r="AI120">
        <v>95.324962293912407</v>
      </c>
      <c r="AJ120">
        <v>85.268273638788699</v>
      </c>
      <c r="AK120">
        <v>0.55435954984555702</v>
      </c>
      <c r="AL120">
        <v>79.227052758426098</v>
      </c>
      <c r="AM120">
        <v>86.698409044450699</v>
      </c>
      <c r="AN120">
        <v>1.0000000146788699</v>
      </c>
    </row>
    <row r="121" spans="1:40" x14ac:dyDescent="0.25">
      <c r="A121" t="str">
        <f>"20190312172859086"</f>
        <v>20190312172859086</v>
      </c>
      <c r="B121" t="str">
        <f>"1552382939077370"</f>
        <v>1552382939077370</v>
      </c>
      <c r="C121" t="s">
        <v>40</v>
      </c>
      <c r="D121">
        <v>3.5452110000000001</v>
      </c>
      <c r="E121">
        <v>0.50608009999999903</v>
      </c>
      <c r="F121" t="s">
        <v>42</v>
      </c>
      <c r="G121">
        <v>-462.8535</v>
      </c>
      <c r="H121">
        <v>1.0588839999999999</v>
      </c>
      <c r="I121">
        <v>367.71690000000001</v>
      </c>
      <c r="J121">
        <v>-463.38459999999998</v>
      </c>
      <c r="K121">
        <v>1.1088290000000001</v>
      </c>
      <c r="L121">
        <v>367.73500000000001</v>
      </c>
      <c r="M121">
        <v>0.99869940000000001</v>
      </c>
      <c r="N121">
        <v>0</v>
      </c>
      <c r="O121">
        <v>5.092737E-2</v>
      </c>
      <c r="P121">
        <v>0.98288699999999996</v>
      </c>
      <c r="Q121">
        <v>0.184085</v>
      </c>
      <c r="R121">
        <v>-6.8041519999999999E-3</v>
      </c>
      <c r="S121">
        <v>3.0910340000000001</v>
      </c>
      <c r="T121">
        <v>-0.20578959999999999</v>
      </c>
      <c r="U121">
        <v>-2.6947019999999999E-2</v>
      </c>
      <c r="V121">
        <v>5.6819330000000001E-2</v>
      </c>
      <c r="W121">
        <v>0.18647340000000001</v>
      </c>
      <c r="X121">
        <v>0.98081560000000001</v>
      </c>
      <c r="Y121">
        <v>5.938761E-2</v>
      </c>
      <c r="Z121">
        <v>-5.3605199999999997E-3</v>
      </c>
      <c r="AA121">
        <v>0.99822060000000001</v>
      </c>
      <c r="AB121">
        <v>21</v>
      </c>
      <c r="AC121">
        <v>0.53109999999998003</v>
      </c>
      <c r="AD121">
        <v>-4.99450000000001E-2</v>
      </c>
      <c r="AE121">
        <v>-1.8100000000003998E-2</v>
      </c>
      <c r="AF121">
        <v>4.4729010019054202E-2</v>
      </c>
      <c r="AG121">
        <v>-4.99450000000001E-2</v>
      </c>
      <c r="AH121">
        <v>0.52485280249520705</v>
      </c>
      <c r="AI121">
        <v>95.416382433680894</v>
      </c>
      <c r="AJ121">
        <v>85.128908409000999</v>
      </c>
      <c r="AK121">
        <v>0.52911780507686301</v>
      </c>
      <c r="AL121">
        <v>79.252953074727898</v>
      </c>
      <c r="AM121">
        <v>86.684521199865401</v>
      </c>
      <c r="AN121">
        <v>1.0000000031862799</v>
      </c>
    </row>
    <row r="122" spans="1:40" x14ac:dyDescent="0.25">
      <c r="A122" t="str">
        <f>"20190312172859108"</f>
        <v>20190312172859108</v>
      </c>
      <c r="B122" t="str">
        <f>"1552382939097866"</f>
        <v>1552382939097866</v>
      </c>
      <c r="C122" t="s">
        <v>40</v>
      </c>
      <c r="D122">
        <v>3.5554410000000001</v>
      </c>
      <c r="E122">
        <v>0.5061795</v>
      </c>
      <c r="F122" t="s">
        <v>42</v>
      </c>
      <c r="G122">
        <v>-462.47800000000001</v>
      </c>
      <c r="H122">
        <v>1.0479080000000001</v>
      </c>
      <c r="I122">
        <v>367.72660000000002</v>
      </c>
      <c r="J122">
        <v>-463.161</v>
      </c>
      <c r="K122">
        <v>1.1088260000000001</v>
      </c>
      <c r="L122">
        <v>367.74650000000003</v>
      </c>
      <c r="M122">
        <v>0.99869200000000002</v>
      </c>
      <c r="N122">
        <v>0</v>
      </c>
      <c r="O122">
        <v>5.1067210000000002E-2</v>
      </c>
      <c r="P122">
        <v>0.98289760000000004</v>
      </c>
      <c r="Q122">
        <v>0.18403520000000001</v>
      </c>
      <c r="R122">
        <v>-6.6038199999999998E-3</v>
      </c>
      <c r="S122">
        <v>3.0909420000000001</v>
      </c>
      <c r="T122">
        <v>-0.20790259999999999</v>
      </c>
      <c r="U122">
        <v>-2.786255E-2</v>
      </c>
      <c r="V122">
        <v>5.6765719999999999E-2</v>
      </c>
      <c r="W122">
        <v>0.18655959999999999</v>
      </c>
      <c r="X122">
        <v>0.98080230000000002</v>
      </c>
      <c r="Y122">
        <v>5.9816950000000001E-2</v>
      </c>
      <c r="Z122">
        <v>-5.4394059999999999E-3</v>
      </c>
      <c r="AA122">
        <v>0.99819449999999998</v>
      </c>
      <c r="AB122">
        <v>22</v>
      </c>
      <c r="AC122">
        <v>0.68299999999999195</v>
      </c>
      <c r="AD122">
        <v>-6.0918E-2</v>
      </c>
      <c r="AE122">
        <v>-1.9900000000006898E-2</v>
      </c>
      <c r="AF122">
        <v>5.4321282340396002E-2</v>
      </c>
      <c r="AG122">
        <v>-6.0918E-2</v>
      </c>
      <c r="AH122">
        <v>0.67572166177522697</v>
      </c>
      <c r="AI122">
        <v>95.134955323921801</v>
      </c>
      <c r="AJ122">
        <v>85.403874664068397</v>
      </c>
      <c r="AK122">
        <v>0.68063321152540002</v>
      </c>
      <c r="AL122">
        <v>79.247925834787296</v>
      </c>
      <c r="AM122">
        <v>86.687597624981294</v>
      </c>
      <c r="AN122">
        <v>0.99999999150228402</v>
      </c>
    </row>
    <row r="123" spans="1:40" x14ac:dyDescent="0.25">
      <c r="A123" t="str">
        <f>"20190312172859130"</f>
        <v>20190312172859130</v>
      </c>
      <c r="B123" t="str">
        <f>"1552382939117386"</f>
        <v>1552382939117386</v>
      </c>
      <c r="C123" t="s">
        <v>40</v>
      </c>
      <c r="D123">
        <v>3.5423580000000001</v>
      </c>
      <c r="E123">
        <v>0.50626450000000001</v>
      </c>
      <c r="F123" t="s">
        <v>42</v>
      </c>
      <c r="G123">
        <v>-462.2824</v>
      </c>
      <c r="H123">
        <v>1.049633</v>
      </c>
      <c r="I123">
        <v>367.73840000000001</v>
      </c>
      <c r="J123">
        <v>-462.95339999999999</v>
      </c>
      <c r="K123">
        <v>1.1088229999999999</v>
      </c>
      <c r="L123">
        <v>367.75729999999999</v>
      </c>
      <c r="M123">
        <v>0.99868610000000002</v>
      </c>
      <c r="N123">
        <v>0</v>
      </c>
      <c r="O123">
        <v>5.1175709999999999E-2</v>
      </c>
      <c r="P123">
        <v>0.98288200000000003</v>
      </c>
      <c r="Q123">
        <v>0.1841042</v>
      </c>
      <c r="R123">
        <v>-6.9925059999999999E-3</v>
      </c>
      <c r="S123">
        <v>3.0910030000000002</v>
      </c>
      <c r="T123">
        <v>-0.20836730000000001</v>
      </c>
      <c r="U123">
        <v>-2.7984620000000002E-2</v>
      </c>
      <c r="V123">
        <v>5.7266539999999998E-2</v>
      </c>
      <c r="W123">
        <v>0.1867568</v>
      </c>
      <c r="X123">
        <v>0.98073569999999999</v>
      </c>
      <c r="Y123">
        <v>5.9962960000000003E-2</v>
      </c>
      <c r="Z123">
        <v>-5.4636479999999998E-3</v>
      </c>
      <c r="AA123">
        <v>0.99818560000000001</v>
      </c>
      <c r="AB123">
        <v>22</v>
      </c>
      <c r="AC123">
        <v>0.67099999999999205</v>
      </c>
      <c r="AD123">
        <v>-5.9189999999999798E-2</v>
      </c>
      <c r="AE123">
        <v>-1.8899999999973702E-2</v>
      </c>
      <c r="AF123">
        <v>5.28037029155803E-2</v>
      </c>
      <c r="AG123">
        <v>-5.9189999999999798E-2</v>
      </c>
      <c r="AH123">
        <v>0.66399092399039095</v>
      </c>
      <c r="AI123">
        <v>95.078092788749402</v>
      </c>
      <c r="AJ123">
        <v>85.453137215803494</v>
      </c>
      <c r="AK123">
        <v>0.66871192174449101</v>
      </c>
      <c r="AL123">
        <v>79.236425464217106</v>
      </c>
      <c r="AM123">
        <v>86.658213225034999</v>
      </c>
      <c r="AN123">
        <v>1.0000000361021499</v>
      </c>
    </row>
    <row r="124" spans="1:40" x14ac:dyDescent="0.25">
      <c r="A124" t="str">
        <f>"20190312172859153"</f>
        <v>20190312172859153</v>
      </c>
      <c r="B124" t="str">
        <f>"1552382939147642"</f>
        <v>1552382939147642</v>
      </c>
      <c r="C124" t="s">
        <v>40</v>
      </c>
      <c r="D124">
        <v>3.5325790000000001</v>
      </c>
      <c r="E124">
        <v>0.50635240000000004</v>
      </c>
      <c r="F124" t="s">
        <v>42</v>
      </c>
      <c r="G124">
        <v>-462.08609999999999</v>
      </c>
      <c r="H124">
        <v>1.0504020000000001</v>
      </c>
      <c r="I124">
        <v>367.74880000000002</v>
      </c>
      <c r="J124">
        <v>-462.72309999999999</v>
      </c>
      <c r="K124">
        <v>1.108824</v>
      </c>
      <c r="L124">
        <v>367.76920000000001</v>
      </c>
      <c r="M124">
        <v>0.99868080000000004</v>
      </c>
      <c r="N124">
        <v>0</v>
      </c>
      <c r="O124">
        <v>5.1273510000000001E-2</v>
      </c>
      <c r="P124">
        <v>0.98300829999999995</v>
      </c>
      <c r="Q124">
        <v>0.18343970000000001</v>
      </c>
      <c r="R124">
        <v>-6.7018499999999996E-3</v>
      </c>
      <c r="S124">
        <v>3.0911249999999999</v>
      </c>
      <c r="T124">
        <v>-0.2084578</v>
      </c>
      <c r="U124">
        <v>-2.9052729999999999E-2</v>
      </c>
      <c r="V124">
        <v>5.708477E-2</v>
      </c>
      <c r="W124">
        <v>0.18623400000000001</v>
      </c>
      <c r="X124">
        <v>0.98084570000000004</v>
      </c>
      <c r="Y124">
        <v>6.0403819999999997E-2</v>
      </c>
      <c r="Z124">
        <v>-5.4872300000000001E-3</v>
      </c>
      <c r="AA124">
        <v>0.99815889999999996</v>
      </c>
      <c r="AB124">
        <v>22</v>
      </c>
      <c r="AC124">
        <v>0.63700000000000001</v>
      </c>
      <c r="AD124">
        <v>-5.8421999999999898E-2</v>
      </c>
      <c r="AE124">
        <v>-2.0399999999994999E-2</v>
      </c>
      <c r="AF124">
        <v>5.2592588180192697E-2</v>
      </c>
      <c r="AG124">
        <v>-5.8421999999999898E-2</v>
      </c>
      <c r="AH124">
        <v>0.62982378966755004</v>
      </c>
      <c r="AI124">
        <v>95.281273917221796</v>
      </c>
      <c r="AJ124">
        <v>85.226667058537004</v>
      </c>
      <c r="AK124">
        <v>0.63471026180981605</v>
      </c>
      <c r="AL124">
        <v>79.266914542319597</v>
      </c>
      <c r="AM124">
        <v>86.669169228051999</v>
      </c>
      <c r="AN124">
        <v>1.0000000304652199</v>
      </c>
    </row>
    <row r="125" spans="1:40" x14ac:dyDescent="0.25">
      <c r="A125" t="str">
        <f>"20190312172859175"</f>
        <v>20190312172859175</v>
      </c>
      <c r="B125" t="str">
        <f>"1552382939167163"</f>
        <v>1552382939167163</v>
      </c>
      <c r="C125" t="s">
        <v>40</v>
      </c>
      <c r="D125">
        <v>3.5150190000000001</v>
      </c>
      <c r="E125">
        <v>0.50640180000000001</v>
      </c>
      <c r="F125" t="s">
        <v>42</v>
      </c>
      <c r="G125">
        <v>-461.8877</v>
      </c>
      <c r="H125">
        <v>1.0518320000000001</v>
      </c>
      <c r="I125">
        <v>367.76130000000001</v>
      </c>
      <c r="J125">
        <v>-462.49959999999999</v>
      </c>
      <c r="K125">
        <v>1.1088290000000001</v>
      </c>
      <c r="L125">
        <v>367.7808</v>
      </c>
      <c r="M125">
        <v>0.99867649999999997</v>
      </c>
      <c r="N125">
        <v>0</v>
      </c>
      <c r="O125">
        <v>5.1349249999999999E-2</v>
      </c>
      <c r="P125">
        <v>0.98311570000000004</v>
      </c>
      <c r="Q125">
        <v>0.18286820000000001</v>
      </c>
      <c r="R125">
        <v>-6.5807599999999997E-3</v>
      </c>
      <c r="S125">
        <v>3.0910340000000001</v>
      </c>
      <c r="T125">
        <v>-0.21098629999999999</v>
      </c>
      <c r="U125">
        <v>-2.893066E-2</v>
      </c>
      <c r="V125">
        <v>5.7048160000000001E-2</v>
      </c>
      <c r="W125">
        <v>0.18580199999999999</v>
      </c>
      <c r="X125">
        <v>0.98092970000000002</v>
      </c>
      <c r="Y125">
        <v>6.0433979999999998E-2</v>
      </c>
      <c r="Z125">
        <v>-5.5599859999999899E-3</v>
      </c>
      <c r="AA125">
        <v>0.99815670000000001</v>
      </c>
      <c r="AB125">
        <v>22</v>
      </c>
      <c r="AC125">
        <v>0.61189999999999101</v>
      </c>
      <c r="AD125">
        <v>-5.6997000000000103E-2</v>
      </c>
      <c r="AE125">
        <v>-1.9499999999993599E-2</v>
      </c>
      <c r="AF125">
        <v>5.0457663933988803E-2</v>
      </c>
      <c r="AG125">
        <v>-5.6997000000000103E-2</v>
      </c>
      <c r="AH125">
        <v>0.60484880523914997</v>
      </c>
      <c r="AI125">
        <v>95.364757477779193</v>
      </c>
      <c r="AJ125">
        <v>85.231316270059693</v>
      </c>
      <c r="AK125">
        <v>0.60962013668997395</v>
      </c>
      <c r="AL125">
        <v>79.292105412238598</v>
      </c>
      <c r="AM125">
        <v>86.671584980334899</v>
      </c>
      <c r="AN125">
        <v>0.99999997605273705</v>
      </c>
    </row>
    <row r="126" spans="1:40" x14ac:dyDescent="0.25">
      <c r="A126" t="str">
        <f>"20190312172859198"</f>
        <v>20190312172859198</v>
      </c>
      <c r="B126" t="str">
        <f>"1552382939187659"</f>
        <v>1552382939187659</v>
      </c>
      <c r="C126" t="s">
        <v>40</v>
      </c>
      <c r="D126">
        <v>3.5420090000000002</v>
      </c>
      <c r="E126">
        <v>0.50647619999999904</v>
      </c>
      <c r="F126" t="s">
        <v>42</v>
      </c>
      <c r="G126">
        <v>-461.68849999999998</v>
      </c>
      <c r="H126">
        <v>1.052886</v>
      </c>
      <c r="I126">
        <v>367.7731</v>
      </c>
      <c r="J126">
        <v>-462.27289999999999</v>
      </c>
      <c r="K126">
        <v>1.108838</v>
      </c>
      <c r="L126">
        <v>367.79239999999999</v>
      </c>
      <c r="M126">
        <v>0.99867269999999997</v>
      </c>
      <c r="N126">
        <v>0</v>
      </c>
      <c r="O126">
        <v>5.141254E-2</v>
      </c>
      <c r="P126">
        <v>0.98314020000000002</v>
      </c>
      <c r="Q126">
        <v>0.1827424</v>
      </c>
      <c r="R126">
        <v>-6.3708870000000004E-3</v>
      </c>
      <c r="S126">
        <v>3.0910030000000002</v>
      </c>
      <c r="T126">
        <v>-0.21310399999999999</v>
      </c>
      <c r="U126">
        <v>-2.9296880000000001E-2</v>
      </c>
      <c r="V126">
        <v>5.6904730000000001E-2</v>
      </c>
      <c r="W126">
        <v>0.18581700000000001</v>
      </c>
      <c r="X126">
        <v>0.98093520000000001</v>
      </c>
      <c r="Y126">
        <v>6.0609789999999997E-2</v>
      </c>
      <c r="Z126">
        <v>-5.626125E-3</v>
      </c>
      <c r="AA126">
        <v>0.99814570000000002</v>
      </c>
      <c r="AB126">
        <v>22</v>
      </c>
      <c r="AC126">
        <v>0.58440000000001602</v>
      </c>
      <c r="AD126">
        <v>-5.5951999999999898E-2</v>
      </c>
      <c r="AE126">
        <v>-1.9299999999986901E-2</v>
      </c>
      <c r="AF126">
        <v>4.8872597868302101E-2</v>
      </c>
      <c r="AG126">
        <v>-5.5951999999999898E-2</v>
      </c>
      <c r="AH126">
        <v>0.57734827168399305</v>
      </c>
      <c r="AI126">
        <v>95.515760500234904</v>
      </c>
      <c r="AJ126">
        <v>85.161440774417699</v>
      </c>
      <c r="AK126">
        <v>0.58210839535510095</v>
      </c>
      <c r="AL126">
        <v>79.2912308537271</v>
      </c>
      <c r="AM126">
        <v>86.679953083464298</v>
      </c>
      <c r="AN126">
        <v>0.99999998619220598</v>
      </c>
    </row>
    <row r="127" spans="1:40" x14ac:dyDescent="0.25">
      <c r="A127" t="str">
        <f>"20190312172859218"</f>
        <v>20190312172859218</v>
      </c>
      <c r="B127" t="str">
        <f>"1552382939207181"</f>
        <v>1552382939207181</v>
      </c>
      <c r="C127" t="s">
        <v>40</v>
      </c>
      <c r="D127">
        <v>3.5599769999999902</v>
      </c>
      <c r="E127">
        <v>0.50650580000000001</v>
      </c>
      <c r="F127" t="s">
        <v>42</v>
      </c>
      <c r="G127">
        <v>-461.48770000000002</v>
      </c>
      <c r="H127">
        <v>1.0545599999999999</v>
      </c>
      <c r="I127">
        <v>367.78500000000003</v>
      </c>
      <c r="J127">
        <v>-462.06709999999998</v>
      </c>
      <c r="K127">
        <v>1.108857</v>
      </c>
      <c r="L127">
        <v>367.80309999999997</v>
      </c>
      <c r="M127">
        <v>0.99866960000000005</v>
      </c>
      <c r="N127">
        <v>0</v>
      </c>
      <c r="O127">
        <v>5.1463090000000003E-2</v>
      </c>
      <c r="P127">
        <v>0.98314570000000001</v>
      </c>
      <c r="Q127">
        <v>0.18271879999999999</v>
      </c>
      <c r="R127">
        <v>-6.2149800000000002E-3</v>
      </c>
      <c r="S127">
        <v>3.090973</v>
      </c>
      <c r="T127">
        <v>-0.2136719</v>
      </c>
      <c r="U127">
        <v>-2.9357910000000001E-2</v>
      </c>
      <c r="V127">
        <v>5.67999E-2</v>
      </c>
      <c r="W127">
        <v>0.18592239999999999</v>
      </c>
      <c r="X127">
        <v>0.9809213</v>
      </c>
      <c r="Y127">
        <v>6.067844E-2</v>
      </c>
      <c r="Z127">
        <v>-5.6469980000000003E-3</v>
      </c>
      <c r="AA127">
        <v>0.99814139999999996</v>
      </c>
      <c r="AB127">
        <v>22</v>
      </c>
      <c r="AC127">
        <v>0.57939999999996405</v>
      </c>
      <c r="AD127">
        <v>-5.4296999999999998E-2</v>
      </c>
      <c r="AE127">
        <v>-1.8099999999947099E-2</v>
      </c>
      <c r="AF127">
        <v>4.7477346708584799E-2</v>
      </c>
      <c r="AG127">
        <v>-5.4296999999999998E-2</v>
      </c>
      <c r="AH127">
        <v>0.57267638513514996</v>
      </c>
      <c r="AI127">
        <v>95.397769285481999</v>
      </c>
      <c r="AJ127">
        <v>85.260770264517006</v>
      </c>
      <c r="AK127">
        <v>0.57720057584079898</v>
      </c>
      <c r="AL127">
        <v>79.285084735389205</v>
      </c>
      <c r="AM127">
        <v>86.686008780938707</v>
      </c>
      <c r="AN127">
        <v>0.999999982127729</v>
      </c>
    </row>
    <row r="128" spans="1:40" x14ac:dyDescent="0.25">
      <c r="A128" t="str">
        <f>"20190312172859244"</f>
        <v>20190312172859244</v>
      </c>
      <c r="B128" t="str">
        <f>"1552382939237435"</f>
        <v>1552382939237435</v>
      </c>
      <c r="C128" t="s">
        <v>40</v>
      </c>
      <c r="D128">
        <v>3.5623580000000001</v>
      </c>
      <c r="E128">
        <v>0.50658559999999997</v>
      </c>
      <c r="F128" t="s">
        <v>42</v>
      </c>
      <c r="G128">
        <v>-461.28680000000003</v>
      </c>
      <c r="H128">
        <v>1.054967</v>
      </c>
      <c r="I128">
        <v>367.79539999999997</v>
      </c>
      <c r="J128">
        <v>-461.82319999999999</v>
      </c>
      <c r="K128">
        <v>1.1088789999999999</v>
      </c>
      <c r="L128">
        <v>367.81569999999999</v>
      </c>
      <c r="M128">
        <v>0.9986661</v>
      </c>
      <c r="N128">
        <v>0</v>
      </c>
      <c r="O128">
        <v>5.151944E-2</v>
      </c>
      <c r="P128">
        <v>0.98319630000000002</v>
      </c>
      <c r="Q128">
        <v>0.1824556</v>
      </c>
      <c r="R128">
        <v>-5.9210030000000002E-3</v>
      </c>
      <c r="S128">
        <v>3.0910030000000002</v>
      </c>
      <c r="T128">
        <v>-0.2136914</v>
      </c>
      <c r="U128">
        <v>-2.9296880000000001E-2</v>
      </c>
      <c r="V128">
        <v>5.656398E-2</v>
      </c>
      <c r="W128">
        <v>0.18581610000000001</v>
      </c>
      <c r="X128">
        <v>0.98095509999999997</v>
      </c>
      <c r="Y128">
        <v>6.071472E-2</v>
      </c>
      <c r="Z128">
        <v>-5.6525969999999997E-3</v>
      </c>
      <c r="AA128">
        <v>0.99813909999999995</v>
      </c>
      <c r="AB128">
        <v>22</v>
      </c>
      <c r="AC128">
        <v>0.53639999999995702</v>
      </c>
      <c r="AD128">
        <v>-5.3912000000000099E-2</v>
      </c>
      <c r="AE128">
        <v>-2.0300000000020101E-2</v>
      </c>
      <c r="AF128">
        <v>4.74297962322624E-2</v>
      </c>
      <c r="AG128">
        <v>-5.3912000000000099E-2</v>
      </c>
      <c r="AH128">
        <v>0.52930260191460998</v>
      </c>
      <c r="AI128">
        <v>95.792741126783696</v>
      </c>
      <c r="AJ128">
        <v>84.879510474979995</v>
      </c>
      <c r="AK128">
        <v>0.534151040163932</v>
      </c>
      <c r="AL128">
        <v>79.291283565145903</v>
      </c>
      <c r="AM128">
        <v>86.699856511898602</v>
      </c>
      <c r="AN128">
        <v>1.00000000753433</v>
      </c>
    </row>
    <row r="129" spans="1:40" x14ac:dyDescent="0.25">
      <c r="A129" t="str">
        <f>"20190312172859264"</f>
        <v>20190312172859264</v>
      </c>
      <c r="B129" t="str">
        <f>"1552382939257931"</f>
        <v>1552382939257931</v>
      </c>
      <c r="C129" t="s">
        <v>40</v>
      </c>
      <c r="D129">
        <v>3.524292</v>
      </c>
      <c r="E129">
        <v>0.50662549999999995</v>
      </c>
      <c r="F129" t="s">
        <v>42</v>
      </c>
      <c r="G129">
        <v>-461.08300000000003</v>
      </c>
      <c r="H129">
        <v>1.057574</v>
      </c>
      <c r="I129">
        <v>367.80849999999998</v>
      </c>
      <c r="J129">
        <v>-461.61090000000002</v>
      </c>
      <c r="K129">
        <v>1.1089089999999999</v>
      </c>
      <c r="L129">
        <v>367.82679999999999</v>
      </c>
      <c r="M129">
        <v>0.99866319999999997</v>
      </c>
      <c r="N129">
        <v>0</v>
      </c>
      <c r="O129">
        <v>5.156728E-2</v>
      </c>
      <c r="P129">
        <v>0.98320359999999996</v>
      </c>
      <c r="Q129">
        <v>0.18242169999999999</v>
      </c>
      <c r="R129">
        <v>-5.7621199999999999E-3</v>
      </c>
      <c r="S129">
        <v>3.0908509999999998</v>
      </c>
      <c r="T129">
        <v>-0.2145302</v>
      </c>
      <c r="U129">
        <v>-2.938843E-2</v>
      </c>
      <c r="V129">
        <v>5.6451370000000001E-2</v>
      </c>
      <c r="W129">
        <v>0.1859285</v>
      </c>
      <c r="X129">
        <v>0.98094029999999999</v>
      </c>
      <c r="Y129">
        <v>6.0790160000000003E-2</v>
      </c>
      <c r="Z129">
        <v>-5.6809429999999999E-3</v>
      </c>
      <c r="AA129">
        <v>0.99813439999999998</v>
      </c>
      <c r="AB129">
        <v>22</v>
      </c>
      <c r="AC129">
        <v>0.52789999999998805</v>
      </c>
      <c r="AD129">
        <v>-5.1334999999999902E-2</v>
      </c>
      <c r="AE129">
        <v>-1.8300000000010599E-2</v>
      </c>
      <c r="AF129">
        <v>4.5072481118443503E-2</v>
      </c>
      <c r="AG129">
        <v>-5.1334999999999902E-2</v>
      </c>
      <c r="AH129">
        <v>0.52132998032565803</v>
      </c>
      <c r="AI129">
        <v>95.6029781797737</v>
      </c>
      <c r="AJ129">
        <v>85.058682010419901</v>
      </c>
      <c r="AK129">
        <v>0.52578680010582601</v>
      </c>
      <c r="AL129">
        <v>79.2847294203508</v>
      </c>
      <c r="AM129">
        <v>86.706362518173094</v>
      </c>
      <c r="AN129">
        <v>1.0000000182255999</v>
      </c>
    </row>
    <row r="130" spans="1:40" x14ac:dyDescent="0.25">
      <c r="A130" t="str">
        <f>"20190312172859287"</f>
        <v>20190312172859287</v>
      </c>
      <c r="B130" t="str">
        <f>"1552382939277451"</f>
        <v>1552382939277451</v>
      </c>
      <c r="C130" t="s">
        <v>40</v>
      </c>
      <c r="D130">
        <v>3.546611</v>
      </c>
      <c r="E130">
        <v>0.50668299999999999</v>
      </c>
      <c r="F130" t="s">
        <v>42</v>
      </c>
      <c r="G130">
        <v>-460.68630000000002</v>
      </c>
      <c r="H130">
        <v>1.0446489999999999</v>
      </c>
      <c r="I130">
        <v>367.81810000000002</v>
      </c>
      <c r="J130">
        <v>-461.37619999999998</v>
      </c>
      <c r="K130">
        <v>1.1089359999999999</v>
      </c>
      <c r="L130">
        <v>367.839</v>
      </c>
      <c r="M130">
        <v>0.99865970000000004</v>
      </c>
      <c r="N130">
        <v>0</v>
      </c>
      <c r="O130">
        <v>5.1621970000000003E-2</v>
      </c>
      <c r="P130">
        <v>0.9832687</v>
      </c>
      <c r="Q130">
        <v>0.18207570000000001</v>
      </c>
      <c r="R130">
        <v>-5.5871030000000004E-3</v>
      </c>
      <c r="S130">
        <v>3.0909119999999999</v>
      </c>
      <c r="T130">
        <v>-0.2148514</v>
      </c>
      <c r="U130">
        <v>-2.9052729999999999E-2</v>
      </c>
      <c r="V130">
        <v>5.6332130000000001E-2</v>
      </c>
      <c r="W130">
        <v>0.18575990000000001</v>
      </c>
      <c r="X130">
        <v>0.98097909999999999</v>
      </c>
      <c r="Y130">
        <v>6.0735480000000001E-2</v>
      </c>
      <c r="Z130">
        <v>-5.691214E-3</v>
      </c>
      <c r="AA130">
        <v>0.99813770000000002</v>
      </c>
      <c r="AB130">
        <v>23</v>
      </c>
      <c r="AC130">
        <v>0.68989999999996598</v>
      </c>
      <c r="AD130">
        <v>-6.4287000000000205E-2</v>
      </c>
      <c r="AE130">
        <v>-2.0899999999983199E-2</v>
      </c>
      <c r="AF130">
        <v>5.6000567741572201E-2</v>
      </c>
      <c r="AG130">
        <v>-6.4287000000000205E-2</v>
      </c>
      <c r="AH130">
        <v>0.68198493168338503</v>
      </c>
      <c r="AI130">
        <v>95.367090118141306</v>
      </c>
      <c r="AJ130">
        <v>85.305741357916403</v>
      </c>
      <c r="AK130">
        <v>0.68729348098142895</v>
      </c>
      <c r="AL130">
        <v>79.294560798771798</v>
      </c>
      <c r="AM130">
        <v>86.713433982211697</v>
      </c>
      <c r="AN130">
        <v>1.00000002197757</v>
      </c>
    </row>
    <row r="131" spans="1:40" x14ac:dyDescent="0.25">
      <c r="A131" t="str">
        <f>"20190312172859308"</f>
        <v>20190312172859308</v>
      </c>
      <c r="B131" t="str">
        <f>"1552382939297946"</f>
        <v>1552382939297946</v>
      </c>
      <c r="C131" t="s">
        <v>40</v>
      </c>
      <c r="D131">
        <v>3.5241150000000001</v>
      </c>
      <c r="E131">
        <v>0.5067258</v>
      </c>
      <c r="F131" t="s">
        <v>42</v>
      </c>
      <c r="G131">
        <v>-460.48099999999999</v>
      </c>
      <c r="H131">
        <v>1.046443</v>
      </c>
      <c r="I131">
        <v>367.8304</v>
      </c>
      <c r="J131">
        <v>-461.15879999999999</v>
      </c>
      <c r="K131">
        <v>1.1089549999999999</v>
      </c>
      <c r="L131">
        <v>367.8503</v>
      </c>
      <c r="M131">
        <v>0.99865630000000005</v>
      </c>
      <c r="N131">
        <v>0</v>
      </c>
      <c r="O131">
        <v>5.1674980000000002E-2</v>
      </c>
      <c r="P131">
        <v>0.98334520000000003</v>
      </c>
      <c r="Q131">
        <v>0.18168049999999999</v>
      </c>
      <c r="R131">
        <v>-4.9464569999999996E-3</v>
      </c>
      <c r="S131">
        <v>3.090881</v>
      </c>
      <c r="T131">
        <v>-0.2160108</v>
      </c>
      <c r="U131">
        <v>-2.8808589999999999E-2</v>
      </c>
      <c r="V131">
        <v>5.5747320000000003E-2</v>
      </c>
      <c r="W131">
        <v>0.1855378</v>
      </c>
      <c r="X131">
        <v>0.98105450000000005</v>
      </c>
      <c r="Y131">
        <v>6.0706749999999997E-2</v>
      </c>
      <c r="Z131">
        <v>-5.7246040000000003E-3</v>
      </c>
      <c r="AA131">
        <v>0.9981392</v>
      </c>
      <c r="AB131">
        <v>23</v>
      </c>
      <c r="AC131">
        <v>0.67779999999998997</v>
      </c>
      <c r="AD131">
        <v>-6.2511999999999901E-2</v>
      </c>
      <c r="AE131">
        <v>-1.9900000000006898E-2</v>
      </c>
      <c r="AF131">
        <v>5.4436346600031299E-2</v>
      </c>
      <c r="AG131">
        <v>-6.2511999999999901E-2</v>
      </c>
      <c r="AH131">
        <v>0.67017053685332095</v>
      </c>
      <c r="AI131">
        <v>95.311608261820595</v>
      </c>
      <c r="AJ131">
        <v>85.356196389417207</v>
      </c>
      <c r="AK131">
        <v>0.67527743516381999</v>
      </c>
      <c r="AL131">
        <v>79.307510925794105</v>
      </c>
      <c r="AM131">
        <v>86.747729153769797</v>
      </c>
      <c r="AN131">
        <v>0.99999998544313595</v>
      </c>
    </row>
    <row r="132" spans="1:40" x14ac:dyDescent="0.25">
      <c r="A132" t="str">
        <f>"20190312172859332"</f>
        <v>20190312172859332</v>
      </c>
      <c r="B132" t="str">
        <f>"1552382939327227"</f>
        <v>1552382939327227</v>
      </c>
      <c r="C132" t="s">
        <v>40</v>
      </c>
      <c r="D132">
        <v>3.542532</v>
      </c>
      <c r="E132">
        <v>0.5067914</v>
      </c>
      <c r="F132" t="s">
        <v>42</v>
      </c>
      <c r="G132">
        <v>-460.2756</v>
      </c>
      <c r="H132">
        <v>1.046829</v>
      </c>
      <c r="I132">
        <v>367.84230000000002</v>
      </c>
      <c r="J132">
        <v>-460.92180000000002</v>
      </c>
      <c r="K132">
        <v>1.1089850000000001</v>
      </c>
      <c r="L132">
        <v>367.86259999999999</v>
      </c>
      <c r="M132">
        <v>0.99865250000000005</v>
      </c>
      <c r="N132">
        <v>0</v>
      </c>
      <c r="O132">
        <v>5.1734469999999998E-2</v>
      </c>
      <c r="P132">
        <v>0.98345099999999996</v>
      </c>
      <c r="Q132">
        <v>0.1811247</v>
      </c>
      <c r="R132">
        <v>-4.2743420000000004E-3</v>
      </c>
      <c r="S132">
        <v>3.0908199999999999</v>
      </c>
      <c r="T132">
        <v>-0.21737890000000001</v>
      </c>
      <c r="U132">
        <v>-2.767944E-2</v>
      </c>
      <c r="V132">
        <v>5.5138680000000002E-2</v>
      </c>
      <c r="W132">
        <v>0.18517890000000001</v>
      </c>
      <c r="X132">
        <v>0.98115669999999999</v>
      </c>
      <c r="Y132">
        <v>6.039895E-2</v>
      </c>
      <c r="Z132">
        <v>-5.7542519999999996E-3</v>
      </c>
      <c r="AA132">
        <v>0.99815770000000004</v>
      </c>
      <c r="AB132">
        <v>23</v>
      </c>
      <c r="AC132">
        <v>0.64620000000002098</v>
      </c>
      <c r="AD132">
        <v>-6.21560000000001E-2</v>
      </c>
      <c r="AE132">
        <v>-2.0299999999963299E-2</v>
      </c>
      <c r="AF132">
        <v>5.3212080540170202E-2</v>
      </c>
      <c r="AG132">
        <v>-6.21560000000001E-2</v>
      </c>
      <c r="AH132">
        <v>0.63838396581228996</v>
      </c>
      <c r="AI132">
        <v>95.541953223026695</v>
      </c>
      <c r="AJ132">
        <v>85.235162447914803</v>
      </c>
      <c r="AK132">
        <v>0.64360623183561605</v>
      </c>
      <c r="AL132">
        <v>79.328436999511297</v>
      </c>
      <c r="AM132">
        <v>86.783496297597907</v>
      </c>
      <c r="AN132">
        <v>0.99999998449612004</v>
      </c>
    </row>
    <row r="133" spans="1:40" x14ac:dyDescent="0.25">
      <c r="A133" t="str">
        <f>"20190312172859354"</f>
        <v>20190312172859354</v>
      </c>
      <c r="B133" t="str">
        <f>"1552382939347722"</f>
        <v>1552382939347722</v>
      </c>
      <c r="C133" t="s">
        <v>40</v>
      </c>
      <c r="D133">
        <v>3.499339</v>
      </c>
      <c r="E133">
        <v>0.5068589</v>
      </c>
      <c r="F133" t="s">
        <v>42</v>
      </c>
      <c r="G133">
        <v>-460.06869999999998</v>
      </c>
      <c r="H133">
        <v>1.048535</v>
      </c>
      <c r="I133">
        <v>367.85509999999999</v>
      </c>
      <c r="J133">
        <v>-460.68520000000001</v>
      </c>
      <c r="K133">
        <v>1.109022</v>
      </c>
      <c r="L133">
        <v>367.87490000000003</v>
      </c>
      <c r="M133">
        <v>0.99864819999999999</v>
      </c>
      <c r="N133">
        <v>0</v>
      </c>
      <c r="O133">
        <v>5.1796580000000002E-2</v>
      </c>
      <c r="P133">
        <v>0.98349600000000004</v>
      </c>
      <c r="Q133">
        <v>0.18088489999999999</v>
      </c>
      <c r="R133">
        <v>-4.016815E-3</v>
      </c>
      <c r="S133">
        <v>3.0907290000000001</v>
      </c>
      <c r="T133">
        <v>-0.21911220000000001</v>
      </c>
      <c r="U133">
        <v>-2.6367189999999999E-2</v>
      </c>
      <c r="V133">
        <v>5.494404E-2</v>
      </c>
      <c r="W133">
        <v>0.18515590000000001</v>
      </c>
      <c r="X133">
        <v>0.98117200000000004</v>
      </c>
      <c r="Y133">
        <v>6.0033900000000001E-2</v>
      </c>
      <c r="Z133">
        <v>-5.791666E-3</v>
      </c>
      <c r="AA133">
        <v>0.99817959999999994</v>
      </c>
      <c r="AB133">
        <v>23</v>
      </c>
      <c r="AC133">
        <v>0.61650000000003002</v>
      </c>
      <c r="AD133">
        <v>-6.0486999999999902E-2</v>
      </c>
      <c r="AE133">
        <v>-1.9800000000032E-2</v>
      </c>
      <c r="AF133">
        <v>5.12138242421315E-2</v>
      </c>
      <c r="AG133">
        <v>-6.0486999999999902E-2</v>
      </c>
      <c r="AH133">
        <v>0.60879248678124498</v>
      </c>
      <c r="AI133">
        <v>95.654198894060201</v>
      </c>
      <c r="AJ133">
        <v>85.191393779290905</v>
      </c>
      <c r="AK133">
        <v>0.61392982084583203</v>
      </c>
      <c r="AL133">
        <v>79.3297784209838</v>
      </c>
      <c r="AM133">
        <v>86.794876743597698</v>
      </c>
      <c r="AN133">
        <v>1.0000000242101601</v>
      </c>
    </row>
    <row r="134" spans="1:40" x14ac:dyDescent="0.25">
      <c r="A134" t="str">
        <f>"20190312172859377"</f>
        <v>20190312172859377</v>
      </c>
      <c r="B134" t="str">
        <f>"1552382939368219"</f>
        <v>1552382939368219</v>
      </c>
      <c r="C134" t="s">
        <v>40</v>
      </c>
      <c r="D134">
        <v>3.5285679999999999</v>
      </c>
      <c r="E134">
        <v>0.50688820000000001</v>
      </c>
      <c r="F134" t="s">
        <v>42</v>
      </c>
      <c r="G134">
        <v>-459.8603</v>
      </c>
      <c r="H134">
        <v>1.0503559999999901</v>
      </c>
      <c r="I134">
        <v>367.86790000000002</v>
      </c>
      <c r="J134">
        <v>-460.44490000000002</v>
      </c>
      <c r="K134">
        <v>1.1090610000000001</v>
      </c>
      <c r="L134">
        <v>367.88740000000001</v>
      </c>
      <c r="M134">
        <v>0.99864370000000002</v>
      </c>
      <c r="N134">
        <v>0</v>
      </c>
      <c r="O134">
        <v>5.1860299999999998E-2</v>
      </c>
      <c r="P134">
        <v>0.98352459999999997</v>
      </c>
      <c r="Q134">
        <v>0.18073049999999999</v>
      </c>
      <c r="R134">
        <v>-4.0008609999999997E-3</v>
      </c>
      <c r="S134">
        <v>3.090668</v>
      </c>
      <c r="T134">
        <v>-0.2198534</v>
      </c>
      <c r="U134">
        <v>-2.600098E-2</v>
      </c>
      <c r="V134">
        <v>5.499192E-2</v>
      </c>
      <c r="W134">
        <v>0.18525340000000001</v>
      </c>
      <c r="X134">
        <v>0.98115090000000005</v>
      </c>
      <c r="Y134">
        <v>5.9977620000000002E-2</v>
      </c>
      <c r="Z134">
        <v>-5.8138520000000004E-3</v>
      </c>
      <c r="AA134">
        <v>0.99818280000000004</v>
      </c>
      <c r="AB134">
        <v>23</v>
      </c>
      <c r="AC134">
        <v>0.58460000000002299</v>
      </c>
      <c r="AD134">
        <v>-5.8705000000000201E-2</v>
      </c>
      <c r="AE134">
        <v>-1.9499999999993599E-2</v>
      </c>
      <c r="AF134">
        <v>4.9295074309563001E-2</v>
      </c>
      <c r="AG134">
        <v>-5.8705000000000201E-2</v>
      </c>
      <c r="AH134">
        <v>0.57699013092420603</v>
      </c>
      <c r="AI134">
        <v>95.788539325218593</v>
      </c>
      <c r="AJ134">
        <v>85.116800751166707</v>
      </c>
      <c r="AK134">
        <v>0.58206004205761996</v>
      </c>
      <c r="AL134">
        <v>79.324093595013693</v>
      </c>
      <c r="AM134">
        <v>86.792020683907396</v>
      </c>
      <c r="AN134">
        <v>1.0000000110238201</v>
      </c>
    </row>
    <row r="135" spans="1:40" x14ac:dyDescent="0.25">
      <c r="A135" t="str">
        <f>"20190312172859398"</f>
        <v>20190312172859398</v>
      </c>
      <c r="B135" t="str">
        <f>"1552382939387738"</f>
        <v>1552382939387738</v>
      </c>
      <c r="C135" t="s">
        <v>40</v>
      </c>
      <c r="D135">
        <v>3.510351</v>
      </c>
      <c r="E135">
        <v>0.50693140000000003</v>
      </c>
      <c r="F135" t="s">
        <v>42</v>
      </c>
      <c r="G135">
        <v>-459.65069999999997</v>
      </c>
      <c r="H135">
        <v>1.052467</v>
      </c>
      <c r="I135">
        <v>367.88029999999998</v>
      </c>
      <c r="J135">
        <v>-460.22539999999998</v>
      </c>
      <c r="K135">
        <v>1.1091009999999999</v>
      </c>
      <c r="L135">
        <v>367.89890000000003</v>
      </c>
      <c r="M135">
        <v>0.99863959999999996</v>
      </c>
      <c r="N135">
        <v>0</v>
      </c>
      <c r="O135">
        <v>5.1916280000000002E-2</v>
      </c>
      <c r="P135">
        <v>0.98363199999999995</v>
      </c>
      <c r="Q135">
        <v>0.180144</v>
      </c>
      <c r="R135">
        <v>-4.067551E-3</v>
      </c>
      <c r="S135">
        <v>3.0906370000000001</v>
      </c>
      <c r="T135">
        <v>-0.22036359999999999</v>
      </c>
      <c r="U135">
        <v>-2.6458740000000001E-2</v>
      </c>
      <c r="V135">
        <v>5.5119109999999999E-2</v>
      </c>
      <c r="W135">
        <v>0.18492629999999999</v>
      </c>
      <c r="X135">
        <v>0.98120549999999995</v>
      </c>
      <c r="Y135">
        <v>6.0179570000000002E-2</v>
      </c>
      <c r="Z135">
        <v>-5.8385449999999997E-3</v>
      </c>
      <c r="AA135">
        <v>0.99817049999999996</v>
      </c>
      <c r="AB135">
        <v>23</v>
      </c>
      <c r="AC135">
        <v>0.57470000000000698</v>
      </c>
      <c r="AD135">
        <v>-5.6633999999999997E-2</v>
      </c>
      <c r="AE135">
        <v>-1.8600000000049001E-2</v>
      </c>
      <c r="AF135">
        <v>4.7946425885149198E-2</v>
      </c>
      <c r="AG135">
        <v>-5.6633999999999997E-2</v>
      </c>
      <c r="AH135">
        <v>0.56745442359376497</v>
      </c>
      <c r="AI135">
        <v>95.679348023153807</v>
      </c>
      <c r="AJ135">
        <v>85.170328845411603</v>
      </c>
      <c r="AK135">
        <v>0.57228558654512096</v>
      </c>
      <c r="AL135">
        <v>79.343164904570699</v>
      </c>
      <c r="AM135">
        <v>86.784795093604501</v>
      </c>
      <c r="AN135">
        <v>1.0000000429745599</v>
      </c>
    </row>
    <row r="136" spans="1:40" x14ac:dyDescent="0.25">
      <c r="A136" t="str">
        <f>"20190312172859419"</f>
        <v>20190312172859419</v>
      </c>
      <c r="B136" t="str">
        <f>"1552382939407259"</f>
        <v>1552382939407259</v>
      </c>
      <c r="C136" t="s">
        <v>40</v>
      </c>
      <c r="D136">
        <v>3.4807250000000001</v>
      </c>
      <c r="E136">
        <v>0.50692649999999995</v>
      </c>
      <c r="F136" t="s">
        <v>42</v>
      </c>
      <c r="G136">
        <v>-459.44209999999998</v>
      </c>
      <c r="H136">
        <v>1.0527470000000001</v>
      </c>
      <c r="I136">
        <v>367.8922</v>
      </c>
      <c r="J136">
        <v>-460.00479999999999</v>
      </c>
      <c r="K136">
        <v>1.1091420000000001</v>
      </c>
      <c r="L136">
        <v>367.91039999999998</v>
      </c>
      <c r="M136">
        <v>0.99863550000000001</v>
      </c>
      <c r="N136">
        <v>0</v>
      </c>
      <c r="O136">
        <v>5.1967909999999999E-2</v>
      </c>
      <c r="P136">
        <v>0.98364620000000003</v>
      </c>
      <c r="Q136">
        <v>0.1800697</v>
      </c>
      <c r="R136">
        <v>-3.919985E-3</v>
      </c>
      <c r="S136">
        <v>3.0905459999999998</v>
      </c>
      <c r="T136">
        <v>-0.2222761</v>
      </c>
      <c r="U136">
        <v>-2.6794430000000001E-2</v>
      </c>
      <c r="V136">
        <v>5.5024620000000003E-2</v>
      </c>
      <c r="W136">
        <v>0.18512970000000001</v>
      </c>
      <c r="X136">
        <v>0.98117239999999994</v>
      </c>
      <c r="Y136">
        <v>6.0334409999999998E-2</v>
      </c>
      <c r="Z136">
        <v>-5.8985319999999997E-3</v>
      </c>
      <c r="AA136">
        <v>0.99816079999999996</v>
      </c>
      <c r="AB136">
        <v>23</v>
      </c>
      <c r="AC136">
        <v>0.56270000000000597</v>
      </c>
      <c r="AD136">
        <v>-5.6395000000000202E-2</v>
      </c>
      <c r="AE136">
        <v>-1.81999999999789E-2</v>
      </c>
      <c r="AF136">
        <v>4.69470707273189E-2</v>
      </c>
      <c r="AG136">
        <v>-5.6395000000000202E-2</v>
      </c>
      <c r="AH136">
        <v>0.55542072490601402</v>
      </c>
      <c r="AI136">
        <v>95.777233549563903</v>
      </c>
      <c r="AJ136">
        <v>85.168544715522302</v>
      </c>
      <c r="AK136">
        <v>0.560246914431483</v>
      </c>
      <c r="AL136">
        <v>79.331305681080593</v>
      </c>
      <c r="AM136">
        <v>86.790187291514201</v>
      </c>
      <c r="AN136">
        <v>0.99999999657499705</v>
      </c>
    </row>
    <row r="137" spans="1:40" x14ac:dyDescent="0.25">
      <c r="A137" t="str">
        <f>"20190312172859442"</f>
        <v>20190312172859442</v>
      </c>
      <c r="B137" t="str">
        <f>"1552382939437515"</f>
        <v>1552382939437515</v>
      </c>
      <c r="C137" t="s">
        <v>40</v>
      </c>
      <c r="D137">
        <v>3.4479090000000001</v>
      </c>
      <c r="E137">
        <v>0.50607290000000005</v>
      </c>
      <c r="F137" t="s">
        <v>42</v>
      </c>
      <c r="G137">
        <v>-459.23250000000002</v>
      </c>
      <c r="H137">
        <v>1.053553</v>
      </c>
      <c r="I137">
        <v>367.90359999999998</v>
      </c>
      <c r="J137">
        <v>-459.77170000000001</v>
      </c>
      <c r="K137">
        <v>1.1091799999999901</v>
      </c>
      <c r="L137">
        <v>367.92259999999999</v>
      </c>
      <c r="M137">
        <v>0.99863139999999995</v>
      </c>
      <c r="N137">
        <v>0</v>
      </c>
      <c r="O137">
        <v>5.2015310000000002E-2</v>
      </c>
      <c r="P137">
        <v>0.98370780000000002</v>
      </c>
      <c r="Q137">
        <v>0.17973539999999999</v>
      </c>
      <c r="R137">
        <v>-3.7972209999999999E-3</v>
      </c>
      <c r="S137">
        <v>3.0905149999999999</v>
      </c>
      <c r="T137">
        <v>-0.22263089999999999</v>
      </c>
      <c r="U137">
        <v>-2.6397710000000001E-2</v>
      </c>
      <c r="V137">
        <v>5.4954120000000002E-2</v>
      </c>
      <c r="W137">
        <v>0.18509639999999999</v>
      </c>
      <c r="X137">
        <v>0.98118260000000002</v>
      </c>
      <c r="Y137">
        <v>6.0252989999999999E-2</v>
      </c>
      <c r="Z137">
        <v>-5.9084630000000001E-3</v>
      </c>
      <c r="AA137">
        <v>0.99816570000000004</v>
      </c>
      <c r="AB137">
        <v>23</v>
      </c>
      <c r="AC137">
        <v>0.53919999999999302</v>
      </c>
      <c r="AD137">
        <v>-5.5626999999999802E-2</v>
      </c>
      <c r="AE137">
        <v>-1.9000000000005401E-2</v>
      </c>
      <c r="AF137">
        <v>4.6526772012606403E-2</v>
      </c>
      <c r="AG137">
        <v>-5.5626999999999802E-2</v>
      </c>
      <c r="AH137">
        <v>0.53182842351278903</v>
      </c>
      <c r="AI137">
        <v>95.948626700812497</v>
      </c>
      <c r="AJ137">
        <v>85.000233715220801</v>
      </c>
      <c r="AK137">
        <v>0.53675001229530594</v>
      </c>
      <c r="AL137">
        <v>79.333246828931394</v>
      </c>
      <c r="AM137">
        <v>86.794324519896094</v>
      </c>
      <c r="AN137">
        <v>0.99999996357034604</v>
      </c>
    </row>
    <row r="138" spans="1:40" x14ac:dyDescent="0.25">
      <c r="A138" t="str">
        <f>"20190312172859465"</f>
        <v>20190312172859465</v>
      </c>
      <c r="B138" t="str">
        <f>"1552382939458011"</f>
        <v>1552382939458011</v>
      </c>
      <c r="C138" t="s">
        <v>40</v>
      </c>
      <c r="D138">
        <v>3.453462</v>
      </c>
      <c r="E138">
        <v>0.50559129999999997</v>
      </c>
      <c r="F138" t="s">
        <v>42</v>
      </c>
      <c r="G138">
        <v>-459.02159999999998</v>
      </c>
      <c r="H138">
        <v>1.0550120000000001</v>
      </c>
      <c r="I138">
        <v>367.91770000000002</v>
      </c>
      <c r="J138">
        <v>-459.53100000000001</v>
      </c>
      <c r="K138">
        <v>1.109213</v>
      </c>
      <c r="L138">
        <v>367.93520000000001</v>
      </c>
      <c r="M138">
        <v>0.99862779999999995</v>
      </c>
      <c r="N138">
        <v>0</v>
      </c>
      <c r="O138">
        <v>5.2051720000000003E-2</v>
      </c>
      <c r="P138">
        <v>0.98371529999999996</v>
      </c>
      <c r="Q138">
        <v>0.17969749999999901</v>
      </c>
      <c r="R138">
        <v>-3.6127329999999999E-3</v>
      </c>
      <c r="S138">
        <v>3.0903930000000002</v>
      </c>
      <c r="T138">
        <v>-0.2233551</v>
      </c>
      <c r="U138">
        <v>-1.9409180000000002E-2</v>
      </c>
      <c r="V138">
        <v>5.481043E-2</v>
      </c>
      <c r="W138">
        <v>0.1853602</v>
      </c>
      <c r="X138">
        <v>0.98114089999999998</v>
      </c>
      <c r="Y138">
        <v>5.8036329999999997E-2</v>
      </c>
      <c r="Z138">
        <v>-5.8504949999999998E-3</v>
      </c>
      <c r="AA138">
        <v>0.99829730000000005</v>
      </c>
      <c r="AB138">
        <v>23</v>
      </c>
      <c r="AC138">
        <v>0.50940000000002705</v>
      </c>
      <c r="AD138">
        <v>-5.4200999999999902E-2</v>
      </c>
      <c r="AE138">
        <v>-1.7499999999984001E-2</v>
      </c>
      <c r="AF138">
        <v>4.3499965426554897E-2</v>
      </c>
      <c r="AG138">
        <v>-5.4200999999999902E-2</v>
      </c>
      <c r="AH138">
        <v>0.50212054770740999</v>
      </c>
      <c r="AI138">
        <v>96.138077896620999</v>
      </c>
      <c r="AJ138">
        <v>85.048684737934394</v>
      </c>
      <c r="AK138">
        <v>0.50690732863423904</v>
      </c>
      <c r="AL138">
        <v>79.317866723287906</v>
      </c>
      <c r="AM138">
        <v>86.802553463117903</v>
      </c>
      <c r="AN138">
        <v>1.0000000263168101</v>
      </c>
    </row>
    <row r="139" spans="1:40" x14ac:dyDescent="0.25">
      <c r="A139" t="str">
        <f>"20190312172859488"</f>
        <v>20190312172859488</v>
      </c>
      <c r="B139" t="str">
        <f>"1552382939477534"</f>
        <v>1552382939477534</v>
      </c>
      <c r="C139" t="s">
        <v>40</v>
      </c>
      <c r="D139">
        <v>3.459003</v>
      </c>
      <c r="E139">
        <v>0.50515679999999996</v>
      </c>
      <c r="F139" t="s">
        <v>42</v>
      </c>
      <c r="G139">
        <v>-458.6096</v>
      </c>
      <c r="H139">
        <v>1.04274</v>
      </c>
      <c r="I139">
        <v>367.93029999999999</v>
      </c>
      <c r="J139">
        <v>-459.29</v>
      </c>
      <c r="K139">
        <v>1.1092390000000001</v>
      </c>
      <c r="L139">
        <v>367.94779999999997</v>
      </c>
      <c r="M139">
        <v>0.99862490000000004</v>
      </c>
      <c r="N139">
        <v>0</v>
      </c>
      <c r="O139">
        <v>5.207374E-2</v>
      </c>
      <c r="P139">
        <v>0.98372409999999999</v>
      </c>
      <c r="Q139">
        <v>0.1796497</v>
      </c>
      <c r="R139">
        <v>-3.5826740000000001E-3</v>
      </c>
      <c r="S139">
        <v>3.0903930000000002</v>
      </c>
      <c r="T139">
        <v>-0.22307830000000001</v>
      </c>
      <c r="U139">
        <v>-1.5472410000000001E-2</v>
      </c>
      <c r="V139">
        <v>5.4806790000000001E-2</v>
      </c>
      <c r="W139">
        <v>0.1855977</v>
      </c>
      <c r="X139">
        <v>0.98109610000000003</v>
      </c>
      <c r="Y139">
        <v>5.6790630000000002E-2</v>
      </c>
      <c r="Z139">
        <v>-5.7999449999999999E-3</v>
      </c>
      <c r="AA139">
        <v>0.99836930000000002</v>
      </c>
      <c r="AB139">
        <v>23</v>
      </c>
      <c r="AC139">
        <v>0.68040000000001999</v>
      </c>
      <c r="AD139">
        <v>-6.6498999999999794E-2</v>
      </c>
      <c r="AE139">
        <v>-1.7499999999984001E-2</v>
      </c>
      <c r="AF139">
        <v>5.2407602690700703E-2</v>
      </c>
      <c r="AG139">
        <v>-6.6498999999999794E-2</v>
      </c>
      <c r="AH139">
        <v>0.672149287662686</v>
      </c>
      <c r="AI139">
        <v>95.633176745853504</v>
      </c>
      <c r="AJ139">
        <v>85.541657616304803</v>
      </c>
      <c r="AK139">
        <v>0.67746094996408601</v>
      </c>
      <c r="AL139">
        <v>79.304017580419398</v>
      </c>
      <c r="AM139">
        <v>86.802619674188804</v>
      </c>
      <c r="AN139">
        <v>0.99999992395529902</v>
      </c>
    </row>
    <row r="140" spans="1:40" x14ac:dyDescent="0.25">
      <c r="A140" t="str">
        <f>"20190312172859508"</f>
        <v>20190312172859508</v>
      </c>
      <c r="B140" t="str">
        <f>"1552382939498026"</f>
        <v>1552382939498026</v>
      </c>
      <c r="C140" t="s">
        <v>40</v>
      </c>
      <c r="D140">
        <v>3.4292090000000002</v>
      </c>
      <c r="E140">
        <v>0.50474569999999996</v>
      </c>
      <c r="F140" t="s">
        <v>42</v>
      </c>
      <c r="G140">
        <v>-458.39760000000001</v>
      </c>
      <c r="H140">
        <v>1.044943</v>
      </c>
      <c r="I140">
        <v>367.94400000000002</v>
      </c>
      <c r="J140">
        <v>-459.0652</v>
      </c>
      <c r="K140">
        <v>1.1092569999999999</v>
      </c>
      <c r="L140">
        <v>367.95949999999999</v>
      </c>
      <c r="M140">
        <v>0.99862280000000003</v>
      </c>
      <c r="N140">
        <v>0</v>
      </c>
      <c r="O140">
        <v>5.2084829999999999E-2</v>
      </c>
      <c r="P140">
        <v>0.98363270000000003</v>
      </c>
      <c r="Q140">
        <v>0.1801499</v>
      </c>
      <c r="R140">
        <v>-3.6400209999999998E-3</v>
      </c>
      <c r="S140">
        <v>3.090271</v>
      </c>
      <c r="T140">
        <v>-0.22295400000000001</v>
      </c>
      <c r="U140">
        <v>-1.1688230000000001E-2</v>
      </c>
      <c r="V140">
        <v>5.48738E-2</v>
      </c>
      <c r="W140">
        <v>0.18634600000000001</v>
      </c>
      <c r="X140">
        <v>0.98095060000000001</v>
      </c>
      <c r="Y140">
        <v>5.5582840000000001E-2</v>
      </c>
      <c r="Z140">
        <v>-5.7542299999999999E-3</v>
      </c>
      <c r="AA140">
        <v>0.99843749999999998</v>
      </c>
      <c r="AB140">
        <v>24</v>
      </c>
      <c r="AC140">
        <v>0.66759999999999298</v>
      </c>
      <c r="AD140">
        <v>-6.4313999999999899E-2</v>
      </c>
      <c r="AE140">
        <v>-1.5499999999974499E-2</v>
      </c>
      <c r="AF140">
        <v>4.97896513830553E-2</v>
      </c>
      <c r="AG140">
        <v>-6.4313999999999899E-2</v>
      </c>
      <c r="AH140">
        <v>0.65976671073020898</v>
      </c>
      <c r="AI140">
        <v>95.551909180986399</v>
      </c>
      <c r="AJ140">
        <v>85.684323291337506</v>
      </c>
      <c r="AK140">
        <v>0.66476116957039999</v>
      </c>
      <c r="AL140">
        <v>79.260382995660507</v>
      </c>
      <c r="AM140">
        <v>86.798244651303506</v>
      </c>
      <c r="AN140">
        <v>1.0000000226413901</v>
      </c>
    </row>
    <row r="141" spans="1:40" x14ac:dyDescent="0.25">
      <c r="A141" t="str">
        <f>"20190312172859532"</f>
        <v>20190312172859532</v>
      </c>
      <c r="B141" t="str">
        <f>"1552382939527307"</f>
        <v>1552382939527307</v>
      </c>
      <c r="C141" t="s">
        <v>40</v>
      </c>
      <c r="D141">
        <v>3.4110179999999999</v>
      </c>
      <c r="E141">
        <v>0.50416729999999998</v>
      </c>
      <c r="F141" t="s">
        <v>42</v>
      </c>
      <c r="G141">
        <v>-458.18549999999999</v>
      </c>
      <c r="H141">
        <v>1.0463480000000001</v>
      </c>
      <c r="I141">
        <v>367.95670000000001</v>
      </c>
      <c r="J141">
        <v>-458.82600000000002</v>
      </c>
      <c r="K141">
        <v>1.1092770000000001</v>
      </c>
      <c r="L141">
        <v>367.97199999999998</v>
      </c>
      <c r="M141">
        <v>0.99862090000000003</v>
      </c>
      <c r="N141">
        <v>0</v>
      </c>
      <c r="O141">
        <v>5.2089549999999998E-2</v>
      </c>
      <c r="P141">
        <v>0.98364410000000002</v>
      </c>
      <c r="Q141">
        <v>0.18007999999999999</v>
      </c>
      <c r="R141">
        <v>-3.9750559999999898E-3</v>
      </c>
      <c r="S141">
        <v>3.0903930000000002</v>
      </c>
      <c r="T141">
        <v>-0.2211921</v>
      </c>
      <c r="U141">
        <v>-8.6059569999999991E-3</v>
      </c>
      <c r="V141">
        <v>5.5216660000000001E-2</v>
      </c>
      <c r="W141">
        <v>0.18651789999999999</v>
      </c>
      <c r="X141">
        <v>0.98089870000000001</v>
      </c>
      <c r="Y141">
        <v>5.4598580000000001E-2</v>
      </c>
      <c r="Z141">
        <v>-5.6737970000000004E-3</v>
      </c>
      <c r="AA141">
        <v>0.99849219999999905</v>
      </c>
      <c r="AB141">
        <v>24</v>
      </c>
      <c r="AC141">
        <v>0.64049999999997398</v>
      </c>
      <c r="AD141">
        <v>-6.2928999999999999E-2</v>
      </c>
      <c r="AE141">
        <v>-1.5299999999967799E-2</v>
      </c>
      <c r="AF141">
        <v>4.8178498836070602E-2</v>
      </c>
      <c r="AG141">
        <v>-6.2928999999999999E-2</v>
      </c>
      <c r="AH141">
        <v>0.63272917718058497</v>
      </c>
      <c r="AI141">
        <v>95.663469557481804</v>
      </c>
      <c r="AJ141">
        <v>85.645675372005599</v>
      </c>
      <c r="AK141">
        <v>0.63767345753662796</v>
      </c>
      <c r="AL141">
        <v>79.250358207448699</v>
      </c>
      <c r="AM141">
        <v>86.778111494442498</v>
      </c>
      <c r="AN141">
        <v>1.00000003311182</v>
      </c>
    </row>
    <row r="142" spans="1:40" x14ac:dyDescent="0.25">
      <c r="A142" t="str">
        <f>"20190312172859555"</f>
        <v>20190312172859555</v>
      </c>
      <c r="B142" t="str">
        <f>"1552382939547803"</f>
        <v>1552382939547803</v>
      </c>
      <c r="C142" t="s">
        <v>40</v>
      </c>
      <c r="D142">
        <v>3.4511319999999999</v>
      </c>
      <c r="E142">
        <v>0.50379169999999995</v>
      </c>
      <c r="F142" t="s">
        <v>42</v>
      </c>
      <c r="G142">
        <v>-457.97210000000001</v>
      </c>
      <c r="H142">
        <v>1.0482610000000001</v>
      </c>
      <c r="I142">
        <v>367.9701</v>
      </c>
      <c r="J142">
        <v>-458.57569999999998</v>
      </c>
      <c r="K142">
        <v>1.1092919999999999</v>
      </c>
      <c r="L142">
        <v>367.98500000000001</v>
      </c>
      <c r="M142">
        <v>0.99861960000000005</v>
      </c>
      <c r="N142">
        <v>0</v>
      </c>
      <c r="O142">
        <v>5.2083249999999998E-2</v>
      </c>
      <c r="P142">
        <v>0.98368109999999997</v>
      </c>
      <c r="Q142">
        <v>0.17987330000000001</v>
      </c>
      <c r="R142">
        <v>-4.1090129999999999E-3</v>
      </c>
      <c r="S142">
        <v>3.0903019999999999</v>
      </c>
      <c r="T142">
        <v>-0.2211111</v>
      </c>
      <c r="U142">
        <v>-5.1879880000000001E-3</v>
      </c>
      <c r="V142">
        <v>5.5348630000000003E-2</v>
      </c>
      <c r="W142">
        <v>0.1865404</v>
      </c>
      <c r="X142">
        <v>0.98088690000000001</v>
      </c>
      <c r="Y142">
        <v>5.3491089999999998E-2</v>
      </c>
      <c r="Z142">
        <v>-5.6318569999999997E-3</v>
      </c>
      <c r="AA142">
        <v>0.99855240000000001</v>
      </c>
      <c r="AB142">
        <v>24</v>
      </c>
      <c r="AC142">
        <v>0.60359999999997105</v>
      </c>
      <c r="AD142">
        <v>-6.1030999999999801E-2</v>
      </c>
      <c r="AE142">
        <v>-1.4900000000011401E-2</v>
      </c>
      <c r="AF142">
        <v>4.5849492417768999E-2</v>
      </c>
      <c r="AG142">
        <v>-6.1030999999999801E-2</v>
      </c>
      <c r="AH142">
        <v>0.59591598779927901</v>
      </c>
      <c r="AI142">
        <v>95.830471977393799</v>
      </c>
      <c r="AJ142">
        <v>85.600357843942007</v>
      </c>
      <c r="AK142">
        <v>0.60078517244582397</v>
      </c>
      <c r="AL142">
        <v>79.249045131023493</v>
      </c>
      <c r="AM142">
        <v>86.770388565114601</v>
      </c>
      <c r="AN142">
        <v>0.99999995113332196</v>
      </c>
    </row>
    <row r="143" spans="1:40" x14ac:dyDescent="0.25">
      <c r="A143" t="str">
        <f>"20190312172859579"</f>
        <v>20190312172859579</v>
      </c>
      <c r="B143" t="str">
        <f>"1552382939567323"</f>
        <v>1552382939567323</v>
      </c>
      <c r="C143" t="s">
        <v>40</v>
      </c>
      <c r="D143">
        <v>3.4269910000000001</v>
      </c>
      <c r="E143">
        <v>0.50341579999999997</v>
      </c>
      <c r="F143" t="s">
        <v>42</v>
      </c>
      <c r="G143">
        <v>-457.75729999999999</v>
      </c>
      <c r="H143">
        <v>1.0506869999999999</v>
      </c>
      <c r="I143">
        <v>367.98450000000003</v>
      </c>
      <c r="J143">
        <v>-458.3288</v>
      </c>
      <c r="K143">
        <v>1.1093</v>
      </c>
      <c r="L143">
        <v>367.99790000000002</v>
      </c>
      <c r="M143">
        <v>0.99861949999999999</v>
      </c>
      <c r="N143">
        <v>0</v>
      </c>
      <c r="O143">
        <v>5.2056930000000001E-2</v>
      </c>
      <c r="P143">
        <v>0.98383050000000005</v>
      </c>
      <c r="Q143">
        <v>0.17905160000000001</v>
      </c>
      <c r="R143">
        <v>-4.284698E-3</v>
      </c>
      <c r="S143">
        <v>3.0902400000000001</v>
      </c>
      <c r="T143">
        <v>-0.2213222</v>
      </c>
      <c r="U143">
        <v>-1.8615719999999999E-3</v>
      </c>
      <c r="V143">
        <v>5.5509959999999997E-2</v>
      </c>
      <c r="W143">
        <v>0.1859295</v>
      </c>
      <c r="X143">
        <v>0.98099380000000003</v>
      </c>
      <c r="Y143">
        <v>5.2392349999999997E-2</v>
      </c>
      <c r="Z143">
        <v>-5.596139E-3</v>
      </c>
      <c r="AA143">
        <v>0.99861089999999997</v>
      </c>
      <c r="AB143">
        <v>24</v>
      </c>
      <c r="AC143">
        <v>0.571500000000014</v>
      </c>
      <c r="AD143">
        <v>-5.8612999999999797E-2</v>
      </c>
      <c r="AE143">
        <v>-1.339999999999E-2</v>
      </c>
      <c r="AF143">
        <v>4.2684366750398897E-2</v>
      </c>
      <c r="AG143">
        <v>-5.8612999999999797E-2</v>
      </c>
      <c r="AH143">
        <v>0.56409727664572895</v>
      </c>
      <c r="AI143">
        <v>95.915288629326696</v>
      </c>
      <c r="AJ143">
        <v>85.672763422518102</v>
      </c>
      <c r="AK143">
        <v>0.56873823192485495</v>
      </c>
      <c r="AL143">
        <v>79.284670749006096</v>
      </c>
      <c r="AM143">
        <v>86.761347125452104</v>
      </c>
      <c r="AN143">
        <v>0.99999998513394495</v>
      </c>
    </row>
    <row r="144" spans="1:40" x14ac:dyDescent="0.25">
      <c r="A144" t="str">
        <f>"20190312172859600"</f>
        <v>20190312172859600</v>
      </c>
      <c r="B144" t="str">
        <f>"1552382939587821"</f>
        <v>1552382939587821</v>
      </c>
      <c r="C144" t="s">
        <v>40</v>
      </c>
      <c r="D144">
        <v>3.4283459999999999</v>
      </c>
      <c r="E144">
        <v>0.50307609999999903</v>
      </c>
      <c r="F144" t="s">
        <v>42</v>
      </c>
      <c r="G144">
        <v>-457.54259999999999</v>
      </c>
      <c r="H144">
        <v>1.0525230000000001</v>
      </c>
      <c r="I144">
        <v>367.99740000000003</v>
      </c>
      <c r="J144">
        <v>-458.10390000000001</v>
      </c>
      <c r="K144">
        <v>1.109305</v>
      </c>
      <c r="L144">
        <v>368.00959999999998</v>
      </c>
      <c r="M144">
        <v>0.99862079999999998</v>
      </c>
      <c r="N144">
        <v>0</v>
      </c>
      <c r="O144">
        <v>5.2006009999999998E-2</v>
      </c>
      <c r="P144">
        <v>0.9839388</v>
      </c>
      <c r="Q144">
        <v>0.17844769999999999</v>
      </c>
      <c r="R144">
        <v>-4.592474E-3</v>
      </c>
      <c r="S144">
        <v>3.0900270000000001</v>
      </c>
      <c r="T144">
        <v>-0.22342709999999999</v>
      </c>
      <c r="U144">
        <v>-3.6621089999999999E-4</v>
      </c>
      <c r="V144">
        <v>5.5780080000000003E-2</v>
      </c>
      <c r="W144">
        <v>0.1855097</v>
      </c>
      <c r="X144">
        <v>0.98105790000000004</v>
      </c>
      <c r="Y144">
        <v>5.1854669999999999E-2</v>
      </c>
      <c r="Z144">
        <v>-5.626519E-3</v>
      </c>
      <c r="AA144">
        <v>0.99863880000000005</v>
      </c>
      <c r="AB144">
        <v>24</v>
      </c>
      <c r="AC144">
        <v>0.56130000000001701</v>
      </c>
      <c r="AD144">
        <v>-5.6782000000000103E-2</v>
      </c>
      <c r="AE144">
        <v>-1.21999999999502E-2</v>
      </c>
      <c r="AF144">
        <v>4.0956285233932702E-2</v>
      </c>
      <c r="AG144">
        <v>-5.6782000000000103E-2</v>
      </c>
      <c r="AH144">
        <v>0.55423670810199399</v>
      </c>
      <c r="AI144">
        <v>95.833793392980894</v>
      </c>
      <c r="AJ144">
        <v>85.7737104510189</v>
      </c>
      <c r="AK144">
        <v>0.55864115622812704</v>
      </c>
      <c r="AL144">
        <v>79.3091488315997</v>
      </c>
      <c r="AM144">
        <v>86.745833311550996</v>
      </c>
      <c r="AN144">
        <v>0.99999993463565096</v>
      </c>
    </row>
    <row r="145" spans="1:40" x14ac:dyDescent="0.25">
      <c r="A145" t="str">
        <f>"20190312172859621"</f>
        <v>20190312172859621</v>
      </c>
      <c r="B145" t="str">
        <f>"1552382939618075"</f>
        <v>1552382939618075</v>
      </c>
      <c r="C145" t="s">
        <v>40</v>
      </c>
      <c r="D145">
        <v>3.3852259999999998</v>
      </c>
      <c r="E145">
        <v>0.50257429999999903</v>
      </c>
      <c r="F145" t="s">
        <v>42</v>
      </c>
      <c r="G145">
        <v>-457.32859999999999</v>
      </c>
      <c r="H145">
        <v>1.052934</v>
      </c>
      <c r="I145">
        <v>368.00970000000001</v>
      </c>
      <c r="J145">
        <v>-457.86930000000001</v>
      </c>
      <c r="K145">
        <v>1.1093</v>
      </c>
      <c r="L145">
        <v>368.02170000000001</v>
      </c>
      <c r="M145">
        <v>0.99862399999999996</v>
      </c>
      <c r="N145">
        <v>0</v>
      </c>
      <c r="O145">
        <v>5.1919979999999998E-2</v>
      </c>
      <c r="P145">
        <v>0.98392579999999996</v>
      </c>
      <c r="Q145">
        <v>0.17849670000000001</v>
      </c>
      <c r="R145">
        <v>-5.413803E-3</v>
      </c>
      <c r="S145">
        <v>3.0897830000000002</v>
      </c>
      <c r="T145">
        <v>-0.22492210000000001</v>
      </c>
      <c r="U145">
        <v>1.4343260000000001E-3</v>
      </c>
      <c r="V145">
        <v>5.6526199999999902E-2</v>
      </c>
      <c r="W145">
        <v>0.18574489999999999</v>
      </c>
      <c r="X145">
        <v>0.98097069999999997</v>
      </c>
      <c r="Y145">
        <v>5.1185069999999999E-2</v>
      </c>
      <c r="Z145">
        <v>-5.6339169999999996E-3</v>
      </c>
      <c r="AA145">
        <v>0.99867329999999999</v>
      </c>
      <c r="AB145">
        <v>24</v>
      </c>
      <c r="AC145">
        <v>0.54070000000001495</v>
      </c>
      <c r="AD145">
        <v>-5.6365999999999902E-2</v>
      </c>
      <c r="AE145">
        <v>-1.2000000000000399E-2</v>
      </c>
      <c r="AF145">
        <v>3.9627281630489702E-2</v>
      </c>
      <c r="AG145">
        <v>-5.6365999999999902E-2</v>
      </c>
      <c r="AH145">
        <v>0.53355221554978705</v>
      </c>
      <c r="AI145">
        <v>96.014081404210799</v>
      </c>
      <c r="AJ145">
        <v>85.752402597434795</v>
      </c>
      <c r="AK145">
        <v>0.53798272660328805</v>
      </c>
      <c r="AL145">
        <v>79.295434642286097</v>
      </c>
      <c r="AM145">
        <v>86.702108194452194</v>
      </c>
      <c r="AN145">
        <v>0.99999994671046799</v>
      </c>
    </row>
    <row r="146" spans="1:40" x14ac:dyDescent="0.25">
      <c r="A146" t="str">
        <f>"20190312172859643"</f>
        <v>20190312172859643</v>
      </c>
      <c r="B146" t="str">
        <f>"1552382939637595"</f>
        <v>1552382939637595</v>
      </c>
      <c r="C146" t="s">
        <v>40</v>
      </c>
      <c r="D146">
        <v>3.4009870000000002</v>
      </c>
      <c r="E146">
        <v>0.502258599999999</v>
      </c>
      <c r="F146" t="s">
        <v>42</v>
      </c>
      <c r="G146">
        <v>-457.11320000000001</v>
      </c>
      <c r="H146">
        <v>1.0545310000000001</v>
      </c>
      <c r="I146">
        <v>368.02179999999998</v>
      </c>
      <c r="J146">
        <v>-457.63780000000003</v>
      </c>
      <c r="K146">
        <v>1.1092850000000001</v>
      </c>
      <c r="L146">
        <v>368.03359999999998</v>
      </c>
      <c r="M146">
        <v>0.99862890000000004</v>
      </c>
      <c r="N146">
        <v>0</v>
      </c>
      <c r="O146">
        <v>5.1798490000000003E-2</v>
      </c>
      <c r="P146">
        <v>0.983985</v>
      </c>
      <c r="Q146">
        <v>0.1781645</v>
      </c>
      <c r="R146">
        <v>-5.5743889999999999E-3</v>
      </c>
      <c r="S146">
        <v>3.0897220000000001</v>
      </c>
      <c r="T146">
        <v>-0.2242459</v>
      </c>
      <c r="U146">
        <v>3.2958979999999998E-3</v>
      </c>
      <c r="V146">
        <v>5.6583979999999999E-2</v>
      </c>
      <c r="W146">
        <v>0.1855889</v>
      </c>
      <c r="X146">
        <v>0.98099700000000001</v>
      </c>
      <c r="Y146">
        <v>5.0465759999999998E-2</v>
      </c>
      <c r="Z146">
        <v>-5.5822600000000003E-3</v>
      </c>
      <c r="AA146">
        <v>0.99871019999999999</v>
      </c>
      <c r="AB146">
        <v>24</v>
      </c>
      <c r="AC146">
        <v>0.52460000000002005</v>
      </c>
      <c r="AD146">
        <v>-5.4754000000000101E-2</v>
      </c>
      <c r="AE146">
        <v>-1.17999999999938E-2</v>
      </c>
      <c r="AF146">
        <v>3.8538806195663598E-2</v>
      </c>
      <c r="AG146">
        <v>-5.4754000000000101E-2</v>
      </c>
      <c r="AH146">
        <v>0.51764822529101595</v>
      </c>
      <c r="AI146">
        <v>96.021441292319295</v>
      </c>
      <c r="AJ146">
        <v>85.742195832198902</v>
      </c>
      <c r="AK146">
        <v>0.521960654883034</v>
      </c>
      <c r="AL146">
        <v>79.3045320651498</v>
      </c>
      <c r="AM146">
        <v>86.698832913750607</v>
      </c>
      <c r="AN146">
        <v>1.00000005030242</v>
      </c>
    </row>
    <row r="147" spans="1:40" x14ac:dyDescent="0.25">
      <c r="A147" t="str">
        <f>"20190312172859666"</f>
        <v>20190312172859666</v>
      </c>
      <c r="B147" t="str">
        <f>"1552382939658091"</f>
        <v>1552382939658091</v>
      </c>
      <c r="C147" t="s">
        <v>40</v>
      </c>
      <c r="D147">
        <v>3.477868</v>
      </c>
      <c r="E147">
        <v>0.50190789999999996</v>
      </c>
      <c r="F147" t="s">
        <v>42</v>
      </c>
      <c r="G147">
        <v>-456.89519999999999</v>
      </c>
      <c r="H147">
        <v>1.0551779999999999</v>
      </c>
      <c r="I147">
        <v>368.03489999999999</v>
      </c>
      <c r="J147">
        <v>-457.39370000000002</v>
      </c>
      <c r="K147">
        <v>1.1092679999999999</v>
      </c>
      <c r="L147">
        <v>368.04610000000002</v>
      </c>
      <c r="M147">
        <v>0.99863650000000004</v>
      </c>
      <c r="N147">
        <v>0</v>
      </c>
      <c r="O147">
        <v>5.162601E-2</v>
      </c>
      <c r="P147">
        <v>0.98403940000000001</v>
      </c>
      <c r="Q147">
        <v>0.17786070000000001</v>
      </c>
      <c r="R147">
        <v>-5.6854679999999999E-3</v>
      </c>
      <c r="S147">
        <v>3.0896300000000001</v>
      </c>
      <c r="T147">
        <v>-0.22514239999999999</v>
      </c>
      <c r="U147">
        <v>5.2185060000000004E-3</v>
      </c>
      <c r="V147">
        <v>5.6543179999999998E-2</v>
      </c>
      <c r="W147">
        <v>0.1854548</v>
      </c>
      <c r="X147">
        <v>0.98102469999999997</v>
      </c>
      <c r="Y147">
        <v>4.9672210000000001E-2</v>
      </c>
      <c r="Z147">
        <v>-5.5632549999999996E-3</v>
      </c>
      <c r="AA147">
        <v>0.99875009999999997</v>
      </c>
      <c r="AB147">
        <v>24</v>
      </c>
      <c r="AC147">
        <v>0.49850000000003503</v>
      </c>
      <c r="AD147">
        <v>-5.4089999999999701E-2</v>
      </c>
      <c r="AE147">
        <v>-1.1200000000030699E-2</v>
      </c>
      <c r="AF147">
        <v>3.6491980879918902E-2</v>
      </c>
      <c r="AG147">
        <v>-5.4089999999999701E-2</v>
      </c>
      <c r="AH147">
        <v>0.49147355744065901</v>
      </c>
      <c r="AI147">
        <v>96.263409130672997</v>
      </c>
      <c r="AJ147">
        <v>85.753572495999506</v>
      </c>
      <c r="AK147">
        <v>0.49578589172335003</v>
      </c>
      <c r="AL147">
        <v>79.312351034595096</v>
      </c>
      <c r="AM147">
        <v>86.701300906962899</v>
      </c>
      <c r="AN147">
        <v>1.0000000380288201</v>
      </c>
    </row>
    <row r="148" spans="1:40" x14ac:dyDescent="0.25">
      <c r="A148" t="str">
        <f>"20190312172859688"</f>
        <v>20190312172859688</v>
      </c>
      <c r="B148" t="str">
        <f>"1552382939677614"</f>
        <v>1552382939677614</v>
      </c>
      <c r="C148" t="s">
        <v>40</v>
      </c>
      <c r="D148">
        <v>3.3322270000000001</v>
      </c>
      <c r="E148">
        <v>0.50156829999999997</v>
      </c>
      <c r="F148" t="s">
        <v>42</v>
      </c>
      <c r="G148">
        <v>-456.47739999999999</v>
      </c>
      <c r="H148">
        <v>1.0425719999999901</v>
      </c>
      <c r="I148">
        <v>368.04809999999998</v>
      </c>
      <c r="J148">
        <v>-457.1524</v>
      </c>
      <c r="K148">
        <v>1.109246</v>
      </c>
      <c r="L148">
        <v>368.05829999999997</v>
      </c>
      <c r="M148">
        <v>0.99864600000000003</v>
      </c>
      <c r="N148">
        <v>0</v>
      </c>
      <c r="O148">
        <v>5.1417860000000003E-2</v>
      </c>
      <c r="P148">
        <v>0.98404689999999995</v>
      </c>
      <c r="Q148">
        <v>0.17779449999999999</v>
      </c>
      <c r="R148">
        <v>-6.39041E-3</v>
      </c>
      <c r="S148">
        <v>3.0893860000000002</v>
      </c>
      <c r="T148">
        <v>-0.22510350000000001</v>
      </c>
      <c r="U148">
        <v>7.9345700000000002E-3</v>
      </c>
      <c r="V148">
        <v>5.705578E-2</v>
      </c>
      <c r="W148">
        <v>0.1855406</v>
      </c>
      <c r="X148">
        <v>0.98097880000000004</v>
      </c>
      <c r="Y148">
        <v>4.8589350000000003E-2</v>
      </c>
      <c r="Z148">
        <v>-5.5081840000000002E-3</v>
      </c>
      <c r="AA148">
        <v>0.99880369999999996</v>
      </c>
      <c r="AB148">
        <v>24</v>
      </c>
      <c r="AC148">
        <v>0.67500000000001104</v>
      </c>
      <c r="AD148">
        <v>-6.6674000000000094E-2</v>
      </c>
      <c r="AE148">
        <v>-1.0199999999997499E-2</v>
      </c>
      <c r="AF148">
        <v>4.4460949138027797E-2</v>
      </c>
      <c r="AG148">
        <v>-6.6674000000000094E-2</v>
      </c>
      <c r="AH148">
        <v>0.66707558560033697</v>
      </c>
      <c r="AI148">
        <v>95.695186793068302</v>
      </c>
      <c r="AJ148">
        <v>86.186844970958902</v>
      </c>
      <c r="AK148">
        <v>0.67187203780056703</v>
      </c>
      <c r="AL148">
        <v>79.307348265677206</v>
      </c>
      <c r="AM148">
        <v>86.671307640693001</v>
      </c>
      <c r="AN148">
        <v>1.0000000411646</v>
      </c>
    </row>
    <row r="149" spans="1:40" x14ac:dyDescent="0.25">
      <c r="A149" t="str">
        <f>"20190312172859710"</f>
        <v>20190312172859710</v>
      </c>
      <c r="B149" t="str">
        <f>"1552382939707867"</f>
        <v>1552382939707867</v>
      </c>
      <c r="C149" t="s">
        <v>40</v>
      </c>
      <c r="D149">
        <v>3.3814220000000001</v>
      </c>
      <c r="E149">
        <v>0.50111530000000004</v>
      </c>
      <c r="F149" t="s">
        <v>42</v>
      </c>
      <c r="G149">
        <v>-456.26089999999999</v>
      </c>
      <c r="H149">
        <v>1.044564</v>
      </c>
      <c r="I149">
        <v>368.06049999999999</v>
      </c>
      <c r="J149">
        <v>-456.916</v>
      </c>
      <c r="K149">
        <v>1.1092360000000001</v>
      </c>
      <c r="L149">
        <v>368.07029999999997</v>
      </c>
      <c r="M149">
        <v>0.99865669999999995</v>
      </c>
      <c r="N149">
        <v>0</v>
      </c>
      <c r="O149">
        <v>5.1184220000000002E-2</v>
      </c>
      <c r="P149">
        <v>0.98413439999999996</v>
      </c>
      <c r="Q149">
        <v>0.177292899999999</v>
      </c>
      <c r="R149">
        <v>-6.8351330000000002E-3</v>
      </c>
      <c r="S149">
        <v>3.0892029999999999</v>
      </c>
      <c r="T149">
        <v>-0.22431960000000001</v>
      </c>
      <c r="U149">
        <v>8.8195800000000005E-3</v>
      </c>
      <c r="V149">
        <v>5.7283670000000002E-2</v>
      </c>
      <c r="W149">
        <v>0.18517420000000001</v>
      </c>
      <c r="X149">
        <v>0.98103470000000004</v>
      </c>
      <c r="Y149">
        <v>4.807322E-2</v>
      </c>
      <c r="Z149">
        <v>-5.4537319999999898E-3</v>
      </c>
      <c r="AA149">
        <v>0.99882890000000002</v>
      </c>
      <c r="AB149">
        <v>24</v>
      </c>
      <c r="AC149">
        <v>0.65510000000000401</v>
      </c>
      <c r="AD149">
        <v>-6.4671999999999993E-2</v>
      </c>
      <c r="AE149">
        <v>-9.7999999999842605E-3</v>
      </c>
      <c r="AF149">
        <v>4.2901014394282802E-2</v>
      </c>
      <c r="AG149">
        <v>-6.4671999999999993E-2</v>
      </c>
      <c r="AH149">
        <v>0.64743131350169503</v>
      </c>
      <c r="AI149">
        <v>95.691960153557403</v>
      </c>
      <c r="AJ149">
        <v>86.208927762020494</v>
      </c>
      <c r="AK149">
        <v>0.65206615486665798</v>
      </c>
      <c r="AL149">
        <v>79.328711119667801</v>
      </c>
      <c r="AM149">
        <v>86.6582323763011</v>
      </c>
      <c r="AN149">
        <v>0.99999999289919905</v>
      </c>
    </row>
    <row r="150" spans="1:40" x14ac:dyDescent="0.25">
      <c r="A150" t="str">
        <f>"20190312172859732"</f>
        <v>20190312172859732</v>
      </c>
      <c r="B150" t="str">
        <f>"1552382939727387"</f>
        <v>1552382939727387</v>
      </c>
      <c r="C150" t="s">
        <v>40</v>
      </c>
      <c r="D150">
        <v>3.4386709999999998</v>
      </c>
      <c r="E150">
        <v>0.50077179999999999</v>
      </c>
      <c r="F150" t="s">
        <v>42</v>
      </c>
      <c r="G150">
        <v>-456.04419999999999</v>
      </c>
      <c r="H150">
        <v>1.0457129999999999</v>
      </c>
      <c r="I150">
        <v>368.07339999999999</v>
      </c>
      <c r="J150">
        <v>-456.67509999999999</v>
      </c>
      <c r="K150">
        <v>1.109232</v>
      </c>
      <c r="L150">
        <v>368.08229999999998</v>
      </c>
      <c r="M150">
        <v>0.99866929999999998</v>
      </c>
      <c r="N150">
        <v>0</v>
      </c>
      <c r="O150">
        <v>5.0921910000000001E-2</v>
      </c>
      <c r="P150">
        <v>0.98422600000000005</v>
      </c>
      <c r="Q150">
        <v>0.1767852</v>
      </c>
      <c r="R150">
        <v>-6.8330880000000002E-3</v>
      </c>
      <c r="S150">
        <v>3.0890200000000001</v>
      </c>
      <c r="T150">
        <v>-0.2251456</v>
      </c>
      <c r="U150">
        <v>1.1566160000000001E-2</v>
      </c>
      <c r="V150">
        <v>5.7033680000000003E-2</v>
      </c>
      <c r="W150">
        <v>0.18479090000000001</v>
      </c>
      <c r="X150">
        <v>0.98112149999999998</v>
      </c>
      <c r="Y150">
        <v>4.6924399999999998E-2</v>
      </c>
      <c r="Z150">
        <v>-5.4131739999999998E-3</v>
      </c>
      <c r="AA150">
        <v>0.99888379999999999</v>
      </c>
      <c r="AB150">
        <v>24</v>
      </c>
      <c r="AC150">
        <v>0.63089999999999602</v>
      </c>
      <c r="AD150">
        <v>-6.3519000000000103E-2</v>
      </c>
      <c r="AE150">
        <v>-8.8999999999828001E-3</v>
      </c>
      <c r="AF150">
        <v>4.0604649948884297E-2</v>
      </c>
      <c r="AG150">
        <v>-6.3519000000000103E-2</v>
      </c>
      <c r="AH150">
        <v>0.62331130750032704</v>
      </c>
      <c r="AI150">
        <v>95.806459425975504</v>
      </c>
      <c r="AJ150">
        <v>86.272821515481397</v>
      </c>
      <c r="AK150">
        <v>0.62785379429946797</v>
      </c>
      <c r="AL150">
        <v>79.351057883014093</v>
      </c>
      <c r="AM150">
        <v>86.673076949708204</v>
      </c>
      <c r="AN150">
        <v>0.99999995756969995</v>
      </c>
    </row>
    <row r="151" spans="1:40" x14ac:dyDescent="0.25">
      <c r="A151" t="str">
        <f>"20190312172859756"</f>
        <v>20190312172859756</v>
      </c>
      <c r="B151" t="str">
        <f>"1552382939747885"</f>
        <v>1552382939747885</v>
      </c>
      <c r="C151" t="s">
        <v>40</v>
      </c>
      <c r="D151">
        <v>3.4106809999999999</v>
      </c>
      <c r="E151">
        <v>0.50043939999999998</v>
      </c>
      <c r="F151" t="s">
        <v>42</v>
      </c>
      <c r="G151">
        <v>-455.8263</v>
      </c>
      <c r="H151">
        <v>1.0473059999999901</v>
      </c>
      <c r="I151">
        <v>368.0856</v>
      </c>
      <c r="J151">
        <v>-456.41930000000002</v>
      </c>
      <c r="K151">
        <v>1.1092379999999999</v>
      </c>
      <c r="L151">
        <v>368.09500000000003</v>
      </c>
      <c r="M151">
        <v>0.99868310000000005</v>
      </c>
      <c r="N151">
        <v>0</v>
      </c>
      <c r="O151">
        <v>5.062643E-2</v>
      </c>
      <c r="P151">
        <v>0.98427160000000002</v>
      </c>
      <c r="Q151">
        <v>0.17652179999999901</v>
      </c>
      <c r="R151">
        <v>-7.0272019999999998E-3</v>
      </c>
      <c r="S151">
        <v>3.0886840000000002</v>
      </c>
      <c r="T151">
        <v>-0.22567110000000001</v>
      </c>
      <c r="U151">
        <v>1.376343E-2</v>
      </c>
      <c r="V151">
        <v>5.6942270000000003E-2</v>
      </c>
      <c r="W151">
        <v>0.18464469999999999</v>
      </c>
      <c r="X151">
        <v>0.98115439999999998</v>
      </c>
      <c r="Y151">
        <v>4.5920099999999998E-2</v>
      </c>
      <c r="Z151">
        <v>-5.3681629999999996E-3</v>
      </c>
      <c r="AA151">
        <v>0.99893069999999895</v>
      </c>
      <c r="AB151">
        <v>24</v>
      </c>
      <c r="AC151">
        <v>0.59300000000001696</v>
      </c>
      <c r="AD151">
        <v>-6.1932000000000098E-2</v>
      </c>
      <c r="AE151">
        <v>-9.4000000000278305E-3</v>
      </c>
      <c r="AF151">
        <v>3.89853330205161E-2</v>
      </c>
      <c r="AG151">
        <v>-6.1932000000000098E-2</v>
      </c>
      <c r="AH151">
        <v>0.58538024860761895</v>
      </c>
      <c r="AI151">
        <v>96.026056417915299</v>
      </c>
      <c r="AJ151">
        <v>86.189824620716095</v>
      </c>
      <c r="AK151">
        <v>0.58993683074939396</v>
      </c>
      <c r="AL151">
        <v>79.359581892466693</v>
      </c>
      <c r="AM151">
        <v>86.678508314724297</v>
      </c>
      <c r="AN151">
        <v>1.0000000219951</v>
      </c>
    </row>
    <row r="152" spans="1:40" x14ac:dyDescent="0.25">
      <c r="A152" t="str">
        <f>"20190312172859780"</f>
        <v>20190312172859780</v>
      </c>
      <c r="B152" t="str">
        <f>"1552382939767403"</f>
        <v>1552382939767403</v>
      </c>
      <c r="C152" t="s">
        <v>40</v>
      </c>
      <c r="D152">
        <v>3.3534190000000001</v>
      </c>
      <c r="E152">
        <v>0.50016629999999995</v>
      </c>
      <c r="F152" t="s">
        <v>42</v>
      </c>
      <c r="G152">
        <v>-455.6069</v>
      </c>
      <c r="H152">
        <v>1.049987</v>
      </c>
      <c r="I152">
        <v>368.09899999999999</v>
      </c>
      <c r="J152">
        <v>-456.1653</v>
      </c>
      <c r="K152">
        <v>1.1092500000000001</v>
      </c>
      <c r="L152">
        <v>368.10759999999999</v>
      </c>
      <c r="M152">
        <v>0.99869759999999996</v>
      </c>
      <c r="N152">
        <v>0</v>
      </c>
      <c r="O152">
        <v>5.0324809999999998E-2</v>
      </c>
      <c r="P152">
        <v>0.98416669999999995</v>
      </c>
      <c r="Q152">
        <v>0.17709229999999901</v>
      </c>
      <c r="R152">
        <v>-7.3746000000000003E-3</v>
      </c>
      <c r="S152">
        <v>3.08847</v>
      </c>
      <c r="T152">
        <v>-0.2253435</v>
      </c>
      <c r="U152">
        <v>1.5533450000000001E-2</v>
      </c>
      <c r="V152">
        <v>5.6988610000000002E-2</v>
      </c>
      <c r="W152">
        <v>0.1853166</v>
      </c>
      <c r="X152">
        <v>0.98102500000000004</v>
      </c>
      <c r="Y152">
        <v>4.5049470000000001E-2</v>
      </c>
      <c r="Z152">
        <v>-5.3070679999999999E-3</v>
      </c>
      <c r="AA152">
        <v>0.99897069999999999</v>
      </c>
      <c r="AB152">
        <v>24</v>
      </c>
      <c r="AC152">
        <v>0.558400000000006</v>
      </c>
      <c r="AD152">
        <v>-5.9263000000000003E-2</v>
      </c>
      <c r="AE152">
        <v>-8.6000000000012698E-3</v>
      </c>
      <c r="AF152">
        <v>3.6282888673326498E-2</v>
      </c>
      <c r="AG152">
        <v>-5.9263000000000003E-2</v>
      </c>
      <c r="AH152">
        <v>0.55105422361370704</v>
      </c>
      <c r="AI152">
        <v>96.125107717462299</v>
      </c>
      <c r="AJ152">
        <v>86.232929603395206</v>
      </c>
      <c r="AK152">
        <v>0.55541813847045596</v>
      </c>
      <c r="AL152">
        <v>79.320408548481495</v>
      </c>
      <c r="AM152">
        <v>86.6753738353665</v>
      </c>
      <c r="AN152">
        <v>0.99999999726514599</v>
      </c>
    </row>
    <row r="153" spans="1:40" x14ac:dyDescent="0.25">
      <c r="A153" t="str">
        <f>"20190312172859799"</f>
        <v>20190312172859799</v>
      </c>
      <c r="B153" t="str">
        <f>"1552382939787900"</f>
        <v>1552382939787900</v>
      </c>
      <c r="C153" t="s">
        <v>40</v>
      </c>
      <c r="D153">
        <v>3.4036369999999998</v>
      </c>
      <c r="E153">
        <v>0.49988700000000003</v>
      </c>
      <c r="F153" t="s">
        <v>42</v>
      </c>
      <c r="G153">
        <v>-455.38659999999999</v>
      </c>
      <c r="H153">
        <v>1.0530630000000001</v>
      </c>
      <c r="I153">
        <v>368.11110000000002</v>
      </c>
      <c r="J153">
        <v>-455.94670000000002</v>
      </c>
      <c r="K153">
        <v>1.1092580000000001</v>
      </c>
      <c r="L153">
        <v>368.11829999999998</v>
      </c>
      <c r="M153">
        <v>0.99870999999999999</v>
      </c>
      <c r="N153">
        <v>0</v>
      </c>
      <c r="O153">
        <v>5.006468E-2</v>
      </c>
      <c r="P153">
        <v>0.9841993</v>
      </c>
      <c r="Q153">
        <v>0.17691409999999999</v>
      </c>
      <c r="R153">
        <v>-7.2992019999999899E-3</v>
      </c>
      <c r="S153">
        <v>3.088562</v>
      </c>
      <c r="T153">
        <v>-0.22317870000000001</v>
      </c>
      <c r="U153">
        <v>1.6540530000000001E-2</v>
      </c>
      <c r="V153">
        <v>5.6659300000000003E-2</v>
      </c>
      <c r="W153">
        <v>0.1852173</v>
      </c>
      <c r="X153">
        <v>0.98106280000000001</v>
      </c>
      <c r="Y153">
        <v>4.4470750000000003E-2</v>
      </c>
      <c r="Z153">
        <v>-5.2164179999999996E-3</v>
      </c>
      <c r="AA153">
        <v>0.99899709999999997</v>
      </c>
      <c r="AB153">
        <v>24</v>
      </c>
      <c r="AC153">
        <v>0.56010000000003302</v>
      </c>
      <c r="AD153">
        <v>-5.6195000000000203E-2</v>
      </c>
      <c r="AE153">
        <v>-7.1999999999547903E-3</v>
      </c>
      <c r="AF153">
        <v>3.4882133853773603E-2</v>
      </c>
      <c r="AG153">
        <v>-5.6195000000000203E-2</v>
      </c>
      <c r="AH153">
        <v>0.55346672396446905</v>
      </c>
      <c r="AI153">
        <v>95.786128525490298</v>
      </c>
      <c r="AJ153">
        <v>86.393714340315</v>
      </c>
      <c r="AK153">
        <v>0.55740475044903803</v>
      </c>
      <c r="AL153">
        <v>79.326197965952701</v>
      </c>
      <c r="AM153">
        <v>86.694669618074897</v>
      </c>
      <c r="AN153">
        <v>0.99999997101980898</v>
      </c>
    </row>
    <row r="154" spans="1:40" x14ac:dyDescent="0.25">
      <c r="A154" t="str">
        <f>"20190312172859822"</f>
        <v>20190312172859822</v>
      </c>
      <c r="B154" t="str">
        <f>"1552382939818157"</f>
        <v>1552382939818157</v>
      </c>
      <c r="C154" t="s">
        <v>40</v>
      </c>
      <c r="D154">
        <v>3.324748</v>
      </c>
      <c r="E154">
        <v>0.49950149999999999</v>
      </c>
      <c r="F154" t="s">
        <v>42</v>
      </c>
      <c r="G154">
        <v>-455.16860000000003</v>
      </c>
      <c r="H154">
        <v>1.0531029999999999</v>
      </c>
      <c r="I154">
        <v>368.12270000000001</v>
      </c>
      <c r="J154">
        <v>-455.7047</v>
      </c>
      <c r="K154">
        <v>1.109272</v>
      </c>
      <c r="L154">
        <v>368.13010000000003</v>
      </c>
      <c r="M154">
        <v>0.99872360000000004</v>
      </c>
      <c r="N154">
        <v>0</v>
      </c>
      <c r="O154">
        <v>4.9779410000000003E-2</v>
      </c>
      <c r="P154">
        <v>0.9842379</v>
      </c>
      <c r="Q154">
        <v>0.1767138</v>
      </c>
      <c r="R154">
        <v>-6.9420100000000002E-3</v>
      </c>
      <c r="S154">
        <v>3.0883790000000002</v>
      </c>
      <c r="T154">
        <v>-0.2231263</v>
      </c>
      <c r="U154">
        <v>1.895142E-2</v>
      </c>
      <c r="V154">
        <v>5.602327E-2</v>
      </c>
      <c r="W154">
        <v>0.18509539999999999</v>
      </c>
      <c r="X154">
        <v>0.98112239999999995</v>
      </c>
      <c r="Y154">
        <v>4.3408870000000002E-2</v>
      </c>
      <c r="Z154">
        <v>-5.1566069999999997E-3</v>
      </c>
      <c r="AA154">
        <v>0.99904409999999999</v>
      </c>
      <c r="AB154">
        <v>24</v>
      </c>
      <c r="AC154">
        <v>0.53609999999997604</v>
      </c>
      <c r="AD154">
        <v>-5.61689999999999E-2</v>
      </c>
      <c r="AE154">
        <v>-7.40000000001828E-3</v>
      </c>
      <c r="AF154">
        <v>3.3708579306659402E-2</v>
      </c>
      <c r="AG154">
        <v>-5.61689999999999E-2</v>
      </c>
      <c r="AH154">
        <v>0.52925813115070497</v>
      </c>
      <c r="AI154">
        <v>96.045839950877195</v>
      </c>
      <c r="AJ154">
        <v>86.355740108430993</v>
      </c>
      <c r="AK154">
        <v>0.533296722537285</v>
      </c>
      <c r="AL154">
        <v>79.333305944366302</v>
      </c>
      <c r="AM154">
        <v>86.731890882421098</v>
      </c>
      <c r="AN154">
        <v>1.0000000388321999</v>
      </c>
    </row>
    <row r="155" spans="1:40" x14ac:dyDescent="0.25">
      <c r="A155" t="str">
        <f>"20190312172859845"</f>
        <v>20190312172859845</v>
      </c>
      <c r="B155" t="str">
        <f>"1552382939837675"</f>
        <v>1552382939837675</v>
      </c>
      <c r="C155" t="s">
        <v>40</v>
      </c>
      <c r="D155">
        <v>3.3472710000000001</v>
      </c>
      <c r="E155">
        <v>0.49925209999999998</v>
      </c>
      <c r="F155" t="s">
        <v>42</v>
      </c>
      <c r="G155">
        <v>-454.93920000000003</v>
      </c>
      <c r="H155">
        <v>1.0540659999999999</v>
      </c>
      <c r="I155">
        <v>368.13529999999997</v>
      </c>
      <c r="J155">
        <v>-455.4545</v>
      </c>
      <c r="K155">
        <v>1.1092820000000001</v>
      </c>
      <c r="L155">
        <v>368.14229999999998</v>
      </c>
      <c r="M155">
        <v>0.9987374</v>
      </c>
      <c r="N155">
        <v>0</v>
      </c>
      <c r="O155">
        <v>4.9487860000000002E-2</v>
      </c>
      <c r="P155">
        <v>0.98420969999999997</v>
      </c>
      <c r="Q155">
        <v>0.1768854</v>
      </c>
      <c r="R155">
        <v>-6.5501689999999998E-3</v>
      </c>
      <c r="S155">
        <v>3.0882869999999998</v>
      </c>
      <c r="T155">
        <v>-0.2231339</v>
      </c>
      <c r="U155">
        <v>2.215576E-2</v>
      </c>
      <c r="V155">
        <v>5.5343179999999999E-2</v>
      </c>
      <c r="W155">
        <v>0.18533769999999999</v>
      </c>
      <c r="X155">
        <v>0.98111519999999997</v>
      </c>
      <c r="Y155">
        <v>4.2084679999999999E-2</v>
      </c>
      <c r="Z155">
        <v>-5.0881059999999898E-3</v>
      </c>
      <c r="AA155">
        <v>0.99910109999999996</v>
      </c>
      <c r="AB155">
        <v>24</v>
      </c>
      <c r="AC155">
        <v>0.51529999999996701</v>
      </c>
      <c r="AD155">
        <v>-5.5215999999999897E-2</v>
      </c>
      <c r="AE155">
        <v>-7.0000000000049996E-3</v>
      </c>
      <c r="AF155">
        <v>3.2124686545475498E-2</v>
      </c>
      <c r="AG155">
        <v>-5.5215999999999897E-2</v>
      </c>
      <c r="AH155">
        <v>0.50848490117808598</v>
      </c>
      <c r="AI155">
        <v>96.185187764469205</v>
      </c>
      <c r="AJ155">
        <v>86.385013690322893</v>
      </c>
      <c r="AK155">
        <v>0.51248189906350095</v>
      </c>
      <c r="AL155">
        <v>79.319178143097801</v>
      </c>
      <c r="AM155">
        <v>86.771455750198598</v>
      </c>
      <c r="AN155">
        <v>0.999999983142421</v>
      </c>
    </row>
    <row r="156" spans="1:40" x14ac:dyDescent="0.25">
      <c r="A156" t="str">
        <f>"20190312172859867"</f>
        <v>20190312172859867</v>
      </c>
      <c r="B156" t="str">
        <f>"1552382939857198"</f>
        <v>1552382939857198</v>
      </c>
      <c r="C156" t="s">
        <v>40</v>
      </c>
      <c r="D156">
        <v>3.371397</v>
      </c>
      <c r="E156">
        <v>0.49902469999999999</v>
      </c>
      <c r="F156" t="s">
        <v>42</v>
      </c>
      <c r="G156">
        <v>-454.52100000000002</v>
      </c>
      <c r="H156">
        <v>1.042249</v>
      </c>
      <c r="I156">
        <v>368.14960000000002</v>
      </c>
      <c r="J156">
        <v>-455.20359999999999</v>
      </c>
      <c r="K156">
        <v>1.1092869999999999</v>
      </c>
      <c r="L156">
        <v>368.15440000000001</v>
      </c>
      <c r="M156">
        <v>0.99875119999999895</v>
      </c>
      <c r="N156">
        <v>0</v>
      </c>
      <c r="O156">
        <v>4.9199079999999999E-2</v>
      </c>
      <c r="P156">
        <v>0.98406519999999997</v>
      </c>
      <c r="Q156">
        <v>0.17768689999999901</v>
      </c>
      <c r="R156">
        <v>-6.5860179999999999E-3</v>
      </c>
      <c r="S156">
        <v>3.0881959999999999</v>
      </c>
      <c r="T156">
        <v>-0.22199070000000001</v>
      </c>
      <c r="U156">
        <v>2.5573729999999999E-2</v>
      </c>
      <c r="V156">
        <v>5.5087789999999998E-2</v>
      </c>
      <c r="W156">
        <v>0.1861998</v>
      </c>
      <c r="X156">
        <v>0.98096629999999996</v>
      </c>
      <c r="Y156">
        <v>4.0696589999999998E-2</v>
      </c>
      <c r="Z156">
        <v>-4.9916730000000003E-3</v>
      </c>
      <c r="AA156">
        <v>0.99915909999999997</v>
      </c>
      <c r="AB156">
        <v>24</v>
      </c>
      <c r="AC156">
        <v>0.68260000000003596</v>
      </c>
      <c r="AD156">
        <v>-6.7038000000000098E-2</v>
      </c>
      <c r="AE156">
        <v>-4.7999999999888097E-3</v>
      </c>
      <c r="AF156">
        <v>3.8012131380743899E-2</v>
      </c>
      <c r="AG156">
        <v>-6.7038000000000098E-2</v>
      </c>
      <c r="AH156">
        <v>0.67502671880185205</v>
      </c>
      <c r="AI156">
        <v>95.662627296395698</v>
      </c>
      <c r="AJ156">
        <v>86.776961714640606</v>
      </c>
      <c r="AK156">
        <v>0.67941157384350004</v>
      </c>
      <c r="AL156">
        <v>79.268908133337703</v>
      </c>
      <c r="AM156">
        <v>86.785836308188493</v>
      </c>
      <c r="AN156">
        <v>0.999999955931406</v>
      </c>
    </row>
    <row r="157" spans="1:40" x14ac:dyDescent="0.25">
      <c r="A157" t="str">
        <f>"20190312172859900"</f>
        <v>20190312172859900</v>
      </c>
      <c r="B157" t="str">
        <f>"1552382939887451"</f>
        <v>1552382939887451</v>
      </c>
      <c r="C157" t="s">
        <v>40</v>
      </c>
      <c r="D157">
        <v>3.3653400000000002</v>
      </c>
      <c r="E157">
        <v>0.49460690000000002</v>
      </c>
      <c r="F157" t="s">
        <v>42</v>
      </c>
      <c r="G157">
        <v>-454.2998</v>
      </c>
      <c r="H157">
        <v>1.0453250000000001</v>
      </c>
      <c r="I157">
        <v>368.16199999999998</v>
      </c>
      <c r="J157">
        <v>-454.84530000000001</v>
      </c>
      <c r="K157">
        <v>1.1093</v>
      </c>
      <c r="L157">
        <v>368.17149999999998</v>
      </c>
      <c r="M157">
        <v>0.99877050000000001</v>
      </c>
      <c r="N157">
        <v>0</v>
      </c>
      <c r="O157">
        <v>4.8788199999999997E-2</v>
      </c>
      <c r="P157">
        <v>0.98403269999999998</v>
      </c>
      <c r="Q157">
        <v>0.17789340000000001</v>
      </c>
      <c r="R157">
        <v>-5.7955619999999998E-3</v>
      </c>
      <c r="S157">
        <v>3.0882260000000001</v>
      </c>
      <c r="T157">
        <v>-0.218751</v>
      </c>
      <c r="U157">
        <v>2.6885989999999999E-2</v>
      </c>
      <c r="V157">
        <v>5.3893089999999998E-2</v>
      </c>
      <c r="W157">
        <v>0.1864837</v>
      </c>
      <c r="X157">
        <v>0.98097880000000004</v>
      </c>
      <c r="Y157">
        <v>3.9870940000000001E-2</v>
      </c>
      <c r="Z157">
        <v>-4.8607009999999898E-3</v>
      </c>
      <c r="AA157">
        <v>0.999193</v>
      </c>
      <c r="AB157">
        <v>25</v>
      </c>
      <c r="AC157">
        <v>0.54550000000000398</v>
      </c>
      <c r="AD157">
        <v>-6.3974999999999893E-2</v>
      </c>
      <c r="AE157">
        <v>-9.5000000000027198E-3</v>
      </c>
      <c r="AF157">
        <v>3.5613987882044701E-2</v>
      </c>
      <c r="AG157">
        <v>-6.3974999999999893E-2</v>
      </c>
      <c r="AH157">
        <v>0.53700309734113605</v>
      </c>
      <c r="AI157">
        <v>96.779067344826402</v>
      </c>
      <c r="AJ157">
        <v>86.205706381186602</v>
      </c>
      <c r="AK157">
        <v>0.54197184734249404</v>
      </c>
      <c r="AL157">
        <v>79.252352583005404</v>
      </c>
      <c r="AM157">
        <v>86.855441071908999</v>
      </c>
      <c r="AN157">
        <v>1.00000002078243</v>
      </c>
    </row>
    <row r="158" spans="1:40" x14ac:dyDescent="0.25">
      <c r="A158" t="str">
        <f>"20190312172859922"</f>
        <v>20190312172859922</v>
      </c>
      <c r="B158" t="str">
        <f>"1552382939917707"</f>
        <v>1552382939917707</v>
      </c>
      <c r="C158" t="s">
        <v>40</v>
      </c>
      <c r="D158">
        <v>3.315229</v>
      </c>
      <c r="E158">
        <v>0.49599919999999997</v>
      </c>
      <c r="F158" t="s">
        <v>44</v>
      </c>
      <c r="G158">
        <v>-168.84350000000001</v>
      </c>
      <c r="H158">
        <v>10.448539999999999</v>
      </c>
      <c r="I158">
        <v>372.68090000000001</v>
      </c>
      <c r="J158">
        <v>-454.60160000000002</v>
      </c>
      <c r="K158">
        <v>1.1093090000000001</v>
      </c>
      <c r="L158">
        <v>368.1832</v>
      </c>
      <c r="M158">
        <v>0.99878420000000001</v>
      </c>
      <c r="N158">
        <v>0</v>
      </c>
      <c r="O158">
        <v>4.850165E-2</v>
      </c>
      <c r="P158">
        <v>0.98404749999999996</v>
      </c>
      <c r="Q158">
        <v>0.17781169999999999</v>
      </c>
      <c r="R158">
        <v>-5.7923230000000003E-3</v>
      </c>
      <c r="S158">
        <v>3.0310969999999999</v>
      </c>
      <c r="T158">
        <v>9.8979830000000005E-2</v>
      </c>
      <c r="U158">
        <v>4.7790529999999998E-2</v>
      </c>
      <c r="V158">
        <v>5.3610449999999997E-2</v>
      </c>
      <c r="W158">
        <v>0.18645</v>
      </c>
      <c r="X158">
        <v>0.98100069999999995</v>
      </c>
      <c r="Y158">
        <v>3.2708029999999999E-2</v>
      </c>
      <c r="Z158">
        <v>2.1165960000000001E-3</v>
      </c>
      <c r="AA158">
        <v>0.99946270000000004</v>
      </c>
      <c r="AB158">
        <v>25</v>
      </c>
      <c r="AC158">
        <v>285.75810000000001</v>
      </c>
      <c r="AD158">
        <v>9.3392309999999998</v>
      </c>
      <c r="AE158">
        <v>4.4977</v>
      </c>
      <c r="AF158">
        <v>9.3578786796723694</v>
      </c>
      <c r="AG158">
        <v>9.3392309999999998</v>
      </c>
      <c r="AH158">
        <v>285.33521984001101</v>
      </c>
      <c r="AI158">
        <v>88.126343017365599</v>
      </c>
      <c r="AJ158">
        <v>88.121595900224804</v>
      </c>
      <c r="AK158">
        <v>285.64134646476202</v>
      </c>
      <c r="AL158">
        <v>79.254318000124101</v>
      </c>
      <c r="AM158">
        <v>86.871969432694002</v>
      </c>
      <c r="AN158">
        <v>1.00000002812484</v>
      </c>
    </row>
    <row r="159" spans="1:40" x14ac:dyDescent="0.25">
      <c r="A159" t="str">
        <f>"20190312172859945"</f>
        <v>20190312172859945</v>
      </c>
      <c r="B159" t="str">
        <f>"1552382939937227"</f>
        <v>1552382939937227</v>
      </c>
      <c r="C159" t="s">
        <v>40</v>
      </c>
      <c r="D159">
        <v>3.3153640000000002</v>
      </c>
      <c r="E159">
        <v>0.496471</v>
      </c>
      <c r="F159" t="s">
        <v>44</v>
      </c>
      <c r="G159">
        <v>-158.19499999999999</v>
      </c>
      <c r="H159">
        <v>17.286059999999999</v>
      </c>
      <c r="I159">
        <v>371.41899999999998</v>
      </c>
      <c r="J159">
        <v>-454.35239999999999</v>
      </c>
      <c r="K159">
        <v>1.10931</v>
      </c>
      <c r="L159">
        <v>368.19490000000002</v>
      </c>
      <c r="M159">
        <v>0.99879870000000004</v>
      </c>
      <c r="N159">
        <v>0</v>
      </c>
      <c r="O159">
        <v>4.8189950000000002E-2</v>
      </c>
      <c r="P159">
        <v>0.9838865</v>
      </c>
      <c r="Q159">
        <v>0.1786877</v>
      </c>
      <c r="R159">
        <v>-6.1582080000000001E-3</v>
      </c>
      <c r="S159">
        <v>3.019104</v>
      </c>
      <c r="T159">
        <v>0.16477220000000001</v>
      </c>
      <c r="U159">
        <v>3.2958979999999999E-2</v>
      </c>
      <c r="V159">
        <v>5.3667220000000002E-2</v>
      </c>
      <c r="W159">
        <v>0.18737609999999999</v>
      </c>
      <c r="X159">
        <v>0.9808211</v>
      </c>
      <c r="Y159">
        <v>3.7158549999999999E-2</v>
      </c>
      <c r="Z159">
        <v>3.640379E-3</v>
      </c>
      <c r="AA159">
        <v>0.99930269999999999</v>
      </c>
      <c r="AB159">
        <v>25</v>
      </c>
      <c r="AC159">
        <v>296.1574</v>
      </c>
      <c r="AD159">
        <v>16.176749999999998</v>
      </c>
      <c r="AE159">
        <v>3.2241000000000199</v>
      </c>
      <c r="AF159">
        <v>11.0191467546344</v>
      </c>
      <c r="AG159">
        <v>16.176749999999998</v>
      </c>
      <c r="AH159">
        <v>295.08835465562299</v>
      </c>
      <c r="AI159">
        <v>86.864365959286104</v>
      </c>
      <c r="AJ159">
        <v>87.861462902726899</v>
      </c>
      <c r="AK159">
        <v>295.73678480893301</v>
      </c>
      <c r="AL159">
        <v>79.200304180581099</v>
      </c>
      <c r="AM159">
        <v>86.868091395384198</v>
      </c>
      <c r="AN159">
        <v>1.0000000017794699</v>
      </c>
    </row>
    <row r="160" spans="1:40" x14ac:dyDescent="0.25">
      <c r="A160" t="str">
        <f>"20190312172859969"</f>
        <v>20190312172859969</v>
      </c>
      <c r="B160" t="str">
        <f>"1552382939957724"</f>
        <v>1552382939957724</v>
      </c>
      <c r="C160" t="s">
        <v>40</v>
      </c>
      <c r="D160">
        <v>3.3320829999999999</v>
      </c>
      <c r="E160">
        <v>0.4970137</v>
      </c>
      <c r="F160" t="s">
        <v>44</v>
      </c>
      <c r="G160">
        <v>-158.19499999999999</v>
      </c>
      <c r="H160">
        <v>19.399149999999999</v>
      </c>
      <c r="I160">
        <v>370.83539999999999</v>
      </c>
      <c r="J160">
        <v>-454.0847</v>
      </c>
      <c r="K160">
        <v>1.1092959999999901</v>
      </c>
      <c r="L160">
        <v>368.20740000000001</v>
      </c>
      <c r="M160">
        <v>0.99881589999999998</v>
      </c>
      <c r="N160">
        <v>0</v>
      </c>
      <c r="O160">
        <v>4.7821389999999998E-2</v>
      </c>
      <c r="P160">
        <v>0.98375880000000004</v>
      </c>
      <c r="Q160">
        <v>0.17937639999999999</v>
      </c>
      <c r="R160">
        <v>-6.538004E-3</v>
      </c>
      <c r="S160">
        <v>3.0155029999999998</v>
      </c>
      <c r="T160">
        <v>0.1862297</v>
      </c>
      <c r="U160">
        <v>2.6885989999999999E-2</v>
      </c>
      <c r="V160">
        <v>5.3688029999999998E-2</v>
      </c>
      <c r="W160">
        <v>0.18812499999999999</v>
      </c>
      <c r="X160">
        <v>0.98067660000000001</v>
      </c>
      <c r="Y160">
        <v>3.8751180000000003E-2</v>
      </c>
      <c r="Z160">
        <v>4.1449970000000001E-3</v>
      </c>
      <c r="AA160">
        <v>0.99924029999999997</v>
      </c>
      <c r="AB160">
        <v>25</v>
      </c>
      <c r="AC160">
        <v>295.8897</v>
      </c>
      <c r="AD160">
        <v>18.289853999999998</v>
      </c>
      <c r="AE160">
        <v>2.6279999999999801</v>
      </c>
      <c r="AF160">
        <v>11.481563127644399</v>
      </c>
      <c r="AG160">
        <v>18.289853999999998</v>
      </c>
      <c r="AH160">
        <v>294.55147571105198</v>
      </c>
      <c r="AI160">
        <v>86.449532099008707</v>
      </c>
      <c r="AJ160">
        <v>87.767751022538903</v>
      </c>
      <c r="AK160">
        <v>295.34203374181902</v>
      </c>
      <c r="AL160">
        <v>79.156618553671194</v>
      </c>
      <c r="AM160">
        <v>86.866418648894793</v>
      </c>
      <c r="AN160">
        <v>1.0000000069889201</v>
      </c>
    </row>
    <row r="161" spans="1:40" x14ac:dyDescent="0.25">
      <c r="A161" t="str">
        <f>"20190312172859991"</f>
        <v>20190312172859991</v>
      </c>
      <c r="B161" t="str">
        <f>"1552382939977243"</f>
        <v>1552382939977243</v>
      </c>
      <c r="C161" t="s">
        <v>40</v>
      </c>
      <c r="D161">
        <v>3.356271</v>
      </c>
      <c r="E161">
        <v>0.49725239999999998</v>
      </c>
      <c r="F161" t="s">
        <v>44</v>
      </c>
      <c r="G161">
        <v>-158.78319999999999</v>
      </c>
      <c r="H161">
        <v>20.809349999999998</v>
      </c>
      <c r="I161">
        <v>370.22340000000003</v>
      </c>
      <c r="J161">
        <v>-453.8306</v>
      </c>
      <c r="K161">
        <v>1.1092850000000001</v>
      </c>
      <c r="L161">
        <v>368.2192</v>
      </c>
      <c r="M161">
        <v>0.99883339999999998</v>
      </c>
      <c r="N161">
        <v>0</v>
      </c>
      <c r="O161">
        <v>4.744222E-2</v>
      </c>
      <c r="P161">
        <v>0.98370880000000005</v>
      </c>
      <c r="Q161">
        <v>0.17963180000000001</v>
      </c>
      <c r="R161">
        <v>-7.0366990000000004E-3</v>
      </c>
      <c r="S161">
        <v>3.0129999999999999</v>
      </c>
      <c r="T161">
        <v>0.20100299999999999</v>
      </c>
      <c r="U161">
        <v>2.056885E-2</v>
      </c>
      <c r="V161">
        <v>5.3822450000000001E-2</v>
      </c>
      <c r="W161">
        <v>0.188442</v>
      </c>
      <c r="X161">
        <v>0.98060829999999999</v>
      </c>
      <c r="Y161">
        <v>4.042896E-2</v>
      </c>
      <c r="Z161">
        <v>4.5075530000000001E-3</v>
      </c>
      <c r="AA161">
        <v>0.99917230000000001</v>
      </c>
      <c r="AB161">
        <v>25</v>
      </c>
      <c r="AC161">
        <v>295.04739999999998</v>
      </c>
      <c r="AD161">
        <v>19.700064999999999</v>
      </c>
      <c r="AE161">
        <v>2.00420000000002</v>
      </c>
      <c r="AF161">
        <v>11.9430868157066</v>
      </c>
      <c r="AG161">
        <v>19.700064999999999</v>
      </c>
      <c r="AH161">
        <v>293.50182655367598</v>
      </c>
      <c r="AI161">
        <v>86.163189280140401</v>
      </c>
      <c r="AJ161">
        <v>87.669823159562</v>
      </c>
      <c r="AK161">
        <v>294.40457210110702</v>
      </c>
      <c r="AL161">
        <v>79.138124301629006</v>
      </c>
      <c r="AM161">
        <v>86.858370357726997</v>
      </c>
      <c r="AN161">
        <v>0.99999994075844401</v>
      </c>
    </row>
    <row r="162" spans="1:40" x14ac:dyDescent="0.25">
      <c r="A162" t="str">
        <f>"20190312172900013"</f>
        <v>20190312172900013</v>
      </c>
      <c r="B162" t="str">
        <f>"1552382939997739"</f>
        <v>1552382939997739</v>
      </c>
      <c r="C162" t="s">
        <v>40</v>
      </c>
      <c r="D162">
        <v>3.3301919999999998</v>
      </c>
      <c r="E162">
        <v>0.49777399999999999</v>
      </c>
      <c r="F162" t="s">
        <v>44</v>
      </c>
      <c r="G162">
        <v>-158.78319999999999</v>
      </c>
      <c r="H162">
        <v>21.468800000000002</v>
      </c>
      <c r="I162">
        <v>369.85750000000002</v>
      </c>
      <c r="J162">
        <v>-453.59910000000002</v>
      </c>
      <c r="K162">
        <v>1.109278</v>
      </c>
      <c r="L162">
        <v>368.22980000000001</v>
      </c>
      <c r="M162">
        <v>0.99885080000000004</v>
      </c>
      <c r="N162">
        <v>0</v>
      </c>
      <c r="O162">
        <v>4.7062630000000001E-2</v>
      </c>
      <c r="P162">
        <v>0.98368659999999997</v>
      </c>
      <c r="Q162">
        <v>0.17971699999999999</v>
      </c>
      <c r="R162">
        <v>-7.8992619999999902E-3</v>
      </c>
      <c r="S162">
        <v>3.0118100000000001</v>
      </c>
      <c r="T162">
        <v>0.2078284</v>
      </c>
      <c r="U162">
        <v>1.672363E-2</v>
      </c>
      <c r="V162">
        <v>5.4321679999999997E-2</v>
      </c>
      <c r="W162">
        <v>0.18858720000000001</v>
      </c>
      <c r="X162">
        <v>0.98055289999999995</v>
      </c>
      <c r="Y162">
        <v>4.1307330000000003E-2</v>
      </c>
      <c r="Z162">
        <v>4.6662709999999996E-3</v>
      </c>
      <c r="AA162">
        <v>0.99913560000000001</v>
      </c>
      <c r="AB162">
        <v>25</v>
      </c>
      <c r="AC162">
        <v>294.8159</v>
      </c>
      <c r="AD162">
        <v>20.359521999999998</v>
      </c>
      <c r="AE162">
        <v>1.6276999999999999</v>
      </c>
      <c r="AF162">
        <v>12.191346000704799</v>
      </c>
      <c r="AG162">
        <v>20.359521999999998</v>
      </c>
      <c r="AH162">
        <v>293.167712963177</v>
      </c>
      <c r="AI162">
        <v>86.030796558484298</v>
      </c>
      <c r="AJ162">
        <v>87.618733536516501</v>
      </c>
      <c r="AK162">
        <v>294.12658325529998</v>
      </c>
      <c r="AL162">
        <v>79.129653536168505</v>
      </c>
      <c r="AM162">
        <v>86.829110588917004</v>
      </c>
      <c r="AN162">
        <v>0.99999998331013595</v>
      </c>
    </row>
    <row r="163" spans="1:40" x14ac:dyDescent="0.25">
      <c r="A163" t="str">
        <f>"20190312172900035"</f>
        <v>20190312172900035</v>
      </c>
      <c r="B163" t="str">
        <f>"1552382940027996"</f>
        <v>1552382940027996</v>
      </c>
      <c r="C163" t="s">
        <v>40</v>
      </c>
      <c r="D163">
        <v>3.3330169999999999</v>
      </c>
      <c r="E163">
        <v>0.49820009999999998</v>
      </c>
      <c r="F163" t="s">
        <v>44</v>
      </c>
      <c r="G163">
        <v>-158.78319999999999</v>
      </c>
      <c r="H163">
        <v>22.103210000000001</v>
      </c>
      <c r="I163">
        <v>369.19209999999998</v>
      </c>
      <c r="J163">
        <v>-453.3476</v>
      </c>
      <c r="K163">
        <v>1.109256</v>
      </c>
      <c r="L163">
        <v>368.24110000000002</v>
      </c>
      <c r="M163">
        <v>0.99887170000000003</v>
      </c>
      <c r="N163">
        <v>0</v>
      </c>
      <c r="O163">
        <v>4.6601160000000003E-2</v>
      </c>
      <c r="P163">
        <v>0.98363009999999995</v>
      </c>
      <c r="Q163">
        <v>0.1799791</v>
      </c>
      <c r="R163">
        <v>-8.9151749999999991E-3</v>
      </c>
      <c r="S163">
        <v>3.0106809999999999</v>
      </c>
      <c r="T163">
        <v>0.21439230000000001</v>
      </c>
      <c r="U163">
        <v>9.8266599999999992E-3</v>
      </c>
      <c r="V163">
        <v>5.4895699999999999E-2</v>
      </c>
      <c r="W163">
        <v>0.18891920000000001</v>
      </c>
      <c r="X163">
        <v>0.98045709999999997</v>
      </c>
      <c r="Y163">
        <v>4.311537E-2</v>
      </c>
      <c r="Z163">
        <v>4.8466530000000002E-3</v>
      </c>
      <c r="AA163">
        <v>0.99905840000000001</v>
      </c>
      <c r="AB163">
        <v>25</v>
      </c>
      <c r="AC163">
        <v>294.56439999999998</v>
      </c>
      <c r="AD163">
        <v>20.993953999999999</v>
      </c>
      <c r="AE163">
        <v>0.95099999999996498</v>
      </c>
      <c r="AF163">
        <v>12.713073814426799</v>
      </c>
      <c r="AG163">
        <v>20.993953999999999</v>
      </c>
      <c r="AH163">
        <v>292.80137779807001</v>
      </c>
      <c r="AI163">
        <v>85.902739285773507</v>
      </c>
      <c r="AJ163">
        <v>87.513849595289201</v>
      </c>
      <c r="AK163">
        <v>293.82820693529902</v>
      </c>
      <c r="AL163">
        <v>79.110284029202603</v>
      </c>
      <c r="AM163">
        <v>86.795360655344993</v>
      </c>
      <c r="AN163">
        <v>1.00000006347376</v>
      </c>
    </row>
    <row r="164" spans="1:40" x14ac:dyDescent="0.25">
      <c r="A164" t="str">
        <f>"20190312172900058"</f>
        <v>20190312172900058</v>
      </c>
      <c r="B164" t="str">
        <f>"1552382940047515"</f>
        <v>1552382940047515</v>
      </c>
      <c r="C164" t="s">
        <v>40</v>
      </c>
      <c r="D164">
        <v>3.2975970000000001</v>
      </c>
      <c r="E164">
        <v>0.49840329999999999</v>
      </c>
      <c r="F164" t="s">
        <v>44</v>
      </c>
      <c r="G164">
        <v>-158.78319999999999</v>
      </c>
      <c r="H164">
        <v>22.892800000000001</v>
      </c>
      <c r="I164">
        <v>368.52789999999999</v>
      </c>
      <c r="J164">
        <v>-453.09539999999998</v>
      </c>
      <c r="K164">
        <v>1.1092310000000001</v>
      </c>
      <c r="L164">
        <v>368.25229999999999</v>
      </c>
      <c r="M164">
        <v>0.99889519999999998</v>
      </c>
      <c r="N164">
        <v>0</v>
      </c>
      <c r="O164">
        <v>4.6079009999999997E-2</v>
      </c>
      <c r="P164">
        <v>0.98361730000000003</v>
      </c>
      <c r="Q164">
        <v>0.1799905</v>
      </c>
      <c r="R164">
        <v>-1.004671E-2</v>
      </c>
      <c r="S164">
        <v>3.0092469999999998</v>
      </c>
      <c r="T164">
        <v>0.22253980000000001</v>
      </c>
      <c r="U164">
        <v>2.9296880000000002E-3</v>
      </c>
      <c r="V164">
        <v>5.5530179999999998E-2</v>
      </c>
      <c r="W164">
        <v>0.1890049</v>
      </c>
      <c r="X164">
        <v>0.98040479999999997</v>
      </c>
      <c r="Y164">
        <v>4.4860160000000003E-2</v>
      </c>
      <c r="Z164">
        <v>5.0586950000000002E-3</v>
      </c>
      <c r="AA164">
        <v>0.99898050000000005</v>
      </c>
      <c r="AB164">
        <v>25</v>
      </c>
      <c r="AC164">
        <v>294.31220000000002</v>
      </c>
      <c r="AD164">
        <v>21.783569</v>
      </c>
      <c r="AE164">
        <v>0.27559999999999701</v>
      </c>
      <c r="AF164">
        <v>13.214492507990601</v>
      </c>
      <c r="AG164">
        <v>21.783569</v>
      </c>
      <c r="AH164">
        <v>292.41035985018499</v>
      </c>
      <c r="AI164">
        <v>85.743858701398395</v>
      </c>
      <c r="AJ164">
        <v>87.4124724822681</v>
      </c>
      <c r="AK164">
        <v>293.51825367144698</v>
      </c>
      <c r="AL164">
        <v>79.105283134934098</v>
      </c>
      <c r="AM164">
        <v>86.758227679791304</v>
      </c>
      <c r="AN164">
        <v>1.0000000124889401</v>
      </c>
    </row>
    <row r="165" spans="1:40" x14ac:dyDescent="0.25">
      <c r="A165" t="str">
        <f>"20190312172900080"</f>
        <v>20190312172900080</v>
      </c>
      <c r="B165" t="str">
        <f>"1552382940068011"</f>
        <v>1552382940068011</v>
      </c>
      <c r="C165" t="s">
        <v>40</v>
      </c>
      <c r="D165">
        <v>3.306206</v>
      </c>
      <c r="E165">
        <v>0.49858520000000001</v>
      </c>
      <c r="F165" t="s">
        <v>44</v>
      </c>
      <c r="G165">
        <v>-158.78319999999999</v>
      </c>
      <c r="H165">
        <v>23.321639999999999</v>
      </c>
      <c r="I165">
        <v>368.04930000000002</v>
      </c>
      <c r="J165">
        <v>-452.8503</v>
      </c>
      <c r="K165">
        <v>1.109197</v>
      </c>
      <c r="L165">
        <v>368.26299999999998</v>
      </c>
      <c r="M165">
        <v>0.99892060000000005</v>
      </c>
      <c r="N165">
        <v>0</v>
      </c>
      <c r="O165">
        <v>4.5509889999999997E-2</v>
      </c>
      <c r="P165">
        <v>0.9835604</v>
      </c>
      <c r="Q165">
        <v>0.18021770000000001</v>
      </c>
      <c r="R165">
        <v>-1.143276E-2</v>
      </c>
      <c r="S165">
        <v>3.0083920000000002</v>
      </c>
      <c r="T165">
        <v>0.227051</v>
      </c>
      <c r="U165">
        <v>-2.0751950000000002E-3</v>
      </c>
      <c r="V165">
        <v>5.637296E-2</v>
      </c>
      <c r="W165">
        <v>0.1893069</v>
      </c>
      <c r="X165">
        <v>0.98029840000000001</v>
      </c>
      <c r="Y165">
        <v>4.5940910000000001E-2</v>
      </c>
      <c r="Z165">
        <v>5.1603179999999997E-3</v>
      </c>
      <c r="AA165">
        <v>0.99893080000000001</v>
      </c>
      <c r="AB165">
        <v>25</v>
      </c>
      <c r="AC165">
        <v>294.06709999999998</v>
      </c>
      <c r="AD165">
        <v>22.212443</v>
      </c>
      <c r="AE165">
        <v>-0.21370000000001699</v>
      </c>
      <c r="AF165">
        <v>13.5198799745085</v>
      </c>
      <c r="AG165">
        <v>22.212443</v>
      </c>
      <c r="AH165">
        <v>292.08614147904001</v>
      </c>
      <c r="AI165">
        <v>85.655798846795093</v>
      </c>
      <c r="AJ165">
        <v>87.349824445332303</v>
      </c>
      <c r="AK165">
        <v>293.241357626558</v>
      </c>
      <c r="AL165">
        <v>79.087661365480699</v>
      </c>
      <c r="AM165">
        <v>86.708778320394003</v>
      </c>
      <c r="AN165">
        <v>0.99999998302466497</v>
      </c>
    </row>
    <row r="166" spans="1:40" x14ac:dyDescent="0.25">
      <c r="A166" t="str">
        <f>"20190312172900101"</f>
        <v>20190312172900101</v>
      </c>
      <c r="B166" t="str">
        <f>"1552382940087531"</f>
        <v>1552382940087531</v>
      </c>
      <c r="C166" t="s">
        <v>40</v>
      </c>
      <c r="D166">
        <v>3.2948529999999998</v>
      </c>
      <c r="E166">
        <v>0.49876609999999999</v>
      </c>
      <c r="F166" t="s">
        <v>44</v>
      </c>
      <c r="G166">
        <v>-158.78319999999999</v>
      </c>
      <c r="H166">
        <v>23.76023</v>
      </c>
      <c r="I166">
        <v>367.46339999999998</v>
      </c>
      <c r="J166">
        <v>-452.61329999999998</v>
      </c>
      <c r="K166">
        <v>1.109175</v>
      </c>
      <c r="L166">
        <v>368.2731</v>
      </c>
      <c r="M166">
        <v>0.99894709999999998</v>
      </c>
      <c r="N166">
        <v>0</v>
      </c>
      <c r="O166">
        <v>4.4903209999999999E-2</v>
      </c>
      <c r="P166">
        <v>0.98342649999999998</v>
      </c>
      <c r="Q166">
        <v>0.18083930000000001</v>
      </c>
      <c r="R166">
        <v>-1.3022840000000001E-2</v>
      </c>
      <c r="S166">
        <v>3.0075989999999999</v>
      </c>
      <c r="T166">
        <v>0.23166629999999999</v>
      </c>
      <c r="U166">
        <v>-8.178711E-3</v>
      </c>
      <c r="V166">
        <v>5.7380260000000002E-2</v>
      </c>
      <c r="W166">
        <v>0.18999840000000001</v>
      </c>
      <c r="X166">
        <v>0.98010620000000004</v>
      </c>
      <c r="Y166">
        <v>4.734841E-2</v>
      </c>
      <c r="Z166">
        <v>5.2738230000000004E-3</v>
      </c>
      <c r="AA166">
        <v>0.99886450000000004</v>
      </c>
      <c r="AB166">
        <v>25</v>
      </c>
      <c r="AC166">
        <v>293.83010000000002</v>
      </c>
      <c r="AD166">
        <v>22.651054999999999</v>
      </c>
      <c r="AE166">
        <v>-0.80970000000001996</v>
      </c>
      <c r="AF166">
        <v>13.9206553217465</v>
      </c>
      <c r="AG166">
        <v>22.651054999999999</v>
      </c>
      <c r="AH166">
        <v>291.76348832155497</v>
      </c>
      <c r="AI166">
        <v>85.565771402084494</v>
      </c>
      <c r="AJ166">
        <v>87.268368291855296</v>
      </c>
      <c r="AK166">
        <v>292.97233325821401</v>
      </c>
      <c r="AL166">
        <v>79.047309449769799</v>
      </c>
      <c r="AM166">
        <v>86.649446474752807</v>
      </c>
      <c r="AN166">
        <v>1.0000000247593299</v>
      </c>
    </row>
    <row r="167" spans="1:40" x14ac:dyDescent="0.25">
      <c r="A167" t="str">
        <f>"20190312172900124"</f>
        <v>20190312172900124</v>
      </c>
      <c r="B167" t="str">
        <f>"1552382940117788"</f>
        <v>1552382940117788</v>
      </c>
      <c r="C167" t="s">
        <v>40</v>
      </c>
      <c r="D167">
        <v>3.2783609999999999</v>
      </c>
      <c r="E167">
        <v>0.49887939999999997</v>
      </c>
      <c r="F167" t="s">
        <v>44</v>
      </c>
      <c r="G167">
        <v>-158.19499999999999</v>
      </c>
      <c r="H167">
        <v>24.254079999999998</v>
      </c>
      <c r="I167">
        <v>366.88959999999997</v>
      </c>
      <c r="J167">
        <v>-452.36149999999998</v>
      </c>
      <c r="K167">
        <v>1.109143</v>
      </c>
      <c r="L167">
        <v>368.28370000000001</v>
      </c>
      <c r="M167">
        <v>0.99897769999999997</v>
      </c>
      <c r="N167">
        <v>0</v>
      </c>
      <c r="O167">
        <v>4.4201549999999999E-2</v>
      </c>
      <c r="P167">
        <v>0.98338309999999995</v>
      </c>
      <c r="Q167">
        <v>0.18094830000000001</v>
      </c>
      <c r="R167">
        <v>-1.4687560000000001E-2</v>
      </c>
      <c r="S167">
        <v>3.0068969999999999</v>
      </c>
      <c r="T167">
        <v>0.23638000000000001</v>
      </c>
      <c r="U167">
        <v>-1.4129640000000001E-2</v>
      </c>
      <c r="V167">
        <v>5.8372449999999999E-2</v>
      </c>
      <c r="W167">
        <v>0.19018099999999999</v>
      </c>
      <c r="X167">
        <v>0.9800122</v>
      </c>
      <c r="Y167">
        <v>4.8611189999999999E-2</v>
      </c>
      <c r="Z167">
        <v>5.3765970000000003E-3</v>
      </c>
      <c r="AA167">
        <v>0.99880329999999995</v>
      </c>
      <c r="AB167">
        <v>25</v>
      </c>
      <c r="AC167">
        <v>294.16649999999998</v>
      </c>
      <c r="AD167">
        <v>23.144936999999999</v>
      </c>
      <c r="AE167">
        <v>-1.3941000000000301</v>
      </c>
      <c r="AF167">
        <v>14.307368556906599</v>
      </c>
      <c r="AG167">
        <v>23.144936999999999</v>
      </c>
      <c r="AH167">
        <v>292.00969684018202</v>
      </c>
      <c r="AI167">
        <v>85.473569298128098</v>
      </c>
      <c r="AJ167">
        <v>87.194967108623104</v>
      </c>
      <c r="AK167">
        <v>293.274703908216</v>
      </c>
      <c r="AL167">
        <v>79.036653039198796</v>
      </c>
      <c r="AM167">
        <v>86.591319700123705</v>
      </c>
      <c r="AN167">
        <v>1.0000000339144199</v>
      </c>
    </row>
    <row r="168" spans="1:40" x14ac:dyDescent="0.25">
      <c r="A168" t="str">
        <f>"20190312172900146"</f>
        <v>20190312172900146</v>
      </c>
      <c r="B168" t="str">
        <f>"1552382940137307"</f>
        <v>1552382940137307</v>
      </c>
      <c r="C168" t="s">
        <v>40</v>
      </c>
      <c r="D168">
        <v>3.2716959999999999</v>
      </c>
      <c r="E168">
        <v>0.49892559999999903</v>
      </c>
      <c r="F168" t="s">
        <v>44</v>
      </c>
      <c r="G168">
        <v>-158.19499999999999</v>
      </c>
      <c r="H168">
        <v>24.52974</v>
      </c>
      <c r="I168">
        <v>366.33670000000001</v>
      </c>
      <c r="J168">
        <v>-452.11500000000001</v>
      </c>
      <c r="K168">
        <v>1.1091150000000001</v>
      </c>
      <c r="L168">
        <v>368.29379999999998</v>
      </c>
      <c r="M168">
        <v>0.99900929999999999</v>
      </c>
      <c r="N168">
        <v>0</v>
      </c>
      <c r="O168">
        <v>4.3464450000000002E-2</v>
      </c>
      <c r="P168">
        <v>0.98341389999999995</v>
      </c>
      <c r="Q168">
        <v>0.180674</v>
      </c>
      <c r="R168">
        <v>-1.5938109999999998E-2</v>
      </c>
      <c r="S168">
        <v>3.006348</v>
      </c>
      <c r="T168">
        <v>0.2393565</v>
      </c>
      <c r="U168">
        <v>-1.9897459999999999E-2</v>
      </c>
      <c r="V168">
        <v>5.8914830000000001E-2</v>
      </c>
      <c r="W168">
        <v>0.189975</v>
      </c>
      <c r="X168">
        <v>0.98001970000000005</v>
      </c>
      <c r="Y168">
        <v>4.978254E-2</v>
      </c>
      <c r="Z168">
        <v>5.433088E-3</v>
      </c>
      <c r="AA168">
        <v>0.99874529999999995</v>
      </c>
      <c r="AB168">
        <v>25</v>
      </c>
      <c r="AC168">
        <v>293.92</v>
      </c>
      <c r="AD168">
        <v>23.420625000000001</v>
      </c>
      <c r="AE168">
        <v>-1.9570999999999601</v>
      </c>
      <c r="AF168">
        <v>14.6379649750866</v>
      </c>
      <c r="AG168">
        <v>23.420625000000001</v>
      </c>
      <c r="AH168">
        <v>291.705049023615</v>
      </c>
      <c r="AI168">
        <v>85.415385878002894</v>
      </c>
      <c r="AJ168">
        <v>87.127267060024593</v>
      </c>
      <c r="AK168">
        <v>293.00960960329002</v>
      </c>
      <c r="AL168">
        <v>79.048675157666295</v>
      </c>
      <c r="AM168">
        <v>86.559749211201293</v>
      </c>
      <c r="AN168">
        <v>1.0000000351035001</v>
      </c>
    </row>
    <row r="169" spans="1:40" x14ac:dyDescent="0.25">
      <c r="A169" t="str">
        <f>"20190312172900169"</f>
        <v>20190312172900169</v>
      </c>
      <c r="B169" t="str">
        <f>"1552382940157807"</f>
        <v>1552382940157807</v>
      </c>
      <c r="C169" t="s">
        <v>40</v>
      </c>
      <c r="D169">
        <v>3.224078</v>
      </c>
      <c r="E169">
        <v>0.49893850000000001</v>
      </c>
      <c r="F169" t="s">
        <v>44</v>
      </c>
      <c r="G169">
        <v>-158.19499999999999</v>
      </c>
      <c r="H169">
        <v>24.557009999999998</v>
      </c>
      <c r="I169">
        <v>365.96640000000002</v>
      </c>
      <c r="J169">
        <v>-451.84879999999998</v>
      </c>
      <c r="K169">
        <v>1.1091009999999999</v>
      </c>
      <c r="L169">
        <v>368.30439999999999</v>
      </c>
      <c r="M169">
        <v>0.99904440000000005</v>
      </c>
      <c r="N169">
        <v>0</v>
      </c>
      <c r="O169">
        <v>4.2631580000000002E-2</v>
      </c>
      <c r="P169">
        <v>0.98342070000000004</v>
      </c>
      <c r="Q169">
        <v>0.1805457</v>
      </c>
      <c r="R169">
        <v>-1.694416E-2</v>
      </c>
      <c r="S169">
        <v>3.0061650000000002</v>
      </c>
      <c r="T169">
        <v>0.23982200000000001</v>
      </c>
      <c r="U169">
        <v>-2.3803709999999999E-2</v>
      </c>
      <c r="V169">
        <v>5.9113119999999998E-2</v>
      </c>
      <c r="W169">
        <v>0.18991549999999999</v>
      </c>
      <c r="X169">
        <v>0.98001930000000004</v>
      </c>
      <c r="Y169">
        <v>5.0248029999999999E-2</v>
      </c>
      <c r="Z169">
        <v>5.3961919999999898E-3</v>
      </c>
      <c r="AA169">
        <v>0.9987222</v>
      </c>
      <c r="AB169">
        <v>25</v>
      </c>
      <c r="AC169">
        <v>293.65379999999999</v>
      </c>
      <c r="AD169">
        <v>23.447908999999999</v>
      </c>
      <c r="AE169">
        <v>-2.3379999999999601</v>
      </c>
      <c r="AF169">
        <v>14.761271393512899</v>
      </c>
      <c r="AG169">
        <v>23.447908999999999</v>
      </c>
      <c r="AH169">
        <v>291.42913980633199</v>
      </c>
      <c r="AI169">
        <v>85.405849171248406</v>
      </c>
      <c r="AJ169">
        <v>87.100371011131301</v>
      </c>
      <c r="AK169">
        <v>292.74330581224899</v>
      </c>
      <c r="AL169">
        <v>79.052147561099702</v>
      </c>
      <c r="AM169">
        <v>86.548196882712006</v>
      </c>
      <c r="AN169">
        <v>1.00000004323443</v>
      </c>
    </row>
    <row r="170" spans="1:40" x14ac:dyDescent="0.25">
      <c r="A170" t="str">
        <f>"20190312172900193"</f>
        <v>20190312172900193</v>
      </c>
      <c r="B170" t="str">
        <f>"1552382940177323"</f>
        <v>1552382940177323</v>
      </c>
      <c r="C170" t="s">
        <v>40</v>
      </c>
      <c r="D170">
        <v>3.287849</v>
      </c>
      <c r="E170">
        <v>0.49892609999999898</v>
      </c>
      <c r="F170" t="s">
        <v>44</v>
      </c>
      <c r="G170">
        <v>-158.19499999999999</v>
      </c>
      <c r="H170">
        <v>24.597660000000001</v>
      </c>
      <c r="I170">
        <v>365.68090000000001</v>
      </c>
      <c r="J170">
        <v>-451.58</v>
      </c>
      <c r="K170">
        <v>1.109094</v>
      </c>
      <c r="L170">
        <v>368.31490000000002</v>
      </c>
      <c r="M170">
        <v>0.99908019999999997</v>
      </c>
      <c r="N170">
        <v>0</v>
      </c>
      <c r="O170">
        <v>4.1767489999999997E-2</v>
      </c>
      <c r="P170">
        <v>0.98350269999999995</v>
      </c>
      <c r="Q170">
        <v>0.18002079999999901</v>
      </c>
      <c r="R170">
        <v>-1.7756210000000001E-2</v>
      </c>
      <c r="S170">
        <v>3.005951</v>
      </c>
      <c r="T170">
        <v>0.2404386</v>
      </c>
      <c r="U170">
        <v>-2.6855469999999999E-2</v>
      </c>
      <c r="V170">
        <v>5.9083839999999999E-2</v>
      </c>
      <c r="W170">
        <v>0.18945529999999999</v>
      </c>
      <c r="X170">
        <v>0.98011009999999998</v>
      </c>
      <c r="Y170">
        <v>5.039942E-2</v>
      </c>
      <c r="Z170">
        <v>5.3474780000000001E-3</v>
      </c>
      <c r="AA170">
        <v>0.99871480000000001</v>
      </c>
      <c r="AB170">
        <v>25</v>
      </c>
      <c r="AC170">
        <v>293.38499999999999</v>
      </c>
      <c r="AD170">
        <v>23.488565999999999</v>
      </c>
      <c r="AE170">
        <v>-2.6340000000000101</v>
      </c>
      <c r="AF170">
        <v>14.791432792827401</v>
      </c>
      <c r="AG170">
        <v>23.488565999999999</v>
      </c>
      <c r="AH170">
        <v>291.15288487670801</v>
      </c>
      <c r="AI170">
        <v>85.393604807316805</v>
      </c>
      <c r="AJ170">
        <v>87.091704261844001</v>
      </c>
      <c r="AK170">
        <v>292.47307840010001</v>
      </c>
      <c r="AL170">
        <v>79.079002260772498</v>
      </c>
      <c r="AM170">
        <v>86.550221358314104</v>
      </c>
      <c r="AN170">
        <v>1.00000000948462</v>
      </c>
    </row>
    <row r="171" spans="1:40" x14ac:dyDescent="0.25">
      <c r="A171" t="str">
        <f>"20190312172900214"</f>
        <v>20190312172900214</v>
      </c>
      <c r="B171" t="str">
        <f>"1552382940207579"</f>
        <v>1552382940207579</v>
      </c>
      <c r="C171" t="s">
        <v>40</v>
      </c>
      <c r="D171">
        <v>3.2277339999999999</v>
      </c>
      <c r="E171">
        <v>0.49895430000000002</v>
      </c>
      <c r="F171" t="s">
        <v>44</v>
      </c>
      <c r="G171">
        <v>-158.19499999999999</v>
      </c>
      <c r="H171">
        <v>24.54297</v>
      </c>
      <c r="I171">
        <v>365.47340000000003</v>
      </c>
      <c r="J171">
        <v>-451.3501</v>
      </c>
      <c r="K171">
        <v>1.1090979999999999</v>
      </c>
      <c r="L171">
        <v>368.32369999999997</v>
      </c>
      <c r="M171">
        <v>0.99911090000000002</v>
      </c>
      <c r="N171">
        <v>0</v>
      </c>
      <c r="O171">
        <v>4.101925E-2</v>
      </c>
      <c r="P171">
        <v>0.98356710000000003</v>
      </c>
      <c r="Q171">
        <v>0.17959800000000001</v>
      </c>
      <c r="R171">
        <v>-1.846712E-2</v>
      </c>
      <c r="S171">
        <v>3.0059200000000001</v>
      </c>
      <c r="T171">
        <v>0.24009610000000001</v>
      </c>
      <c r="U171">
        <v>-2.9113770000000001E-2</v>
      </c>
      <c r="V171">
        <v>5.9062459999999997E-2</v>
      </c>
      <c r="W171">
        <v>0.18908349999999999</v>
      </c>
      <c r="X171">
        <v>0.98018320000000003</v>
      </c>
      <c r="Y171">
        <v>5.040501E-2</v>
      </c>
      <c r="Z171">
        <v>5.2805179999999997E-3</v>
      </c>
      <c r="AA171">
        <v>0.99871489999999996</v>
      </c>
      <c r="AB171">
        <v>25</v>
      </c>
      <c r="AC171">
        <v>293.1551</v>
      </c>
      <c r="AD171">
        <v>23.433872000000001</v>
      </c>
      <c r="AE171">
        <v>-2.8502999999999399</v>
      </c>
      <c r="AF171">
        <v>14.7790458700767</v>
      </c>
      <c r="AG171">
        <v>23.433872000000001</v>
      </c>
      <c r="AH171">
        <v>290.932571139831</v>
      </c>
      <c r="AI171">
        <v>85.400818757023302</v>
      </c>
      <c r="AJ171">
        <v>87.091938865658705</v>
      </c>
      <c r="AK171">
        <v>292.24874251872302</v>
      </c>
      <c r="AL171">
        <v>79.100697128511698</v>
      </c>
      <c r="AM171">
        <v>86.551723241205494</v>
      </c>
      <c r="AN171">
        <v>1.00000002485787</v>
      </c>
    </row>
    <row r="172" spans="1:40" x14ac:dyDescent="0.25">
      <c r="A172" t="str">
        <f>"20190312172900236"</f>
        <v>20190312172900236</v>
      </c>
      <c r="B172" t="str">
        <f>"1552382940228077"</f>
        <v>1552382940228077</v>
      </c>
      <c r="C172" t="s">
        <v>40</v>
      </c>
      <c r="D172">
        <v>3.2050800000000002</v>
      </c>
      <c r="E172">
        <v>0.49900070000000002</v>
      </c>
      <c r="F172" t="s">
        <v>44</v>
      </c>
      <c r="G172">
        <v>-158.19499999999999</v>
      </c>
      <c r="H172">
        <v>24.510079999999999</v>
      </c>
      <c r="I172">
        <v>365.26690000000002</v>
      </c>
      <c r="J172">
        <v>-451.0915</v>
      </c>
      <c r="K172">
        <v>1.1091</v>
      </c>
      <c r="L172">
        <v>368.33339999999998</v>
      </c>
      <c r="M172">
        <v>0.99914449999999999</v>
      </c>
      <c r="N172">
        <v>0</v>
      </c>
      <c r="O172">
        <v>4.0176530000000002E-2</v>
      </c>
      <c r="P172">
        <v>0.98354759999999997</v>
      </c>
      <c r="Q172">
        <v>0.17964759999999999</v>
      </c>
      <c r="R172">
        <v>-1.8995049999999999E-2</v>
      </c>
      <c r="S172">
        <v>3.0057680000000002</v>
      </c>
      <c r="T172">
        <v>0.23993490000000001</v>
      </c>
      <c r="U172">
        <v>-3.1341550000000003E-2</v>
      </c>
      <c r="V172">
        <v>5.876075E-2</v>
      </c>
      <c r="W172">
        <v>0.18918470000000001</v>
      </c>
      <c r="X172">
        <v>0.98018179999999999</v>
      </c>
      <c r="Y172">
        <v>5.0306650000000001E-2</v>
      </c>
      <c r="Z172">
        <v>5.2061970000000001E-3</v>
      </c>
      <c r="AA172">
        <v>0.99872019999999995</v>
      </c>
      <c r="AB172">
        <v>25</v>
      </c>
      <c r="AC172">
        <v>292.8965</v>
      </c>
      <c r="AD172">
        <v>23.400980000000001</v>
      </c>
      <c r="AE172">
        <v>-3.06649999999996</v>
      </c>
      <c r="AF172">
        <v>14.7380883078584</v>
      </c>
      <c r="AG172">
        <v>23.400980000000001</v>
      </c>
      <c r="AH172">
        <v>290.681504311038</v>
      </c>
      <c r="AI172">
        <v>85.403274243222299</v>
      </c>
      <c r="AJ172">
        <v>87.097483762040795</v>
      </c>
      <c r="AK172">
        <v>291.99409935897501</v>
      </c>
      <c r="AL172">
        <v>79.094792152261405</v>
      </c>
      <c r="AM172">
        <v>86.569291076968199</v>
      </c>
      <c r="AN172">
        <v>1.0000000187529401</v>
      </c>
    </row>
    <row r="173" spans="1:40" x14ac:dyDescent="0.25">
      <c r="A173" t="str">
        <f>"20190312172900259"</f>
        <v>20190312172900259</v>
      </c>
      <c r="B173" t="str">
        <f>"1552382940247595"</f>
        <v>1552382940247595</v>
      </c>
      <c r="C173" t="s">
        <v>40</v>
      </c>
      <c r="D173">
        <v>3.1743739999999998</v>
      </c>
      <c r="E173">
        <v>0.49894260000000001</v>
      </c>
      <c r="F173" t="s">
        <v>44</v>
      </c>
      <c r="G173">
        <v>-158.19499999999999</v>
      </c>
      <c r="H173">
        <v>24.535160000000001</v>
      </c>
      <c r="I173">
        <v>365.0412</v>
      </c>
      <c r="J173">
        <v>-450.83909999999997</v>
      </c>
      <c r="K173">
        <v>1.1091040000000001</v>
      </c>
      <c r="L173">
        <v>368.34269999999998</v>
      </c>
      <c r="M173">
        <v>0.99917670000000003</v>
      </c>
      <c r="N173">
        <v>0</v>
      </c>
      <c r="O173">
        <v>3.9357950000000003E-2</v>
      </c>
      <c r="P173">
        <v>0.98343210000000003</v>
      </c>
      <c r="Q173">
        <v>0.18023220000000001</v>
      </c>
      <c r="R173">
        <v>-1.944444E-2</v>
      </c>
      <c r="S173">
        <v>3.005585</v>
      </c>
      <c r="T173">
        <v>0.24038950000000001</v>
      </c>
      <c r="U173">
        <v>-3.3782960000000001E-2</v>
      </c>
      <c r="V173">
        <v>5.8400470000000003E-2</v>
      </c>
      <c r="W173">
        <v>0.18981300000000001</v>
      </c>
      <c r="X173">
        <v>0.98008189999999995</v>
      </c>
      <c r="Y173">
        <v>5.0301730000000003E-2</v>
      </c>
      <c r="Z173">
        <v>5.1508040000000001E-3</v>
      </c>
      <c r="AA173">
        <v>0.99872079999999996</v>
      </c>
      <c r="AB173">
        <v>25</v>
      </c>
      <c r="AC173">
        <v>292.64409999999998</v>
      </c>
      <c r="AD173">
        <v>23.426055999999999</v>
      </c>
      <c r="AE173">
        <v>-3.3014999999999701</v>
      </c>
      <c r="AF173">
        <v>14.723039031246101</v>
      </c>
      <c r="AG173">
        <v>23.426055999999999</v>
      </c>
      <c r="AH173">
        <v>290.42658282135801</v>
      </c>
      <c r="AI173">
        <v>85.394346230157595</v>
      </c>
      <c r="AJ173">
        <v>87.097901770065505</v>
      </c>
      <c r="AK173">
        <v>291.74157740596701</v>
      </c>
      <c r="AL173">
        <v>79.058129370699206</v>
      </c>
      <c r="AM173">
        <v>86.589929280158202</v>
      </c>
      <c r="AN173">
        <v>1.0000000602864101</v>
      </c>
    </row>
    <row r="174" spans="1:40" x14ac:dyDescent="0.25">
      <c r="A174" t="str">
        <f>"20190312172900282"</f>
        <v>20190312172900282</v>
      </c>
      <c r="B174" t="str">
        <f>"1552382940268091"</f>
        <v>1552382940268091</v>
      </c>
      <c r="C174" t="s">
        <v>40</v>
      </c>
      <c r="D174">
        <v>3.1648329999999998</v>
      </c>
      <c r="E174">
        <v>0.49905349999999998</v>
      </c>
      <c r="F174" t="s">
        <v>44</v>
      </c>
      <c r="G174">
        <v>-158.19499999999999</v>
      </c>
      <c r="H174">
        <v>24.790220000000001</v>
      </c>
      <c r="I174">
        <v>364.952</v>
      </c>
      <c r="J174">
        <v>-450.58280000000002</v>
      </c>
      <c r="K174">
        <v>1.109116</v>
      </c>
      <c r="L174">
        <v>368.35180000000003</v>
      </c>
      <c r="M174">
        <v>0.99920850000000005</v>
      </c>
      <c r="N174">
        <v>0</v>
      </c>
      <c r="O174">
        <v>3.8533709999999999E-2</v>
      </c>
      <c r="P174">
        <v>0.98336539999999995</v>
      </c>
      <c r="Q174">
        <v>0.1805081</v>
      </c>
      <c r="R174">
        <v>-2.0234889999999998E-2</v>
      </c>
      <c r="S174">
        <v>3.0053100000000001</v>
      </c>
      <c r="T174">
        <v>0.2431941</v>
      </c>
      <c r="U174">
        <v>-3.482056E-2</v>
      </c>
      <c r="V174">
        <v>5.837738E-2</v>
      </c>
      <c r="W174">
        <v>0.19013140000000001</v>
      </c>
      <c r="X174">
        <v>0.98002149999999999</v>
      </c>
      <c r="Y174">
        <v>4.9821200000000003E-2</v>
      </c>
      <c r="Z174">
        <v>5.1252049999999999E-3</v>
      </c>
      <c r="AA174">
        <v>0.99874499999999999</v>
      </c>
      <c r="AB174">
        <v>25</v>
      </c>
      <c r="AC174">
        <v>292.38780000000003</v>
      </c>
      <c r="AD174">
        <v>23.681104000000001</v>
      </c>
      <c r="AE174">
        <v>-3.3998000000000199</v>
      </c>
      <c r="AF174">
        <v>14.569054842788301</v>
      </c>
      <c r="AG174">
        <v>23.681104000000001</v>
      </c>
      <c r="AH174">
        <v>290.136651015653</v>
      </c>
      <c r="AI174">
        <v>85.339678135066706</v>
      </c>
      <c r="AJ174">
        <v>87.125337976413704</v>
      </c>
      <c r="AK174">
        <v>291.465826999066</v>
      </c>
      <c r="AL174">
        <v>79.039547395975902</v>
      </c>
      <c r="AM174">
        <v>86.591064763304303</v>
      </c>
      <c r="AN174">
        <v>1.0000000041119299</v>
      </c>
    </row>
    <row r="175" spans="1:40" x14ac:dyDescent="0.25">
      <c r="A175" t="str">
        <f>"20190312172900304"</f>
        <v>20190312172900304</v>
      </c>
      <c r="B175" t="str">
        <f>"1552382940297372"</f>
        <v>1552382940297372</v>
      </c>
      <c r="C175" t="s">
        <v>40</v>
      </c>
      <c r="D175">
        <v>3.1641900000000001</v>
      </c>
      <c r="E175">
        <v>0.49903930000000002</v>
      </c>
      <c r="F175" t="s">
        <v>44</v>
      </c>
      <c r="G175">
        <v>-158.19499999999999</v>
      </c>
      <c r="H175">
        <v>24.84432</v>
      </c>
      <c r="I175">
        <v>364.64640000000003</v>
      </c>
      <c r="J175">
        <v>-450.33319999999998</v>
      </c>
      <c r="K175">
        <v>1.109119</v>
      </c>
      <c r="L175">
        <v>368.36059999999998</v>
      </c>
      <c r="M175">
        <v>0.99923839999999997</v>
      </c>
      <c r="N175">
        <v>0</v>
      </c>
      <c r="O175">
        <v>3.7738010000000002E-2</v>
      </c>
      <c r="P175">
        <v>0.98341000000000001</v>
      </c>
      <c r="Q175">
        <v>0.1802503</v>
      </c>
      <c r="R175">
        <v>-2.0371159999999999E-2</v>
      </c>
      <c r="S175">
        <v>3.0052189999999999</v>
      </c>
      <c r="T175">
        <v>0.2439559</v>
      </c>
      <c r="U175">
        <v>-3.8085939999999999E-2</v>
      </c>
      <c r="V175">
        <v>5.7732680000000001E-2</v>
      </c>
      <c r="W175">
        <v>0.18991739999999999</v>
      </c>
      <c r="X175">
        <v>0.98010120000000001</v>
      </c>
      <c r="Y175">
        <v>5.0111120000000002E-2</v>
      </c>
      <c r="Z175">
        <v>5.0886330000000004E-3</v>
      </c>
      <c r="AA175">
        <v>0.99873069999999997</v>
      </c>
      <c r="AB175">
        <v>25</v>
      </c>
      <c r="AC175">
        <v>292.13819999999998</v>
      </c>
      <c r="AD175">
        <v>23.735201</v>
      </c>
      <c r="AE175">
        <v>-3.71419999999994</v>
      </c>
      <c r="AF175">
        <v>14.640186986656101</v>
      </c>
      <c r="AG175">
        <v>23.735201</v>
      </c>
      <c r="AH175">
        <v>289.87674210546999</v>
      </c>
      <c r="AI175">
        <v>85.324977589448807</v>
      </c>
      <c r="AJ175">
        <v>87.108740756985299</v>
      </c>
      <c r="AK175">
        <v>291.21507594078298</v>
      </c>
      <c r="AL175">
        <v>79.052036442489694</v>
      </c>
      <c r="AM175">
        <v>86.628898089550901</v>
      </c>
      <c r="AN175">
        <v>1.0000000217020899</v>
      </c>
    </row>
    <row r="176" spans="1:40" x14ac:dyDescent="0.25">
      <c r="A176" t="str">
        <f>"20190312172900324"</f>
        <v>20190312172900324</v>
      </c>
      <c r="B176" t="str">
        <f>"1552382940317867"</f>
        <v>1552382940317867</v>
      </c>
      <c r="C176" t="s">
        <v>40</v>
      </c>
      <c r="D176">
        <v>3.284297</v>
      </c>
      <c r="E176">
        <v>0.49902239999999998</v>
      </c>
      <c r="F176" t="s">
        <v>44</v>
      </c>
      <c r="G176">
        <v>-158.19499999999999</v>
      </c>
      <c r="H176">
        <v>24.860990000000001</v>
      </c>
      <c r="I176">
        <v>364.6046</v>
      </c>
      <c r="J176">
        <v>-450.09859999999998</v>
      </c>
      <c r="K176">
        <v>1.109124</v>
      </c>
      <c r="L176">
        <v>368.36860000000001</v>
      </c>
      <c r="M176">
        <v>0.99926570000000003</v>
      </c>
      <c r="N176">
        <v>0</v>
      </c>
      <c r="O176">
        <v>3.6994810000000003E-2</v>
      </c>
      <c r="P176">
        <v>0.98345760000000004</v>
      </c>
      <c r="Q176">
        <v>0.17994460000000001</v>
      </c>
      <c r="R176">
        <v>-2.076923E-2</v>
      </c>
      <c r="S176">
        <v>3.0050349999999999</v>
      </c>
      <c r="T176">
        <v>0.24432090000000001</v>
      </c>
      <c r="U176">
        <v>-3.8635250000000003E-2</v>
      </c>
      <c r="V176">
        <v>5.7401300000000002E-2</v>
      </c>
      <c r="W176">
        <v>0.1896552</v>
      </c>
      <c r="X176">
        <v>0.98017140000000003</v>
      </c>
      <c r="Y176">
        <v>4.9555019999999998E-2</v>
      </c>
      <c r="Z176">
        <v>5.0136599999999996E-3</v>
      </c>
      <c r="AA176">
        <v>0.99875879999999995</v>
      </c>
      <c r="AB176">
        <v>25</v>
      </c>
      <c r="AC176">
        <v>291.90359999999998</v>
      </c>
      <c r="AD176">
        <v>23.751866</v>
      </c>
      <c r="AE176">
        <v>-3.7639999999999998</v>
      </c>
      <c r="AF176">
        <v>14.465122230859601</v>
      </c>
      <c r="AG176">
        <v>23.751866</v>
      </c>
      <c r="AH176">
        <v>289.647100735653</v>
      </c>
      <c r="AI176">
        <v>85.317885321044898</v>
      </c>
      <c r="AJ176">
        <v>87.140995145255701</v>
      </c>
      <c r="AK176">
        <v>290.97909523573202</v>
      </c>
      <c r="AL176">
        <v>79.067337120928698</v>
      </c>
      <c r="AM176">
        <v>86.648443154274901</v>
      </c>
      <c r="AN176">
        <v>0.99999998875334495</v>
      </c>
    </row>
    <row r="177" spans="1:40" x14ac:dyDescent="0.25">
      <c r="A177" t="str">
        <f>"20190312172900348"</f>
        <v>20190312172900348</v>
      </c>
      <c r="B177" t="str">
        <f>"1552382940337387"</f>
        <v>1552382940337387</v>
      </c>
      <c r="C177" t="s">
        <v>40</v>
      </c>
      <c r="D177">
        <v>3.1681590000000002</v>
      </c>
      <c r="E177">
        <v>0.5049766</v>
      </c>
      <c r="F177" t="s">
        <v>44</v>
      </c>
      <c r="G177">
        <v>-158.19499999999999</v>
      </c>
      <c r="H177">
        <v>24.806930000000001</v>
      </c>
      <c r="I177">
        <v>364.5059</v>
      </c>
      <c r="J177">
        <v>-449.83240000000001</v>
      </c>
      <c r="K177">
        <v>1.1091260000000001</v>
      </c>
      <c r="L177">
        <v>368.3775</v>
      </c>
      <c r="M177">
        <v>0.99929590000000001</v>
      </c>
      <c r="N177">
        <v>0</v>
      </c>
      <c r="O177">
        <v>3.6154230000000002E-2</v>
      </c>
      <c r="P177">
        <v>0.98345950000000004</v>
      </c>
      <c r="Q177">
        <v>0.17995159999999999</v>
      </c>
      <c r="R177">
        <v>-2.0618060000000001E-2</v>
      </c>
      <c r="S177">
        <v>3.0049739999999998</v>
      </c>
      <c r="T177">
        <v>0.2439557</v>
      </c>
      <c r="U177">
        <v>-3.9764399999999998E-2</v>
      </c>
      <c r="V177">
        <v>5.6424309999999998E-2</v>
      </c>
      <c r="W177">
        <v>0.18971279999999999</v>
      </c>
      <c r="X177">
        <v>0.980217</v>
      </c>
      <c r="Y177">
        <v>4.9095519999999997E-2</v>
      </c>
      <c r="Z177">
        <v>4.9195640000000004E-3</v>
      </c>
      <c r="AA177">
        <v>0.99878199999999995</v>
      </c>
      <c r="AB177">
        <v>25</v>
      </c>
      <c r="AC177">
        <v>291.63740000000001</v>
      </c>
      <c r="AD177">
        <v>23.697804000000001</v>
      </c>
      <c r="AE177">
        <v>-3.8715999999999999</v>
      </c>
      <c r="AF177">
        <v>14.318995330047001</v>
      </c>
      <c r="AG177">
        <v>23.697804000000001</v>
      </c>
      <c r="AH177">
        <v>289.39623703625699</v>
      </c>
      <c r="AI177">
        <v>85.324357021432704</v>
      </c>
      <c r="AJ177">
        <v>87.167380318214498</v>
      </c>
      <c r="AK177">
        <v>290.71773518729401</v>
      </c>
      <c r="AL177">
        <v>79.063976075871196</v>
      </c>
      <c r="AM177">
        <v>86.705513995336403</v>
      </c>
      <c r="AN177">
        <v>1.0000000081659</v>
      </c>
    </row>
    <row r="178" spans="1:40" x14ac:dyDescent="0.25">
      <c r="A178" t="str">
        <f>"20190312172900371"</f>
        <v>20190312172900371</v>
      </c>
      <c r="B178" t="str">
        <f>"1552382940367643"</f>
        <v>1552382940367643</v>
      </c>
      <c r="C178" t="s">
        <v>40</v>
      </c>
      <c r="D178">
        <v>3.186388</v>
      </c>
      <c r="E178">
        <v>0.50753870000000001</v>
      </c>
      <c r="F178" t="s">
        <v>44</v>
      </c>
      <c r="G178">
        <v>-170.08879999999999</v>
      </c>
      <c r="H178">
        <v>12.67928</v>
      </c>
      <c r="I178">
        <v>360.83589999999998</v>
      </c>
      <c r="J178">
        <v>-449.57589999999999</v>
      </c>
      <c r="K178">
        <v>1.109132</v>
      </c>
      <c r="L178">
        <v>368.38589999999999</v>
      </c>
      <c r="M178">
        <v>0.99932449999999995</v>
      </c>
      <c r="N178">
        <v>0</v>
      </c>
      <c r="O178">
        <v>3.5345969999999997E-2</v>
      </c>
      <c r="P178">
        <v>0.98350839999999995</v>
      </c>
      <c r="Q178">
        <v>0.179652799999999</v>
      </c>
      <c r="R178">
        <v>-2.088928E-2</v>
      </c>
      <c r="S178">
        <v>3.0258180000000001</v>
      </c>
      <c r="T178">
        <v>0.12514829999999999</v>
      </c>
      <c r="U178">
        <v>-8.1573489999999999E-2</v>
      </c>
      <c r="V178">
        <v>5.5902350000000003E-2</v>
      </c>
      <c r="W178">
        <v>0.18946189999999999</v>
      </c>
      <c r="X178">
        <v>0.98029540000000004</v>
      </c>
      <c r="Y178">
        <v>6.2184110000000001E-2</v>
      </c>
      <c r="Z178">
        <v>2.7462350000000001E-3</v>
      </c>
      <c r="AA178">
        <v>0.99806090000000003</v>
      </c>
      <c r="AB178">
        <v>25</v>
      </c>
      <c r="AC178">
        <v>279.4871</v>
      </c>
      <c r="AD178">
        <v>11.570148</v>
      </c>
      <c r="AE178">
        <v>-7.5500000000000096</v>
      </c>
      <c r="AF178">
        <v>17.3947354253431</v>
      </c>
      <c r="AG178">
        <v>11.570148</v>
      </c>
      <c r="AH178">
        <v>278.56850914776402</v>
      </c>
      <c r="AI178">
        <v>87.626244949602807</v>
      </c>
      <c r="AJ178">
        <v>86.426901986386198</v>
      </c>
      <c r="AK178">
        <v>279.35078205379602</v>
      </c>
      <c r="AL178">
        <v>79.078616782900795</v>
      </c>
      <c r="AM178">
        <v>86.736184322389803</v>
      </c>
      <c r="AN178">
        <v>0.99999997777414595</v>
      </c>
    </row>
    <row r="179" spans="1:40" x14ac:dyDescent="0.25">
      <c r="A179" t="str">
        <f>"20190312172900393"</f>
        <v>20190312172900393</v>
      </c>
      <c r="B179" t="str">
        <f>"1552382940388139"</f>
        <v>1552382940388139</v>
      </c>
      <c r="C179" t="s">
        <v>40</v>
      </c>
      <c r="D179">
        <v>3.2005279999999998</v>
      </c>
      <c r="E179">
        <v>0.50784499999999999</v>
      </c>
      <c r="F179" t="s">
        <v>41</v>
      </c>
      <c r="G179">
        <v>-370.23230000000001</v>
      </c>
      <c r="H179" s="1">
        <v>-4.82854499999999E-6</v>
      </c>
      <c r="I179">
        <v>365.91849999999999</v>
      </c>
      <c r="J179">
        <v>-449.31630000000001</v>
      </c>
      <c r="K179">
        <v>1.109137</v>
      </c>
      <c r="L179">
        <v>368.39420000000001</v>
      </c>
      <c r="M179">
        <v>0.99935260000000004</v>
      </c>
      <c r="N179">
        <v>0</v>
      </c>
      <c r="O179">
        <v>3.4528129999999997E-2</v>
      </c>
      <c r="P179">
        <v>0.98345610000000006</v>
      </c>
      <c r="Q179">
        <v>0.17985719999999999</v>
      </c>
      <c r="R179">
        <v>-2.158966E-2</v>
      </c>
      <c r="S179">
        <v>3.0560909999999999</v>
      </c>
      <c r="T179">
        <v>-4.2720790000000002E-2</v>
      </c>
      <c r="U179">
        <v>-9.5031740000000003E-2</v>
      </c>
      <c r="V179">
        <v>5.5796859999999997E-2</v>
      </c>
      <c r="W179">
        <v>0.18970999999999999</v>
      </c>
      <c r="X179">
        <v>0.9802535</v>
      </c>
      <c r="Y179">
        <v>6.5565730000000003E-2</v>
      </c>
      <c r="Z179">
        <v>-9.4067779999999995E-4</v>
      </c>
      <c r="AA179">
        <v>0.99784779999999995</v>
      </c>
      <c r="AB179">
        <v>25</v>
      </c>
      <c r="AC179">
        <v>79.084000000000003</v>
      </c>
      <c r="AD179">
        <v>-1.1091418285449901</v>
      </c>
      <c r="AE179">
        <v>-2.47570000000001</v>
      </c>
      <c r="AF179">
        <v>5.2039632180917996</v>
      </c>
      <c r="AG179">
        <v>-1.1091418285449901</v>
      </c>
      <c r="AH179">
        <v>78.9358426011175</v>
      </c>
      <c r="AI179">
        <v>90.803276883290593</v>
      </c>
      <c r="AJ179">
        <v>86.228148450783905</v>
      </c>
      <c r="AK179">
        <v>79.114971250196902</v>
      </c>
      <c r="AL179">
        <v>79.064139923102303</v>
      </c>
      <c r="AM179">
        <v>86.742191051385205</v>
      </c>
      <c r="AN179">
        <v>1.0000000489740499</v>
      </c>
    </row>
    <row r="180" spans="1:40" x14ac:dyDescent="0.25">
      <c r="A180" t="str">
        <f>"20190312172900415"</f>
        <v>20190312172900415</v>
      </c>
      <c r="B180" t="str">
        <f>"1552382940407660"</f>
        <v>1552382940407660</v>
      </c>
      <c r="C180" t="s">
        <v>40</v>
      </c>
      <c r="D180">
        <v>3.1711320000000001</v>
      </c>
      <c r="E180">
        <v>0.50785089999999999</v>
      </c>
      <c r="F180" t="s">
        <v>41</v>
      </c>
      <c r="G180">
        <v>-379.80709999999999</v>
      </c>
      <c r="H180" s="1">
        <v>-9.789306000000001E-7</v>
      </c>
      <c r="I180">
        <v>366.13139999999999</v>
      </c>
      <c r="J180">
        <v>-449.07499999999999</v>
      </c>
      <c r="K180">
        <v>1.1091470000000001</v>
      </c>
      <c r="L180">
        <v>368.40170000000001</v>
      </c>
      <c r="M180">
        <v>0.99937810000000005</v>
      </c>
      <c r="N180">
        <v>0</v>
      </c>
      <c r="O180">
        <v>3.3767909999999998E-2</v>
      </c>
      <c r="P180">
        <v>0.98345660000000001</v>
      </c>
      <c r="Q180">
        <v>0.1798109</v>
      </c>
      <c r="R180">
        <v>-2.1939989999999999E-2</v>
      </c>
      <c r="S180">
        <v>3.05722</v>
      </c>
      <c r="T180">
        <v>-4.8783180000000002E-2</v>
      </c>
      <c r="U180">
        <v>-9.9517820000000007E-2</v>
      </c>
      <c r="V180">
        <v>5.5400079999999997E-2</v>
      </c>
      <c r="W180">
        <v>0.1897016</v>
      </c>
      <c r="X180">
        <v>0.98027759999999997</v>
      </c>
      <c r="Y180">
        <v>6.6254999999999994E-2</v>
      </c>
      <c r="Z180">
        <v>-1.0671050000000001E-3</v>
      </c>
      <c r="AA180">
        <v>0.99780210000000003</v>
      </c>
      <c r="AB180">
        <v>25</v>
      </c>
      <c r="AC180">
        <v>69.267899999999997</v>
      </c>
      <c r="AD180">
        <v>-1.10914797893059</v>
      </c>
      <c r="AE180">
        <v>-2.27030000000001</v>
      </c>
      <c r="AF180">
        <v>4.6069780125657296</v>
      </c>
      <c r="AG180">
        <v>-1.10914797893059</v>
      </c>
      <c r="AH180">
        <v>69.134018489781894</v>
      </c>
      <c r="AI180">
        <v>90.917109275231496</v>
      </c>
      <c r="AJ180">
        <v>86.1875395147337</v>
      </c>
      <c r="AK180">
        <v>69.296226218986405</v>
      </c>
      <c r="AL180">
        <v>79.064629782463498</v>
      </c>
      <c r="AM180">
        <v>86.765387814160206</v>
      </c>
      <c r="AN180">
        <v>1.0000000194841601</v>
      </c>
    </row>
    <row r="181" spans="1:40" x14ac:dyDescent="0.25">
      <c r="A181" t="str">
        <f>"20190312172900437"</f>
        <v>20190312172900437</v>
      </c>
      <c r="B181" t="str">
        <f>"1552382940427183"</f>
        <v>1552382940427183</v>
      </c>
      <c r="C181" t="s">
        <v>40</v>
      </c>
      <c r="D181">
        <v>3.1887099999999999</v>
      </c>
      <c r="E181">
        <v>0.50790409999999997</v>
      </c>
      <c r="F181" t="s">
        <v>41</v>
      </c>
      <c r="G181">
        <v>-387.45569999999998</v>
      </c>
      <c r="H181" s="1">
        <v>-1.7130149999999999E-6</v>
      </c>
      <c r="I181">
        <v>366.37990000000002</v>
      </c>
      <c r="J181">
        <v>-448.82119999999998</v>
      </c>
      <c r="K181">
        <v>1.1091530000000001</v>
      </c>
      <c r="L181">
        <v>368.40940000000001</v>
      </c>
      <c r="M181">
        <v>0.99940450000000003</v>
      </c>
      <c r="N181">
        <v>0</v>
      </c>
      <c r="O181">
        <v>3.2967629999999998E-2</v>
      </c>
      <c r="P181">
        <v>0.98355239999999999</v>
      </c>
      <c r="Q181">
        <v>0.17924109999999999</v>
      </c>
      <c r="R181">
        <v>-2.2306670000000001E-2</v>
      </c>
      <c r="S181">
        <v>3.0582889999999998</v>
      </c>
      <c r="T181">
        <v>-5.5049180000000003E-2</v>
      </c>
      <c r="U181">
        <v>-0.10034179999999999</v>
      </c>
      <c r="V181">
        <v>5.4982709999999997E-2</v>
      </c>
      <c r="W181">
        <v>0.18916920000000001</v>
      </c>
      <c r="X181">
        <v>0.98040400000000005</v>
      </c>
      <c r="Y181">
        <v>6.5709959999999998E-2</v>
      </c>
      <c r="Z181">
        <v>-1.184423E-3</v>
      </c>
      <c r="AA181">
        <v>0.99783809999999995</v>
      </c>
      <c r="AB181">
        <v>25</v>
      </c>
      <c r="AC181">
        <v>61.365499999999997</v>
      </c>
      <c r="AD181">
        <v>-1.1091547130149999</v>
      </c>
      <c r="AE181">
        <v>-2.0294999999999801</v>
      </c>
      <c r="AF181">
        <v>4.0502550430926902</v>
      </c>
      <c r="AG181">
        <v>-1.1091547130149999</v>
      </c>
      <c r="AH181">
        <v>61.245241856779003</v>
      </c>
      <c r="AI181">
        <v>91.035255481552397</v>
      </c>
      <c r="AJ181">
        <v>86.216439082310202</v>
      </c>
      <c r="AK181">
        <v>61.389041694645002</v>
      </c>
      <c r="AL181">
        <v>79.095696845657599</v>
      </c>
      <c r="AM181">
        <v>86.790118416769005</v>
      </c>
      <c r="AN181">
        <v>1.00000004392179</v>
      </c>
    </row>
    <row r="182" spans="1:40" x14ac:dyDescent="0.25">
      <c r="A182" t="str">
        <f>"20190312172900459"</f>
        <v>20190312172900459</v>
      </c>
      <c r="B182" t="str">
        <f>"1552382940447678"</f>
        <v>1552382940447678</v>
      </c>
      <c r="C182" t="s">
        <v>40</v>
      </c>
      <c r="D182">
        <v>3.1769859999999999</v>
      </c>
      <c r="E182">
        <v>0.5078376</v>
      </c>
      <c r="F182" t="s">
        <v>41</v>
      </c>
      <c r="G182">
        <v>-392.56740000000002</v>
      </c>
      <c r="H182" s="1">
        <v>-3.719098E-6</v>
      </c>
      <c r="I182">
        <v>366.5258</v>
      </c>
      <c r="J182">
        <v>-448.5684</v>
      </c>
      <c r="K182">
        <v>1.109151</v>
      </c>
      <c r="L182">
        <v>368.41680000000002</v>
      </c>
      <c r="M182">
        <v>0.99943020000000005</v>
      </c>
      <c r="N182">
        <v>0</v>
      </c>
      <c r="O182">
        <v>3.217072E-2</v>
      </c>
      <c r="P182">
        <v>0.98355009999999998</v>
      </c>
      <c r="Q182">
        <v>0.17919879999999999</v>
      </c>
      <c r="R182">
        <v>-2.2745060000000001E-2</v>
      </c>
      <c r="S182">
        <v>3.0588069999999998</v>
      </c>
      <c r="T182">
        <v>-6.031036E-2</v>
      </c>
      <c r="U182">
        <v>-0.10241699999999999</v>
      </c>
      <c r="V182">
        <v>5.4637709999999999E-2</v>
      </c>
      <c r="W182">
        <v>0.18915989999999999</v>
      </c>
      <c r="X182">
        <v>0.98042510000000005</v>
      </c>
      <c r="Y182">
        <v>6.5581979999999998E-2</v>
      </c>
      <c r="Z182">
        <v>-1.2803999999999999E-3</v>
      </c>
      <c r="AA182">
        <v>0.99784640000000002</v>
      </c>
      <c r="AB182">
        <v>25</v>
      </c>
      <c r="AC182">
        <v>56.000999999999898</v>
      </c>
      <c r="AD182">
        <v>-1.109154719098</v>
      </c>
      <c r="AE182">
        <v>-1.89100000000002</v>
      </c>
      <c r="AF182">
        <v>3.6902616080537198</v>
      </c>
      <c r="AG182">
        <v>-1.109154719098</v>
      </c>
      <c r="AH182">
        <v>55.889273105344202</v>
      </c>
      <c r="AI182">
        <v>91.134448809324098</v>
      </c>
      <c r="AJ182">
        <v>86.222352913684702</v>
      </c>
      <c r="AK182">
        <v>56.021951975725798</v>
      </c>
      <c r="AL182">
        <v>79.096239692282793</v>
      </c>
      <c r="AM182">
        <v>86.810286244793005</v>
      </c>
      <c r="AN182">
        <v>1.0000000619160301</v>
      </c>
    </row>
    <row r="183" spans="1:40" x14ac:dyDescent="0.25">
      <c r="A183" t="str">
        <f>"20190312172900481"</f>
        <v>20190312172900481</v>
      </c>
      <c r="B183" t="str">
        <f>"1552382940477932"</f>
        <v>1552382940477932</v>
      </c>
      <c r="C183" t="s">
        <v>40</v>
      </c>
      <c r="D183">
        <v>3.1989619999999999</v>
      </c>
      <c r="E183">
        <v>0.50765740000000004</v>
      </c>
      <c r="F183" t="s">
        <v>41</v>
      </c>
      <c r="G183">
        <v>-393.3021</v>
      </c>
      <c r="H183" s="1">
        <v>-3.3992259999999999E-6</v>
      </c>
      <c r="I183">
        <v>366.55200000000002</v>
      </c>
      <c r="J183">
        <v>-448.31209999999999</v>
      </c>
      <c r="K183">
        <v>1.109156</v>
      </c>
      <c r="L183">
        <v>368.42410000000001</v>
      </c>
      <c r="M183">
        <v>0.9994556</v>
      </c>
      <c r="N183">
        <v>0</v>
      </c>
      <c r="O183">
        <v>3.1362370000000001E-2</v>
      </c>
      <c r="P183">
        <v>0.98355870000000001</v>
      </c>
      <c r="Q183">
        <v>0.17908360000000001</v>
      </c>
      <c r="R183">
        <v>-2.3274309999999999E-2</v>
      </c>
      <c r="S183">
        <v>3.0589599999999999</v>
      </c>
      <c r="T183">
        <v>-6.1391000000000001E-2</v>
      </c>
      <c r="U183">
        <v>-0.10321039999999999</v>
      </c>
      <c r="V183">
        <v>5.4372459999999997E-2</v>
      </c>
      <c r="W183">
        <v>0.1890751</v>
      </c>
      <c r="X183">
        <v>0.98045610000000005</v>
      </c>
      <c r="Y183">
        <v>6.5031389999999994E-2</v>
      </c>
      <c r="Z183">
        <v>-1.281529E-3</v>
      </c>
      <c r="AA183">
        <v>0.99788239999999995</v>
      </c>
      <c r="AB183">
        <v>25</v>
      </c>
      <c r="AC183">
        <v>55.009999999999899</v>
      </c>
      <c r="AD183">
        <v>-1.109159399226</v>
      </c>
      <c r="AE183">
        <v>-1.8721000000000401</v>
      </c>
      <c r="AF183">
        <v>3.5950536073141901</v>
      </c>
      <c r="AG183">
        <v>-1.109159399226</v>
      </c>
      <c r="AH183">
        <v>54.901925983533197</v>
      </c>
      <c r="AI183">
        <v>91.154891269765301</v>
      </c>
      <c r="AJ183">
        <v>86.253542163313497</v>
      </c>
      <c r="AK183">
        <v>55.030683456719899</v>
      </c>
      <c r="AL183">
        <v>79.101186548829304</v>
      </c>
      <c r="AM183">
        <v>86.825839781320994</v>
      </c>
      <c r="AN183">
        <v>0.99999996093683496</v>
      </c>
    </row>
    <row r="184" spans="1:40" x14ac:dyDescent="0.25">
      <c r="A184" t="str">
        <f>"20190312172900504"</f>
        <v>20190312172900504</v>
      </c>
      <c r="B184" t="str">
        <f>"1552382940497452"</f>
        <v>1552382940497452</v>
      </c>
      <c r="C184" t="s">
        <v>40</v>
      </c>
      <c r="D184">
        <v>3.1917909999999998</v>
      </c>
      <c r="E184">
        <v>0.50758700000000001</v>
      </c>
      <c r="F184" t="s">
        <v>41</v>
      </c>
      <c r="G184">
        <v>-392.83210000000003</v>
      </c>
      <c r="H184" s="1">
        <v>-3.6021269999999999E-6</v>
      </c>
      <c r="I184">
        <v>366.54489999999998</v>
      </c>
      <c r="J184">
        <v>-448.06509999999997</v>
      </c>
      <c r="K184">
        <v>1.1091599999999999</v>
      </c>
      <c r="L184">
        <v>368.43099999999998</v>
      </c>
      <c r="M184">
        <v>0.99947940000000002</v>
      </c>
      <c r="N184">
        <v>0</v>
      </c>
      <c r="O184">
        <v>3.0583430000000002E-2</v>
      </c>
      <c r="P184">
        <v>0.98356560000000004</v>
      </c>
      <c r="Q184">
        <v>0.1789935</v>
      </c>
      <c r="R184">
        <v>-2.366646E-2</v>
      </c>
      <c r="S184">
        <v>3.0588679999999999</v>
      </c>
      <c r="T184">
        <v>-6.1152940000000003E-2</v>
      </c>
      <c r="U184">
        <v>-0.103607199999999</v>
      </c>
      <c r="V184">
        <v>5.3999489999999997E-2</v>
      </c>
      <c r="W184">
        <v>0.18901100000000001</v>
      </c>
      <c r="X184">
        <v>0.9804891</v>
      </c>
      <c r="Y184">
        <v>6.438439E-2</v>
      </c>
      <c r="Z184">
        <v>-1.2545659999999999E-3</v>
      </c>
      <c r="AA184">
        <v>0.99792440000000004</v>
      </c>
      <c r="AB184">
        <v>25</v>
      </c>
      <c r="AC184">
        <v>55.232999999999898</v>
      </c>
      <c r="AD184">
        <v>-1.1091636021269999</v>
      </c>
      <c r="AE184">
        <v>-1.8860999999999899</v>
      </c>
      <c r="AF184">
        <v>3.5730821624126499</v>
      </c>
      <c r="AG184">
        <v>-1.1091636021269999</v>
      </c>
      <c r="AH184">
        <v>55.1272686072979</v>
      </c>
      <c r="AI184">
        <v>91.150225770226996</v>
      </c>
      <c r="AJ184">
        <v>86.291552740724597</v>
      </c>
      <c r="AK184">
        <v>55.254075905192799</v>
      </c>
      <c r="AL184">
        <v>79.104926957823395</v>
      </c>
      <c r="AM184">
        <v>86.847674876476702</v>
      </c>
      <c r="AN184">
        <v>0.99999998913003496</v>
      </c>
    </row>
    <row r="185" spans="1:40" x14ac:dyDescent="0.25">
      <c r="A185" t="str">
        <f>"20190312172900526"</f>
        <v>20190312172900526</v>
      </c>
      <c r="B185" t="str">
        <f>"1552382940517948"</f>
        <v>1552382940517948</v>
      </c>
      <c r="C185" t="s">
        <v>40</v>
      </c>
      <c r="D185">
        <v>3.1971400000000001</v>
      </c>
      <c r="E185">
        <v>0.50778480000000004</v>
      </c>
      <c r="F185" t="s">
        <v>41</v>
      </c>
      <c r="G185">
        <v>-391.7389</v>
      </c>
      <c r="H185" s="1">
        <v>-4.0770119999999996E-6</v>
      </c>
      <c r="I185">
        <v>366.51170000000002</v>
      </c>
      <c r="J185">
        <v>-447.80669999999998</v>
      </c>
      <c r="K185">
        <v>1.1091629999999999</v>
      </c>
      <c r="L185">
        <v>368.43799999999999</v>
      </c>
      <c r="M185">
        <v>0.99950369999999999</v>
      </c>
      <c r="N185">
        <v>0</v>
      </c>
      <c r="O185">
        <v>2.9768079999999999E-2</v>
      </c>
      <c r="P185">
        <v>0.98362959999999999</v>
      </c>
      <c r="Q185">
        <v>0.1785553</v>
      </c>
      <c r="R185">
        <v>-2.4312009999999998E-2</v>
      </c>
      <c r="S185">
        <v>3.0585939999999998</v>
      </c>
      <c r="T185">
        <v>-6.0229060000000001E-2</v>
      </c>
      <c r="U185">
        <v>-0.1042175</v>
      </c>
      <c r="V185">
        <v>5.3844980000000001E-2</v>
      </c>
      <c r="W185">
        <v>0.1885975</v>
      </c>
      <c r="X185">
        <v>0.98057720000000004</v>
      </c>
      <c r="Y185">
        <v>6.3773109999999994E-2</v>
      </c>
      <c r="Z185">
        <v>-1.213659E-3</v>
      </c>
      <c r="AA185">
        <v>0.99796370000000001</v>
      </c>
      <c r="AB185">
        <v>26</v>
      </c>
      <c r="AC185">
        <v>56.067799999999899</v>
      </c>
      <c r="AD185">
        <v>-1.1091670770119999</v>
      </c>
      <c r="AE185">
        <v>-1.9263000000000201</v>
      </c>
      <c r="AF185">
        <v>3.5931611059671198</v>
      </c>
      <c r="AG185">
        <v>-1.1091670770119999</v>
      </c>
      <c r="AH185">
        <v>55.963728972565598</v>
      </c>
      <c r="AI185">
        <v>91.133086405307196</v>
      </c>
      <c r="AJ185">
        <v>86.3263567754896</v>
      </c>
      <c r="AK185">
        <v>56.089927962629297</v>
      </c>
      <c r="AL185">
        <v>79.129052481973702</v>
      </c>
      <c r="AM185">
        <v>86.856958430293801</v>
      </c>
      <c r="AN185">
        <v>0.99999997201864399</v>
      </c>
    </row>
    <row r="186" spans="1:40" x14ac:dyDescent="0.25">
      <c r="A186" t="str">
        <f>"20190312172900549"</f>
        <v>20190312172900549</v>
      </c>
      <c r="B186" t="str">
        <f>"1552382940537467"</f>
        <v>1552382940537467</v>
      </c>
      <c r="C186" t="s">
        <v>40</v>
      </c>
      <c r="D186">
        <v>3.2046779999999999</v>
      </c>
      <c r="E186">
        <v>0.50771469999999996</v>
      </c>
      <c r="F186" t="s">
        <v>41</v>
      </c>
      <c r="G186">
        <v>-394.13529999999997</v>
      </c>
      <c r="H186" s="1">
        <v>-3.0440660000000001E-6</v>
      </c>
      <c r="I186">
        <v>366.53910000000002</v>
      </c>
      <c r="J186">
        <v>-447.54610000000002</v>
      </c>
      <c r="K186">
        <v>1.1091610000000001</v>
      </c>
      <c r="L186">
        <v>368.44490000000002</v>
      </c>
      <c r="M186">
        <v>0.99952759999999996</v>
      </c>
      <c r="N186">
        <v>0</v>
      </c>
      <c r="O186">
        <v>2.8946489999999998E-2</v>
      </c>
      <c r="P186">
        <v>0.98363060000000002</v>
      </c>
      <c r="Q186">
        <v>0.17853769999999999</v>
      </c>
      <c r="R186">
        <v>-2.4398909999999999E-2</v>
      </c>
      <c r="S186">
        <v>3.058716</v>
      </c>
      <c r="T186">
        <v>-6.3210959999999997E-2</v>
      </c>
      <c r="U186">
        <v>-0.1082153</v>
      </c>
      <c r="V186">
        <v>5.3124860000000003E-2</v>
      </c>
      <c r="W186">
        <v>0.18860270000000001</v>
      </c>
      <c r="X186">
        <v>0.98061549999999997</v>
      </c>
      <c r="Y186">
        <v>6.4252439999999994E-2</v>
      </c>
      <c r="Z186">
        <v>-1.261636E-3</v>
      </c>
      <c r="AA186">
        <v>0.99793290000000001</v>
      </c>
      <c r="AB186">
        <v>26</v>
      </c>
      <c r="AC186">
        <v>53.410800000000002</v>
      </c>
      <c r="AD186">
        <v>-1.109164044066</v>
      </c>
      <c r="AE186">
        <v>-1.9057999999999899</v>
      </c>
      <c r="AF186">
        <v>3.4496531866815299</v>
      </c>
      <c r="AG186">
        <v>-1.109164044066</v>
      </c>
      <c r="AH186">
        <v>53.310286269415798</v>
      </c>
      <c r="AI186">
        <v>91.189426624997395</v>
      </c>
      <c r="AJ186">
        <v>86.297611540634506</v>
      </c>
      <c r="AK186">
        <v>53.433294621538103</v>
      </c>
      <c r="AL186">
        <v>79.128749341480201</v>
      </c>
      <c r="AM186">
        <v>86.899031591764</v>
      </c>
      <c r="AN186">
        <v>0.99999999401877904</v>
      </c>
    </row>
    <row r="187" spans="1:40" x14ac:dyDescent="0.25">
      <c r="A187" t="str">
        <f>"20190312172900571"</f>
        <v>20190312172900571</v>
      </c>
      <c r="B187" t="str">
        <f>"1552382940557967"</f>
        <v>1552382940557967</v>
      </c>
      <c r="C187" t="s">
        <v>40</v>
      </c>
      <c r="D187">
        <v>3.1716389999999999</v>
      </c>
      <c r="E187">
        <v>0.50767479999999998</v>
      </c>
      <c r="F187" t="s">
        <v>41</v>
      </c>
      <c r="G187">
        <v>-393.25900000000001</v>
      </c>
      <c r="H187" s="1">
        <v>-3.4223799999999999E-6</v>
      </c>
      <c r="I187">
        <v>366.52569999999997</v>
      </c>
      <c r="J187">
        <v>-447.28539999999998</v>
      </c>
      <c r="K187">
        <v>1.109162</v>
      </c>
      <c r="L187">
        <v>368.45150000000001</v>
      </c>
      <c r="M187">
        <v>0.99955090000000002</v>
      </c>
      <c r="N187">
        <v>0</v>
      </c>
      <c r="O187">
        <v>2.812454E-2</v>
      </c>
      <c r="P187">
        <v>0.98365159999999996</v>
      </c>
      <c r="Q187">
        <v>0.17838409999999999</v>
      </c>
      <c r="R187">
        <v>-2.467426E-2</v>
      </c>
      <c r="S187">
        <v>3.0585629999999999</v>
      </c>
      <c r="T187">
        <v>-6.2490820000000002E-2</v>
      </c>
      <c r="U187">
        <v>-0.10812380000000001</v>
      </c>
      <c r="V187">
        <v>5.2593050000000002E-2</v>
      </c>
      <c r="W187">
        <v>0.18846959999999999</v>
      </c>
      <c r="X187">
        <v>0.98066969999999998</v>
      </c>
      <c r="Y187">
        <v>6.3404520000000006E-2</v>
      </c>
      <c r="Z187">
        <v>-1.221883E-3</v>
      </c>
      <c r="AA187">
        <v>0.99798719999999996</v>
      </c>
      <c r="AB187">
        <v>26</v>
      </c>
      <c r="AC187">
        <v>54.026399999999903</v>
      </c>
      <c r="AD187">
        <v>-1.1091654223799901</v>
      </c>
      <c r="AE187">
        <v>-1.9258000000000299</v>
      </c>
      <c r="AF187">
        <v>3.4431376920002301</v>
      </c>
      <c r="AG187">
        <v>-1.1091654223799901</v>
      </c>
      <c r="AH187">
        <v>53.928160197688896</v>
      </c>
      <c r="AI187">
        <v>91.175869133591604</v>
      </c>
      <c r="AJ187">
        <v>86.346809343683304</v>
      </c>
      <c r="AK187">
        <v>54.049346965600598</v>
      </c>
      <c r="AL187">
        <v>79.1365140747194</v>
      </c>
      <c r="AM187">
        <v>86.930183714369093</v>
      </c>
      <c r="AN187">
        <v>0.99999993976527402</v>
      </c>
    </row>
    <row r="188" spans="1:40" x14ac:dyDescent="0.25">
      <c r="A188" t="str">
        <f>"20190312172900594"</f>
        <v>20190312172900594</v>
      </c>
      <c r="B188" t="str">
        <f>"1552382940587244"</f>
        <v>1552382940587244</v>
      </c>
      <c r="C188" t="s">
        <v>40</v>
      </c>
      <c r="D188">
        <v>3.1985250000000001</v>
      </c>
      <c r="E188">
        <v>0.50761729999999905</v>
      </c>
      <c r="F188" t="s">
        <v>41</v>
      </c>
      <c r="G188">
        <v>-393.66250000000002</v>
      </c>
      <c r="H188" s="1">
        <v>-3.2467939999999998E-6</v>
      </c>
      <c r="I188">
        <v>366.53969999999998</v>
      </c>
      <c r="J188">
        <v>-447.02690000000001</v>
      </c>
      <c r="K188">
        <v>1.109162</v>
      </c>
      <c r="L188">
        <v>368.45780000000002</v>
      </c>
      <c r="M188">
        <v>0.9995733</v>
      </c>
      <c r="N188">
        <v>0</v>
      </c>
      <c r="O188">
        <v>2.7309759999999999E-2</v>
      </c>
      <c r="P188">
        <v>0.98373569999999999</v>
      </c>
      <c r="Q188">
        <v>0.17790159999999999</v>
      </c>
      <c r="R188">
        <v>-2.4799379999999999E-2</v>
      </c>
      <c r="S188">
        <v>3.0585939999999998</v>
      </c>
      <c r="T188">
        <v>-6.3265559999999998E-2</v>
      </c>
      <c r="U188">
        <v>-0.10903930000000001</v>
      </c>
      <c r="V188">
        <v>5.1919559999999997E-2</v>
      </c>
      <c r="W188">
        <v>0.18800649999999999</v>
      </c>
      <c r="X188">
        <v>0.98079450000000001</v>
      </c>
      <c r="Y188">
        <v>6.2888840000000001E-2</v>
      </c>
      <c r="Z188">
        <v>-1.214833E-3</v>
      </c>
      <c r="AA188">
        <v>0.99801980000000001</v>
      </c>
      <c r="AB188">
        <v>26</v>
      </c>
      <c r="AC188">
        <v>53.364399999999897</v>
      </c>
      <c r="AD188">
        <v>-1.1091652467939901</v>
      </c>
      <c r="AE188">
        <v>-1.9181000000000299</v>
      </c>
      <c r="AF188">
        <v>3.37337629137319</v>
      </c>
      <c r="AG188">
        <v>-1.1091652467939901</v>
      </c>
      <c r="AH188">
        <v>53.2691254267014</v>
      </c>
      <c r="AI188">
        <v>91.190451567823104</v>
      </c>
      <c r="AJ188">
        <v>86.376466272487306</v>
      </c>
      <c r="AK188">
        <v>53.387354671996498</v>
      </c>
      <c r="AL188">
        <v>79.163531026545598</v>
      </c>
      <c r="AM188">
        <v>86.969805962421503</v>
      </c>
      <c r="AN188">
        <v>0.999999967991546</v>
      </c>
    </row>
    <row r="189" spans="1:40" x14ac:dyDescent="0.25">
      <c r="A189" t="str">
        <f>"20190312172900615"</f>
        <v>20190312172900615</v>
      </c>
      <c r="B189" t="str">
        <f>"1552382940607740"</f>
        <v>1552382940607740</v>
      </c>
      <c r="C189" t="s">
        <v>40</v>
      </c>
      <c r="D189">
        <v>3.1671490000000002</v>
      </c>
      <c r="E189">
        <v>0.4964787</v>
      </c>
      <c r="F189" t="s">
        <v>41</v>
      </c>
      <c r="G189">
        <v>-395.73149999999998</v>
      </c>
      <c r="H189" s="1">
        <v>-2.3427149999999998E-6</v>
      </c>
      <c r="I189">
        <v>366.63279999999997</v>
      </c>
      <c r="J189">
        <v>-446.78289999999998</v>
      </c>
      <c r="K189">
        <v>1.109162</v>
      </c>
      <c r="L189">
        <v>368.46359999999999</v>
      </c>
      <c r="M189">
        <v>0.99959390000000004</v>
      </c>
      <c r="N189">
        <v>0</v>
      </c>
      <c r="O189">
        <v>2.6540830000000001E-2</v>
      </c>
      <c r="P189">
        <v>0.9837013</v>
      </c>
      <c r="Q189">
        <v>0.17807890000000001</v>
      </c>
      <c r="R189">
        <v>-2.4892999999999998E-2</v>
      </c>
      <c r="S189">
        <v>3.0588380000000002</v>
      </c>
      <c r="T189">
        <v>-6.6141370000000005E-2</v>
      </c>
      <c r="U189">
        <v>-0.1088257</v>
      </c>
      <c r="V189">
        <v>5.1256969999999999E-2</v>
      </c>
      <c r="W189">
        <v>0.18819939999999999</v>
      </c>
      <c r="X189">
        <v>0.98079240000000001</v>
      </c>
      <c r="Y189">
        <v>6.2047239999999997E-2</v>
      </c>
      <c r="Z189">
        <v>-1.2442270000000001E-3</v>
      </c>
      <c r="AA189">
        <v>0.99807239999999997</v>
      </c>
      <c r="AB189">
        <v>26</v>
      </c>
      <c r="AC189">
        <v>51.051400000000001</v>
      </c>
      <c r="AD189">
        <v>-1.109164342715</v>
      </c>
      <c r="AE189">
        <v>-1.83080000000001</v>
      </c>
      <c r="AF189">
        <v>3.1836735557117599</v>
      </c>
      <c r="AG189">
        <v>-1.109164342715</v>
      </c>
      <c r="AH189">
        <v>50.960796118660397</v>
      </c>
      <c r="AI189">
        <v>91.244423436922901</v>
      </c>
      <c r="AJ189">
        <v>86.425206885657204</v>
      </c>
      <c r="AK189">
        <v>51.072191688786603</v>
      </c>
      <c r="AL189">
        <v>79.152278270234106</v>
      </c>
      <c r="AM189">
        <v>87.008399773832707</v>
      </c>
      <c r="AN189">
        <v>1.0000000115158501</v>
      </c>
    </row>
    <row r="190" spans="1:40" x14ac:dyDescent="0.25">
      <c r="A190" t="str">
        <f>"20190312172900638"</f>
        <v>20190312172900638</v>
      </c>
      <c r="B190" t="str">
        <f>"1552382940627260"</f>
        <v>1552382940627260</v>
      </c>
      <c r="C190" t="s">
        <v>40</v>
      </c>
      <c r="D190">
        <v>3.1740279999999998</v>
      </c>
      <c r="E190">
        <v>0.49197400000000002</v>
      </c>
      <c r="F190" t="s">
        <v>43</v>
      </c>
      <c r="G190">
        <v>-423.80610000000001</v>
      </c>
      <c r="H190">
        <v>-0.05</v>
      </c>
      <c r="I190">
        <v>368.34280000000001</v>
      </c>
      <c r="J190">
        <v>-446.51339999999999</v>
      </c>
      <c r="K190">
        <v>1.1091580000000001</v>
      </c>
      <c r="L190">
        <v>368.46980000000002</v>
      </c>
      <c r="M190">
        <v>0.99961580000000005</v>
      </c>
      <c r="N190">
        <v>0</v>
      </c>
      <c r="O190">
        <v>2.5691439999999999E-2</v>
      </c>
      <c r="P190">
        <v>0.98370159999999995</v>
      </c>
      <c r="Q190">
        <v>0.17807239999999999</v>
      </c>
      <c r="R190">
        <v>-2.4929719999999999E-2</v>
      </c>
      <c r="S190">
        <v>3.0773929999999998</v>
      </c>
      <c r="T190">
        <v>-0.15525220000000001</v>
      </c>
      <c r="U190">
        <v>-1.6174319999999999E-2</v>
      </c>
      <c r="V190">
        <v>5.0459280000000002E-2</v>
      </c>
      <c r="W190">
        <v>0.1882093</v>
      </c>
      <c r="X190">
        <v>0.98083189999999998</v>
      </c>
      <c r="Y190">
        <v>3.0874579999999999E-2</v>
      </c>
      <c r="Z190">
        <v>-2.0735670000000001E-3</v>
      </c>
      <c r="AA190">
        <v>0.99952110000000005</v>
      </c>
      <c r="AB190">
        <v>26</v>
      </c>
      <c r="AC190">
        <v>22.707299999999901</v>
      </c>
      <c r="AD190">
        <v>-1.1591579999999999</v>
      </c>
      <c r="AE190">
        <v>-0.12700000000000899</v>
      </c>
      <c r="AF190">
        <v>0.70852659817414798</v>
      </c>
      <c r="AG190">
        <v>-1.1591579999999999</v>
      </c>
      <c r="AH190">
        <v>22.6375521038524</v>
      </c>
      <c r="AI190">
        <v>92.929843509193006</v>
      </c>
      <c r="AJ190">
        <v>88.207300179993197</v>
      </c>
      <c r="AK190">
        <v>22.678280853360899</v>
      </c>
      <c r="AL190">
        <v>79.151701119564294</v>
      </c>
      <c r="AM190">
        <v>87.054992537526601</v>
      </c>
      <c r="AN190">
        <v>1.0000000478011</v>
      </c>
    </row>
    <row r="191" spans="1:40" x14ac:dyDescent="0.25">
      <c r="A191" t="str">
        <f>"20190312172900660"</f>
        <v>20190312172900660</v>
      </c>
      <c r="B191" t="str">
        <f>"1552382940657516"</f>
        <v>1552382940657516</v>
      </c>
      <c r="C191" t="s">
        <v>40</v>
      </c>
      <c r="D191">
        <v>3.1761569999999999</v>
      </c>
      <c r="E191">
        <v>0.48994359999999998</v>
      </c>
      <c r="F191" t="s">
        <v>43</v>
      </c>
      <c r="G191">
        <v>-421.41899999999998</v>
      </c>
      <c r="H191">
        <v>-0.05</v>
      </c>
      <c r="I191">
        <v>368.62520000000001</v>
      </c>
      <c r="J191">
        <v>-446.26459999999997</v>
      </c>
      <c r="K191">
        <v>1.1091599999999999</v>
      </c>
      <c r="L191">
        <v>368.47539999999998</v>
      </c>
      <c r="M191">
        <v>0.99963570000000002</v>
      </c>
      <c r="N191">
        <v>0</v>
      </c>
      <c r="O191">
        <v>2.4907260000000001E-2</v>
      </c>
      <c r="P191">
        <v>0.98370670000000004</v>
      </c>
      <c r="Q191">
        <v>0.17798240000000001</v>
      </c>
      <c r="R191">
        <v>-2.5371830000000001E-2</v>
      </c>
      <c r="S191">
        <v>3.0759280000000002</v>
      </c>
      <c r="T191">
        <v>-0.14208289999999901</v>
      </c>
      <c r="U191">
        <v>1.9042969999999999E-2</v>
      </c>
      <c r="V191">
        <v>5.0130899999999999E-2</v>
      </c>
      <c r="W191">
        <v>0.18813250000000001</v>
      </c>
      <c r="X191">
        <v>0.9808635</v>
      </c>
      <c r="Y191">
        <v>1.867274E-2</v>
      </c>
      <c r="Z191">
        <v>-1.580871E-3</v>
      </c>
      <c r="AA191">
        <v>0.99982439999999995</v>
      </c>
      <c r="AB191">
        <v>26</v>
      </c>
      <c r="AC191">
        <v>24.845599999999902</v>
      </c>
      <c r="AD191">
        <v>-1.15916</v>
      </c>
      <c r="AE191">
        <v>0.14980000000002699</v>
      </c>
      <c r="AF191">
        <v>0.46809690238222901</v>
      </c>
      <c r="AG191">
        <v>-1.15916</v>
      </c>
      <c r="AH191">
        <v>24.787670506332201</v>
      </c>
      <c r="AI191">
        <v>92.676928156313593</v>
      </c>
      <c r="AJ191">
        <v>88.918139990372495</v>
      </c>
      <c r="AK191">
        <v>24.819173550827799</v>
      </c>
      <c r="AL191">
        <v>79.156181771150898</v>
      </c>
      <c r="AM191">
        <v>87.074218808074804</v>
      </c>
      <c r="AN191">
        <v>1.00000007516165</v>
      </c>
    </row>
    <row r="192" spans="1:40" x14ac:dyDescent="0.25">
      <c r="A192" t="str">
        <f>"20190312172900682"</f>
        <v>20190312172900682</v>
      </c>
      <c r="B192" t="str">
        <f>"1552382940678011"</f>
        <v>1552382940678011</v>
      </c>
      <c r="C192" t="s">
        <v>40</v>
      </c>
      <c r="D192">
        <v>3.4039229999999998</v>
      </c>
      <c r="E192">
        <v>0.48950880000000002</v>
      </c>
      <c r="F192" t="s">
        <v>43</v>
      </c>
      <c r="G192">
        <v>-420.16789999999997</v>
      </c>
      <c r="H192">
        <v>-0.05</v>
      </c>
      <c r="I192">
        <v>368.76049999999998</v>
      </c>
      <c r="J192">
        <v>-446.00740000000002</v>
      </c>
      <c r="K192">
        <v>1.1091530000000001</v>
      </c>
      <c r="L192">
        <v>368.48090000000002</v>
      </c>
      <c r="M192">
        <v>0.99965539999999997</v>
      </c>
      <c r="N192">
        <v>0</v>
      </c>
      <c r="O192">
        <v>2.409681E-2</v>
      </c>
      <c r="P192">
        <v>0.98366799999999999</v>
      </c>
      <c r="Q192">
        <v>0.1780901</v>
      </c>
      <c r="R192">
        <v>-2.6104120000000001E-2</v>
      </c>
      <c r="S192">
        <v>3.075256</v>
      </c>
      <c r="T192">
        <v>-0.136596</v>
      </c>
      <c r="U192">
        <v>3.3599850000000001E-2</v>
      </c>
      <c r="V192">
        <v>5.0066180000000002E-2</v>
      </c>
      <c r="W192">
        <v>0.1882519</v>
      </c>
      <c r="X192">
        <v>0.98084380000000004</v>
      </c>
      <c r="Y192">
        <v>1.3137930000000001E-2</v>
      </c>
      <c r="Z192">
        <v>-1.3613379999999999E-3</v>
      </c>
      <c r="AA192">
        <v>0.99991269999999999</v>
      </c>
      <c r="AB192">
        <v>26</v>
      </c>
      <c r="AC192">
        <v>25.839500000000001</v>
      </c>
      <c r="AD192">
        <v>-1.1591530000000001</v>
      </c>
      <c r="AE192">
        <v>0.27959999999995899</v>
      </c>
      <c r="AF192">
        <v>0.34247536130794698</v>
      </c>
      <c r="AG192">
        <v>-1.1591530000000001</v>
      </c>
      <c r="AH192">
        <v>25.786846740254902</v>
      </c>
      <c r="AI192">
        <v>92.573562092651201</v>
      </c>
      <c r="AJ192">
        <v>89.239098932495494</v>
      </c>
      <c r="AK192">
        <v>25.8151581412144</v>
      </c>
      <c r="AL192">
        <v>79.149215152409496</v>
      </c>
      <c r="AM192">
        <v>87.077930914077299</v>
      </c>
      <c r="AN192">
        <v>0.99999998011592095</v>
      </c>
    </row>
    <row r="193" spans="1:40" x14ac:dyDescent="0.25">
      <c r="A193" t="str">
        <f>"20190312172900704"</f>
        <v>20190312172900704</v>
      </c>
      <c r="B193" t="str">
        <f>"1552382940697532"</f>
        <v>1552382940697532</v>
      </c>
      <c r="C193" t="s">
        <v>40</v>
      </c>
      <c r="D193">
        <v>3.1504349999999999</v>
      </c>
      <c r="E193">
        <v>0.48918</v>
      </c>
      <c r="F193" t="s">
        <v>43</v>
      </c>
      <c r="G193">
        <v>-419.88380000000001</v>
      </c>
      <c r="H193">
        <v>-0.05</v>
      </c>
      <c r="I193">
        <v>368.77269999999999</v>
      </c>
      <c r="J193">
        <v>-445.75580000000002</v>
      </c>
      <c r="K193">
        <v>1.1091599999999999</v>
      </c>
      <c r="L193">
        <v>368.48599999999999</v>
      </c>
      <c r="M193">
        <v>0.99967399999999995</v>
      </c>
      <c r="N193">
        <v>0</v>
      </c>
      <c r="O193">
        <v>2.3303890000000001E-2</v>
      </c>
      <c r="P193">
        <v>0.98365279999999999</v>
      </c>
      <c r="Q193">
        <v>0.17812720000000001</v>
      </c>
      <c r="R193">
        <v>-2.6420539999999999E-2</v>
      </c>
      <c r="S193">
        <v>3.0754389999999998</v>
      </c>
      <c r="T193">
        <v>-0.1364628</v>
      </c>
      <c r="U193">
        <v>3.4362789999999997E-2</v>
      </c>
      <c r="V193">
        <v>4.9602889999999997E-2</v>
      </c>
      <c r="W193">
        <v>0.188301</v>
      </c>
      <c r="X193">
        <v>0.98085789999999995</v>
      </c>
      <c r="Y193">
        <v>1.209931E-2</v>
      </c>
      <c r="Z193">
        <v>-1.301742E-3</v>
      </c>
      <c r="AA193">
        <v>0.99992599999999998</v>
      </c>
      <c r="AB193">
        <v>26</v>
      </c>
      <c r="AC193">
        <v>25.872</v>
      </c>
      <c r="AD193">
        <v>-1.15916</v>
      </c>
      <c r="AE193">
        <v>0.28669999999999601</v>
      </c>
      <c r="AF193">
        <v>0.31569528013176301</v>
      </c>
      <c r="AG193">
        <v>-1.15916</v>
      </c>
      <c r="AH193">
        <v>25.8198311881591</v>
      </c>
      <c r="AI193">
        <v>92.5703288231784</v>
      </c>
      <c r="AJ193">
        <v>89.299487833533504</v>
      </c>
      <c r="AK193">
        <v>25.847765822224002</v>
      </c>
      <c r="AL193">
        <v>79.1463505539663</v>
      </c>
      <c r="AM193">
        <v>87.104965764200898</v>
      </c>
      <c r="AN193">
        <v>0.99999996664488</v>
      </c>
    </row>
    <row r="194" spans="1:40" x14ac:dyDescent="0.25">
      <c r="A194" t="str">
        <f>"20190312172900727"</f>
        <v>20190312172900727</v>
      </c>
      <c r="B194" t="str">
        <f>"1552382940718028"</f>
        <v>1552382940718028</v>
      </c>
      <c r="C194" t="s">
        <v>40</v>
      </c>
      <c r="D194">
        <v>3.1500149999999998</v>
      </c>
      <c r="E194">
        <v>0.48877860000000001</v>
      </c>
      <c r="F194" t="s">
        <v>43</v>
      </c>
      <c r="G194">
        <v>-419.50830000000002</v>
      </c>
      <c r="H194">
        <v>-0.05</v>
      </c>
      <c r="I194">
        <v>368.78870000000001</v>
      </c>
      <c r="J194">
        <v>-445.48919999999998</v>
      </c>
      <c r="K194">
        <v>1.109159</v>
      </c>
      <c r="L194">
        <v>368.49130000000002</v>
      </c>
      <c r="M194">
        <v>0.99969319999999895</v>
      </c>
      <c r="N194">
        <v>0</v>
      </c>
      <c r="O194">
        <v>2.2463380000000002E-2</v>
      </c>
      <c r="P194">
        <v>0.98358639999999997</v>
      </c>
      <c r="Q194">
        <v>0.178364299999999</v>
      </c>
      <c r="R194">
        <v>-2.7277989999999998E-2</v>
      </c>
      <c r="S194">
        <v>3.0754090000000001</v>
      </c>
      <c r="T194">
        <v>-0.1358182</v>
      </c>
      <c r="U194">
        <v>3.5461430000000002E-2</v>
      </c>
      <c r="V194">
        <v>4.963335E-2</v>
      </c>
      <c r="W194">
        <v>0.1885521</v>
      </c>
      <c r="X194">
        <v>0.98080809999999996</v>
      </c>
      <c r="Y194">
        <v>1.0903629999999999E-2</v>
      </c>
      <c r="Z194">
        <v>-1.232127E-3</v>
      </c>
      <c r="AA194">
        <v>0.99993980000000005</v>
      </c>
      <c r="AB194">
        <v>26</v>
      </c>
      <c r="AC194">
        <v>25.980899999999899</v>
      </c>
      <c r="AD194">
        <v>-1.1591590000000001</v>
      </c>
      <c r="AE194">
        <v>0.29739999999998101</v>
      </c>
      <c r="AF194">
        <v>0.28575691809828202</v>
      </c>
      <c r="AG194">
        <v>-1.1591590000000001</v>
      </c>
      <c r="AH194">
        <v>25.929416826826799</v>
      </c>
      <c r="AI194">
        <v>92.559513934896003</v>
      </c>
      <c r="AJ194">
        <v>89.368593489963203</v>
      </c>
      <c r="AK194">
        <v>25.9568866311592</v>
      </c>
      <c r="AL194">
        <v>79.131700950695006</v>
      </c>
      <c r="AM194">
        <v>87.103044183626494</v>
      </c>
      <c r="AN194">
        <v>0.999999946436119</v>
      </c>
    </row>
    <row r="195" spans="1:40" x14ac:dyDescent="0.25">
      <c r="A195" t="str">
        <f>"20190312172900749"</f>
        <v>20190312172900749</v>
      </c>
      <c r="B195" t="str">
        <f>"1552382940737551"</f>
        <v>1552382940737551</v>
      </c>
      <c r="C195" t="s">
        <v>40</v>
      </c>
      <c r="D195">
        <v>3.1655099999999998</v>
      </c>
      <c r="E195">
        <v>0.48859469999999999</v>
      </c>
      <c r="F195" t="s">
        <v>43</v>
      </c>
      <c r="G195">
        <v>-419.0641</v>
      </c>
      <c r="H195">
        <v>-0.05</v>
      </c>
      <c r="I195">
        <v>368.79989999999998</v>
      </c>
      <c r="J195">
        <v>-445.24270000000001</v>
      </c>
      <c r="K195">
        <v>1.109156</v>
      </c>
      <c r="L195">
        <v>368.49599999999998</v>
      </c>
      <c r="M195">
        <v>0.99971010000000005</v>
      </c>
      <c r="N195">
        <v>0</v>
      </c>
      <c r="O195">
        <v>2.168722E-2</v>
      </c>
      <c r="P195">
        <v>0.98355079999999995</v>
      </c>
      <c r="Q195">
        <v>0.17845549999999999</v>
      </c>
      <c r="R195">
        <v>-2.795928E-2</v>
      </c>
      <c r="S195">
        <v>3.0755309999999998</v>
      </c>
      <c r="T195">
        <v>-0.13491120000000001</v>
      </c>
      <c r="U195">
        <v>3.5919189999999997E-2</v>
      </c>
      <c r="V195">
        <v>4.9551419999999999E-2</v>
      </c>
      <c r="W195">
        <v>0.1886602</v>
      </c>
      <c r="X195">
        <v>0.98079150000000004</v>
      </c>
      <c r="Y195">
        <v>9.9810049999999994E-3</v>
      </c>
      <c r="Z195">
        <v>-1.1696079999999999E-3</v>
      </c>
      <c r="AA195">
        <v>0.99994950000000005</v>
      </c>
      <c r="AB195">
        <v>26</v>
      </c>
      <c r="AC195">
        <v>26.178599999999999</v>
      </c>
      <c r="AD195">
        <v>-1.1591559999999901</v>
      </c>
      <c r="AE195">
        <v>0.30389999999999801</v>
      </c>
      <c r="AF195">
        <v>0.26342718557343298</v>
      </c>
      <c r="AG195">
        <v>-1.1591559999999901</v>
      </c>
      <c r="AH195">
        <v>26.1278138279343</v>
      </c>
      <c r="AI195">
        <v>92.540122812178296</v>
      </c>
      <c r="AJ195">
        <v>89.422349123666606</v>
      </c>
      <c r="AK195">
        <v>26.154840698074</v>
      </c>
      <c r="AL195">
        <v>79.125394569776105</v>
      </c>
      <c r="AM195">
        <v>87.107769208861399</v>
      </c>
      <c r="AN195">
        <v>0.99999999038015297</v>
      </c>
    </row>
    <row r="196" spans="1:40" x14ac:dyDescent="0.25">
      <c r="A196" t="str">
        <f>"20190312172900773"</f>
        <v>20190312172900773</v>
      </c>
      <c r="B196" t="str">
        <f>"1552382940767804"</f>
        <v>1552382940767804</v>
      </c>
      <c r="C196" t="s">
        <v>40</v>
      </c>
      <c r="D196">
        <v>3.1708129999999999</v>
      </c>
      <c r="E196">
        <v>0.48830259999999998</v>
      </c>
      <c r="F196" t="s">
        <v>43</v>
      </c>
      <c r="G196">
        <v>-418.79880000000003</v>
      </c>
      <c r="H196">
        <v>-0.05</v>
      </c>
      <c r="I196">
        <v>368.80450000000002</v>
      </c>
      <c r="J196">
        <v>-444.96190000000001</v>
      </c>
      <c r="K196">
        <v>1.1091629999999999</v>
      </c>
      <c r="L196">
        <v>368.50110000000001</v>
      </c>
      <c r="M196">
        <v>0.99972859999999997</v>
      </c>
      <c r="N196">
        <v>0</v>
      </c>
      <c r="O196">
        <v>2.0802979999999999E-2</v>
      </c>
      <c r="P196">
        <v>0.98354600000000003</v>
      </c>
      <c r="Q196">
        <v>0.17835819999999999</v>
      </c>
      <c r="R196">
        <v>-2.8737189999999999E-2</v>
      </c>
      <c r="S196">
        <v>3.075653</v>
      </c>
      <c r="T196">
        <v>-0.13481940000000001</v>
      </c>
      <c r="U196">
        <v>3.5888669999999998E-2</v>
      </c>
      <c r="V196">
        <v>4.9460450000000003E-2</v>
      </c>
      <c r="W196">
        <v>0.1885839</v>
      </c>
      <c r="X196">
        <v>0.98081079999999998</v>
      </c>
      <c r="Y196">
        <v>9.1086770000000008E-3</v>
      </c>
      <c r="Z196">
        <v>-1.110925E-3</v>
      </c>
      <c r="AA196">
        <v>0.99995789999999996</v>
      </c>
      <c r="AB196">
        <v>26</v>
      </c>
      <c r="AC196">
        <v>26.163099999999901</v>
      </c>
      <c r="AD196">
        <v>-1.1591629999999999</v>
      </c>
      <c r="AE196">
        <v>0.30340000000001</v>
      </c>
      <c r="AF196">
        <v>0.24049402199471301</v>
      </c>
      <c r="AG196">
        <v>-1.1591629999999999</v>
      </c>
      <c r="AH196">
        <v>26.112498712066198</v>
      </c>
      <c r="AI196">
        <v>92.541647339463594</v>
      </c>
      <c r="AJ196">
        <v>89.472325378294798</v>
      </c>
      <c r="AK196">
        <v>26.139320672558402</v>
      </c>
      <c r="AL196">
        <v>79.129846519233297</v>
      </c>
      <c r="AM196">
        <v>87.113126691771697</v>
      </c>
      <c r="AN196">
        <v>1.00000002442502</v>
      </c>
    </row>
    <row r="197" spans="1:40" x14ac:dyDescent="0.25">
      <c r="A197" t="str">
        <f>"20190312172900795"</f>
        <v>20190312172900795</v>
      </c>
      <c r="B197" t="str">
        <f>"1552382940787324"</f>
        <v>1552382940787324</v>
      </c>
      <c r="C197" t="s">
        <v>40</v>
      </c>
      <c r="D197">
        <v>3.1590859999999998</v>
      </c>
      <c r="E197">
        <v>0.4881839</v>
      </c>
      <c r="F197" t="s">
        <v>43</v>
      </c>
      <c r="G197">
        <v>-418.59280000000001</v>
      </c>
      <c r="H197">
        <v>-0.05</v>
      </c>
      <c r="I197">
        <v>368.80399999999997</v>
      </c>
      <c r="J197">
        <v>-444.71480000000003</v>
      </c>
      <c r="K197">
        <v>1.1091610000000001</v>
      </c>
      <c r="L197">
        <v>368.50529999999998</v>
      </c>
      <c r="M197">
        <v>0.99974430000000003</v>
      </c>
      <c r="N197">
        <v>0</v>
      </c>
      <c r="O197">
        <v>2.0025500000000002E-2</v>
      </c>
      <c r="P197">
        <v>0.98361229999999999</v>
      </c>
      <c r="Q197">
        <v>0.17792339999999901</v>
      </c>
      <c r="R197">
        <v>-2.9155540000000001E-2</v>
      </c>
      <c r="S197">
        <v>3.075745</v>
      </c>
      <c r="T197">
        <v>-0.135207299999999</v>
      </c>
      <c r="U197">
        <v>3.533936E-2</v>
      </c>
      <c r="V197">
        <v>4.9115909999999999E-2</v>
      </c>
      <c r="W197">
        <v>0.18816849999999999</v>
      </c>
      <c r="X197">
        <v>0.98090790000000005</v>
      </c>
      <c r="Y197">
        <v>8.5111059999999992E-3</v>
      </c>
      <c r="Z197">
        <v>-1.0668050000000001E-3</v>
      </c>
      <c r="AA197">
        <v>0.99996320000000005</v>
      </c>
      <c r="AB197">
        <v>26</v>
      </c>
      <c r="AC197">
        <v>26.122</v>
      </c>
      <c r="AD197">
        <v>-1.1591610000000001</v>
      </c>
      <c r="AE197">
        <v>0.29870000000005298</v>
      </c>
      <c r="AF197">
        <v>0.22405373784771601</v>
      </c>
      <c r="AG197">
        <v>-1.1591610000000001</v>
      </c>
      <c r="AH197">
        <v>26.0714117921972</v>
      </c>
      <c r="AI197">
        <v>92.545657107156202</v>
      </c>
      <c r="AJ197">
        <v>89.507620927906501</v>
      </c>
      <c r="AK197">
        <v>26.098129571670199</v>
      </c>
      <c r="AL197">
        <v>79.154081148175095</v>
      </c>
      <c r="AM197">
        <v>87.1334862106944</v>
      </c>
      <c r="AN197">
        <v>1.0000000326448899</v>
      </c>
    </row>
    <row r="198" spans="1:40" x14ac:dyDescent="0.25">
      <c r="A198" t="str">
        <f>"20190312172900818"</f>
        <v>20190312172900818</v>
      </c>
      <c r="B198" t="str">
        <f>"1552382940807351"</f>
        <v>1552382940807351</v>
      </c>
      <c r="C198" t="s">
        <v>40</v>
      </c>
      <c r="D198">
        <v>3.1615920000000002</v>
      </c>
      <c r="E198">
        <v>0.4879773</v>
      </c>
      <c r="F198" t="s">
        <v>43</v>
      </c>
      <c r="G198">
        <v>-418.6463</v>
      </c>
      <c r="H198">
        <v>-0.05</v>
      </c>
      <c r="I198">
        <v>368.80360000000002</v>
      </c>
      <c r="J198">
        <v>-444.44400000000002</v>
      </c>
      <c r="K198">
        <v>1.109164</v>
      </c>
      <c r="L198">
        <v>368.50979999999998</v>
      </c>
      <c r="M198">
        <v>0.99976080000000001</v>
      </c>
      <c r="N198">
        <v>0</v>
      </c>
      <c r="O198">
        <v>1.9173229999999999E-2</v>
      </c>
      <c r="P198">
        <v>0.98365930000000001</v>
      </c>
      <c r="Q198">
        <v>0.17753479999999999</v>
      </c>
      <c r="R198">
        <v>-2.992939E-2</v>
      </c>
      <c r="S198">
        <v>3.0757750000000001</v>
      </c>
      <c r="T198">
        <v>-0.136767</v>
      </c>
      <c r="U198">
        <v>3.5186769999999999E-2</v>
      </c>
      <c r="V198">
        <v>4.905255E-2</v>
      </c>
      <c r="W198">
        <v>0.18779950000000001</v>
      </c>
      <c r="X198">
        <v>0.98098180000000001</v>
      </c>
      <c r="Y198">
        <v>7.7093619999999896E-3</v>
      </c>
      <c r="Z198">
        <v>-1.0234020000000001E-3</v>
      </c>
      <c r="AA198">
        <v>0.99996980000000002</v>
      </c>
      <c r="AB198">
        <v>26</v>
      </c>
      <c r="AC198">
        <v>25.797699999999999</v>
      </c>
      <c r="AD198">
        <v>-1.1591639999999901</v>
      </c>
      <c r="AE198">
        <v>0.29380000000003198</v>
      </c>
      <c r="AF198">
        <v>0.20050188317936701</v>
      </c>
      <c r="AG198">
        <v>-1.1591639999999901</v>
      </c>
      <c r="AH198">
        <v>25.746616007939998</v>
      </c>
      <c r="AI198">
        <v>92.577751407226998</v>
      </c>
      <c r="AJ198">
        <v>89.553817889445298</v>
      </c>
      <c r="AK198">
        <v>25.773476638675799</v>
      </c>
      <c r="AL198">
        <v>79.175607224660197</v>
      </c>
      <c r="AM198">
        <v>87.137393191157798</v>
      </c>
      <c r="AN198">
        <v>1.0000000483964899</v>
      </c>
    </row>
    <row r="199" spans="1:40" x14ac:dyDescent="0.25">
      <c r="A199" t="str">
        <f>"20190312172900839"</f>
        <v>20190312172900839</v>
      </c>
      <c r="B199" t="str">
        <f>"1552382940827847"</f>
        <v>1552382940827847</v>
      </c>
      <c r="C199" t="s">
        <v>40</v>
      </c>
      <c r="D199">
        <v>3.2684989999999998</v>
      </c>
      <c r="E199">
        <v>0.48788520000000002</v>
      </c>
      <c r="F199" t="s">
        <v>43</v>
      </c>
      <c r="G199">
        <v>-418.64400000000001</v>
      </c>
      <c r="H199">
        <v>-0.05</v>
      </c>
      <c r="I199">
        <v>368.79930000000002</v>
      </c>
      <c r="J199">
        <v>-444.19459999999998</v>
      </c>
      <c r="K199">
        <v>1.1091660000000001</v>
      </c>
      <c r="L199">
        <v>368.51369999999997</v>
      </c>
      <c r="M199">
        <v>0.99977539999999998</v>
      </c>
      <c r="N199">
        <v>0</v>
      </c>
      <c r="O199">
        <v>1.838826E-2</v>
      </c>
      <c r="P199">
        <v>0.98368670000000002</v>
      </c>
      <c r="Q199">
        <v>0.17735490000000001</v>
      </c>
      <c r="R199">
        <v>-3.0094289999999999E-2</v>
      </c>
      <c r="S199">
        <v>3.0757750000000001</v>
      </c>
      <c r="T199">
        <v>-0.13819100000000001</v>
      </c>
      <c r="U199">
        <v>3.4515379999999998E-2</v>
      </c>
      <c r="V199">
        <v>4.844648E-2</v>
      </c>
      <c r="W199">
        <v>0.18763740000000001</v>
      </c>
      <c r="X199">
        <v>0.98104290000000005</v>
      </c>
      <c r="Y199">
        <v>7.1432919999999999E-3</v>
      </c>
      <c r="Z199">
        <v>-9.8609419999999993E-4</v>
      </c>
      <c r="AA199">
        <v>0.99997400000000003</v>
      </c>
      <c r="AB199">
        <v>26</v>
      </c>
      <c r="AC199">
        <v>25.5505999999999</v>
      </c>
      <c r="AD199">
        <v>-1.1591659999999999</v>
      </c>
      <c r="AE199">
        <v>0.28560000000004399</v>
      </c>
      <c r="AF199">
        <v>0.183926940495584</v>
      </c>
      <c r="AG199">
        <v>-1.1591659999999999</v>
      </c>
      <c r="AH199">
        <v>25.499055665969401</v>
      </c>
      <c r="AI199">
        <v>92.602759218011599</v>
      </c>
      <c r="AJ199">
        <v>89.586727649466496</v>
      </c>
      <c r="AK199">
        <v>25.526052080006401</v>
      </c>
      <c r="AL199">
        <v>79.185062583664802</v>
      </c>
      <c r="AM199">
        <v>87.172880255331606</v>
      </c>
      <c r="AN199">
        <v>1.0000000134717799</v>
      </c>
    </row>
    <row r="200" spans="1:40" x14ac:dyDescent="0.25">
      <c r="A200" t="str">
        <f>"20190312172900862"</f>
        <v>20190312172900862</v>
      </c>
      <c r="B200" t="str">
        <f>"1552382940858103"</f>
        <v>1552382940858103</v>
      </c>
      <c r="C200" t="s">
        <v>40</v>
      </c>
      <c r="D200">
        <v>3.0973160000000002</v>
      </c>
      <c r="E200">
        <v>0.48750529999999997</v>
      </c>
      <c r="F200" t="s">
        <v>43</v>
      </c>
      <c r="G200">
        <v>-425.28129999999999</v>
      </c>
      <c r="H200">
        <v>-0.05</v>
      </c>
      <c r="I200">
        <v>368.73860000000002</v>
      </c>
      <c r="J200">
        <v>-443.93029999999999</v>
      </c>
      <c r="K200">
        <v>1.109165</v>
      </c>
      <c r="L200">
        <v>368.51769999999999</v>
      </c>
      <c r="M200">
        <v>0.99979030000000002</v>
      </c>
      <c r="N200">
        <v>0</v>
      </c>
      <c r="O200">
        <v>1.755609E-2</v>
      </c>
      <c r="P200">
        <v>0.98371830000000005</v>
      </c>
      <c r="Q200">
        <v>0.17714739999999901</v>
      </c>
      <c r="R200">
        <v>-3.0289489999999999E-2</v>
      </c>
      <c r="S200">
        <v>3.0849299999999999</v>
      </c>
      <c r="T200">
        <v>-0.18907009999999999</v>
      </c>
      <c r="U200">
        <v>3.668213E-2</v>
      </c>
      <c r="V200">
        <v>4.7823949999999997E-2</v>
      </c>
      <c r="W200">
        <v>0.18744769999999999</v>
      </c>
      <c r="X200">
        <v>0.98110969999999997</v>
      </c>
      <c r="Y200">
        <v>5.6242640000000003E-3</v>
      </c>
      <c r="Z200">
        <v>-1.2471100000000001E-3</v>
      </c>
      <c r="AA200">
        <v>0.99998339999999997</v>
      </c>
      <c r="AB200">
        <v>26</v>
      </c>
      <c r="AC200">
        <v>18.649000000000001</v>
      </c>
      <c r="AD200">
        <v>-1.159165</v>
      </c>
      <c r="AE200">
        <v>0.22090000000002799</v>
      </c>
      <c r="AF200">
        <v>0.10614573150345299</v>
      </c>
      <c r="AG200">
        <v>-1.159165</v>
      </c>
      <c r="AH200">
        <v>18.5782371493002</v>
      </c>
      <c r="AI200">
        <v>93.570209508891793</v>
      </c>
      <c r="AJ200">
        <v>89.672647291291298</v>
      </c>
      <c r="AK200">
        <v>18.614666958857399</v>
      </c>
      <c r="AL200">
        <v>79.196127859612503</v>
      </c>
      <c r="AM200">
        <v>87.209340230472904</v>
      </c>
      <c r="AN200">
        <v>1.00000000693149</v>
      </c>
    </row>
    <row r="201" spans="1:40" x14ac:dyDescent="0.25">
      <c r="A201" t="str">
        <f>"20190312172900883"</f>
        <v>20190312172900883</v>
      </c>
      <c r="B201" t="str">
        <f>"1552382940877623"</f>
        <v>1552382940877623</v>
      </c>
      <c r="C201" t="s">
        <v>40</v>
      </c>
      <c r="D201">
        <v>3.1088819999999999</v>
      </c>
      <c r="E201">
        <v>0.4874021</v>
      </c>
      <c r="F201" t="s">
        <v>43</v>
      </c>
      <c r="G201">
        <v>-423.82760000000002</v>
      </c>
      <c r="H201">
        <v>-0.05</v>
      </c>
      <c r="I201">
        <v>368.7672</v>
      </c>
      <c r="J201">
        <v>-443.6832</v>
      </c>
      <c r="K201">
        <v>1.109167</v>
      </c>
      <c r="L201">
        <v>368.52109999999999</v>
      </c>
      <c r="M201">
        <v>0.99980340000000001</v>
      </c>
      <c r="N201">
        <v>0</v>
      </c>
      <c r="O201">
        <v>1.6778169999999999E-2</v>
      </c>
      <c r="P201">
        <v>0.9837458</v>
      </c>
      <c r="Q201">
        <v>0.1769309</v>
      </c>
      <c r="R201">
        <v>-3.066323E-2</v>
      </c>
      <c r="S201">
        <v>3.082916</v>
      </c>
      <c r="T201">
        <v>-0.177767799999999</v>
      </c>
      <c r="U201">
        <v>3.8269039999999997E-2</v>
      </c>
      <c r="V201">
        <v>4.7433139999999999E-2</v>
      </c>
      <c r="W201">
        <v>0.18724640000000001</v>
      </c>
      <c r="X201">
        <v>0.98116709999999996</v>
      </c>
      <c r="Y201">
        <v>4.3322009999999999E-3</v>
      </c>
      <c r="Z201">
        <v>-1.0914150000000001E-3</v>
      </c>
      <c r="AA201">
        <v>0.99999000000000005</v>
      </c>
      <c r="AB201">
        <v>26</v>
      </c>
      <c r="AC201">
        <v>19.8555999999999</v>
      </c>
      <c r="AD201">
        <v>-1.1591670000000001</v>
      </c>
      <c r="AE201">
        <v>0.246100000000012</v>
      </c>
      <c r="AF201">
        <v>8.6798097393165602E-2</v>
      </c>
      <c r="AG201">
        <v>-1.1591670000000001</v>
      </c>
      <c r="AH201">
        <v>19.789497735739701</v>
      </c>
      <c r="AI201">
        <v>93.352229537026005</v>
      </c>
      <c r="AJ201">
        <v>89.748698384032295</v>
      </c>
      <c r="AK201">
        <v>19.823607710920001</v>
      </c>
      <c r="AL201">
        <v>79.207869296273103</v>
      </c>
      <c r="AM201">
        <v>87.232271140108196</v>
      </c>
      <c r="AN201">
        <v>0.99999999760281399</v>
      </c>
    </row>
    <row r="202" spans="1:40" x14ac:dyDescent="0.25">
      <c r="A202" t="str">
        <f>"20190312172900906"</f>
        <v>20190312172900906</v>
      </c>
      <c r="B202" t="str">
        <f>"1552382940898119"</f>
        <v>1552382940898119</v>
      </c>
      <c r="C202" t="s">
        <v>40</v>
      </c>
      <c r="D202">
        <v>3.2999489999999998</v>
      </c>
      <c r="E202">
        <v>0.48723090000000002</v>
      </c>
      <c r="F202" t="s">
        <v>43</v>
      </c>
      <c r="G202">
        <v>-423.399</v>
      </c>
      <c r="H202">
        <v>-0.05</v>
      </c>
      <c r="I202">
        <v>368.7722</v>
      </c>
      <c r="J202">
        <v>-443.41919999999999</v>
      </c>
      <c r="K202">
        <v>1.109162</v>
      </c>
      <c r="L202">
        <v>368.5247</v>
      </c>
      <c r="M202">
        <v>0.99981679999999995</v>
      </c>
      <c r="N202">
        <v>0</v>
      </c>
      <c r="O202">
        <v>1.5947090000000001E-2</v>
      </c>
      <c r="P202">
        <v>0.98373920000000004</v>
      </c>
      <c r="Q202">
        <v>0.17697109999999999</v>
      </c>
      <c r="R202">
        <v>-3.0633190000000001E-2</v>
      </c>
      <c r="S202">
        <v>3.0823969999999998</v>
      </c>
      <c r="T202">
        <v>-0.1761472</v>
      </c>
      <c r="U202">
        <v>3.8146970000000002E-2</v>
      </c>
      <c r="V202">
        <v>4.658644E-2</v>
      </c>
      <c r="W202">
        <v>0.1873011</v>
      </c>
      <c r="X202">
        <v>0.98119719999999999</v>
      </c>
      <c r="Y202">
        <v>3.5417479999999999E-3</v>
      </c>
      <c r="Z202">
        <v>-1.0116490000000001E-3</v>
      </c>
      <c r="AA202">
        <v>0.99999320000000003</v>
      </c>
      <c r="AB202">
        <v>26</v>
      </c>
      <c r="AC202">
        <v>20.0201999999999</v>
      </c>
      <c r="AD202">
        <v>-1.159162</v>
      </c>
      <c r="AE202">
        <v>0.247500000000002</v>
      </c>
      <c r="AF202">
        <v>7.1573393356653497E-2</v>
      </c>
      <c r="AG202">
        <v>-1.159162</v>
      </c>
      <c r="AH202">
        <v>19.954715721967698</v>
      </c>
      <c r="AI202">
        <v>93.324533037937499</v>
      </c>
      <c r="AJ202">
        <v>89.794492899016007</v>
      </c>
      <c r="AK202">
        <v>19.9884831549927</v>
      </c>
      <c r="AL202">
        <v>79.204678488449503</v>
      </c>
      <c r="AM202">
        <v>87.281684663722501</v>
      </c>
      <c r="AN202">
        <v>0.99999997187046097</v>
      </c>
    </row>
    <row r="203" spans="1:40" x14ac:dyDescent="0.25">
      <c r="A203" t="str">
        <f>"20190312172900939"</f>
        <v>20190312172900939</v>
      </c>
      <c r="B203" t="str">
        <f>"1552382940927908"</f>
        <v>1552382940927908</v>
      </c>
      <c r="C203" t="s">
        <v>40</v>
      </c>
      <c r="D203">
        <v>3.2732130000000002</v>
      </c>
      <c r="E203">
        <v>0.4870408</v>
      </c>
      <c r="F203" t="s">
        <v>43</v>
      </c>
      <c r="G203">
        <v>-422.50540000000001</v>
      </c>
      <c r="H203">
        <v>-0.05</v>
      </c>
      <c r="I203">
        <v>368.79</v>
      </c>
      <c r="J203">
        <v>-443.03179999999998</v>
      </c>
      <c r="K203">
        <v>1.109162</v>
      </c>
      <c r="L203">
        <v>368.52940000000001</v>
      </c>
      <c r="M203">
        <v>0.99983540000000004</v>
      </c>
      <c r="N203">
        <v>0</v>
      </c>
      <c r="O203">
        <v>1.47285E-2</v>
      </c>
      <c r="P203">
        <v>0.98381209999999997</v>
      </c>
      <c r="Q203">
        <v>0.176557399999999</v>
      </c>
      <c r="R203">
        <v>-3.0685110000000002E-2</v>
      </c>
      <c r="S203">
        <v>3.0815730000000001</v>
      </c>
      <c r="T203">
        <v>-0.17079829999999999</v>
      </c>
      <c r="U203">
        <v>3.9093019999999999E-2</v>
      </c>
      <c r="V203">
        <v>4.5441250000000002E-2</v>
      </c>
      <c r="W203">
        <v>0.18690809999999999</v>
      </c>
      <c r="X203">
        <v>0.98132589999999997</v>
      </c>
      <c r="Y203">
        <v>2.0187790000000001E-3</v>
      </c>
      <c r="Z203">
        <v>-8.7158380000000005E-4</v>
      </c>
      <c r="AA203">
        <v>0.99999760000000004</v>
      </c>
      <c r="AB203">
        <v>26</v>
      </c>
      <c r="AC203">
        <v>20.526399999999899</v>
      </c>
      <c r="AD203">
        <v>-1.159162</v>
      </c>
      <c r="AE203">
        <v>0.26060000000000999</v>
      </c>
      <c r="AF203">
        <v>4.16355644352173E-2</v>
      </c>
      <c r="AG203">
        <v>-1.159162</v>
      </c>
      <c r="AH203">
        <v>20.462765238887201</v>
      </c>
      <c r="AI203">
        <v>93.242183970040102</v>
      </c>
      <c r="AJ203">
        <v>89.883420505494001</v>
      </c>
      <c r="AK203">
        <v>20.495612976543999</v>
      </c>
      <c r="AL203">
        <v>79.227601206175905</v>
      </c>
      <c r="AM203">
        <v>87.348757105028398</v>
      </c>
      <c r="AN203">
        <v>1.00000003352899</v>
      </c>
    </row>
    <row r="204" spans="1:40" x14ac:dyDescent="0.25">
      <c r="A204" t="str">
        <f>"20190312172900961"</f>
        <v>20190312172900961</v>
      </c>
      <c r="B204" t="str">
        <f>"1552382940947425"</f>
        <v>1552382940947425</v>
      </c>
      <c r="C204" t="s">
        <v>40</v>
      </c>
      <c r="D204">
        <v>3.291852</v>
      </c>
      <c r="E204">
        <v>0.4869561</v>
      </c>
      <c r="F204" t="s">
        <v>43</v>
      </c>
      <c r="G204">
        <v>-421.9819</v>
      </c>
      <c r="H204">
        <v>-0.05</v>
      </c>
      <c r="I204">
        <v>368.80419999999998</v>
      </c>
      <c r="J204">
        <v>-442.77940000000001</v>
      </c>
      <c r="K204">
        <v>1.109162</v>
      </c>
      <c r="L204">
        <v>368.53230000000002</v>
      </c>
      <c r="M204">
        <v>0.99984660000000003</v>
      </c>
      <c r="N204">
        <v>0</v>
      </c>
      <c r="O204">
        <v>1.393427E-2</v>
      </c>
      <c r="P204">
        <v>0.98390120000000003</v>
      </c>
      <c r="Q204">
        <v>0.17608219999999999</v>
      </c>
      <c r="R204">
        <v>-3.0559820000000001E-2</v>
      </c>
      <c r="S204">
        <v>3.0810849999999999</v>
      </c>
      <c r="T204">
        <v>-0.16966689999999901</v>
      </c>
      <c r="U204">
        <v>4.0222170000000002E-2</v>
      </c>
      <c r="V204">
        <v>4.4535669999999999E-2</v>
      </c>
      <c r="W204">
        <v>0.18644620000000001</v>
      </c>
      <c r="X204">
        <v>0.98145530000000003</v>
      </c>
      <c r="Y204">
        <v>8.5929140000000001E-4</v>
      </c>
      <c r="Z204">
        <v>-7.9035599999999998E-4</v>
      </c>
      <c r="AA204">
        <v>0.99999930000000004</v>
      </c>
      <c r="AB204">
        <v>26</v>
      </c>
      <c r="AC204">
        <v>20.797499999999999</v>
      </c>
      <c r="AD204">
        <v>-1.159162</v>
      </c>
      <c r="AE204">
        <v>0.27189999999995901</v>
      </c>
      <c r="AF204">
        <v>1.7885149948973601E-2</v>
      </c>
      <c r="AG204">
        <v>-1.159162</v>
      </c>
      <c r="AH204">
        <v>20.734868486739401</v>
      </c>
      <c r="AI204">
        <v>93.199731272186099</v>
      </c>
      <c r="AJ204">
        <v>89.950578738681202</v>
      </c>
      <c r="AK204">
        <v>20.767251806226302</v>
      </c>
      <c r="AL204">
        <v>79.254539941931199</v>
      </c>
      <c r="AM204">
        <v>87.4018616093921</v>
      </c>
      <c r="AN204">
        <v>1.00000005864743</v>
      </c>
    </row>
    <row r="205" spans="1:40" x14ac:dyDescent="0.25">
      <c r="A205" t="str">
        <f>"20190312172900985"</f>
        <v>20190312172900985</v>
      </c>
      <c r="B205" t="str">
        <f>"1552382940977681"</f>
        <v>1552382940977681</v>
      </c>
      <c r="C205" t="s">
        <v>40</v>
      </c>
      <c r="D205">
        <v>3.1842199999999998</v>
      </c>
      <c r="E205">
        <v>0.48683270000000001</v>
      </c>
      <c r="F205" t="s">
        <v>43</v>
      </c>
      <c r="G205">
        <v>-421.70209999999997</v>
      </c>
      <c r="H205">
        <v>-0.05</v>
      </c>
      <c r="I205">
        <v>368.81139999999999</v>
      </c>
      <c r="J205">
        <v>-442.49799999999999</v>
      </c>
      <c r="K205">
        <v>1.1091519999999999</v>
      </c>
      <c r="L205">
        <v>368.53519999999997</v>
      </c>
      <c r="M205">
        <v>0.99985840000000004</v>
      </c>
      <c r="N205">
        <v>0</v>
      </c>
      <c r="O205">
        <v>1.3049440000000001E-2</v>
      </c>
      <c r="P205">
        <v>0.98397460000000003</v>
      </c>
      <c r="Q205">
        <v>0.1756704</v>
      </c>
      <c r="R205">
        <v>-3.056188E-2</v>
      </c>
      <c r="S205">
        <v>3.0806879999999999</v>
      </c>
      <c r="T205">
        <v>-0.16942499999999999</v>
      </c>
      <c r="U205">
        <v>4.0801999999999998E-2</v>
      </c>
      <c r="V205">
        <v>4.3668579999999999E-2</v>
      </c>
      <c r="W205">
        <v>0.18604760000000001</v>
      </c>
      <c r="X205">
        <v>0.98156980000000005</v>
      </c>
      <c r="Y205">
        <v>-2.1251509999999999E-4</v>
      </c>
      <c r="Z205">
        <v>-7.1126229999999896E-4</v>
      </c>
      <c r="AA205">
        <v>0.99999970000000005</v>
      </c>
      <c r="AB205">
        <v>26</v>
      </c>
      <c r="AC205">
        <v>20.7959</v>
      </c>
      <c r="AD205">
        <v>-1.159152</v>
      </c>
      <c r="AE205">
        <v>0.27620000000001699</v>
      </c>
      <c r="AF205">
        <v>-4.7714891011107997E-3</v>
      </c>
      <c r="AG205">
        <v>-1.159152</v>
      </c>
      <c r="AH205">
        <v>20.733328807585501</v>
      </c>
      <c r="AI205">
        <v>93.199941948719299</v>
      </c>
      <c r="AJ205">
        <v>90.0131858316239</v>
      </c>
      <c r="AK205">
        <v>20.765706816038499</v>
      </c>
      <c r="AL205">
        <v>79.277783719176398</v>
      </c>
      <c r="AM205">
        <v>87.452675707633503</v>
      </c>
      <c r="AN205">
        <v>0.99999996330850704</v>
      </c>
    </row>
    <row r="206" spans="1:40" x14ac:dyDescent="0.25">
      <c r="A206" t="str">
        <f>"20190312172901008"</f>
        <v>20190312172901008</v>
      </c>
      <c r="B206" t="str">
        <f>"1552382940997202"</f>
        <v>1552382940997202</v>
      </c>
      <c r="C206" t="s">
        <v>40</v>
      </c>
      <c r="D206">
        <v>3.0743490000000002</v>
      </c>
      <c r="E206">
        <v>0.48677799999999999</v>
      </c>
      <c r="F206" t="s">
        <v>43</v>
      </c>
      <c r="G206">
        <v>-421.77589999999998</v>
      </c>
      <c r="H206">
        <v>-0.05</v>
      </c>
      <c r="I206">
        <v>368.81310000000002</v>
      </c>
      <c r="J206">
        <v>-442.23009999999999</v>
      </c>
      <c r="K206">
        <v>1.109148</v>
      </c>
      <c r="L206">
        <v>368.5378</v>
      </c>
      <c r="M206">
        <v>0.99986889999999995</v>
      </c>
      <c r="N206">
        <v>0</v>
      </c>
      <c r="O206">
        <v>1.2207300000000001E-2</v>
      </c>
      <c r="P206">
        <v>0.98403189999999996</v>
      </c>
      <c r="Q206">
        <v>0.17521989999999901</v>
      </c>
      <c r="R206">
        <v>-3.1295040000000003E-2</v>
      </c>
      <c r="S206">
        <v>3.0809329999999999</v>
      </c>
      <c r="T206">
        <v>-0.17234050000000001</v>
      </c>
      <c r="U206">
        <v>4.1320799999999998E-2</v>
      </c>
      <c r="V206">
        <v>4.3573559999999997E-2</v>
      </c>
      <c r="W206">
        <v>0.1856071</v>
      </c>
      <c r="X206">
        <v>0.98165740000000001</v>
      </c>
      <c r="Y206">
        <v>-1.2198630000000001E-3</v>
      </c>
      <c r="Z206">
        <v>-6.482069E-4</v>
      </c>
      <c r="AA206">
        <v>0.99999899999999997</v>
      </c>
      <c r="AB206">
        <v>26</v>
      </c>
      <c r="AC206">
        <v>20.4542</v>
      </c>
      <c r="AD206">
        <v>-1.1591480000000001</v>
      </c>
      <c r="AE206">
        <v>0.27530000000001498</v>
      </c>
      <c r="AF206">
        <v>-2.5492942959012301E-2</v>
      </c>
      <c r="AG206">
        <v>-1.1591480000000001</v>
      </c>
      <c r="AH206">
        <v>20.390563440565298</v>
      </c>
      <c r="AI206">
        <v>93.253604704354998</v>
      </c>
      <c r="AJ206">
        <v>90.071633002302505</v>
      </c>
      <c r="AK206">
        <v>20.4234999791848</v>
      </c>
      <c r="AL206">
        <v>79.303469767648906</v>
      </c>
      <c r="AM206">
        <v>87.458437766592496</v>
      </c>
      <c r="AN206">
        <v>0.99999995083811999</v>
      </c>
    </row>
    <row r="207" spans="1:40" x14ac:dyDescent="0.25">
      <c r="A207" t="str">
        <f>"20190312172901028"</f>
        <v>20190312172901028</v>
      </c>
      <c r="B207" t="str">
        <f>"1552382941017697"</f>
        <v>1552382941017697</v>
      </c>
      <c r="C207" t="s">
        <v>40</v>
      </c>
      <c r="D207">
        <v>3.227697</v>
      </c>
      <c r="E207">
        <v>0.48668810000000001</v>
      </c>
      <c r="F207" t="s">
        <v>43</v>
      </c>
      <c r="G207">
        <v>-421.72199999999998</v>
      </c>
      <c r="H207">
        <v>-0.05</v>
      </c>
      <c r="I207">
        <v>368.80259999999998</v>
      </c>
      <c r="J207">
        <v>-441.98570000000001</v>
      </c>
      <c r="K207">
        <v>1.109145</v>
      </c>
      <c r="L207">
        <v>368.53989999999999</v>
      </c>
      <c r="M207">
        <v>0.99987809999999999</v>
      </c>
      <c r="N207">
        <v>0</v>
      </c>
      <c r="O207">
        <v>1.143835E-2</v>
      </c>
      <c r="P207">
        <v>0.98409049999999998</v>
      </c>
      <c r="Q207">
        <v>0.17486679999999999</v>
      </c>
      <c r="R207">
        <v>-3.1436480000000003E-2</v>
      </c>
      <c r="S207">
        <v>3.0809329999999999</v>
      </c>
      <c r="T207">
        <v>-0.17413890000000001</v>
      </c>
      <c r="U207">
        <v>3.9794919999999998E-2</v>
      </c>
      <c r="V207">
        <v>4.2959200000000003E-2</v>
      </c>
      <c r="W207">
        <v>0.1852637</v>
      </c>
      <c r="X207">
        <v>0.98174939999999999</v>
      </c>
      <c r="Y207">
        <v>-1.4924230000000001E-3</v>
      </c>
      <c r="Z207">
        <v>-6.038428E-4</v>
      </c>
      <c r="AA207">
        <v>0.99999870000000002</v>
      </c>
      <c r="AB207">
        <v>26</v>
      </c>
      <c r="AC207">
        <v>20.2637</v>
      </c>
      <c r="AD207">
        <v>-1.1591450000000001</v>
      </c>
      <c r="AE207">
        <v>0.26269999999999499</v>
      </c>
      <c r="AF207">
        <v>-3.0785708674097099E-2</v>
      </c>
      <c r="AG207">
        <v>-1.1591450000000001</v>
      </c>
      <c r="AH207">
        <v>20.199294471516701</v>
      </c>
      <c r="AI207">
        <v>93.284336528970499</v>
      </c>
      <c r="AJ207">
        <v>90.087324327741598</v>
      </c>
      <c r="AK207">
        <v>20.232549568404099</v>
      </c>
      <c r="AL207">
        <v>79.323493019268696</v>
      </c>
      <c r="AM207">
        <v>87.494460724010494</v>
      </c>
      <c r="AN207">
        <v>1.00000000790134</v>
      </c>
    </row>
    <row r="208" spans="1:40" x14ac:dyDescent="0.25">
      <c r="A208" t="str">
        <f>"20190312172901051"</f>
        <v>20190312172901051</v>
      </c>
      <c r="B208" t="str">
        <f>"1552382941037217"</f>
        <v>1552382941037217</v>
      </c>
      <c r="C208" t="s">
        <v>40</v>
      </c>
      <c r="D208">
        <v>3.082516</v>
      </c>
      <c r="E208">
        <v>0.48670809999999998</v>
      </c>
      <c r="F208" t="s">
        <v>43</v>
      </c>
      <c r="G208">
        <v>-421.74059999999997</v>
      </c>
      <c r="H208">
        <v>-0.05</v>
      </c>
      <c r="I208">
        <v>368.80040000000002</v>
      </c>
      <c r="J208">
        <v>-441.72379999999998</v>
      </c>
      <c r="K208">
        <v>1.1091470000000001</v>
      </c>
      <c r="L208">
        <v>368.5419</v>
      </c>
      <c r="M208">
        <v>0.99988699999999997</v>
      </c>
      <c r="N208">
        <v>0</v>
      </c>
      <c r="O208">
        <v>1.061547E-2</v>
      </c>
      <c r="P208">
        <v>0.98411119999999996</v>
      </c>
      <c r="Q208">
        <v>0.17470959999999999</v>
      </c>
      <c r="R208">
        <v>-3.1654040000000001E-2</v>
      </c>
      <c r="S208">
        <v>3.0811160000000002</v>
      </c>
      <c r="T208">
        <v>-0.17641089999999901</v>
      </c>
      <c r="U208">
        <v>3.9642330000000003E-2</v>
      </c>
      <c r="V208">
        <v>4.2367879999999997E-2</v>
      </c>
      <c r="W208">
        <v>0.18511559999999999</v>
      </c>
      <c r="X208">
        <v>0.98180299999999998</v>
      </c>
      <c r="Y208">
        <v>-2.2629239999999999E-3</v>
      </c>
      <c r="Z208">
        <v>-5.4256050000000004E-4</v>
      </c>
      <c r="AA208">
        <v>0.99999729999999998</v>
      </c>
      <c r="AB208">
        <v>26</v>
      </c>
      <c r="AC208">
        <v>19.9832</v>
      </c>
      <c r="AD208">
        <v>-1.1591469999999999</v>
      </c>
      <c r="AE208">
        <v>0.25850000000002599</v>
      </c>
      <c r="AF208">
        <v>-4.61869752081265E-2</v>
      </c>
      <c r="AG208">
        <v>-1.1591469999999999</v>
      </c>
      <c r="AH208">
        <v>19.917811816307498</v>
      </c>
      <c r="AI208">
        <v>93.330648347067793</v>
      </c>
      <c r="AJ208">
        <v>90.132861683254404</v>
      </c>
      <c r="AK208">
        <v>19.951565917344102</v>
      </c>
      <c r="AL208">
        <v>79.332127546518294</v>
      </c>
      <c r="AM208">
        <v>87.5290403807046</v>
      </c>
      <c r="AN208">
        <v>0.99999997671402696</v>
      </c>
    </row>
    <row r="209" spans="1:40" x14ac:dyDescent="0.25">
      <c r="A209" t="str">
        <f>"20190312172901073"</f>
        <v>20190312172901073</v>
      </c>
      <c r="B209" t="str">
        <f>"1552382941067473"</f>
        <v>1552382941067473</v>
      </c>
      <c r="C209" t="s">
        <v>40</v>
      </c>
      <c r="D209">
        <v>3.2328250000000001</v>
      </c>
      <c r="E209">
        <v>0.48701830000000002</v>
      </c>
      <c r="F209" t="s">
        <v>43</v>
      </c>
      <c r="G209">
        <v>-421.66489999999999</v>
      </c>
      <c r="H209">
        <v>-0.05</v>
      </c>
      <c r="I209">
        <v>368.79539999999997</v>
      </c>
      <c r="J209">
        <v>-441.46600000000001</v>
      </c>
      <c r="K209">
        <v>1.1091500000000001</v>
      </c>
      <c r="L209">
        <v>368.54379999999998</v>
      </c>
      <c r="M209">
        <v>0.99989530000000004</v>
      </c>
      <c r="N209">
        <v>0</v>
      </c>
      <c r="O209">
        <v>9.8046869999999994E-3</v>
      </c>
      <c r="P209">
        <v>0.98418490000000003</v>
      </c>
      <c r="Q209">
        <v>0.1742697</v>
      </c>
      <c r="R209">
        <v>-3.179042E-2</v>
      </c>
      <c r="S209">
        <v>3.081299</v>
      </c>
      <c r="T209">
        <v>-0.17805950000000001</v>
      </c>
      <c r="U209">
        <v>3.8940429999999998E-2</v>
      </c>
      <c r="V209">
        <v>4.1706920000000001E-2</v>
      </c>
      <c r="W209">
        <v>0.1846854</v>
      </c>
      <c r="X209">
        <v>0.98191229999999996</v>
      </c>
      <c r="Y209">
        <v>-2.843202E-3</v>
      </c>
      <c r="Z209">
        <v>-4.8402809999999999E-4</v>
      </c>
      <c r="AA209">
        <v>0.99999579999999999</v>
      </c>
      <c r="AB209">
        <v>26</v>
      </c>
      <c r="AC209">
        <v>19.801100000000002</v>
      </c>
      <c r="AD209">
        <v>-1.1591499999999999</v>
      </c>
      <c r="AE209">
        <v>0.25159999999999599</v>
      </c>
      <c r="AF209">
        <v>-5.7237208013663797E-2</v>
      </c>
      <c r="AG209">
        <v>-1.1591499999999999</v>
      </c>
      <c r="AH209">
        <v>19.7349962905827</v>
      </c>
      <c r="AI209">
        <v>93.3614350397674</v>
      </c>
      <c r="AJ209">
        <v>90.166173897720796</v>
      </c>
      <c r="AK209">
        <v>19.769091618225499</v>
      </c>
      <c r="AL209">
        <v>79.357208527834501</v>
      </c>
      <c r="AM209">
        <v>87.567812351340606</v>
      </c>
      <c r="AN209">
        <v>0.99999996452016704</v>
      </c>
    </row>
    <row r="210" spans="1:40" x14ac:dyDescent="0.25">
      <c r="A210" t="str">
        <f>"20190312172901095"</f>
        <v>20190312172901095</v>
      </c>
      <c r="B210" t="str">
        <f>"1552382941087970"</f>
        <v>1552382941087970</v>
      </c>
      <c r="C210" t="s">
        <v>40</v>
      </c>
      <c r="D210">
        <v>3.1178650000000001</v>
      </c>
      <c r="E210">
        <v>0.4871355</v>
      </c>
      <c r="F210" t="s">
        <v>43</v>
      </c>
      <c r="G210">
        <v>-421.7337</v>
      </c>
      <c r="H210">
        <v>-0.05</v>
      </c>
      <c r="I210">
        <v>368.7724</v>
      </c>
      <c r="J210">
        <v>-441.19600000000003</v>
      </c>
      <c r="K210">
        <v>1.1090409999999999</v>
      </c>
      <c r="L210">
        <v>368.5455</v>
      </c>
      <c r="M210">
        <v>0.9999074</v>
      </c>
      <c r="N210">
        <v>0</v>
      </c>
      <c r="O210">
        <v>8.936065E-3</v>
      </c>
      <c r="P210">
        <v>0.98414550000000001</v>
      </c>
      <c r="Q210">
        <v>0.17441199999999901</v>
      </c>
      <c r="R210">
        <v>-3.2223259999999997E-2</v>
      </c>
      <c r="S210">
        <v>3.0814210000000002</v>
      </c>
      <c r="T210">
        <v>-0.18101529999999999</v>
      </c>
      <c r="U210">
        <v>3.5705569999999999E-2</v>
      </c>
      <c r="V210">
        <v>4.1283269999999997E-2</v>
      </c>
      <c r="W210">
        <v>0.18444920000000001</v>
      </c>
      <c r="X210">
        <v>0.98197469999999998</v>
      </c>
      <c r="Y210">
        <v>-2.661011E-3</v>
      </c>
      <c r="Z210">
        <v>-4.4639769999999998E-4</v>
      </c>
      <c r="AA210">
        <v>0.99999640000000001</v>
      </c>
      <c r="AB210">
        <v>26</v>
      </c>
      <c r="AC210">
        <v>19.4622999999999</v>
      </c>
      <c r="AD210">
        <v>-1.159041</v>
      </c>
      <c r="AE210">
        <v>0.22689999999999999</v>
      </c>
      <c r="AF210">
        <v>-5.2778244305910001E-2</v>
      </c>
      <c r="AG210">
        <v>-1.159041</v>
      </c>
      <c r="AH210">
        <v>19.394774843200299</v>
      </c>
      <c r="AI210">
        <v>93.419943117092004</v>
      </c>
      <c r="AJ210">
        <v>90.155916385154697</v>
      </c>
      <c r="AK210">
        <v>19.429448082773401</v>
      </c>
      <c r="AL210">
        <v>79.370979424256802</v>
      </c>
      <c r="AM210">
        <v>87.592641582446404</v>
      </c>
      <c r="AN210">
        <v>1.0000000636013</v>
      </c>
    </row>
    <row r="211" spans="1:40" x14ac:dyDescent="0.25">
      <c r="A211" t="str">
        <f>"20190312172901229"</f>
        <v>20190312172901229</v>
      </c>
      <c r="B211" t="str">
        <f>"1552382941217781"</f>
        <v>1552382941217781</v>
      </c>
      <c r="C211" t="s">
        <v>40</v>
      </c>
      <c r="D211">
        <v>3.3408370000000001</v>
      </c>
      <c r="E211">
        <v>0.4970405</v>
      </c>
      <c r="F211" t="s">
        <v>43</v>
      </c>
      <c r="G211">
        <v>-421.36070000000001</v>
      </c>
      <c r="H211">
        <v>-0.05</v>
      </c>
      <c r="I211">
        <v>368.7559</v>
      </c>
      <c r="J211">
        <v>-439.60579999999999</v>
      </c>
      <c r="K211">
        <v>1.1053519999999999</v>
      </c>
      <c r="L211">
        <v>368.5514</v>
      </c>
      <c r="M211">
        <v>0.99990869999999998</v>
      </c>
      <c r="N211">
        <v>0</v>
      </c>
      <c r="O211">
        <v>4.043161E-3</v>
      </c>
      <c r="P211">
        <v>0.98486949999999995</v>
      </c>
      <c r="Q211">
        <v>0.1695702</v>
      </c>
      <c r="R211">
        <v>-3.575126E-2</v>
      </c>
      <c r="S211">
        <v>3.081299</v>
      </c>
      <c r="T211">
        <v>-0.18005099999999999</v>
      </c>
      <c r="U211">
        <v>3.2684329999999998E-2</v>
      </c>
      <c r="V211">
        <v>4.004199E-2</v>
      </c>
      <c r="W211">
        <v>0.18219070000000001</v>
      </c>
      <c r="X211">
        <v>0.98244759999999998</v>
      </c>
      <c r="Y211">
        <v>-6.5590780000000003E-3</v>
      </c>
      <c r="Z211" s="1">
        <v>-4.4599730000000001E-5</v>
      </c>
      <c r="AA211">
        <v>0.99997849999999999</v>
      </c>
      <c r="AB211">
        <v>27</v>
      </c>
      <c r="AC211">
        <v>18.245099999999901</v>
      </c>
      <c r="AD211">
        <v>-1.1553519999999999</v>
      </c>
      <c r="AE211">
        <v>0.20449999999999499</v>
      </c>
      <c r="AF211">
        <v>-0.13020228325987701</v>
      </c>
      <c r="AG211">
        <v>-1.1553519999999999</v>
      </c>
      <c r="AH211">
        <v>18.172914887711102</v>
      </c>
      <c r="AI211">
        <v>93.637618496295204</v>
      </c>
      <c r="AJ211">
        <v>90.410496264223596</v>
      </c>
      <c r="AK211">
        <v>18.210069368194599</v>
      </c>
      <c r="AL211">
        <v>79.502612564360803</v>
      </c>
      <c r="AM211">
        <v>87.666065928622899</v>
      </c>
      <c r="AN211">
        <v>1.0000000494376999</v>
      </c>
    </row>
    <row r="212" spans="1:40" x14ac:dyDescent="0.25">
      <c r="A212" t="str">
        <f>"20190312172901251"</f>
        <v>20190312172901251</v>
      </c>
      <c r="B212" t="str">
        <f>"1552382941248035"</f>
        <v>1552382941248035</v>
      </c>
      <c r="C212" t="s">
        <v>40</v>
      </c>
      <c r="D212">
        <v>3.3760750000000002</v>
      </c>
      <c r="E212">
        <v>0.50269430000000004</v>
      </c>
      <c r="F212" t="s">
        <v>42</v>
      </c>
      <c r="G212">
        <v>-438.76</v>
      </c>
      <c r="H212">
        <v>0.92135359999999999</v>
      </c>
      <c r="I212">
        <v>368.54020000000003</v>
      </c>
      <c r="J212">
        <v>-439.33390000000003</v>
      </c>
      <c r="K212">
        <v>1.10412</v>
      </c>
      <c r="L212">
        <v>368.55149999999998</v>
      </c>
      <c r="M212">
        <v>0.99988200000000005</v>
      </c>
      <c r="N212">
        <v>0</v>
      </c>
      <c r="O212">
        <v>3.2793409999999999E-3</v>
      </c>
      <c r="P212">
        <v>0.98534860000000002</v>
      </c>
      <c r="Q212">
        <v>0.16661570000000001</v>
      </c>
      <c r="R212">
        <v>-3.6437070000000002E-2</v>
      </c>
      <c r="S212">
        <v>3.1630859999999998</v>
      </c>
      <c r="T212">
        <v>-0.68810550000000004</v>
      </c>
      <c r="U212">
        <v>-4.0191650000000002E-2</v>
      </c>
      <c r="V212">
        <v>3.997436E-2</v>
      </c>
      <c r="W212">
        <v>0.18132100000000001</v>
      </c>
      <c r="X212">
        <v>0.98261120000000002</v>
      </c>
      <c r="Y212">
        <v>1.554461E-2</v>
      </c>
      <c r="Z212">
        <v>-2.3763999999999999E-3</v>
      </c>
      <c r="AA212">
        <v>0.9998764</v>
      </c>
      <c r="AB212">
        <v>27</v>
      </c>
      <c r="AC212">
        <v>0.57390000000003705</v>
      </c>
      <c r="AD212">
        <v>-0.1827664</v>
      </c>
      <c r="AE212">
        <v>-1.12999999999487E-2</v>
      </c>
      <c r="AF212">
        <v>1.1968771915975999E-2</v>
      </c>
      <c r="AG212">
        <v>-0.1827664</v>
      </c>
      <c r="AH212">
        <v>0.52103715022143005</v>
      </c>
      <c r="AI212">
        <v>109.324835366168</v>
      </c>
      <c r="AJ212">
        <v>88.684087043616003</v>
      </c>
      <c r="AK212">
        <v>0.55229206076224402</v>
      </c>
      <c r="AL212">
        <v>79.553286357070604</v>
      </c>
      <c r="AM212">
        <v>87.670391047051496</v>
      </c>
      <c r="AN212">
        <v>1.0000000124319199</v>
      </c>
    </row>
    <row r="213" spans="1:40" x14ac:dyDescent="0.25">
      <c r="A213" t="str">
        <f>"20190312172901275"</f>
        <v>20190312172901275</v>
      </c>
      <c r="B213" t="str">
        <f>"1552382941267554"</f>
        <v>1552382941267554</v>
      </c>
      <c r="C213" t="s">
        <v>40</v>
      </c>
      <c r="D213">
        <v>3.668971</v>
      </c>
      <c r="E213">
        <v>0.50353219999999999</v>
      </c>
      <c r="F213" t="s">
        <v>42</v>
      </c>
      <c r="G213">
        <v>-438.50749999999999</v>
      </c>
      <c r="H213">
        <v>0.95083379999999995</v>
      </c>
      <c r="I213">
        <v>368.52710000000002</v>
      </c>
      <c r="J213">
        <v>-439.05939999999998</v>
      </c>
      <c r="K213">
        <v>1.102706</v>
      </c>
      <c r="L213">
        <v>368.55149999999998</v>
      </c>
      <c r="M213">
        <v>0.99984930000000005</v>
      </c>
      <c r="N213">
        <v>0</v>
      </c>
      <c r="O213">
        <v>2.4373239999999998E-3</v>
      </c>
      <c r="P213">
        <v>0.9857013</v>
      </c>
      <c r="Q213">
        <v>0.16434860000000001</v>
      </c>
      <c r="R213">
        <v>-3.7186860000000002E-2</v>
      </c>
      <c r="S213">
        <v>3.1396480000000002</v>
      </c>
      <c r="T213">
        <v>-0.58239049999999903</v>
      </c>
      <c r="U213">
        <v>-9.1827389999999995E-2</v>
      </c>
      <c r="V213">
        <v>3.9890849999999999E-2</v>
      </c>
      <c r="W213">
        <v>0.18120459999999999</v>
      </c>
      <c r="X213">
        <v>0.98263599999999995</v>
      </c>
      <c r="Y213">
        <v>3.110009E-2</v>
      </c>
      <c r="Z213">
        <v>-3.3077369999999998E-3</v>
      </c>
      <c r="AA213">
        <v>0.99951080000000003</v>
      </c>
      <c r="AB213">
        <v>27</v>
      </c>
      <c r="AC213">
        <v>0.55189999999998895</v>
      </c>
      <c r="AD213">
        <v>-0.15187220000000001</v>
      </c>
      <c r="AE213">
        <v>-2.43999999999573E-2</v>
      </c>
      <c r="AF213">
        <v>2.3936262434790499E-2</v>
      </c>
      <c r="AG213">
        <v>-0.15187220000000001</v>
      </c>
      <c r="AH213">
        <v>0.51306326894151399</v>
      </c>
      <c r="AI213">
        <v>106.472371342176</v>
      </c>
      <c r="AJ213">
        <v>87.328880895040797</v>
      </c>
      <c r="AK213">
        <v>0.53560435745906598</v>
      </c>
      <c r="AL213">
        <v>79.560067241461098</v>
      </c>
      <c r="AM213">
        <v>87.675311070673899</v>
      </c>
      <c r="AN213">
        <v>0.99999994773543899</v>
      </c>
    </row>
    <row r="214" spans="1:40" x14ac:dyDescent="0.25">
      <c r="A214" t="str">
        <f>"20190312172901297"</f>
        <v>20190312172901297</v>
      </c>
      <c r="B214" t="str">
        <f>"1552382941288050"</f>
        <v>1552382941288050</v>
      </c>
      <c r="C214" t="s">
        <v>40</v>
      </c>
      <c r="D214">
        <v>3.2108189999999999</v>
      </c>
      <c r="E214">
        <v>0.50984050000000003</v>
      </c>
      <c r="F214" t="s">
        <v>42</v>
      </c>
      <c r="G214">
        <v>-438.26310000000001</v>
      </c>
      <c r="H214">
        <v>0.96239300000000005</v>
      </c>
      <c r="I214">
        <v>368.52510000000001</v>
      </c>
      <c r="J214">
        <v>-438.79270000000002</v>
      </c>
      <c r="K214">
        <v>1.1011879999999901</v>
      </c>
      <c r="L214">
        <v>368.55119999999999</v>
      </c>
      <c r="M214">
        <v>0.99981600000000004</v>
      </c>
      <c r="N214">
        <v>0</v>
      </c>
      <c r="O214">
        <v>1.580501E-3</v>
      </c>
      <c r="P214">
        <v>0.98599479999999995</v>
      </c>
      <c r="Q214">
        <v>0.1623057</v>
      </c>
      <c r="R214">
        <v>-3.8360070000000003E-2</v>
      </c>
      <c r="S214">
        <v>3.1316220000000001</v>
      </c>
      <c r="T214">
        <v>-0.55180439999999997</v>
      </c>
      <c r="U214">
        <v>-0.102478</v>
      </c>
      <c r="V214">
        <v>4.0221100000000003E-2</v>
      </c>
      <c r="W214">
        <v>0.18106120000000001</v>
      </c>
      <c r="X214">
        <v>0.98264899999999999</v>
      </c>
      <c r="Y214">
        <v>3.3742420000000002E-2</v>
      </c>
      <c r="Z214">
        <v>-3.225622E-3</v>
      </c>
      <c r="AA214">
        <v>0.99942540000000002</v>
      </c>
      <c r="AB214">
        <v>26</v>
      </c>
      <c r="AC214">
        <v>0.52960000000001595</v>
      </c>
      <c r="AD214">
        <v>-0.138794999999999</v>
      </c>
      <c r="AE214">
        <v>-2.6099999999985302E-2</v>
      </c>
      <c r="AF214">
        <v>2.52098510248117E-2</v>
      </c>
      <c r="AG214">
        <v>-0.138794999999999</v>
      </c>
      <c r="AH214">
        <v>0.49560099922387602</v>
      </c>
      <c r="AI214">
        <v>105.625896944383</v>
      </c>
      <c r="AJ214">
        <v>87.088032106543594</v>
      </c>
      <c r="AK214">
        <v>0.51528626902470198</v>
      </c>
      <c r="AL214">
        <v>79.568421949445295</v>
      </c>
      <c r="AM214">
        <v>87.656117692503301</v>
      </c>
      <c r="AN214">
        <v>0.99999997611582403</v>
      </c>
    </row>
    <row r="215" spans="1:40" x14ac:dyDescent="0.25">
      <c r="A215" t="str">
        <f>"20190312172901318"</f>
        <v>20190312172901318</v>
      </c>
      <c r="B215" t="str">
        <f>"1552382941307572"</f>
        <v>1552382941307572</v>
      </c>
      <c r="C215" t="s">
        <v>40</v>
      </c>
      <c r="D215">
        <v>3.211789</v>
      </c>
      <c r="E215">
        <v>0.50924579999999997</v>
      </c>
      <c r="F215" t="s">
        <v>42</v>
      </c>
      <c r="G215">
        <v>-437.97239999999999</v>
      </c>
      <c r="H215">
        <v>1.039353</v>
      </c>
      <c r="I215">
        <v>368.50619999999998</v>
      </c>
      <c r="J215">
        <v>-438.53879999999998</v>
      </c>
      <c r="K215">
        <v>1.0996220000000001</v>
      </c>
      <c r="L215">
        <v>368.55079999999998</v>
      </c>
      <c r="M215">
        <v>0.99979059999999997</v>
      </c>
      <c r="N215">
        <v>0</v>
      </c>
      <c r="O215">
        <v>7.2777839999999905E-4</v>
      </c>
      <c r="P215">
        <v>0.98609760000000002</v>
      </c>
      <c r="Q215">
        <v>0.16144020000000001</v>
      </c>
      <c r="R215">
        <v>-3.9352280000000003E-2</v>
      </c>
      <c r="S215">
        <v>3.0742189999999998</v>
      </c>
      <c r="T215">
        <v>-0.231851</v>
      </c>
      <c r="U215">
        <v>-0.16778560000000001</v>
      </c>
      <c r="V215">
        <v>4.0376179999999998E-2</v>
      </c>
      <c r="W215">
        <v>0.18150430000000001</v>
      </c>
      <c r="X215">
        <v>0.98256089999999996</v>
      </c>
      <c r="Y215">
        <v>5.5066049999999998E-2</v>
      </c>
      <c r="Z215">
        <v>-2.1267819999999998E-3</v>
      </c>
      <c r="AA215">
        <v>0.99848040000000005</v>
      </c>
      <c r="AB215">
        <v>26</v>
      </c>
      <c r="AC215">
        <v>0.56639999999998702</v>
      </c>
      <c r="AD215">
        <v>-6.0268999999999899E-2</v>
      </c>
      <c r="AE215">
        <v>-4.4600000000002603E-2</v>
      </c>
      <c r="AF215">
        <v>4.4511414235067902E-2</v>
      </c>
      <c r="AG215">
        <v>-6.0268999999999899E-2</v>
      </c>
      <c r="AH215">
        <v>0.56006513588234097</v>
      </c>
      <c r="AI215">
        <v>96.122844101137304</v>
      </c>
      <c r="AJ215">
        <v>85.455944829068898</v>
      </c>
      <c r="AK215">
        <v>0.56505448833640004</v>
      </c>
      <c r="AL215">
        <v>79.542606541002797</v>
      </c>
      <c r="AM215">
        <v>87.6468798185564</v>
      </c>
      <c r="AN215">
        <v>0.99999998451934602</v>
      </c>
    </row>
    <row r="216" spans="1:40" x14ac:dyDescent="0.25">
      <c r="A216" t="str">
        <f>"20190312172901341"</f>
        <v>20190312172901341</v>
      </c>
      <c r="B216" t="str">
        <f>"1552382941337826"</f>
        <v>1552382941337826</v>
      </c>
      <c r="C216" t="s">
        <v>40</v>
      </c>
      <c r="D216">
        <v>3.2230210000000001</v>
      </c>
      <c r="E216">
        <v>0.50804490000000002</v>
      </c>
      <c r="F216" t="s">
        <v>42</v>
      </c>
      <c r="G216">
        <v>-437.74650000000003</v>
      </c>
      <c r="H216">
        <v>1.0333859999999999</v>
      </c>
      <c r="I216">
        <v>368.50830000000002</v>
      </c>
      <c r="J216">
        <v>-438.2663</v>
      </c>
      <c r="K216">
        <v>1.097823</v>
      </c>
      <c r="L216">
        <v>368.55</v>
      </c>
      <c r="M216">
        <v>0.99977119999999997</v>
      </c>
      <c r="N216">
        <v>0</v>
      </c>
      <c r="O216">
        <v>-1.9281880000000001E-4</v>
      </c>
      <c r="P216">
        <v>0.98611230000000005</v>
      </c>
      <c r="Q216">
        <v>0.16114210000000001</v>
      </c>
      <c r="R216">
        <v>-4.0199930000000002E-2</v>
      </c>
      <c r="S216">
        <v>3.0778500000000002</v>
      </c>
      <c r="T216">
        <v>-0.2573414</v>
      </c>
      <c r="U216">
        <v>-0.1649475</v>
      </c>
      <c r="V216">
        <v>4.032123E-2</v>
      </c>
      <c r="W216">
        <v>0.1821345</v>
      </c>
      <c r="X216">
        <v>0.98244659999999995</v>
      </c>
      <c r="Y216">
        <v>5.3138199999999997E-2</v>
      </c>
      <c r="Z216">
        <v>-2.1999260000000001E-3</v>
      </c>
      <c r="AA216">
        <v>0.99858469999999999</v>
      </c>
      <c r="AB216">
        <v>26</v>
      </c>
      <c r="AC216">
        <v>0.51979999999997495</v>
      </c>
      <c r="AD216">
        <v>-6.44369999999998E-2</v>
      </c>
      <c r="AE216">
        <v>-4.1699999999991598E-2</v>
      </c>
      <c r="AF216">
        <v>4.0974113291938598E-2</v>
      </c>
      <c r="AG216">
        <v>-6.44369999999998E-2</v>
      </c>
      <c r="AH216">
        <v>0.51199042530875405</v>
      </c>
      <c r="AI216">
        <v>97.150670075318104</v>
      </c>
      <c r="AJ216">
        <v>85.424424225111807</v>
      </c>
      <c r="AK216">
        <v>0.51765355261690105</v>
      </c>
      <c r="AL216">
        <v>79.505887383316505</v>
      </c>
      <c r="AM216">
        <v>87.649805618623105</v>
      </c>
      <c r="AN216">
        <v>1.0000000497652599</v>
      </c>
    </row>
    <row r="217" spans="1:40" x14ac:dyDescent="0.25">
      <c r="A217" t="str">
        <f>"20190312172901364"</f>
        <v>20190312172901364</v>
      </c>
      <c r="B217" t="str">
        <f>"1552382941357346"</f>
        <v>1552382941357346</v>
      </c>
      <c r="C217" t="s">
        <v>40</v>
      </c>
      <c r="D217">
        <v>3.1681810000000001</v>
      </c>
      <c r="E217">
        <v>0.50797380000000003</v>
      </c>
      <c r="F217" t="s">
        <v>42</v>
      </c>
      <c r="G217">
        <v>-437.50779999999997</v>
      </c>
      <c r="H217">
        <v>1.029495</v>
      </c>
      <c r="I217">
        <v>368.5111</v>
      </c>
      <c r="J217">
        <v>-437.99799999999999</v>
      </c>
      <c r="K217">
        <v>1.095961</v>
      </c>
      <c r="L217">
        <v>368.54899999999998</v>
      </c>
      <c r="M217">
        <v>0.99975429999999998</v>
      </c>
      <c r="N217">
        <v>0</v>
      </c>
      <c r="O217">
        <v>-1.0482639999999999E-3</v>
      </c>
      <c r="P217">
        <v>0.98608989999999996</v>
      </c>
      <c r="Q217">
        <v>0.1609497</v>
      </c>
      <c r="R217">
        <v>-4.1499920000000003E-2</v>
      </c>
      <c r="S217">
        <v>3.0812680000000001</v>
      </c>
      <c r="T217">
        <v>-0.277802299999999</v>
      </c>
      <c r="U217">
        <v>-0.15670780000000001</v>
      </c>
      <c r="V217">
        <v>4.0785399999999999E-2</v>
      </c>
      <c r="W217">
        <v>0.18267829999999999</v>
      </c>
      <c r="X217">
        <v>0.98232640000000004</v>
      </c>
      <c r="Y217">
        <v>4.9549160000000002E-2</v>
      </c>
      <c r="Z217">
        <v>-2.133406E-3</v>
      </c>
      <c r="AA217">
        <v>0.99876940000000003</v>
      </c>
      <c r="AB217">
        <v>27</v>
      </c>
      <c r="AC217">
        <v>0.49020000000007202</v>
      </c>
      <c r="AD217">
        <v>-6.64659999999999E-2</v>
      </c>
      <c r="AE217">
        <v>-3.7900000000036002E-2</v>
      </c>
      <c r="AF217">
        <v>3.6715016794044E-2</v>
      </c>
      <c r="AG217">
        <v>-6.64659999999999E-2</v>
      </c>
      <c r="AH217">
        <v>0.48144099854723998</v>
      </c>
      <c r="AI217">
        <v>97.837886456809997</v>
      </c>
      <c r="AJ217">
        <v>85.639025982854207</v>
      </c>
      <c r="AK217">
        <v>0.48739220007746298</v>
      </c>
      <c r="AL217">
        <v>79.474197589587504</v>
      </c>
      <c r="AM217">
        <v>87.622490960444196</v>
      </c>
      <c r="AN217">
        <v>0.99999998314050498</v>
      </c>
    </row>
    <row r="218" spans="1:40" x14ac:dyDescent="0.25">
      <c r="A218" t="str">
        <f>"20190312172901385"</f>
        <v>20190312172901385</v>
      </c>
      <c r="B218" t="str">
        <f>"1552382941377843"</f>
        <v>1552382941377843</v>
      </c>
      <c r="C218" t="s">
        <v>40</v>
      </c>
      <c r="D218">
        <v>3.1778680000000001</v>
      </c>
      <c r="E218">
        <v>0.5073742</v>
      </c>
      <c r="F218" t="s">
        <v>42</v>
      </c>
      <c r="G218">
        <v>-437.0401</v>
      </c>
      <c r="H218">
        <v>1.007009</v>
      </c>
      <c r="I218">
        <v>368.49900000000002</v>
      </c>
      <c r="J218">
        <v>-437.7364</v>
      </c>
      <c r="K218">
        <v>1.0940270000000001</v>
      </c>
      <c r="L218">
        <v>368.5478</v>
      </c>
      <c r="M218">
        <v>0.99973990000000001</v>
      </c>
      <c r="N218">
        <v>0</v>
      </c>
      <c r="O218">
        <v>-1.8542579999999999E-3</v>
      </c>
      <c r="P218">
        <v>0.98618499999999998</v>
      </c>
      <c r="Q218">
        <v>0.16009179999999901</v>
      </c>
      <c r="R218">
        <v>-4.2543919999999999E-2</v>
      </c>
      <c r="S218">
        <v>3.082306</v>
      </c>
      <c r="T218">
        <v>-0.28636009999999901</v>
      </c>
      <c r="U218">
        <v>-0.1597595</v>
      </c>
      <c r="V218">
        <v>4.1041939999999999E-2</v>
      </c>
      <c r="W218">
        <v>0.18239839999999999</v>
      </c>
      <c r="X218">
        <v>0.98236780000000001</v>
      </c>
      <c r="Y218">
        <v>4.9703850000000001E-2</v>
      </c>
      <c r="Z218">
        <v>-2.1305339999999999E-3</v>
      </c>
      <c r="AA218">
        <v>0.99876169999999997</v>
      </c>
      <c r="AB218">
        <v>27</v>
      </c>
      <c r="AC218">
        <v>0.69630000000000702</v>
      </c>
      <c r="AD218">
        <v>-8.7017999999999998E-2</v>
      </c>
      <c r="AE218">
        <v>-4.8799999999971498E-2</v>
      </c>
      <c r="AF218">
        <v>4.6781401848154901E-2</v>
      </c>
      <c r="AG218">
        <v>-8.7017999999999998E-2</v>
      </c>
      <c r="AH218">
        <v>0.685731900867252</v>
      </c>
      <c r="AI218">
        <v>97.215471033800299</v>
      </c>
      <c r="AJ218">
        <v>86.097264559711405</v>
      </c>
      <c r="AK218">
        <v>0.69281229185825799</v>
      </c>
      <c r="AL218">
        <v>79.490509498857193</v>
      </c>
      <c r="AM218">
        <v>87.607654468712695</v>
      </c>
      <c r="AN218">
        <v>1.0000000558191799</v>
      </c>
    </row>
    <row r="219" spans="1:40" x14ac:dyDescent="0.25">
      <c r="A219" t="str">
        <f>"20190312172901410"</f>
        <v>20190312172901410</v>
      </c>
      <c r="B219" t="str">
        <f>"1552382941397362"</f>
        <v>1552382941397362</v>
      </c>
      <c r="C219" t="s">
        <v>40</v>
      </c>
      <c r="D219">
        <v>3.1850260000000001</v>
      </c>
      <c r="E219">
        <v>0.50718370000000002</v>
      </c>
      <c r="F219" t="s">
        <v>42</v>
      </c>
      <c r="G219">
        <v>-436.80110000000002</v>
      </c>
      <c r="H219">
        <v>1.004391</v>
      </c>
      <c r="I219">
        <v>368.49990000000003</v>
      </c>
      <c r="J219">
        <v>-437.45139999999998</v>
      </c>
      <c r="K219">
        <v>1.0917269999999999</v>
      </c>
      <c r="L219">
        <v>368.54629999999997</v>
      </c>
      <c r="M219">
        <v>0.99973109999999998</v>
      </c>
      <c r="N219">
        <v>0</v>
      </c>
      <c r="O219">
        <v>-2.734785E-3</v>
      </c>
      <c r="P219">
        <v>0.98622140000000003</v>
      </c>
      <c r="Q219">
        <v>0.1597104</v>
      </c>
      <c r="R219">
        <v>-4.3130130000000003E-2</v>
      </c>
      <c r="S219">
        <v>3.0831909999999998</v>
      </c>
      <c r="T219">
        <v>-0.29549370000000003</v>
      </c>
      <c r="U219">
        <v>-0.15811159999999999</v>
      </c>
      <c r="V219">
        <v>4.0766860000000002E-2</v>
      </c>
      <c r="W219">
        <v>0.1823108</v>
      </c>
      <c r="X219">
        <v>0.98239549999999998</v>
      </c>
      <c r="Y219">
        <v>4.8274289999999997E-2</v>
      </c>
      <c r="Z219">
        <v>-2.0451190000000002E-3</v>
      </c>
      <c r="AA219">
        <v>0.99883200000000005</v>
      </c>
      <c r="AB219">
        <v>27</v>
      </c>
      <c r="AC219">
        <v>0.65029999999995802</v>
      </c>
      <c r="AD219">
        <v>-8.7335999999999997E-2</v>
      </c>
      <c r="AE219">
        <v>-4.6399999999948698E-2</v>
      </c>
      <c r="AF219">
        <v>4.38342990217453E-2</v>
      </c>
      <c r="AG219">
        <v>-8.7335999999999997E-2</v>
      </c>
      <c r="AH219">
        <v>0.63895812144945396</v>
      </c>
      <c r="AI219">
        <v>97.765214717631693</v>
      </c>
      <c r="AJ219">
        <v>86.075499609431603</v>
      </c>
      <c r="AK219">
        <v>0.64638727063034196</v>
      </c>
      <c r="AL219">
        <v>79.495614048607393</v>
      </c>
      <c r="AM219">
        <v>87.623737438249705</v>
      </c>
      <c r="AN219">
        <v>1.0000000415455701</v>
      </c>
    </row>
    <row r="220" spans="1:40" x14ac:dyDescent="0.25">
      <c r="A220" t="str">
        <f>"20190312172901430"</f>
        <v>20190312172901430</v>
      </c>
      <c r="B220" t="str">
        <f>"1552382941427619"</f>
        <v>1552382941427619</v>
      </c>
      <c r="C220" t="s">
        <v>40</v>
      </c>
      <c r="D220">
        <v>3.1990940000000001</v>
      </c>
      <c r="E220">
        <v>0.50661339999999999</v>
      </c>
      <c r="F220" t="s">
        <v>42</v>
      </c>
      <c r="G220">
        <v>-436.56049999999999</v>
      </c>
      <c r="H220">
        <v>1.004864</v>
      </c>
      <c r="I220">
        <v>368.50020000000001</v>
      </c>
      <c r="J220">
        <v>-437.19819999999999</v>
      </c>
      <c r="K220">
        <v>1.089515</v>
      </c>
      <c r="L220">
        <v>368.5446</v>
      </c>
      <c r="M220">
        <v>0.99973029999999996</v>
      </c>
      <c r="N220">
        <v>0</v>
      </c>
      <c r="O220">
        <v>-3.5182270000000001E-3</v>
      </c>
      <c r="P220">
        <v>0.98614369999999996</v>
      </c>
      <c r="Q220">
        <v>0.1599671</v>
      </c>
      <c r="R220">
        <v>-4.3947550000000002E-2</v>
      </c>
      <c r="S220">
        <v>3.08371</v>
      </c>
      <c r="T220">
        <v>-0.30079939999999999</v>
      </c>
      <c r="U220">
        <v>-0.15811159999999999</v>
      </c>
      <c r="V220">
        <v>4.0818640000000003E-2</v>
      </c>
      <c r="W220">
        <v>0.18248890000000001</v>
      </c>
      <c r="X220">
        <v>0.98236020000000002</v>
      </c>
      <c r="Y220">
        <v>4.748293E-2</v>
      </c>
      <c r="Z220">
        <v>-1.9666340000000001E-3</v>
      </c>
      <c r="AA220">
        <v>0.99887009999999998</v>
      </c>
      <c r="AB220">
        <v>27</v>
      </c>
      <c r="AC220">
        <v>0.63769999999999505</v>
      </c>
      <c r="AD220">
        <v>-8.4651000000000004E-2</v>
      </c>
      <c r="AE220">
        <v>-4.4399999999995998E-2</v>
      </c>
      <c r="AF220">
        <v>4.1429059384259198E-2</v>
      </c>
      <c r="AG220">
        <v>-8.4651000000000004E-2</v>
      </c>
      <c r="AH220">
        <v>0.62685967558358002</v>
      </c>
      <c r="AI220">
        <v>97.674145433310599</v>
      </c>
      <c r="AJ220">
        <v>86.2188295788403</v>
      </c>
      <c r="AK220">
        <v>0.63390473387979696</v>
      </c>
      <c r="AL220">
        <v>79.485234712122804</v>
      </c>
      <c r="AM220">
        <v>87.620637297966098</v>
      </c>
      <c r="AN220">
        <v>0.99999996126934898</v>
      </c>
    </row>
    <row r="221" spans="1:40" x14ac:dyDescent="0.25">
      <c r="A221" t="str">
        <f>"20190312172901452"</f>
        <v>20190312172901452</v>
      </c>
      <c r="B221" t="str">
        <f>"1552382941448115"</f>
        <v>1552382941448115</v>
      </c>
      <c r="C221" t="s">
        <v>40</v>
      </c>
      <c r="D221">
        <v>3.1460750000000002</v>
      </c>
      <c r="E221">
        <v>0.48381659999999999</v>
      </c>
      <c r="F221" t="s">
        <v>42</v>
      </c>
      <c r="G221">
        <v>-436.32080000000002</v>
      </c>
      <c r="H221">
        <v>1.003401</v>
      </c>
      <c r="I221">
        <v>368.50040000000001</v>
      </c>
      <c r="J221">
        <v>-436.9325</v>
      </c>
      <c r="K221">
        <v>1.0870550000000001</v>
      </c>
      <c r="L221">
        <v>368.5428</v>
      </c>
      <c r="M221">
        <v>0.99973500000000004</v>
      </c>
      <c r="N221">
        <v>0</v>
      </c>
      <c r="O221">
        <v>-4.3104099999999998E-3</v>
      </c>
      <c r="P221">
        <v>0.98609049999999998</v>
      </c>
      <c r="Q221">
        <v>0.16000529999999999</v>
      </c>
      <c r="R221">
        <v>-4.4984900000000001E-2</v>
      </c>
      <c r="S221">
        <v>3.0843509999999998</v>
      </c>
      <c r="T221">
        <v>-0.30275400000000002</v>
      </c>
      <c r="U221">
        <v>-0.15554809999999999</v>
      </c>
      <c r="V221">
        <v>4.1081890000000003E-2</v>
      </c>
      <c r="W221">
        <v>0.18219070000000001</v>
      </c>
      <c r="X221">
        <v>0.98240459999999996</v>
      </c>
      <c r="Y221">
        <v>4.5861699999999998E-2</v>
      </c>
      <c r="Z221">
        <v>-1.82212E-3</v>
      </c>
      <c r="AA221">
        <v>0.99894609999999995</v>
      </c>
      <c r="AB221">
        <v>27</v>
      </c>
      <c r="AC221">
        <v>0.61169999999998403</v>
      </c>
      <c r="AD221">
        <v>-8.3653999999999895E-2</v>
      </c>
      <c r="AE221">
        <v>-4.23999999999864E-2</v>
      </c>
      <c r="AF221">
        <v>3.9035685052037798E-2</v>
      </c>
      <c r="AG221">
        <v>-8.3653999999999895E-2</v>
      </c>
      <c r="AH221">
        <v>0.60069639958412202</v>
      </c>
      <c r="AI221">
        <v>97.911642155788897</v>
      </c>
      <c r="AJ221">
        <v>86.281916032890507</v>
      </c>
      <c r="AK221">
        <v>0.607748254540323</v>
      </c>
      <c r="AL221">
        <v>79.502611885323603</v>
      </c>
      <c r="AM221">
        <v>87.605418080094694</v>
      </c>
      <c r="AN221">
        <v>0.99999998547681002</v>
      </c>
    </row>
    <row r="222" spans="1:40" x14ac:dyDescent="0.25">
      <c r="A222" t="str">
        <f>"20190312172901475"</f>
        <v>20190312172901475</v>
      </c>
      <c r="B222" t="str">
        <f>"1552382941467634"</f>
        <v>1552382941467634</v>
      </c>
      <c r="C222" t="s">
        <v>40</v>
      </c>
      <c r="D222">
        <v>3.1577419999999998</v>
      </c>
      <c r="E222">
        <v>0.48010330000000001</v>
      </c>
      <c r="F222" t="s">
        <v>43</v>
      </c>
      <c r="G222">
        <v>-420.46910000000003</v>
      </c>
      <c r="H222">
        <v>-0.05</v>
      </c>
      <c r="I222">
        <v>368.65300000000002</v>
      </c>
      <c r="J222">
        <v>-436.66750000000002</v>
      </c>
      <c r="K222">
        <v>1.0845229999999999</v>
      </c>
      <c r="L222">
        <v>368.54059999999998</v>
      </c>
      <c r="M222">
        <v>0.9997412</v>
      </c>
      <c r="N222">
        <v>0</v>
      </c>
      <c r="O222">
        <v>-5.0620429999999996E-3</v>
      </c>
      <c r="P222">
        <v>0.9859985</v>
      </c>
      <c r="Q222">
        <v>0.16034880000000001</v>
      </c>
      <c r="R222">
        <v>-4.5774639999999998E-2</v>
      </c>
      <c r="S222">
        <v>3.0777589999999999</v>
      </c>
      <c r="T222">
        <v>-0.21256729999999999</v>
      </c>
      <c r="U222">
        <v>2.0599369999999999E-2</v>
      </c>
      <c r="V222">
        <v>4.1133910000000003E-2</v>
      </c>
      <c r="W222">
        <v>0.1821054</v>
      </c>
      <c r="X222">
        <v>0.98241820000000002</v>
      </c>
      <c r="Y222">
        <v>-1.1715949999999999E-2</v>
      </c>
      <c r="Z222">
        <v>7.533784E-4</v>
      </c>
      <c r="AA222">
        <v>0.99993109999999996</v>
      </c>
      <c r="AB222">
        <v>27</v>
      </c>
      <c r="AC222">
        <v>16.1983999999999</v>
      </c>
      <c r="AD222">
        <v>-1.1345229999999999</v>
      </c>
      <c r="AE222">
        <v>0.112400000000036</v>
      </c>
      <c r="AF222">
        <v>-0.19346672813730501</v>
      </c>
      <c r="AG222">
        <v>-1.1345229999999999</v>
      </c>
      <c r="AH222">
        <v>16.118557634690799</v>
      </c>
      <c r="AI222">
        <v>94.025899435168995</v>
      </c>
      <c r="AJ222">
        <v>90.687672866375294</v>
      </c>
      <c r="AK222">
        <v>16.159593807867601</v>
      </c>
      <c r="AL222">
        <v>79.507581962748205</v>
      </c>
      <c r="AM222">
        <v>87.602422626016605</v>
      </c>
      <c r="AN222">
        <v>0.99999994747614196</v>
      </c>
    </row>
    <row r="223" spans="1:40" x14ac:dyDescent="0.25">
      <c r="A223" t="str">
        <f>"20190312172901497"</f>
        <v>20190312172901497</v>
      </c>
      <c r="B223" t="str">
        <f>"1552382941488134"</f>
        <v>1552382941488134</v>
      </c>
      <c r="C223" t="s">
        <v>40</v>
      </c>
      <c r="D223">
        <v>3.2287340000000002</v>
      </c>
      <c r="E223">
        <v>0.4782014</v>
      </c>
      <c r="F223" t="s">
        <v>43</v>
      </c>
      <c r="G223">
        <v>-417.26769999999999</v>
      </c>
      <c r="H223">
        <v>-0.05</v>
      </c>
      <c r="I223">
        <v>368.83199999999999</v>
      </c>
      <c r="J223">
        <v>-436.39589999999998</v>
      </c>
      <c r="K223">
        <v>1.081933</v>
      </c>
      <c r="L223">
        <v>368.53829999999999</v>
      </c>
      <c r="M223">
        <v>0.99974859999999999</v>
      </c>
      <c r="N223">
        <v>0</v>
      </c>
      <c r="O223">
        <v>-5.8723459999999996E-3</v>
      </c>
      <c r="P223">
        <v>0.98589269999999996</v>
      </c>
      <c r="Q223">
        <v>0.16086549999999999</v>
      </c>
      <c r="R223">
        <v>-4.6240339999999998E-2</v>
      </c>
      <c r="S223">
        <v>3.0739749999999999</v>
      </c>
      <c r="T223">
        <v>-0.17976979999999901</v>
      </c>
      <c r="U223">
        <v>4.6173100000000002E-2</v>
      </c>
      <c r="V223">
        <v>4.0794190000000001E-2</v>
      </c>
      <c r="W223">
        <v>0.18208759999999999</v>
      </c>
      <c r="X223">
        <v>0.98243570000000002</v>
      </c>
      <c r="Y223">
        <v>-2.0846110000000001E-2</v>
      </c>
      <c r="Z223">
        <v>9.5219040000000003E-4</v>
      </c>
      <c r="AA223">
        <v>0.99978230000000001</v>
      </c>
      <c r="AB223">
        <v>27</v>
      </c>
      <c r="AC223">
        <v>19.1282</v>
      </c>
      <c r="AD223">
        <v>-1.1319330000000001</v>
      </c>
      <c r="AE223">
        <v>0.29370000000000102</v>
      </c>
      <c r="AF223">
        <v>-0.40463203764212002</v>
      </c>
      <c r="AG223">
        <v>-1.1319330000000001</v>
      </c>
      <c r="AH223">
        <v>19.059418087428899</v>
      </c>
      <c r="AI223">
        <v>93.398022658881899</v>
      </c>
      <c r="AJ223">
        <v>91.216208478787294</v>
      </c>
      <c r="AK223">
        <v>19.0972882167544</v>
      </c>
      <c r="AL223">
        <v>79.508619538813093</v>
      </c>
      <c r="AM223">
        <v>87.622243412812907</v>
      </c>
      <c r="AN223">
        <v>0.99999998232300202</v>
      </c>
    </row>
    <row r="224" spans="1:40" x14ac:dyDescent="0.25">
      <c r="A224" t="str">
        <f>"20190312172901519"</f>
        <v>20190312172901519</v>
      </c>
      <c r="B224" t="str">
        <f>"1552382941507653"</f>
        <v>1552382941507653</v>
      </c>
      <c r="C224" t="s">
        <v>40</v>
      </c>
      <c r="D224">
        <v>3.2105030000000001</v>
      </c>
      <c r="E224">
        <v>0.47745009999999999</v>
      </c>
      <c r="F224" t="s">
        <v>43</v>
      </c>
      <c r="G224">
        <v>-414.48660000000001</v>
      </c>
      <c r="H224">
        <v>-0.05</v>
      </c>
      <c r="I224">
        <v>368.95830000000001</v>
      </c>
      <c r="J224">
        <v>-436.13479999999998</v>
      </c>
      <c r="K224">
        <v>1.079485</v>
      </c>
      <c r="L224">
        <v>368.53579999999999</v>
      </c>
      <c r="M224">
        <v>0.99975769999999997</v>
      </c>
      <c r="N224">
        <v>0</v>
      </c>
      <c r="O224">
        <v>-6.7178180000000004E-3</v>
      </c>
      <c r="P224">
        <v>0.98574870000000003</v>
      </c>
      <c r="Q224">
        <v>0.16151460000000001</v>
      </c>
      <c r="R224">
        <v>-4.7041779999999998E-2</v>
      </c>
      <c r="S224">
        <v>3.071625</v>
      </c>
      <c r="T224">
        <v>-0.15869369999999999</v>
      </c>
      <c r="U224">
        <v>5.8868410000000003E-2</v>
      </c>
      <c r="V224">
        <v>4.075053E-2</v>
      </c>
      <c r="W224">
        <v>0.18208199999999999</v>
      </c>
      <c r="X224">
        <v>0.98243860000000005</v>
      </c>
      <c r="Y224">
        <v>-2.5835940000000002E-2</v>
      </c>
      <c r="Z224">
        <v>1.013782E-3</v>
      </c>
      <c r="AA224">
        <v>0.99966569999999999</v>
      </c>
      <c r="AB224">
        <v>27</v>
      </c>
      <c r="AC224">
        <v>21.6481999999999</v>
      </c>
      <c r="AD224">
        <v>-1.1294850000000001</v>
      </c>
      <c r="AE224">
        <v>0.42250000000001298</v>
      </c>
      <c r="AF224">
        <v>-0.56640980771175797</v>
      </c>
      <c r="AG224">
        <v>-1.1294850000000001</v>
      </c>
      <c r="AH224">
        <v>21.586133359855101</v>
      </c>
      <c r="AI224">
        <v>92.9942163866355</v>
      </c>
      <c r="AJ224">
        <v>91.503068934002201</v>
      </c>
      <c r="AK224">
        <v>21.623082802064701</v>
      </c>
      <c r="AL224">
        <v>79.508946372953105</v>
      </c>
      <c r="AM224">
        <v>87.624792294961594</v>
      </c>
      <c r="AN224">
        <v>1.00000003159462</v>
      </c>
    </row>
    <row r="225" spans="1:40" x14ac:dyDescent="0.25">
      <c r="A225" t="str">
        <f>"20190312172901541"</f>
        <v>20190312172901541</v>
      </c>
      <c r="B225" t="str">
        <f>"1552382941537906"</f>
        <v>1552382941537906</v>
      </c>
      <c r="C225" t="s">
        <v>40</v>
      </c>
      <c r="D225">
        <v>3.2895979999999998</v>
      </c>
      <c r="E225">
        <v>0.4767807</v>
      </c>
      <c r="F225" t="s">
        <v>43</v>
      </c>
      <c r="G225">
        <v>-413.27170000000001</v>
      </c>
      <c r="H225">
        <v>-0.05</v>
      </c>
      <c r="I225">
        <v>368.99930000000001</v>
      </c>
      <c r="J225">
        <v>-435.87310000000002</v>
      </c>
      <c r="K225">
        <v>1.077113</v>
      </c>
      <c r="L225">
        <v>368.53320000000002</v>
      </c>
      <c r="M225">
        <v>0.99976750000000003</v>
      </c>
      <c r="N225">
        <v>0</v>
      </c>
      <c r="O225">
        <v>-7.5960389999999997E-3</v>
      </c>
      <c r="P225">
        <v>0.98555979999999999</v>
      </c>
      <c r="Q225">
        <v>0.16246440000000001</v>
      </c>
      <c r="R225">
        <v>-4.7723290000000002E-2</v>
      </c>
      <c r="S225">
        <v>3.0711979999999999</v>
      </c>
      <c r="T225">
        <v>-0.15172359999999999</v>
      </c>
      <c r="U225">
        <v>6.2255860000000003E-2</v>
      </c>
      <c r="V225">
        <v>4.0557969999999999E-2</v>
      </c>
      <c r="W225">
        <v>0.18225959999999999</v>
      </c>
      <c r="X225">
        <v>0.9824136</v>
      </c>
      <c r="Y225">
        <v>-2.7818969999999998E-2</v>
      </c>
      <c r="Z225">
        <v>1.061743E-3</v>
      </c>
      <c r="AA225">
        <v>0.99961239999999996</v>
      </c>
      <c r="AB225">
        <v>27</v>
      </c>
      <c r="AC225">
        <v>22.601400000000002</v>
      </c>
      <c r="AD225">
        <v>-1.12711299999999</v>
      </c>
      <c r="AE225">
        <v>0.46609999999998297</v>
      </c>
      <c r="AF225">
        <v>-0.63622106507930198</v>
      </c>
      <c r="AG225">
        <v>-1.12711299999999</v>
      </c>
      <c r="AH225">
        <v>22.541171869357299</v>
      </c>
      <c r="AI225">
        <v>92.861405537415905</v>
      </c>
      <c r="AJ225">
        <v>91.6167352240969</v>
      </c>
      <c r="AK225">
        <v>22.578299098965001</v>
      </c>
      <c r="AL225">
        <v>79.498597096638505</v>
      </c>
      <c r="AM225">
        <v>87.635943099376703</v>
      </c>
      <c r="AN225">
        <v>0.99999999609381995</v>
      </c>
    </row>
    <row r="226" spans="1:40" x14ac:dyDescent="0.25">
      <c r="A226" t="str">
        <f>"20190312172901564"</f>
        <v>20190312172901564</v>
      </c>
      <c r="B226" t="str">
        <f>"1552382941557426"</f>
        <v>1552382941557426</v>
      </c>
      <c r="C226" t="s">
        <v>40</v>
      </c>
      <c r="D226">
        <v>3.2161590000000002</v>
      </c>
      <c r="E226">
        <v>0.47639870000000001</v>
      </c>
      <c r="F226" t="s">
        <v>43</v>
      </c>
      <c r="G226">
        <v>-411.7158</v>
      </c>
      <c r="H226">
        <v>-0.05</v>
      </c>
      <c r="I226">
        <v>369.0453</v>
      </c>
      <c r="J226">
        <v>-435.6087</v>
      </c>
      <c r="K226">
        <v>1.074854</v>
      </c>
      <c r="L226">
        <v>368.53019999999998</v>
      </c>
      <c r="M226">
        <v>0.99977709999999997</v>
      </c>
      <c r="N226">
        <v>0</v>
      </c>
      <c r="O226">
        <v>-8.4687389999999994E-3</v>
      </c>
      <c r="P226">
        <v>0.98538979999999998</v>
      </c>
      <c r="Q226">
        <v>0.16327459999999999</v>
      </c>
      <c r="R226">
        <v>-4.8461299999999999E-2</v>
      </c>
      <c r="S226">
        <v>3.0707399999999998</v>
      </c>
      <c r="T226">
        <v>-0.14327239999999999</v>
      </c>
      <c r="U226">
        <v>6.5093990000000004E-2</v>
      </c>
      <c r="V226">
        <v>4.043281E-2</v>
      </c>
      <c r="W226">
        <v>0.1822405</v>
      </c>
      <c r="X226">
        <v>0.98242229999999997</v>
      </c>
      <c r="Y226">
        <v>-2.9619630000000001E-2</v>
      </c>
      <c r="Z226">
        <v>1.0854809999999999E-3</v>
      </c>
      <c r="AA226">
        <v>0.99956069999999997</v>
      </c>
      <c r="AB226">
        <v>27</v>
      </c>
      <c r="AC226">
        <v>23.892900000000001</v>
      </c>
      <c r="AD226">
        <v>-1.124854</v>
      </c>
      <c r="AE226">
        <v>0.51510000000001799</v>
      </c>
      <c r="AF226">
        <v>-0.71587615294260598</v>
      </c>
      <c r="AG226">
        <v>-1.124854</v>
      </c>
      <c r="AH226">
        <v>23.834875946082999</v>
      </c>
      <c r="AI226">
        <v>92.700774164840894</v>
      </c>
      <c r="AJ226">
        <v>91.720351110632905</v>
      </c>
      <c r="AK226">
        <v>23.872140384825901</v>
      </c>
      <c r="AL226">
        <v>79.4997100612607</v>
      </c>
      <c r="AM226">
        <v>87.643251076827696</v>
      </c>
      <c r="AN226">
        <v>0.999999993751018</v>
      </c>
    </row>
    <row r="227" spans="1:40" x14ac:dyDescent="0.25">
      <c r="A227" t="str">
        <f>"20190312172901587"</f>
        <v>20190312172901587</v>
      </c>
      <c r="B227" t="str">
        <f>"1552382941577922"</f>
        <v>1552382941577922</v>
      </c>
      <c r="C227" t="s">
        <v>40</v>
      </c>
      <c r="D227">
        <v>3.2154440000000002</v>
      </c>
      <c r="E227">
        <v>0.476105</v>
      </c>
      <c r="F227" t="s">
        <v>43</v>
      </c>
      <c r="G227">
        <v>-410.62979999999999</v>
      </c>
      <c r="H227">
        <v>-0.05</v>
      </c>
      <c r="I227">
        <v>369.0702</v>
      </c>
      <c r="J227">
        <v>-435.32780000000002</v>
      </c>
      <c r="K227">
        <v>1.072668</v>
      </c>
      <c r="L227">
        <v>368.52690000000001</v>
      </c>
      <c r="M227">
        <v>0.9997857</v>
      </c>
      <c r="N227">
        <v>0</v>
      </c>
      <c r="O227">
        <v>-9.3609660000000001E-3</v>
      </c>
      <c r="P227">
        <v>0.98521009999999998</v>
      </c>
      <c r="Q227">
        <v>0.16421569999999999</v>
      </c>
      <c r="R227">
        <v>-4.8930630000000003E-2</v>
      </c>
      <c r="S227">
        <v>3.0706479999999998</v>
      </c>
      <c r="T227">
        <v>-0.13827790000000001</v>
      </c>
      <c r="U227">
        <v>6.6375729999999994E-2</v>
      </c>
      <c r="V227">
        <v>4.0023749999999997E-2</v>
      </c>
      <c r="W227">
        <v>0.1823169</v>
      </c>
      <c r="X227">
        <v>0.98242490000000005</v>
      </c>
      <c r="Y227">
        <v>-3.0929760000000001E-2</v>
      </c>
      <c r="Z227">
        <v>1.117343E-3</v>
      </c>
      <c r="AA227">
        <v>0.99952099999999999</v>
      </c>
      <c r="AB227">
        <v>27</v>
      </c>
      <c r="AC227">
        <v>24.698</v>
      </c>
      <c r="AD227">
        <v>-1.122668</v>
      </c>
      <c r="AE227">
        <v>0.54329999999998702</v>
      </c>
      <c r="AF227">
        <v>-0.77291649376701299</v>
      </c>
      <c r="AG227">
        <v>-1.122668</v>
      </c>
      <c r="AH227">
        <v>24.640941532642401</v>
      </c>
      <c r="AI227">
        <v>92.607373170149003</v>
      </c>
      <c r="AJ227">
        <v>91.796617129108796</v>
      </c>
      <c r="AK227">
        <v>24.6786098263185</v>
      </c>
      <c r="AL227">
        <v>79.495258340694903</v>
      </c>
      <c r="AM227">
        <v>87.667074067618003</v>
      </c>
      <c r="AN227">
        <v>1.0000000183648401</v>
      </c>
    </row>
    <row r="228" spans="1:40" x14ac:dyDescent="0.25">
      <c r="A228" t="str">
        <f>"20190312172901611"</f>
        <v>20190312172901611</v>
      </c>
      <c r="B228" t="str">
        <f>"1552382941608178"</f>
        <v>1552382941608178</v>
      </c>
      <c r="C228" t="s">
        <v>40</v>
      </c>
      <c r="D228">
        <v>3.211646</v>
      </c>
      <c r="E228">
        <v>0.4757325</v>
      </c>
      <c r="F228" t="s">
        <v>43</v>
      </c>
      <c r="G228">
        <v>-409.2758</v>
      </c>
      <c r="H228">
        <v>-0.05</v>
      </c>
      <c r="I228">
        <v>369.09449999999998</v>
      </c>
      <c r="J228">
        <v>-435.0478</v>
      </c>
      <c r="K228">
        <v>1.0707230000000001</v>
      </c>
      <c r="L228">
        <v>368.52319999999997</v>
      </c>
      <c r="M228">
        <v>0.99979200000000001</v>
      </c>
      <c r="N228">
        <v>0</v>
      </c>
      <c r="O228">
        <v>-1.0233890000000001E-2</v>
      </c>
      <c r="P228">
        <v>0.9850274</v>
      </c>
      <c r="Q228">
        <v>0.1650326</v>
      </c>
      <c r="R228">
        <v>-4.9852970000000003E-2</v>
      </c>
      <c r="S228">
        <v>3.0704039999999999</v>
      </c>
      <c r="T228">
        <v>-0.13231399999999999</v>
      </c>
      <c r="U228">
        <v>6.6894529999999994E-2</v>
      </c>
      <c r="V228">
        <v>4.0085429999999998E-2</v>
      </c>
      <c r="W228">
        <v>0.18232110000000001</v>
      </c>
      <c r="X228">
        <v>0.98242160000000001</v>
      </c>
      <c r="Y228">
        <v>-3.1974469999999998E-2</v>
      </c>
      <c r="Z228">
        <v>1.1293729999999999E-3</v>
      </c>
      <c r="AA228">
        <v>0.99948809999999999</v>
      </c>
      <c r="AB228">
        <v>27</v>
      </c>
      <c r="AC228">
        <v>25.771999999999899</v>
      </c>
      <c r="AD228">
        <v>-1.1207229999999999</v>
      </c>
      <c r="AE228">
        <v>0.57130000000000702</v>
      </c>
      <c r="AF228">
        <v>-0.83348356287668601</v>
      </c>
      <c r="AG228">
        <v>-1.1207229999999999</v>
      </c>
      <c r="AH228">
        <v>25.716196003587399</v>
      </c>
      <c r="AI228">
        <v>92.494088004040293</v>
      </c>
      <c r="AJ228">
        <v>91.856354622761202</v>
      </c>
      <c r="AK228">
        <v>25.7540958254651</v>
      </c>
      <c r="AL228">
        <v>79.495013535921601</v>
      </c>
      <c r="AM228">
        <v>87.663474972268503</v>
      </c>
      <c r="AN228">
        <v>1.0000000126750199</v>
      </c>
    </row>
    <row r="229" spans="1:40" x14ac:dyDescent="0.25">
      <c r="A229" t="str">
        <f>"20190312172901633"</f>
        <v>20190312172901633</v>
      </c>
      <c r="B229" t="str">
        <f>"1552382941627698"</f>
        <v>1552382941627698</v>
      </c>
      <c r="C229" t="s">
        <v>40</v>
      </c>
      <c r="D229">
        <v>3.2397740000000002</v>
      </c>
      <c r="E229">
        <v>0.47553479999999998</v>
      </c>
      <c r="F229" t="s">
        <v>43</v>
      </c>
      <c r="G229">
        <v>-407.86309999999997</v>
      </c>
      <c r="H229">
        <v>-0.05</v>
      </c>
      <c r="I229">
        <v>369.1123</v>
      </c>
      <c r="J229">
        <v>-434.7801</v>
      </c>
      <c r="K229">
        <v>1.0690710000000001</v>
      </c>
      <c r="L229">
        <v>368.51949999999999</v>
      </c>
      <c r="M229">
        <v>0.99979580000000001</v>
      </c>
      <c r="N229">
        <v>0</v>
      </c>
      <c r="O229">
        <v>-1.107059E-2</v>
      </c>
      <c r="P229">
        <v>0.98482970000000003</v>
      </c>
      <c r="Q229">
        <v>0.16606960000000001</v>
      </c>
      <c r="R229">
        <v>-5.0312030000000001E-2</v>
      </c>
      <c r="S229">
        <v>3.0701290000000001</v>
      </c>
      <c r="T229">
        <v>-0.12656999999999999</v>
      </c>
      <c r="U229">
        <v>6.6528320000000002E-2</v>
      </c>
      <c r="V229">
        <v>3.9718179999999999E-2</v>
      </c>
      <c r="W229">
        <v>0.18263799999999999</v>
      </c>
      <c r="X229">
        <v>0.98237759999999996</v>
      </c>
      <c r="Y229">
        <v>-3.2695549999999997E-2</v>
      </c>
      <c r="Z229">
        <v>1.129817E-3</v>
      </c>
      <c r="AA229">
        <v>0.99946469999999998</v>
      </c>
      <c r="AB229">
        <v>27</v>
      </c>
      <c r="AC229">
        <v>26.917000000000002</v>
      </c>
      <c r="AD229">
        <v>-1.1190709999999999</v>
      </c>
      <c r="AE229">
        <v>0.59280000000001098</v>
      </c>
      <c r="AF229">
        <v>-0.889257015505034</v>
      </c>
      <c r="AG229">
        <v>-1.1190709999999999</v>
      </c>
      <c r="AH229">
        <v>26.8623781285497</v>
      </c>
      <c r="AI229">
        <v>92.384224795111507</v>
      </c>
      <c r="AJ229">
        <v>91.896037417799704</v>
      </c>
      <c r="AK229">
        <v>26.900380232700201</v>
      </c>
      <c r="AL229">
        <v>79.476545883622904</v>
      </c>
      <c r="AM229">
        <v>87.684754492661696</v>
      </c>
      <c r="AN229">
        <v>0.99999996092413501</v>
      </c>
    </row>
    <row r="230" spans="1:40" x14ac:dyDescent="0.25">
      <c r="A230" t="str">
        <f>"20190312172901654"</f>
        <v>20190312172901654</v>
      </c>
      <c r="B230" t="str">
        <f>"1552382941648194"</f>
        <v>1552382941648194</v>
      </c>
      <c r="C230" t="s">
        <v>40</v>
      </c>
      <c r="D230">
        <v>3.2187260000000002</v>
      </c>
      <c r="E230">
        <v>0.47540710000000003</v>
      </c>
      <c r="F230" t="s">
        <v>43</v>
      </c>
      <c r="G230">
        <v>-406.41910000000001</v>
      </c>
      <c r="H230">
        <v>-0.05</v>
      </c>
      <c r="I230">
        <v>369.13440000000003</v>
      </c>
      <c r="J230">
        <v>-434.53309999999999</v>
      </c>
      <c r="K230">
        <v>1.0677289999999999</v>
      </c>
      <c r="L230">
        <v>368.51589999999999</v>
      </c>
      <c r="M230">
        <v>0.99979720000000005</v>
      </c>
      <c r="N230">
        <v>0</v>
      </c>
      <c r="O230">
        <v>-1.1850579999999999E-2</v>
      </c>
      <c r="P230">
        <v>0.9847612</v>
      </c>
      <c r="Q230">
        <v>0.1664262</v>
      </c>
      <c r="R230">
        <v>-5.047861E-2</v>
      </c>
      <c r="S230">
        <v>3.0700069999999999</v>
      </c>
      <c r="T230">
        <v>-0.1211363</v>
      </c>
      <c r="U230">
        <v>6.6558839999999994E-2</v>
      </c>
      <c r="V230">
        <v>3.9110720000000002E-2</v>
      </c>
      <c r="W230">
        <v>0.1823863</v>
      </c>
      <c r="X230">
        <v>0.98244880000000001</v>
      </c>
      <c r="Y230">
        <v>-3.348785E-2</v>
      </c>
      <c r="Z230">
        <v>1.127779E-3</v>
      </c>
      <c r="AA230">
        <v>0.99943850000000001</v>
      </c>
      <c r="AB230">
        <v>27</v>
      </c>
      <c r="AC230">
        <v>28.113999999999901</v>
      </c>
      <c r="AD230">
        <v>-1.117729</v>
      </c>
      <c r="AE230">
        <v>0.61850000000004002</v>
      </c>
      <c r="AF230">
        <v>-0.95016680991467695</v>
      </c>
      <c r="AG230">
        <v>-1.117729</v>
      </c>
      <c r="AH230">
        <v>28.060363394471501</v>
      </c>
      <c r="AI230">
        <v>92.279752748091994</v>
      </c>
      <c r="AJ230">
        <v>91.939381694554598</v>
      </c>
      <c r="AK230">
        <v>28.098685537119</v>
      </c>
      <c r="AL230">
        <v>79.491214306830202</v>
      </c>
      <c r="AM230">
        <v>87.720291846631198</v>
      </c>
      <c r="AN230">
        <v>1.00000002773402</v>
      </c>
    </row>
    <row r="231" spans="1:40" x14ac:dyDescent="0.25">
      <c r="A231" t="str">
        <f>"20190312172901676"</f>
        <v>20190312172901676</v>
      </c>
      <c r="B231" t="str">
        <f>"1552382941667717"</f>
        <v>1552382941667717</v>
      </c>
      <c r="C231" t="s">
        <v>40</v>
      </c>
      <c r="D231">
        <v>3.2132969999999998</v>
      </c>
      <c r="E231">
        <v>0.47537309999999999</v>
      </c>
      <c r="F231" t="s">
        <v>43</v>
      </c>
      <c r="G231">
        <v>-405.56729999999999</v>
      </c>
      <c r="H231">
        <v>-0.05</v>
      </c>
      <c r="I231">
        <v>369.14449999999999</v>
      </c>
      <c r="J231">
        <v>-434.25940000000003</v>
      </c>
      <c r="K231">
        <v>1.0664260000000001</v>
      </c>
      <c r="L231">
        <v>368.51170000000002</v>
      </c>
      <c r="M231">
        <v>0.99979649999999998</v>
      </c>
      <c r="N231">
        <v>0</v>
      </c>
      <c r="O231">
        <v>-1.2719650000000001E-2</v>
      </c>
      <c r="P231">
        <v>0.98459859999999999</v>
      </c>
      <c r="Q231">
        <v>0.1672217</v>
      </c>
      <c r="R231">
        <v>-5.1016989999999998E-2</v>
      </c>
      <c r="S231">
        <v>3.0698240000000001</v>
      </c>
      <c r="T231">
        <v>-0.1184583</v>
      </c>
      <c r="U231">
        <v>6.6619869999999998E-2</v>
      </c>
      <c r="V231">
        <v>3.8788860000000001E-2</v>
      </c>
      <c r="W231">
        <v>0.1825677</v>
      </c>
      <c r="X231">
        <v>0.98242779999999996</v>
      </c>
      <c r="Y231">
        <v>-3.437784E-2</v>
      </c>
      <c r="Z231">
        <v>1.1536129999999999E-3</v>
      </c>
      <c r="AA231">
        <v>0.99940819999999997</v>
      </c>
      <c r="AB231">
        <v>27</v>
      </c>
      <c r="AC231">
        <v>28.6921</v>
      </c>
      <c r="AD231">
        <v>-1.1164259999999999</v>
      </c>
      <c r="AE231">
        <v>0.63279999999997405</v>
      </c>
      <c r="AF231">
        <v>-0.99623940526232202</v>
      </c>
      <c r="AG231">
        <v>-1.1164259999999999</v>
      </c>
      <c r="AH231">
        <v>28.638389941205698</v>
      </c>
      <c r="AI231">
        <v>92.231114037212805</v>
      </c>
      <c r="AJ231">
        <v>91.992336348344594</v>
      </c>
      <c r="AK231">
        <v>28.677452438991601</v>
      </c>
      <c r="AL231">
        <v>79.480642663028803</v>
      </c>
      <c r="AM231">
        <v>87.738984777424506</v>
      </c>
      <c r="AN231">
        <v>0.99999996147811399</v>
      </c>
    </row>
    <row r="232" spans="1:40" x14ac:dyDescent="0.25">
      <c r="A232" t="str">
        <f>"20190312172901698"</f>
        <v>20190312172901698</v>
      </c>
      <c r="B232" t="str">
        <f>"1552382941688210"</f>
        <v>1552382941688210</v>
      </c>
      <c r="C232" t="s">
        <v>40</v>
      </c>
      <c r="D232">
        <v>3.165387</v>
      </c>
      <c r="E232">
        <v>0.47535690000000003</v>
      </c>
      <c r="F232" t="s">
        <v>43</v>
      </c>
      <c r="G232">
        <v>-404.40429999999998</v>
      </c>
      <c r="H232">
        <v>-0.05</v>
      </c>
      <c r="I232">
        <v>369.14240000000001</v>
      </c>
      <c r="J232">
        <v>-433.9991</v>
      </c>
      <c r="K232">
        <v>1.0653490000000001</v>
      </c>
      <c r="L232">
        <v>368.50740000000002</v>
      </c>
      <c r="M232">
        <v>0.99979390000000001</v>
      </c>
      <c r="N232">
        <v>0</v>
      </c>
      <c r="O232">
        <v>-1.354635E-2</v>
      </c>
      <c r="P232">
        <v>0.98446650000000002</v>
      </c>
      <c r="Q232">
        <v>0.16789479999999901</v>
      </c>
      <c r="R232">
        <v>-5.1355820000000003E-2</v>
      </c>
      <c r="S232">
        <v>3.0697939999999999</v>
      </c>
      <c r="T232">
        <v>-0.11479449999999999</v>
      </c>
      <c r="U232">
        <v>6.4849850000000001E-2</v>
      </c>
      <c r="V232">
        <v>3.8310169999999998E-2</v>
      </c>
      <c r="W232">
        <v>0.18271580000000001</v>
      </c>
      <c r="X232">
        <v>0.98241909999999999</v>
      </c>
      <c r="Y232">
        <v>-3.4629720000000003E-2</v>
      </c>
      <c r="Z232">
        <v>1.1535829999999999E-3</v>
      </c>
      <c r="AA232">
        <v>0.9993995</v>
      </c>
      <c r="AB232">
        <v>27</v>
      </c>
      <c r="AC232">
        <v>29.594799999999999</v>
      </c>
      <c r="AD232">
        <v>-1.1153489999999999</v>
      </c>
      <c r="AE232">
        <v>0.63499999999999002</v>
      </c>
      <c r="AF232">
        <v>-1.0344205348491999</v>
      </c>
      <c r="AG232">
        <v>-1.1153489999999999</v>
      </c>
      <c r="AH232">
        <v>29.541541389491599</v>
      </c>
      <c r="AI232">
        <v>92.160867828384795</v>
      </c>
      <c r="AJ232">
        <v>92.005437867743396</v>
      </c>
      <c r="AK232">
        <v>29.580681143303</v>
      </c>
      <c r="AL232">
        <v>79.472012506304694</v>
      </c>
      <c r="AM232">
        <v>87.766839590761407</v>
      </c>
      <c r="AN232">
        <v>1.00000001036993</v>
      </c>
    </row>
    <row r="233" spans="1:40" x14ac:dyDescent="0.25">
      <c r="A233" t="str">
        <f>"20190312172901711"</f>
        <v>20190312172901711</v>
      </c>
      <c r="B233" t="str">
        <f>"1552382941707731"</f>
        <v>1552382941707731</v>
      </c>
      <c r="C233" t="s">
        <v>40</v>
      </c>
      <c r="D233">
        <v>3.1869499999999999</v>
      </c>
      <c r="E233">
        <v>0.47537000000000001</v>
      </c>
      <c r="F233" t="s">
        <v>43</v>
      </c>
      <c r="G233">
        <v>-403.3646</v>
      </c>
      <c r="H233">
        <v>-0.05</v>
      </c>
      <c r="I233">
        <v>369.14179999999999</v>
      </c>
      <c r="J233">
        <v>-433.84890000000001</v>
      </c>
      <c r="K233">
        <v>1.0648</v>
      </c>
      <c r="L233">
        <v>368.50490000000002</v>
      </c>
      <c r="M233">
        <v>0.99979150000000006</v>
      </c>
      <c r="N233">
        <v>0</v>
      </c>
      <c r="O233">
        <v>-1.402159E-2</v>
      </c>
      <c r="P233">
        <v>0.98448360000000001</v>
      </c>
      <c r="Q233">
        <v>0.16776259999999901</v>
      </c>
      <c r="R233">
        <v>-5.1459329999999998E-2</v>
      </c>
      <c r="S233">
        <v>3.0696720000000002</v>
      </c>
      <c r="T233">
        <v>-0.11176129999999999</v>
      </c>
      <c r="U233">
        <v>6.3568120000000006E-2</v>
      </c>
      <c r="V233">
        <v>3.7942499999999997E-2</v>
      </c>
      <c r="W233">
        <v>0.18230840000000001</v>
      </c>
      <c r="X233">
        <v>0.98250899999999997</v>
      </c>
      <c r="Y233">
        <v>-3.468984E-2</v>
      </c>
      <c r="Z233">
        <v>1.1415609999999999E-3</v>
      </c>
      <c r="AA233">
        <v>0.99939750000000005</v>
      </c>
      <c r="AB233">
        <v>27</v>
      </c>
      <c r="AC233">
        <v>30.484300000000001</v>
      </c>
      <c r="AD233">
        <v>-1.1148</v>
      </c>
      <c r="AE233">
        <v>0.63689999999996805</v>
      </c>
      <c r="AF233">
        <v>-1.0629019914970499</v>
      </c>
      <c r="AG233">
        <v>-1.1148</v>
      </c>
      <c r="AH233">
        <v>30.431691447945699</v>
      </c>
      <c r="AI233">
        <v>92.0966929635062</v>
      </c>
      <c r="AJ233">
        <v>92.000383445792096</v>
      </c>
      <c r="AK233">
        <v>30.470647910185601</v>
      </c>
      <c r="AL233">
        <v>79.4957530417839</v>
      </c>
      <c r="AM233">
        <v>87.788452443968296</v>
      </c>
      <c r="AN233">
        <v>0.99999996054890405</v>
      </c>
    </row>
    <row r="234" spans="1:40" x14ac:dyDescent="0.25">
      <c r="A234" t="str">
        <f>"20190312172901732"</f>
        <v>20190312172901732</v>
      </c>
      <c r="B234" t="str">
        <f>"1552382941728226"</f>
        <v>1552382941728226</v>
      </c>
      <c r="C234" t="s">
        <v>40</v>
      </c>
      <c r="D234">
        <v>3.1763819999999998</v>
      </c>
      <c r="E234">
        <v>0.47539150000000002</v>
      </c>
      <c r="F234" t="s">
        <v>43</v>
      </c>
      <c r="G234">
        <v>-403.15609999999998</v>
      </c>
      <c r="H234">
        <v>-0.05</v>
      </c>
      <c r="I234">
        <v>369.13630000000001</v>
      </c>
      <c r="J234">
        <v>-433.59690000000001</v>
      </c>
      <c r="K234">
        <v>1.063974</v>
      </c>
      <c r="L234">
        <v>368.50049999999999</v>
      </c>
      <c r="M234">
        <v>0.99978639999999996</v>
      </c>
      <c r="N234">
        <v>0</v>
      </c>
      <c r="O234">
        <v>-1.481558E-2</v>
      </c>
      <c r="P234">
        <v>0.98440190000000005</v>
      </c>
      <c r="Q234">
        <v>0.16811619999999999</v>
      </c>
      <c r="R234">
        <v>-5.1863390000000002E-2</v>
      </c>
      <c r="S234">
        <v>3.0696110000000001</v>
      </c>
      <c r="T234">
        <v>-0.1114923</v>
      </c>
      <c r="U234">
        <v>6.3140870000000002E-2</v>
      </c>
      <c r="V234">
        <v>3.7562760000000001E-2</v>
      </c>
      <c r="W234">
        <v>0.1822358</v>
      </c>
      <c r="X234">
        <v>0.98253710000000005</v>
      </c>
      <c r="Y234">
        <v>-3.5343979999999997E-2</v>
      </c>
      <c r="Z234">
        <v>1.1795389999999901E-3</v>
      </c>
      <c r="AA234">
        <v>0.99937450000000005</v>
      </c>
      <c r="AB234">
        <v>27</v>
      </c>
      <c r="AC234">
        <v>30.440799999999999</v>
      </c>
      <c r="AD234">
        <v>-1.113974</v>
      </c>
      <c r="AE234">
        <v>0.63580000000001702</v>
      </c>
      <c r="AF234">
        <v>-1.08532233773366</v>
      </c>
      <c r="AG234">
        <v>-1.113974</v>
      </c>
      <c r="AH234">
        <v>30.3873611886881</v>
      </c>
      <c r="AI234">
        <v>92.098136235656497</v>
      </c>
      <c r="AJ234">
        <v>92.045520417523804</v>
      </c>
      <c r="AK234">
        <v>30.427135630243701</v>
      </c>
      <c r="AL234">
        <v>79.499984007278997</v>
      </c>
      <c r="AM234">
        <v>87.810627186241106</v>
      </c>
      <c r="AN234">
        <v>1.0000000003084299</v>
      </c>
    </row>
    <row r="235" spans="1:40" x14ac:dyDescent="0.25">
      <c r="A235" t="str">
        <f>"20190312172901753"</f>
        <v>20190312172901753</v>
      </c>
      <c r="B235" t="str">
        <f>"1552382941747746"</f>
        <v>1552382941747746</v>
      </c>
      <c r="C235" t="s">
        <v>40</v>
      </c>
      <c r="D235">
        <v>3.375416</v>
      </c>
      <c r="E235">
        <v>0.47535680000000002</v>
      </c>
      <c r="F235" t="s">
        <v>43</v>
      </c>
      <c r="G235">
        <v>-402.52280000000002</v>
      </c>
      <c r="H235">
        <v>-0.05</v>
      </c>
      <c r="I235">
        <v>369.12049999999999</v>
      </c>
      <c r="J235">
        <v>-433.33980000000003</v>
      </c>
      <c r="K235">
        <v>1.063242</v>
      </c>
      <c r="L235">
        <v>368.49579999999997</v>
      </c>
      <c r="M235">
        <v>0.9997798</v>
      </c>
      <c r="N235">
        <v>0</v>
      </c>
      <c r="O235">
        <v>-1.562299E-2</v>
      </c>
      <c r="P235">
        <v>0.98430280000000003</v>
      </c>
      <c r="Q235">
        <v>0.16855029999999999</v>
      </c>
      <c r="R235">
        <v>-5.2334180000000001E-2</v>
      </c>
      <c r="S235">
        <v>3.06955</v>
      </c>
      <c r="T235">
        <v>-0.1100402</v>
      </c>
      <c r="U235">
        <v>6.1248780000000003E-2</v>
      </c>
      <c r="V235">
        <v>3.723779E-2</v>
      </c>
      <c r="W235">
        <v>0.18228079999999999</v>
      </c>
      <c r="X235">
        <v>0.98254109999999995</v>
      </c>
      <c r="Y235">
        <v>-3.5535829999999997E-2</v>
      </c>
      <c r="Z235">
        <v>1.1965859999999999E-3</v>
      </c>
      <c r="AA235">
        <v>0.99936769999999997</v>
      </c>
      <c r="AB235">
        <v>27</v>
      </c>
      <c r="AC235">
        <v>30.817</v>
      </c>
      <c r="AD235">
        <v>-1.1132420000000001</v>
      </c>
      <c r="AE235">
        <v>0.62470000000001802</v>
      </c>
      <c r="AF235">
        <v>-1.10468370075183</v>
      </c>
      <c r="AG235">
        <v>-1.1132420000000001</v>
      </c>
      <c r="AH235">
        <v>30.763348953766499</v>
      </c>
      <c r="AI235">
        <v>92.071140493020906</v>
      </c>
      <c r="AJ235">
        <v>92.056555348370793</v>
      </c>
      <c r="AK235">
        <v>30.8032997044225</v>
      </c>
      <c r="AL235">
        <v>79.4973615409654</v>
      </c>
      <c r="AM235">
        <v>87.829558932745798</v>
      </c>
      <c r="AN235">
        <v>0.99999997812096597</v>
      </c>
    </row>
    <row r="236" spans="1:40" x14ac:dyDescent="0.25">
      <c r="A236" t="str">
        <f>"20190312172901777"</f>
        <v>20190312172901777</v>
      </c>
      <c r="B236" t="str">
        <f>"1552382941768242"</f>
        <v>1552382941768242</v>
      </c>
      <c r="C236" t="s">
        <v>40</v>
      </c>
      <c r="D236">
        <v>3.1606900000000002</v>
      </c>
      <c r="E236">
        <v>0.4753134</v>
      </c>
      <c r="F236" t="s">
        <v>43</v>
      </c>
      <c r="G236">
        <v>-401.71129999999999</v>
      </c>
      <c r="H236">
        <v>-0.05</v>
      </c>
      <c r="I236">
        <v>369.11309999999997</v>
      </c>
      <c r="J236">
        <v>-433.05720000000002</v>
      </c>
      <c r="K236">
        <v>1.062557</v>
      </c>
      <c r="L236">
        <v>368.49040000000002</v>
      </c>
      <c r="M236">
        <v>0.99977090000000002</v>
      </c>
      <c r="N236">
        <v>0</v>
      </c>
      <c r="O236">
        <v>-1.65095E-2</v>
      </c>
      <c r="P236">
        <v>0.98415529999999996</v>
      </c>
      <c r="Q236">
        <v>0.16917939999999901</v>
      </c>
      <c r="R236">
        <v>-5.3077829999999999E-2</v>
      </c>
      <c r="S236">
        <v>3.0695800000000002</v>
      </c>
      <c r="T236">
        <v>-0.10804130000000001</v>
      </c>
      <c r="U236">
        <v>5.9906010000000003E-2</v>
      </c>
      <c r="V236">
        <v>3.7109169999999997E-2</v>
      </c>
      <c r="W236">
        <v>0.18252869999999999</v>
      </c>
      <c r="X236">
        <v>0.98250000000000004</v>
      </c>
      <c r="Y236">
        <v>-3.5985040000000003E-2</v>
      </c>
      <c r="Z236">
        <v>1.2139480000000001E-3</v>
      </c>
      <c r="AA236">
        <v>0.99935160000000001</v>
      </c>
      <c r="AB236">
        <v>27</v>
      </c>
      <c r="AC236">
        <v>31.3459</v>
      </c>
      <c r="AD236">
        <v>-1.112557</v>
      </c>
      <c r="AE236">
        <v>0.62269999999995196</v>
      </c>
      <c r="AF236">
        <v>-1.13873432849588</v>
      </c>
      <c r="AG236">
        <v>-1.112557</v>
      </c>
      <c r="AH236">
        <v>31.291941267139599</v>
      </c>
      <c r="AI236">
        <v>92.034896704961895</v>
      </c>
      <c r="AJ236">
        <v>92.084111451509202</v>
      </c>
      <c r="AK236">
        <v>31.3324127257264</v>
      </c>
      <c r="AL236">
        <v>79.482916152456198</v>
      </c>
      <c r="AM236">
        <v>87.836958147920498</v>
      </c>
      <c r="AN236">
        <v>1.0000000334108801</v>
      </c>
    </row>
    <row r="237" spans="1:40" x14ac:dyDescent="0.25">
      <c r="A237" t="str">
        <f>"20190312172901798"</f>
        <v>20190312172901798</v>
      </c>
      <c r="B237" t="str">
        <f>"1552382941787765"</f>
        <v>1552382941787765</v>
      </c>
      <c r="C237" t="s">
        <v>40</v>
      </c>
      <c r="D237">
        <v>3.1750080000000001</v>
      </c>
      <c r="E237">
        <v>0.47527639999999999</v>
      </c>
      <c r="F237" t="s">
        <v>43</v>
      </c>
      <c r="G237">
        <v>-400.67439999999999</v>
      </c>
      <c r="H237">
        <v>-0.05</v>
      </c>
      <c r="I237">
        <v>369.0992</v>
      </c>
      <c r="J237">
        <v>-432.79700000000003</v>
      </c>
      <c r="K237">
        <v>1.062019</v>
      </c>
      <c r="L237">
        <v>368.48520000000002</v>
      </c>
      <c r="M237">
        <v>0.99976129999999996</v>
      </c>
      <c r="N237">
        <v>0</v>
      </c>
      <c r="O237">
        <v>-1.7325340000000002E-2</v>
      </c>
      <c r="P237">
        <v>0.9840913</v>
      </c>
      <c r="Q237">
        <v>0.16935720000000001</v>
      </c>
      <c r="R237">
        <v>-5.369049E-2</v>
      </c>
      <c r="S237">
        <v>3.06955</v>
      </c>
      <c r="T237">
        <v>-0.1054587</v>
      </c>
      <c r="U237">
        <v>5.7708740000000001E-2</v>
      </c>
      <c r="V237">
        <v>3.6917999999999999E-2</v>
      </c>
      <c r="W237">
        <v>0.1823989</v>
      </c>
      <c r="X237">
        <v>0.98253120000000005</v>
      </c>
      <c r="Y237">
        <v>-3.6086559999999997E-2</v>
      </c>
      <c r="Z237">
        <v>1.214728E-3</v>
      </c>
      <c r="AA237">
        <v>0.99934789999999996</v>
      </c>
      <c r="AB237">
        <v>27</v>
      </c>
      <c r="AC237">
        <v>32.122599999999899</v>
      </c>
      <c r="AD237">
        <v>-1.1120190000000001</v>
      </c>
      <c r="AE237">
        <v>0.61399999999997501</v>
      </c>
      <c r="AF237">
        <v>-1.1690915691763999</v>
      </c>
      <c r="AG237">
        <v>-1.1120190000000001</v>
      </c>
      <c r="AH237">
        <v>32.068721774121599</v>
      </c>
      <c r="AI237">
        <v>91.9846824929663</v>
      </c>
      <c r="AJ237">
        <v>92.087840057139502</v>
      </c>
      <c r="AK237">
        <v>32.109286469485703</v>
      </c>
      <c r="AL237">
        <v>79.490479005827396</v>
      </c>
      <c r="AM237">
        <v>87.848158947080094</v>
      </c>
      <c r="AN237">
        <v>0.99999992820932204</v>
      </c>
    </row>
    <row r="238" spans="1:40" x14ac:dyDescent="0.25">
      <c r="A238" t="str">
        <f>"20190312172901823"</f>
        <v>20190312172901823</v>
      </c>
      <c r="B238" t="str">
        <f>"1552382941818018"</f>
        <v>1552382941818018</v>
      </c>
      <c r="C238" t="s">
        <v>40</v>
      </c>
      <c r="D238">
        <v>3.3357960000000002</v>
      </c>
      <c r="E238">
        <v>0.47519129999999998</v>
      </c>
      <c r="F238" t="s">
        <v>43</v>
      </c>
      <c r="G238">
        <v>-400.04329999999999</v>
      </c>
      <c r="H238">
        <v>-0.05</v>
      </c>
      <c r="I238">
        <v>369.08499999999998</v>
      </c>
      <c r="J238">
        <v>-432.5061</v>
      </c>
      <c r="K238">
        <v>1.0615110000000001</v>
      </c>
      <c r="L238">
        <v>368.47919999999999</v>
      </c>
      <c r="M238">
        <v>0.9997492</v>
      </c>
      <c r="N238">
        <v>0</v>
      </c>
      <c r="O238">
        <v>-1.8238540000000001E-2</v>
      </c>
      <c r="P238">
        <v>0.98399599999999998</v>
      </c>
      <c r="Q238">
        <v>0.1696329</v>
      </c>
      <c r="R238">
        <v>-5.4559700000000003E-2</v>
      </c>
      <c r="S238">
        <v>3.069458</v>
      </c>
      <c r="T238">
        <v>-0.1042111</v>
      </c>
      <c r="U238">
        <v>5.621338E-2</v>
      </c>
      <c r="V238">
        <v>3.688818E-2</v>
      </c>
      <c r="W238">
        <v>0.18237030000000001</v>
      </c>
      <c r="X238">
        <v>0.98253769999999996</v>
      </c>
      <c r="Y238">
        <v>-3.6513150000000001E-2</v>
      </c>
      <c r="Z238">
        <v>1.238636E-3</v>
      </c>
      <c r="AA238">
        <v>0.99933240000000001</v>
      </c>
      <c r="AB238">
        <v>27</v>
      </c>
      <c r="AC238">
        <v>32.462800000000001</v>
      </c>
      <c r="AD238">
        <v>-1.1115109999999999</v>
      </c>
      <c r="AE238">
        <v>0.60579999999998702</v>
      </c>
      <c r="AF238">
        <v>-1.19642116723754</v>
      </c>
      <c r="AG238">
        <v>-1.1115109999999999</v>
      </c>
      <c r="AH238">
        <v>32.408368939522703</v>
      </c>
      <c r="AI238">
        <v>91.962969333755893</v>
      </c>
      <c r="AJ238">
        <v>92.114230663312995</v>
      </c>
      <c r="AK238">
        <v>32.449487786908897</v>
      </c>
      <c r="AL238">
        <v>79.492146360940893</v>
      </c>
      <c r="AM238">
        <v>87.849909645435005</v>
      </c>
      <c r="AN238">
        <v>0.999999998033546</v>
      </c>
    </row>
    <row r="239" spans="1:40" x14ac:dyDescent="0.25">
      <c r="A239" t="str">
        <f>"20190312172901844"</f>
        <v>20190312172901844</v>
      </c>
      <c r="B239" t="str">
        <f>"1552382941837538"</f>
        <v>1552382941837538</v>
      </c>
      <c r="C239" t="s">
        <v>40</v>
      </c>
      <c r="D239">
        <v>3.1829040000000002</v>
      </c>
      <c r="E239">
        <v>0.47517090000000001</v>
      </c>
      <c r="F239" t="s">
        <v>43</v>
      </c>
      <c r="G239">
        <v>-399.8494</v>
      </c>
      <c r="H239">
        <v>-0.05</v>
      </c>
      <c r="I239">
        <v>369.05439999999999</v>
      </c>
      <c r="J239">
        <v>-432.25209999999998</v>
      </c>
      <c r="K239">
        <v>1.0611459999999999</v>
      </c>
      <c r="L239">
        <v>368.47370000000001</v>
      </c>
      <c r="M239">
        <v>0.99973730000000005</v>
      </c>
      <c r="N239">
        <v>0</v>
      </c>
      <c r="O239">
        <v>-1.9035739999999999E-2</v>
      </c>
      <c r="P239">
        <v>0.98388770000000003</v>
      </c>
      <c r="Q239">
        <v>0.16994899999999999</v>
      </c>
      <c r="R239">
        <v>-5.552021E-2</v>
      </c>
      <c r="S239">
        <v>3.0698240000000001</v>
      </c>
      <c r="T239">
        <v>-0.10448540000000001</v>
      </c>
      <c r="U239">
        <v>5.4077149999999997E-2</v>
      </c>
      <c r="V239">
        <v>3.7064470000000002E-2</v>
      </c>
      <c r="W239">
        <v>0.18245330000000001</v>
      </c>
      <c r="X239">
        <v>0.98251560000000004</v>
      </c>
      <c r="Y239">
        <v>-3.6611919999999999E-2</v>
      </c>
      <c r="Z239">
        <v>1.2705570000000001E-3</v>
      </c>
      <c r="AA239">
        <v>0.99932869999999996</v>
      </c>
      <c r="AB239">
        <v>27</v>
      </c>
      <c r="AC239">
        <v>32.402699999999903</v>
      </c>
      <c r="AD239">
        <v>-1.111146</v>
      </c>
      <c r="AE239">
        <v>0.58069999999997801</v>
      </c>
      <c r="AF239">
        <v>-1.19604838973306</v>
      </c>
      <c r="AG239">
        <v>-1.111146</v>
      </c>
      <c r="AH239">
        <v>32.347746513525003</v>
      </c>
      <c r="AI239">
        <v>91.965995736079194</v>
      </c>
      <c r="AJ239">
        <v>92.117529926880707</v>
      </c>
      <c r="AK239">
        <v>32.388916031370499</v>
      </c>
      <c r="AL239">
        <v>79.487309076292703</v>
      </c>
      <c r="AM239">
        <v>87.839595448333696</v>
      </c>
      <c r="AN239">
        <v>0.99999994293031302</v>
      </c>
    </row>
    <row r="240" spans="1:40" x14ac:dyDescent="0.25">
      <c r="A240" t="str">
        <f>"20190312172901866"</f>
        <v>20190312172901866</v>
      </c>
      <c r="B240" t="str">
        <f>"1552382941858034"</f>
        <v>1552382941858034</v>
      </c>
      <c r="C240" t="s">
        <v>40</v>
      </c>
      <c r="D240">
        <v>3.2047270000000001</v>
      </c>
      <c r="E240">
        <v>0.47518450000000001</v>
      </c>
      <c r="F240" t="s">
        <v>43</v>
      </c>
      <c r="G240">
        <v>-399.1857</v>
      </c>
      <c r="H240">
        <v>-0.05</v>
      </c>
      <c r="I240">
        <v>369.0256</v>
      </c>
      <c r="J240">
        <v>-431.98320000000001</v>
      </c>
      <c r="K240">
        <v>1.0608219999999999</v>
      </c>
      <c r="L240">
        <v>368.4676</v>
      </c>
      <c r="M240">
        <v>0.99972360000000005</v>
      </c>
      <c r="N240">
        <v>0</v>
      </c>
      <c r="O240">
        <v>-1.9879819999999999E-2</v>
      </c>
      <c r="P240">
        <v>0.98378049999999995</v>
      </c>
      <c r="Q240">
        <v>0.1702148</v>
      </c>
      <c r="R240">
        <v>-5.6594789999999999E-2</v>
      </c>
      <c r="S240">
        <v>3.069855</v>
      </c>
      <c r="T240">
        <v>-0.10315779999999999</v>
      </c>
      <c r="U240">
        <v>5.1239010000000001E-2</v>
      </c>
      <c r="V240">
        <v>3.7309000000000002E-2</v>
      </c>
      <c r="W240">
        <v>0.182503</v>
      </c>
      <c r="X240">
        <v>0.98249719999999996</v>
      </c>
      <c r="Y240">
        <v>-3.6532189999999999E-2</v>
      </c>
      <c r="Z240">
        <v>1.281431E-3</v>
      </c>
      <c r="AA240">
        <v>0.99933170000000004</v>
      </c>
      <c r="AB240">
        <v>27</v>
      </c>
      <c r="AC240">
        <v>32.797499999999999</v>
      </c>
      <c r="AD240">
        <v>-1.110822</v>
      </c>
      <c r="AE240">
        <v>0.55799999999999195</v>
      </c>
      <c r="AF240">
        <v>-1.20856350066829</v>
      </c>
      <c r="AG240">
        <v>-1.110822</v>
      </c>
      <c r="AH240">
        <v>32.742375175623799</v>
      </c>
      <c r="AI240">
        <v>91.9417573716009</v>
      </c>
      <c r="AJ240">
        <v>92.113901799522793</v>
      </c>
      <c r="AK240">
        <v>32.783497119620101</v>
      </c>
      <c r="AL240">
        <v>79.484413744695402</v>
      </c>
      <c r="AM240">
        <v>87.825315297290203</v>
      </c>
      <c r="AN240">
        <v>1.00000002724891</v>
      </c>
    </row>
    <row r="241" spans="1:40" x14ac:dyDescent="0.25">
      <c r="A241" t="str">
        <f>"20190312172901888"</f>
        <v>20190312172901888</v>
      </c>
      <c r="B241" t="str">
        <f>"1552382941877558"</f>
        <v>1552382941877558</v>
      </c>
      <c r="C241" t="s">
        <v>40</v>
      </c>
      <c r="D241">
        <v>3.161921</v>
      </c>
      <c r="E241">
        <v>0.47516180000000002</v>
      </c>
      <c r="F241" t="s">
        <v>43</v>
      </c>
      <c r="G241">
        <v>-398.7525</v>
      </c>
      <c r="H241">
        <v>-0.05</v>
      </c>
      <c r="I241">
        <v>368.98820000000001</v>
      </c>
      <c r="J241">
        <v>-431.71510000000001</v>
      </c>
      <c r="K241">
        <v>1.0605469999999999</v>
      </c>
      <c r="L241">
        <v>368.46129999999999</v>
      </c>
      <c r="M241">
        <v>0.99970899999999996</v>
      </c>
      <c r="N241">
        <v>0</v>
      </c>
      <c r="O241">
        <v>-2.0721369999999999E-2</v>
      </c>
      <c r="P241">
        <v>0.98365270000000005</v>
      </c>
      <c r="Q241">
        <v>0.17046620000000001</v>
      </c>
      <c r="R241">
        <v>-5.8041879999999997E-2</v>
      </c>
      <c r="S241">
        <v>3.0700069999999999</v>
      </c>
      <c r="T241">
        <v>-0.102622699999999</v>
      </c>
      <c r="U241">
        <v>4.8095699999999998E-2</v>
      </c>
      <c r="V241">
        <v>3.7929240000000003E-2</v>
      </c>
      <c r="W241">
        <v>0.1825639</v>
      </c>
      <c r="X241">
        <v>0.9824621</v>
      </c>
      <c r="Y241">
        <v>-3.6349569999999998E-2</v>
      </c>
      <c r="Z241">
        <v>1.299803E-3</v>
      </c>
      <c r="AA241">
        <v>0.99933830000000001</v>
      </c>
      <c r="AB241">
        <v>27</v>
      </c>
      <c r="AC241">
        <v>32.962600000000002</v>
      </c>
      <c r="AD241">
        <v>-1.110547</v>
      </c>
      <c r="AE241">
        <v>0.52690000000001103</v>
      </c>
      <c r="AF241">
        <v>-1.2084977777502599</v>
      </c>
      <c r="AG241">
        <v>-1.110547</v>
      </c>
      <c r="AH241">
        <v>32.907259359779601</v>
      </c>
      <c r="AI241">
        <v>91.931570774845</v>
      </c>
      <c r="AJ241">
        <v>92.103205202114495</v>
      </c>
      <c r="AK241">
        <v>32.948163834876098</v>
      </c>
      <c r="AL241">
        <v>79.480864426855305</v>
      </c>
      <c r="AM241">
        <v>87.789119128605094</v>
      </c>
      <c r="AN241">
        <v>0.99999999138329798</v>
      </c>
    </row>
    <row r="242" spans="1:40" x14ac:dyDescent="0.25">
      <c r="A242" t="str">
        <f>"20190312172901910"</f>
        <v>20190312172901910</v>
      </c>
      <c r="B242" t="str">
        <f>"1552382941907810"</f>
        <v>1552382941907810</v>
      </c>
      <c r="C242" t="s">
        <v>40</v>
      </c>
      <c r="D242">
        <v>3.2700119999999999</v>
      </c>
      <c r="E242">
        <v>0.47514329999999999</v>
      </c>
      <c r="F242" t="s">
        <v>41</v>
      </c>
      <c r="G242">
        <v>-399.77980000000002</v>
      </c>
      <c r="H242" s="1">
        <v>-2.4729409999999998E-7</v>
      </c>
      <c r="I242">
        <v>368.91609999999997</v>
      </c>
      <c r="J242">
        <v>-431.44920000000002</v>
      </c>
      <c r="K242">
        <v>1.0603180000000001</v>
      </c>
      <c r="L242">
        <v>368.45479999999998</v>
      </c>
      <c r="M242">
        <v>0.99969350000000001</v>
      </c>
      <c r="N242">
        <v>0</v>
      </c>
      <c r="O242">
        <v>-2.1555729999999999E-2</v>
      </c>
      <c r="P242">
        <v>0.98353809999999997</v>
      </c>
      <c r="Q242">
        <v>0.17074159999999999</v>
      </c>
      <c r="R242">
        <v>-5.9166219999999999E-2</v>
      </c>
      <c r="S242">
        <v>3.0700989999999999</v>
      </c>
      <c r="T242">
        <v>-0.1019553</v>
      </c>
      <c r="U242">
        <v>4.3731689999999997E-2</v>
      </c>
      <c r="V242">
        <v>3.8233499999999997E-2</v>
      </c>
      <c r="W242">
        <v>0.18267269999999999</v>
      </c>
      <c r="X242">
        <v>0.98243009999999997</v>
      </c>
      <c r="Y242">
        <v>-3.5763179999999999E-2</v>
      </c>
      <c r="Z242">
        <v>1.3092900000000001E-3</v>
      </c>
      <c r="AA242">
        <v>0.99935940000000001</v>
      </c>
      <c r="AB242">
        <v>27</v>
      </c>
      <c r="AC242">
        <v>31.6694</v>
      </c>
      <c r="AD242">
        <v>-1.0603182472941</v>
      </c>
      <c r="AE242">
        <v>0.46129999999999399</v>
      </c>
      <c r="AF242">
        <v>-1.1426198783335</v>
      </c>
      <c r="AG242">
        <v>-1.0603182472941</v>
      </c>
      <c r="AH242">
        <v>31.616662358232599</v>
      </c>
      <c r="AI242">
        <v>91.919538785625505</v>
      </c>
      <c r="AJ242">
        <v>92.069757276523006</v>
      </c>
      <c r="AK242">
        <v>31.655065844922699</v>
      </c>
      <c r="AL242">
        <v>79.474524208534106</v>
      </c>
      <c r="AM242">
        <v>87.771329223993803</v>
      </c>
      <c r="AN242">
        <v>1.00000000861677</v>
      </c>
    </row>
    <row r="243" spans="1:40" x14ac:dyDescent="0.25">
      <c r="A243" t="str">
        <f>"20190312172901932"</f>
        <v>20190312172901932</v>
      </c>
      <c r="B243" t="str">
        <f>"1552382941927331"</f>
        <v>1552382941927331</v>
      </c>
      <c r="C243" t="s">
        <v>40</v>
      </c>
      <c r="D243">
        <v>3.2653479999999999</v>
      </c>
      <c r="E243">
        <v>0.47516609999999998</v>
      </c>
      <c r="F243" t="s">
        <v>41</v>
      </c>
      <c r="G243">
        <v>-399.20600000000002</v>
      </c>
      <c r="H243" s="1">
        <v>-4.5438989999999999E-7</v>
      </c>
      <c r="I243">
        <v>368.87529999999998</v>
      </c>
      <c r="J243">
        <v>-431.18599999999998</v>
      </c>
      <c r="K243">
        <v>1.060128</v>
      </c>
      <c r="L243">
        <v>368.44819999999999</v>
      </c>
      <c r="M243">
        <v>0.99967700000000004</v>
      </c>
      <c r="N243">
        <v>0</v>
      </c>
      <c r="O243">
        <v>-2.2381419999999999E-2</v>
      </c>
      <c r="P243">
        <v>0.98341970000000001</v>
      </c>
      <c r="Q243">
        <v>0.17098369999999999</v>
      </c>
      <c r="R243">
        <v>-6.042144E-2</v>
      </c>
      <c r="S243">
        <v>3.0701900000000002</v>
      </c>
      <c r="T243">
        <v>-0.10096289999999999</v>
      </c>
      <c r="U243">
        <v>4.0039060000000001E-2</v>
      </c>
      <c r="V243">
        <v>3.8677799999999998E-2</v>
      </c>
      <c r="W243">
        <v>0.18277019999999999</v>
      </c>
      <c r="X243">
        <v>0.98239460000000001</v>
      </c>
      <c r="Y243">
        <v>-3.5386769999999998E-2</v>
      </c>
      <c r="Z243">
        <v>1.317478E-3</v>
      </c>
      <c r="AA243">
        <v>0.99937279999999995</v>
      </c>
      <c r="AB243">
        <v>27</v>
      </c>
      <c r="AC243">
        <v>31.98</v>
      </c>
      <c r="AD243">
        <v>-1.0601284543899001</v>
      </c>
      <c r="AE243">
        <v>0.42709999999999498</v>
      </c>
      <c r="AF243">
        <v>-1.1415484666831801</v>
      </c>
      <c r="AG243">
        <v>-1.0601284543899001</v>
      </c>
      <c r="AH243">
        <v>31.927349339314102</v>
      </c>
      <c r="AI243">
        <v>91.900559673856804</v>
      </c>
      <c r="AJ243">
        <v>92.047713341906999</v>
      </c>
      <c r="AK243">
        <v>31.965334990833401</v>
      </c>
      <c r="AL243">
        <v>79.468842484216296</v>
      </c>
      <c r="AM243">
        <v>87.745375697084597</v>
      </c>
      <c r="AN243">
        <v>1.0000000341650099</v>
      </c>
    </row>
    <row r="244" spans="1:40" x14ac:dyDescent="0.25">
      <c r="A244" t="str">
        <f>"20190312172901966"</f>
        <v>20190312172901966</v>
      </c>
      <c r="B244" t="str">
        <f>"1552382941957589"</f>
        <v>1552382941957589</v>
      </c>
      <c r="C244" t="s">
        <v>40</v>
      </c>
      <c r="D244">
        <v>3.2444570000000001</v>
      </c>
      <c r="E244">
        <v>0.49318689999999998</v>
      </c>
      <c r="F244" t="s">
        <v>41</v>
      </c>
      <c r="G244">
        <v>-398.65989999999999</v>
      </c>
      <c r="H244" s="1">
        <v>-6.9636410000000002E-7</v>
      </c>
      <c r="I244">
        <v>368.83199999999999</v>
      </c>
      <c r="J244">
        <v>-430.77620000000002</v>
      </c>
      <c r="K244">
        <v>1.0598879999999999</v>
      </c>
      <c r="L244">
        <v>368.43759999999997</v>
      </c>
      <c r="M244">
        <v>0.99964980000000003</v>
      </c>
      <c r="N244">
        <v>0</v>
      </c>
      <c r="O244">
        <v>-2.366683E-2</v>
      </c>
      <c r="P244">
        <v>0.98336769999999996</v>
      </c>
      <c r="Q244">
        <v>0.1706956</v>
      </c>
      <c r="R244">
        <v>-6.2059169999999997E-2</v>
      </c>
      <c r="S244">
        <v>3.0701900000000002</v>
      </c>
      <c r="T244">
        <v>-0.1000668</v>
      </c>
      <c r="U244">
        <v>3.6224369999999999E-2</v>
      </c>
      <c r="V244">
        <v>3.9049420000000001E-2</v>
      </c>
      <c r="W244">
        <v>0.18229110000000001</v>
      </c>
      <c r="X244">
        <v>0.98246889999999998</v>
      </c>
      <c r="Y244">
        <v>-3.5430070000000001E-2</v>
      </c>
      <c r="Z244">
        <v>1.348382E-3</v>
      </c>
      <c r="AA244">
        <v>0.99937120000000002</v>
      </c>
      <c r="AB244">
        <v>27</v>
      </c>
      <c r="AC244">
        <v>32.116300000000003</v>
      </c>
      <c r="AD244">
        <v>-1.0598886963641001</v>
      </c>
      <c r="AE244">
        <v>0.39440000000001801</v>
      </c>
      <c r="AF244">
        <v>-1.15317805623998</v>
      </c>
      <c r="AG244">
        <v>-1.0598886963641001</v>
      </c>
      <c r="AH244">
        <v>32.063053407791699</v>
      </c>
      <c r="AI244">
        <v>91.892079569237296</v>
      </c>
      <c r="AJ244">
        <v>92.059809078985793</v>
      </c>
      <c r="AK244">
        <v>32.101286228264698</v>
      </c>
      <c r="AL244">
        <v>79.496761792831506</v>
      </c>
      <c r="AM244">
        <v>87.723907693046101</v>
      </c>
      <c r="AN244">
        <v>1.00000002090437</v>
      </c>
    </row>
    <row r="245" spans="1:40" x14ac:dyDescent="0.25">
      <c r="A245" t="str">
        <f>"20190312172901989"</f>
        <v>20190312172901989</v>
      </c>
      <c r="B245" t="str">
        <f>"1552382941978089"</f>
        <v>1552382941978089</v>
      </c>
      <c r="C245" t="s">
        <v>40</v>
      </c>
      <c r="D245">
        <v>3.3076729999999999</v>
      </c>
      <c r="E245">
        <v>0.51219559999999997</v>
      </c>
      <c r="F245" t="s">
        <v>42</v>
      </c>
      <c r="G245">
        <v>-429.8415</v>
      </c>
      <c r="H245">
        <v>0.99086799999999997</v>
      </c>
      <c r="I245">
        <v>368.40429999999998</v>
      </c>
      <c r="J245">
        <v>-430.49130000000002</v>
      </c>
      <c r="K245">
        <v>1.0597559999999999</v>
      </c>
      <c r="L245">
        <v>368.4298</v>
      </c>
      <c r="M245">
        <v>0.99962949999999995</v>
      </c>
      <c r="N245">
        <v>0</v>
      </c>
      <c r="O245">
        <v>-2.4559890000000001E-2</v>
      </c>
      <c r="P245">
        <v>0.98323539999999998</v>
      </c>
      <c r="Q245">
        <v>0.1709648</v>
      </c>
      <c r="R245">
        <v>-6.3398650000000001E-2</v>
      </c>
      <c r="S245">
        <v>3.083405</v>
      </c>
      <c r="T245">
        <v>-0.22782720000000001</v>
      </c>
      <c r="U245">
        <v>-0.10864260000000001</v>
      </c>
      <c r="V245">
        <v>3.9512369999999998E-2</v>
      </c>
      <c r="W245">
        <v>0.18244859999999999</v>
      </c>
      <c r="X245">
        <v>0.98242119999999999</v>
      </c>
      <c r="Y245">
        <v>1.069353E-2</v>
      </c>
      <c r="Z245">
        <v>1.417045E-3</v>
      </c>
      <c r="AA245">
        <v>0.99994179999999999</v>
      </c>
      <c r="AB245">
        <v>27</v>
      </c>
      <c r="AC245">
        <v>0.64980000000002702</v>
      </c>
      <c r="AD245">
        <v>-6.8887999999999797E-2</v>
      </c>
      <c r="AE245">
        <v>-2.5500000000022199E-2</v>
      </c>
      <c r="AF245">
        <v>9.4264113690047703E-3</v>
      </c>
      <c r="AG245">
        <v>-6.8887999999999797E-2</v>
      </c>
      <c r="AH245">
        <v>0.64301455840022703</v>
      </c>
      <c r="AI245">
        <v>96.114286281172298</v>
      </c>
      <c r="AJ245">
        <v>89.160120256511902</v>
      </c>
      <c r="AK245">
        <v>0.64676281285331805</v>
      </c>
      <c r="AL245">
        <v>79.487584278721698</v>
      </c>
      <c r="AM245">
        <v>87.6968406895502</v>
      </c>
      <c r="AN245">
        <v>1.0000000666172</v>
      </c>
    </row>
    <row r="246" spans="1:40" x14ac:dyDescent="0.25">
      <c r="A246" t="str">
        <f>"20190312172902010"</f>
        <v>20190312172902010</v>
      </c>
      <c r="B246" t="str">
        <f>"1552382942007362"</f>
        <v>1552382942007362</v>
      </c>
      <c r="C246" t="s">
        <v>40</v>
      </c>
      <c r="D246">
        <v>3.177206</v>
      </c>
      <c r="E246">
        <v>0.52673879999999995</v>
      </c>
      <c r="F246" t="s">
        <v>42</v>
      </c>
      <c r="G246">
        <v>-429.61770000000001</v>
      </c>
      <c r="H246">
        <v>0.96040239999999999</v>
      </c>
      <c r="I246">
        <v>368.3562</v>
      </c>
      <c r="J246">
        <v>-430.24189999999999</v>
      </c>
      <c r="K246">
        <v>1.0596570000000001</v>
      </c>
      <c r="L246">
        <v>368.4228</v>
      </c>
      <c r="M246">
        <v>0.99961100000000003</v>
      </c>
      <c r="N246">
        <v>0</v>
      </c>
      <c r="O246">
        <v>-2.5341320000000001E-2</v>
      </c>
      <c r="P246">
        <v>0.98314639999999998</v>
      </c>
      <c r="Q246">
        <v>0.17118739999999999</v>
      </c>
      <c r="R246">
        <v>-6.4172950000000006E-2</v>
      </c>
      <c r="S246">
        <v>3.0955810000000001</v>
      </c>
      <c r="T246">
        <v>-0.35213410000000001</v>
      </c>
      <c r="U246">
        <v>-0.26031490000000002</v>
      </c>
      <c r="V246">
        <v>3.9519440000000003E-2</v>
      </c>
      <c r="W246">
        <v>0.182586</v>
      </c>
      <c r="X246">
        <v>0.98239540000000003</v>
      </c>
      <c r="Y246">
        <v>5.8304849999999998E-2</v>
      </c>
      <c r="Z246">
        <v>-4.3217579999999998E-4</v>
      </c>
      <c r="AA246">
        <v>0.99829869999999998</v>
      </c>
      <c r="AB246">
        <v>27</v>
      </c>
      <c r="AC246">
        <v>0.624199999999973</v>
      </c>
      <c r="AD246">
        <v>-9.9254599999999998E-2</v>
      </c>
      <c r="AE246">
        <v>-6.6599999999993997E-2</v>
      </c>
      <c r="AF246">
        <v>4.9521454418708297E-2</v>
      </c>
      <c r="AG246">
        <v>-9.9254599999999998E-2</v>
      </c>
      <c r="AH246">
        <v>0.61042677667804401</v>
      </c>
      <c r="AI246">
        <v>99.205672516636994</v>
      </c>
      <c r="AJ246">
        <v>85.361982362764095</v>
      </c>
      <c r="AK246">
        <v>0.62042300066523204</v>
      </c>
      <c r="AL246">
        <v>79.479577462122805</v>
      </c>
      <c r="AM246">
        <v>87.696368594173094</v>
      </c>
      <c r="AN246">
        <v>1.00000007773753</v>
      </c>
    </row>
    <row r="247" spans="1:40" x14ac:dyDescent="0.25">
      <c r="A247" t="str">
        <f>"20190312172902034"</f>
        <v>20190312172902034</v>
      </c>
      <c r="B247" t="str">
        <f>"1552382942027858"</f>
        <v>1552382942027858</v>
      </c>
      <c r="C247" t="s">
        <v>40</v>
      </c>
      <c r="D247">
        <v>3.20635</v>
      </c>
      <c r="E247">
        <v>0.53122590000000003</v>
      </c>
      <c r="F247" t="s">
        <v>42</v>
      </c>
      <c r="G247">
        <v>-429.38909999999998</v>
      </c>
      <c r="H247">
        <v>0.9345852</v>
      </c>
      <c r="I247">
        <v>368.31950000000001</v>
      </c>
      <c r="J247">
        <v>-429.95069999999998</v>
      </c>
      <c r="K247">
        <v>1.0595669999999999</v>
      </c>
      <c r="L247">
        <v>368.4144</v>
      </c>
      <c r="M247">
        <v>0.99958840000000004</v>
      </c>
      <c r="N247">
        <v>0</v>
      </c>
      <c r="O247">
        <v>-2.6252810000000001E-2</v>
      </c>
      <c r="P247">
        <v>0.98311249999999994</v>
      </c>
      <c r="Q247">
        <v>0.17110939999999999</v>
      </c>
      <c r="R247">
        <v>-6.4895659999999994E-2</v>
      </c>
      <c r="S247">
        <v>3.106293</v>
      </c>
      <c r="T247">
        <v>-0.45575939999999998</v>
      </c>
      <c r="U247">
        <v>-0.37481690000000001</v>
      </c>
      <c r="V247">
        <v>3.9344959999999998E-2</v>
      </c>
      <c r="W247">
        <v>0.18242230000000001</v>
      </c>
      <c r="X247">
        <v>0.98243270000000005</v>
      </c>
      <c r="Y247">
        <v>9.2984319999999995E-2</v>
      </c>
      <c r="Z247">
        <v>-2.9448E-3</v>
      </c>
      <c r="AA247">
        <v>0.99566319999999997</v>
      </c>
      <c r="AB247">
        <v>27</v>
      </c>
      <c r="AC247">
        <v>0.56159999999999799</v>
      </c>
      <c r="AD247">
        <v>-0.1249818</v>
      </c>
      <c r="AE247">
        <v>-9.4899999999995502E-2</v>
      </c>
      <c r="AF247">
        <v>7.64419115948759E-2</v>
      </c>
      <c r="AG247">
        <v>-0.1249818</v>
      </c>
      <c r="AH247">
        <v>0.53799268753401197</v>
      </c>
      <c r="AI247">
        <v>102.952830578622</v>
      </c>
      <c r="AJ247">
        <v>81.913130622108199</v>
      </c>
      <c r="AK247">
        <v>0.55758402776585003</v>
      </c>
      <c r="AL247">
        <v>79.489115805398995</v>
      </c>
      <c r="AM247">
        <v>87.706615322755198</v>
      </c>
      <c r="AN247">
        <v>0.99999996572199001</v>
      </c>
    </row>
    <row r="248" spans="1:40" x14ac:dyDescent="0.25">
      <c r="A248" t="str">
        <f>"20190312172902057"</f>
        <v>20190312172902057</v>
      </c>
      <c r="B248" t="str">
        <f>"1552382942047379"</f>
        <v>1552382942047379</v>
      </c>
      <c r="C248" t="s">
        <v>40</v>
      </c>
      <c r="D248">
        <v>3.206118</v>
      </c>
      <c r="E248">
        <v>0.53423500000000002</v>
      </c>
      <c r="F248" t="s">
        <v>42</v>
      </c>
      <c r="G248">
        <v>-429.14760000000001</v>
      </c>
      <c r="H248">
        <v>0.93325089999999999</v>
      </c>
      <c r="I248">
        <v>368.30770000000001</v>
      </c>
      <c r="J248">
        <v>-429.67500000000001</v>
      </c>
      <c r="K248">
        <v>1.0594969999999999</v>
      </c>
      <c r="L248">
        <v>368.40620000000001</v>
      </c>
      <c r="M248">
        <v>0.99956630000000002</v>
      </c>
      <c r="N248">
        <v>0</v>
      </c>
      <c r="O248">
        <v>-2.7116350000000001E-2</v>
      </c>
      <c r="P248">
        <v>0.98305819999999999</v>
      </c>
      <c r="Q248">
        <v>0.17116129999999999</v>
      </c>
      <c r="R248">
        <v>-6.5577549999999998E-2</v>
      </c>
      <c r="S248">
        <v>3.109375</v>
      </c>
      <c r="T248">
        <v>-0.48901129999999998</v>
      </c>
      <c r="U248">
        <v>-0.41244510000000001</v>
      </c>
      <c r="V248">
        <v>3.917789E-2</v>
      </c>
      <c r="W248">
        <v>0.1824036</v>
      </c>
      <c r="X248">
        <v>0.98244290000000001</v>
      </c>
      <c r="Y248">
        <v>0.1036393</v>
      </c>
      <c r="Z248">
        <v>-3.8468069999999998E-3</v>
      </c>
      <c r="AA248">
        <v>0.99460749999999998</v>
      </c>
      <c r="AB248">
        <v>27</v>
      </c>
      <c r="AC248">
        <v>0.52739999999999998</v>
      </c>
      <c r="AD248">
        <v>-0.126246099999999</v>
      </c>
      <c r="AE248">
        <v>-9.8500000000001295E-2</v>
      </c>
      <c r="AF248">
        <v>7.9746216009959597E-2</v>
      </c>
      <c r="AG248">
        <v>-0.126246099999999</v>
      </c>
      <c r="AH248">
        <v>0.50207773264956801</v>
      </c>
      <c r="AI248">
        <v>103.94638868262101</v>
      </c>
      <c r="AJ248">
        <v>80.974963103896798</v>
      </c>
      <c r="AK248">
        <v>0.52381254887187301</v>
      </c>
      <c r="AL248">
        <v>79.490206054780202</v>
      </c>
      <c r="AM248">
        <v>87.716367044924695</v>
      </c>
      <c r="AN248">
        <v>1.00000001605911</v>
      </c>
    </row>
    <row r="249" spans="1:40" x14ac:dyDescent="0.25">
      <c r="A249" t="str">
        <f>"20190312172902078"</f>
        <v>20190312172902078</v>
      </c>
      <c r="B249" t="str">
        <f>"1552382942067879"</f>
        <v>1552382942067879</v>
      </c>
      <c r="C249" t="s">
        <v>40</v>
      </c>
      <c r="D249">
        <v>3.1860050000000002</v>
      </c>
      <c r="E249">
        <v>0.53635940000000004</v>
      </c>
      <c r="F249" t="s">
        <v>42</v>
      </c>
      <c r="G249">
        <v>-428.90519999999998</v>
      </c>
      <c r="H249">
        <v>0.93344970000000005</v>
      </c>
      <c r="I249">
        <v>368.29759999999999</v>
      </c>
      <c r="J249">
        <v>-429.42009999999999</v>
      </c>
      <c r="K249">
        <v>1.0594479999999999</v>
      </c>
      <c r="L249">
        <v>368.39839999999998</v>
      </c>
      <c r="M249">
        <v>0.99954500000000002</v>
      </c>
      <c r="N249">
        <v>0</v>
      </c>
      <c r="O249">
        <v>-2.7914899999999999E-2</v>
      </c>
      <c r="P249">
        <v>0.98298359999999996</v>
      </c>
      <c r="Q249">
        <v>0.17134059999999901</v>
      </c>
      <c r="R249">
        <v>-6.6226969999999996E-2</v>
      </c>
      <c r="S249">
        <v>3.1111759999999999</v>
      </c>
      <c r="T249">
        <v>-0.50948149999999903</v>
      </c>
      <c r="U249">
        <v>-0.43759160000000002</v>
      </c>
      <c r="V249">
        <v>3.9042689999999998E-2</v>
      </c>
      <c r="W249">
        <v>0.18252550000000001</v>
      </c>
      <c r="X249">
        <v>0.98242560000000001</v>
      </c>
      <c r="Y249">
        <v>0.1105039</v>
      </c>
      <c r="Z249">
        <v>-4.4280389999999999E-3</v>
      </c>
      <c r="AA249">
        <v>0.99386580000000002</v>
      </c>
      <c r="AB249">
        <v>27</v>
      </c>
      <c r="AC249">
        <v>0.51490000000001102</v>
      </c>
      <c r="AD249">
        <v>-0.12599830000000001</v>
      </c>
      <c r="AE249">
        <v>-0.10079999999999199</v>
      </c>
      <c r="AF249">
        <v>8.1676124708197503E-2</v>
      </c>
      <c r="AG249">
        <v>-0.12599830000000001</v>
      </c>
      <c r="AH249">
        <v>0.48929560912995301</v>
      </c>
      <c r="AI249">
        <v>104.251482205887</v>
      </c>
      <c r="AJ249">
        <v>80.523225170914699</v>
      </c>
      <c r="AK249">
        <v>0.51181710997590801</v>
      </c>
      <c r="AL249">
        <v>79.483102006772896</v>
      </c>
      <c r="AM249">
        <v>87.724199360236497</v>
      </c>
      <c r="AN249">
        <v>0.99999997466402202</v>
      </c>
    </row>
    <row r="250" spans="1:40" x14ac:dyDescent="0.25">
      <c r="A250" t="str">
        <f>"20190312172902101"</f>
        <v>20190312172902101</v>
      </c>
      <c r="B250" t="str">
        <f>"1552382942098130"</f>
        <v>1552382942098130</v>
      </c>
      <c r="C250" t="s">
        <v>40</v>
      </c>
      <c r="D250">
        <v>3.1857760000000002</v>
      </c>
      <c r="E250">
        <v>0.53868519999999998</v>
      </c>
      <c r="F250" t="s">
        <v>42</v>
      </c>
      <c r="G250">
        <v>-428.66329999999999</v>
      </c>
      <c r="H250">
        <v>0.93230800000000003</v>
      </c>
      <c r="I250">
        <v>368.28719999999998</v>
      </c>
      <c r="J250">
        <v>-429.14830000000001</v>
      </c>
      <c r="K250">
        <v>1.0594079999999999</v>
      </c>
      <c r="L250">
        <v>368.38979999999998</v>
      </c>
      <c r="M250">
        <v>0.99952149999999995</v>
      </c>
      <c r="N250">
        <v>0</v>
      </c>
      <c r="O250">
        <v>-2.876652E-2</v>
      </c>
      <c r="P250">
        <v>0.98279939999999999</v>
      </c>
      <c r="Q250">
        <v>0.17189979999999999</v>
      </c>
      <c r="R250">
        <v>-6.7500679999999993E-2</v>
      </c>
      <c r="S250">
        <v>3.1123050000000001</v>
      </c>
      <c r="T250">
        <v>-0.52280099999999996</v>
      </c>
      <c r="U250">
        <v>-0.45657350000000002</v>
      </c>
      <c r="V250">
        <v>3.9483119999999997E-2</v>
      </c>
      <c r="W250">
        <v>0.1830299</v>
      </c>
      <c r="X250">
        <v>0.98231420000000003</v>
      </c>
      <c r="Y250">
        <v>0.1154345</v>
      </c>
      <c r="Z250">
        <v>-4.8067739999999998E-3</v>
      </c>
      <c r="AA250">
        <v>0.99330350000000001</v>
      </c>
      <c r="AB250">
        <v>27</v>
      </c>
      <c r="AC250">
        <v>0.48500000000001298</v>
      </c>
      <c r="AD250">
        <v>-0.12709999999999899</v>
      </c>
      <c r="AE250">
        <v>-0.102599999999995</v>
      </c>
      <c r="AF250">
        <v>8.3139709278135701E-2</v>
      </c>
      <c r="AG250">
        <v>-0.12709999999999899</v>
      </c>
      <c r="AH250">
        <v>0.457666351407158</v>
      </c>
      <c r="AI250">
        <v>105.28252716160701</v>
      </c>
      <c r="AJ250">
        <v>79.703922071863701</v>
      </c>
      <c r="AK250">
        <v>0.48220857569022202</v>
      </c>
      <c r="AL250">
        <v>79.453707360560003</v>
      </c>
      <c r="AM250">
        <v>87.698293405787396</v>
      </c>
      <c r="AN250">
        <v>1.00000002429029</v>
      </c>
    </row>
    <row r="251" spans="1:40" x14ac:dyDescent="0.25">
      <c r="A251" t="str">
        <f>"20190312172902122"</f>
        <v>20190312172902122</v>
      </c>
      <c r="B251" t="str">
        <f>"1552382942117650"</f>
        <v>1552382942117650</v>
      </c>
      <c r="C251" t="s">
        <v>40</v>
      </c>
      <c r="D251">
        <v>3.1944710000000001</v>
      </c>
      <c r="E251">
        <v>0.53968819999999995</v>
      </c>
      <c r="F251" t="s">
        <v>42</v>
      </c>
      <c r="G251">
        <v>-428.42</v>
      </c>
      <c r="H251">
        <v>0.93382390000000004</v>
      </c>
      <c r="I251">
        <v>368.27760000000001</v>
      </c>
      <c r="J251">
        <v>-428.88780000000003</v>
      </c>
      <c r="K251">
        <v>1.0593699999999999</v>
      </c>
      <c r="L251">
        <v>368.38139999999999</v>
      </c>
      <c r="M251">
        <v>0.99949809999999994</v>
      </c>
      <c r="N251">
        <v>0</v>
      </c>
      <c r="O251">
        <v>-2.9582560000000001E-2</v>
      </c>
      <c r="P251">
        <v>0.98272789999999999</v>
      </c>
      <c r="Q251">
        <v>0.1718306</v>
      </c>
      <c r="R251">
        <v>-6.8704199999999896E-2</v>
      </c>
      <c r="S251">
        <v>3.1136469999999998</v>
      </c>
      <c r="T251">
        <v>-0.53702740000000004</v>
      </c>
      <c r="U251">
        <v>-0.4775085</v>
      </c>
      <c r="V251">
        <v>3.9884830000000003E-2</v>
      </c>
      <c r="W251">
        <v>0.182916</v>
      </c>
      <c r="X251">
        <v>0.98231919999999995</v>
      </c>
      <c r="Y251">
        <v>0.12096170000000001</v>
      </c>
      <c r="Z251">
        <v>-5.2631029999999999E-3</v>
      </c>
      <c r="AA251">
        <v>0.99264319999999895</v>
      </c>
      <c r="AB251">
        <v>27</v>
      </c>
      <c r="AC251">
        <v>0.46780000000001098</v>
      </c>
      <c r="AD251">
        <v>-0.12554609999999999</v>
      </c>
      <c r="AE251">
        <v>-0.10379999999997799</v>
      </c>
      <c r="AF251">
        <v>8.41391644083513E-2</v>
      </c>
      <c r="AG251">
        <v>-0.12554609999999999</v>
      </c>
      <c r="AH251">
        <v>0.44043232544656702</v>
      </c>
      <c r="AI251">
        <v>105.641640880279</v>
      </c>
      <c r="AJ251">
        <v>79.184661353374906</v>
      </c>
      <c r="AK251">
        <v>0.46564133784578898</v>
      </c>
      <c r="AL251">
        <v>79.460345545980601</v>
      </c>
      <c r="AM251">
        <v>87.674912727376096</v>
      </c>
      <c r="AN251">
        <v>1.00000003670438</v>
      </c>
    </row>
    <row r="252" spans="1:40" x14ac:dyDescent="0.25">
      <c r="A252" t="str">
        <f>"20190312172902145"</f>
        <v>20190312172902145</v>
      </c>
      <c r="B252" t="str">
        <f>"1552382942138147"</f>
        <v>1552382942138147</v>
      </c>
      <c r="C252" t="s">
        <v>40</v>
      </c>
      <c r="D252">
        <v>3.2099929999999999</v>
      </c>
      <c r="E252">
        <v>0.54058830000000002</v>
      </c>
      <c r="F252" t="s">
        <v>42</v>
      </c>
      <c r="G252">
        <v>-428.17669999999998</v>
      </c>
      <c r="H252">
        <v>0.93478300000000003</v>
      </c>
      <c r="I252">
        <v>368.2697</v>
      </c>
      <c r="J252">
        <v>-428.60969999999998</v>
      </c>
      <c r="K252">
        <v>1.0593300000000001</v>
      </c>
      <c r="L252">
        <v>368.3723</v>
      </c>
      <c r="M252">
        <v>0.99947249999999999</v>
      </c>
      <c r="N252">
        <v>0</v>
      </c>
      <c r="O252">
        <v>-3.0453109999999999E-2</v>
      </c>
      <c r="P252">
        <v>0.98262229999999995</v>
      </c>
      <c r="Q252">
        <v>0.17186119999999999</v>
      </c>
      <c r="R252">
        <v>-7.0123389999999994E-2</v>
      </c>
      <c r="S252">
        <v>3.1139220000000001</v>
      </c>
      <c r="T252">
        <v>-0.54561280000000001</v>
      </c>
      <c r="U252">
        <v>-0.48828129999999997</v>
      </c>
      <c r="V252">
        <v>4.0449430000000001E-2</v>
      </c>
      <c r="W252">
        <v>0.18290480000000001</v>
      </c>
      <c r="X252">
        <v>0.98229820000000001</v>
      </c>
      <c r="Y252">
        <v>0.12337339999999999</v>
      </c>
      <c r="Z252">
        <v>-5.4024160000000002E-3</v>
      </c>
      <c r="AA252">
        <v>0.99234560000000005</v>
      </c>
      <c r="AB252">
        <v>27</v>
      </c>
      <c r="AC252">
        <v>0.432999999999992</v>
      </c>
      <c r="AD252">
        <v>-0.12454699999999901</v>
      </c>
      <c r="AE252">
        <v>-0.102599999999995</v>
      </c>
      <c r="AF252">
        <v>8.2873326003504499E-2</v>
      </c>
      <c r="AG252">
        <v>-0.12454699999999901</v>
      </c>
      <c r="AH252">
        <v>0.40425567008487301</v>
      </c>
      <c r="AI252">
        <v>106.794494887165</v>
      </c>
      <c r="AJ252">
        <v>78.414749506536594</v>
      </c>
      <c r="AK252">
        <v>0.43104824575405998</v>
      </c>
      <c r="AL252">
        <v>79.460998284087296</v>
      </c>
      <c r="AM252">
        <v>87.641985893560303</v>
      </c>
      <c r="AN252">
        <v>1.0000000379867999</v>
      </c>
    </row>
    <row r="253" spans="1:40" x14ac:dyDescent="0.25">
      <c r="A253" t="str">
        <f>"20190312172902167"</f>
        <v>20190312172902167</v>
      </c>
      <c r="B253" t="str">
        <f>"1552382942157667"</f>
        <v>1552382942157667</v>
      </c>
      <c r="C253" t="s">
        <v>40</v>
      </c>
      <c r="D253">
        <v>3.174064</v>
      </c>
      <c r="E253">
        <v>0.55805159999999998</v>
      </c>
      <c r="F253" t="s">
        <v>42</v>
      </c>
      <c r="G253">
        <v>-427.70819999999998</v>
      </c>
      <c r="H253">
        <v>0.89931849999999902</v>
      </c>
      <c r="I253">
        <v>368.22750000000002</v>
      </c>
      <c r="J253">
        <v>-428.33690000000001</v>
      </c>
      <c r="K253">
        <v>1.059302</v>
      </c>
      <c r="L253">
        <v>368.36290000000002</v>
      </c>
      <c r="M253">
        <v>0.99944639999999996</v>
      </c>
      <c r="N253">
        <v>0</v>
      </c>
      <c r="O253">
        <v>-3.1306540000000001E-2</v>
      </c>
      <c r="P253">
        <v>0.98252620000000002</v>
      </c>
      <c r="Q253">
        <v>0.17182709999999901</v>
      </c>
      <c r="R253">
        <v>-7.1538899999999905E-2</v>
      </c>
      <c r="S253">
        <v>3.1140439999999998</v>
      </c>
      <c r="T253">
        <v>-0.55270909999999995</v>
      </c>
      <c r="U253">
        <v>-0.49972529999999998</v>
      </c>
      <c r="V253">
        <v>4.102708E-2</v>
      </c>
      <c r="W253">
        <v>0.18283579999999999</v>
      </c>
      <c r="X253">
        <v>0.98228700000000002</v>
      </c>
      <c r="Y253">
        <v>0.12601519999999999</v>
      </c>
      <c r="Z253">
        <v>-5.552001E-3</v>
      </c>
      <c r="AA253">
        <v>0.99201280000000003</v>
      </c>
      <c r="AB253">
        <v>27</v>
      </c>
      <c r="AC253">
        <v>0.62870000000003701</v>
      </c>
      <c r="AD253">
        <v>-0.1599835</v>
      </c>
      <c r="AE253">
        <v>-0.13540000000000399</v>
      </c>
      <c r="AF253">
        <v>0.108910232992168</v>
      </c>
      <c r="AG253">
        <v>-0.1599835</v>
      </c>
      <c r="AH253">
        <v>0.59576319813911705</v>
      </c>
      <c r="AI253">
        <v>104.797126766227</v>
      </c>
      <c r="AJ253">
        <v>79.640269758625195</v>
      </c>
      <c r="AK253">
        <v>0.62641036659653604</v>
      </c>
      <c r="AL253">
        <v>79.465018572390903</v>
      </c>
      <c r="AM253">
        <v>87.608323168556595</v>
      </c>
      <c r="AN253">
        <v>0.999999950711982</v>
      </c>
    </row>
    <row r="254" spans="1:40" x14ac:dyDescent="0.25">
      <c r="A254" t="str">
        <f>"20190312172902189"</f>
        <v>20190312172902189</v>
      </c>
      <c r="B254" t="str">
        <f>"1552382942178162"</f>
        <v>1552382942178162</v>
      </c>
      <c r="C254" t="s">
        <v>40</v>
      </c>
      <c r="D254">
        <v>3.1408659999999999</v>
      </c>
      <c r="E254">
        <v>0.55788990000000005</v>
      </c>
      <c r="F254" t="s">
        <v>42</v>
      </c>
      <c r="G254">
        <v>-427.47859999999997</v>
      </c>
      <c r="H254">
        <v>0.86890080000000003</v>
      </c>
      <c r="I254">
        <v>368.18729999999999</v>
      </c>
      <c r="J254">
        <v>-428.06970000000001</v>
      </c>
      <c r="K254">
        <v>1.0592779999999999</v>
      </c>
      <c r="L254">
        <v>368.35359999999997</v>
      </c>
      <c r="M254">
        <v>0.99942030000000004</v>
      </c>
      <c r="N254">
        <v>0</v>
      </c>
      <c r="O254">
        <v>-3.2142110000000002E-2</v>
      </c>
      <c r="P254">
        <v>0.98243650000000005</v>
      </c>
      <c r="Q254">
        <v>0.17185220000000001</v>
      </c>
      <c r="R254">
        <v>-7.2701859999999993E-2</v>
      </c>
      <c r="S254">
        <v>3.128174</v>
      </c>
      <c r="T254">
        <v>-0.69399889999999997</v>
      </c>
      <c r="U254">
        <v>-0.639190699999999</v>
      </c>
      <c r="V254">
        <v>4.1369429999999999E-2</v>
      </c>
      <c r="W254">
        <v>0.1828312</v>
      </c>
      <c r="X254">
        <v>0.98227359999999997</v>
      </c>
      <c r="Y254">
        <v>0.16549129999999901</v>
      </c>
      <c r="Z254">
        <v>-1.0988339999999999E-2</v>
      </c>
      <c r="AA254">
        <v>0.98614999999999997</v>
      </c>
      <c r="AB254">
        <v>27</v>
      </c>
      <c r="AC254">
        <v>0.59110000000003904</v>
      </c>
      <c r="AD254">
        <v>-0.1903772</v>
      </c>
      <c r="AE254">
        <v>-0.16629999999997799</v>
      </c>
      <c r="AF254">
        <v>0.13430402076603801</v>
      </c>
      <c r="AG254">
        <v>-0.1903772</v>
      </c>
      <c r="AH254">
        <v>0.54386265042265103</v>
      </c>
      <c r="AI254">
        <v>108.769705206705</v>
      </c>
      <c r="AJ254">
        <v>76.128630845150198</v>
      </c>
      <c r="AK254">
        <v>0.59166513400614895</v>
      </c>
      <c r="AL254">
        <v>79.465287724009698</v>
      </c>
      <c r="AM254">
        <v>87.588356454113196</v>
      </c>
      <c r="AN254">
        <v>1.00000005134446</v>
      </c>
    </row>
    <row r="255" spans="1:40" x14ac:dyDescent="0.25">
      <c r="A255" t="str">
        <f>"20190312172902212"</f>
        <v>20190312172902212</v>
      </c>
      <c r="B255" t="str">
        <f>"1552382942207443"</f>
        <v>1552382942207443</v>
      </c>
      <c r="C255" t="s">
        <v>40</v>
      </c>
      <c r="D255">
        <v>3.143313</v>
      </c>
      <c r="E255">
        <v>0.55852219999999997</v>
      </c>
      <c r="F255" t="s">
        <v>42</v>
      </c>
      <c r="G255">
        <v>-427.23320000000001</v>
      </c>
      <c r="H255">
        <v>0.87417440000000002</v>
      </c>
      <c r="I255">
        <v>368.18189999999998</v>
      </c>
      <c r="J255">
        <v>-427.798</v>
      </c>
      <c r="K255">
        <v>1.0592539999999999</v>
      </c>
      <c r="L255">
        <v>368.34399999999999</v>
      </c>
      <c r="M255">
        <v>0.99939290000000003</v>
      </c>
      <c r="N255">
        <v>0</v>
      </c>
      <c r="O255">
        <v>-3.2989020000000001E-2</v>
      </c>
      <c r="P255">
        <v>0.98237059999999998</v>
      </c>
      <c r="Q255">
        <v>0.1717957</v>
      </c>
      <c r="R255">
        <v>-7.3718880000000001E-2</v>
      </c>
      <c r="S255">
        <v>3.127167</v>
      </c>
      <c r="T255">
        <v>-0.69197540000000002</v>
      </c>
      <c r="U255">
        <v>-0.641571</v>
      </c>
      <c r="V255">
        <v>4.1553479999999997E-2</v>
      </c>
      <c r="W255">
        <v>0.1827491</v>
      </c>
      <c r="X255">
        <v>0.98228099999999996</v>
      </c>
      <c r="Y255">
        <v>0.16547539999999999</v>
      </c>
      <c r="Z255">
        <v>-1.077497E-2</v>
      </c>
      <c r="AA255">
        <v>0.986155</v>
      </c>
      <c r="AB255">
        <v>27</v>
      </c>
      <c r="AC255">
        <v>0.56479999999999098</v>
      </c>
      <c r="AD255">
        <v>-0.18507960000000001</v>
      </c>
      <c r="AE255">
        <v>-0.16210000000000899</v>
      </c>
      <c r="AF255">
        <v>0.13043778024032501</v>
      </c>
      <c r="AG255">
        <v>-0.18507960000000001</v>
      </c>
      <c r="AH255">
        <v>0.518409479234066</v>
      </c>
      <c r="AI255">
        <v>109.097033964367</v>
      </c>
      <c r="AJ255">
        <v>75.876889360877101</v>
      </c>
      <c r="AK255">
        <v>0.56570032792099301</v>
      </c>
      <c r="AL255">
        <v>79.470071176232096</v>
      </c>
      <c r="AM255">
        <v>87.577658182737096</v>
      </c>
      <c r="AN255">
        <v>0.99999994410595805</v>
      </c>
    </row>
    <row r="256" spans="1:40" x14ac:dyDescent="0.25">
      <c r="A256" t="str">
        <f>"20190312172902236"</f>
        <v>20190312172902236</v>
      </c>
      <c r="B256" t="str">
        <f>"1552382942227938"</f>
        <v>1552382942227938</v>
      </c>
      <c r="C256" t="s">
        <v>40</v>
      </c>
      <c r="D256">
        <v>3.2190629999999998</v>
      </c>
      <c r="E256">
        <v>0.55892350000000002</v>
      </c>
      <c r="F256" t="s">
        <v>42</v>
      </c>
      <c r="G256">
        <v>-426.98790000000002</v>
      </c>
      <c r="H256">
        <v>0.87861069999999997</v>
      </c>
      <c r="I256">
        <v>368.17520000000002</v>
      </c>
      <c r="J256">
        <v>-427.50380000000001</v>
      </c>
      <c r="K256">
        <v>1.059245</v>
      </c>
      <c r="L256">
        <v>368.33330000000001</v>
      </c>
      <c r="M256">
        <v>0.99936270000000005</v>
      </c>
      <c r="N256">
        <v>0</v>
      </c>
      <c r="O256">
        <v>-3.3902450000000001E-2</v>
      </c>
      <c r="P256">
        <v>0.98231270000000004</v>
      </c>
      <c r="Q256">
        <v>0.17168269999999999</v>
      </c>
      <c r="R256">
        <v>-7.4744519999999995E-2</v>
      </c>
      <c r="S256">
        <v>3.127075</v>
      </c>
      <c r="T256">
        <v>-0.69735409999999998</v>
      </c>
      <c r="U256">
        <v>-0.64968870000000001</v>
      </c>
      <c r="V256">
        <v>4.1680050000000003E-2</v>
      </c>
      <c r="W256">
        <v>0.182615</v>
      </c>
      <c r="X256">
        <v>0.98230059999999997</v>
      </c>
      <c r="Y256">
        <v>0.16697619999999999</v>
      </c>
      <c r="Z256">
        <v>-1.0819290000000001E-2</v>
      </c>
      <c r="AA256">
        <v>0.98590160000000004</v>
      </c>
      <c r="AB256">
        <v>27</v>
      </c>
      <c r="AC256">
        <v>0.51589999999998704</v>
      </c>
      <c r="AD256">
        <v>-0.1806343</v>
      </c>
      <c r="AE256">
        <v>-0.15809999999999</v>
      </c>
      <c r="AF256">
        <v>0.12635701761808299</v>
      </c>
      <c r="AG256">
        <v>-0.1806343</v>
      </c>
      <c r="AH256">
        <v>0.46846341981654999</v>
      </c>
      <c r="AI256">
        <v>110.419511592342</v>
      </c>
      <c r="AJ256">
        <v>74.905029359227001</v>
      </c>
      <c r="AK256">
        <v>0.51773817895152696</v>
      </c>
      <c r="AL256">
        <v>79.477886290311801</v>
      </c>
      <c r="AM256">
        <v>87.570337091750403</v>
      </c>
      <c r="AN256">
        <v>0.99999996677668002</v>
      </c>
    </row>
    <row r="257" spans="1:40" x14ac:dyDescent="0.25">
      <c r="A257" t="str">
        <f>"20190312172902259"</f>
        <v>20190312172902259</v>
      </c>
      <c r="B257" t="str">
        <f>"1552382942247459"</f>
        <v>1552382942247459</v>
      </c>
      <c r="C257" t="s">
        <v>40</v>
      </c>
      <c r="D257">
        <v>3.153394</v>
      </c>
      <c r="E257">
        <v>0.55900260000000002</v>
      </c>
      <c r="F257" t="s">
        <v>42</v>
      </c>
      <c r="G257">
        <v>-426.74</v>
      </c>
      <c r="H257">
        <v>0.88786200000000004</v>
      </c>
      <c r="I257">
        <v>368.17270000000002</v>
      </c>
      <c r="J257">
        <v>-427.22669999999999</v>
      </c>
      <c r="K257">
        <v>1.059239</v>
      </c>
      <c r="L257">
        <v>368.3229</v>
      </c>
      <c r="M257">
        <v>0.99933340000000004</v>
      </c>
      <c r="N257">
        <v>0</v>
      </c>
      <c r="O257">
        <v>-3.4757870000000003E-2</v>
      </c>
      <c r="P257">
        <v>0.98222299999999996</v>
      </c>
      <c r="Q257">
        <v>0.17182620000000001</v>
      </c>
      <c r="R257">
        <v>-7.5591169999999999E-2</v>
      </c>
      <c r="S257">
        <v>3.126709</v>
      </c>
      <c r="T257">
        <v>-0.70154259999999902</v>
      </c>
      <c r="U257">
        <v>-0.65603639999999996</v>
      </c>
      <c r="V257">
        <v>4.1685750000000001E-2</v>
      </c>
      <c r="W257">
        <v>0.18274679999999999</v>
      </c>
      <c r="X257">
        <v>0.98227589999999998</v>
      </c>
      <c r="Y257">
        <v>0.1680325</v>
      </c>
      <c r="Z257">
        <v>-1.0810500000000001E-2</v>
      </c>
      <c r="AA257">
        <v>0.98572219999999999</v>
      </c>
      <c r="AB257">
        <v>27</v>
      </c>
      <c r="AC257">
        <v>0.48669999999998398</v>
      </c>
      <c r="AD257">
        <v>-0.171377</v>
      </c>
      <c r="AE257">
        <v>-0.15019999999998301</v>
      </c>
      <c r="AF257">
        <v>0.11964668089561301</v>
      </c>
      <c r="AG257">
        <v>-0.171377</v>
      </c>
      <c r="AH257">
        <v>0.44163110651248599</v>
      </c>
      <c r="AI257">
        <v>110.533557308027</v>
      </c>
      <c r="AJ257">
        <v>74.8413079920889</v>
      </c>
      <c r="AK257">
        <v>0.488593326415517</v>
      </c>
      <c r="AL257">
        <v>79.470206013416004</v>
      </c>
      <c r="AM257">
        <v>87.569944188229897</v>
      </c>
      <c r="AN257">
        <v>1.0000000191920499</v>
      </c>
    </row>
    <row r="258" spans="1:40" x14ac:dyDescent="0.25">
      <c r="A258" t="str">
        <f>"20190312172902280"</f>
        <v>20190312172902280</v>
      </c>
      <c r="B258" t="str">
        <f>"1552382942277716"</f>
        <v>1552382942277716</v>
      </c>
      <c r="C258" t="s">
        <v>40</v>
      </c>
      <c r="D258">
        <v>3.080902</v>
      </c>
      <c r="E258">
        <v>0.55903179999999997</v>
      </c>
      <c r="F258" t="s">
        <v>42</v>
      </c>
      <c r="G258">
        <v>-426.49299999999999</v>
      </c>
      <c r="H258">
        <v>0.89478099999999905</v>
      </c>
      <c r="I258">
        <v>368.16770000000002</v>
      </c>
      <c r="J258">
        <v>-426.964</v>
      </c>
      <c r="K258">
        <v>1.0592410000000001</v>
      </c>
      <c r="L258">
        <v>368.31290000000001</v>
      </c>
      <c r="M258">
        <v>0.9993052</v>
      </c>
      <c r="N258">
        <v>0</v>
      </c>
      <c r="O258">
        <v>-3.5560620000000001E-2</v>
      </c>
      <c r="P258">
        <v>0.98199709999999996</v>
      </c>
      <c r="Q258">
        <v>0.17260739999999999</v>
      </c>
      <c r="R258">
        <v>-7.6736470000000001E-2</v>
      </c>
      <c r="S258">
        <v>3.1261899999999998</v>
      </c>
      <c r="T258">
        <v>-0.70082739999999999</v>
      </c>
      <c r="U258">
        <v>-0.65921019999999997</v>
      </c>
      <c r="V258">
        <v>4.2047010000000003E-2</v>
      </c>
      <c r="W258">
        <v>0.18352019999999999</v>
      </c>
      <c r="X258">
        <v>0.98211630000000005</v>
      </c>
      <c r="Y258">
        <v>0.1682524</v>
      </c>
      <c r="Z258">
        <v>-1.0649E-2</v>
      </c>
      <c r="AA258">
        <v>0.98568639999999996</v>
      </c>
      <c r="AB258">
        <v>27</v>
      </c>
      <c r="AC258">
        <v>0.47099999999994602</v>
      </c>
      <c r="AD258">
        <v>-0.164459999999999</v>
      </c>
      <c r="AE258">
        <v>-0.14519999999998801</v>
      </c>
      <c r="AF258">
        <v>0.115498489340694</v>
      </c>
      <c r="AG258">
        <v>-0.164459999999999</v>
      </c>
      <c r="AH258">
        <v>0.428191115352208</v>
      </c>
      <c r="AI258">
        <v>110.34616286133</v>
      </c>
      <c r="AJ258">
        <v>74.904532782733597</v>
      </c>
      <c r="AK258">
        <v>0.47300594489556902</v>
      </c>
      <c r="AL258">
        <v>79.425131170658005</v>
      </c>
      <c r="AM258">
        <v>87.548512409383804</v>
      </c>
      <c r="AN258">
        <v>1.00000002079183</v>
      </c>
    </row>
    <row r="259" spans="1:40" x14ac:dyDescent="0.25">
      <c r="A259" t="str">
        <f>"20190312172902303"</f>
        <v>20190312172902303</v>
      </c>
      <c r="B259" t="str">
        <f>"1552382942298211"</f>
        <v>1552382942298211</v>
      </c>
      <c r="C259" t="s">
        <v>40</v>
      </c>
      <c r="D259">
        <v>3.0670809999999999</v>
      </c>
      <c r="E259">
        <v>0.55926940000000003</v>
      </c>
      <c r="F259" t="s">
        <v>42</v>
      </c>
      <c r="G259">
        <v>-426.24709999999999</v>
      </c>
      <c r="H259">
        <v>0.89938119999999999</v>
      </c>
      <c r="I259">
        <v>368.16090000000003</v>
      </c>
      <c r="J259">
        <v>-426.6891</v>
      </c>
      <c r="K259">
        <v>1.059245</v>
      </c>
      <c r="L259">
        <v>368.30220000000003</v>
      </c>
      <c r="M259">
        <v>0.99927549999999998</v>
      </c>
      <c r="N259">
        <v>0</v>
      </c>
      <c r="O259">
        <v>-3.6387419999999997E-2</v>
      </c>
      <c r="P259">
        <v>0.98185199999999995</v>
      </c>
      <c r="Q259">
        <v>0.17299210000000001</v>
      </c>
      <c r="R259">
        <v>-7.7720540000000005E-2</v>
      </c>
      <c r="S259">
        <v>3.1257630000000001</v>
      </c>
      <c r="T259">
        <v>-0.69701729999999995</v>
      </c>
      <c r="U259">
        <v>-0.66244510000000001</v>
      </c>
      <c r="V259">
        <v>4.2218859999999997E-2</v>
      </c>
      <c r="W259">
        <v>0.1839018</v>
      </c>
      <c r="X259">
        <v>0.98203750000000001</v>
      </c>
      <c r="Y259">
        <v>0.16848869999999999</v>
      </c>
      <c r="Z259">
        <v>-1.043876E-2</v>
      </c>
      <c r="AA259">
        <v>0.98564830000000003</v>
      </c>
      <c r="AB259">
        <v>27</v>
      </c>
      <c r="AC259">
        <v>0.442000000000007</v>
      </c>
      <c r="AD259">
        <v>-0.1598638</v>
      </c>
      <c r="AE259">
        <v>-0.14130000000000101</v>
      </c>
      <c r="AF259">
        <v>0.111847533077904</v>
      </c>
      <c r="AG259">
        <v>-0.1598638</v>
      </c>
      <c r="AH259">
        <v>0.39944136106751899</v>
      </c>
      <c r="AI259">
        <v>111.076411838496</v>
      </c>
      <c r="AJ259">
        <v>74.357227884846395</v>
      </c>
      <c r="AK259">
        <v>0.44454438039134497</v>
      </c>
      <c r="AL259">
        <v>79.402888077655703</v>
      </c>
      <c r="AM259">
        <v>87.538307982083595</v>
      </c>
      <c r="AN259">
        <v>0.99999997779459404</v>
      </c>
    </row>
    <row r="260" spans="1:40" x14ac:dyDescent="0.25">
      <c r="A260" t="str">
        <f>"20190312172902324"</f>
        <v>20190312172902324</v>
      </c>
      <c r="B260" t="str">
        <f>"1552382942317731"</f>
        <v>1552382942317731</v>
      </c>
      <c r="C260" t="s">
        <v>40</v>
      </c>
      <c r="D260">
        <v>3.0712660000000001</v>
      </c>
      <c r="E260">
        <v>0.55920550000000002</v>
      </c>
      <c r="F260" t="s">
        <v>42</v>
      </c>
      <c r="G260">
        <v>-426.00020000000001</v>
      </c>
      <c r="H260">
        <v>0.90551040000000005</v>
      </c>
      <c r="I260">
        <v>368.15499999999997</v>
      </c>
      <c r="J260">
        <v>-426.43360000000001</v>
      </c>
      <c r="K260">
        <v>1.059253</v>
      </c>
      <c r="L260">
        <v>368.29199999999997</v>
      </c>
      <c r="M260">
        <v>0.99924800000000003</v>
      </c>
      <c r="N260">
        <v>0</v>
      </c>
      <c r="O260">
        <v>-3.7134859999999999E-2</v>
      </c>
      <c r="P260">
        <v>0.98175400000000002</v>
      </c>
      <c r="Q260">
        <v>0.17302770000000001</v>
      </c>
      <c r="R260">
        <v>-7.8870560000000006E-2</v>
      </c>
      <c r="S260">
        <v>3.1256409999999999</v>
      </c>
      <c r="T260">
        <v>-0.69751169999999996</v>
      </c>
      <c r="U260">
        <v>-0.66641240000000002</v>
      </c>
      <c r="V260">
        <v>4.262966E-2</v>
      </c>
      <c r="W260">
        <v>0.18393689999999999</v>
      </c>
      <c r="X260">
        <v>0.98201320000000003</v>
      </c>
      <c r="Y260">
        <v>0.16895959999999999</v>
      </c>
      <c r="Z260">
        <v>-1.033383E-2</v>
      </c>
      <c r="AA260">
        <v>0.98556880000000002</v>
      </c>
      <c r="AB260">
        <v>27</v>
      </c>
      <c r="AC260">
        <v>0.433400000000006</v>
      </c>
      <c r="AD260">
        <v>-0.15374260000000001</v>
      </c>
      <c r="AE260">
        <v>-0.13700000000000001</v>
      </c>
      <c r="AF260">
        <v>0.108407754437922</v>
      </c>
      <c r="AG260">
        <v>-0.15374260000000001</v>
      </c>
      <c r="AH260">
        <v>0.39320395828955201</v>
      </c>
      <c r="AI260">
        <v>110.65323518528599</v>
      </c>
      <c r="AJ260">
        <v>74.586275503780797</v>
      </c>
      <c r="AK260">
        <v>0.43588803733482301</v>
      </c>
      <c r="AL260">
        <v>79.400842311002904</v>
      </c>
      <c r="AM260">
        <v>87.514323574661404</v>
      </c>
      <c r="AN260">
        <v>0.99999999803378203</v>
      </c>
    </row>
    <row r="261" spans="1:40" x14ac:dyDescent="0.25">
      <c r="A261" t="str">
        <f>"20190312172902347"</f>
        <v>20190312172902347</v>
      </c>
      <c r="B261" t="str">
        <f>"1552382942338227"</f>
        <v>1552382942338227</v>
      </c>
      <c r="C261" t="s">
        <v>40</v>
      </c>
      <c r="D261">
        <v>3.0514649999999999</v>
      </c>
      <c r="E261">
        <v>0.55952440000000003</v>
      </c>
      <c r="F261" t="s">
        <v>42</v>
      </c>
      <c r="G261">
        <v>-425.53309999999999</v>
      </c>
      <c r="H261">
        <v>0.8584965</v>
      </c>
      <c r="I261">
        <v>368.09890000000001</v>
      </c>
      <c r="J261">
        <v>-426.15460000000002</v>
      </c>
      <c r="K261">
        <v>1.0592649999999999</v>
      </c>
      <c r="L261">
        <v>368.28070000000002</v>
      </c>
      <c r="M261">
        <v>0.99921859999999996</v>
      </c>
      <c r="N261">
        <v>0</v>
      </c>
      <c r="O261">
        <v>-3.7917220000000001E-2</v>
      </c>
      <c r="P261">
        <v>0.98171900000000001</v>
      </c>
      <c r="Q261">
        <v>0.172822</v>
      </c>
      <c r="R261">
        <v>-7.9753180000000007E-2</v>
      </c>
      <c r="S261">
        <v>3.1248170000000002</v>
      </c>
      <c r="T261">
        <v>-0.6965749</v>
      </c>
      <c r="U261">
        <v>-0.66848750000000001</v>
      </c>
      <c r="V261">
        <v>4.273221E-2</v>
      </c>
      <c r="W261">
        <v>0.18373439999999999</v>
      </c>
      <c r="X261">
        <v>0.98204669999999905</v>
      </c>
      <c r="Y261">
        <v>0.1688944</v>
      </c>
      <c r="Z261">
        <v>-1.0145110000000001E-2</v>
      </c>
      <c r="AA261">
        <v>0.98558190000000001</v>
      </c>
      <c r="AB261">
        <v>27</v>
      </c>
      <c r="AC261">
        <v>0.62150000000002503</v>
      </c>
      <c r="AD261">
        <v>-0.20076849999999899</v>
      </c>
      <c r="AE261">
        <v>-0.18180000000000901</v>
      </c>
      <c r="AF261">
        <v>0.144236943584545</v>
      </c>
      <c r="AG261">
        <v>-0.20076849999999899</v>
      </c>
      <c r="AH261">
        <v>0.57287697051558895</v>
      </c>
      <c r="AI261">
        <v>108.770343755544</v>
      </c>
      <c r="AJ261">
        <v>75.867999514078207</v>
      </c>
      <c r="AK261">
        <v>0.62393934788085004</v>
      </c>
      <c r="AL261">
        <v>79.412646390945199</v>
      </c>
      <c r="AM261">
        <v>87.508436442260404</v>
      </c>
      <c r="AN261">
        <v>1.00000004624786</v>
      </c>
    </row>
    <row r="262" spans="1:40" x14ac:dyDescent="0.25">
      <c r="A262" t="str">
        <f>"20190312172902369"</f>
        <v>20190312172902369</v>
      </c>
      <c r="B262" t="str">
        <f>"1552382942357746"</f>
        <v>1552382942357746</v>
      </c>
      <c r="C262" t="s">
        <v>40</v>
      </c>
      <c r="D262">
        <v>3.0413939999999999</v>
      </c>
      <c r="E262">
        <v>0.55965330000000002</v>
      </c>
      <c r="F262" t="s">
        <v>42</v>
      </c>
      <c r="G262">
        <v>-425.28620000000001</v>
      </c>
      <c r="H262">
        <v>0.86486010000000002</v>
      </c>
      <c r="I262">
        <v>368.09390000000002</v>
      </c>
      <c r="J262">
        <v>-425.88099999999997</v>
      </c>
      <c r="K262">
        <v>1.059283</v>
      </c>
      <c r="L262">
        <v>368.26949999999999</v>
      </c>
      <c r="M262">
        <v>0.99919029999999998</v>
      </c>
      <c r="N262">
        <v>0</v>
      </c>
      <c r="O262">
        <v>-3.8654729999999998E-2</v>
      </c>
      <c r="P262">
        <v>0.98181459999999998</v>
      </c>
      <c r="Q262">
        <v>0.17207049999999999</v>
      </c>
      <c r="R262">
        <v>-8.0199179999999995E-2</v>
      </c>
      <c r="S262">
        <v>3.1243590000000001</v>
      </c>
      <c r="T262">
        <v>-0.69942859999999996</v>
      </c>
      <c r="U262">
        <v>-0.67214969999999996</v>
      </c>
      <c r="V262">
        <v>4.2435649999999998E-2</v>
      </c>
      <c r="W262">
        <v>0.18298819999999999</v>
      </c>
      <c r="X262">
        <v>0.98219880000000004</v>
      </c>
      <c r="Y262">
        <v>0.16928470000000001</v>
      </c>
      <c r="Z262">
        <v>-1.006776E-2</v>
      </c>
      <c r="AA262">
        <v>0.98551580000000005</v>
      </c>
      <c r="AB262">
        <v>27</v>
      </c>
      <c r="AC262">
        <v>0.59479999999996302</v>
      </c>
      <c r="AD262">
        <v>-0.19442289999999901</v>
      </c>
      <c r="AE262">
        <v>-0.175599999999974</v>
      </c>
      <c r="AF262">
        <v>0.138831293493095</v>
      </c>
      <c r="AG262">
        <v>-0.19442289999999901</v>
      </c>
      <c r="AH262">
        <v>0.54735058974516104</v>
      </c>
      <c r="AI262">
        <v>108.99881885850399</v>
      </c>
      <c r="AJ262">
        <v>75.767509805576296</v>
      </c>
      <c r="AK262">
        <v>0.59721609170529899</v>
      </c>
      <c r="AL262">
        <v>79.456137105007997</v>
      </c>
      <c r="AM262">
        <v>87.526088923648004</v>
      </c>
      <c r="AN262">
        <v>0.999999974225801</v>
      </c>
    </row>
    <row r="263" spans="1:40" x14ac:dyDescent="0.25">
      <c r="A263" t="str">
        <f>"20190312172902390"</f>
        <v>20190312172902390</v>
      </c>
      <c r="B263" t="str">
        <f>"1552382942388003"</f>
        <v>1552382942388003</v>
      </c>
      <c r="C263" t="s">
        <v>40</v>
      </c>
      <c r="D263">
        <v>3.0369199999999998</v>
      </c>
      <c r="E263">
        <v>0.56019529999999995</v>
      </c>
      <c r="F263" t="s">
        <v>42</v>
      </c>
      <c r="G263">
        <v>-425.03969999999998</v>
      </c>
      <c r="H263">
        <v>0.86994530000000003</v>
      </c>
      <c r="I263">
        <v>368.08730000000003</v>
      </c>
      <c r="J263">
        <v>-425.60789999999997</v>
      </c>
      <c r="K263">
        <v>1.059302</v>
      </c>
      <c r="L263">
        <v>368.25810000000001</v>
      </c>
      <c r="M263">
        <v>0.99916329999999998</v>
      </c>
      <c r="N263">
        <v>0</v>
      </c>
      <c r="O263">
        <v>-3.934998E-2</v>
      </c>
      <c r="P263">
        <v>0.98166140000000002</v>
      </c>
      <c r="Q263">
        <v>0.17264170000000001</v>
      </c>
      <c r="R263">
        <v>-8.0846790000000002E-2</v>
      </c>
      <c r="S263">
        <v>3.123688</v>
      </c>
      <c r="T263">
        <v>-0.70310989999999995</v>
      </c>
      <c r="U263">
        <v>-0.67471309999999995</v>
      </c>
      <c r="V263">
        <v>4.2391779999999997E-2</v>
      </c>
      <c r="W263">
        <v>0.1835629</v>
      </c>
      <c r="X263">
        <v>0.98209349999999995</v>
      </c>
      <c r="Y263">
        <v>0.16939689999999999</v>
      </c>
      <c r="Z263">
        <v>-9.9806389999999995E-3</v>
      </c>
      <c r="AA263">
        <v>0.98549739999999997</v>
      </c>
      <c r="AB263">
        <v>27</v>
      </c>
      <c r="AC263">
        <v>0.56819999999999005</v>
      </c>
      <c r="AD263">
        <v>-0.18935669999999899</v>
      </c>
      <c r="AE263">
        <v>-0.17079999999998499</v>
      </c>
      <c r="AF263">
        <v>0.134597957129965</v>
      </c>
      <c r="AG263">
        <v>-0.18935669999999899</v>
      </c>
      <c r="AH263">
        <v>0.52137570021912905</v>
      </c>
      <c r="AI263">
        <v>109.374598465323</v>
      </c>
      <c r="AJ263">
        <v>75.524617343898896</v>
      </c>
      <c r="AK263">
        <v>0.57079347462759</v>
      </c>
      <c r="AL263">
        <v>79.422642373888905</v>
      </c>
      <c r="AM263">
        <v>87.528378631645396</v>
      </c>
      <c r="AN263">
        <v>1.00000002200511</v>
      </c>
    </row>
    <row r="264" spans="1:40" x14ac:dyDescent="0.25">
      <c r="A264" t="str">
        <f>"20190312172902413"</f>
        <v>20190312172902413</v>
      </c>
      <c r="B264" t="str">
        <f>"1552382942407523"</f>
        <v>1552382942407523</v>
      </c>
      <c r="C264" t="s">
        <v>40</v>
      </c>
      <c r="D264">
        <v>3.044003</v>
      </c>
      <c r="E264">
        <v>0.56049189999999904</v>
      </c>
      <c r="F264" t="s">
        <v>42</v>
      </c>
      <c r="G264">
        <v>-424.79289999999997</v>
      </c>
      <c r="H264">
        <v>0.87546489999999999</v>
      </c>
      <c r="I264">
        <v>368.08069999999998</v>
      </c>
      <c r="J264">
        <v>-425.3374</v>
      </c>
      <c r="K264">
        <v>1.059337</v>
      </c>
      <c r="L264">
        <v>368.24680000000001</v>
      </c>
      <c r="M264">
        <v>0.99913819999999998</v>
      </c>
      <c r="N264">
        <v>0</v>
      </c>
      <c r="O264">
        <v>-3.9982770000000001E-2</v>
      </c>
      <c r="P264">
        <v>0.98167199999999999</v>
      </c>
      <c r="Q264">
        <v>0.17254349999999999</v>
      </c>
      <c r="R264">
        <v>-8.0925570000000002E-2</v>
      </c>
      <c r="S264">
        <v>3.123993</v>
      </c>
      <c r="T264">
        <v>-0.70469179999999998</v>
      </c>
      <c r="U264">
        <v>-0.67974849999999998</v>
      </c>
      <c r="V264">
        <v>4.1830399999999997E-2</v>
      </c>
      <c r="W264">
        <v>0.18347150000000001</v>
      </c>
      <c r="X264">
        <v>0.98213459999999997</v>
      </c>
      <c r="Y264">
        <v>0.17025319999999999</v>
      </c>
      <c r="Z264">
        <v>-9.9553520000000006E-3</v>
      </c>
      <c r="AA264">
        <v>0.98535010000000001</v>
      </c>
      <c r="AB264">
        <v>27</v>
      </c>
      <c r="AC264">
        <v>0.54450000000002696</v>
      </c>
      <c r="AD264">
        <v>-0.18387210000000001</v>
      </c>
      <c r="AE264">
        <v>-0.166100000000028</v>
      </c>
      <c r="AF264">
        <v>0.13057300326903501</v>
      </c>
      <c r="AG264">
        <v>-0.18387210000000001</v>
      </c>
      <c r="AH264">
        <v>0.49868062201918101</v>
      </c>
      <c r="AI264">
        <v>109.630944468306</v>
      </c>
      <c r="AJ264">
        <v>75.327243911760505</v>
      </c>
      <c r="AK264">
        <v>0.54730304322061096</v>
      </c>
      <c r="AL264">
        <v>79.427969161393307</v>
      </c>
      <c r="AM264">
        <v>87.561171628591495</v>
      </c>
      <c r="AN264">
        <v>0.99999997309678401</v>
      </c>
    </row>
    <row r="265" spans="1:40" x14ac:dyDescent="0.25">
      <c r="A265" t="str">
        <f>"20190312172902436"</f>
        <v>20190312172902436</v>
      </c>
      <c r="B265" t="str">
        <f>"1552382942427920"</f>
        <v>1552382942427920</v>
      </c>
      <c r="C265" t="s">
        <v>40</v>
      </c>
      <c r="D265">
        <v>3.0377939999999999</v>
      </c>
      <c r="E265">
        <v>0.56072299999999997</v>
      </c>
      <c r="F265" t="s">
        <v>42</v>
      </c>
      <c r="G265">
        <v>-424.54629999999997</v>
      </c>
      <c r="H265">
        <v>0.88034009999999996</v>
      </c>
      <c r="I265">
        <v>368.07350000000002</v>
      </c>
      <c r="J265">
        <v>-425.05180000000001</v>
      </c>
      <c r="K265">
        <v>1.0593840000000001</v>
      </c>
      <c r="L265">
        <v>368.2346</v>
      </c>
      <c r="M265">
        <v>0.99911430000000001</v>
      </c>
      <c r="N265">
        <v>0</v>
      </c>
      <c r="O265">
        <v>-4.0571610000000001E-2</v>
      </c>
      <c r="P265">
        <v>0.9817593</v>
      </c>
      <c r="Q265">
        <v>0.17220779999999999</v>
      </c>
      <c r="R265">
        <v>-8.0581490000000006E-2</v>
      </c>
      <c r="S265">
        <v>3.1241759999999998</v>
      </c>
      <c r="T265">
        <v>-0.70696499999999995</v>
      </c>
      <c r="U265">
        <v>-0.68130489999999999</v>
      </c>
      <c r="V265">
        <v>4.0879720000000001E-2</v>
      </c>
      <c r="W265">
        <v>0.18314520000000001</v>
      </c>
      <c r="X265">
        <v>0.98223559999999999</v>
      </c>
      <c r="Y265">
        <v>0.17012759999999999</v>
      </c>
      <c r="Z265">
        <v>-9.8420160000000003E-3</v>
      </c>
      <c r="AA265">
        <v>0.9853729</v>
      </c>
      <c r="AB265">
        <v>27</v>
      </c>
      <c r="AC265">
        <v>0.50550000000004003</v>
      </c>
      <c r="AD265">
        <v>-0.17904390000000001</v>
      </c>
      <c r="AE265">
        <v>-0.16109999999997601</v>
      </c>
      <c r="AF265">
        <v>0.126096611711037</v>
      </c>
      <c r="AG265">
        <v>-0.17904390000000001</v>
      </c>
      <c r="AH265">
        <v>0.45931157317045501</v>
      </c>
      <c r="AI265">
        <v>110.60128762737099</v>
      </c>
      <c r="AJ265">
        <v>74.648578009028398</v>
      </c>
      <c r="AK265">
        <v>0.50884594413292905</v>
      </c>
      <c r="AL265">
        <v>79.4469877895623</v>
      </c>
      <c r="AM265">
        <v>87.616779046801099</v>
      </c>
      <c r="AN265">
        <v>1.00000004484883</v>
      </c>
    </row>
    <row r="266" spans="1:40" x14ac:dyDescent="0.25">
      <c r="A266" t="str">
        <f>"20190312172902458"</f>
        <v>20190312172902458</v>
      </c>
      <c r="B266" t="str">
        <f>"1552382942447439"</f>
        <v>1552382942447439</v>
      </c>
      <c r="C266" t="s">
        <v>40</v>
      </c>
      <c r="D266">
        <v>3.0260280000000002</v>
      </c>
      <c r="E266">
        <v>0.56091530000000001</v>
      </c>
      <c r="F266" t="s">
        <v>42</v>
      </c>
      <c r="G266">
        <v>-424.29790000000003</v>
      </c>
      <c r="H266">
        <v>0.88831229999999906</v>
      </c>
      <c r="I266">
        <v>368.06950000000001</v>
      </c>
      <c r="J266">
        <v>-424.79050000000001</v>
      </c>
      <c r="K266">
        <v>1.0594410000000001</v>
      </c>
      <c r="L266">
        <v>368.22340000000003</v>
      </c>
      <c r="M266">
        <v>0.99909590000000004</v>
      </c>
      <c r="N266">
        <v>0</v>
      </c>
      <c r="O266">
        <v>-4.1023700000000003E-2</v>
      </c>
      <c r="P266">
        <v>0.9818597</v>
      </c>
      <c r="Q266">
        <v>0.17187430000000001</v>
      </c>
      <c r="R266">
        <v>-8.0068139999999996E-2</v>
      </c>
      <c r="S266">
        <v>3.1240540000000001</v>
      </c>
      <c r="T266">
        <v>-0.70893680000000003</v>
      </c>
      <c r="U266">
        <v>-0.68322749999999999</v>
      </c>
      <c r="V266">
        <v>3.9889870000000001E-2</v>
      </c>
      <c r="W266">
        <v>0.18282219999999999</v>
      </c>
      <c r="X266">
        <v>0.9823364</v>
      </c>
      <c r="Y266">
        <v>0.17025960000000001</v>
      </c>
      <c r="Z266">
        <v>-9.7833199999999999E-3</v>
      </c>
      <c r="AA266">
        <v>0.98535070000000002</v>
      </c>
      <c r="AB266">
        <v>27</v>
      </c>
      <c r="AC266">
        <v>0.492599999999981</v>
      </c>
      <c r="AD266">
        <v>-0.17112869999999999</v>
      </c>
      <c r="AE266">
        <v>-0.15390000000002099</v>
      </c>
      <c r="AF266">
        <v>0.120330163063781</v>
      </c>
      <c r="AG266">
        <v>-0.17112869999999999</v>
      </c>
      <c r="AH266">
        <v>0.44911716677308</v>
      </c>
      <c r="AI266">
        <v>110.206252421926</v>
      </c>
      <c r="AJ266">
        <v>75.001240173437495</v>
      </c>
      <c r="AK266">
        <v>0.49544990624373397</v>
      </c>
      <c r="AL266">
        <v>79.465811473223198</v>
      </c>
      <c r="AM266">
        <v>87.674659913986602</v>
      </c>
      <c r="AN266">
        <v>0.99999998065320805</v>
      </c>
    </row>
    <row r="267" spans="1:40" x14ac:dyDescent="0.25">
      <c r="A267" t="str">
        <f>"20190312172902480"</f>
        <v>20190312172902480</v>
      </c>
      <c r="B267" t="str">
        <f>"1552382942477696"</f>
        <v>1552382942477696</v>
      </c>
      <c r="C267" t="s">
        <v>40</v>
      </c>
      <c r="D267">
        <v>3.0415779999999999</v>
      </c>
      <c r="E267">
        <v>0.56112839999999997</v>
      </c>
      <c r="F267" t="s">
        <v>42</v>
      </c>
      <c r="G267">
        <v>-424.05160000000001</v>
      </c>
      <c r="H267">
        <v>0.89139080000000004</v>
      </c>
      <c r="I267">
        <v>368.06189999999998</v>
      </c>
      <c r="J267">
        <v>-424.51940000000002</v>
      </c>
      <c r="K267">
        <v>1.0595139999999901</v>
      </c>
      <c r="L267">
        <v>368.21190000000001</v>
      </c>
      <c r="M267">
        <v>0.99908039999999998</v>
      </c>
      <c r="N267">
        <v>0</v>
      </c>
      <c r="O267">
        <v>-4.1394779999999999E-2</v>
      </c>
      <c r="P267">
        <v>0.98182119999999995</v>
      </c>
      <c r="Q267">
        <v>0.1722225</v>
      </c>
      <c r="R267">
        <v>-7.979145E-2</v>
      </c>
      <c r="S267">
        <v>3.1241150000000002</v>
      </c>
      <c r="T267">
        <v>-0.71061399999999997</v>
      </c>
      <c r="U267">
        <v>-0.68289180000000005</v>
      </c>
      <c r="V267">
        <v>3.9216559999999998E-2</v>
      </c>
      <c r="W267">
        <v>0.18317990000000001</v>
      </c>
      <c r="X267">
        <v>0.98229690000000003</v>
      </c>
      <c r="Y267">
        <v>0.16979449999999999</v>
      </c>
      <c r="Z267">
        <v>-9.6720109999999995E-3</v>
      </c>
      <c r="AA267">
        <v>0.98543199999999997</v>
      </c>
      <c r="AB267">
        <v>27</v>
      </c>
      <c r="AC267">
        <v>0.46780000000001098</v>
      </c>
      <c r="AD267">
        <v>-0.168123199999999</v>
      </c>
      <c r="AE267">
        <v>-0.150000000000034</v>
      </c>
      <c r="AF267">
        <v>0.11682335671357701</v>
      </c>
      <c r="AG267">
        <v>-0.168123199999999</v>
      </c>
      <c r="AH267">
        <v>0.42395491871819801</v>
      </c>
      <c r="AI267">
        <v>110.922358248549</v>
      </c>
      <c r="AJ267">
        <v>74.594131859300504</v>
      </c>
      <c r="AK267">
        <v>0.470798131004597</v>
      </c>
      <c r="AL267">
        <v>79.444965009246602</v>
      </c>
      <c r="AM267">
        <v>87.713776012820901</v>
      </c>
      <c r="AN267">
        <v>1.0000000070459201</v>
      </c>
    </row>
    <row r="268" spans="1:40" x14ac:dyDescent="0.25">
      <c r="A268" t="str">
        <f>"20190312172902502"</f>
        <v>20190312172902502</v>
      </c>
      <c r="B268" t="str">
        <f>"1552382942498192"</f>
        <v>1552382942498192</v>
      </c>
      <c r="C268" t="s">
        <v>40</v>
      </c>
      <c r="D268">
        <v>3.0174470000000002</v>
      </c>
      <c r="E268">
        <v>0.56128900000000004</v>
      </c>
      <c r="F268" t="s">
        <v>42</v>
      </c>
      <c r="G268">
        <v>-423.80410000000001</v>
      </c>
      <c r="H268">
        <v>0.89684050000000004</v>
      </c>
      <c r="I268">
        <v>368.05520000000001</v>
      </c>
      <c r="J268">
        <v>-424.25319999999999</v>
      </c>
      <c r="K268">
        <v>1.05959</v>
      </c>
      <c r="L268">
        <v>368.20049999999998</v>
      </c>
      <c r="M268">
        <v>0.99906980000000001</v>
      </c>
      <c r="N268">
        <v>0</v>
      </c>
      <c r="O268">
        <v>-4.1652649999999999E-2</v>
      </c>
      <c r="P268">
        <v>0.98188699999999995</v>
      </c>
      <c r="Q268">
        <v>0.17206399999999999</v>
      </c>
      <c r="R268">
        <v>-7.9322899999999905E-2</v>
      </c>
      <c r="S268">
        <v>3.124695</v>
      </c>
      <c r="T268">
        <v>-0.71075869999999997</v>
      </c>
      <c r="U268">
        <v>-0.68325809999999998</v>
      </c>
      <c r="V268">
        <v>3.845486E-2</v>
      </c>
      <c r="W268">
        <v>0.18303269999999999</v>
      </c>
      <c r="X268">
        <v>0.98235450000000002</v>
      </c>
      <c r="Y268">
        <v>0.16962279999999999</v>
      </c>
      <c r="Z268">
        <v>-9.5959449999999998E-3</v>
      </c>
      <c r="AA268">
        <v>0.98546230000000001</v>
      </c>
      <c r="AB268">
        <v>27</v>
      </c>
      <c r="AC268">
        <v>0.44909999999998701</v>
      </c>
      <c r="AD268">
        <v>-0.16274949999999999</v>
      </c>
      <c r="AE268">
        <v>-0.14529999999996299</v>
      </c>
      <c r="AF268">
        <v>0.11302929320230699</v>
      </c>
      <c r="AG268">
        <v>-0.16274949999999999</v>
      </c>
      <c r="AH268">
        <v>0.406443613050121</v>
      </c>
      <c r="AI268">
        <v>111.095797502856</v>
      </c>
      <c r="AJ268">
        <v>74.459101043268404</v>
      </c>
      <c r="AK268">
        <v>0.45217190476775498</v>
      </c>
      <c r="AL268">
        <v>79.453544499018506</v>
      </c>
      <c r="AM268">
        <v>87.758266712183897</v>
      </c>
      <c r="AN268">
        <v>1.0000000545985701</v>
      </c>
    </row>
    <row r="269" spans="1:40" x14ac:dyDescent="0.25">
      <c r="A269" t="str">
        <f>"20190312172902525"</f>
        <v>20190312172902525</v>
      </c>
      <c r="B269" t="str">
        <f>"1552382942517639"</f>
        <v>1552382942517639</v>
      </c>
      <c r="C269" t="s">
        <v>40</v>
      </c>
      <c r="D269">
        <v>3.027282</v>
      </c>
      <c r="E269">
        <v>0.56147669999999905</v>
      </c>
      <c r="F269" t="s">
        <v>42</v>
      </c>
      <c r="G269">
        <v>-423.55720000000002</v>
      </c>
      <c r="H269">
        <v>0.90106379999999997</v>
      </c>
      <c r="I269">
        <v>368.04790000000003</v>
      </c>
      <c r="J269">
        <v>-423.97469999999998</v>
      </c>
      <c r="K269">
        <v>1.0596699999999999</v>
      </c>
      <c r="L269">
        <v>368.18869999999998</v>
      </c>
      <c r="M269">
        <v>0.99906289999999998</v>
      </c>
      <c r="N269">
        <v>0</v>
      </c>
      <c r="O269">
        <v>-4.1812519999999999E-2</v>
      </c>
      <c r="P269">
        <v>0.98200050000000005</v>
      </c>
      <c r="Q269">
        <v>0.17178650000000001</v>
      </c>
      <c r="R269">
        <v>-7.8512470000000001E-2</v>
      </c>
      <c r="S269">
        <v>3.125</v>
      </c>
      <c r="T269">
        <v>-0.71192959999999905</v>
      </c>
      <c r="U269">
        <v>-0.68295289999999997</v>
      </c>
      <c r="V269">
        <v>3.7445340000000001E-2</v>
      </c>
      <c r="W269">
        <v>0.18276690000000001</v>
      </c>
      <c r="X269">
        <v>0.98244290000000001</v>
      </c>
      <c r="Y269">
        <v>0.16935410000000001</v>
      </c>
      <c r="Z269">
        <v>-9.5452200000000001E-3</v>
      </c>
      <c r="AA269">
        <v>0.98550899999999997</v>
      </c>
      <c r="AB269">
        <v>27</v>
      </c>
      <c r="AC269">
        <v>0.41749999999996101</v>
      </c>
      <c r="AD269">
        <v>-0.1586062</v>
      </c>
      <c r="AE269">
        <v>-0.14079999999995599</v>
      </c>
      <c r="AF269">
        <v>0.109083714498663</v>
      </c>
      <c r="AG269">
        <v>-0.1586062</v>
      </c>
      <c r="AH269">
        <v>0.37449454701801899</v>
      </c>
      <c r="AI269">
        <v>112.12773341939</v>
      </c>
      <c r="AJ269">
        <v>73.760081910194401</v>
      </c>
      <c r="AK269">
        <v>0.42107166752643999</v>
      </c>
      <c r="AL269">
        <v>79.469034142757707</v>
      </c>
      <c r="AM269">
        <v>87.817255400896897</v>
      </c>
      <c r="AN269">
        <v>0.99999997249186701</v>
      </c>
    </row>
    <row r="270" spans="1:40" x14ac:dyDescent="0.25">
      <c r="A270" t="str">
        <f>"20190312172902546"</f>
        <v>20190312172902546</v>
      </c>
      <c r="B270" t="str">
        <f>"1552382942538134"</f>
        <v>1552382942538134</v>
      </c>
      <c r="C270" t="s">
        <v>40</v>
      </c>
      <c r="D270">
        <v>3.0180199999999999</v>
      </c>
      <c r="E270">
        <v>0.56169429999999998</v>
      </c>
      <c r="F270" t="s">
        <v>42</v>
      </c>
      <c r="G270">
        <v>-423.0865</v>
      </c>
      <c r="H270">
        <v>0.85712770000000005</v>
      </c>
      <c r="I270">
        <v>367.99439999999998</v>
      </c>
      <c r="J270">
        <v>-423.69920000000002</v>
      </c>
      <c r="K270">
        <v>1.0597399999999999</v>
      </c>
      <c r="L270">
        <v>368.17700000000002</v>
      </c>
      <c r="M270">
        <v>0.99906019999999895</v>
      </c>
      <c r="N270">
        <v>0</v>
      </c>
      <c r="O270">
        <v>-4.187987E-2</v>
      </c>
      <c r="P270">
        <v>0.98206479999999996</v>
      </c>
      <c r="Q270">
        <v>0.17197019999999999</v>
      </c>
      <c r="R270">
        <v>-7.7299190000000004E-2</v>
      </c>
      <c r="S270">
        <v>3.125092</v>
      </c>
      <c r="T270">
        <v>-0.71273240000000004</v>
      </c>
      <c r="U270">
        <v>-0.68252559999999995</v>
      </c>
      <c r="V270">
        <v>3.6133289999999998E-2</v>
      </c>
      <c r="W270">
        <v>0.1829605</v>
      </c>
      <c r="X270">
        <v>0.982456</v>
      </c>
      <c r="Y270">
        <v>0.16915279999999999</v>
      </c>
      <c r="Z270">
        <v>-9.5182219999999998E-3</v>
      </c>
      <c r="AA270">
        <v>0.98554390000000003</v>
      </c>
      <c r="AB270">
        <v>27</v>
      </c>
      <c r="AC270">
        <v>0.61270000000001801</v>
      </c>
      <c r="AD270">
        <v>-0.202612299999999</v>
      </c>
      <c r="AE270">
        <v>-0.182599999999979</v>
      </c>
      <c r="AF270">
        <v>0.14246960596514299</v>
      </c>
      <c r="AG270">
        <v>-0.202612299999999</v>
      </c>
      <c r="AH270">
        <v>0.56324159465564705</v>
      </c>
      <c r="AI270">
        <v>109.225799803123</v>
      </c>
      <c r="AJ270">
        <v>75.805012431943297</v>
      </c>
      <c r="AK270">
        <v>0.61529702314036006</v>
      </c>
      <c r="AL270">
        <v>79.457751466400595</v>
      </c>
      <c r="AM270">
        <v>87.893694669725093</v>
      </c>
      <c r="AN270">
        <v>0.99999997557123599</v>
      </c>
    </row>
    <row r="271" spans="1:40" x14ac:dyDescent="0.25">
      <c r="A271" t="str">
        <f>"20190312172902569"</f>
        <v>20190312172902569</v>
      </c>
      <c r="B271" t="str">
        <f>"1552382942567415"</f>
        <v>1552382942567415</v>
      </c>
      <c r="C271" t="s">
        <v>40</v>
      </c>
      <c r="D271">
        <v>3.2090269999999999</v>
      </c>
      <c r="E271">
        <v>0.56207530000000006</v>
      </c>
      <c r="F271" t="s">
        <v>42</v>
      </c>
      <c r="G271">
        <v>-422.83839999999998</v>
      </c>
      <c r="H271">
        <v>0.86377859999999995</v>
      </c>
      <c r="I271">
        <v>367.98910000000001</v>
      </c>
      <c r="J271">
        <v>-423.42189999999999</v>
      </c>
      <c r="K271">
        <v>1.059788</v>
      </c>
      <c r="L271">
        <v>368.16539999999998</v>
      </c>
      <c r="M271">
        <v>0.99906010000000001</v>
      </c>
      <c r="N271">
        <v>0</v>
      </c>
      <c r="O271">
        <v>-4.1881460000000002E-2</v>
      </c>
      <c r="P271">
        <v>0.9821086</v>
      </c>
      <c r="Q271">
        <v>0.172062299999999</v>
      </c>
      <c r="R271">
        <v>-7.6535099999999995E-2</v>
      </c>
      <c r="S271">
        <v>3.1257929999999998</v>
      </c>
      <c r="T271">
        <v>-0.71165749999999905</v>
      </c>
      <c r="U271">
        <v>-0.68154910000000002</v>
      </c>
      <c r="V271">
        <v>3.5344159999999999E-2</v>
      </c>
      <c r="W271">
        <v>0.1830599</v>
      </c>
      <c r="X271">
        <v>0.98246619999999996</v>
      </c>
      <c r="Y271">
        <v>0.16882939999999999</v>
      </c>
      <c r="Z271">
        <v>-9.4661680000000005E-3</v>
      </c>
      <c r="AA271">
        <v>0.98559980000000003</v>
      </c>
      <c r="AB271">
        <v>27</v>
      </c>
      <c r="AC271">
        <v>0.58350000000001501</v>
      </c>
      <c r="AD271">
        <v>-0.1960094</v>
      </c>
      <c r="AE271">
        <v>-0.17629999999996901</v>
      </c>
      <c r="AF271">
        <v>0.13748918089408799</v>
      </c>
      <c r="AG271">
        <v>-0.1960094</v>
      </c>
      <c r="AH271">
        <v>0.53504683431761002</v>
      </c>
      <c r="AI271">
        <v>109.535366854356</v>
      </c>
      <c r="AJ271">
        <v>75.588698213314402</v>
      </c>
      <c r="AK271">
        <v>0.58617239329789605</v>
      </c>
      <c r="AL271">
        <v>79.451958531951604</v>
      </c>
      <c r="AM271">
        <v>87.939676435596198</v>
      </c>
      <c r="AN271">
        <v>0.99999998538827695</v>
      </c>
    </row>
    <row r="272" spans="1:40" x14ac:dyDescent="0.25">
      <c r="A272" t="str">
        <f>"20190312172902591"</f>
        <v>20190312172902591</v>
      </c>
      <c r="B272" t="str">
        <f>"1552382942587911"</f>
        <v>1552382942587911</v>
      </c>
      <c r="C272" t="s">
        <v>40</v>
      </c>
      <c r="D272">
        <v>3.021385</v>
      </c>
      <c r="E272">
        <v>0.56224700000000005</v>
      </c>
      <c r="F272" t="s">
        <v>42</v>
      </c>
      <c r="G272">
        <v>-422.59019999999998</v>
      </c>
      <c r="H272">
        <v>0.87049379999999998</v>
      </c>
      <c r="I272">
        <v>367.98360000000002</v>
      </c>
      <c r="J272">
        <v>-423.15910000000002</v>
      </c>
      <c r="K272">
        <v>1.0598259999999999</v>
      </c>
      <c r="L272">
        <v>368.15440000000001</v>
      </c>
      <c r="M272">
        <v>0.99906249999999996</v>
      </c>
      <c r="N272">
        <v>0</v>
      </c>
      <c r="O272">
        <v>-4.1825189999999998E-2</v>
      </c>
      <c r="P272">
        <v>0.98208470000000003</v>
      </c>
      <c r="Q272">
        <v>0.17259949999999999</v>
      </c>
      <c r="R272">
        <v>-7.5626600000000002E-2</v>
      </c>
      <c r="S272">
        <v>3.1261290000000002</v>
      </c>
      <c r="T272">
        <v>-0.71155919999999995</v>
      </c>
      <c r="U272">
        <v>-0.68280030000000003</v>
      </c>
      <c r="V272">
        <v>3.4476729999999997E-2</v>
      </c>
      <c r="W272">
        <v>0.18360180000000001</v>
      </c>
      <c r="X272">
        <v>0.98239589999999999</v>
      </c>
      <c r="Y272">
        <v>0.16923009999999999</v>
      </c>
      <c r="Z272">
        <v>-9.5205459999999995E-3</v>
      </c>
      <c r="AA272">
        <v>0.98553060000000003</v>
      </c>
      <c r="AB272">
        <v>27</v>
      </c>
      <c r="AC272">
        <v>0.56890000000004104</v>
      </c>
      <c r="AD272">
        <v>-0.18933219999999901</v>
      </c>
      <c r="AE272">
        <v>-0.17079999999998499</v>
      </c>
      <c r="AF272">
        <v>0.133310291017744</v>
      </c>
      <c r="AG272">
        <v>-0.18933219999999901</v>
      </c>
      <c r="AH272">
        <v>0.52246371854703799</v>
      </c>
      <c r="AI272">
        <v>109.34787660156999</v>
      </c>
      <c r="AJ272">
        <v>75.686000603337405</v>
      </c>
      <c r="AK272">
        <v>0.57147760485085797</v>
      </c>
      <c r="AL272">
        <v>79.420374638271397</v>
      </c>
      <c r="AM272">
        <v>87.990055998826307</v>
      </c>
      <c r="AN272">
        <v>0.99999998510577104</v>
      </c>
    </row>
    <row r="273" spans="1:40" x14ac:dyDescent="0.25">
      <c r="A273" t="str">
        <f>"20190312172902603"</f>
        <v>20190312172902603</v>
      </c>
      <c r="B273" t="str">
        <f>"1552382942597671"</f>
        <v>1552382942597671</v>
      </c>
      <c r="C273" t="s">
        <v>40</v>
      </c>
      <c r="D273">
        <v>3.0072990000000002</v>
      </c>
      <c r="E273">
        <v>0.56232550000000003</v>
      </c>
      <c r="F273" t="s">
        <v>42</v>
      </c>
      <c r="G273">
        <v>-422.34300000000002</v>
      </c>
      <c r="H273">
        <v>0.87451859999999904</v>
      </c>
      <c r="I273">
        <v>367.97620000000001</v>
      </c>
      <c r="J273">
        <v>-423.0077</v>
      </c>
      <c r="K273">
        <v>1.059849</v>
      </c>
      <c r="L273">
        <v>368.1481</v>
      </c>
      <c r="M273">
        <v>0.99906459999999997</v>
      </c>
      <c r="N273">
        <v>0</v>
      </c>
      <c r="O273">
        <v>-4.1773570000000003E-2</v>
      </c>
      <c r="P273">
        <v>0.98209930000000001</v>
      </c>
      <c r="Q273">
        <v>0.17272760000000001</v>
      </c>
      <c r="R273">
        <v>-7.5140960000000007E-2</v>
      </c>
      <c r="S273">
        <v>3.1269840000000002</v>
      </c>
      <c r="T273">
        <v>-0.71008369999999998</v>
      </c>
      <c r="U273">
        <v>-0.68215939999999997</v>
      </c>
      <c r="V273">
        <v>3.4033430000000003E-2</v>
      </c>
      <c r="W273">
        <v>0.1837326</v>
      </c>
      <c r="X273">
        <v>0.98238689999999995</v>
      </c>
      <c r="Y273">
        <v>0.16904930000000001</v>
      </c>
      <c r="Z273">
        <v>-9.4903620000000005E-3</v>
      </c>
      <c r="AA273">
        <v>0.98556189999999999</v>
      </c>
      <c r="AB273">
        <v>27</v>
      </c>
      <c r="AC273">
        <v>0.66469999999998197</v>
      </c>
      <c r="AD273">
        <v>-0.18533040000000001</v>
      </c>
      <c r="AE273">
        <v>-0.171899999999993</v>
      </c>
      <c r="AF273">
        <v>0.134202479219523</v>
      </c>
      <c r="AG273">
        <v>-0.18533040000000001</v>
      </c>
      <c r="AH273">
        <v>0.62570806760681996</v>
      </c>
      <c r="AI273">
        <v>106.15137148755601</v>
      </c>
      <c r="AJ273">
        <v>77.894546653416597</v>
      </c>
      <c r="AK273">
        <v>0.66623437952501996</v>
      </c>
      <c r="AL273">
        <v>79.412750621151901</v>
      </c>
      <c r="AM273">
        <v>88.015860800874407</v>
      </c>
      <c r="AN273">
        <v>0.99999998197596696</v>
      </c>
    </row>
    <row r="274" spans="1:40" x14ac:dyDescent="0.25">
      <c r="A274" t="str">
        <f>"20190312172902626"</f>
        <v>20190312172902626</v>
      </c>
      <c r="B274" t="str">
        <f>"1552382942617699"</f>
        <v>1552382942617699</v>
      </c>
      <c r="C274" t="s">
        <v>40</v>
      </c>
      <c r="D274">
        <v>3.048492</v>
      </c>
      <c r="E274">
        <v>0.56240509999999999</v>
      </c>
      <c r="F274" t="s">
        <v>42</v>
      </c>
      <c r="G274">
        <v>-422.10550000000001</v>
      </c>
      <c r="H274">
        <v>0.85519040000000002</v>
      </c>
      <c r="I274">
        <v>367.95100000000002</v>
      </c>
      <c r="J274">
        <v>-422.73129999999998</v>
      </c>
      <c r="K274">
        <v>1.0598860000000001</v>
      </c>
      <c r="L274">
        <v>368.13670000000002</v>
      </c>
      <c r="M274">
        <v>0.99907029999999997</v>
      </c>
      <c r="N274">
        <v>0</v>
      </c>
      <c r="O274">
        <v>-4.1634999999999998E-2</v>
      </c>
      <c r="P274">
        <v>0.98207549999999999</v>
      </c>
      <c r="Q274">
        <v>0.17333850000000001</v>
      </c>
      <c r="R274">
        <v>-7.4038560000000003E-2</v>
      </c>
      <c r="S274">
        <v>3.1272890000000002</v>
      </c>
      <c r="T274">
        <v>-0.70947479999999996</v>
      </c>
      <c r="U274">
        <v>-0.68173219999999901</v>
      </c>
      <c r="V274">
        <v>3.3055139999999997E-2</v>
      </c>
      <c r="W274">
        <v>0.18434800000000001</v>
      </c>
      <c r="X274">
        <v>0.98230499999999998</v>
      </c>
      <c r="Y274">
        <v>0.16903989999999999</v>
      </c>
      <c r="Z274">
        <v>-9.5112340000000004E-3</v>
      </c>
      <c r="AA274">
        <v>0.98556330000000003</v>
      </c>
      <c r="AB274">
        <v>27</v>
      </c>
      <c r="AC274">
        <v>0.62579999999996905</v>
      </c>
      <c r="AD274">
        <v>-0.20469560000000001</v>
      </c>
      <c r="AE274">
        <v>-0.18570000000005399</v>
      </c>
      <c r="AF274">
        <v>0.14520394135135001</v>
      </c>
      <c r="AG274">
        <v>-0.20469560000000001</v>
      </c>
      <c r="AH274">
        <v>0.57631878072837595</v>
      </c>
      <c r="AI274">
        <v>109.004442869725</v>
      </c>
      <c r="AJ274">
        <v>75.858610580392806</v>
      </c>
      <c r="AK274">
        <v>0.62859192666114305</v>
      </c>
      <c r="AL274">
        <v>79.376877920390498</v>
      </c>
      <c r="AM274">
        <v>88.0726906298746</v>
      </c>
      <c r="AN274">
        <v>0.99999997020470899</v>
      </c>
    </row>
    <row r="275" spans="1:40" x14ac:dyDescent="0.25">
      <c r="A275" t="str">
        <f>"20190312172902649"</f>
        <v>20190312172902649</v>
      </c>
      <c r="B275" t="str">
        <f>"1552382942638195"</f>
        <v>1552382942638195</v>
      </c>
      <c r="C275" t="s">
        <v>40</v>
      </c>
      <c r="D275">
        <v>3.0494880000000002</v>
      </c>
      <c r="E275">
        <v>0.56259329999999996</v>
      </c>
      <c r="F275" t="s">
        <v>42</v>
      </c>
      <c r="G275">
        <v>-421.85680000000002</v>
      </c>
      <c r="H275">
        <v>0.86214489999999999</v>
      </c>
      <c r="I275">
        <v>367.94639999999998</v>
      </c>
      <c r="J275">
        <v>-422.44260000000003</v>
      </c>
      <c r="K275">
        <v>1.0599160000000001</v>
      </c>
      <c r="L275">
        <v>368.12479999999999</v>
      </c>
      <c r="M275">
        <v>0.9990774</v>
      </c>
      <c r="N275">
        <v>0</v>
      </c>
      <c r="O275">
        <v>-4.1463569999999998E-2</v>
      </c>
      <c r="P275">
        <v>0.98206930000000003</v>
      </c>
      <c r="Q275">
        <v>0.1739578</v>
      </c>
      <c r="R275">
        <v>-7.2657120000000006E-2</v>
      </c>
      <c r="S275">
        <v>3.1283569999999998</v>
      </c>
      <c r="T275">
        <v>-0.70738959999999995</v>
      </c>
      <c r="U275">
        <v>-0.68035889999999999</v>
      </c>
      <c r="V275">
        <v>3.1831209999999999E-2</v>
      </c>
      <c r="W275">
        <v>0.18497130000000001</v>
      </c>
      <c r="X275">
        <v>0.98222830000000005</v>
      </c>
      <c r="Y275">
        <v>0.16874829999999999</v>
      </c>
      <c r="Z275">
        <v>-9.4867969999999999E-3</v>
      </c>
      <c r="AA275">
        <v>0.98561350000000003</v>
      </c>
      <c r="AB275">
        <v>28</v>
      </c>
      <c r="AC275">
        <v>0.58580000000000598</v>
      </c>
      <c r="AD275">
        <v>-0.19777110000000001</v>
      </c>
      <c r="AE275">
        <v>-0.17840000000001</v>
      </c>
      <c r="AF275">
        <v>0.139414004861772</v>
      </c>
      <c r="AG275">
        <v>-0.19777110000000001</v>
      </c>
      <c r="AH275">
        <v>0.536711637339503</v>
      </c>
      <c r="AI275">
        <v>109.628822476832</v>
      </c>
      <c r="AJ275">
        <v>75.438885852459507</v>
      </c>
      <c r="AK275">
        <v>0.58873513093959196</v>
      </c>
      <c r="AL275">
        <v>79.340541091199896</v>
      </c>
      <c r="AM275">
        <v>88.143857259544703</v>
      </c>
      <c r="AN275">
        <v>1.0000000205373201</v>
      </c>
    </row>
    <row r="276" spans="1:40" x14ac:dyDescent="0.25">
      <c r="A276" t="str">
        <f>"20190312172902670"</f>
        <v>20190312172902670</v>
      </c>
      <c r="B276" t="str">
        <f>"1552382942667475"</f>
        <v>1552382942667475</v>
      </c>
      <c r="C276" t="s">
        <v>40</v>
      </c>
      <c r="D276">
        <v>3.2135479999999998</v>
      </c>
      <c r="E276">
        <v>0.56277159999999904</v>
      </c>
      <c r="F276" t="s">
        <v>42</v>
      </c>
      <c r="G276">
        <v>-421.60700000000003</v>
      </c>
      <c r="H276">
        <v>0.87158869999999899</v>
      </c>
      <c r="I276">
        <v>367.94319999999999</v>
      </c>
      <c r="J276">
        <v>-422.19060000000002</v>
      </c>
      <c r="K276">
        <v>1.0599320000000001</v>
      </c>
      <c r="L276">
        <v>368.11450000000002</v>
      </c>
      <c r="M276">
        <v>0.99908399999999997</v>
      </c>
      <c r="N276">
        <v>0</v>
      </c>
      <c r="O276">
        <v>-4.1302890000000002E-2</v>
      </c>
      <c r="P276">
        <v>0.98212999999999995</v>
      </c>
      <c r="Q276">
        <v>0.17411299999999999</v>
      </c>
      <c r="R276">
        <v>-7.1452950000000001E-2</v>
      </c>
      <c r="S276">
        <v>3.1294559999999998</v>
      </c>
      <c r="T276">
        <v>-0.70532810000000001</v>
      </c>
      <c r="U276">
        <v>-0.67916869999999996</v>
      </c>
      <c r="V276">
        <v>3.07756E-2</v>
      </c>
      <c r="W276">
        <v>0.18512970000000001</v>
      </c>
      <c r="X276">
        <v>0.98223210000000005</v>
      </c>
      <c r="Y276">
        <v>0.16849839999999999</v>
      </c>
      <c r="Z276">
        <v>-9.4647480000000003E-3</v>
      </c>
      <c r="AA276">
        <v>0.98565650000000005</v>
      </c>
      <c r="AB276">
        <v>28</v>
      </c>
      <c r="AC276">
        <v>0.58360000000004597</v>
      </c>
      <c r="AD276">
        <v>-0.18834329999999999</v>
      </c>
      <c r="AE276">
        <v>-0.17130000000003001</v>
      </c>
      <c r="AF276">
        <v>0.13418116874803199</v>
      </c>
      <c r="AG276">
        <v>-0.18834329999999999</v>
      </c>
      <c r="AH276">
        <v>0.53853675437465298</v>
      </c>
      <c r="AI276">
        <v>108.744978133963</v>
      </c>
      <c r="AJ276">
        <v>76.009127855856306</v>
      </c>
      <c r="AK276">
        <v>0.58608840673900298</v>
      </c>
      <c r="AL276">
        <v>79.331305942817096</v>
      </c>
      <c r="AM276">
        <v>88.205378027079703</v>
      </c>
      <c r="AN276">
        <v>1.0000000208239299</v>
      </c>
    </row>
    <row r="277" spans="1:40" x14ac:dyDescent="0.25">
      <c r="A277" t="str">
        <f>"20190312172902692"</f>
        <v>20190312172902692</v>
      </c>
      <c r="B277" t="str">
        <f>"1552382942687971"</f>
        <v>1552382942687971</v>
      </c>
      <c r="C277" t="s">
        <v>40</v>
      </c>
      <c r="D277">
        <v>3.0807229999999999</v>
      </c>
      <c r="E277">
        <v>0.56291519999999995</v>
      </c>
      <c r="F277" t="s">
        <v>42</v>
      </c>
      <c r="G277">
        <v>-421.36040000000003</v>
      </c>
      <c r="H277">
        <v>0.87290499999999904</v>
      </c>
      <c r="I277">
        <v>367.93470000000002</v>
      </c>
      <c r="J277">
        <v>-421.91480000000001</v>
      </c>
      <c r="K277">
        <v>1.0599400000000001</v>
      </c>
      <c r="L277">
        <v>368.10329999999999</v>
      </c>
      <c r="M277">
        <v>0.99909170000000003</v>
      </c>
      <c r="N277">
        <v>0</v>
      </c>
      <c r="O277">
        <v>-4.111882E-2</v>
      </c>
      <c r="P277">
        <v>0.98221890000000001</v>
      </c>
      <c r="Q277">
        <v>0.1741172</v>
      </c>
      <c r="R277">
        <v>-7.021165E-2</v>
      </c>
      <c r="S277">
        <v>3.13028</v>
      </c>
      <c r="T277">
        <v>-0.70511939999999995</v>
      </c>
      <c r="U277">
        <v>-0.6777649</v>
      </c>
      <c r="V277">
        <v>2.9707979999999998E-2</v>
      </c>
      <c r="W277">
        <v>0.18513760000000001</v>
      </c>
      <c r="X277">
        <v>0.98226340000000001</v>
      </c>
      <c r="Y277">
        <v>0.16820929999999901</v>
      </c>
      <c r="Z277">
        <v>-9.4686319999999994E-3</v>
      </c>
      <c r="AA277">
        <v>0.98570590000000002</v>
      </c>
      <c r="AB277">
        <v>28</v>
      </c>
      <c r="AC277">
        <v>0.55439999999998602</v>
      </c>
      <c r="AD277">
        <v>-0.18703499999999901</v>
      </c>
      <c r="AE277">
        <v>-0.168599999999969</v>
      </c>
      <c r="AF277">
        <v>0.13191662709829199</v>
      </c>
      <c r="AG277">
        <v>-0.18703499999999901</v>
      </c>
      <c r="AH277">
        <v>0.50794631943828505</v>
      </c>
      <c r="AI277">
        <v>109.615824768718</v>
      </c>
      <c r="AJ277">
        <v>75.4415717005663</v>
      </c>
      <c r="AK277">
        <v>0.55712974356148903</v>
      </c>
      <c r="AL277">
        <v>79.330844482262805</v>
      </c>
      <c r="AM277">
        <v>88.267650856636706</v>
      </c>
      <c r="AN277">
        <v>0.99999994099449796</v>
      </c>
    </row>
    <row r="278" spans="1:40" x14ac:dyDescent="0.25">
      <c r="A278" t="str">
        <f>"20190312172902714"</f>
        <v>20190312172902714</v>
      </c>
      <c r="B278" t="str">
        <f>"1552382942707491"</f>
        <v>1552382942707491</v>
      </c>
      <c r="C278" t="s">
        <v>40</v>
      </c>
      <c r="D278">
        <v>3.2100819999999999</v>
      </c>
      <c r="E278">
        <v>0.56308409999999998</v>
      </c>
      <c r="F278" t="s">
        <v>42</v>
      </c>
      <c r="G278">
        <v>-421.11180000000002</v>
      </c>
      <c r="H278">
        <v>0.87895239999999997</v>
      </c>
      <c r="I278">
        <v>367.93029999999999</v>
      </c>
      <c r="J278">
        <v>-421.64400000000001</v>
      </c>
      <c r="K278">
        <v>1.0599400000000001</v>
      </c>
      <c r="L278">
        <v>368.0924</v>
      </c>
      <c r="M278">
        <v>0.99909930000000002</v>
      </c>
      <c r="N278">
        <v>0</v>
      </c>
      <c r="O278">
        <v>-4.0932339999999998E-2</v>
      </c>
      <c r="P278">
        <v>0.98229060000000001</v>
      </c>
      <c r="Q278">
        <v>0.17411460000000001</v>
      </c>
      <c r="R278">
        <v>-6.9206240000000002E-2</v>
      </c>
      <c r="S278">
        <v>3.1312259999999998</v>
      </c>
      <c r="T278">
        <v>-0.70577449999999997</v>
      </c>
      <c r="U278">
        <v>-0.67407229999999996</v>
      </c>
      <c r="V278">
        <v>2.888222E-2</v>
      </c>
      <c r="W278">
        <v>0.1851381</v>
      </c>
      <c r="X278">
        <v>0.98228800000000005</v>
      </c>
      <c r="Y278">
        <v>0.16723489999999999</v>
      </c>
      <c r="Z278">
        <v>-9.4092340000000007E-3</v>
      </c>
      <c r="AA278">
        <v>0.98587219999999998</v>
      </c>
      <c r="AB278">
        <v>28</v>
      </c>
      <c r="AC278">
        <v>0.53219999999998802</v>
      </c>
      <c r="AD278">
        <v>-0.180987599999999</v>
      </c>
      <c r="AE278">
        <v>-0.16210000000000899</v>
      </c>
      <c r="AF278">
        <v>0.126762955722825</v>
      </c>
      <c r="AG278">
        <v>-0.180987599999999</v>
      </c>
      <c r="AH278">
        <v>0.48686355656985603</v>
      </c>
      <c r="AI278">
        <v>109.786097398788</v>
      </c>
      <c r="AJ278">
        <v>75.406116790663503</v>
      </c>
      <c r="AK278">
        <v>0.53466015469005701</v>
      </c>
      <c r="AL278">
        <v>79.330816040988196</v>
      </c>
      <c r="AM278">
        <v>88.315817082910499</v>
      </c>
      <c r="AN278">
        <v>1.0000000068238599</v>
      </c>
    </row>
    <row r="279" spans="1:40" x14ac:dyDescent="0.25">
      <c r="A279" t="str">
        <f>"20190312172902726"</f>
        <v>20190312172902726</v>
      </c>
      <c r="B279" t="str">
        <f>"1552382942717599"</f>
        <v>1552382942717599</v>
      </c>
      <c r="C279" t="s">
        <v>40</v>
      </c>
      <c r="D279">
        <v>3.0876220000000001</v>
      </c>
      <c r="E279">
        <v>0.56317510000000004</v>
      </c>
      <c r="F279" t="s">
        <v>42</v>
      </c>
      <c r="G279">
        <v>-420.86329999999998</v>
      </c>
      <c r="H279">
        <v>0.88390179999999996</v>
      </c>
      <c r="I279">
        <v>367.92500000000001</v>
      </c>
      <c r="J279">
        <v>-421.49099999999999</v>
      </c>
      <c r="K279">
        <v>1.0599369999999999</v>
      </c>
      <c r="L279">
        <v>368.08620000000002</v>
      </c>
      <c r="M279">
        <v>0.99910350000000003</v>
      </c>
      <c r="N279">
        <v>0</v>
      </c>
      <c r="O279">
        <v>-4.0826019999999998E-2</v>
      </c>
      <c r="P279">
        <v>0.98231460000000004</v>
      </c>
      <c r="Q279">
        <v>0.1742216</v>
      </c>
      <c r="R279">
        <v>-6.8592029999999998E-2</v>
      </c>
      <c r="S279">
        <v>3.1320190000000001</v>
      </c>
      <c r="T279">
        <v>-0.70639439999999998</v>
      </c>
      <c r="U279">
        <v>-0.67132569999999903</v>
      </c>
      <c r="V279">
        <v>2.8371879999999999E-2</v>
      </c>
      <c r="W279">
        <v>0.1852473</v>
      </c>
      <c r="X279">
        <v>0.98228230000000005</v>
      </c>
      <c r="Y279">
        <v>0.16647310000000001</v>
      </c>
      <c r="Z279">
        <v>-9.3552500000000007E-3</v>
      </c>
      <c r="AA279">
        <v>0.98600160000000003</v>
      </c>
      <c r="AB279">
        <v>28</v>
      </c>
      <c r="AC279">
        <v>0.62770000000000403</v>
      </c>
      <c r="AD279">
        <v>-0.1760352</v>
      </c>
      <c r="AE279">
        <v>-0.161200000000008</v>
      </c>
      <c r="AF279">
        <v>0.12613113208288701</v>
      </c>
      <c r="AG279">
        <v>-0.1760352</v>
      </c>
      <c r="AH279">
        <v>0.59021056759143098</v>
      </c>
      <c r="AI279">
        <v>106.260503402409</v>
      </c>
      <c r="AJ279">
        <v>77.937041475103001</v>
      </c>
      <c r="AK279">
        <v>0.62868590585136397</v>
      </c>
      <c r="AL279">
        <v>79.324449366388095</v>
      </c>
      <c r="AM279">
        <v>88.345549797530296</v>
      </c>
      <c r="AN279">
        <v>1.0000000213126501</v>
      </c>
    </row>
    <row r="280" spans="1:40" x14ac:dyDescent="0.25">
      <c r="A280" t="str">
        <f>"20190312172902747"</f>
        <v>20190312172902747</v>
      </c>
      <c r="B280" t="str">
        <f>"1552382942738112"</f>
        <v>1552382942738112</v>
      </c>
      <c r="C280" t="s">
        <v>40</v>
      </c>
      <c r="D280">
        <v>3.2106870000000001</v>
      </c>
      <c r="E280">
        <v>0.56335219999999997</v>
      </c>
      <c r="F280" t="s">
        <v>42</v>
      </c>
      <c r="G280">
        <v>-420.62520000000001</v>
      </c>
      <c r="H280">
        <v>0.86475619999999997</v>
      </c>
      <c r="I280">
        <v>367.90069999999997</v>
      </c>
      <c r="J280">
        <v>-421.22669999999999</v>
      </c>
      <c r="K280">
        <v>1.0599369999999999</v>
      </c>
      <c r="L280">
        <v>368.07560000000001</v>
      </c>
      <c r="M280">
        <v>0.99911079999999997</v>
      </c>
      <c r="N280">
        <v>0</v>
      </c>
      <c r="O280">
        <v>-4.0643440000000003E-2</v>
      </c>
      <c r="P280">
        <v>0.98245760000000004</v>
      </c>
      <c r="Q280">
        <v>0.17385</v>
      </c>
      <c r="R280">
        <v>-6.7477809999999999E-2</v>
      </c>
      <c r="S280">
        <v>3.1325379999999998</v>
      </c>
      <c r="T280">
        <v>-0.70625000000000004</v>
      </c>
      <c r="U280">
        <v>-0.66983029999999999</v>
      </c>
      <c r="V280">
        <v>2.7433269999999999E-2</v>
      </c>
      <c r="W280">
        <v>0.18488270000000001</v>
      </c>
      <c r="X280">
        <v>0.98237759999999996</v>
      </c>
      <c r="Y280">
        <v>0.16617419999999999</v>
      </c>
      <c r="Z280">
        <v>-9.3595139999999993E-3</v>
      </c>
      <c r="AA280">
        <v>0.98605200000000004</v>
      </c>
      <c r="AB280">
        <v>28</v>
      </c>
      <c r="AC280">
        <v>0.60149999999998705</v>
      </c>
      <c r="AD280">
        <v>-0.19518079999999999</v>
      </c>
      <c r="AE280">
        <v>-0.174900000000036</v>
      </c>
      <c r="AF280">
        <v>0.137005654741992</v>
      </c>
      <c r="AG280">
        <v>-0.19518079999999999</v>
      </c>
      <c r="AH280">
        <v>0.55429771643548198</v>
      </c>
      <c r="AI280">
        <v>108.87225481904601</v>
      </c>
      <c r="AJ280">
        <v>76.116477745579303</v>
      </c>
      <c r="AK280">
        <v>0.60341698067382299</v>
      </c>
      <c r="AL280">
        <v>79.345706078185202</v>
      </c>
      <c r="AM280">
        <v>88.400409170352702</v>
      </c>
      <c r="AN280">
        <v>0.99999997302197097</v>
      </c>
    </row>
    <row r="281" spans="1:40" x14ac:dyDescent="0.25">
      <c r="A281" t="str">
        <f>"20190312172902770"</f>
        <v>20190312172902770</v>
      </c>
      <c r="B281" t="str">
        <f>"1552382942768352"</f>
        <v>1552382942768352</v>
      </c>
      <c r="C281" t="s">
        <v>40</v>
      </c>
      <c r="D281">
        <v>3.2153170000000002</v>
      </c>
      <c r="E281">
        <v>0.56362400000000001</v>
      </c>
      <c r="F281" t="s">
        <v>42</v>
      </c>
      <c r="G281">
        <v>-420.37729999999999</v>
      </c>
      <c r="H281">
        <v>0.86802429999999997</v>
      </c>
      <c r="I281">
        <v>367.89440000000002</v>
      </c>
      <c r="J281">
        <v>-420.96010000000001</v>
      </c>
      <c r="K281">
        <v>1.059941</v>
      </c>
      <c r="L281">
        <v>368.065</v>
      </c>
      <c r="M281">
        <v>0.99911810000000001</v>
      </c>
      <c r="N281">
        <v>0</v>
      </c>
      <c r="O281">
        <v>-4.0462440000000002E-2</v>
      </c>
      <c r="P281">
        <v>0.9825294</v>
      </c>
      <c r="Q281">
        <v>0.1738267</v>
      </c>
      <c r="R281">
        <v>-6.6485240000000001E-2</v>
      </c>
      <c r="S281">
        <v>3.1329959999999999</v>
      </c>
      <c r="T281">
        <v>-0.70796899999999996</v>
      </c>
      <c r="U281">
        <v>-0.66751099999999997</v>
      </c>
      <c r="V281">
        <v>2.6617479999999999E-2</v>
      </c>
      <c r="W281">
        <v>0.18487000000000001</v>
      </c>
      <c r="X281">
        <v>0.98240240000000001</v>
      </c>
      <c r="Y281">
        <v>0.16561989999999999</v>
      </c>
      <c r="Z281">
        <v>-9.3597590000000005E-3</v>
      </c>
      <c r="AA281">
        <v>0.9861453</v>
      </c>
      <c r="AB281">
        <v>28</v>
      </c>
      <c r="AC281">
        <v>0.58280000000001997</v>
      </c>
      <c r="AD281">
        <v>-0.191916699999999</v>
      </c>
      <c r="AE281">
        <v>-0.17059999999997899</v>
      </c>
      <c r="AF281">
        <v>0.13353928318324901</v>
      </c>
      <c r="AG281">
        <v>-0.191916699999999</v>
      </c>
      <c r="AH281">
        <v>0.53571809990769803</v>
      </c>
      <c r="AI281">
        <v>109.167719529126</v>
      </c>
      <c r="AJ281">
        <v>76.003045039387999</v>
      </c>
      <c r="AK281">
        <v>0.58451573328756601</v>
      </c>
      <c r="AL281">
        <v>79.346446156581493</v>
      </c>
      <c r="AM281">
        <v>88.447992141238103</v>
      </c>
      <c r="AN281">
        <v>0.999999941333653</v>
      </c>
    </row>
    <row r="282" spans="1:40" x14ac:dyDescent="0.25">
      <c r="A282" t="str">
        <f>"20190312172902792"</f>
        <v>20190312172902792</v>
      </c>
      <c r="B282" t="str">
        <f>"1552382942787872"</f>
        <v>1552382942787872</v>
      </c>
      <c r="C282" t="s">
        <v>40</v>
      </c>
      <c r="D282">
        <v>3.2185079999999999</v>
      </c>
      <c r="E282">
        <v>0.5637974</v>
      </c>
      <c r="F282" t="s">
        <v>42</v>
      </c>
      <c r="G282">
        <v>-420.12909999999999</v>
      </c>
      <c r="H282">
        <v>0.872137099999999</v>
      </c>
      <c r="I282">
        <v>367.88810000000001</v>
      </c>
      <c r="J282">
        <v>-420.68360000000001</v>
      </c>
      <c r="K282">
        <v>1.0599449999999999</v>
      </c>
      <c r="L282">
        <v>368.05399999999997</v>
      </c>
      <c r="M282">
        <v>0.99912540000000005</v>
      </c>
      <c r="N282">
        <v>0</v>
      </c>
      <c r="O282">
        <v>-4.0278349999999997E-2</v>
      </c>
      <c r="P282">
        <v>0.98252340000000005</v>
      </c>
      <c r="Q282">
        <v>0.17421439999999999</v>
      </c>
      <c r="R282">
        <v>-6.5553520000000004E-2</v>
      </c>
      <c r="S282">
        <v>3.1335139999999999</v>
      </c>
      <c r="T282">
        <v>-0.7081769</v>
      </c>
      <c r="U282">
        <v>-0.66717530000000003</v>
      </c>
      <c r="V282">
        <v>2.5868519999999999E-2</v>
      </c>
      <c r="W282">
        <v>0.18526980000000001</v>
      </c>
      <c r="X282">
        <v>0.98234710000000003</v>
      </c>
      <c r="Y282">
        <v>0.1656608</v>
      </c>
      <c r="Z282">
        <v>-9.4061149999999996E-3</v>
      </c>
      <c r="AA282">
        <v>0.98613790000000001</v>
      </c>
      <c r="AB282">
        <v>28</v>
      </c>
      <c r="AC282">
        <v>0.55450000000001798</v>
      </c>
      <c r="AD282">
        <v>-0.1878079</v>
      </c>
      <c r="AE282">
        <v>-0.165900000000021</v>
      </c>
      <c r="AF282">
        <v>0.12976635204775899</v>
      </c>
      <c r="AG282">
        <v>-0.1878079</v>
      </c>
      <c r="AH282">
        <v>0.50731661133026296</v>
      </c>
      <c r="AI282">
        <v>109.73044794619599</v>
      </c>
      <c r="AJ282">
        <v>75.651973482318297</v>
      </c>
      <c r="AK282">
        <v>0.55631039677307303</v>
      </c>
      <c r="AL282">
        <v>79.323136754031395</v>
      </c>
      <c r="AM282">
        <v>88.491557045726907</v>
      </c>
      <c r="AN282">
        <v>0.99999995199871905</v>
      </c>
    </row>
    <row r="283" spans="1:40" x14ac:dyDescent="0.25">
      <c r="A283" t="str">
        <f>"20190312172902815"</f>
        <v>20190312172902815</v>
      </c>
      <c r="B283" t="str">
        <f>"1552382942807392"</f>
        <v>1552382942807392</v>
      </c>
      <c r="C283" t="s">
        <v>40</v>
      </c>
      <c r="D283">
        <v>3.120161</v>
      </c>
      <c r="E283">
        <v>0.5638801</v>
      </c>
      <c r="F283" t="s">
        <v>42</v>
      </c>
      <c r="G283">
        <v>-419.87970000000001</v>
      </c>
      <c r="H283">
        <v>0.8785946</v>
      </c>
      <c r="I283">
        <v>367.88330000000002</v>
      </c>
      <c r="J283">
        <v>-420.40379999999999</v>
      </c>
      <c r="K283">
        <v>1.059952</v>
      </c>
      <c r="L283">
        <v>368.04289999999997</v>
      </c>
      <c r="M283">
        <v>0.99913249999999998</v>
      </c>
      <c r="N283">
        <v>0</v>
      </c>
      <c r="O283">
        <v>-4.0096039999999999E-2</v>
      </c>
      <c r="P283">
        <v>0.98244180000000003</v>
      </c>
      <c r="Q283">
        <v>0.17489739999999901</v>
      </c>
      <c r="R283">
        <v>-6.4953689999999994E-2</v>
      </c>
      <c r="S283">
        <v>3.1343380000000001</v>
      </c>
      <c r="T283">
        <v>-0.70709119999999903</v>
      </c>
      <c r="U283">
        <v>-0.66558839999999997</v>
      </c>
      <c r="V283">
        <v>2.545211E-2</v>
      </c>
      <c r="W283">
        <v>0.18596460000000001</v>
      </c>
      <c r="X283">
        <v>0.98222670000000001</v>
      </c>
      <c r="Y283">
        <v>0.1653241</v>
      </c>
      <c r="Z283">
        <v>-9.3930920000000005E-3</v>
      </c>
      <c r="AA283">
        <v>0.98619460000000003</v>
      </c>
      <c r="AB283">
        <v>28</v>
      </c>
      <c r="AC283">
        <v>0.52409999999997503</v>
      </c>
      <c r="AD283">
        <v>-0.181357399999999</v>
      </c>
      <c r="AE283">
        <v>-0.159599999999954</v>
      </c>
      <c r="AF283">
        <v>0.12478242240759201</v>
      </c>
      <c r="AG283">
        <v>-0.181357399999999</v>
      </c>
      <c r="AH283">
        <v>0.477729070142215</v>
      </c>
      <c r="AI283">
        <v>110.168339956587</v>
      </c>
      <c r="AJ283">
        <v>75.361447356116699</v>
      </c>
      <c r="AK283">
        <v>0.52600971848019296</v>
      </c>
      <c r="AL283">
        <v>79.282623766312597</v>
      </c>
      <c r="AM283">
        <v>88.515645914744297</v>
      </c>
      <c r="AN283">
        <v>0.99999996627474996</v>
      </c>
    </row>
    <row r="284" spans="1:40" x14ac:dyDescent="0.25">
      <c r="A284" t="str">
        <f>"20190312172902838"</f>
        <v>20190312172902838</v>
      </c>
      <c r="B284" t="str">
        <f>"1552382942827902"</f>
        <v>1552382942827902</v>
      </c>
      <c r="C284" t="s">
        <v>40</v>
      </c>
      <c r="D284">
        <v>3.2189670000000001</v>
      </c>
      <c r="E284">
        <v>0.57106409999999996</v>
      </c>
      <c r="F284" t="s">
        <v>42</v>
      </c>
      <c r="G284">
        <v>-419.62970000000001</v>
      </c>
      <c r="H284">
        <v>0.88580289999999995</v>
      </c>
      <c r="I284">
        <v>367.87869999999998</v>
      </c>
      <c r="J284">
        <v>-420.11950000000002</v>
      </c>
      <c r="K284">
        <v>1.0599559999999999</v>
      </c>
      <c r="L284">
        <v>368.0317</v>
      </c>
      <c r="M284">
        <v>0.99913980000000002</v>
      </c>
      <c r="N284">
        <v>0</v>
      </c>
      <c r="O284">
        <v>-3.9912549999999998E-2</v>
      </c>
      <c r="P284">
        <v>0.98248709999999995</v>
      </c>
      <c r="Q284">
        <v>0.17503060000000001</v>
      </c>
      <c r="R284">
        <v>-6.3901830000000007E-2</v>
      </c>
      <c r="S284">
        <v>3.135345</v>
      </c>
      <c r="T284">
        <v>-0.70550069999999998</v>
      </c>
      <c r="U284">
        <v>-0.66354369999999996</v>
      </c>
      <c r="V284">
        <v>2.4580500000000002E-2</v>
      </c>
      <c r="W284">
        <v>0.18611030000000001</v>
      </c>
      <c r="X284">
        <v>0.98222129999999996</v>
      </c>
      <c r="Y284">
        <v>0.16484689999999999</v>
      </c>
      <c r="Z284">
        <v>-9.3579460000000007E-3</v>
      </c>
      <c r="AA284">
        <v>0.98627480000000001</v>
      </c>
      <c r="AB284">
        <v>28</v>
      </c>
      <c r="AC284">
        <v>0.48980000000000201</v>
      </c>
      <c r="AD284">
        <v>-0.17415309999999901</v>
      </c>
      <c r="AE284">
        <v>-0.15300000000001901</v>
      </c>
      <c r="AF284">
        <v>0.11955671196182199</v>
      </c>
      <c r="AG284">
        <v>-0.17415309999999901</v>
      </c>
      <c r="AH284">
        <v>0.44433646947479299</v>
      </c>
      <c r="AI284">
        <v>110.730582242392</v>
      </c>
      <c r="AJ284">
        <v>74.940209465447595</v>
      </c>
      <c r="AK284">
        <v>0.49199391024692102</v>
      </c>
      <c r="AL284">
        <v>79.274127417217898</v>
      </c>
      <c r="AM284">
        <v>88.566448300726407</v>
      </c>
      <c r="AN284">
        <v>0.99999996346001396</v>
      </c>
    </row>
    <row r="285" spans="1:40" x14ac:dyDescent="0.25">
      <c r="A285" t="str">
        <f>"20190312172902862"</f>
        <v>20190312172902862</v>
      </c>
      <c r="B285" t="str">
        <f>"1552382942858145"</f>
        <v>1552382942858145</v>
      </c>
      <c r="C285" t="s">
        <v>40</v>
      </c>
      <c r="D285">
        <v>3.1307960000000001</v>
      </c>
      <c r="E285">
        <v>0.57117010000000001</v>
      </c>
      <c r="F285" t="s">
        <v>42</v>
      </c>
      <c r="G285">
        <v>-419.38069999999999</v>
      </c>
      <c r="H285">
        <v>0.8903143</v>
      </c>
      <c r="I285">
        <v>367.86290000000002</v>
      </c>
      <c r="J285">
        <v>-419.8252</v>
      </c>
      <c r="K285">
        <v>1.059958</v>
      </c>
      <c r="L285">
        <v>368.02019999999999</v>
      </c>
      <c r="M285">
        <v>0.99914720000000001</v>
      </c>
      <c r="N285">
        <v>0</v>
      </c>
      <c r="O285">
        <v>-3.9723439999999999E-2</v>
      </c>
      <c r="P285">
        <v>0.98252740000000005</v>
      </c>
      <c r="Q285">
        <v>0.17522199999999999</v>
      </c>
      <c r="R285">
        <v>-6.2748310000000002E-2</v>
      </c>
      <c r="S285">
        <v>3.1350709999999999</v>
      </c>
      <c r="T285">
        <v>-0.71991559999999999</v>
      </c>
      <c r="U285">
        <v>-0.71664430000000001</v>
      </c>
      <c r="V285">
        <v>2.3612459999999998E-2</v>
      </c>
      <c r="W285">
        <v>0.18631410000000001</v>
      </c>
      <c r="X285">
        <v>0.98220649999999998</v>
      </c>
      <c r="Y285">
        <v>0.18046290000000001</v>
      </c>
      <c r="Z285">
        <v>-1.1319940000000001E-2</v>
      </c>
      <c r="AA285">
        <v>0.98351659999999996</v>
      </c>
      <c r="AB285">
        <v>28</v>
      </c>
      <c r="AC285">
        <v>0.444500000000005</v>
      </c>
      <c r="AD285">
        <v>-0.16964369999999901</v>
      </c>
      <c r="AE285">
        <v>-0.157299999999963</v>
      </c>
      <c r="AF285">
        <v>0.12352745373516601</v>
      </c>
      <c r="AG285">
        <v>-0.16964369999999901</v>
      </c>
      <c r="AH285">
        <v>0.39877767145146997</v>
      </c>
      <c r="AI285">
        <v>112.11484362382799</v>
      </c>
      <c r="AJ285">
        <v>72.788837058545695</v>
      </c>
      <c r="AK285">
        <v>0.45062362124531402</v>
      </c>
      <c r="AL285">
        <v>79.262243611720905</v>
      </c>
      <c r="AM285">
        <v>88.622862132131402</v>
      </c>
      <c r="AN285">
        <v>1.00000005038415</v>
      </c>
    </row>
    <row r="286" spans="1:40" x14ac:dyDescent="0.25">
      <c r="A286" t="str">
        <f>"20190312172902882"</f>
        <v>20190312172902882</v>
      </c>
      <c r="B286" t="str">
        <f>"1552382942877664"</f>
        <v>1552382942877664</v>
      </c>
      <c r="C286" t="s">
        <v>40</v>
      </c>
      <c r="D286">
        <v>3.1223999999999998</v>
      </c>
      <c r="E286">
        <v>0.57708780000000004</v>
      </c>
      <c r="F286" t="s">
        <v>42</v>
      </c>
      <c r="G286">
        <v>-419.12900000000002</v>
      </c>
      <c r="H286">
        <v>0.90045309999999901</v>
      </c>
      <c r="I286">
        <v>367.86149999999998</v>
      </c>
      <c r="J286">
        <v>-419.57420000000002</v>
      </c>
      <c r="K286">
        <v>1.059952</v>
      </c>
      <c r="L286">
        <v>368.0104</v>
      </c>
      <c r="M286">
        <v>0.99915339999999997</v>
      </c>
      <c r="N286">
        <v>0</v>
      </c>
      <c r="O286">
        <v>-3.9562449999999999E-2</v>
      </c>
      <c r="P286">
        <v>0.98251759999999999</v>
      </c>
      <c r="Q286">
        <v>0.1755814</v>
      </c>
      <c r="R286">
        <v>-6.1890840000000003E-2</v>
      </c>
      <c r="S286">
        <v>3.1358640000000002</v>
      </c>
      <c r="T286">
        <v>-0.71852669999999996</v>
      </c>
      <c r="U286">
        <v>-0.71377559999999995</v>
      </c>
      <c r="V286">
        <v>2.291464E-2</v>
      </c>
      <c r="W286">
        <v>0.18668280000000001</v>
      </c>
      <c r="X286">
        <v>0.98215300000000005</v>
      </c>
      <c r="Y286">
        <v>0.17973979999999901</v>
      </c>
      <c r="Z286">
        <v>-1.125204E-2</v>
      </c>
      <c r="AA286">
        <v>0.98364980000000002</v>
      </c>
      <c r="AB286">
        <v>28</v>
      </c>
      <c r="AC286">
        <v>0.44519999999999899</v>
      </c>
      <c r="AD286">
        <v>-0.1594989</v>
      </c>
      <c r="AE286">
        <v>-0.14890000000002601</v>
      </c>
      <c r="AF286">
        <v>0.117594082236187</v>
      </c>
      <c r="AG286">
        <v>-0.1594989</v>
      </c>
      <c r="AH286">
        <v>0.40409419019461301</v>
      </c>
      <c r="AI286">
        <v>110.756012532791</v>
      </c>
      <c r="AJ286">
        <v>73.774654727365004</v>
      </c>
      <c r="AK286">
        <v>0.45006708591855699</v>
      </c>
      <c r="AL286">
        <v>79.240741207677104</v>
      </c>
      <c r="AM286">
        <v>88.663472985723004</v>
      </c>
      <c r="AN286">
        <v>1.00000003197558</v>
      </c>
    </row>
    <row r="287" spans="1:40" x14ac:dyDescent="0.25">
      <c r="A287" t="str">
        <f>"20190312172902904"</f>
        <v>20190312172902904</v>
      </c>
      <c r="B287" t="str">
        <f>"1552382942898160"</f>
        <v>1552382942898160</v>
      </c>
      <c r="C287" t="s">
        <v>40</v>
      </c>
      <c r="D287">
        <v>3.1480359999999998</v>
      </c>
      <c r="E287">
        <v>0.57492480000000001</v>
      </c>
      <c r="F287" t="s">
        <v>42</v>
      </c>
      <c r="G287">
        <v>-418.88409999999999</v>
      </c>
      <c r="H287">
        <v>0.89601919999999902</v>
      </c>
      <c r="I287">
        <v>367.84379999999999</v>
      </c>
      <c r="J287">
        <v>-419.3039</v>
      </c>
      <c r="K287">
        <v>1.059952</v>
      </c>
      <c r="L287">
        <v>367.99990000000003</v>
      </c>
      <c r="M287">
        <v>0.99916020000000005</v>
      </c>
      <c r="N287">
        <v>0</v>
      </c>
      <c r="O287">
        <v>-3.9388109999999997E-2</v>
      </c>
      <c r="P287">
        <v>0.98263029999999996</v>
      </c>
      <c r="Q287">
        <v>0.175179799999999</v>
      </c>
      <c r="R287">
        <v>-6.123899E-2</v>
      </c>
      <c r="S287">
        <v>3.1389469999999999</v>
      </c>
      <c r="T287">
        <v>-0.74562600000000001</v>
      </c>
      <c r="U287">
        <v>-0.75738530000000004</v>
      </c>
      <c r="V287">
        <v>2.2430740000000001E-2</v>
      </c>
      <c r="W287">
        <v>0.1862916</v>
      </c>
      <c r="X287">
        <v>0.98223839999999996</v>
      </c>
      <c r="Y287">
        <v>0.19207299999999999</v>
      </c>
      <c r="Z287">
        <v>-1.310294E-2</v>
      </c>
      <c r="AA287">
        <v>0.98129310000000003</v>
      </c>
      <c r="AB287">
        <v>28</v>
      </c>
      <c r="AC287">
        <v>0.419800000000009</v>
      </c>
      <c r="AD287">
        <v>-0.16393279999999999</v>
      </c>
      <c r="AE287">
        <v>-0.15610000000003699</v>
      </c>
      <c r="AF287">
        <v>0.122968739665217</v>
      </c>
      <c r="AG287">
        <v>-0.16393279999999999</v>
      </c>
      <c r="AH287">
        <v>0.37533943609484</v>
      </c>
      <c r="AI287">
        <v>112.54097530097501</v>
      </c>
      <c r="AJ287">
        <v>71.860164668837598</v>
      </c>
      <c r="AK287">
        <v>0.427638826743649</v>
      </c>
      <c r="AL287">
        <v>79.263555043612996</v>
      </c>
      <c r="AM287">
        <v>88.691800895366498</v>
      </c>
      <c r="AN287">
        <v>0.99999998638103305</v>
      </c>
    </row>
    <row r="288" spans="1:40" x14ac:dyDescent="0.25">
      <c r="A288" t="str">
        <f>"20190312172902927"</f>
        <v>20190312172902927</v>
      </c>
      <c r="B288" t="str">
        <f>"1552382942917680"</f>
        <v>1552382942917680</v>
      </c>
      <c r="C288" t="s">
        <v>40</v>
      </c>
      <c r="D288">
        <v>3.154563</v>
      </c>
      <c r="E288">
        <v>0.57409089999999996</v>
      </c>
      <c r="F288" t="s">
        <v>42</v>
      </c>
      <c r="G288">
        <v>-418.40960000000001</v>
      </c>
      <c r="H288">
        <v>0.84963429999999995</v>
      </c>
      <c r="I288">
        <v>367.78949999999998</v>
      </c>
      <c r="J288">
        <v>-419.01620000000003</v>
      </c>
      <c r="K288">
        <v>1.0599529999999999</v>
      </c>
      <c r="L288">
        <v>367.98880000000003</v>
      </c>
      <c r="M288">
        <v>0.99916729999999998</v>
      </c>
      <c r="N288">
        <v>0</v>
      </c>
      <c r="O288">
        <v>-3.9202679999999997E-2</v>
      </c>
      <c r="P288">
        <v>0.98272700000000002</v>
      </c>
      <c r="Q288">
        <v>0.17496900000000001</v>
      </c>
      <c r="R288">
        <v>-6.0278690000000003E-2</v>
      </c>
      <c r="S288">
        <v>3.138611</v>
      </c>
      <c r="T288">
        <v>-0.73811719999999903</v>
      </c>
      <c r="U288">
        <v>-0.7380371</v>
      </c>
      <c r="V288">
        <v>2.1650269999999999E-2</v>
      </c>
      <c r="W288">
        <v>0.18609110000000001</v>
      </c>
      <c r="X288">
        <v>0.98229390000000005</v>
      </c>
      <c r="Y288">
        <v>0.18675539999999999</v>
      </c>
      <c r="Z288">
        <v>-1.24177E-2</v>
      </c>
      <c r="AA288">
        <v>0.98232790000000003</v>
      </c>
      <c r="AB288">
        <v>28</v>
      </c>
      <c r="AC288">
        <v>0.60660000000001402</v>
      </c>
      <c r="AD288">
        <v>-0.2103187</v>
      </c>
      <c r="AE288">
        <v>-0.19930000000004999</v>
      </c>
      <c r="AF288">
        <v>0.15820010527416001</v>
      </c>
      <c r="AG288">
        <v>-0.2103187</v>
      </c>
      <c r="AH288">
        <v>0.55385377295145599</v>
      </c>
      <c r="AI288">
        <v>110.058843194543</v>
      </c>
      <c r="AJ288">
        <v>74.058796152747504</v>
      </c>
      <c r="AK288">
        <v>0.61320080780361697</v>
      </c>
      <c r="AL288">
        <v>79.275247113865504</v>
      </c>
      <c r="AM288">
        <v>88.737375557438597</v>
      </c>
      <c r="AN288">
        <v>0.99999996883374598</v>
      </c>
    </row>
    <row r="289" spans="1:40" x14ac:dyDescent="0.25">
      <c r="A289" t="str">
        <f>"20190312172902948"</f>
        <v>20190312172902948</v>
      </c>
      <c r="B289" t="str">
        <f>"1552382942938175"</f>
        <v>1552382942938175</v>
      </c>
      <c r="C289" t="s">
        <v>40</v>
      </c>
      <c r="D289">
        <v>3.1533600000000002</v>
      </c>
      <c r="E289">
        <v>0.57378949999999995</v>
      </c>
      <c r="F289" t="s">
        <v>42</v>
      </c>
      <c r="G289">
        <v>-418.15800000000002</v>
      </c>
      <c r="H289">
        <v>0.85990949999999899</v>
      </c>
      <c r="I289">
        <v>367.78919999999999</v>
      </c>
      <c r="J289">
        <v>-418.75139999999999</v>
      </c>
      <c r="K289">
        <v>1.0599499999999999</v>
      </c>
      <c r="L289">
        <v>367.97859999999997</v>
      </c>
      <c r="M289">
        <v>0.99917409999999995</v>
      </c>
      <c r="N289">
        <v>0</v>
      </c>
      <c r="O289">
        <v>-3.9031900000000001E-2</v>
      </c>
      <c r="P289">
        <v>0.98283860000000001</v>
      </c>
      <c r="Q289">
        <v>0.17478189999999999</v>
      </c>
      <c r="R289">
        <v>-5.8992299999999998E-2</v>
      </c>
      <c r="S289">
        <v>3.138306</v>
      </c>
      <c r="T289">
        <v>-0.73155079999999995</v>
      </c>
      <c r="U289">
        <v>-0.72851560000000004</v>
      </c>
      <c r="V289">
        <v>2.0528910000000001E-2</v>
      </c>
      <c r="W289">
        <v>0.1859131</v>
      </c>
      <c r="X289">
        <v>0.98235170000000005</v>
      </c>
      <c r="Y289">
        <v>0.18424009999999999</v>
      </c>
      <c r="Z289">
        <v>-1.20681E-2</v>
      </c>
      <c r="AA289">
        <v>0.98280719999999999</v>
      </c>
      <c r="AB289">
        <v>28</v>
      </c>
      <c r="AC289">
        <v>0.59339999999997395</v>
      </c>
      <c r="AD289">
        <v>-0.20004050000000001</v>
      </c>
      <c r="AE289">
        <v>-0.189399999999977</v>
      </c>
      <c r="AF289">
        <v>0.15056411992472901</v>
      </c>
      <c r="AG289">
        <v>-0.20004050000000001</v>
      </c>
      <c r="AH289">
        <v>0.54421310568141801</v>
      </c>
      <c r="AI289">
        <v>109.507662714088</v>
      </c>
      <c r="AJ289">
        <v>74.535154864541497</v>
      </c>
      <c r="AK289">
        <v>0.59904395518557096</v>
      </c>
      <c r="AL289">
        <v>79.285627123118303</v>
      </c>
      <c r="AM289">
        <v>88.802823141962094</v>
      </c>
      <c r="AN289">
        <v>0.99999998969514403</v>
      </c>
    </row>
    <row r="290" spans="1:40" x14ac:dyDescent="0.25">
      <c r="A290" t="str">
        <f>"20190312172902983"</f>
        <v>20190312172902983</v>
      </c>
      <c r="B290" t="str">
        <f>"1552382942978192"</f>
        <v>1552382942978192</v>
      </c>
      <c r="C290" t="s">
        <v>40</v>
      </c>
      <c r="D290">
        <v>3.2198509999999998</v>
      </c>
      <c r="E290">
        <v>0.5733511</v>
      </c>
      <c r="F290" t="s">
        <v>42</v>
      </c>
      <c r="G290">
        <v>-417.90879999999999</v>
      </c>
      <c r="H290">
        <v>0.864266599999999</v>
      </c>
      <c r="I290">
        <v>367.78500000000003</v>
      </c>
      <c r="J290">
        <v>-418.3279</v>
      </c>
      <c r="K290">
        <v>1.0599529999999999</v>
      </c>
      <c r="L290">
        <v>367.9624</v>
      </c>
      <c r="M290">
        <v>0.99918450000000003</v>
      </c>
      <c r="N290">
        <v>0</v>
      </c>
      <c r="O290">
        <v>-3.8758269999999997E-2</v>
      </c>
      <c r="P290">
        <v>0.98320969999999996</v>
      </c>
      <c r="Q290">
        <v>0.1729656</v>
      </c>
      <c r="R290">
        <v>-5.815153E-2</v>
      </c>
      <c r="S290">
        <v>3.1387019999999999</v>
      </c>
      <c r="T290">
        <v>-0.72890449999999996</v>
      </c>
      <c r="U290">
        <v>-0.72134399999999999</v>
      </c>
      <c r="V290">
        <v>1.994452E-2</v>
      </c>
      <c r="W290">
        <v>0.18411179999999999</v>
      </c>
      <c r="X290">
        <v>0.98270299999999999</v>
      </c>
      <c r="Y290">
        <v>0.1824134</v>
      </c>
      <c r="Z290">
        <v>-1.188198E-2</v>
      </c>
      <c r="AA290">
        <v>0.98315010000000003</v>
      </c>
      <c r="AB290">
        <v>28</v>
      </c>
      <c r="AC290">
        <v>0.41910000000001402</v>
      </c>
      <c r="AD290">
        <v>-0.19568640000000001</v>
      </c>
      <c r="AE290">
        <v>-0.17739999999997699</v>
      </c>
      <c r="AF290">
        <v>0.13589644456245001</v>
      </c>
      <c r="AG290">
        <v>-0.19568640000000001</v>
      </c>
      <c r="AH290">
        <v>0.35924175162356897</v>
      </c>
      <c r="AI290">
        <v>116.99816749796599</v>
      </c>
      <c r="AJ290">
        <v>69.279026736188499</v>
      </c>
      <c r="AK290">
        <v>0.43106339081305101</v>
      </c>
      <c r="AL290">
        <v>79.3906478549806</v>
      </c>
      <c r="AM290">
        <v>88.837308975849794</v>
      </c>
      <c r="AN290">
        <v>1.00000006249313</v>
      </c>
    </row>
    <row r="291" spans="1:40" x14ac:dyDescent="0.25">
      <c r="A291" t="str">
        <f>"20190312172903005"</f>
        <v>20190312172903005</v>
      </c>
      <c r="B291" t="str">
        <f>"1552382942997712"</f>
        <v>1552382942997712</v>
      </c>
      <c r="C291" t="s">
        <v>40</v>
      </c>
      <c r="D291">
        <v>3.133454</v>
      </c>
      <c r="E291">
        <v>0.5735789</v>
      </c>
      <c r="F291" t="s">
        <v>42</v>
      </c>
      <c r="G291">
        <v>-417.64490000000001</v>
      </c>
      <c r="H291">
        <v>0.90135909999999997</v>
      </c>
      <c r="I291">
        <v>367.80619999999999</v>
      </c>
      <c r="J291">
        <v>-418.05900000000003</v>
      </c>
      <c r="K291">
        <v>1.0599540000000001</v>
      </c>
      <c r="L291">
        <v>367.95209999999997</v>
      </c>
      <c r="M291">
        <v>0.99919100000000005</v>
      </c>
      <c r="N291">
        <v>0</v>
      </c>
      <c r="O291">
        <v>-3.8584979999999998E-2</v>
      </c>
      <c r="P291">
        <v>0.98331429999999997</v>
      </c>
      <c r="Q291">
        <v>0.1726094</v>
      </c>
      <c r="R291">
        <v>-5.7437620000000002E-2</v>
      </c>
      <c r="S291">
        <v>3.1369929999999999</v>
      </c>
      <c r="T291">
        <v>-0.7285509</v>
      </c>
      <c r="U291">
        <v>-0.71643069999999998</v>
      </c>
      <c r="V291">
        <v>1.939774E-2</v>
      </c>
      <c r="W291">
        <v>0.18376310000000001</v>
      </c>
      <c r="X291">
        <v>0.98277910000000002</v>
      </c>
      <c r="Y291">
        <v>0.18126030000000001</v>
      </c>
      <c r="Z291">
        <v>-1.1793039999999999E-2</v>
      </c>
      <c r="AA291">
        <v>0.98336449999999997</v>
      </c>
      <c r="AB291">
        <v>28</v>
      </c>
      <c r="AC291">
        <v>0.41410000000001901</v>
      </c>
      <c r="AD291">
        <v>-0.15859489999999901</v>
      </c>
      <c r="AE291">
        <v>-0.14589999999998299</v>
      </c>
      <c r="AF291">
        <v>0.11482918848424301</v>
      </c>
      <c r="AG291">
        <v>-0.15859489999999901</v>
      </c>
      <c r="AH291">
        <v>0.37101138699798603</v>
      </c>
      <c r="AI291">
        <v>112.2128946752</v>
      </c>
      <c r="AJ291">
        <v>72.802539630920805</v>
      </c>
      <c r="AK291">
        <v>0.419508681812581</v>
      </c>
      <c r="AL291">
        <v>79.410972533873604</v>
      </c>
      <c r="AM291">
        <v>88.869263354952906</v>
      </c>
      <c r="AN291">
        <v>0.99999995431776201</v>
      </c>
    </row>
    <row r="292" spans="1:40" x14ac:dyDescent="0.25">
      <c r="A292" t="str">
        <f>"20190312172903027"</f>
        <v>20190312172903027</v>
      </c>
      <c r="B292" t="str">
        <f>"1552382943018208"</f>
        <v>1552382943018208</v>
      </c>
      <c r="C292" t="s">
        <v>40</v>
      </c>
      <c r="D292">
        <v>3.2172990000000001</v>
      </c>
      <c r="E292">
        <v>0.57352550000000002</v>
      </c>
      <c r="F292" t="s">
        <v>42</v>
      </c>
      <c r="G292">
        <v>-417.1705</v>
      </c>
      <c r="H292">
        <v>0.85325790000000001</v>
      </c>
      <c r="I292">
        <v>367.74889999999999</v>
      </c>
      <c r="J292">
        <v>-417.76990000000001</v>
      </c>
      <c r="K292">
        <v>1.05996</v>
      </c>
      <c r="L292">
        <v>367.94119999999998</v>
      </c>
      <c r="M292">
        <v>0.99919829999999998</v>
      </c>
      <c r="N292">
        <v>0</v>
      </c>
      <c r="O292">
        <v>-3.8398929999999998E-2</v>
      </c>
      <c r="P292">
        <v>0.98327819999999999</v>
      </c>
      <c r="Q292">
        <v>0.17277390000000001</v>
      </c>
      <c r="R292">
        <v>-5.7561710000000002E-2</v>
      </c>
      <c r="S292">
        <v>3.137146</v>
      </c>
      <c r="T292">
        <v>-0.72985900000000004</v>
      </c>
      <c r="U292">
        <v>-0.71688839999999998</v>
      </c>
      <c r="V292">
        <v>1.9706310000000001E-2</v>
      </c>
      <c r="W292">
        <v>0.1839336</v>
      </c>
      <c r="X292">
        <v>0.98274110000000003</v>
      </c>
      <c r="Y292">
        <v>0.18154500000000001</v>
      </c>
      <c r="Z292">
        <v>-1.188732E-2</v>
      </c>
      <c r="AA292">
        <v>0.98331080000000004</v>
      </c>
      <c r="AB292">
        <v>28</v>
      </c>
      <c r="AC292">
        <v>0.59940000000000204</v>
      </c>
      <c r="AD292">
        <v>-0.2067021</v>
      </c>
      <c r="AE292">
        <v>-0.19229999999998801</v>
      </c>
      <c r="AF292">
        <v>0.152678198325572</v>
      </c>
      <c r="AG292">
        <v>-0.2067021</v>
      </c>
      <c r="AH292">
        <v>0.54732811012335103</v>
      </c>
      <c r="AI292">
        <v>109.989797431627</v>
      </c>
      <c r="AJ292">
        <v>74.413456353124502</v>
      </c>
      <c r="AK292">
        <v>0.60465233855460498</v>
      </c>
      <c r="AL292">
        <v>79.401034569439005</v>
      </c>
      <c r="AM292">
        <v>88.851236511441996</v>
      </c>
      <c r="AN292">
        <v>0.99999998874599205</v>
      </c>
    </row>
    <row r="293" spans="1:40" x14ac:dyDescent="0.25">
      <c r="A293" t="str">
        <f>"20190312172903051"</f>
        <v>20190312172903051</v>
      </c>
      <c r="B293" t="str">
        <f>"1552382943047488"</f>
        <v>1552382943047488</v>
      </c>
      <c r="C293" t="s">
        <v>40</v>
      </c>
      <c r="D293">
        <v>3.1056859999999999</v>
      </c>
      <c r="E293">
        <v>0.57356339999999995</v>
      </c>
      <c r="F293" t="s">
        <v>42</v>
      </c>
      <c r="G293">
        <v>-416.9187</v>
      </c>
      <c r="H293">
        <v>0.86267039999999995</v>
      </c>
      <c r="I293">
        <v>367.7466</v>
      </c>
      <c r="J293">
        <v>-417.48559999999998</v>
      </c>
      <c r="K293">
        <v>1.05996</v>
      </c>
      <c r="L293">
        <v>367.93049999999999</v>
      </c>
      <c r="M293">
        <v>0.99920509999999996</v>
      </c>
      <c r="N293">
        <v>0</v>
      </c>
      <c r="O293">
        <v>-3.821538E-2</v>
      </c>
      <c r="P293">
        <v>0.9831027</v>
      </c>
      <c r="Q293">
        <v>0.17378080000000001</v>
      </c>
      <c r="R293">
        <v>-5.752811E-2</v>
      </c>
      <c r="S293">
        <v>3.1367799999999999</v>
      </c>
      <c r="T293">
        <v>-0.72710589999999997</v>
      </c>
      <c r="U293">
        <v>-0.71713260000000001</v>
      </c>
      <c r="V293">
        <v>1.9859999999999999E-2</v>
      </c>
      <c r="W293">
        <v>0.18494450000000001</v>
      </c>
      <c r="X293">
        <v>0.98254830000000004</v>
      </c>
      <c r="Y293">
        <v>0.18183750000000001</v>
      </c>
      <c r="Z293">
        <v>-1.1919219999999999E-2</v>
      </c>
      <c r="AA293">
        <v>0.98325629999999997</v>
      </c>
      <c r="AB293">
        <v>28</v>
      </c>
      <c r="AC293">
        <v>0.56689999999997498</v>
      </c>
      <c r="AD293">
        <v>-0.19728960000000001</v>
      </c>
      <c r="AE293">
        <v>-0.18389999999999401</v>
      </c>
      <c r="AF293">
        <v>0.14609092536580601</v>
      </c>
      <c r="AG293">
        <v>-0.19728960000000001</v>
      </c>
      <c r="AH293">
        <v>0.51687371505115698</v>
      </c>
      <c r="AI293">
        <v>110.168693887069</v>
      </c>
      <c r="AJ293">
        <v>74.217407291349602</v>
      </c>
      <c r="AK293">
        <v>0.57220991083096595</v>
      </c>
      <c r="AL293">
        <v>79.342103621978197</v>
      </c>
      <c r="AM293">
        <v>88.842052594324201</v>
      </c>
      <c r="AN293">
        <v>1.0000000247565599</v>
      </c>
    </row>
    <row r="294" spans="1:40" x14ac:dyDescent="0.25">
      <c r="A294" t="str">
        <f>"20190312172903072"</f>
        <v>20190312172903072</v>
      </c>
      <c r="B294" t="str">
        <f>"1552382943067984"</f>
        <v>1552382943067984</v>
      </c>
      <c r="C294" t="s">
        <v>40</v>
      </c>
      <c r="D294">
        <v>3.1713239999999998</v>
      </c>
      <c r="E294">
        <v>0.57351479999999999</v>
      </c>
      <c r="F294" t="s">
        <v>42</v>
      </c>
      <c r="G294">
        <v>-416.66699999999997</v>
      </c>
      <c r="H294">
        <v>0.87175239999999998</v>
      </c>
      <c r="I294">
        <v>367.74299999999999</v>
      </c>
      <c r="J294">
        <v>-417.21870000000001</v>
      </c>
      <c r="K294">
        <v>1.0599689999999999</v>
      </c>
      <c r="L294">
        <v>367.92039999999997</v>
      </c>
      <c r="M294">
        <v>0.99921179999999998</v>
      </c>
      <c r="N294">
        <v>0</v>
      </c>
      <c r="O294">
        <v>-3.8042920000000001E-2</v>
      </c>
      <c r="P294">
        <v>0.98307900000000004</v>
      </c>
      <c r="Q294">
        <v>0.173833399999999</v>
      </c>
      <c r="R294">
        <v>-5.7775390000000003E-2</v>
      </c>
      <c r="S294">
        <v>3.1371150000000001</v>
      </c>
      <c r="T294">
        <v>-0.72145219999999999</v>
      </c>
      <c r="U294">
        <v>-0.71728519999999996</v>
      </c>
      <c r="V294">
        <v>2.027783E-2</v>
      </c>
      <c r="W294">
        <v>0.18500169999999999</v>
      </c>
      <c r="X294">
        <v>0.98252899999999999</v>
      </c>
      <c r="Y294">
        <v>0.1820755</v>
      </c>
      <c r="Z294">
        <v>-1.189282E-2</v>
      </c>
      <c r="AA294">
        <v>0.98321259999999999</v>
      </c>
      <c r="AB294">
        <v>28</v>
      </c>
      <c r="AC294">
        <v>0.55170000000003905</v>
      </c>
      <c r="AD294">
        <v>-0.18821660000000001</v>
      </c>
      <c r="AE294">
        <v>-0.17739999999992001</v>
      </c>
      <c r="AF294">
        <v>0.14136994081635901</v>
      </c>
      <c r="AG294">
        <v>-0.18821660000000001</v>
      </c>
      <c r="AH294">
        <v>0.50480223203368602</v>
      </c>
      <c r="AI294">
        <v>109.750093779807</v>
      </c>
      <c r="AJ294">
        <v>74.355089088388695</v>
      </c>
      <c r="AK294">
        <v>0.55698854759157501</v>
      </c>
      <c r="AL294">
        <v>79.338768786482603</v>
      </c>
      <c r="AM294">
        <v>88.817674429769198</v>
      </c>
      <c r="AN294">
        <v>1.00000002761669</v>
      </c>
    </row>
    <row r="295" spans="1:40" x14ac:dyDescent="0.25">
      <c r="A295" t="str">
        <f>"20190312172903094"</f>
        <v>20190312172903094</v>
      </c>
      <c r="B295" t="str">
        <f>"1552382943087504"</f>
        <v>1552382943087504</v>
      </c>
      <c r="C295" t="s">
        <v>40</v>
      </c>
      <c r="D295">
        <v>3.2170359999999998</v>
      </c>
      <c r="E295">
        <v>0.57348669999999902</v>
      </c>
      <c r="F295" t="s">
        <v>42</v>
      </c>
      <c r="G295">
        <v>-416.41719999999998</v>
      </c>
      <c r="H295">
        <v>0.87598659999999995</v>
      </c>
      <c r="I295">
        <v>367.7373</v>
      </c>
      <c r="J295">
        <v>-416.94720000000001</v>
      </c>
      <c r="K295">
        <v>1.059971</v>
      </c>
      <c r="L295">
        <v>367.91019999999997</v>
      </c>
      <c r="M295">
        <v>0.9992183</v>
      </c>
      <c r="N295">
        <v>0</v>
      </c>
      <c r="O295">
        <v>-3.7867940000000003E-2</v>
      </c>
      <c r="P295">
        <v>0.98298240000000003</v>
      </c>
      <c r="Q295">
        <v>0.1744086</v>
      </c>
      <c r="R295">
        <v>-5.7684279999999998E-2</v>
      </c>
      <c r="S295">
        <v>3.1367799999999999</v>
      </c>
      <c r="T295">
        <v>-0.71996590000000005</v>
      </c>
      <c r="U295">
        <v>-0.71755979999999997</v>
      </c>
      <c r="V295">
        <v>2.0362640000000001E-2</v>
      </c>
      <c r="W295">
        <v>0.18558040000000001</v>
      </c>
      <c r="X295">
        <v>0.98241809999999996</v>
      </c>
      <c r="Y295">
        <v>0.18235489999999999</v>
      </c>
      <c r="Z295">
        <v>-1.1940340000000001E-2</v>
      </c>
      <c r="AA295">
        <v>0.98316029999999999</v>
      </c>
      <c r="AB295">
        <v>28</v>
      </c>
      <c r="AC295">
        <v>0.530000000000029</v>
      </c>
      <c r="AD295">
        <v>-0.18398439999999999</v>
      </c>
      <c r="AE295">
        <v>-0.17289999999996999</v>
      </c>
      <c r="AF295">
        <v>0.137706346072762</v>
      </c>
      <c r="AG295">
        <v>-0.18398439999999999</v>
      </c>
      <c r="AH295">
        <v>0.483506367998986</v>
      </c>
      <c r="AI295">
        <v>110.10099422874301</v>
      </c>
      <c r="AJ295">
        <v>74.102637821619894</v>
      </c>
      <c r="AK295">
        <v>0.53534260533572497</v>
      </c>
      <c r="AL295">
        <v>79.305027389213294</v>
      </c>
      <c r="AM295">
        <v>88.812596897379905</v>
      </c>
      <c r="AN295">
        <v>1.0000000225897601</v>
      </c>
    </row>
    <row r="296" spans="1:40" x14ac:dyDescent="0.25">
      <c r="A296" t="str">
        <f>"20190312172903116"</f>
        <v>20190312172903116</v>
      </c>
      <c r="B296" t="str">
        <f>"1552382943108002"</f>
        <v>1552382943108002</v>
      </c>
      <c r="C296" t="s">
        <v>40</v>
      </c>
      <c r="D296">
        <v>3.2187760000000001</v>
      </c>
      <c r="E296">
        <v>0.57349539999999999</v>
      </c>
      <c r="F296" t="s">
        <v>42</v>
      </c>
      <c r="G296">
        <v>-416.16669999999999</v>
      </c>
      <c r="H296">
        <v>0.88156080000000003</v>
      </c>
      <c r="I296">
        <v>367.73160000000001</v>
      </c>
      <c r="J296">
        <v>-416.67129999999997</v>
      </c>
      <c r="K296">
        <v>1.0599689999999999</v>
      </c>
      <c r="L296">
        <v>367.9</v>
      </c>
      <c r="M296">
        <v>0.99922500000000003</v>
      </c>
      <c r="N296">
        <v>0</v>
      </c>
      <c r="O296">
        <v>-3.768999E-2</v>
      </c>
      <c r="P296">
        <v>0.98304510000000001</v>
      </c>
      <c r="Q296">
        <v>0.1741238</v>
      </c>
      <c r="R296">
        <v>-5.7473709999999997E-2</v>
      </c>
      <c r="S296">
        <v>3.1370849999999999</v>
      </c>
      <c r="T296">
        <v>-0.71719690000000003</v>
      </c>
      <c r="U296">
        <v>-0.71737669999999998</v>
      </c>
      <c r="V296">
        <v>2.0325300000000001E-2</v>
      </c>
      <c r="W296">
        <v>0.1853012</v>
      </c>
      <c r="X296">
        <v>0.9824716</v>
      </c>
      <c r="Y296">
        <v>0.1824749</v>
      </c>
      <c r="Z296">
        <v>-1.194745E-2</v>
      </c>
      <c r="AA296">
        <v>0.98313790000000001</v>
      </c>
      <c r="AB296">
        <v>28</v>
      </c>
      <c r="AC296">
        <v>0.50459999999998195</v>
      </c>
      <c r="AD296">
        <v>-0.17840819999999999</v>
      </c>
      <c r="AE296">
        <v>-0.168399999999962</v>
      </c>
      <c r="AF296">
        <v>0.13416939915734499</v>
      </c>
      <c r="AG296">
        <v>-0.17840819999999999</v>
      </c>
      <c r="AH296">
        <v>0.45896460805443101</v>
      </c>
      <c r="AI296">
        <v>110.460718598713</v>
      </c>
      <c r="AJ296">
        <v>73.704743365850504</v>
      </c>
      <c r="AK296">
        <v>0.51037184967829197</v>
      </c>
      <c r="AL296">
        <v>79.321307010366993</v>
      </c>
      <c r="AM296">
        <v>88.814838199158004</v>
      </c>
      <c r="AN296">
        <v>1.0000000486740399</v>
      </c>
    </row>
    <row r="297" spans="1:40" x14ac:dyDescent="0.25">
      <c r="A297" t="str">
        <f>"20190312172903138"</f>
        <v>20190312172903138</v>
      </c>
      <c r="B297" t="str">
        <f>"1552382943127529"</f>
        <v>1552382943127529</v>
      </c>
      <c r="C297" t="s">
        <v>40</v>
      </c>
      <c r="D297">
        <v>3.0952099999999998</v>
      </c>
      <c r="E297">
        <v>0.573488</v>
      </c>
      <c r="F297" t="s">
        <v>42</v>
      </c>
      <c r="G297">
        <v>-415.91609999999997</v>
      </c>
      <c r="H297">
        <v>0.88723359999999996</v>
      </c>
      <c r="I297">
        <v>367.72730000000001</v>
      </c>
      <c r="J297">
        <v>-416.40199999999999</v>
      </c>
      <c r="K297">
        <v>1.059971</v>
      </c>
      <c r="L297">
        <v>367.89010000000002</v>
      </c>
      <c r="M297">
        <v>0.99923150000000005</v>
      </c>
      <c r="N297">
        <v>0</v>
      </c>
      <c r="O297">
        <v>-3.7516569999999999E-2</v>
      </c>
      <c r="P297">
        <v>0.98312500000000003</v>
      </c>
      <c r="Q297">
        <v>0.1737435</v>
      </c>
      <c r="R297">
        <v>-5.7259879999999999E-2</v>
      </c>
      <c r="S297">
        <v>3.1369020000000001</v>
      </c>
      <c r="T297">
        <v>-0.71752099999999996</v>
      </c>
      <c r="U297">
        <v>-0.71737669999999998</v>
      </c>
      <c r="V297">
        <v>2.027924E-2</v>
      </c>
      <c r="W297">
        <v>0.1849258</v>
      </c>
      <c r="X297">
        <v>0.98254319999999895</v>
      </c>
      <c r="Y297">
        <v>0.1826458</v>
      </c>
      <c r="Z297">
        <v>-1.2011020000000001E-2</v>
      </c>
      <c r="AA297">
        <v>0.98310540000000002</v>
      </c>
      <c r="AB297">
        <v>28</v>
      </c>
      <c r="AC297">
        <v>0.48590000000001499</v>
      </c>
      <c r="AD297">
        <v>-0.17273740000000001</v>
      </c>
      <c r="AE297">
        <v>-0.162800000000004</v>
      </c>
      <c r="AF297">
        <v>0.12971593374006099</v>
      </c>
      <c r="AG297">
        <v>-0.17273740000000001</v>
      </c>
      <c r="AH297">
        <v>0.441500509169509</v>
      </c>
      <c r="AI297">
        <v>110.575332515707</v>
      </c>
      <c r="AJ297">
        <v>73.626843468926296</v>
      </c>
      <c r="AK297">
        <v>0.49151513956515203</v>
      </c>
      <c r="AL297">
        <v>79.343193262790393</v>
      </c>
      <c r="AM297">
        <v>88.817609324851503</v>
      </c>
      <c r="AN297">
        <v>0.99999996947342795</v>
      </c>
    </row>
    <row r="298" spans="1:40" x14ac:dyDescent="0.25">
      <c r="A298" t="str">
        <f>"20190312172903160"</f>
        <v>20190312172903160</v>
      </c>
      <c r="B298" t="str">
        <f>"1552382943157776"</f>
        <v>1552382943157776</v>
      </c>
      <c r="C298" t="s">
        <v>40</v>
      </c>
      <c r="D298">
        <v>3.1601219999999999</v>
      </c>
      <c r="E298">
        <v>0.57346889999999995</v>
      </c>
      <c r="F298" t="s">
        <v>42</v>
      </c>
      <c r="G298">
        <v>-415.66579999999999</v>
      </c>
      <c r="H298">
        <v>0.89141109999999901</v>
      </c>
      <c r="I298">
        <v>367.72190000000001</v>
      </c>
      <c r="J298">
        <v>-416.12259999999998</v>
      </c>
      <c r="K298">
        <v>1.059971</v>
      </c>
      <c r="L298">
        <v>367.87979999999999</v>
      </c>
      <c r="M298">
        <v>0.99923810000000002</v>
      </c>
      <c r="N298">
        <v>0</v>
      </c>
      <c r="O298">
        <v>-3.7335880000000002E-2</v>
      </c>
      <c r="P298">
        <v>0.98312929999999998</v>
      </c>
      <c r="Q298">
        <v>0.17388979999999901</v>
      </c>
      <c r="R298">
        <v>-5.6740359999999997E-2</v>
      </c>
      <c r="S298">
        <v>3.1367189999999998</v>
      </c>
      <c r="T298">
        <v>-0.71826119999999904</v>
      </c>
      <c r="U298">
        <v>-0.71588130000000005</v>
      </c>
      <c r="V298">
        <v>1.9937989999999999E-2</v>
      </c>
      <c r="W298">
        <v>0.1850753</v>
      </c>
      <c r="X298">
        <v>0.98252209999999995</v>
      </c>
      <c r="Y298">
        <v>0.1823844</v>
      </c>
      <c r="Z298">
        <v>-1.203543E-2</v>
      </c>
      <c r="AA298">
        <v>0.98315359999999996</v>
      </c>
      <c r="AB298">
        <v>28</v>
      </c>
      <c r="AC298">
        <v>0.45679999999998699</v>
      </c>
      <c r="AD298">
        <v>-0.16855990000000001</v>
      </c>
      <c r="AE298">
        <v>-0.157899999999983</v>
      </c>
      <c r="AF298">
        <v>0.12547261518639899</v>
      </c>
      <c r="AG298">
        <v>-0.16855990000000001</v>
      </c>
      <c r="AH298">
        <v>0.412237075724743</v>
      </c>
      <c r="AI298">
        <v>111.36407658917</v>
      </c>
      <c r="AJ298">
        <v>73.071322083498799</v>
      </c>
      <c r="AK298">
        <v>0.46270425073886201</v>
      </c>
      <c r="AL298">
        <v>79.334477779943597</v>
      </c>
      <c r="AM298">
        <v>88.837475602465204</v>
      </c>
      <c r="AN298">
        <v>1.00000003355186</v>
      </c>
    </row>
    <row r="299" spans="1:40" x14ac:dyDescent="0.25">
      <c r="A299" t="str">
        <f>"20190312172903183"</f>
        <v>20190312172903183</v>
      </c>
      <c r="B299" t="str">
        <f>"1552382943178272"</f>
        <v>1552382943178272</v>
      </c>
      <c r="C299" t="s">
        <v>40</v>
      </c>
      <c r="D299">
        <v>3.2158820000000001</v>
      </c>
      <c r="E299">
        <v>0.57347799999999904</v>
      </c>
      <c r="F299" t="s">
        <v>42</v>
      </c>
      <c r="G299">
        <v>-415.41419999999999</v>
      </c>
      <c r="H299">
        <v>0.89803650000000002</v>
      </c>
      <c r="I299">
        <v>367.71859999999998</v>
      </c>
      <c r="J299">
        <v>-415.84629999999999</v>
      </c>
      <c r="K299">
        <v>1.0599670000000001</v>
      </c>
      <c r="L299">
        <v>367.86970000000002</v>
      </c>
      <c r="M299">
        <v>0.99924489999999999</v>
      </c>
      <c r="N299">
        <v>0</v>
      </c>
      <c r="O299">
        <v>-3.7157679999999998E-2</v>
      </c>
      <c r="P299">
        <v>0.98307820000000001</v>
      </c>
      <c r="Q299">
        <v>0.17433889999999999</v>
      </c>
      <c r="R299">
        <v>-5.6245240000000002E-2</v>
      </c>
      <c r="S299">
        <v>3.137054</v>
      </c>
      <c r="T299">
        <v>-0.71706859999999994</v>
      </c>
      <c r="U299">
        <v>-0.71438599999999997</v>
      </c>
      <c r="V299">
        <v>1.962059E-2</v>
      </c>
      <c r="W299">
        <v>0.18552750000000001</v>
      </c>
      <c r="X299">
        <v>0.98244319999999896</v>
      </c>
      <c r="Y299">
        <v>0.18210560000000001</v>
      </c>
      <c r="Z299">
        <v>-1.2023839999999999E-2</v>
      </c>
      <c r="AA299">
        <v>0.98320540000000001</v>
      </c>
      <c r="AB299">
        <v>28</v>
      </c>
      <c r="AC299">
        <v>0.43209999999999099</v>
      </c>
      <c r="AD299">
        <v>-0.1619305</v>
      </c>
      <c r="AE299">
        <v>-0.15110000000004201</v>
      </c>
      <c r="AF299">
        <v>0.119930929543749</v>
      </c>
      <c r="AG299">
        <v>-0.1619305</v>
      </c>
      <c r="AH299">
        <v>0.38876714929195999</v>
      </c>
      <c r="AI299">
        <v>111.703280148121</v>
      </c>
      <c r="AJ299">
        <v>72.855508399300405</v>
      </c>
      <c r="AK299">
        <v>0.43788675597701598</v>
      </c>
      <c r="AL299">
        <v>79.308111992440303</v>
      </c>
      <c r="AM299">
        <v>88.855885434282698</v>
      </c>
      <c r="AN299">
        <v>1.0000000310172099</v>
      </c>
    </row>
    <row r="300" spans="1:40" x14ac:dyDescent="0.25">
      <c r="A300" t="str">
        <f>"20190312172903206"</f>
        <v>20190312172903206</v>
      </c>
      <c r="B300" t="str">
        <f>"1552382943197795"</f>
        <v>1552382943197795</v>
      </c>
      <c r="C300" t="s">
        <v>40</v>
      </c>
      <c r="D300">
        <v>3.150595</v>
      </c>
      <c r="E300">
        <v>0.57349740000000005</v>
      </c>
      <c r="F300" t="s">
        <v>42</v>
      </c>
      <c r="G300">
        <v>-415.1628</v>
      </c>
      <c r="H300">
        <v>0.90431459999999997</v>
      </c>
      <c r="I300">
        <v>367.714</v>
      </c>
      <c r="J300">
        <v>-415.56509999999997</v>
      </c>
      <c r="K300">
        <v>1.059971</v>
      </c>
      <c r="L300">
        <v>367.85939999999999</v>
      </c>
      <c r="M300">
        <v>0.99925149999999996</v>
      </c>
      <c r="N300">
        <v>0</v>
      </c>
      <c r="O300">
        <v>-3.6976509999999997E-2</v>
      </c>
      <c r="P300">
        <v>0.98310039999999999</v>
      </c>
      <c r="Q300">
        <v>0.17429629999999999</v>
      </c>
      <c r="R300">
        <v>-5.5989570000000002E-2</v>
      </c>
      <c r="S300">
        <v>3.1376339999999998</v>
      </c>
      <c r="T300">
        <v>-0.71466079999999998</v>
      </c>
      <c r="U300">
        <v>-0.71328740000000002</v>
      </c>
      <c r="V300">
        <v>1.9542549999999999E-2</v>
      </c>
      <c r="W300">
        <v>0.1854886</v>
      </c>
      <c r="X300">
        <v>0.98245210000000005</v>
      </c>
      <c r="Y300">
        <v>0.18194109999999999</v>
      </c>
      <c r="Z300">
        <v>-1.200464E-2</v>
      </c>
      <c r="AA300">
        <v>0.98323609999999995</v>
      </c>
      <c r="AB300">
        <v>28</v>
      </c>
      <c r="AC300">
        <v>0.40229999999996802</v>
      </c>
      <c r="AD300">
        <v>-0.155656399999999</v>
      </c>
      <c r="AE300">
        <v>-0.14539999999999501</v>
      </c>
      <c r="AF300">
        <v>0.11517396026761</v>
      </c>
      <c r="AG300">
        <v>-0.155656399999999</v>
      </c>
      <c r="AH300">
        <v>0.35976564007925199</v>
      </c>
      <c r="AI300">
        <v>112.394603646707</v>
      </c>
      <c r="AJ300">
        <v>72.248256288399205</v>
      </c>
      <c r="AK300">
        <v>0.408564892968448</v>
      </c>
      <c r="AL300">
        <v>79.3103801607284</v>
      </c>
      <c r="AM300">
        <v>88.860445215839803</v>
      </c>
      <c r="AN300">
        <v>1.0000000303924299</v>
      </c>
    </row>
    <row r="301" spans="1:40" x14ac:dyDescent="0.25">
      <c r="A301" t="str">
        <f>"20190312172903228"</f>
        <v>20190312172903228</v>
      </c>
      <c r="B301" t="str">
        <f>"1552382943217312"</f>
        <v>1552382943217312</v>
      </c>
      <c r="C301" t="s">
        <v>40</v>
      </c>
      <c r="D301">
        <v>3.4309310000000002</v>
      </c>
      <c r="E301">
        <v>0.57348069999999995</v>
      </c>
      <c r="F301" t="s">
        <v>42</v>
      </c>
      <c r="G301">
        <v>-414.68520000000001</v>
      </c>
      <c r="H301">
        <v>0.85962320000000003</v>
      </c>
      <c r="I301">
        <v>367.6592</v>
      </c>
      <c r="J301">
        <v>-415.28440000000001</v>
      </c>
      <c r="K301">
        <v>1.0599749999999999</v>
      </c>
      <c r="L301">
        <v>367.8492</v>
      </c>
      <c r="M301">
        <v>0.99925810000000004</v>
      </c>
      <c r="N301">
        <v>0</v>
      </c>
      <c r="O301">
        <v>-3.679557E-2</v>
      </c>
      <c r="P301">
        <v>0.98298129999999995</v>
      </c>
      <c r="Q301">
        <v>0.1751569</v>
      </c>
      <c r="R301">
        <v>-5.5389649999999999E-2</v>
      </c>
      <c r="S301">
        <v>3.1376650000000001</v>
      </c>
      <c r="T301">
        <v>-0.71447740000000004</v>
      </c>
      <c r="U301">
        <v>-0.71255489999999999</v>
      </c>
      <c r="V301">
        <v>1.9125300000000001E-2</v>
      </c>
      <c r="W301">
        <v>0.18635019999999999</v>
      </c>
      <c r="X301">
        <v>0.98229719999999998</v>
      </c>
      <c r="Y301">
        <v>0.181897</v>
      </c>
      <c r="Z301">
        <v>-1.2037000000000001E-2</v>
      </c>
      <c r="AA301">
        <v>0.98324389999999995</v>
      </c>
      <c r="AB301">
        <v>28</v>
      </c>
      <c r="AC301">
        <v>0.59919999999999596</v>
      </c>
      <c r="AD301">
        <v>-0.200351799999999</v>
      </c>
      <c r="AE301">
        <v>-0.189999999999997</v>
      </c>
      <c r="AF301">
        <v>0.15234575698717001</v>
      </c>
      <c r="AG301">
        <v>-0.200351799999999</v>
      </c>
      <c r="AH301">
        <v>0.54992135634629302</v>
      </c>
      <c r="AI301">
        <v>109.346383086358</v>
      </c>
      <c r="AJ301">
        <v>74.515571102691695</v>
      </c>
      <c r="AK301">
        <v>0.60478390487923905</v>
      </c>
      <c r="AL301">
        <v>79.260137617454902</v>
      </c>
      <c r="AM301">
        <v>88.8845936460948</v>
      </c>
      <c r="AN301">
        <v>0.99999998163398396</v>
      </c>
    </row>
    <row r="302" spans="1:40" x14ac:dyDescent="0.25">
      <c r="A302" t="str">
        <f>"20190312172903252"</f>
        <v>20190312172903252</v>
      </c>
      <c r="B302" t="str">
        <f>"1552382943247569"</f>
        <v>1552382943247569</v>
      </c>
      <c r="C302" t="s">
        <v>40</v>
      </c>
      <c r="D302">
        <v>3.125556</v>
      </c>
      <c r="E302">
        <v>0.57350859999999904</v>
      </c>
      <c r="F302" t="s">
        <v>42</v>
      </c>
      <c r="G302">
        <v>-414.43329999999997</v>
      </c>
      <c r="H302">
        <v>0.86703549999999996</v>
      </c>
      <c r="I302">
        <v>367.65640000000002</v>
      </c>
      <c r="J302">
        <v>-414.98849999999999</v>
      </c>
      <c r="K302">
        <v>1.059976</v>
      </c>
      <c r="L302">
        <v>367.83850000000001</v>
      </c>
      <c r="M302">
        <v>0.99926499999999996</v>
      </c>
      <c r="N302">
        <v>0</v>
      </c>
      <c r="O302">
        <v>-3.6604970000000001E-2</v>
      </c>
      <c r="P302">
        <v>0.98290710000000003</v>
      </c>
      <c r="Q302">
        <v>0.1756075</v>
      </c>
      <c r="R302">
        <v>-5.5280839999999998E-2</v>
      </c>
      <c r="S302">
        <v>3.1386409999999998</v>
      </c>
      <c r="T302">
        <v>-0.71158529999999998</v>
      </c>
      <c r="U302">
        <v>-0.71081539999999999</v>
      </c>
      <c r="V302">
        <v>1.9206919999999999E-2</v>
      </c>
      <c r="W302">
        <v>0.18680369999999999</v>
      </c>
      <c r="X302">
        <v>0.98220949999999996</v>
      </c>
      <c r="Y302">
        <v>0.1815338</v>
      </c>
      <c r="Z302">
        <v>-1.1988459999999999E-2</v>
      </c>
      <c r="AA302">
        <v>0.98331159999999995</v>
      </c>
      <c r="AB302">
        <v>28</v>
      </c>
      <c r="AC302">
        <v>0.55520000000001302</v>
      </c>
      <c r="AD302">
        <v>-0.19294049999999999</v>
      </c>
      <c r="AE302">
        <v>-0.18209999999999099</v>
      </c>
      <c r="AF302">
        <v>0.14576028636213201</v>
      </c>
      <c r="AG302">
        <v>-0.19294049999999999</v>
      </c>
      <c r="AH302">
        <v>0.50628975615405303</v>
      </c>
      <c r="AI302">
        <v>110.11335211559501</v>
      </c>
      <c r="AJ302">
        <v>73.938946199650402</v>
      </c>
      <c r="AK302">
        <v>0.56107166637351402</v>
      </c>
      <c r="AL302">
        <v>79.233689925622798</v>
      </c>
      <c r="AM302">
        <v>88.879734705137494</v>
      </c>
      <c r="AN302">
        <v>1.00000001499991</v>
      </c>
    </row>
    <row r="303" spans="1:40" x14ac:dyDescent="0.25">
      <c r="A303" t="str">
        <f>"20190312172903276"</f>
        <v>20190312172903276</v>
      </c>
      <c r="B303" t="str">
        <f>"1552382943268064"</f>
        <v>1552382943268064</v>
      </c>
      <c r="C303" t="s">
        <v>40</v>
      </c>
      <c r="D303">
        <v>3.1754470000000001</v>
      </c>
      <c r="E303">
        <v>0.54420380000000002</v>
      </c>
      <c r="F303" t="s">
        <v>42</v>
      </c>
      <c r="G303">
        <v>-414.18020000000001</v>
      </c>
      <c r="H303">
        <v>0.87717819999999902</v>
      </c>
      <c r="I303">
        <v>367.65539999999999</v>
      </c>
      <c r="J303">
        <v>-414.69549999999998</v>
      </c>
      <c r="K303">
        <v>1.059982</v>
      </c>
      <c r="L303">
        <v>367.82799999999997</v>
      </c>
      <c r="M303">
        <v>0.99927189999999999</v>
      </c>
      <c r="N303">
        <v>0</v>
      </c>
      <c r="O303">
        <v>-3.6415820000000002E-2</v>
      </c>
      <c r="P303">
        <v>0.98282809999999998</v>
      </c>
      <c r="Q303">
        <v>0.17610770000000001</v>
      </c>
      <c r="R303">
        <v>-5.5091540000000001E-2</v>
      </c>
      <c r="S303">
        <v>3.1390989999999999</v>
      </c>
      <c r="T303">
        <v>-0.7099936</v>
      </c>
      <c r="U303">
        <v>-0.71029659999999994</v>
      </c>
      <c r="V303">
        <v>1.9206879999999999E-2</v>
      </c>
      <c r="W303">
        <v>0.18730579999999999</v>
      </c>
      <c r="X303">
        <v>0.98211380000000004</v>
      </c>
      <c r="Y303">
        <v>0.18154580000000001</v>
      </c>
      <c r="Z303">
        <v>-1.200378E-2</v>
      </c>
      <c r="AA303">
        <v>0.98330919999999999</v>
      </c>
      <c r="AB303">
        <v>28</v>
      </c>
      <c r="AC303">
        <v>0.51529999999996701</v>
      </c>
      <c r="AD303">
        <v>-0.18280379999999999</v>
      </c>
      <c r="AE303">
        <v>-0.172600000000045</v>
      </c>
      <c r="AF303">
        <v>0.13809337855732801</v>
      </c>
      <c r="AG303">
        <v>-0.18280379999999999</v>
      </c>
      <c r="AH303">
        <v>0.46825855360914598</v>
      </c>
      <c r="AI303">
        <v>110.52826943877</v>
      </c>
      <c r="AJ303">
        <v>73.568769277102007</v>
      </c>
      <c r="AK303">
        <v>0.52129941830386395</v>
      </c>
      <c r="AL303">
        <v>79.204404015303993</v>
      </c>
      <c r="AM303">
        <v>88.879627903758404</v>
      </c>
      <c r="AN303">
        <v>0.99999994155170502</v>
      </c>
    </row>
    <row r="304" spans="1:40" x14ac:dyDescent="0.25">
      <c r="A304" t="str">
        <f>"20190312172903297"</f>
        <v>20190312172903297</v>
      </c>
      <c r="B304" t="str">
        <f>"1552382943287584"</f>
        <v>1552382943287584</v>
      </c>
      <c r="C304" t="s">
        <v>40</v>
      </c>
      <c r="D304">
        <v>3.1353070000000001</v>
      </c>
      <c r="E304">
        <v>0.52534329999999996</v>
      </c>
      <c r="F304" t="s">
        <v>42</v>
      </c>
      <c r="G304">
        <v>-413.91140000000001</v>
      </c>
      <c r="H304">
        <v>0.91912760000000004</v>
      </c>
      <c r="I304">
        <v>367.70749999999998</v>
      </c>
      <c r="J304">
        <v>-414.42770000000002</v>
      </c>
      <c r="K304">
        <v>1.059982</v>
      </c>
      <c r="L304">
        <v>367.81849999999997</v>
      </c>
      <c r="M304">
        <v>0.99927829999999995</v>
      </c>
      <c r="N304">
        <v>0</v>
      </c>
      <c r="O304">
        <v>-3.6242870000000003E-2</v>
      </c>
      <c r="P304">
        <v>0.98280780000000001</v>
      </c>
      <c r="Q304">
        <v>0.1763023</v>
      </c>
      <c r="R304">
        <v>-5.4833729999999997E-2</v>
      </c>
      <c r="S304">
        <v>3.126099</v>
      </c>
      <c r="T304">
        <v>-0.56162069999999997</v>
      </c>
      <c r="U304">
        <v>-0.48089599999999999</v>
      </c>
      <c r="V304">
        <v>1.9120129999999999E-2</v>
      </c>
      <c r="W304">
        <v>0.187503</v>
      </c>
      <c r="X304">
        <v>0.98207789999999995</v>
      </c>
      <c r="Y304">
        <v>0.1148917</v>
      </c>
      <c r="Z304">
        <v>-3.76246E-3</v>
      </c>
      <c r="AA304">
        <v>0.99337089999999995</v>
      </c>
      <c r="AB304">
        <v>28</v>
      </c>
      <c r="AC304">
        <v>0.51630000000000098</v>
      </c>
      <c r="AD304">
        <v>-0.14085439999999999</v>
      </c>
      <c r="AE304">
        <v>-0.11099999999999</v>
      </c>
      <c r="AF304">
        <v>8.6089280888971401E-2</v>
      </c>
      <c r="AG304">
        <v>-0.14085439999999999</v>
      </c>
      <c r="AH304">
        <v>0.48544918148239702</v>
      </c>
      <c r="AI304">
        <v>105.944376669115</v>
      </c>
      <c r="AJ304">
        <v>79.943749901825896</v>
      </c>
      <c r="AK304">
        <v>0.51274967975150398</v>
      </c>
      <c r="AL304">
        <v>79.192901893866903</v>
      </c>
      <c r="AM304">
        <v>88.884646147140302</v>
      </c>
      <c r="AN304">
        <v>0.99999997802431295</v>
      </c>
    </row>
    <row r="305" spans="1:40" x14ac:dyDescent="0.25">
      <c r="A305" t="str">
        <f>"20190312172903319"</f>
        <v>20190312172903319</v>
      </c>
      <c r="B305" t="str">
        <f>"1552382943308080"</f>
        <v>1552382943308080</v>
      </c>
      <c r="C305" t="s">
        <v>40</v>
      </c>
      <c r="D305">
        <v>3.1000649999999998</v>
      </c>
      <c r="E305">
        <v>0.51229360000000002</v>
      </c>
      <c r="F305" t="s">
        <v>42</v>
      </c>
      <c r="G305">
        <v>-413.64609999999999</v>
      </c>
      <c r="H305">
        <v>0.94990980000000003</v>
      </c>
      <c r="I305">
        <v>367.73439999999999</v>
      </c>
      <c r="J305">
        <v>-414.14890000000003</v>
      </c>
      <c r="K305">
        <v>1.059982</v>
      </c>
      <c r="L305">
        <v>367.80849999999998</v>
      </c>
      <c r="M305">
        <v>0.99928459999999997</v>
      </c>
      <c r="N305">
        <v>0</v>
      </c>
      <c r="O305">
        <v>-3.6063230000000002E-2</v>
      </c>
      <c r="P305">
        <v>0.98279209999999995</v>
      </c>
      <c r="Q305">
        <v>0.17644689999999999</v>
      </c>
      <c r="R305">
        <v>-5.464687E-2</v>
      </c>
      <c r="S305">
        <v>3.1125180000000001</v>
      </c>
      <c r="T305">
        <v>-0.43849359999999998</v>
      </c>
      <c r="U305">
        <v>-0.33398440000000001</v>
      </c>
      <c r="V305">
        <v>1.9110869999999999E-2</v>
      </c>
      <c r="W305">
        <v>0.18765009999999999</v>
      </c>
      <c r="X305">
        <v>0.98204999999999998</v>
      </c>
      <c r="Y305">
        <v>7.0426749999999996E-2</v>
      </c>
      <c r="Z305">
        <v>1.158896E-4</v>
      </c>
      <c r="AA305">
        <v>0.99751690000000004</v>
      </c>
      <c r="AB305">
        <v>28</v>
      </c>
      <c r="AC305">
        <v>0.502800000000036</v>
      </c>
      <c r="AD305">
        <v>-0.110072199999999</v>
      </c>
      <c r="AE305">
        <v>-7.4099999999987107E-2</v>
      </c>
      <c r="AF305">
        <v>5.3412624107875097E-2</v>
      </c>
      <c r="AG305">
        <v>-0.110072199999999</v>
      </c>
      <c r="AH305">
        <v>0.48251237646766099</v>
      </c>
      <c r="AI305">
        <v>102.77513468984201</v>
      </c>
      <c r="AJ305">
        <v>83.683252466743198</v>
      </c>
      <c r="AK305">
        <v>0.497782071866192</v>
      </c>
      <c r="AL305">
        <v>79.184321554501196</v>
      </c>
      <c r="AM305">
        <v>88.885154519895195</v>
      </c>
      <c r="AN305">
        <v>0.99999999394108297</v>
      </c>
    </row>
    <row r="306" spans="1:40" x14ac:dyDescent="0.25">
      <c r="A306" t="str">
        <f>"20190312172903340"</f>
        <v>20190312172903340</v>
      </c>
      <c r="B306" t="str">
        <f>"1552382943337361"</f>
        <v>1552382943337361</v>
      </c>
      <c r="C306" t="s">
        <v>40</v>
      </c>
      <c r="D306">
        <v>3.2942269999999998</v>
      </c>
      <c r="E306">
        <v>0.50259359999999997</v>
      </c>
      <c r="F306" t="s">
        <v>42</v>
      </c>
      <c r="G306">
        <v>-413.38470000000001</v>
      </c>
      <c r="H306">
        <v>0.97242689999999998</v>
      </c>
      <c r="I306">
        <v>367.75119999999998</v>
      </c>
      <c r="J306">
        <v>-413.89069999999998</v>
      </c>
      <c r="K306">
        <v>1.0599730000000001</v>
      </c>
      <c r="L306">
        <v>367.79939999999999</v>
      </c>
      <c r="M306">
        <v>0.99929069999999998</v>
      </c>
      <c r="N306">
        <v>0</v>
      </c>
      <c r="O306">
        <v>-3.5896600000000001E-2</v>
      </c>
      <c r="P306">
        <v>0.98284930000000004</v>
      </c>
      <c r="Q306">
        <v>0.1761065</v>
      </c>
      <c r="R306">
        <v>-5.4718469999999998E-2</v>
      </c>
      <c r="S306">
        <v>3.103485</v>
      </c>
      <c r="T306">
        <v>-0.35561039999999999</v>
      </c>
      <c r="U306">
        <v>-0.23248289999999999</v>
      </c>
      <c r="V306">
        <v>1.9344610000000002E-2</v>
      </c>
      <c r="W306">
        <v>0.18731329999999999</v>
      </c>
      <c r="X306">
        <v>0.98210969999999997</v>
      </c>
      <c r="Y306">
        <v>3.883503E-2</v>
      </c>
      <c r="Z306">
        <v>1.877711E-3</v>
      </c>
      <c r="AA306">
        <v>0.99924389999999996</v>
      </c>
      <c r="AB306">
        <v>28</v>
      </c>
      <c r="AC306">
        <v>0.50599999999997103</v>
      </c>
      <c r="AD306">
        <v>-8.7546100000000002E-2</v>
      </c>
      <c r="AE306">
        <v>-4.8200000000008403E-2</v>
      </c>
      <c r="AF306">
        <v>2.9139637618615499E-2</v>
      </c>
      <c r="AG306">
        <v>-8.7546100000000002E-2</v>
      </c>
      <c r="AH306">
        <v>0.49278551443648999</v>
      </c>
      <c r="AI306">
        <v>100.056603951417</v>
      </c>
      <c r="AJ306">
        <v>86.615898199933696</v>
      </c>
      <c r="AK306">
        <v>0.50134918105467197</v>
      </c>
      <c r="AL306">
        <v>79.203966914957107</v>
      </c>
      <c r="AM306">
        <v>88.871591223777401</v>
      </c>
      <c r="AN306">
        <v>0.99999997456351497</v>
      </c>
    </row>
    <row r="307" spans="1:40" x14ac:dyDescent="0.25">
      <c r="A307" t="str">
        <f>"20190312172903362"</f>
        <v>20190312172903362</v>
      </c>
      <c r="B307" t="str">
        <f>"1552382943357857"</f>
        <v>1552382943357857</v>
      </c>
      <c r="C307" t="s">
        <v>40</v>
      </c>
      <c r="D307">
        <v>3.2888790000000001</v>
      </c>
      <c r="E307">
        <v>0.49933860000000002</v>
      </c>
      <c r="F307" t="s">
        <v>42</v>
      </c>
      <c r="G307">
        <v>-413.12439999999998</v>
      </c>
      <c r="H307">
        <v>0.99020900000000001</v>
      </c>
      <c r="I307">
        <v>367.76029999999997</v>
      </c>
      <c r="J307">
        <v>-413.61040000000003</v>
      </c>
      <c r="K307">
        <v>1.0599689999999999</v>
      </c>
      <c r="L307">
        <v>367.78960000000001</v>
      </c>
      <c r="M307">
        <v>0.99929710000000005</v>
      </c>
      <c r="N307">
        <v>0</v>
      </c>
      <c r="O307">
        <v>-3.5715900000000002E-2</v>
      </c>
      <c r="P307">
        <v>0.98299840000000005</v>
      </c>
      <c r="Q307">
        <v>0.1753381</v>
      </c>
      <c r="R307">
        <v>-5.4508340000000002E-2</v>
      </c>
      <c r="S307">
        <v>3.0940249999999998</v>
      </c>
      <c r="T307">
        <v>-0.28172560000000002</v>
      </c>
      <c r="U307">
        <v>-0.1579285</v>
      </c>
      <c r="V307">
        <v>1.93072E-2</v>
      </c>
      <c r="W307">
        <v>0.1865493</v>
      </c>
      <c r="X307">
        <v>0.98225589999999996</v>
      </c>
      <c r="Y307">
        <v>1.535632E-2</v>
      </c>
      <c r="Z307">
        <v>2.5450070000000002E-3</v>
      </c>
      <c r="AA307">
        <v>0.99987879999999996</v>
      </c>
      <c r="AB307">
        <v>28</v>
      </c>
      <c r="AC307">
        <v>0.48600000000004601</v>
      </c>
      <c r="AD307">
        <v>-6.97600000000001E-2</v>
      </c>
      <c r="AE307">
        <v>-2.9300000000034701E-2</v>
      </c>
      <c r="AF307">
        <v>1.16824238930447E-2</v>
      </c>
      <c r="AG307">
        <v>-6.97600000000001E-2</v>
      </c>
      <c r="AH307">
        <v>0.47694528626105098</v>
      </c>
      <c r="AI307">
        <v>98.318853574118606</v>
      </c>
      <c r="AJ307">
        <v>88.596862602056305</v>
      </c>
      <c r="AK307">
        <v>0.48216153176570697</v>
      </c>
      <c r="AL307">
        <v>79.248526958514603</v>
      </c>
      <c r="AM307">
        <v>88.873940445005701</v>
      </c>
      <c r="AN307">
        <v>1.00000003119356</v>
      </c>
    </row>
    <row r="308" spans="1:40" x14ac:dyDescent="0.25">
      <c r="A308" t="str">
        <f>"20190312172903385"</f>
        <v>20190312172903385</v>
      </c>
      <c r="B308" t="str">
        <f>"1552382943377376"</f>
        <v>1552382943377376</v>
      </c>
      <c r="C308" t="s">
        <v>40</v>
      </c>
      <c r="D308">
        <v>3.126735</v>
      </c>
      <c r="E308">
        <v>0.49716709999999897</v>
      </c>
      <c r="F308" t="s">
        <v>43</v>
      </c>
      <c r="G308">
        <v>-400.28410000000002</v>
      </c>
      <c r="H308">
        <v>-0.05</v>
      </c>
      <c r="I308">
        <v>367.2192</v>
      </c>
      <c r="J308">
        <v>-413.33339999999998</v>
      </c>
      <c r="K308">
        <v>1.05996</v>
      </c>
      <c r="L308">
        <v>367.77980000000002</v>
      </c>
      <c r="M308">
        <v>0.99930350000000001</v>
      </c>
      <c r="N308">
        <v>0</v>
      </c>
      <c r="O308">
        <v>-3.5536869999999998E-2</v>
      </c>
      <c r="P308">
        <v>0.98313130000000004</v>
      </c>
      <c r="Q308">
        <v>0.17468520000000001</v>
      </c>
      <c r="R308">
        <v>-5.4204460000000003E-2</v>
      </c>
      <c r="S308">
        <v>3.0905149999999999</v>
      </c>
      <c r="T308">
        <v>-0.25741399999999998</v>
      </c>
      <c r="U308">
        <v>-0.1322632</v>
      </c>
      <c r="V308">
        <v>1.9175649999999999E-2</v>
      </c>
      <c r="W308">
        <v>0.18590039999999999</v>
      </c>
      <c r="X308">
        <v>0.98238150000000002</v>
      </c>
      <c r="Y308">
        <v>7.3211250000000004E-3</v>
      </c>
      <c r="Z308">
        <v>2.6483980000000002E-3</v>
      </c>
      <c r="AA308">
        <v>0.99996969999999996</v>
      </c>
      <c r="AB308">
        <v>28</v>
      </c>
      <c r="AC308">
        <v>13.049299999999899</v>
      </c>
      <c r="AD308">
        <v>-1.1099600000000001</v>
      </c>
      <c r="AE308">
        <v>-0.56060000000002197</v>
      </c>
      <c r="AF308">
        <v>9.57927326423577E-2</v>
      </c>
      <c r="AG308">
        <v>-1.1099600000000001</v>
      </c>
      <c r="AH308">
        <v>12.967333616938401</v>
      </c>
      <c r="AI308">
        <v>94.892267284866804</v>
      </c>
      <c r="AJ308">
        <v>89.576750347032501</v>
      </c>
      <c r="AK308">
        <v>13.015103863673501</v>
      </c>
      <c r="AL308">
        <v>79.286368212166295</v>
      </c>
      <c r="AM308">
        <v>88.881753871900798</v>
      </c>
      <c r="AN308">
        <v>1.0000000379076599</v>
      </c>
    </row>
    <row r="309" spans="1:40" x14ac:dyDescent="0.25">
      <c r="A309" t="str">
        <f>"20190312172903407"</f>
        <v>20190312172903407</v>
      </c>
      <c r="B309" t="str">
        <f>"1552382943397876"</f>
        <v>1552382943397876</v>
      </c>
      <c r="C309" t="s">
        <v>40</v>
      </c>
      <c r="D309">
        <v>3.2473610000000002</v>
      </c>
      <c r="E309">
        <v>0.4956508</v>
      </c>
      <c r="F309" t="s">
        <v>42</v>
      </c>
      <c r="G309">
        <v>-412.37920000000003</v>
      </c>
      <c r="H309">
        <v>0.98472680000000001</v>
      </c>
      <c r="I309">
        <v>367.74439999999998</v>
      </c>
      <c r="J309">
        <v>-413.05770000000001</v>
      </c>
      <c r="K309">
        <v>1.0599609999999999</v>
      </c>
      <c r="L309">
        <v>367.77019999999999</v>
      </c>
      <c r="M309">
        <v>0.99930969999999997</v>
      </c>
      <c r="N309">
        <v>0</v>
      </c>
      <c r="O309">
        <v>-3.5359500000000002E-2</v>
      </c>
      <c r="P309">
        <v>0.98321840000000005</v>
      </c>
      <c r="Q309">
        <v>0.1742234</v>
      </c>
      <c r="R309">
        <v>-5.4106870000000001E-2</v>
      </c>
      <c r="S309">
        <v>3.0884399999999999</v>
      </c>
      <c r="T309">
        <v>-0.24356510000000001</v>
      </c>
      <c r="U309">
        <v>-0.11477660000000001</v>
      </c>
      <c r="V309">
        <v>1.924973E-2</v>
      </c>
      <c r="W309">
        <v>0.1854422</v>
      </c>
      <c r="X309">
        <v>0.98246659999999997</v>
      </c>
      <c r="Y309">
        <v>1.8807730000000001E-3</v>
      </c>
      <c r="Z309">
        <v>2.708561E-3</v>
      </c>
      <c r="AA309">
        <v>0.99999459999999996</v>
      </c>
      <c r="AB309">
        <v>28</v>
      </c>
      <c r="AC309">
        <v>0.678499999999985</v>
      </c>
      <c r="AD309">
        <v>-7.5234200000000098E-2</v>
      </c>
      <c r="AE309">
        <v>-2.5800000000003799E-2</v>
      </c>
      <c r="AF309">
        <v>1.76916516953321E-3</v>
      </c>
      <c r="AG309">
        <v>-7.5234200000000098E-2</v>
      </c>
      <c r="AH309">
        <v>0.67075293879229603</v>
      </c>
      <c r="AI309">
        <v>96.399741980044794</v>
      </c>
      <c r="AJ309">
        <v>89.848878094223593</v>
      </c>
      <c r="AK309">
        <v>0.67496134681442199</v>
      </c>
      <c r="AL309">
        <v>79.313085195199207</v>
      </c>
      <c r="AM309">
        <v>88.877532140384403</v>
      </c>
      <c r="AN309">
        <v>0.99999999088073599</v>
      </c>
    </row>
    <row r="310" spans="1:40" x14ac:dyDescent="0.25">
      <c r="A310" t="str">
        <f>"20190312172903429"</f>
        <v>20190312172903429</v>
      </c>
      <c r="B310" t="str">
        <f>"1552382943417392"</f>
        <v>1552382943417392</v>
      </c>
      <c r="C310" t="s">
        <v>40</v>
      </c>
      <c r="D310">
        <v>3.1043660000000002</v>
      </c>
      <c r="E310">
        <v>0.49445670000000003</v>
      </c>
      <c r="F310" t="s">
        <v>42</v>
      </c>
      <c r="G310">
        <v>-412.12529999999998</v>
      </c>
      <c r="H310">
        <v>0.98905100000000001</v>
      </c>
      <c r="I310">
        <v>367.73869999999999</v>
      </c>
      <c r="J310">
        <v>-412.78140000000002</v>
      </c>
      <c r="K310">
        <v>1.0599620000000001</v>
      </c>
      <c r="L310">
        <v>367.76069999999999</v>
      </c>
      <c r="M310">
        <v>0.99931590000000003</v>
      </c>
      <c r="N310">
        <v>0</v>
      </c>
      <c r="O310">
        <v>-3.5181419999999998E-2</v>
      </c>
      <c r="P310">
        <v>0.98329100000000003</v>
      </c>
      <c r="Q310">
        <v>0.1739192</v>
      </c>
      <c r="R310">
        <v>-5.3768389999999999E-2</v>
      </c>
      <c r="S310">
        <v>3.087189</v>
      </c>
      <c r="T310">
        <v>-0.2349697</v>
      </c>
      <c r="U310">
        <v>-0.1031494</v>
      </c>
      <c r="V310">
        <v>1.9084230000000001E-2</v>
      </c>
      <c r="W310">
        <v>0.18514140000000001</v>
      </c>
      <c r="X310">
        <v>0.98252660000000003</v>
      </c>
      <c r="Y310">
        <v>-1.684854E-3</v>
      </c>
      <c r="Z310">
        <v>2.7364669999999998E-3</v>
      </c>
      <c r="AA310">
        <v>0.99999479999999996</v>
      </c>
      <c r="AB310">
        <v>28</v>
      </c>
      <c r="AC310">
        <v>0.65610000000003699</v>
      </c>
      <c r="AD310">
        <v>-7.0911000000000002E-2</v>
      </c>
      <c r="AE310">
        <v>-2.1999999999991301E-2</v>
      </c>
      <c r="AF310">
        <v>-1.08499145266197E-3</v>
      </c>
      <c r="AG310">
        <v>-7.0911000000000002E-2</v>
      </c>
      <c r="AH310">
        <v>0.64889645411556895</v>
      </c>
      <c r="AI310">
        <v>96.236491594133298</v>
      </c>
      <c r="AJ310">
        <v>90.095801684101701</v>
      </c>
      <c r="AK310">
        <v>0.65276041185967304</v>
      </c>
      <c r="AL310">
        <v>79.330623918758903</v>
      </c>
      <c r="AM310">
        <v>88.887248086087098</v>
      </c>
      <c r="AN310">
        <v>1.0000000327681</v>
      </c>
    </row>
    <row r="311" spans="1:40" x14ac:dyDescent="0.25">
      <c r="A311" t="str">
        <f>"20190312172903452"</f>
        <v>20190312172903452</v>
      </c>
      <c r="B311" t="str">
        <f>"1552382943447648"</f>
        <v>1552382943447648</v>
      </c>
      <c r="C311" t="s">
        <v>40</v>
      </c>
      <c r="D311">
        <v>3.109629</v>
      </c>
      <c r="E311">
        <v>0.49312070000000002</v>
      </c>
      <c r="F311" t="s">
        <v>41</v>
      </c>
      <c r="G311">
        <v>-398.41640000000001</v>
      </c>
      <c r="H311" s="1">
        <v>-1.133536E-6</v>
      </c>
      <c r="I311">
        <v>367.32900000000001</v>
      </c>
      <c r="J311">
        <v>-412.49849999999998</v>
      </c>
      <c r="K311">
        <v>1.059968</v>
      </c>
      <c r="L311">
        <v>367.7509</v>
      </c>
      <c r="M311">
        <v>0.99932220000000005</v>
      </c>
      <c r="N311">
        <v>0</v>
      </c>
      <c r="O311">
        <v>-3.4998809999999998E-2</v>
      </c>
      <c r="P311">
        <v>0.98321480000000006</v>
      </c>
      <c r="Q311">
        <v>0.17440739999999999</v>
      </c>
      <c r="R311">
        <v>-5.3578760000000003E-2</v>
      </c>
      <c r="S311">
        <v>3.086182</v>
      </c>
      <c r="T311">
        <v>-0.22772100000000001</v>
      </c>
      <c r="U311">
        <v>-9.27124E-2</v>
      </c>
      <c r="V311">
        <v>1.9077279999999999E-2</v>
      </c>
      <c r="W311">
        <v>0.1856315</v>
      </c>
      <c r="X311">
        <v>0.98243420000000004</v>
      </c>
      <c r="Y311">
        <v>-4.8678870000000004E-3</v>
      </c>
      <c r="Z311">
        <v>2.7571259999999999E-3</v>
      </c>
      <c r="AA311">
        <v>0.99998430000000005</v>
      </c>
      <c r="AB311">
        <v>28</v>
      </c>
      <c r="AC311">
        <v>14.082099999999899</v>
      </c>
      <c r="AD311">
        <v>-1.059969133536</v>
      </c>
      <c r="AE311">
        <v>-0.421899999999993</v>
      </c>
      <c r="AF311">
        <v>-7.0846313171145203E-2</v>
      </c>
      <c r="AG311">
        <v>-1.059969133536</v>
      </c>
      <c r="AH311">
        <v>14.008939585756901</v>
      </c>
      <c r="AI311">
        <v>94.326914620628202</v>
      </c>
      <c r="AJ311">
        <v>90.289754988887694</v>
      </c>
      <c r="AK311">
        <v>14.0491616148981</v>
      </c>
      <c r="AL311">
        <v>79.302047307511103</v>
      </c>
      <c r="AM311">
        <v>88.887548628449906</v>
      </c>
      <c r="AN311">
        <v>0.999999976867044</v>
      </c>
    </row>
    <row r="312" spans="1:40" x14ac:dyDescent="0.25">
      <c r="A312" t="str">
        <f>"20190312172903475"</f>
        <v>20190312172903475</v>
      </c>
      <c r="B312" t="str">
        <f>"1552382943468144"</f>
        <v>1552382943468144</v>
      </c>
      <c r="C312" t="s">
        <v>40</v>
      </c>
      <c r="D312">
        <v>3.2387220000000001</v>
      </c>
      <c r="E312">
        <v>0.4923071</v>
      </c>
      <c r="F312" t="s">
        <v>41</v>
      </c>
      <c r="G312">
        <v>-397.50490000000002</v>
      </c>
      <c r="H312" s="1">
        <v>-1.4544999999999901E-6</v>
      </c>
      <c r="I312">
        <v>367.35129999999998</v>
      </c>
      <c r="J312">
        <v>-412.20800000000003</v>
      </c>
      <c r="K312">
        <v>1.0599700000000001</v>
      </c>
      <c r="L312">
        <v>367.74090000000001</v>
      </c>
      <c r="M312">
        <v>0.99932889999999996</v>
      </c>
      <c r="N312">
        <v>0</v>
      </c>
      <c r="O312">
        <v>-3.4811670000000003E-2</v>
      </c>
      <c r="P312">
        <v>0.98324630000000002</v>
      </c>
      <c r="Q312">
        <v>0.1742504</v>
      </c>
      <c r="R312">
        <v>-5.3516910000000001E-2</v>
      </c>
      <c r="S312">
        <v>3.085388</v>
      </c>
      <c r="T312">
        <v>-0.21811929999999999</v>
      </c>
      <c r="U312">
        <v>-8.221436E-2</v>
      </c>
      <c r="V312">
        <v>1.919848E-2</v>
      </c>
      <c r="W312">
        <v>0.1854769</v>
      </c>
      <c r="X312">
        <v>0.98246109999999998</v>
      </c>
      <c r="Y312">
        <v>-8.0739190000000006E-3</v>
      </c>
      <c r="Z312">
        <v>2.7419699999999998E-3</v>
      </c>
      <c r="AA312">
        <v>0.99996359999999995</v>
      </c>
      <c r="AB312">
        <v>28</v>
      </c>
      <c r="AC312">
        <v>14.703099999999999</v>
      </c>
      <c r="AD312">
        <v>-1.0599714545000001</v>
      </c>
      <c r="AE312">
        <v>-0.38960000000002898</v>
      </c>
      <c r="AF312">
        <v>-0.121875912132799</v>
      </c>
      <c r="AG312">
        <v>-1.0599714545000001</v>
      </c>
      <c r="AH312">
        <v>14.6317596397278</v>
      </c>
      <c r="AI312">
        <v>94.143308059864793</v>
      </c>
      <c r="AJ312">
        <v>90.477236783006703</v>
      </c>
      <c r="AK312">
        <v>14.6706095093926</v>
      </c>
      <c r="AL312">
        <v>79.311062436466798</v>
      </c>
      <c r="AM312">
        <v>88.880513543766895</v>
      </c>
      <c r="AN312">
        <v>1.00000003754056</v>
      </c>
    </row>
    <row r="313" spans="1:40" x14ac:dyDescent="0.25">
      <c r="A313" t="str">
        <f>"20190312172903497"</f>
        <v>20190312172903497</v>
      </c>
      <c r="B313" t="str">
        <f>"1552382943487668"</f>
        <v>1552382943487668</v>
      </c>
      <c r="C313" t="s">
        <v>40</v>
      </c>
      <c r="D313">
        <v>3.153848</v>
      </c>
      <c r="E313">
        <v>0.4919906</v>
      </c>
      <c r="F313" t="s">
        <v>41</v>
      </c>
      <c r="G313">
        <v>-396.91090000000003</v>
      </c>
      <c r="H313" s="1">
        <v>-1.7068840000000001E-6</v>
      </c>
      <c r="I313">
        <v>367.36489999999998</v>
      </c>
      <c r="J313">
        <v>-411.93079999999998</v>
      </c>
      <c r="K313">
        <v>1.0599700000000001</v>
      </c>
      <c r="L313">
        <v>367.73149999999998</v>
      </c>
      <c r="M313">
        <v>0.99933510000000003</v>
      </c>
      <c r="N313">
        <v>0</v>
      </c>
      <c r="O313">
        <v>-3.4632990000000002E-2</v>
      </c>
      <c r="P313">
        <v>0.98325010000000002</v>
      </c>
      <c r="Q313">
        <v>0.1741374</v>
      </c>
      <c r="R313">
        <v>-5.3812720000000001E-2</v>
      </c>
      <c r="S313">
        <v>3.0849000000000002</v>
      </c>
      <c r="T313">
        <v>-0.213758</v>
      </c>
      <c r="U313">
        <v>-7.5805659999999997E-2</v>
      </c>
      <c r="V313">
        <v>1.967027E-2</v>
      </c>
      <c r="W313">
        <v>0.1853667</v>
      </c>
      <c r="X313">
        <v>0.98247249999999997</v>
      </c>
      <c r="Y313">
        <v>-9.9669800000000003E-3</v>
      </c>
      <c r="Z313">
        <v>2.7409359999999998E-3</v>
      </c>
      <c r="AA313">
        <v>0.99994660000000002</v>
      </c>
      <c r="AB313">
        <v>28</v>
      </c>
      <c r="AC313">
        <v>15.0198999999999</v>
      </c>
      <c r="AD313">
        <v>-1.059971706884</v>
      </c>
      <c r="AE313">
        <v>-0.36660000000000498</v>
      </c>
      <c r="AF313">
        <v>-0.153075883895193</v>
      </c>
      <c r="AG313">
        <v>-1.059971706884</v>
      </c>
      <c r="AH313">
        <v>14.949178750715999</v>
      </c>
      <c r="AI313">
        <v>94.055558327888704</v>
      </c>
      <c r="AJ313">
        <v>90.586674072070707</v>
      </c>
      <c r="AK313">
        <v>14.987492037245</v>
      </c>
      <c r="AL313">
        <v>79.317487157923495</v>
      </c>
      <c r="AM313">
        <v>88.853023468153395</v>
      </c>
      <c r="AN313">
        <v>0.99999997312350597</v>
      </c>
    </row>
    <row r="314" spans="1:40" x14ac:dyDescent="0.25">
      <c r="A314" t="str">
        <f>"20190312172903518"</f>
        <v>20190312172903518</v>
      </c>
      <c r="B314" t="str">
        <f>"1552382943508160"</f>
        <v>1552382943508160</v>
      </c>
      <c r="C314" t="s">
        <v>40</v>
      </c>
      <c r="D314">
        <v>3.1397339999999998</v>
      </c>
      <c r="E314">
        <v>0.49143799999999999</v>
      </c>
      <c r="F314" t="s">
        <v>41</v>
      </c>
      <c r="G314">
        <v>-396.54169999999999</v>
      </c>
      <c r="H314" s="1">
        <v>-1.865992E-6</v>
      </c>
      <c r="I314">
        <v>367.36070000000001</v>
      </c>
      <c r="J314">
        <v>-411.65960000000001</v>
      </c>
      <c r="K314">
        <v>1.0599719999999999</v>
      </c>
      <c r="L314">
        <v>367.72230000000002</v>
      </c>
      <c r="M314">
        <v>0.99934109999999998</v>
      </c>
      <c r="N314">
        <v>0</v>
      </c>
      <c r="O314">
        <v>-3.4458370000000002E-2</v>
      </c>
      <c r="P314">
        <v>0.98316079999999995</v>
      </c>
      <c r="Q314">
        <v>0.17455519999999999</v>
      </c>
      <c r="R314">
        <v>-5.4090289999999999E-2</v>
      </c>
      <c r="S314">
        <v>3.0846559999999998</v>
      </c>
      <c r="T314">
        <v>-0.21246419999999999</v>
      </c>
      <c r="U314">
        <v>-7.4310299999999996E-2</v>
      </c>
      <c r="V314">
        <v>2.0122480000000002E-2</v>
      </c>
      <c r="W314">
        <v>0.18578610000000001</v>
      </c>
      <c r="X314">
        <v>0.98238409999999998</v>
      </c>
      <c r="Y314">
        <v>-1.027572E-2</v>
      </c>
      <c r="Z314">
        <v>2.723236E-3</v>
      </c>
      <c r="AA314">
        <v>0.99994349999999999</v>
      </c>
      <c r="AB314">
        <v>28</v>
      </c>
      <c r="AC314">
        <v>15.117900000000001</v>
      </c>
      <c r="AD314">
        <v>-1.0599738659919999</v>
      </c>
      <c r="AE314">
        <v>-0.36160000000000903</v>
      </c>
      <c r="AF314">
        <v>-0.15880658376499501</v>
      </c>
      <c r="AG314">
        <v>-1.0599738659919999</v>
      </c>
      <c r="AH314">
        <v>15.047451572058</v>
      </c>
      <c r="AI314">
        <v>94.029154629965007</v>
      </c>
      <c r="AJ314">
        <v>90.604661139531402</v>
      </c>
      <c r="AK314">
        <v>15.085574663931901</v>
      </c>
      <c r="AL314">
        <v>79.293032324943994</v>
      </c>
      <c r="AM314">
        <v>88.826556767322202</v>
      </c>
      <c r="AN314">
        <v>0.99999995454368396</v>
      </c>
    </row>
    <row r="315" spans="1:40" x14ac:dyDescent="0.25">
      <c r="A315" t="str">
        <f>"20190312172903540"</f>
        <v>20190312172903540</v>
      </c>
      <c r="B315" t="str">
        <f>"1552382943537441"</f>
        <v>1552382943537441</v>
      </c>
      <c r="C315" t="s">
        <v>40</v>
      </c>
      <c r="D315">
        <v>3.1547719999999999</v>
      </c>
      <c r="E315">
        <v>0.49082690000000001</v>
      </c>
      <c r="F315" t="s">
        <v>41</v>
      </c>
      <c r="G315">
        <v>-395.93819999999999</v>
      </c>
      <c r="H315" s="1">
        <v>-2.124793E-6</v>
      </c>
      <c r="I315">
        <v>367.36130000000003</v>
      </c>
      <c r="J315">
        <v>-411.38909999999998</v>
      </c>
      <c r="K315">
        <v>1.0599780000000001</v>
      </c>
      <c r="L315">
        <v>367.7131</v>
      </c>
      <c r="M315">
        <v>0.99934699999999999</v>
      </c>
      <c r="N315">
        <v>0</v>
      </c>
      <c r="O315">
        <v>-3.4283859999999999E-2</v>
      </c>
      <c r="P315">
        <v>0.98311099999999996</v>
      </c>
      <c r="Q315">
        <v>0.17479120000000001</v>
      </c>
      <c r="R315">
        <v>-5.4232000000000002E-2</v>
      </c>
      <c r="S315">
        <v>3.084381</v>
      </c>
      <c r="T315">
        <v>-0.20795540000000001</v>
      </c>
      <c r="U315">
        <v>-7.0800779999999994E-2</v>
      </c>
      <c r="V315">
        <v>2.0437509999999999E-2</v>
      </c>
      <c r="W315">
        <v>0.18602369999999999</v>
      </c>
      <c r="X315">
        <v>0.98233269999999995</v>
      </c>
      <c r="Y315">
        <v>-1.1238730000000001E-2</v>
      </c>
      <c r="Z315">
        <v>2.6865389999999999E-3</v>
      </c>
      <c r="AA315">
        <v>0.99993319999999997</v>
      </c>
      <c r="AB315">
        <v>28</v>
      </c>
      <c r="AC315">
        <v>15.450899999999899</v>
      </c>
      <c r="AD315">
        <v>-1.0599801247930001</v>
      </c>
      <c r="AE315">
        <v>-0.35179999999996803</v>
      </c>
      <c r="AF315">
        <v>-0.17732369351338101</v>
      </c>
      <c r="AG315">
        <v>-1.0599801247930001</v>
      </c>
      <c r="AH315">
        <v>15.3815236972214</v>
      </c>
      <c r="AI315">
        <v>93.941905058937706</v>
      </c>
      <c r="AJ315">
        <v>90.660496930481401</v>
      </c>
      <c r="AK315">
        <v>15.4190230820704</v>
      </c>
      <c r="AL315">
        <v>79.279178045432801</v>
      </c>
      <c r="AM315">
        <v>88.808128695338894</v>
      </c>
      <c r="AN315">
        <v>1.00000002113298</v>
      </c>
    </row>
    <row r="316" spans="1:40" x14ac:dyDescent="0.25">
      <c r="A316" t="str">
        <f>"20190312172903562"</f>
        <v>20190312172903562</v>
      </c>
      <c r="B316" t="str">
        <f>"1552382943557937"</f>
        <v>1552382943557937</v>
      </c>
      <c r="C316" t="s">
        <v>40</v>
      </c>
      <c r="D316">
        <v>3.193079</v>
      </c>
      <c r="E316">
        <v>0.49043369999999997</v>
      </c>
      <c r="F316" t="s">
        <v>41</v>
      </c>
      <c r="G316">
        <v>-395.40050000000002</v>
      </c>
      <c r="H316" s="1">
        <v>-2.3545679999999998E-6</v>
      </c>
      <c r="I316">
        <v>367.36660000000001</v>
      </c>
      <c r="J316">
        <v>-411.1078</v>
      </c>
      <c r="K316">
        <v>1.0599769999999999</v>
      </c>
      <c r="L316">
        <v>367.70370000000003</v>
      </c>
      <c r="M316">
        <v>0.9993533</v>
      </c>
      <c r="N316">
        <v>0</v>
      </c>
      <c r="O316">
        <v>-3.410233E-2</v>
      </c>
      <c r="P316">
        <v>0.98307500000000003</v>
      </c>
      <c r="Q316">
        <v>0.17494749999999901</v>
      </c>
      <c r="R316">
        <v>-5.4380049999999999E-2</v>
      </c>
      <c r="S316">
        <v>3.0842290000000001</v>
      </c>
      <c r="T316">
        <v>-0.2044705</v>
      </c>
      <c r="U316">
        <v>-6.6833500000000004E-2</v>
      </c>
      <c r="V316">
        <v>2.0765909999999999E-2</v>
      </c>
      <c r="W316">
        <v>0.1861825</v>
      </c>
      <c r="X316">
        <v>0.98229569999999999</v>
      </c>
      <c r="Y316">
        <v>-1.234292E-2</v>
      </c>
      <c r="Z316">
        <v>2.6663429999999998E-3</v>
      </c>
      <c r="AA316">
        <v>0.99992020000000004</v>
      </c>
      <c r="AB316">
        <v>28</v>
      </c>
      <c r="AC316">
        <v>15.707299999999901</v>
      </c>
      <c r="AD316">
        <v>-1.0599793545680001</v>
      </c>
      <c r="AE316">
        <v>-0.33710000000001999</v>
      </c>
      <c r="AF316">
        <v>-0.19788569947787499</v>
      </c>
      <c r="AG316">
        <v>-1.0599793545680001</v>
      </c>
      <c r="AH316">
        <v>15.638474631706099</v>
      </c>
      <c r="AI316">
        <v>93.877280636810198</v>
      </c>
      <c r="AJ316">
        <v>90.724969064518902</v>
      </c>
      <c r="AK316">
        <v>15.6756053723193</v>
      </c>
      <c r="AL316">
        <v>79.269917408108995</v>
      </c>
      <c r="AM316">
        <v>88.788937175461797</v>
      </c>
      <c r="AN316">
        <v>0.99999999428143405</v>
      </c>
    </row>
    <row r="317" spans="1:40" x14ac:dyDescent="0.25">
      <c r="A317" t="str">
        <f>"20190312172903576"</f>
        <v>20190312172903576</v>
      </c>
      <c r="B317" t="str">
        <f>"1552382943567697"</f>
        <v>1552382943567697</v>
      </c>
      <c r="C317" t="s">
        <v>40</v>
      </c>
      <c r="D317">
        <v>3.137127</v>
      </c>
      <c r="E317">
        <v>0.49027080000000001</v>
      </c>
      <c r="F317" t="s">
        <v>41</v>
      </c>
      <c r="G317">
        <v>-394.94799999999998</v>
      </c>
      <c r="H317" s="1">
        <v>-2.5487529999999998E-6</v>
      </c>
      <c r="I317">
        <v>367.36610000000002</v>
      </c>
      <c r="J317">
        <v>-410.94830000000002</v>
      </c>
      <c r="K317">
        <v>1.0599799999999999</v>
      </c>
      <c r="L317">
        <v>367.69839999999999</v>
      </c>
      <c r="M317">
        <v>0.99935669999999999</v>
      </c>
      <c r="N317">
        <v>0</v>
      </c>
      <c r="O317">
        <v>-3.3999460000000002E-2</v>
      </c>
      <c r="P317">
        <v>0.98305229999999999</v>
      </c>
      <c r="Q317">
        <v>0.1751201</v>
      </c>
      <c r="R317">
        <v>-5.4234030000000003E-2</v>
      </c>
      <c r="S317">
        <v>3.084076</v>
      </c>
      <c r="T317">
        <v>-0.20229449999999999</v>
      </c>
      <c r="U317">
        <v>-6.4422610000000005E-2</v>
      </c>
      <c r="V317">
        <v>2.0721659999999999E-2</v>
      </c>
      <c r="W317">
        <v>0.18635579999999999</v>
      </c>
      <c r="X317">
        <v>0.98226369999999996</v>
      </c>
      <c r="Y317">
        <v>-1.302114E-2</v>
      </c>
      <c r="Z317">
        <v>2.6536680000000001E-3</v>
      </c>
      <c r="AA317">
        <v>0.99991169999999996</v>
      </c>
      <c r="AB317">
        <v>28</v>
      </c>
      <c r="AC317">
        <v>16.0002999999999</v>
      </c>
      <c r="AD317">
        <v>-1.0599825487529999</v>
      </c>
      <c r="AE317">
        <v>-0.332299999999975</v>
      </c>
      <c r="AF317">
        <v>-0.21100348487892201</v>
      </c>
      <c r="AG317">
        <v>-1.0599825487529999</v>
      </c>
      <c r="AH317">
        <v>15.9324535344983</v>
      </c>
      <c r="AI317">
        <v>93.805933380577201</v>
      </c>
      <c r="AJ317">
        <v>90.758759621086696</v>
      </c>
      <c r="AK317">
        <v>15.969068886545699</v>
      </c>
      <c r="AL317">
        <v>79.259810412534904</v>
      </c>
      <c r="AM317">
        <v>88.791477700534102</v>
      </c>
      <c r="AN317">
        <v>0.99999992386223902</v>
      </c>
    </row>
    <row r="318" spans="1:40" x14ac:dyDescent="0.25">
      <c r="A318" t="str">
        <f>"20190312172903589"</f>
        <v>20190312172903589</v>
      </c>
      <c r="B318" t="str">
        <f>"1552382943577457"</f>
        <v>1552382943577457</v>
      </c>
      <c r="C318" t="s">
        <v>40</v>
      </c>
      <c r="D318">
        <v>3.2719279999999999</v>
      </c>
      <c r="E318">
        <v>0.49012260000000002</v>
      </c>
      <c r="F318" t="s">
        <v>41</v>
      </c>
      <c r="G318">
        <v>-394.68549999999999</v>
      </c>
      <c r="H318" s="1">
        <v>-2.6612200000000002E-6</v>
      </c>
      <c r="I318">
        <v>367.36680000000001</v>
      </c>
      <c r="J318">
        <v>-410.78710000000001</v>
      </c>
      <c r="K318">
        <v>1.059979</v>
      </c>
      <c r="L318">
        <v>367.69299999999998</v>
      </c>
      <c r="M318">
        <v>0.99936029999999998</v>
      </c>
      <c r="N318">
        <v>0</v>
      </c>
      <c r="O318">
        <v>-3.3895870000000002E-2</v>
      </c>
      <c r="P318">
        <v>0.98299780000000003</v>
      </c>
      <c r="Q318">
        <v>0.1754182</v>
      </c>
      <c r="R318">
        <v>-5.4260280000000001E-2</v>
      </c>
      <c r="S318">
        <v>3.084076</v>
      </c>
      <c r="T318">
        <v>-0.20101479999999999</v>
      </c>
      <c r="U318">
        <v>-6.2866210000000006E-2</v>
      </c>
      <c r="V318">
        <v>2.0851700000000001E-2</v>
      </c>
      <c r="W318">
        <v>0.18665419999999999</v>
      </c>
      <c r="X318">
        <v>0.98220439999999998</v>
      </c>
      <c r="Y318">
        <v>-1.342253E-2</v>
      </c>
      <c r="Z318">
        <v>2.643261E-3</v>
      </c>
      <c r="AA318">
        <v>0.99990639999999997</v>
      </c>
      <c r="AB318">
        <v>28</v>
      </c>
      <c r="AC318">
        <v>16.101600000000001</v>
      </c>
      <c r="AD318">
        <v>-1.0599816612199999</v>
      </c>
      <c r="AE318">
        <v>-0.32620000000002802</v>
      </c>
      <c r="AF318">
        <v>-0.21885265253719</v>
      </c>
      <c r="AG318">
        <v>-1.0599816612199999</v>
      </c>
      <c r="AH318">
        <v>16.033946111933599</v>
      </c>
      <c r="AI318">
        <v>93.781888778818697</v>
      </c>
      <c r="AJ318">
        <v>90.782000551499493</v>
      </c>
      <c r="AK318">
        <v>16.070435138042601</v>
      </c>
      <c r="AL318">
        <v>79.242409202432896</v>
      </c>
      <c r="AM318">
        <v>88.783822418506006</v>
      </c>
      <c r="AN318">
        <v>1.0000000335749399</v>
      </c>
    </row>
    <row r="319" spans="1:40" x14ac:dyDescent="0.25">
      <c r="A319" t="str">
        <f>"20190312172903607"</f>
        <v>20190312172903607</v>
      </c>
      <c r="B319" t="str">
        <f>"1552382943597955"</f>
        <v>1552382943597955</v>
      </c>
      <c r="C319" t="s">
        <v>40</v>
      </c>
      <c r="D319">
        <v>3.1397659999999998</v>
      </c>
      <c r="E319">
        <v>0.48985010000000001</v>
      </c>
      <c r="F319" t="s">
        <v>41</v>
      </c>
      <c r="G319">
        <v>-394.40260000000001</v>
      </c>
      <c r="H319" s="1">
        <v>-2.7831749999999998E-6</v>
      </c>
      <c r="I319">
        <v>367.36349999999999</v>
      </c>
      <c r="J319">
        <v>-410.54730000000001</v>
      </c>
      <c r="K319">
        <v>1.059974</v>
      </c>
      <c r="L319">
        <v>367.685</v>
      </c>
      <c r="M319">
        <v>0.99936530000000001</v>
      </c>
      <c r="N319">
        <v>0</v>
      </c>
      <c r="O319">
        <v>-3.3741510000000002E-2</v>
      </c>
      <c r="P319">
        <v>0.98294280000000001</v>
      </c>
      <c r="Q319">
        <v>0.17584069999999999</v>
      </c>
      <c r="R319">
        <v>-5.3885599999999999E-2</v>
      </c>
      <c r="S319">
        <v>3.0840450000000001</v>
      </c>
      <c r="T319">
        <v>-0.199519</v>
      </c>
      <c r="U319">
        <v>-6.2011719999999999E-2</v>
      </c>
      <c r="V319">
        <v>2.0630740000000002E-2</v>
      </c>
      <c r="W319">
        <v>0.18707770000000001</v>
      </c>
      <c r="X319">
        <v>0.98212840000000001</v>
      </c>
      <c r="Y319">
        <v>-1.354636E-2</v>
      </c>
      <c r="Z319">
        <v>2.6177000000000001E-3</v>
      </c>
      <c r="AA319">
        <v>0.99990480000000004</v>
      </c>
      <c r="AB319">
        <v>28</v>
      </c>
      <c r="AC319">
        <v>16.1447</v>
      </c>
      <c r="AD319">
        <v>-1.059976783175</v>
      </c>
      <c r="AE319">
        <v>-0.321500000000014</v>
      </c>
      <c r="AF319">
        <v>-0.22250644986622301</v>
      </c>
      <c r="AG319">
        <v>-1.059976783175</v>
      </c>
      <c r="AH319">
        <v>16.077080900253399</v>
      </c>
      <c r="AI319">
        <v>93.771744143645506</v>
      </c>
      <c r="AJ319">
        <v>90.792921717717803</v>
      </c>
      <c r="AK319">
        <v>16.1135219667953</v>
      </c>
      <c r="AL319">
        <v>79.217708382294802</v>
      </c>
      <c r="AM319">
        <v>88.796613037141498</v>
      </c>
      <c r="AN319">
        <v>0.99999994367839695</v>
      </c>
    </row>
    <row r="320" spans="1:40" x14ac:dyDescent="0.25">
      <c r="A320" t="str">
        <f>"20190312172903630"</f>
        <v>20190312172903630</v>
      </c>
      <c r="B320" t="str">
        <f>"1552382943627443"</f>
        <v>1552382943627443</v>
      </c>
      <c r="C320" t="s">
        <v>40</v>
      </c>
      <c r="D320">
        <v>3.3080660000000002</v>
      </c>
      <c r="E320">
        <v>0.48944919999999997</v>
      </c>
      <c r="F320" t="s">
        <v>41</v>
      </c>
      <c r="G320">
        <v>-393.91180000000003</v>
      </c>
      <c r="H320" s="1">
        <v>-2.9933129999999999E-6</v>
      </c>
      <c r="I320">
        <v>367.36590000000001</v>
      </c>
      <c r="J320">
        <v>-410.26609999999999</v>
      </c>
      <c r="K320">
        <v>1.059976</v>
      </c>
      <c r="L320">
        <v>367.67570000000001</v>
      </c>
      <c r="M320">
        <v>0.99937140000000002</v>
      </c>
      <c r="N320">
        <v>0</v>
      </c>
      <c r="O320">
        <v>-3.3559859999999997E-2</v>
      </c>
      <c r="P320">
        <v>0.9831008</v>
      </c>
      <c r="Q320">
        <v>0.17514109999999999</v>
      </c>
      <c r="R320">
        <v>-5.3277869999999998E-2</v>
      </c>
      <c r="S320">
        <v>3.0839840000000001</v>
      </c>
      <c r="T320">
        <v>-0.19650380000000001</v>
      </c>
      <c r="U320">
        <v>-5.9143069999999999E-2</v>
      </c>
      <c r="V320">
        <v>2.019723E-2</v>
      </c>
      <c r="W320">
        <v>0.18638160000000001</v>
      </c>
      <c r="X320">
        <v>0.98226979999999997</v>
      </c>
      <c r="Y320">
        <v>-1.4295739999999999E-2</v>
      </c>
      <c r="Z320">
        <v>2.5905960000000001E-3</v>
      </c>
      <c r="AA320">
        <v>0.99989439999999996</v>
      </c>
      <c r="AB320">
        <v>28</v>
      </c>
      <c r="AC320">
        <v>16.354299999999899</v>
      </c>
      <c r="AD320">
        <v>-1.0599789933129999</v>
      </c>
      <c r="AE320">
        <v>-0.30979999999999502</v>
      </c>
      <c r="AF320">
        <v>-0.23825786429225701</v>
      </c>
      <c r="AG320">
        <v>-1.0599789933129999</v>
      </c>
      <c r="AH320">
        <v>16.287090050741401</v>
      </c>
      <c r="AI320">
        <v>93.723214241964001</v>
      </c>
      <c r="AJ320">
        <v>90.838099155395298</v>
      </c>
      <c r="AK320">
        <v>16.323284736753202</v>
      </c>
      <c r="AL320">
        <v>79.258306587969599</v>
      </c>
      <c r="AM320">
        <v>88.822061929666702</v>
      </c>
      <c r="AN320">
        <v>0.99999999445513599</v>
      </c>
    </row>
    <row r="321" spans="1:40" x14ac:dyDescent="0.25">
      <c r="A321" t="str">
        <f>"20190312172903652"</f>
        <v>20190312172903652</v>
      </c>
      <c r="B321" t="str">
        <f>"1552382943647939"</f>
        <v>1552382943647939</v>
      </c>
      <c r="C321" t="s">
        <v>40</v>
      </c>
      <c r="D321">
        <v>3.287671</v>
      </c>
      <c r="E321">
        <v>0.4892378</v>
      </c>
      <c r="F321" t="s">
        <v>41</v>
      </c>
      <c r="G321">
        <v>-393.65339999999998</v>
      </c>
      <c r="H321" s="1">
        <v>-3.1008090000000001E-6</v>
      </c>
      <c r="I321">
        <v>367.38479999999998</v>
      </c>
      <c r="J321">
        <v>-409.98570000000001</v>
      </c>
      <c r="K321">
        <v>1.059979</v>
      </c>
      <c r="L321">
        <v>367.66649999999998</v>
      </c>
      <c r="M321">
        <v>0.99937750000000003</v>
      </c>
      <c r="N321">
        <v>0</v>
      </c>
      <c r="O321">
        <v>-3.3379150000000003E-2</v>
      </c>
      <c r="P321">
        <v>0.9831415</v>
      </c>
      <c r="Q321">
        <v>0.17499970000000001</v>
      </c>
      <c r="R321">
        <v>-5.2989189999999999E-2</v>
      </c>
      <c r="S321">
        <v>3.083771</v>
      </c>
      <c r="T321">
        <v>-0.19675970000000001</v>
      </c>
      <c r="U321">
        <v>-5.3985600000000002E-2</v>
      </c>
      <c r="V321">
        <v>2.0085470000000001E-2</v>
      </c>
      <c r="W321">
        <v>0.18624289999999999</v>
      </c>
      <c r="X321">
        <v>0.98229840000000002</v>
      </c>
      <c r="Y321">
        <v>-1.5782379999999999E-2</v>
      </c>
      <c r="Z321">
        <v>2.6300609999999999E-3</v>
      </c>
      <c r="AA321">
        <v>0.99987199999999998</v>
      </c>
      <c r="AB321">
        <v>28</v>
      </c>
      <c r="AC321">
        <v>16.3323</v>
      </c>
      <c r="AD321">
        <v>-1.059982100809</v>
      </c>
      <c r="AE321">
        <v>-0.28170000000000001</v>
      </c>
      <c r="AF321">
        <v>-0.26254529874030003</v>
      </c>
      <c r="AG321">
        <v>-1.059982100809</v>
      </c>
      <c r="AH321">
        <v>16.264115049115201</v>
      </c>
      <c r="AI321">
        <v>93.728383218177498</v>
      </c>
      <c r="AJ321">
        <v>90.924823212071502</v>
      </c>
      <c r="AK321">
        <v>16.300734045397501</v>
      </c>
      <c r="AL321">
        <v>79.266395147339097</v>
      </c>
      <c r="AM321">
        <v>88.828612245568394</v>
      </c>
      <c r="AN321">
        <v>0.99999999527404504</v>
      </c>
    </row>
    <row r="322" spans="1:40" x14ac:dyDescent="0.25">
      <c r="A322" t="str">
        <f>"20190312172903677"</f>
        <v>20190312172903677</v>
      </c>
      <c r="B322" t="str">
        <f>"1552382943667459"</f>
        <v>1552382943667459</v>
      </c>
      <c r="C322" t="s">
        <v>40</v>
      </c>
      <c r="D322">
        <v>3.1262240000000001</v>
      </c>
      <c r="E322">
        <v>0.48903669999999999</v>
      </c>
      <c r="F322" t="s">
        <v>41</v>
      </c>
      <c r="G322">
        <v>-393.34120000000001</v>
      </c>
      <c r="H322" s="1">
        <v>-3.2342380000000001E-6</v>
      </c>
      <c r="I322">
        <v>367.38760000000002</v>
      </c>
      <c r="J322">
        <v>-409.6875</v>
      </c>
      <c r="K322">
        <v>1.059984</v>
      </c>
      <c r="L322">
        <v>367.6567</v>
      </c>
      <c r="M322">
        <v>0.99938389999999999</v>
      </c>
      <c r="N322">
        <v>0</v>
      </c>
      <c r="O322">
        <v>-3.3187120000000001E-2</v>
      </c>
      <c r="P322">
        <v>0.98307849999999997</v>
      </c>
      <c r="Q322">
        <v>0.1755475</v>
      </c>
      <c r="R322">
        <v>-5.2344870000000002E-2</v>
      </c>
      <c r="S322">
        <v>3.0835880000000002</v>
      </c>
      <c r="T322">
        <v>-0.19637379999999999</v>
      </c>
      <c r="U322">
        <v>-5.1666259999999999E-2</v>
      </c>
      <c r="V322">
        <v>1.963239E-2</v>
      </c>
      <c r="W322">
        <v>0.1867915</v>
      </c>
      <c r="X322">
        <v>0.98220339999999995</v>
      </c>
      <c r="Y322">
        <v>-1.6340690000000001E-2</v>
      </c>
      <c r="Z322">
        <v>2.630641E-3</v>
      </c>
      <c r="AA322">
        <v>0.99986299999999995</v>
      </c>
      <c r="AB322">
        <v>28</v>
      </c>
      <c r="AC322">
        <v>16.3462999999999</v>
      </c>
      <c r="AD322">
        <v>-1.0599872342379999</v>
      </c>
      <c r="AE322">
        <v>-0.26909999999998002</v>
      </c>
      <c r="AF322">
        <v>-0.27242502716905398</v>
      </c>
      <c r="AG322">
        <v>-1.0599872342379999</v>
      </c>
      <c r="AH322">
        <v>16.277796783823799</v>
      </c>
      <c r="AI322">
        <v>93.725240047243503</v>
      </c>
      <c r="AJ322">
        <v>90.958812020775994</v>
      </c>
      <c r="AK322">
        <v>16.314547387765298</v>
      </c>
      <c r="AL322">
        <v>79.2344013720531</v>
      </c>
      <c r="AM322">
        <v>88.854918113182904</v>
      </c>
      <c r="AN322">
        <v>1.00000000709046</v>
      </c>
    </row>
    <row r="323" spans="1:40" x14ac:dyDescent="0.25">
      <c r="A323" t="str">
        <f>"20190312172903697"</f>
        <v>20190312172903697</v>
      </c>
      <c r="B323" t="str">
        <f>"1552382943687972"</f>
        <v>1552382943687972</v>
      </c>
      <c r="C323" t="s">
        <v>40</v>
      </c>
      <c r="D323">
        <v>3.235744</v>
      </c>
      <c r="E323">
        <v>0.48884699999999998</v>
      </c>
      <c r="F323" t="s">
        <v>41</v>
      </c>
      <c r="G323">
        <v>-392.80680000000001</v>
      </c>
      <c r="H323" s="1">
        <v>-3.462511E-6</v>
      </c>
      <c r="I323">
        <v>367.39319999999998</v>
      </c>
      <c r="J323">
        <v>-409.4196</v>
      </c>
      <c r="K323">
        <v>1.05999</v>
      </c>
      <c r="L323">
        <v>367.6481</v>
      </c>
      <c r="M323">
        <v>0.99938950000000004</v>
      </c>
      <c r="N323">
        <v>0</v>
      </c>
      <c r="O323">
        <v>-3.3014519999999999E-2</v>
      </c>
      <c r="P323">
        <v>0.98302929999999999</v>
      </c>
      <c r="Q323">
        <v>0.1759732</v>
      </c>
      <c r="R323">
        <v>-5.1837710000000002E-2</v>
      </c>
      <c r="S323">
        <v>3.0836489999999999</v>
      </c>
      <c r="T323">
        <v>-0.19362950000000001</v>
      </c>
      <c r="U323">
        <v>-4.8126219999999997E-2</v>
      </c>
      <c r="V323">
        <v>1.9296879999999999E-2</v>
      </c>
      <c r="W323">
        <v>0.1872182</v>
      </c>
      <c r="X323">
        <v>0.98212880000000002</v>
      </c>
      <c r="Y323">
        <v>-1.7317079999999999E-2</v>
      </c>
      <c r="Z323">
        <v>2.6137349999999998E-3</v>
      </c>
      <c r="AA323">
        <v>0.99984660000000003</v>
      </c>
      <c r="AB323">
        <v>28</v>
      </c>
      <c r="AC323">
        <v>16.612799999999901</v>
      </c>
      <c r="AD323">
        <v>-1.0599934625109999</v>
      </c>
      <c r="AE323">
        <v>-0.25490000000002</v>
      </c>
      <c r="AF323">
        <v>-0.292547691085913</v>
      </c>
      <c r="AG323">
        <v>-1.0599934625109999</v>
      </c>
      <c r="AH323">
        <v>16.544817529500399</v>
      </c>
      <c r="AI323">
        <v>93.665244722280804</v>
      </c>
      <c r="AJ323">
        <v>91.013006121446097</v>
      </c>
      <c r="AK323">
        <v>16.5813195306221</v>
      </c>
      <c r="AL323">
        <v>79.209514171767793</v>
      </c>
      <c r="AM323">
        <v>88.874396575438894</v>
      </c>
      <c r="AN323">
        <v>1.0000000018891999</v>
      </c>
    </row>
    <row r="324" spans="1:40" x14ac:dyDescent="0.25">
      <c r="A324" t="str">
        <f>"20190312172903720"</f>
        <v>20190312172903720</v>
      </c>
      <c r="B324" t="str">
        <f>"1552382943707478"</f>
        <v>1552382943707478</v>
      </c>
      <c r="C324" t="s">
        <v>40</v>
      </c>
      <c r="D324">
        <v>3.1266569999999998</v>
      </c>
      <c r="E324">
        <v>0.48869760000000001</v>
      </c>
      <c r="F324" t="s">
        <v>41</v>
      </c>
      <c r="G324">
        <v>-392.34739999999999</v>
      </c>
      <c r="H324" s="1">
        <v>-3.6588489999999999E-6</v>
      </c>
      <c r="I324">
        <v>367.39749999999998</v>
      </c>
      <c r="J324">
        <v>-409.14699999999999</v>
      </c>
      <c r="K324">
        <v>1.059995</v>
      </c>
      <c r="L324">
        <v>367.63929999999999</v>
      </c>
      <c r="M324">
        <v>0.99939540000000004</v>
      </c>
      <c r="N324">
        <v>0</v>
      </c>
      <c r="O324">
        <v>-3.2838590000000001E-2</v>
      </c>
      <c r="P324">
        <v>0.9829949</v>
      </c>
      <c r="Q324">
        <v>0.1764404</v>
      </c>
      <c r="R324">
        <v>-5.0892979999999997E-2</v>
      </c>
      <c r="S324">
        <v>3.0836790000000001</v>
      </c>
      <c r="T324">
        <v>-0.19146060000000001</v>
      </c>
      <c r="U324">
        <v>-4.5257569999999997E-2</v>
      </c>
      <c r="V324">
        <v>1.852701E-2</v>
      </c>
      <c r="W324">
        <v>0.18768660000000001</v>
      </c>
      <c r="X324">
        <v>0.98205419999999999</v>
      </c>
      <c r="Y324">
        <v>-1.807222E-2</v>
      </c>
      <c r="Z324">
        <v>2.597027E-3</v>
      </c>
      <c r="AA324">
        <v>0.99983330000000004</v>
      </c>
      <c r="AB324">
        <v>28</v>
      </c>
      <c r="AC324">
        <v>16.799599999999899</v>
      </c>
      <c r="AD324">
        <v>-1.059998658849</v>
      </c>
      <c r="AE324">
        <v>-0.24180000000001201</v>
      </c>
      <c r="AF324">
        <v>-0.308812407957052</v>
      </c>
      <c r="AG324">
        <v>-1.059998658849</v>
      </c>
      <c r="AH324">
        <v>16.731880172497</v>
      </c>
      <c r="AI324">
        <v>93.624344235757903</v>
      </c>
      <c r="AJ324">
        <v>91.057361084977998</v>
      </c>
      <c r="AK324">
        <v>16.768266945837599</v>
      </c>
      <c r="AL324">
        <v>79.182192285639601</v>
      </c>
      <c r="AM324">
        <v>88.919210801322606</v>
      </c>
      <c r="AN324">
        <v>0.99999998082836905</v>
      </c>
    </row>
    <row r="325" spans="1:40" x14ac:dyDescent="0.25">
      <c r="A325" t="str">
        <f>"20190312172903741"</f>
        <v>20190312172903741</v>
      </c>
      <c r="B325" t="str">
        <f>"1552382943737731"</f>
        <v>1552382943737731</v>
      </c>
      <c r="C325" t="s">
        <v>40</v>
      </c>
      <c r="D325">
        <v>3.23875</v>
      </c>
      <c r="E325">
        <v>0.48850640000000001</v>
      </c>
      <c r="F325" t="s">
        <v>41</v>
      </c>
      <c r="G325">
        <v>-391.89490000000001</v>
      </c>
      <c r="H325" s="1">
        <v>-3.8516700000000003E-6</v>
      </c>
      <c r="I325">
        <v>367.40480000000002</v>
      </c>
      <c r="J325">
        <v>-408.87079999999997</v>
      </c>
      <c r="K325">
        <v>1.0599940000000001</v>
      </c>
      <c r="L325">
        <v>367.63040000000001</v>
      </c>
      <c r="M325">
        <v>0.99940099999999998</v>
      </c>
      <c r="N325">
        <v>0</v>
      </c>
      <c r="O325">
        <v>-3.2660509999999997E-2</v>
      </c>
      <c r="P325">
        <v>0.98298030000000003</v>
      </c>
      <c r="Q325">
        <v>0.1767531</v>
      </c>
      <c r="R325">
        <v>-5.0080149999999997E-2</v>
      </c>
      <c r="S325">
        <v>3.0837400000000001</v>
      </c>
      <c r="T325">
        <v>-0.18946930000000001</v>
      </c>
      <c r="U325">
        <v>-4.1900630000000001E-2</v>
      </c>
      <c r="V325">
        <v>1.7890509999999998E-2</v>
      </c>
      <c r="W325">
        <v>0.18800130000000001</v>
      </c>
      <c r="X325">
        <v>0.98200580000000004</v>
      </c>
      <c r="Y325">
        <v>-1.8983179999999999E-2</v>
      </c>
      <c r="Z325">
        <v>2.587078E-3</v>
      </c>
      <c r="AA325">
        <v>0.9998165</v>
      </c>
      <c r="AB325">
        <v>28</v>
      </c>
      <c r="AC325">
        <v>16.9758999999999</v>
      </c>
      <c r="AD325">
        <v>-1.0599978516699999</v>
      </c>
      <c r="AE325">
        <v>-0.22559999999998501</v>
      </c>
      <c r="AF325">
        <v>-0.327720693828146</v>
      </c>
      <c r="AG325">
        <v>-1.0599978516699999</v>
      </c>
      <c r="AH325">
        <v>16.9082984527099</v>
      </c>
      <c r="AI325">
        <v>93.586562327915601</v>
      </c>
      <c r="AJ325">
        <v>91.110381501136303</v>
      </c>
      <c r="AK325">
        <v>16.944661485689899</v>
      </c>
      <c r="AL325">
        <v>79.163834452777706</v>
      </c>
      <c r="AM325">
        <v>88.9562817943591</v>
      </c>
      <c r="AN325">
        <v>0.99999997519169403</v>
      </c>
    </row>
    <row r="326" spans="1:40" x14ac:dyDescent="0.25">
      <c r="A326" t="str">
        <f>"20190312172903764"</f>
        <v>20190312172903764</v>
      </c>
      <c r="B326" t="str">
        <f>"1552382943758227"</f>
        <v>1552382943758227</v>
      </c>
      <c r="C326" t="s">
        <v>40</v>
      </c>
      <c r="D326">
        <v>3.0790229999999998</v>
      </c>
      <c r="E326">
        <v>0.4884134</v>
      </c>
      <c r="F326" t="s">
        <v>41</v>
      </c>
      <c r="G326">
        <v>-391.47699999999998</v>
      </c>
      <c r="H326" s="1">
        <v>-4.0290970000000002E-6</v>
      </c>
      <c r="I326">
        <v>367.41520000000003</v>
      </c>
      <c r="J326">
        <v>-408.58749999999998</v>
      </c>
      <c r="K326">
        <v>1.0599989999999999</v>
      </c>
      <c r="L326">
        <v>367.62130000000002</v>
      </c>
      <c r="M326">
        <v>0.99940709999999999</v>
      </c>
      <c r="N326">
        <v>0</v>
      </c>
      <c r="O326">
        <v>-3.2478739999999999E-2</v>
      </c>
      <c r="P326">
        <v>0.98295759999999999</v>
      </c>
      <c r="Q326">
        <v>0.1770658</v>
      </c>
      <c r="R326">
        <v>-4.9421359999999998E-2</v>
      </c>
      <c r="S326">
        <v>3.0838619999999999</v>
      </c>
      <c r="T326">
        <v>-0.1879323</v>
      </c>
      <c r="U326">
        <v>-3.8146970000000002E-2</v>
      </c>
      <c r="V326">
        <v>1.741127E-2</v>
      </c>
      <c r="W326">
        <v>0.18831890000000001</v>
      </c>
      <c r="X326">
        <v>0.98195359999999998</v>
      </c>
      <c r="Y326">
        <v>-2.0018629999999999E-2</v>
      </c>
      <c r="Z326">
        <v>2.586517E-3</v>
      </c>
      <c r="AA326">
        <v>0.99979629999999997</v>
      </c>
      <c r="AB326">
        <v>28</v>
      </c>
      <c r="AC326">
        <v>17.110499999999998</v>
      </c>
      <c r="AD326">
        <v>-1.0600030290969999</v>
      </c>
      <c r="AE326">
        <v>-0.20609999999999201</v>
      </c>
      <c r="AF326">
        <v>-0.34843546327666303</v>
      </c>
      <c r="AG326">
        <v>-1.0600030290969999</v>
      </c>
      <c r="AH326">
        <v>17.0427678599156</v>
      </c>
      <c r="AI326">
        <v>93.558279202594903</v>
      </c>
      <c r="AJ326">
        <v>91.171235845114197</v>
      </c>
      <c r="AK326">
        <v>17.0792549609383</v>
      </c>
      <c r="AL326">
        <v>79.145306824579393</v>
      </c>
      <c r="AM326">
        <v>88.984180352444696</v>
      </c>
      <c r="AN326">
        <v>1.0000000164865901</v>
      </c>
    </row>
    <row r="327" spans="1:40" x14ac:dyDescent="0.25">
      <c r="A327" t="str">
        <f>"20190312172903775"</f>
        <v>20190312172903775</v>
      </c>
      <c r="B327" t="str">
        <f>"1552382943767987"</f>
        <v>1552382943767987</v>
      </c>
      <c r="C327" t="s">
        <v>40</v>
      </c>
      <c r="D327">
        <v>3.4303189999999999</v>
      </c>
      <c r="E327">
        <v>0.48837930000000002</v>
      </c>
      <c r="F327" t="s">
        <v>41</v>
      </c>
      <c r="G327">
        <v>-391.08240000000001</v>
      </c>
      <c r="H327" s="1">
        <v>-4.1975299999999996E-6</v>
      </c>
      <c r="I327">
        <v>367.41980000000001</v>
      </c>
      <c r="J327">
        <v>-408.44069999999999</v>
      </c>
      <c r="K327">
        <v>1.0600039999999999</v>
      </c>
      <c r="L327">
        <v>367.61669999999998</v>
      </c>
      <c r="M327">
        <v>0.99941000000000002</v>
      </c>
      <c r="N327">
        <v>0</v>
      </c>
      <c r="O327">
        <v>-3.2383639999999998E-2</v>
      </c>
      <c r="P327">
        <v>0.98292950000000001</v>
      </c>
      <c r="Q327">
        <v>0.1773769</v>
      </c>
      <c r="R327">
        <v>-4.8859930000000003E-2</v>
      </c>
      <c r="S327">
        <v>3.0838619999999999</v>
      </c>
      <c r="T327">
        <v>-0.1867393</v>
      </c>
      <c r="U327">
        <v>-3.549194E-2</v>
      </c>
      <c r="V327">
        <v>1.694466E-2</v>
      </c>
      <c r="W327">
        <v>0.188634</v>
      </c>
      <c r="X327">
        <v>0.98190129999999998</v>
      </c>
      <c r="Y327">
        <v>-2.078414E-2</v>
      </c>
      <c r="Z327">
        <v>2.5875529999999998E-3</v>
      </c>
      <c r="AA327">
        <v>0.99978069999999997</v>
      </c>
      <c r="AB327">
        <v>28</v>
      </c>
      <c r="AC327">
        <v>17.3582999999999</v>
      </c>
      <c r="AD327">
        <v>-1.06000819753</v>
      </c>
      <c r="AE327">
        <v>-0.19689999999997099</v>
      </c>
      <c r="AF327">
        <v>-0.364007785675935</v>
      </c>
      <c r="AG327">
        <v>-1.06000819753</v>
      </c>
      <c r="AH327">
        <v>17.291099401367699</v>
      </c>
      <c r="AI327">
        <v>93.507277370401795</v>
      </c>
      <c r="AJ327">
        <v>91.205997906149605</v>
      </c>
      <c r="AK327">
        <v>17.327384036687199</v>
      </c>
      <c r="AL327">
        <v>79.126923658498001</v>
      </c>
      <c r="AM327">
        <v>89.011345493152305</v>
      </c>
      <c r="AN327">
        <v>1.0000000352000999</v>
      </c>
    </row>
    <row r="328" spans="1:40" x14ac:dyDescent="0.25">
      <c r="A328" t="str">
        <f>"20190312172903798"</f>
        <v>20190312172903798</v>
      </c>
      <c r="B328" t="str">
        <f>"1552382943788483"</f>
        <v>1552382943788483</v>
      </c>
      <c r="C328" t="s">
        <v>40</v>
      </c>
      <c r="D328">
        <v>3.2355040000000002</v>
      </c>
      <c r="E328">
        <v>0.48830420000000002</v>
      </c>
      <c r="F328" t="s">
        <v>41</v>
      </c>
      <c r="G328">
        <v>-390.82929999999999</v>
      </c>
      <c r="H328" s="1">
        <v>-4.3054509999999998E-6</v>
      </c>
      <c r="I328">
        <v>367.42349999999999</v>
      </c>
      <c r="J328">
        <v>-408.16059999999999</v>
      </c>
      <c r="K328">
        <v>1.0600039999999999</v>
      </c>
      <c r="L328">
        <v>367.6078</v>
      </c>
      <c r="M328">
        <v>0.99941579999999997</v>
      </c>
      <c r="N328">
        <v>0</v>
      </c>
      <c r="O328">
        <v>-3.2203219999999998E-2</v>
      </c>
      <c r="P328">
        <v>0.98295489999999996</v>
      </c>
      <c r="Q328">
        <v>0.17736250000000001</v>
      </c>
      <c r="R328">
        <v>-4.8400220000000001E-2</v>
      </c>
      <c r="S328">
        <v>3.0839539999999999</v>
      </c>
      <c r="T328">
        <v>-0.18561910000000001</v>
      </c>
      <c r="U328">
        <v>-3.381348E-2</v>
      </c>
      <c r="V328">
        <v>1.6661949999999998E-2</v>
      </c>
      <c r="W328">
        <v>0.1886302</v>
      </c>
      <c r="X328">
        <v>0.98190679999999997</v>
      </c>
      <c r="Y328">
        <v>-2.1148900000000002E-2</v>
      </c>
      <c r="Z328">
        <v>2.5721170000000001E-3</v>
      </c>
      <c r="AA328">
        <v>0.99977300000000002</v>
      </c>
      <c r="AB328">
        <v>28</v>
      </c>
      <c r="AC328">
        <v>17.331299999999999</v>
      </c>
      <c r="AD328">
        <v>-1.0600083054510001</v>
      </c>
      <c r="AE328">
        <v>-0.18430000000000701</v>
      </c>
      <c r="AF328">
        <v>-0.37256233469014299</v>
      </c>
      <c r="AG328">
        <v>-1.0600083054510001</v>
      </c>
      <c r="AH328">
        <v>17.263673818411501</v>
      </c>
      <c r="AI328">
        <v>93.512796058611201</v>
      </c>
      <c r="AJ328">
        <v>91.236291689223705</v>
      </c>
      <c r="AK328">
        <v>17.300198091622001</v>
      </c>
      <c r="AL328">
        <v>79.127144627456403</v>
      </c>
      <c r="AM328">
        <v>89.027842765574903</v>
      </c>
      <c r="AN328">
        <v>0.99999996840803995</v>
      </c>
    </row>
    <row r="329" spans="1:40" x14ac:dyDescent="0.25">
      <c r="A329" t="str">
        <f>"20190312172903810"</f>
        <v>20190312172903810</v>
      </c>
      <c r="B329" t="str">
        <f>"1552382943808003"</f>
        <v>1552382943808003</v>
      </c>
      <c r="C329" t="s">
        <v>40</v>
      </c>
      <c r="D329">
        <v>3.134741</v>
      </c>
      <c r="E329">
        <v>0.48822959999999899</v>
      </c>
      <c r="F329" t="s">
        <v>41</v>
      </c>
      <c r="G329">
        <v>-390.54700000000003</v>
      </c>
      <c r="H329" s="1">
        <v>-4.4262369999999996E-6</v>
      </c>
      <c r="I329">
        <v>367.42540000000002</v>
      </c>
      <c r="J329">
        <v>-408.00799999999998</v>
      </c>
      <c r="K329">
        <v>1.060009</v>
      </c>
      <c r="L329">
        <v>367.60300000000001</v>
      </c>
      <c r="M329">
        <v>0.99941869999999999</v>
      </c>
      <c r="N329">
        <v>0</v>
      </c>
      <c r="O329">
        <v>-3.210491E-2</v>
      </c>
      <c r="P329">
        <v>0.98300549999999998</v>
      </c>
      <c r="Q329">
        <v>0.17711930000000001</v>
      </c>
      <c r="R329">
        <v>-4.8263349999999997E-2</v>
      </c>
      <c r="S329">
        <v>3.0839840000000001</v>
      </c>
      <c r="T329">
        <v>-0.18559680000000001</v>
      </c>
      <c r="U329">
        <v>-3.1921390000000001E-2</v>
      </c>
      <c r="V329">
        <v>1.6620050000000001E-2</v>
      </c>
      <c r="W329">
        <v>0.1883938</v>
      </c>
      <c r="X329">
        <v>0.98195290000000002</v>
      </c>
      <c r="Y329">
        <v>-2.1663249999999998E-2</v>
      </c>
      <c r="Z329">
        <v>2.581351E-3</v>
      </c>
      <c r="AA329">
        <v>0.99976200000000004</v>
      </c>
      <c r="AB329">
        <v>28</v>
      </c>
      <c r="AC329">
        <v>17.460999999999999</v>
      </c>
      <c r="AD329">
        <v>-1.060013426237</v>
      </c>
      <c r="AE329">
        <v>-0.17759999999998399</v>
      </c>
      <c r="AF329">
        <v>-0.38170567772266301</v>
      </c>
      <c r="AG329">
        <v>-1.060013426237</v>
      </c>
      <c r="AH329">
        <v>17.393604216138598</v>
      </c>
      <c r="AI329">
        <v>93.486609640371796</v>
      </c>
      <c r="AJ329">
        <v>91.257164086067107</v>
      </c>
      <c r="AK329">
        <v>17.430054369274998</v>
      </c>
      <c r="AL329">
        <v>79.140936688704201</v>
      </c>
      <c r="AM329">
        <v>89.030332509980298</v>
      </c>
      <c r="AN329">
        <v>0.99999997387942496</v>
      </c>
    </row>
    <row r="330" spans="1:40" x14ac:dyDescent="0.25">
      <c r="A330" t="str">
        <f>"20190312172903831"</f>
        <v>20190312172903831</v>
      </c>
      <c r="B330" t="str">
        <f>"1552382943827523"</f>
        <v>1552382943827523</v>
      </c>
      <c r="C330" t="s">
        <v>40</v>
      </c>
      <c r="D330">
        <v>3.1604100000000002</v>
      </c>
      <c r="E330">
        <v>0.48815999999999998</v>
      </c>
      <c r="F330" t="s">
        <v>41</v>
      </c>
      <c r="G330">
        <v>-390.4572</v>
      </c>
      <c r="H330" s="1">
        <v>-4.4646499999999997E-6</v>
      </c>
      <c r="I330">
        <v>367.42610000000002</v>
      </c>
      <c r="J330">
        <v>-407.74380000000002</v>
      </c>
      <c r="K330">
        <v>1.0600130000000001</v>
      </c>
      <c r="L330">
        <v>367.59469999999999</v>
      </c>
      <c r="M330">
        <v>0.99942410000000004</v>
      </c>
      <c r="N330">
        <v>0</v>
      </c>
      <c r="O330">
        <v>-3.1935100000000001E-2</v>
      </c>
      <c r="P330">
        <v>0.98301910000000003</v>
      </c>
      <c r="Q330">
        <v>0.17721870000000001</v>
      </c>
      <c r="R330">
        <v>-4.7618090000000002E-2</v>
      </c>
      <c r="S330">
        <v>3.0838619999999999</v>
      </c>
      <c r="T330">
        <v>-0.18625439999999999</v>
      </c>
      <c r="U330">
        <v>-3.106689E-2</v>
      </c>
      <c r="V330">
        <v>1.61418999999999E-2</v>
      </c>
      <c r="W330">
        <v>0.18850430000000001</v>
      </c>
      <c r="X330">
        <v>0.98193969999999997</v>
      </c>
      <c r="Y330">
        <v>-2.1769380000000001E-2</v>
      </c>
      <c r="Z330">
        <v>2.5835480000000002E-3</v>
      </c>
      <c r="AA330">
        <v>0.99975970000000003</v>
      </c>
      <c r="AB330">
        <v>28</v>
      </c>
      <c r="AC330">
        <v>17.2866</v>
      </c>
      <c r="AD330">
        <v>-1.06001746464999</v>
      </c>
      <c r="AE330">
        <v>-0.168599999999969</v>
      </c>
      <c r="AF330">
        <v>-0.38213488618088098</v>
      </c>
      <c r="AG330">
        <v>-1.06001746464999</v>
      </c>
      <c r="AH330">
        <v>17.218428358451799</v>
      </c>
      <c r="AI330">
        <v>93.521986819231699</v>
      </c>
      <c r="AJ330">
        <v>91.271377507542496</v>
      </c>
      <c r="AK330">
        <v>17.2552583067231</v>
      </c>
      <c r="AL330">
        <v>79.134490322305595</v>
      </c>
      <c r="AM330">
        <v>89.058211571338603</v>
      </c>
      <c r="AN330">
        <v>1.00000000324509</v>
      </c>
    </row>
    <row r="331" spans="1:40" x14ac:dyDescent="0.25">
      <c r="A331" t="str">
        <f>"20190312172903844"</f>
        <v>20190312172903844</v>
      </c>
      <c r="B331" t="str">
        <f>"1552382943838259"</f>
        <v>1552382943838259</v>
      </c>
      <c r="C331" t="s">
        <v>40</v>
      </c>
      <c r="D331">
        <v>3.1643110000000001</v>
      </c>
      <c r="E331">
        <v>0.48813709999999999</v>
      </c>
      <c r="F331" t="s">
        <v>41</v>
      </c>
      <c r="G331">
        <v>-390.14929999999998</v>
      </c>
      <c r="H331" s="1">
        <v>-4.5957370000000003E-6</v>
      </c>
      <c r="I331">
        <v>367.4316</v>
      </c>
      <c r="J331">
        <v>-407.58530000000002</v>
      </c>
      <c r="K331">
        <v>1.0600130000000001</v>
      </c>
      <c r="L331">
        <v>367.58969999999999</v>
      </c>
      <c r="M331">
        <v>0.99942730000000002</v>
      </c>
      <c r="N331">
        <v>0</v>
      </c>
      <c r="O331">
        <v>-3.1832859999999998E-2</v>
      </c>
      <c r="P331">
        <v>0.98305180000000003</v>
      </c>
      <c r="Q331">
        <v>0.17708960000000001</v>
      </c>
      <c r="R331">
        <v>-4.7417220000000003E-2</v>
      </c>
      <c r="S331">
        <v>3.0839539999999999</v>
      </c>
      <c r="T331">
        <v>-0.18579850000000001</v>
      </c>
      <c r="U331">
        <v>-2.8564450000000002E-2</v>
      </c>
      <c r="V331">
        <v>1.6040760000000001E-2</v>
      </c>
      <c r="W331">
        <v>0.18838260000000001</v>
      </c>
      <c r="X331">
        <v>0.98196470000000002</v>
      </c>
      <c r="Y331">
        <v>-2.247795E-2</v>
      </c>
      <c r="Z331">
        <v>2.5923489999999999E-3</v>
      </c>
      <c r="AA331">
        <v>0.99974399999999997</v>
      </c>
      <c r="AB331">
        <v>28</v>
      </c>
      <c r="AC331">
        <v>17.436</v>
      </c>
      <c r="AD331">
        <v>-1.0600175957369999</v>
      </c>
      <c r="AE331">
        <v>-0.15809999999999</v>
      </c>
      <c r="AF331">
        <v>-0.39559245479670702</v>
      </c>
      <c r="AG331">
        <v>-1.0600175957369999</v>
      </c>
      <c r="AH331">
        <v>17.3680085325737</v>
      </c>
      <c r="AI331">
        <v>93.491684183484296</v>
      </c>
      <c r="AJ331">
        <v>91.304804728296702</v>
      </c>
      <c r="AK331">
        <v>17.404822638599899</v>
      </c>
      <c r="AL331">
        <v>79.141590289250203</v>
      </c>
      <c r="AM331">
        <v>89.064135287254302</v>
      </c>
      <c r="AN331">
        <v>0.99999999100511305</v>
      </c>
    </row>
    <row r="332" spans="1:40" x14ac:dyDescent="0.25">
      <c r="A332" t="str">
        <f>"20190312172903866"</f>
        <v>20190312172903866</v>
      </c>
      <c r="B332" t="str">
        <f>"1552382943857779"</f>
        <v>1552382943857779</v>
      </c>
      <c r="C332" t="s">
        <v>40</v>
      </c>
      <c r="D332">
        <v>3.2480709999999999</v>
      </c>
      <c r="E332">
        <v>0.4881182</v>
      </c>
      <c r="F332" t="s">
        <v>41</v>
      </c>
      <c r="G332">
        <v>-390.03320000000002</v>
      </c>
      <c r="H332" s="1">
        <v>-4.6456589999999998E-6</v>
      </c>
      <c r="I332">
        <v>367.43110000000001</v>
      </c>
      <c r="J332">
        <v>-407.31049999999999</v>
      </c>
      <c r="K332">
        <v>1.060014</v>
      </c>
      <c r="L332">
        <v>367.58109999999999</v>
      </c>
      <c r="M332">
        <v>0.99943269999999995</v>
      </c>
      <c r="N332">
        <v>0</v>
      </c>
      <c r="O332">
        <v>-3.1655900000000001E-2</v>
      </c>
      <c r="P332">
        <v>0.98314579999999996</v>
      </c>
      <c r="Q332">
        <v>0.17668010000000001</v>
      </c>
      <c r="R332">
        <v>-4.699565E-2</v>
      </c>
      <c r="S332">
        <v>3.083923</v>
      </c>
      <c r="T332">
        <v>-0.18624540000000001</v>
      </c>
      <c r="U332">
        <v>-2.786255E-2</v>
      </c>
      <c r="V332">
        <v>1.5790749999999999E-2</v>
      </c>
      <c r="W332">
        <v>0.18798500000000001</v>
      </c>
      <c r="X332">
        <v>0.9820449</v>
      </c>
      <c r="Y332">
        <v>-2.252813E-2</v>
      </c>
      <c r="Z332">
        <v>2.5894450000000001E-3</v>
      </c>
      <c r="AA332">
        <v>0.99974289999999999</v>
      </c>
      <c r="AB332">
        <v>28</v>
      </c>
      <c r="AC332">
        <v>17.277299999999901</v>
      </c>
      <c r="AD332">
        <v>-1.0600186456589999</v>
      </c>
      <c r="AE332">
        <v>-0.14999999999997701</v>
      </c>
      <c r="AF332">
        <v>-0.39555098810949502</v>
      </c>
      <c r="AG332">
        <v>-1.0600186456589999</v>
      </c>
      <c r="AH332">
        <v>17.2086164522537</v>
      </c>
      <c r="AI332">
        <v>93.523930944617206</v>
      </c>
      <c r="AJ332">
        <v>91.316748049178202</v>
      </c>
      <c r="AK332">
        <v>17.245769925234299</v>
      </c>
      <c r="AL332">
        <v>79.164785016581604</v>
      </c>
      <c r="AM332">
        <v>89.078794290411807</v>
      </c>
      <c r="AN332">
        <v>0.99999994681328397</v>
      </c>
    </row>
    <row r="333" spans="1:40" x14ac:dyDescent="0.25">
      <c r="A333" t="str">
        <f>"20190312172903889"</f>
        <v>20190312172903889</v>
      </c>
      <c r="B333" t="str">
        <f>"1552382943878275"</f>
        <v>1552382943878275</v>
      </c>
      <c r="C333" t="s">
        <v>40</v>
      </c>
      <c r="D333">
        <v>3.1290040000000001</v>
      </c>
      <c r="E333">
        <v>0.48813380000000001</v>
      </c>
      <c r="F333" t="s">
        <v>41</v>
      </c>
      <c r="G333">
        <v>-389.87869999999998</v>
      </c>
      <c r="H333" s="1">
        <v>-6.0892090000000001E-7</v>
      </c>
      <c r="I333">
        <v>367.43049999999999</v>
      </c>
      <c r="J333">
        <v>-407.02390000000003</v>
      </c>
      <c r="K333">
        <v>1.060014</v>
      </c>
      <c r="L333">
        <v>367.57229999999998</v>
      </c>
      <c r="M333">
        <v>0.99943850000000001</v>
      </c>
      <c r="N333">
        <v>0</v>
      </c>
      <c r="O333">
        <v>-3.1471190000000003E-2</v>
      </c>
      <c r="P333">
        <v>0.98317770000000004</v>
      </c>
      <c r="Q333">
        <v>0.17651500000000001</v>
      </c>
      <c r="R333">
        <v>-4.6948690000000001E-2</v>
      </c>
      <c r="S333">
        <v>3.0838320000000001</v>
      </c>
      <c r="T333">
        <v>-0.1875241</v>
      </c>
      <c r="U333">
        <v>-2.6641850000000002E-2</v>
      </c>
      <c r="V333">
        <v>1.5924879999999999E-2</v>
      </c>
      <c r="W333">
        <v>0.1878309</v>
      </c>
      <c r="X333">
        <v>0.98207230000000001</v>
      </c>
      <c r="Y333">
        <v>-2.273739E-2</v>
      </c>
      <c r="Z333">
        <v>2.6024139999999999E-3</v>
      </c>
      <c r="AA333">
        <v>0.99973809999999996</v>
      </c>
      <c r="AB333">
        <v>28</v>
      </c>
      <c r="AC333">
        <v>17.145199999999999</v>
      </c>
      <c r="AD333">
        <v>-1.0600146089208999</v>
      </c>
      <c r="AE333">
        <v>-0.14179999999998899</v>
      </c>
      <c r="AF333">
        <v>-0.39637078570220902</v>
      </c>
      <c r="AG333">
        <v>-1.0600146089208999</v>
      </c>
      <c r="AH333">
        <v>17.075902239204598</v>
      </c>
      <c r="AI333">
        <v>93.551217153591907</v>
      </c>
      <c r="AJ333">
        <v>91.329727430004198</v>
      </c>
      <c r="AK333">
        <v>17.1133625583564</v>
      </c>
      <c r="AL333">
        <v>79.173775291697297</v>
      </c>
      <c r="AM333">
        <v>89.0709966537638</v>
      </c>
      <c r="AN333">
        <v>1.0000000256125501</v>
      </c>
    </row>
    <row r="334" spans="1:40" x14ac:dyDescent="0.25">
      <c r="A334" t="str">
        <f>"20190312172903909"</f>
        <v>20190312172903909</v>
      </c>
      <c r="B334" t="str">
        <f>"1552382943897798"</f>
        <v>1552382943897798</v>
      </c>
      <c r="C334" t="s">
        <v>40</v>
      </c>
      <c r="D334">
        <v>3.1456010000000001</v>
      </c>
      <c r="E334">
        <v>0.48817440000000001</v>
      </c>
      <c r="F334" t="s">
        <v>41</v>
      </c>
      <c r="G334">
        <v>-389.64690000000002</v>
      </c>
      <c r="H334" s="1">
        <v>-6.8968769999999905E-7</v>
      </c>
      <c r="I334">
        <v>367.42329999999998</v>
      </c>
      <c r="J334">
        <v>-406.76679999999999</v>
      </c>
      <c r="K334">
        <v>1.0600179999999999</v>
      </c>
      <c r="L334">
        <v>367.56439999999998</v>
      </c>
      <c r="M334">
        <v>0.99944359999999999</v>
      </c>
      <c r="N334">
        <v>0</v>
      </c>
      <c r="O334">
        <v>-3.1305550000000001E-2</v>
      </c>
      <c r="P334">
        <v>0.9831183</v>
      </c>
      <c r="Q334">
        <v>0.17685670000000001</v>
      </c>
      <c r="R334">
        <v>-4.6909409999999999E-2</v>
      </c>
      <c r="S334">
        <v>3.0838320000000001</v>
      </c>
      <c r="T334">
        <v>-0.18811659999999999</v>
      </c>
      <c r="U334">
        <v>-2.6428219999999999E-2</v>
      </c>
      <c r="V334">
        <v>1.6050399999999999E-2</v>
      </c>
      <c r="W334">
        <v>0.18818119999999999</v>
      </c>
      <c r="X334">
        <v>0.98200319999999997</v>
      </c>
      <c r="Y334">
        <v>-2.2640810000000001E-2</v>
      </c>
      <c r="Z334">
        <v>2.5975880000000001E-3</v>
      </c>
      <c r="AA334">
        <v>0.99974030000000003</v>
      </c>
      <c r="AB334">
        <v>28</v>
      </c>
      <c r="AC334">
        <v>17.119899999999902</v>
      </c>
      <c r="AD334">
        <v>-1.0600186896877</v>
      </c>
      <c r="AE334">
        <v>-0.14109999999999401</v>
      </c>
      <c r="AF334">
        <v>-0.393444283291283</v>
      </c>
      <c r="AG334">
        <v>-1.0600186896877</v>
      </c>
      <c r="AH334">
        <v>17.050561991964901</v>
      </c>
      <c r="AI334">
        <v>93.556506283557596</v>
      </c>
      <c r="AJ334">
        <v>91.321874149783895</v>
      </c>
      <c r="AK334">
        <v>17.0880104830369</v>
      </c>
      <c r="AL334">
        <v>79.153340250096207</v>
      </c>
      <c r="AM334">
        <v>89.063609668288095</v>
      </c>
      <c r="AN334">
        <v>1.00000003209191</v>
      </c>
    </row>
    <row r="335" spans="1:40" x14ac:dyDescent="0.25">
      <c r="A335" t="str">
        <f>"20190312172903931"</f>
        <v>20190312172903931</v>
      </c>
      <c r="B335" t="str">
        <f>"1552382943928051"</f>
        <v>1552382943928051</v>
      </c>
      <c r="C335" t="s">
        <v>40</v>
      </c>
      <c r="D335">
        <v>3.25501</v>
      </c>
      <c r="E335">
        <v>0.48817179999999999</v>
      </c>
      <c r="F335" t="s">
        <v>41</v>
      </c>
      <c r="G335">
        <v>-389.3057</v>
      </c>
      <c r="H335" s="1">
        <v>-8.0833949999999998E-7</v>
      </c>
      <c r="I335">
        <v>367.41379999999998</v>
      </c>
      <c r="J335">
        <v>-406.48399999999998</v>
      </c>
      <c r="K335">
        <v>1.060022</v>
      </c>
      <c r="L335">
        <v>367.5557</v>
      </c>
      <c r="M335">
        <v>0.99944909999999998</v>
      </c>
      <c r="N335">
        <v>0</v>
      </c>
      <c r="O335">
        <v>-3.112345E-2</v>
      </c>
      <c r="P335">
        <v>0.98300730000000003</v>
      </c>
      <c r="Q335">
        <v>0.17748449999999999</v>
      </c>
      <c r="R335">
        <v>-4.6862769999999998E-2</v>
      </c>
      <c r="S335">
        <v>3.0838930000000002</v>
      </c>
      <c r="T335">
        <v>-0.1872151</v>
      </c>
      <c r="U335">
        <v>-2.658081E-2</v>
      </c>
      <c r="V335">
        <v>1.6186309999999999E-2</v>
      </c>
      <c r="W335">
        <v>0.1888167</v>
      </c>
      <c r="X335">
        <v>0.9818789</v>
      </c>
      <c r="Y335">
        <v>-2.241108E-2</v>
      </c>
      <c r="Z335">
        <v>2.5671050000000001E-3</v>
      </c>
      <c r="AA335">
        <v>0.99974549999999995</v>
      </c>
      <c r="AB335">
        <v>28</v>
      </c>
      <c r="AC335">
        <v>17.1783</v>
      </c>
      <c r="AD335">
        <v>-1.0600228083395</v>
      </c>
      <c r="AE335">
        <v>-0.14190000000002001</v>
      </c>
      <c r="AF335">
        <v>-0.39136211248470298</v>
      </c>
      <c r="AG335">
        <v>-1.0600228083395</v>
      </c>
      <c r="AH335">
        <v>17.109249998964401</v>
      </c>
      <c r="AI335">
        <v>93.544367978735394</v>
      </c>
      <c r="AJ335">
        <v>91.3103723216296</v>
      </c>
      <c r="AK335">
        <v>17.1465229181998</v>
      </c>
      <c r="AL335">
        <v>79.116263323485995</v>
      </c>
      <c r="AM335">
        <v>89.055562500677496</v>
      </c>
      <c r="AN335">
        <v>0.99999995854775703</v>
      </c>
    </row>
    <row r="336" spans="1:40" x14ac:dyDescent="0.25">
      <c r="A336" t="str">
        <f>"20190312172903953"</f>
        <v>20190312172903953</v>
      </c>
      <c r="B336" t="str">
        <f>"1552382943947572"</f>
        <v>1552382943947572</v>
      </c>
      <c r="C336" t="s">
        <v>40</v>
      </c>
      <c r="D336">
        <v>3.1818529999999998</v>
      </c>
      <c r="E336">
        <v>0.4881935</v>
      </c>
      <c r="F336" t="s">
        <v>41</v>
      </c>
      <c r="G336">
        <v>-388.79419999999999</v>
      </c>
      <c r="H336" s="1">
        <v>-9.8417980000000003E-7</v>
      </c>
      <c r="I336">
        <v>367.40719999999999</v>
      </c>
      <c r="J336">
        <v>-406.20670000000001</v>
      </c>
      <c r="K336">
        <v>1.0600240000000001</v>
      </c>
      <c r="L336">
        <v>367.54730000000001</v>
      </c>
      <c r="M336">
        <v>0.99945470000000003</v>
      </c>
      <c r="N336">
        <v>0</v>
      </c>
      <c r="O336">
        <v>-3.0944920000000001E-2</v>
      </c>
      <c r="P336">
        <v>0.98298669999999999</v>
      </c>
      <c r="Q336">
        <v>0.17762839999999999</v>
      </c>
      <c r="R336">
        <v>-4.6748280000000003E-2</v>
      </c>
      <c r="S336">
        <v>3.0839840000000001</v>
      </c>
      <c r="T336">
        <v>-0.18480009999999999</v>
      </c>
      <c r="U336">
        <v>-2.5878910000000001E-2</v>
      </c>
      <c r="V336">
        <v>1.6248430000000001E-2</v>
      </c>
      <c r="W336">
        <v>0.18896840000000001</v>
      </c>
      <c r="X336">
        <v>0.98184870000000002</v>
      </c>
      <c r="Y336">
        <v>-2.246304E-2</v>
      </c>
      <c r="Z336">
        <v>2.5248509999999998E-3</v>
      </c>
      <c r="AA336">
        <v>0.99974450000000004</v>
      </c>
      <c r="AB336">
        <v>28</v>
      </c>
      <c r="AC336">
        <v>17.412500000000001</v>
      </c>
      <c r="AD336">
        <v>-1.0600249841798</v>
      </c>
      <c r="AE336">
        <v>-0.14010000000001799</v>
      </c>
      <c r="AF336">
        <v>-0.39735875071016902</v>
      </c>
      <c r="AG336">
        <v>-1.0600249841798</v>
      </c>
      <c r="AH336">
        <v>17.3442213721092</v>
      </c>
      <c r="AI336">
        <v>93.496474781034294</v>
      </c>
      <c r="AJ336">
        <v>91.312425439030605</v>
      </c>
      <c r="AK336">
        <v>17.381126601822501</v>
      </c>
      <c r="AL336">
        <v>79.107412325321206</v>
      </c>
      <c r="AM336">
        <v>89.051909432828595</v>
      </c>
      <c r="AN336">
        <v>0.99999996868385699</v>
      </c>
    </row>
    <row r="337" spans="1:40" x14ac:dyDescent="0.25">
      <c r="A337" t="str">
        <f>"20190312172903966"</f>
        <v>20190312172903966</v>
      </c>
      <c r="B337" t="str">
        <f>"1552382943958307"</f>
        <v>1552382943958307</v>
      </c>
      <c r="C337" t="s">
        <v>40</v>
      </c>
      <c r="D337">
        <v>3.1840980000000001</v>
      </c>
      <c r="E337">
        <v>0.48819620000000002</v>
      </c>
      <c r="F337" t="s">
        <v>41</v>
      </c>
      <c r="G337">
        <v>-388.45569999999998</v>
      </c>
      <c r="H337" s="1">
        <v>-1.1010140000000001E-6</v>
      </c>
      <c r="I337">
        <v>367.40100000000001</v>
      </c>
      <c r="J337">
        <v>-406.05549999999999</v>
      </c>
      <c r="K337">
        <v>1.060025</v>
      </c>
      <c r="L337">
        <v>367.54270000000002</v>
      </c>
      <c r="M337">
        <v>0.9994577</v>
      </c>
      <c r="N337">
        <v>0</v>
      </c>
      <c r="O337">
        <v>-3.084744E-2</v>
      </c>
      <c r="P337">
        <v>0.9829947</v>
      </c>
      <c r="Q337">
        <v>0.17758669999999999</v>
      </c>
      <c r="R337">
        <v>-4.6743460000000001E-2</v>
      </c>
      <c r="S337">
        <v>3.083923</v>
      </c>
      <c r="T337">
        <v>-0.18415999999999999</v>
      </c>
      <c r="U337">
        <v>-2.5390630000000001E-2</v>
      </c>
      <c r="V337">
        <v>1.6339030000000001E-2</v>
      </c>
      <c r="W337">
        <v>0.1889304</v>
      </c>
      <c r="X337">
        <v>0.98185460000000002</v>
      </c>
      <c r="Y337">
        <v>-2.252436E-2</v>
      </c>
      <c r="Z337">
        <v>2.5121890000000002E-3</v>
      </c>
      <c r="AA337">
        <v>0.99974320000000005</v>
      </c>
      <c r="AB337">
        <v>28</v>
      </c>
      <c r="AC337">
        <v>17.599799999999998</v>
      </c>
      <c r="AD337">
        <v>-1.060026101014</v>
      </c>
      <c r="AE337">
        <v>-0.14170000000001401</v>
      </c>
      <c r="AF337">
        <v>-0.39986181578317898</v>
      </c>
      <c r="AG337">
        <v>-1.060026101014</v>
      </c>
      <c r="AH337">
        <v>17.5321991658634</v>
      </c>
      <c r="AI337">
        <v>93.459089329630302</v>
      </c>
      <c r="AJ337">
        <v>91.3065345086451</v>
      </c>
      <c r="AK337">
        <v>17.568766388055</v>
      </c>
      <c r="AL337">
        <v>79.1096304851729</v>
      </c>
      <c r="AM337">
        <v>89.046629653361705</v>
      </c>
      <c r="AN337">
        <v>1.0000000577433199</v>
      </c>
    </row>
    <row r="338" spans="1:40" x14ac:dyDescent="0.25">
      <c r="A338" t="str">
        <f>"20190312172903978"</f>
        <v>20190312172903978</v>
      </c>
      <c r="B338" t="str">
        <f>"1552382943968067"</f>
        <v>1552382943968067</v>
      </c>
      <c r="C338" t="s">
        <v>40</v>
      </c>
      <c r="D338">
        <v>3.169743</v>
      </c>
      <c r="E338">
        <v>0.48822149999999997</v>
      </c>
      <c r="F338" t="s">
        <v>41</v>
      </c>
      <c r="G338">
        <v>-388.29169999999999</v>
      </c>
      <c r="H338" s="1">
        <v>-1.1576280000000001E-6</v>
      </c>
      <c r="I338">
        <v>367.39789999999999</v>
      </c>
      <c r="J338">
        <v>-405.88799999999998</v>
      </c>
      <c r="K338">
        <v>1.0600259999999999</v>
      </c>
      <c r="L338">
        <v>367.5376</v>
      </c>
      <c r="M338">
        <v>0.99946080000000004</v>
      </c>
      <c r="N338">
        <v>0</v>
      </c>
      <c r="O338">
        <v>-3.0739579999999999E-2</v>
      </c>
      <c r="P338">
        <v>0.98296490000000003</v>
      </c>
      <c r="Q338">
        <v>0.1777792</v>
      </c>
      <c r="R338">
        <v>-4.6632519999999997E-2</v>
      </c>
      <c r="S338">
        <v>3.0839840000000001</v>
      </c>
      <c r="T338">
        <v>-0.184032</v>
      </c>
      <c r="U338">
        <v>-2.5115970000000001E-2</v>
      </c>
      <c r="V338">
        <v>1.6335200000000001E-2</v>
      </c>
      <c r="W338">
        <v>0.18912709999999999</v>
      </c>
      <c r="X338">
        <v>0.98181669999999999</v>
      </c>
      <c r="Y338">
        <v>-2.250603E-2</v>
      </c>
      <c r="Z338">
        <v>2.5034229999999998E-3</v>
      </c>
      <c r="AA338">
        <v>0.99974359999999995</v>
      </c>
      <c r="AB338">
        <v>28</v>
      </c>
      <c r="AC338">
        <v>17.596299999999999</v>
      </c>
      <c r="AD338">
        <v>-1.06002715762799</v>
      </c>
      <c r="AE338">
        <v>-0.13970000000000399</v>
      </c>
      <c r="AF338">
        <v>-0.39985393025603999</v>
      </c>
      <c r="AG338">
        <v>-1.06002715762799</v>
      </c>
      <c r="AH338">
        <v>17.528669805655301</v>
      </c>
      <c r="AI338">
        <v>93.459787232566697</v>
      </c>
      <c r="AJ338">
        <v>91.306771723428795</v>
      </c>
      <c r="AK338">
        <v>17.565244259507001</v>
      </c>
      <c r="AL338">
        <v>79.098152476351103</v>
      </c>
      <c r="AM338">
        <v>89.046816303300105</v>
      </c>
      <c r="AN338">
        <v>0.99999996555616899</v>
      </c>
    </row>
    <row r="339" spans="1:40" x14ac:dyDescent="0.25">
      <c r="A339" t="str">
        <f>"20190312172903999"</f>
        <v>20190312172903999</v>
      </c>
      <c r="B339" t="str">
        <f>"1552382943987587"</f>
        <v>1552382943987587</v>
      </c>
      <c r="C339" t="s">
        <v>40</v>
      </c>
      <c r="D339">
        <v>3.1703000000000001</v>
      </c>
      <c r="E339">
        <v>0.48823040000000001</v>
      </c>
      <c r="F339" t="s">
        <v>41</v>
      </c>
      <c r="G339">
        <v>-388.07749999999999</v>
      </c>
      <c r="H339" s="1">
        <v>-1.232077E-6</v>
      </c>
      <c r="I339">
        <v>367.3922</v>
      </c>
      <c r="J339">
        <v>-405.63220000000001</v>
      </c>
      <c r="K339">
        <v>1.0600240000000001</v>
      </c>
      <c r="L339">
        <v>367.5299</v>
      </c>
      <c r="M339">
        <v>0.99946590000000002</v>
      </c>
      <c r="N339">
        <v>0</v>
      </c>
      <c r="O339">
        <v>-3.057499E-2</v>
      </c>
      <c r="P339">
        <v>0.98285109999999998</v>
      </c>
      <c r="Q339">
        <v>0.17831830000000001</v>
      </c>
      <c r="R339">
        <v>-4.6973359999999999E-2</v>
      </c>
      <c r="S339">
        <v>3.084015</v>
      </c>
      <c r="T339">
        <v>-0.18355070000000001</v>
      </c>
      <c r="U339">
        <v>-2.5177000000000001E-2</v>
      </c>
      <c r="V339">
        <v>1.6841189999999999E-2</v>
      </c>
      <c r="W339">
        <v>0.18967120000000001</v>
      </c>
      <c r="X339">
        <v>0.9817032</v>
      </c>
      <c r="Y339">
        <v>-2.2322809999999998E-2</v>
      </c>
      <c r="Z339">
        <v>2.4816310000000002E-3</v>
      </c>
      <c r="AA339">
        <v>0.99974779999999996</v>
      </c>
      <c r="AB339">
        <v>28</v>
      </c>
      <c r="AC339">
        <v>17.5547</v>
      </c>
      <c r="AD339">
        <v>-1.0600252320770001</v>
      </c>
      <c r="AE339">
        <v>-0.13769999999999499</v>
      </c>
      <c r="AF339">
        <v>-0.39768491624572999</v>
      </c>
      <c r="AG339">
        <v>-1.0600252320770001</v>
      </c>
      <c r="AH339">
        <v>17.486944393128599</v>
      </c>
      <c r="AI339">
        <v>93.468021667037704</v>
      </c>
      <c r="AJ339">
        <v>91.302785655847202</v>
      </c>
      <c r="AK339">
        <v>17.523556459623801</v>
      </c>
      <c r="AL339">
        <v>79.066403359373595</v>
      </c>
      <c r="AM339">
        <v>89.017183129014597</v>
      </c>
      <c r="AN339">
        <v>0.999999981340147</v>
      </c>
    </row>
    <row r="340" spans="1:40" x14ac:dyDescent="0.25">
      <c r="A340" t="str">
        <f>"20190312172904012"</f>
        <v>20190312172904012</v>
      </c>
      <c r="B340" t="str">
        <f>"1552382944008083"</f>
        <v>1552382944008083</v>
      </c>
      <c r="C340" t="s">
        <v>40</v>
      </c>
      <c r="D340">
        <v>3.1693769999999999</v>
      </c>
      <c r="E340">
        <v>0.48829499999999998</v>
      </c>
      <c r="F340" t="s">
        <v>41</v>
      </c>
      <c r="G340">
        <v>-387.63159999999999</v>
      </c>
      <c r="H340" s="1">
        <v>-1.39513E-6</v>
      </c>
      <c r="I340">
        <v>367.37950000000001</v>
      </c>
      <c r="J340">
        <v>-405.46230000000003</v>
      </c>
      <c r="K340">
        <v>1.0600240000000001</v>
      </c>
      <c r="L340">
        <v>367.52480000000003</v>
      </c>
      <c r="M340">
        <v>0.99946900000000005</v>
      </c>
      <c r="N340">
        <v>0</v>
      </c>
      <c r="O340">
        <v>-3.046534E-2</v>
      </c>
      <c r="P340">
        <v>0.98281099999999999</v>
      </c>
      <c r="Q340">
        <v>0.1785506</v>
      </c>
      <c r="R340">
        <v>-4.69259E-2</v>
      </c>
      <c r="S340">
        <v>3.0840450000000001</v>
      </c>
      <c r="T340">
        <v>-0.18161330000000001</v>
      </c>
      <c r="U340">
        <v>-2.575684E-2</v>
      </c>
      <c r="V340">
        <v>1.6903120000000001E-2</v>
      </c>
      <c r="W340">
        <v>0.1899071</v>
      </c>
      <c r="X340">
        <v>0.98165659999999999</v>
      </c>
      <c r="Y340">
        <v>-2.2027930000000001E-2</v>
      </c>
      <c r="Z340">
        <v>2.4403319999999999E-3</v>
      </c>
      <c r="AA340">
        <v>0.99975440000000004</v>
      </c>
      <c r="AB340">
        <v>28</v>
      </c>
      <c r="AC340">
        <v>17.8307</v>
      </c>
      <c r="AD340">
        <v>-1.06002539513</v>
      </c>
      <c r="AE340">
        <v>-0.14530000000002</v>
      </c>
      <c r="AF340">
        <v>-0.39662041948115501</v>
      </c>
      <c r="AG340">
        <v>-1.06002539513</v>
      </c>
      <c r="AH340">
        <v>17.764070936788102</v>
      </c>
      <c r="AI340">
        <v>93.414080473688202</v>
      </c>
      <c r="AJ340">
        <v>91.279036839661202</v>
      </c>
      <c r="AK340">
        <v>17.800089265020802</v>
      </c>
      <c r="AL340">
        <v>79.052637855143303</v>
      </c>
      <c r="AM340">
        <v>89.013522918293106</v>
      </c>
      <c r="AN340">
        <v>1.0000000512098499</v>
      </c>
    </row>
    <row r="341" spans="1:40" x14ac:dyDescent="0.25">
      <c r="A341" t="str">
        <f>"20190312172904032"</f>
        <v>20190312172904032</v>
      </c>
      <c r="B341" t="str">
        <f>"1552382944027604"</f>
        <v>1552382944027604</v>
      </c>
      <c r="C341" t="s">
        <v>40</v>
      </c>
      <c r="D341">
        <v>3.2458</v>
      </c>
      <c r="E341">
        <v>0.48837609999999898</v>
      </c>
      <c r="F341" t="s">
        <v>41</v>
      </c>
      <c r="G341">
        <v>-387.4402</v>
      </c>
      <c r="H341" s="1">
        <v>-1.47854899999999E-6</v>
      </c>
      <c r="I341">
        <v>367.37189999999998</v>
      </c>
      <c r="J341">
        <v>-405.21960000000001</v>
      </c>
      <c r="K341">
        <v>1.0600229999999999</v>
      </c>
      <c r="L341">
        <v>367.51760000000002</v>
      </c>
      <c r="M341">
        <v>0.99947390000000003</v>
      </c>
      <c r="N341">
        <v>0</v>
      </c>
      <c r="O341">
        <v>-3.0308970000000001E-2</v>
      </c>
      <c r="P341">
        <v>0.98277250000000005</v>
      </c>
      <c r="Q341">
        <v>0.1787455</v>
      </c>
      <c r="R341">
        <v>-4.6995910000000002E-2</v>
      </c>
      <c r="S341">
        <v>3.0841669999999999</v>
      </c>
      <c r="T341">
        <v>-0.1814046</v>
      </c>
      <c r="U341">
        <v>-2.6153559999999999E-2</v>
      </c>
      <c r="V341">
        <v>1.7128150000000002E-2</v>
      </c>
      <c r="W341">
        <v>0.1901061</v>
      </c>
      <c r="X341">
        <v>0.98161410000000004</v>
      </c>
      <c r="Y341">
        <v>-2.1744220000000002E-2</v>
      </c>
      <c r="Z341">
        <v>2.4199109999999999E-3</v>
      </c>
      <c r="AA341">
        <v>0.9997606</v>
      </c>
      <c r="AB341">
        <v>28</v>
      </c>
      <c r="AC341">
        <v>17.779399999999999</v>
      </c>
      <c r="AD341">
        <v>-1.0600244785489901</v>
      </c>
      <c r="AE341">
        <v>-0.145700000000033</v>
      </c>
      <c r="AF341">
        <v>-0.39188524108964001</v>
      </c>
      <c r="AG341">
        <v>-1.0600244785489901</v>
      </c>
      <c r="AH341">
        <v>17.712688679810501</v>
      </c>
      <c r="AI341">
        <v>93.423973176192504</v>
      </c>
      <c r="AJ341">
        <v>91.267436482416699</v>
      </c>
      <c r="AK341">
        <v>17.7487060431231</v>
      </c>
      <c r="AL341">
        <v>79.041023553442102</v>
      </c>
      <c r="AM341">
        <v>89.000349398067996</v>
      </c>
      <c r="AN341">
        <v>0.99999997204921998</v>
      </c>
    </row>
    <row r="342" spans="1:40" x14ac:dyDescent="0.25">
      <c r="A342" t="str">
        <f>"20190312172904045"</f>
        <v>20190312172904045</v>
      </c>
      <c r="B342" t="str">
        <f>"1552382944038340"</f>
        <v>1552382944038340</v>
      </c>
      <c r="C342" t="s">
        <v>40</v>
      </c>
      <c r="D342">
        <v>3.1728170000000002</v>
      </c>
      <c r="E342">
        <v>0.48842400000000002</v>
      </c>
      <c r="F342" t="s">
        <v>41</v>
      </c>
      <c r="G342">
        <v>-387.20440000000002</v>
      </c>
      <c r="H342" s="1">
        <v>-1.582058E-6</v>
      </c>
      <c r="I342">
        <v>367.3587</v>
      </c>
      <c r="J342">
        <v>-405.05709999999999</v>
      </c>
      <c r="K342">
        <v>1.0600229999999999</v>
      </c>
      <c r="L342">
        <v>367.51280000000003</v>
      </c>
      <c r="M342">
        <v>0.99947699999999995</v>
      </c>
      <c r="N342">
        <v>0</v>
      </c>
      <c r="O342">
        <v>-3.0204209999999999E-2</v>
      </c>
      <c r="P342">
        <v>0.9827707</v>
      </c>
      <c r="Q342">
        <v>0.17868779999999901</v>
      </c>
      <c r="R342">
        <v>-4.7252849999999999E-2</v>
      </c>
      <c r="S342">
        <v>3.0842900000000002</v>
      </c>
      <c r="T342">
        <v>-0.1814809</v>
      </c>
      <c r="U342">
        <v>-2.7191159999999999E-2</v>
      </c>
      <c r="V342">
        <v>1.7487840000000001E-2</v>
      </c>
      <c r="W342">
        <v>0.19005179999999999</v>
      </c>
      <c r="X342">
        <v>0.98161830000000005</v>
      </c>
      <c r="Y342">
        <v>-2.130433E-2</v>
      </c>
      <c r="Z342">
        <v>2.401739E-3</v>
      </c>
      <c r="AA342">
        <v>0.99977020000000005</v>
      </c>
      <c r="AB342">
        <v>28</v>
      </c>
      <c r="AC342">
        <v>17.852699999999899</v>
      </c>
      <c r="AD342">
        <v>-1.0600245820580001</v>
      </c>
      <c r="AE342">
        <v>-0.15410000000002799</v>
      </c>
      <c r="AF342">
        <v>-0.38387971873287102</v>
      </c>
      <c r="AG342">
        <v>-1.0600245820580001</v>
      </c>
      <c r="AH342">
        <v>17.786506237409199</v>
      </c>
      <c r="AI342">
        <v>93.409837199884095</v>
      </c>
      <c r="AJ342">
        <v>91.236402094245904</v>
      </c>
      <c r="AK342">
        <v>17.822200197686598</v>
      </c>
      <c r="AL342">
        <v>79.044192787428997</v>
      </c>
      <c r="AM342">
        <v>88.979365563570198</v>
      </c>
      <c r="AN342">
        <v>0.99999999906299697</v>
      </c>
    </row>
    <row r="343" spans="1:40" x14ac:dyDescent="0.25">
      <c r="A343" t="str">
        <f>"20190312172904067"</f>
        <v>20190312172904067</v>
      </c>
      <c r="B343" t="str">
        <f>"1552382944057859"</f>
        <v>1552382944057859</v>
      </c>
      <c r="C343" t="s">
        <v>40</v>
      </c>
      <c r="D343">
        <v>3.1840989999999998</v>
      </c>
      <c r="E343">
        <v>0.48846250000000002</v>
      </c>
      <c r="F343" t="s">
        <v>41</v>
      </c>
      <c r="G343">
        <v>-387.07929999999999</v>
      </c>
      <c r="H343" s="1">
        <v>-1.637348E-6</v>
      </c>
      <c r="I343">
        <v>367.34960000000001</v>
      </c>
      <c r="J343">
        <v>-404.77929999999998</v>
      </c>
      <c r="K343">
        <v>1.0600240000000001</v>
      </c>
      <c r="L343">
        <v>367.50459999999998</v>
      </c>
      <c r="M343">
        <v>0.99948230000000005</v>
      </c>
      <c r="N343">
        <v>0</v>
      </c>
      <c r="O343">
        <v>-3.0025420000000001E-2</v>
      </c>
      <c r="P343">
        <v>0.98275829999999997</v>
      </c>
      <c r="Q343">
        <v>0.1786751</v>
      </c>
      <c r="R343">
        <v>-4.7552619999999997E-2</v>
      </c>
      <c r="S343">
        <v>3.0842900000000002</v>
      </c>
      <c r="T343">
        <v>-0.1818583</v>
      </c>
      <c r="U343">
        <v>-2.7984620000000002E-2</v>
      </c>
      <c r="V343">
        <v>1.796385E-2</v>
      </c>
      <c r="W343">
        <v>0.1900443</v>
      </c>
      <c r="X343">
        <v>0.98161109999999896</v>
      </c>
      <c r="Y343">
        <v>-2.086901E-2</v>
      </c>
      <c r="Z343">
        <v>2.3833700000000001E-3</v>
      </c>
      <c r="AA343">
        <v>0.99977939999999998</v>
      </c>
      <c r="AB343">
        <v>28</v>
      </c>
      <c r="AC343">
        <v>17.6999999999999</v>
      </c>
      <c r="AD343">
        <v>-1.0600256373479999</v>
      </c>
      <c r="AE343">
        <v>-0.15499999999997199</v>
      </c>
      <c r="AF343">
        <v>-0.37520969937088999</v>
      </c>
      <c r="AG343">
        <v>-1.0600256373479999</v>
      </c>
      <c r="AH343">
        <v>17.633433184897701</v>
      </c>
      <c r="AI343">
        <v>93.4393924898297</v>
      </c>
      <c r="AJ343">
        <v>91.218973545707101</v>
      </c>
      <c r="AK343">
        <v>17.669250197916998</v>
      </c>
      <c r="AL343">
        <v>79.044629869467499</v>
      </c>
      <c r="AM343">
        <v>88.951582850166403</v>
      </c>
      <c r="AN343">
        <v>0.999999943756259</v>
      </c>
    </row>
    <row r="344" spans="1:40" x14ac:dyDescent="0.25">
      <c r="A344" t="str">
        <f>"20190312172904090"</f>
        <v>20190312172904090</v>
      </c>
      <c r="B344" t="str">
        <f>"1552382944088115"</f>
        <v>1552382944088115</v>
      </c>
      <c r="C344" t="s">
        <v>40</v>
      </c>
      <c r="D344">
        <v>3.1969449999999999</v>
      </c>
      <c r="E344">
        <v>0.48854449999999999</v>
      </c>
      <c r="F344" t="s">
        <v>41</v>
      </c>
      <c r="G344">
        <v>-386.87060000000002</v>
      </c>
      <c r="H344" s="1">
        <v>-1.7291220000000001E-6</v>
      </c>
      <c r="I344">
        <v>367.33690000000001</v>
      </c>
      <c r="J344">
        <v>-404.48719999999997</v>
      </c>
      <c r="K344">
        <v>1.060028</v>
      </c>
      <c r="L344">
        <v>367.49599999999998</v>
      </c>
      <c r="M344">
        <v>0.99948780000000004</v>
      </c>
      <c r="N344">
        <v>0</v>
      </c>
      <c r="O344">
        <v>-2.9836990000000001E-2</v>
      </c>
      <c r="P344">
        <v>0.98273889999999997</v>
      </c>
      <c r="Q344">
        <v>0.178664299999999</v>
      </c>
      <c r="R344">
        <v>-4.7994820000000001E-2</v>
      </c>
      <c r="S344">
        <v>3.0844119999999999</v>
      </c>
      <c r="T344">
        <v>-0.1825678</v>
      </c>
      <c r="U344">
        <v>-2.886963E-2</v>
      </c>
      <c r="V344">
        <v>1.8591860000000002E-2</v>
      </c>
      <c r="W344">
        <v>0.19003819999999999</v>
      </c>
      <c r="X344">
        <v>0.98160060000000005</v>
      </c>
      <c r="Y344">
        <v>-2.0394519999999999E-2</v>
      </c>
      <c r="Z344">
        <v>2.3673829999999998E-3</v>
      </c>
      <c r="AA344">
        <v>0.99978920000000004</v>
      </c>
      <c r="AB344">
        <v>28</v>
      </c>
      <c r="AC344">
        <v>17.616599999999899</v>
      </c>
      <c r="AD344">
        <v>-1.060029729122</v>
      </c>
      <c r="AE344">
        <v>-0.15909999999996599</v>
      </c>
      <c r="AF344">
        <v>-0.36530978705654599</v>
      </c>
      <c r="AG344">
        <v>-1.060029729122</v>
      </c>
      <c r="AH344">
        <v>17.549965149702601</v>
      </c>
      <c r="AI344">
        <v>93.455757649509593</v>
      </c>
      <c r="AJ344">
        <v>91.192463156343294</v>
      </c>
      <c r="AK344">
        <v>17.585743971266002</v>
      </c>
      <c r="AL344">
        <v>79.044986000626395</v>
      </c>
      <c r="AM344">
        <v>88.9149275591367</v>
      </c>
      <c r="AN344">
        <v>0.99999995631892802</v>
      </c>
    </row>
    <row r="345" spans="1:40" x14ac:dyDescent="0.25">
      <c r="A345" t="str">
        <f>"20190312172904110"</f>
        <v>20190312172904110</v>
      </c>
      <c r="B345" t="str">
        <f>"1552382944107636"</f>
        <v>1552382944107636</v>
      </c>
      <c r="C345" t="s">
        <v>40</v>
      </c>
      <c r="D345">
        <v>3.2260270000000002</v>
      </c>
      <c r="E345">
        <v>0.49647289999999999</v>
      </c>
      <c r="F345" t="s">
        <v>41</v>
      </c>
      <c r="G345">
        <v>-386.65879999999999</v>
      </c>
      <c r="H345" s="1">
        <v>-1.823284E-6</v>
      </c>
      <c r="I345">
        <v>367.31849999999997</v>
      </c>
      <c r="J345">
        <v>-404.22199999999998</v>
      </c>
      <c r="K345">
        <v>1.060033</v>
      </c>
      <c r="L345">
        <v>367.48829999999998</v>
      </c>
      <c r="M345">
        <v>0.99949290000000002</v>
      </c>
      <c r="N345">
        <v>0</v>
      </c>
      <c r="O345">
        <v>-2.96663E-2</v>
      </c>
      <c r="P345">
        <v>0.98264320000000005</v>
      </c>
      <c r="Q345">
        <v>0.17908729999999901</v>
      </c>
      <c r="R345">
        <v>-4.8372890000000002E-2</v>
      </c>
      <c r="S345">
        <v>3.0845340000000001</v>
      </c>
      <c r="T345">
        <v>-0.18339739999999999</v>
      </c>
      <c r="U345">
        <v>-3.0700680000000001E-2</v>
      </c>
      <c r="V345">
        <v>1.9140549999999999E-2</v>
      </c>
      <c r="W345">
        <v>0.1904642</v>
      </c>
      <c r="X345">
        <v>0.98150749999999998</v>
      </c>
      <c r="Y345">
        <v>-1.9631559999999999E-2</v>
      </c>
      <c r="Z345">
        <v>2.3452199999999999E-3</v>
      </c>
      <c r="AA345">
        <v>0.99980460000000004</v>
      </c>
      <c r="AB345">
        <v>28</v>
      </c>
      <c r="AC345">
        <v>17.563199999999899</v>
      </c>
      <c r="AD345">
        <v>-1.060034823284</v>
      </c>
      <c r="AE345">
        <v>-0.169800000000009</v>
      </c>
      <c r="AF345">
        <v>-0.35006967318743698</v>
      </c>
      <c r="AG345">
        <v>-1.060034823284</v>
      </c>
      <c r="AH345">
        <v>17.4967753952278</v>
      </c>
      <c r="AI345">
        <v>93.466311093782494</v>
      </c>
      <c r="AJ345">
        <v>91.146202006507593</v>
      </c>
      <c r="AK345">
        <v>17.532352147778401</v>
      </c>
      <c r="AL345">
        <v>79.020124080190996</v>
      </c>
      <c r="AM345">
        <v>88.8828065559929</v>
      </c>
      <c r="AN345">
        <v>0.99999997234609495</v>
      </c>
    </row>
    <row r="346" spans="1:40" x14ac:dyDescent="0.25">
      <c r="A346" t="str">
        <f>"20190312172904210"</f>
        <v>20190312172904210</v>
      </c>
      <c r="B346" t="str">
        <f>"1552382944207706"</f>
        <v>1552382944207706</v>
      </c>
      <c r="C346" t="s">
        <v>40</v>
      </c>
      <c r="D346">
        <v>3.2779569999999998</v>
      </c>
      <c r="E346">
        <v>0.49647289999999999</v>
      </c>
      <c r="F346" t="s">
        <v>41</v>
      </c>
      <c r="G346">
        <v>-385.7124</v>
      </c>
      <c r="H346" s="1">
        <v>-2.3005179999999999E-6</v>
      </c>
      <c r="I346">
        <v>366.91680000000002</v>
      </c>
      <c r="J346">
        <v>-402.96589999999998</v>
      </c>
      <c r="K346">
        <v>1.0600459999999901</v>
      </c>
      <c r="L346">
        <v>367.45240000000001</v>
      </c>
      <c r="M346">
        <v>0.99951769999999995</v>
      </c>
      <c r="N346">
        <v>0</v>
      </c>
      <c r="O346">
        <v>-2.8817800000000001E-2</v>
      </c>
      <c r="P346">
        <v>0.98249759999999997</v>
      </c>
      <c r="Q346">
        <v>0.179482</v>
      </c>
      <c r="R346">
        <v>-4.9850529999999997E-2</v>
      </c>
      <c r="S346">
        <v>3.0804749999999999</v>
      </c>
      <c r="T346">
        <v>-0.1764162</v>
      </c>
      <c r="U346">
        <v>-9.5092769999999993E-2</v>
      </c>
      <c r="V346">
        <v>2.144952E-2</v>
      </c>
      <c r="W346">
        <v>0.1908733</v>
      </c>
      <c r="X346">
        <v>0.98138029999999998</v>
      </c>
      <c r="Y346">
        <v>2.07975E-3</v>
      </c>
      <c r="Z346">
        <v>1.588894E-3</v>
      </c>
      <c r="AA346">
        <v>0.99999660000000001</v>
      </c>
      <c r="AB346">
        <v>28</v>
      </c>
      <c r="AC346">
        <v>17.253499999999899</v>
      </c>
      <c r="AD346">
        <v>-1.0600483005179999</v>
      </c>
      <c r="AE346">
        <v>-0.53559999999998797</v>
      </c>
      <c r="AF346">
        <v>3.79930421313803E-2</v>
      </c>
      <c r="AG346">
        <v>-1.0600483005179999</v>
      </c>
      <c r="AH346">
        <v>17.1969163167639</v>
      </c>
      <c r="AI346">
        <v>93.527341362138699</v>
      </c>
      <c r="AJ346">
        <v>89.873416990395299</v>
      </c>
      <c r="AK346">
        <v>17.229598854194599</v>
      </c>
      <c r="AL346">
        <v>78.996246587352104</v>
      </c>
      <c r="AM346">
        <v>88.747915227375501</v>
      </c>
      <c r="AN346">
        <v>0.99999999589460498</v>
      </c>
    </row>
    <row r="347" spans="1:40" x14ac:dyDescent="0.25">
      <c r="A347" t="str">
        <f>"20190312172904222"</f>
        <v>20190312172904222</v>
      </c>
      <c r="B347" t="str">
        <f>"1552382944217467"</f>
        <v>1552382944217467</v>
      </c>
      <c r="C347" t="s">
        <v>40</v>
      </c>
      <c r="D347">
        <v>3.281018</v>
      </c>
      <c r="E347">
        <v>0.49074400000000001</v>
      </c>
      <c r="F347" t="s">
        <v>41</v>
      </c>
      <c r="G347">
        <v>-384.31029999999998</v>
      </c>
      <c r="H347" s="1">
        <v>-2.9124010000000001E-6</v>
      </c>
      <c r="I347">
        <v>366.85829999999999</v>
      </c>
      <c r="J347">
        <v>-402.81569999999999</v>
      </c>
      <c r="K347">
        <v>1.0600510000000001</v>
      </c>
      <c r="L347">
        <v>367.44810000000001</v>
      </c>
      <c r="M347">
        <v>0.99952099999999999</v>
      </c>
      <c r="N347">
        <v>0</v>
      </c>
      <c r="O347">
        <v>-2.8701730000000002E-2</v>
      </c>
      <c r="P347">
        <v>0.98243829999999999</v>
      </c>
      <c r="Q347">
        <v>0.1798187</v>
      </c>
      <c r="R347">
        <v>-4.9804979999999999E-2</v>
      </c>
      <c r="S347">
        <v>3.0804749999999999</v>
      </c>
      <c r="T347">
        <v>-0.1750379</v>
      </c>
      <c r="U347">
        <v>-9.8083500000000004E-2</v>
      </c>
      <c r="V347">
        <v>2.1516899999999999E-2</v>
      </c>
      <c r="W347">
        <v>0.1912112</v>
      </c>
      <c r="X347">
        <v>0.98131299999999999</v>
      </c>
      <c r="Y347">
        <v>3.1631649999999999E-3</v>
      </c>
      <c r="Z347">
        <v>1.5391370000000001E-3</v>
      </c>
      <c r="AA347">
        <v>0.99999380000000004</v>
      </c>
      <c r="AB347">
        <v>28</v>
      </c>
      <c r="AC347">
        <v>18.505400000000002</v>
      </c>
      <c r="AD347">
        <v>-1.060053912401</v>
      </c>
      <c r="AE347">
        <v>-0.58980000000002497</v>
      </c>
      <c r="AF347">
        <v>5.8193640062265801E-2</v>
      </c>
      <c r="AG347">
        <v>-1.060053912401</v>
      </c>
      <c r="AH347">
        <v>18.454210382445702</v>
      </c>
      <c r="AI347">
        <v>93.287577316651607</v>
      </c>
      <c r="AJ347">
        <v>89.819323674698794</v>
      </c>
      <c r="AK347">
        <v>18.4847229256082</v>
      </c>
      <c r="AL347">
        <v>78.976522581746806</v>
      </c>
      <c r="AM347">
        <v>88.743897163100002</v>
      </c>
      <c r="AN347">
        <v>0.99999995198002301</v>
      </c>
    </row>
    <row r="348" spans="1:40" x14ac:dyDescent="0.25">
      <c r="A348" t="str">
        <f>"20190312172904236"</f>
        <v>20190312172904236</v>
      </c>
      <c r="B348" t="str">
        <f>"1552382944228203"</f>
        <v>1552382944228203</v>
      </c>
      <c r="C348" t="s">
        <v>40</v>
      </c>
      <c r="D348">
        <v>3.243093</v>
      </c>
      <c r="E348">
        <v>0.48906739999999999</v>
      </c>
      <c r="F348" t="s">
        <v>41</v>
      </c>
      <c r="G348">
        <v>-386.34179999999998</v>
      </c>
      <c r="H348" s="1">
        <v>-1.9847499999999999E-6</v>
      </c>
      <c r="I348">
        <v>367.1748</v>
      </c>
      <c r="J348">
        <v>-402.64909999999998</v>
      </c>
      <c r="K348">
        <v>1.0600609999999999</v>
      </c>
      <c r="L348">
        <v>367.44349999999997</v>
      </c>
      <c r="M348">
        <v>0.99952490000000005</v>
      </c>
      <c r="N348">
        <v>0</v>
      </c>
      <c r="O348">
        <v>-2.8558529999999999E-2</v>
      </c>
      <c r="P348">
        <v>0.982491</v>
      </c>
      <c r="Q348">
        <v>0.17952470000000001</v>
      </c>
      <c r="R348">
        <v>-4.982437E-2</v>
      </c>
      <c r="S348">
        <v>3.0874329999999999</v>
      </c>
      <c r="T348">
        <v>-0.19866780000000001</v>
      </c>
      <c r="U348">
        <v>-5.1208499999999997E-2</v>
      </c>
      <c r="V348">
        <v>2.1670209999999999E-2</v>
      </c>
      <c r="W348">
        <v>0.1909206</v>
      </c>
      <c r="X348">
        <v>0.98136630000000002</v>
      </c>
      <c r="Y348">
        <v>-1.189584E-2</v>
      </c>
      <c r="Z348">
        <v>2.2177759999999999E-3</v>
      </c>
      <c r="AA348">
        <v>0.9999268</v>
      </c>
      <c r="AB348">
        <v>28</v>
      </c>
      <c r="AC348">
        <v>16.307299999999898</v>
      </c>
      <c r="AD348">
        <v>-1.06006298475</v>
      </c>
      <c r="AE348">
        <v>-0.26869999999996702</v>
      </c>
      <c r="AF348">
        <v>-0.19632404089476199</v>
      </c>
      <c r="AG348">
        <v>-1.06006298475</v>
      </c>
      <c r="AH348">
        <v>16.239716279003101</v>
      </c>
      <c r="AI348">
        <v>93.734466104256001</v>
      </c>
      <c r="AJ348">
        <v>90.692622385435399</v>
      </c>
      <c r="AK348">
        <v>16.275461943772498</v>
      </c>
      <c r="AL348">
        <v>78.993486262589599</v>
      </c>
      <c r="AM348">
        <v>88.735018891731301</v>
      </c>
      <c r="AN348">
        <v>1.00000004414074</v>
      </c>
    </row>
    <row r="349" spans="1:40" x14ac:dyDescent="0.25">
      <c r="A349" t="str">
        <f>"20190312172904256"</f>
        <v>20190312172904256</v>
      </c>
      <c r="B349" t="str">
        <f>"1552382944247722"</f>
        <v>1552382944247722</v>
      </c>
      <c r="C349" t="s">
        <v>40</v>
      </c>
      <c r="D349">
        <v>3.2697500000000002</v>
      </c>
      <c r="E349">
        <v>0.48689519999999997</v>
      </c>
      <c r="F349" t="s">
        <v>41</v>
      </c>
      <c r="G349">
        <v>-380.56400000000002</v>
      </c>
      <c r="H349" s="1">
        <v>-4.4655400000000001E-6</v>
      </c>
      <c r="I349">
        <v>367.1628</v>
      </c>
      <c r="J349">
        <v>-402.38630000000001</v>
      </c>
      <c r="K349">
        <v>1.0600830000000001</v>
      </c>
      <c r="L349">
        <v>367.43630000000002</v>
      </c>
      <c r="M349">
        <v>0.99953219999999998</v>
      </c>
      <c r="N349">
        <v>0</v>
      </c>
      <c r="O349">
        <v>-2.8305009999999999E-2</v>
      </c>
      <c r="P349">
        <v>0.9825007</v>
      </c>
      <c r="Q349">
        <v>0.1794046</v>
      </c>
      <c r="R349">
        <v>-5.0064600000000001E-2</v>
      </c>
      <c r="S349">
        <v>3.078522</v>
      </c>
      <c r="T349">
        <v>-0.14776600000000001</v>
      </c>
      <c r="U349">
        <v>-3.9123539999999998E-2</v>
      </c>
      <c r="V349">
        <v>2.2147989999999999E-2</v>
      </c>
      <c r="W349">
        <v>0.19080449999999999</v>
      </c>
      <c r="X349">
        <v>0.98137819999999998</v>
      </c>
      <c r="Y349">
        <v>-1.555172E-2</v>
      </c>
      <c r="Z349">
        <v>1.730674E-3</v>
      </c>
      <c r="AA349">
        <v>0.99987760000000003</v>
      </c>
      <c r="AB349">
        <v>28</v>
      </c>
      <c r="AC349">
        <v>21.822299999999899</v>
      </c>
      <c r="AD349">
        <v>-1.0600874655400001</v>
      </c>
      <c r="AE349">
        <v>-0.27350000000001201</v>
      </c>
      <c r="AF349">
        <v>-0.34352094297616098</v>
      </c>
      <c r="AG349">
        <v>-1.0600874655400001</v>
      </c>
      <c r="AH349">
        <v>21.769931825560001</v>
      </c>
      <c r="AI349">
        <v>92.787471085033502</v>
      </c>
      <c r="AJ349">
        <v>90.904029787699301</v>
      </c>
      <c r="AK349">
        <v>21.7984339749989</v>
      </c>
      <c r="AL349">
        <v>79.000262732665405</v>
      </c>
      <c r="AM349">
        <v>88.707153903619997</v>
      </c>
      <c r="AN349">
        <v>1.00000003105826</v>
      </c>
    </row>
    <row r="350" spans="1:40" x14ac:dyDescent="0.25">
      <c r="A350" t="str">
        <f>"20190312172904280"</f>
        <v>20190312172904280</v>
      </c>
      <c r="B350" t="str">
        <f>"1552382944277979"</f>
        <v>1552382944277979</v>
      </c>
      <c r="C350" t="s">
        <v>40</v>
      </c>
      <c r="D350">
        <v>3.2170040000000002</v>
      </c>
      <c r="E350">
        <v>0.48666569999999998</v>
      </c>
      <c r="F350" t="s">
        <v>41</v>
      </c>
      <c r="G350">
        <v>-367.60070000000002</v>
      </c>
      <c r="H350" s="1">
        <v>-1.4546720000000001E-6</v>
      </c>
      <c r="I350">
        <v>367.16539999999998</v>
      </c>
      <c r="J350">
        <v>-402.08589999999998</v>
      </c>
      <c r="K350">
        <v>1.06012</v>
      </c>
      <c r="L350">
        <v>367.42809999999997</v>
      </c>
      <c r="M350">
        <v>0.99954180000000004</v>
      </c>
      <c r="N350">
        <v>0</v>
      </c>
      <c r="O350">
        <v>-2.7960579999999999E-2</v>
      </c>
      <c r="P350">
        <v>0.98257490000000003</v>
      </c>
      <c r="Q350">
        <v>0.17909900000000001</v>
      </c>
      <c r="R350">
        <v>-4.9699140000000003E-2</v>
      </c>
      <c r="S350">
        <v>3.0693049999999999</v>
      </c>
      <c r="T350">
        <v>-9.3536380000000002E-2</v>
      </c>
      <c r="U350">
        <v>-2.3895260000000001E-2</v>
      </c>
      <c r="V350">
        <v>2.2101079999999999E-2</v>
      </c>
      <c r="W350">
        <v>0.19050439999999999</v>
      </c>
      <c r="X350">
        <v>0.98143749999999996</v>
      </c>
      <c r="Y350">
        <v>-2.0157319999999999E-2</v>
      </c>
      <c r="Z350">
        <v>1.1589009999999999E-3</v>
      </c>
      <c r="AA350">
        <v>0.99979620000000002</v>
      </c>
      <c r="AB350">
        <v>28</v>
      </c>
      <c r="AC350">
        <v>34.485199999999899</v>
      </c>
      <c r="AD350">
        <v>-1.0601214546719999</v>
      </c>
      <c r="AE350">
        <v>-0.26269999999999499</v>
      </c>
      <c r="AF350">
        <v>-0.70103125919797704</v>
      </c>
      <c r="AG350">
        <v>-1.0601214546719999</v>
      </c>
      <c r="AH350">
        <v>34.446510019886198</v>
      </c>
      <c r="AI350">
        <v>91.762406592170095</v>
      </c>
      <c r="AJ350">
        <v>91.165882655119702</v>
      </c>
      <c r="AK350">
        <v>34.469948576624702</v>
      </c>
      <c r="AL350">
        <v>79.017777863161697</v>
      </c>
      <c r="AM350">
        <v>88.7099691818118</v>
      </c>
      <c r="AN350">
        <v>0.99999997528138795</v>
      </c>
    </row>
    <row r="351" spans="1:40" x14ac:dyDescent="0.25">
      <c r="A351" t="str">
        <f>"20190312172904303"</f>
        <v>20190312172904303</v>
      </c>
      <c r="B351" t="str">
        <f>"1552382944297499"</f>
        <v>1552382944297499</v>
      </c>
      <c r="C351" t="s">
        <v>40</v>
      </c>
      <c r="D351">
        <v>3.1851919999999998</v>
      </c>
      <c r="E351">
        <v>0.4870427</v>
      </c>
      <c r="F351" t="s">
        <v>41</v>
      </c>
      <c r="G351">
        <v>-354.97289999999998</v>
      </c>
      <c r="H351" s="1">
        <v>-2.5849259999999999E-6</v>
      </c>
      <c r="I351">
        <v>367.10199999999998</v>
      </c>
      <c r="J351">
        <v>-401.80459999999999</v>
      </c>
      <c r="K351">
        <v>1.060168</v>
      </c>
      <c r="L351">
        <v>367.42070000000001</v>
      </c>
      <c r="M351">
        <v>0.99955240000000001</v>
      </c>
      <c r="N351">
        <v>0</v>
      </c>
      <c r="O351">
        <v>-2.7578289999999998E-2</v>
      </c>
      <c r="P351">
        <v>0.98259779999999997</v>
      </c>
      <c r="Q351">
        <v>0.17907339999999999</v>
      </c>
      <c r="R351">
        <v>-4.9343129999999999E-2</v>
      </c>
      <c r="S351">
        <v>3.0646969999999998</v>
      </c>
      <c r="T351">
        <v>-6.8960789999999994E-2</v>
      </c>
      <c r="U351">
        <v>-2.1209720000000001E-2</v>
      </c>
      <c r="V351">
        <v>2.2099460000000001E-2</v>
      </c>
      <c r="W351">
        <v>0.19048390000000001</v>
      </c>
      <c r="X351">
        <v>0.98144160000000003</v>
      </c>
      <c r="Y351">
        <v>-2.0649420000000002E-2</v>
      </c>
      <c r="Z351">
        <v>8.5273049999999996E-4</v>
      </c>
      <c r="AA351">
        <v>0.99978639999999996</v>
      </c>
      <c r="AB351">
        <v>28</v>
      </c>
      <c r="AC351">
        <v>46.831699999999998</v>
      </c>
      <c r="AD351">
        <v>-1.0601705849259999</v>
      </c>
      <c r="AE351">
        <v>-0.31870000000003501</v>
      </c>
      <c r="AF351">
        <v>-0.97254788088828104</v>
      </c>
      <c r="AG351">
        <v>-1.0601705849259999</v>
      </c>
      <c r="AH351">
        <v>46.798692808708502</v>
      </c>
      <c r="AI351">
        <v>91.297468003143194</v>
      </c>
      <c r="AJ351">
        <v>91.190521913633205</v>
      </c>
      <c r="AK351">
        <v>46.820801569960601</v>
      </c>
      <c r="AL351">
        <v>79.018975258501698</v>
      </c>
      <c r="AM351">
        <v>88.710069095510207</v>
      </c>
      <c r="AN351">
        <v>1.00000005825102</v>
      </c>
    </row>
    <row r="352" spans="1:40" x14ac:dyDescent="0.25">
      <c r="A352" t="str">
        <f>"20190312172904322"</f>
        <v>20190312172904322</v>
      </c>
      <c r="B352" t="str">
        <f>"1552382944317995"</f>
        <v>1552382944317995</v>
      </c>
      <c r="C352" t="s">
        <v>40</v>
      </c>
      <c r="D352">
        <v>3.1851660000000002</v>
      </c>
      <c r="E352">
        <v>0.48755799999999999</v>
      </c>
      <c r="F352" t="s">
        <v>41</v>
      </c>
      <c r="G352">
        <v>-348.7167</v>
      </c>
      <c r="H352" s="1">
        <v>-1.169179E-6</v>
      </c>
      <c r="I352">
        <v>367.01499999999999</v>
      </c>
      <c r="J352">
        <v>-401.55029999999999</v>
      </c>
      <c r="K352">
        <v>1.060211</v>
      </c>
      <c r="L352">
        <v>367.41410000000002</v>
      </c>
      <c r="M352">
        <v>0.99956330000000004</v>
      </c>
      <c r="N352">
        <v>0</v>
      </c>
      <c r="O352">
        <v>-2.717694E-2</v>
      </c>
      <c r="P352">
        <v>0.98257269999999997</v>
      </c>
      <c r="Q352">
        <v>0.17933399999999999</v>
      </c>
      <c r="R352">
        <v>-4.8891499999999997E-2</v>
      </c>
      <c r="S352">
        <v>3.06311</v>
      </c>
      <c r="T352">
        <v>-6.1170580000000002E-2</v>
      </c>
      <c r="U352">
        <v>-2.3406980000000001E-2</v>
      </c>
      <c r="V352">
        <v>2.2022650000000001E-2</v>
      </c>
      <c r="W352">
        <v>0.19074830000000001</v>
      </c>
      <c r="X352">
        <v>0.98139189999999998</v>
      </c>
      <c r="Y352">
        <v>-1.9530140000000001E-2</v>
      </c>
      <c r="Z352">
        <v>7.3762320000000004E-4</v>
      </c>
      <c r="AA352">
        <v>0.99980899999999995</v>
      </c>
      <c r="AB352">
        <v>28</v>
      </c>
      <c r="AC352">
        <v>52.833599999999898</v>
      </c>
      <c r="AD352">
        <v>-1.0602121691789901</v>
      </c>
      <c r="AE352">
        <v>-0.39910000000003198</v>
      </c>
      <c r="AF352">
        <v>-1.03658227658568</v>
      </c>
      <c r="AG352">
        <v>-1.0602121691789901</v>
      </c>
      <c r="AH352">
        <v>52.803667717058502</v>
      </c>
      <c r="AI352">
        <v>91.150030433936905</v>
      </c>
      <c r="AJ352">
        <v>91.124621917381901</v>
      </c>
      <c r="AK352">
        <v>52.824481796164697</v>
      </c>
      <c r="AL352">
        <v>79.003542503240496</v>
      </c>
      <c r="AM352">
        <v>88.714485861308802</v>
      </c>
      <c r="AN352">
        <v>0.99999998622576103</v>
      </c>
    </row>
    <row r="353" spans="1:40" x14ac:dyDescent="0.25">
      <c r="A353" t="str">
        <f>"20190312172904335"</f>
        <v>20190312172904335</v>
      </c>
      <c r="B353" t="str">
        <f>"1552382944327755"</f>
        <v>1552382944327755</v>
      </c>
      <c r="C353" t="s">
        <v>40</v>
      </c>
      <c r="D353">
        <v>3.2031939999999999</v>
      </c>
      <c r="E353">
        <v>0.48755969999999998</v>
      </c>
      <c r="F353" t="s">
        <v>41</v>
      </c>
      <c r="G353">
        <v>-343.75189999999998</v>
      </c>
      <c r="H353" s="1">
        <v>-3.4126289999999999E-6</v>
      </c>
      <c r="I353">
        <v>366.91809999999998</v>
      </c>
      <c r="J353">
        <v>-401.38369999999998</v>
      </c>
      <c r="K353">
        <v>1.0602370000000001</v>
      </c>
      <c r="L353">
        <v>367.40989999999999</v>
      </c>
      <c r="M353">
        <v>0.9995714</v>
      </c>
      <c r="N353">
        <v>0</v>
      </c>
      <c r="O353">
        <v>-2.688022E-2</v>
      </c>
      <c r="P353">
        <v>0.98256310000000002</v>
      </c>
      <c r="Q353">
        <v>0.1794867</v>
      </c>
      <c r="R353">
        <v>-4.8519550000000002E-2</v>
      </c>
      <c r="S353">
        <v>3.0621640000000001</v>
      </c>
      <c r="T353">
        <v>-5.6170230000000002E-2</v>
      </c>
      <c r="U353">
        <v>-2.6275630000000001E-2</v>
      </c>
      <c r="V353">
        <v>2.1929770000000001E-2</v>
      </c>
      <c r="W353">
        <v>0.19090370000000001</v>
      </c>
      <c r="X353">
        <v>0.98136380000000001</v>
      </c>
      <c r="Y353">
        <v>-1.8296119999999999E-2</v>
      </c>
      <c r="Z353">
        <v>6.6078449999999896E-4</v>
      </c>
      <c r="AA353">
        <v>0.99983239999999995</v>
      </c>
      <c r="AB353">
        <v>28</v>
      </c>
      <c r="AC353">
        <v>57.631799999999998</v>
      </c>
      <c r="AD353">
        <v>-1.0602404126289999</v>
      </c>
      <c r="AE353">
        <v>-0.49180000000001201</v>
      </c>
      <c r="AF353">
        <v>-1.05727955932907</v>
      </c>
      <c r="AG353">
        <v>-1.0602404126289999</v>
      </c>
      <c r="AH353">
        <v>57.6046987639766</v>
      </c>
      <c r="AI353">
        <v>91.054258038896606</v>
      </c>
      <c r="AJ353">
        <v>91.051491577952007</v>
      </c>
      <c r="AK353">
        <v>57.624155260512403</v>
      </c>
      <c r="AL353">
        <v>78.994472466014798</v>
      </c>
      <c r="AM353">
        <v>88.719869037116993</v>
      </c>
      <c r="AN353">
        <v>1.00000002271819</v>
      </c>
    </row>
    <row r="354" spans="1:40" x14ac:dyDescent="0.25">
      <c r="A354" t="str">
        <f>"20190312172904357"</f>
        <v>20190312172904357</v>
      </c>
      <c r="B354" t="str">
        <f>"1552382944348250"</f>
        <v>1552382944348250</v>
      </c>
      <c r="C354" t="s">
        <v>40</v>
      </c>
      <c r="D354">
        <v>3.285199</v>
      </c>
      <c r="E354">
        <v>0.48750650000000001</v>
      </c>
      <c r="F354" t="s">
        <v>41</v>
      </c>
      <c r="G354">
        <v>-341.8732</v>
      </c>
      <c r="H354" s="1">
        <v>-4.2992210000000002E-6</v>
      </c>
      <c r="I354">
        <v>366.92649999999998</v>
      </c>
      <c r="J354">
        <v>-401.12700000000001</v>
      </c>
      <c r="K354">
        <v>1.060427</v>
      </c>
      <c r="L354">
        <v>367.40339999999998</v>
      </c>
      <c r="M354">
        <v>0.9995752</v>
      </c>
      <c r="N354">
        <v>0</v>
      </c>
      <c r="O354">
        <v>-2.644724E-2</v>
      </c>
      <c r="P354">
        <v>0.9827321</v>
      </c>
      <c r="Q354">
        <v>0.17877460000000001</v>
      </c>
      <c r="R354">
        <v>-4.7725549999999999E-2</v>
      </c>
      <c r="S354">
        <v>3.0620120000000002</v>
      </c>
      <c r="T354">
        <v>-5.4552910000000003E-2</v>
      </c>
      <c r="U354">
        <v>-2.4871830000000001E-2</v>
      </c>
      <c r="V354">
        <v>2.1550400000000001E-2</v>
      </c>
      <c r="W354">
        <v>0.190833</v>
      </c>
      <c r="X354">
        <v>0.98138590000000003</v>
      </c>
      <c r="Y354">
        <v>-1.8321649999999998E-2</v>
      </c>
      <c r="Z354">
        <v>6.3431529999999998E-4</v>
      </c>
      <c r="AA354">
        <v>0.9998319</v>
      </c>
      <c r="AB354">
        <v>28</v>
      </c>
      <c r="AC354">
        <v>59.253799999999899</v>
      </c>
      <c r="AD354">
        <v>-1.0604312992209901</v>
      </c>
      <c r="AE354">
        <v>-0.47689999999999999</v>
      </c>
      <c r="AF354">
        <v>-1.0901346978237301</v>
      </c>
      <c r="AG354">
        <v>-1.0604312992209901</v>
      </c>
      <c r="AH354">
        <v>59.226716144526499</v>
      </c>
      <c r="AI354">
        <v>91.025575356649</v>
      </c>
      <c r="AJ354">
        <v>91.0544745556452</v>
      </c>
      <c r="AK354">
        <v>59.246238812806403</v>
      </c>
      <c r="AL354">
        <v>78.998598547436401</v>
      </c>
      <c r="AM354">
        <v>88.742035566772898</v>
      </c>
      <c r="AN354">
        <v>0.99999996917398404</v>
      </c>
    </row>
    <row r="355" spans="1:40" x14ac:dyDescent="0.25">
      <c r="A355" t="str">
        <f>"20190312172904378"</f>
        <v>20190312172904378</v>
      </c>
      <c r="B355" t="str">
        <f>"1552382944367774"</f>
        <v>1552382944367774</v>
      </c>
      <c r="C355" t="s">
        <v>40</v>
      </c>
      <c r="D355">
        <v>3.1624539999999999</v>
      </c>
      <c r="E355">
        <v>0.48756500000000003</v>
      </c>
      <c r="F355" t="s">
        <v>41</v>
      </c>
      <c r="G355">
        <v>-340.6139</v>
      </c>
      <c r="H355" s="1">
        <v>-4.8875699999999899E-6</v>
      </c>
      <c r="I355">
        <v>366.96550000000002</v>
      </c>
      <c r="J355">
        <v>-400.85340000000002</v>
      </c>
      <c r="K355">
        <v>1.060986</v>
      </c>
      <c r="L355">
        <v>367.39679999999998</v>
      </c>
      <c r="M355">
        <v>0.99957050000000003</v>
      </c>
      <c r="N355">
        <v>0</v>
      </c>
      <c r="O355">
        <v>-2.598307E-2</v>
      </c>
      <c r="P355">
        <v>0.98303090000000004</v>
      </c>
      <c r="Q355">
        <v>0.17737900000000001</v>
      </c>
      <c r="R355">
        <v>-4.676947E-2</v>
      </c>
      <c r="S355">
        <v>3.061401</v>
      </c>
      <c r="T355">
        <v>-5.364799E-2</v>
      </c>
      <c r="U355">
        <v>-2.215576E-2</v>
      </c>
      <c r="V355">
        <v>2.1048899999999999E-2</v>
      </c>
      <c r="W355">
        <v>0.1907305</v>
      </c>
      <c r="X355">
        <v>0.98141679999999998</v>
      </c>
      <c r="Y355">
        <v>-1.874342E-2</v>
      </c>
      <c r="Z355">
        <v>6.1949420000000002E-4</v>
      </c>
      <c r="AA355">
        <v>0.99982409999999999</v>
      </c>
      <c r="AB355">
        <v>28</v>
      </c>
      <c r="AC355">
        <v>60.2395</v>
      </c>
      <c r="AD355">
        <v>-1.06099088757</v>
      </c>
      <c r="AE355">
        <v>-0.43129999999996399</v>
      </c>
      <c r="AF355">
        <v>-1.13384485099397</v>
      </c>
      <c r="AG355">
        <v>-1.06099088757</v>
      </c>
      <c r="AH355">
        <v>60.211688396883297</v>
      </c>
      <c r="AI355">
        <v>91.009326243293103</v>
      </c>
      <c r="AJ355">
        <v>91.0788079361039</v>
      </c>
      <c r="AK355">
        <v>60.231708637668604</v>
      </c>
      <c r="AL355">
        <v>79.004582236569703</v>
      </c>
      <c r="AM355">
        <v>88.771339287290203</v>
      </c>
      <c r="AN355">
        <v>1.00000005757184</v>
      </c>
    </row>
    <row r="356" spans="1:40" x14ac:dyDescent="0.25">
      <c r="A356" t="str">
        <f>"20190312172904391"</f>
        <v>20190312172904391</v>
      </c>
      <c r="B356" t="str">
        <f>"1552382944388267"</f>
        <v>1552382944388267</v>
      </c>
      <c r="C356" t="s">
        <v>40</v>
      </c>
      <c r="D356">
        <v>3.211217</v>
      </c>
      <c r="E356">
        <v>0.48749189999999998</v>
      </c>
      <c r="F356" t="s">
        <v>41</v>
      </c>
      <c r="G356">
        <v>-343.2165</v>
      </c>
      <c r="H356" s="1">
        <v>-3.646563E-6</v>
      </c>
      <c r="I356">
        <v>367.02609999999999</v>
      </c>
      <c r="J356">
        <v>-400.69970000000001</v>
      </c>
      <c r="K356">
        <v>1.061439</v>
      </c>
      <c r="L356">
        <v>367.3931</v>
      </c>
      <c r="M356">
        <v>0.99957130000000005</v>
      </c>
      <c r="N356">
        <v>0</v>
      </c>
      <c r="O356">
        <v>-2.5691729999999999E-2</v>
      </c>
      <c r="P356">
        <v>0.98314599999999996</v>
      </c>
      <c r="Q356">
        <v>0.17688099999999901</v>
      </c>
      <c r="R356">
        <v>-4.6227570000000003E-2</v>
      </c>
      <c r="S356">
        <v>3.0610050000000002</v>
      </c>
      <c r="T356">
        <v>-5.634749E-2</v>
      </c>
      <c r="U356">
        <v>-1.9683840000000001E-2</v>
      </c>
      <c r="V356">
        <v>2.078706E-2</v>
      </c>
      <c r="W356">
        <v>0.19069920000000001</v>
      </c>
      <c r="X356">
        <v>0.98142839999999998</v>
      </c>
      <c r="Y356">
        <v>-1.925787E-2</v>
      </c>
      <c r="Z356">
        <v>6.5012489999999995E-4</v>
      </c>
      <c r="AA356">
        <v>0.99981430000000004</v>
      </c>
      <c r="AB356">
        <v>28</v>
      </c>
      <c r="AC356">
        <v>57.483199999999997</v>
      </c>
      <c r="AD356">
        <v>-1.061442646563</v>
      </c>
      <c r="AE356">
        <v>-0.36700000000001798</v>
      </c>
      <c r="AF356">
        <v>-1.1097312566593101</v>
      </c>
      <c r="AG356">
        <v>-1.061442646563</v>
      </c>
      <c r="AH356">
        <v>57.454062508081499</v>
      </c>
      <c r="AI356">
        <v>91.058200692919002</v>
      </c>
      <c r="AJ356">
        <v>91.106536411268493</v>
      </c>
      <c r="AK356">
        <v>57.474581013144302</v>
      </c>
      <c r="AL356">
        <v>79.006408435544202</v>
      </c>
      <c r="AM356">
        <v>88.786633080269297</v>
      </c>
      <c r="AN356">
        <v>0.99999999553532104</v>
      </c>
    </row>
    <row r="357" spans="1:40" x14ac:dyDescent="0.25">
      <c r="A357" t="str">
        <f>"20190312172904403"</f>
        <v>20190312172904403</v>
      </c>
      <c r="B357" t="str">
        <f>"1552382944398026"</f>
        <v>1552382944398026</v>
      </c>
      <c r="C357" t="s">
        <v>40</v>
      </c>
      <c r="D357">
        <v>3.2913070000000002</v>
      </c>
      <c r="E357">
        <v>0.48754219999999998</v>
      </c>
      <c r="F357" t="s">
        <v>41</v>
      </c>
      <c r="G357">
        <v>-343.04</v>
      </c>
      <c r="H357" s="1">
        <v>-3.7240330000000001E-6</v>
      </c>
      <c r="I357">
        <v>367.05970000000002</v>
      </c>
      <c r="J357">
        <v>-400.53859999999997</v>
      </c>
      <c r="K357">
        <v>1.0619559999999999</v>
      </c>
      <c r="L357">
        <v>367.38929999999999</v>
      </c>
      <c r="M357">
        <v>0.99957660000000004</v>
      </c>
      <c r="N357">
        <v>0</v>
      </c>
      <c r="O357">
        <v>-2.5366730000000001E-2</v>
      </c>
      <c r="P357">
        <v>0.98315180000000002</v>
      </c>
      <c r="Q357">
        <v>0.17698839999999999</v>
      </c>
      <c r="R357">
        <v>-4.5691530000000001E-2</v>
      </c>
      <c r="S357">
        <v>3.0607600000000001</v>
      </c>
      <c r="T357">
        <v>-5.6344749999999999E-2</v>
      </c>
      <c r="U357">
        <v>-1.7700199999999999E-2</v>
      </c>
      <c r="V357">
        <v>2.0560760000000001E-2</v>
      </c>
      <c r="W357">
        <v>0.19101560000000001</v>
      </c>
      <c r="X357">
        <v>0.98137160000000001</v>
      </c>
      <c r="Y357">
        <v>-1.958029E-2</v>
      </c>
      <c r="Z357">
        <v>6.4713499999999996E-4</v>
      </c>
      <c r="AA357">
        <v>0.99980809999999998</v>
      </c>
      <c r="AB357">
        <v>27</v>
      </c>
      <c r="AC357">
        <v>57.498599999999897</v>
      </c>
      <c r="AD357">
        <v>-1.0619597240330001</v>
      </c>
      <c r="AE357">
        <v>-0.32959999999996997</v>
      </c>
      <c r="AF357">
        <v>-1.1288206733066299</v>
      </c>
      <c r="AG357">
        <v>-1.0619597240330001</v>
      </c>
      <c r="AH357">
        <v>57.468852769321302</v>
      </c>
      <c r="AI357">
        <v>91.058436921400798</v>
      </c>
      <c r="AJ357">
        <v>91.125276412602105</v>
      </c>
      <c r="AK357">
        <v>57.489747200608598</v>
      </c>
      <c r="AL357">
        <v>78.987940182858395</v>
      </c>
      <c r="AM357">
        <v>88.799769169144298</v>
      </c>
      <c r="AN357">
        <v>0.99999996079084796</v>
      </c>
    </row>
    <row r="358" spans="1:40" x14ac:dyDescent="0.25">
      <c r="A358" t="str">
        <f>"20190312172904422"</f>
        <v>20190312172904422</v>
      </c>
      <c r="B358" t="str">
        <f>"1552382944417547"</f>
        <v>1552382944417547</v>
      </c>
      <c r="C358" t="s">
        <v>40</v>
      </c>
      <c r="D358">
        <v>3.4303330000000001</v>
      </c>
      <c r="E358">
        <v>0.48766179999999898</v>
      </c>
      <c r="F358" t="s">
        <v>41</v>
      </c>
      <c r="G358">
        <v>-341.9821</v>
      </c>
      <c r="H358" s="1">
        <v>-4.2225370000000002E-6</v>
      </c>
      <c r="I358">
        <v>367.06869999999998</v>
      </c>
      <c r="J358">
        <v>-400.3073</v>
      </c>
      <c r="K358">
        <v>1.062624</v>
      </c>
      <c r="L358">
        <v>367.38400000000001</v>
      </c>
      <c r="M358">
        <v>0.99960530000000003</v>
      </c>
      <c r="N358">
        <v>0</v>
      </c>
      <c r="O358">
        <v>-2.4853790000000001E-2</v>
      </c>
      <c r="P358">
        <v>0.98293600000000003</v>
      </c>
      <c r="Q358">
        <v>0.17837999999999901</v>
      </c>
      <c r="R358">
        <v>-4.4914580000000003E-2</v>
      </c>
      <c r="S358">
        <v>3.060638</v>
      </c>
      <c r="T358">
        <v>-5.5506590000000001E-2</v>
      </c>
      <c r="U358">
        <v>-1.6754149999999999E-2</v>
      </c>
      <c r="V358">
        <v>2.027352E-2</v>
      </c>
      <c r="W358">
        <v>0.19126509999999999</v>
      </c>
      <c r="X358">
        <v>0.98132900000000001</v>
      </c>
      <c r="Y358">
        <v>-1.9375980000000001E-2</v>
      </c>
      <c r="Z358">
        <v>6.2637670000000002E-4</v>
      </c>
      <c r="AA358">
        <v>0.99981209999999998</v>
      </c>
      <c r="AB358">
        <v>27</v>
      </c>
      <c r="AC358">
        <v>58.325200000000002</v>
      </c>
      <c r="AD358">
        <v>-1.0626282225370001</v>
      </c>
      <c r="AE358">
        <v>-0.315300000000036</v>
      </c>
      <c r="AF358">
        <v>-1.1341475801123599</v>
      </c>
      <c r="AG358">
        <v>-1.0626282225370001</v>
      </c>
      <c r="AH358">
        <v>58.295667461845703</v>
      </c>
      <c r="AI358">
        <v>91.044088828374697</v>
      </c>
      <c r="AJ358">
        <v>91.114554062362302</v>
      </c>
      <c r="AK358">
        <v>58.316381183119603</v>
      </c>
      <c r="AL358">
        <v>78.973376584385306</v>
      </c>
      <c r="AM358">
        <v>88.816480591845504</v>
      </c>
      <c r="AN358">
        <v>0.99999998016610003</v>
      </c>
    </row>
    <row r="359" spans="1:40" x14ac:dyDescent="0.25">
      <c r="A359" t="str">
        <f>"20190312172904445"</f>
        <v>20190312172904445</v>
      </c>
      <c r="B359" t="str">
        <f>"1552382944438042"</f>
        <v>1552382944438042</v>
      </c>
      <c r="C359" t="s">
        <v>40</v>
      </c>
      <c r="D359">
        <v>3.2062300000000001</v>
      </c>
      <c r="E359">
        <v>0.4877321</v>
      </c>
      <c r="F359" t="s">
        <v>41</v>
      </c>
      <c r="G359">
        <v>-335.22379999999998</v>
      </c>
      <c r="H359" s="1">
        <v>-2.4846139999999999E-6</v>
      </c>
      <c r="I359">
        <v>367.0607</v>
      </c>
      <c r="J359">
        <v>-400.02300000000002</v>
      </c>
      <c r="K359">
        <v>1.063615</v>
      </c>
      <c r="L359">
        <v>367.3777</v>
      </c>
      <c r="M359">
        <v>0.99964719999999996</v>
      </c>
      <c r="N359">
        <v>0</v>
      </c>
      <c r="O359">
        <v>-2.4246520000000001E-2</v>
      </c>
      <c r="P359">
        <v>0.98258069999999997</v>
      </c>
      <c r="Q359">
        <v>0.18055270000000001</v>
      </c>
      <c r="R359">
        <v>-4.3998830000000003E-2</v>
      </c>
      <c r="S359">
        <v>3.0604550000000001</v>
      </c>
      <c r="T359">
        <v>-4.9968480000000003E-2</v>
      </c>
      <c r="U359">
        <v>-1.5197749999999999E-2</v>
      </c>
      <c r="V359">
        <v>1.99429E-2</v>
      </c>
      <c r="W359">
        <v>0.1912239</v>
      </c>
      <c r="X359">
        <v>0.98134379999999999</v>
      </c>
      <c r="Y359">
        <v>-1.9277530000000001E-2</v>
      </c>
      <c r="Z359">
        <v>5.5319780000000001E-4</v>
      </c>
      <c r="AA359">
        <v>0.99981399999999998</v>
      </c>
      <c r="AB359">
        <v>27</v>
      </c>
      <c r="AC359">
        <v>64.799199999999999</v>
      </c>
      <c r="AD359">
        <v>-1.0636174846140001</v>
      </c>
      <c r="AE359">
        <v>-0.317000000000007</v>
      </c>
      <c r="AF359">
        <v>-1.25400283559826</v>
      </c>
      <c r="AG359">
        <v>-1.0636174846140001</v>
      </c>
      <c r="AH359">
        <v>64.770383943935897</v>
      </c>
      <c r="AI359">
        <v>90.940613550365498</v>
      </c>
      <c r="AJ359">
        <v>91.1091503609738</v>
      </c>
      <c r="AK359">
        <v>64.791252816334193</v>
      </c>
      <c r="AL359">
        <v>78.975781519589503</v>
      </c>
      <c r="AM359">
        <v>88.835793590434903</v>
      </c>
      <c r="AN359">
        <v>0.99999997649502903</v>
      </c>
    </row>
    <row r="360" spans="1:40" x14ac:dyDescent="0.25">
      <c r="A360" t="str">
        <f>"20190312172904458"</f>
        <v>20190312172904458</v>
      </c>
      <c r="B360" t="str">
        <f>"1552382944447803"</f>
        <v>1552382944447803</v>
      </c>
      <c r="C360" t="s">
        <v>40</v>
      </c>
      <c r="D360">
        <v>3.1908249999999998</v>
      </c>
      <c r="E360">
        <v>0.4878516</v>
      </c>
      <c r="F360" t="s">
        <v>41</v>
      </c>
      <c r="G360">
        <v>-324.30590000000001</v>
      </c>
      <c r="H360" s="1">
        <v>-2.8827229999999902E-6</v>
      </c>
      <c r="I360">
        <v>367.03640000000001</v>
      </c>
      <c r="J360">
        <v>-399.86309999999997</v>
      </c>
      <c r="K360">
        <v>1.0643</v>
      </c>
      <c r="L360">
        <v>367.37430000000001</v>
      </c>
      <c r="M360">
        <v>0.99966900000000003</v>
      </c>
      <c r="N360">
        <v>0</v>
      </c>
      <c r="O360">
        <v>-2.3892389999999999E-2</v>
      </c>
      <c r="P360">
        <v>0.98239889999999996</v>
      </c>
      <c r="Q360">
        <v>0.181618</v>
      </c>
      <c r="R360">
        <v>-4.3673789999999997E-2</v>
      </c>
      <c r="S360">
        <v>3.060425</v>
      </c>
      <c r="T360">
        <v>-4.2990569999999999E-2</v>
      </c>
      <c r="U360">
        <v>-1.3793949999999999E-2</v>
      </c>
      <c r="V360">
        <v>1.9970310000000002E-2</v>
      </c>
      <c r="W360">
        <v>0.1910259</v>
      </c>
      <c r="X360">
        <v>0.98138179999999997</v>
      </c>
      <c r="Y360">
        <v>-1.93831E-2</v>
      </c>
      <c r="Z360">
        <v>4.717233E-4</v>
      </c>
      <c r="AA360">
        <v>0.99981200000000003</v>
      </c>
      <c r="AB360">
        <v>28</v>
      </c>
      <c r="AC360">
        <v>75.557199999999895</v>
      </c>
      <c r="AD360">
        <v>-1.0643028827230001</v>
      </c>
      <c r="AE360">
        <v>-0.33789999999998999</v>
      </c>
      <c r="AF360">
        <v>-1.4672296233076501</v>
      </c>
      <c r="AG360">
        <v>-1.0643028827230001</v>
      </c>
      <c r="AH360">
        <v>75.528716911537202</v>
      </c>
      <c r="AI360">
        <v>90.807170166123001</v>
      </c>
      <c r="AJ360">
        <v>91.112894486242396</v>
      </c>
      <c r="AK360">
        <v>75.550463808614793</v>
      </c>
      <c r="AL360">
        <v>78.9873390967375</v>
      </c>
      <c r="AM360">
        <v>88.834239047145601</v>
      </c>
      <c r="AN360">
        <v>0.99999997256177198</v>
      </c>
    </row>
    <row r="361" spans="1:40" x14ac:dyDescent="0.25">
      <c r="A361" t="str">
        <f>"20190312172904480"</f>
        <v>20190312172904480</v>
      </c>
      <c r="B361" t="str">
        <f>"1552382944478060"</f>
        <v>1552382944478060</v>
      </c>
      <c r="C361" t="s">
        <v>40</v>
      </c>
      <c r="D361">
        <v>3.212847</v>
      </c>
      <c r="E361">
        <v>0.4878999</v>
      </c>
      <c r="F361" t="s">
        <v>43</v>
      </c>
      <c r="G361">
        <v>-314.9067</v>
      </c>
      <c r="H361">
        <v>-0.05</v>
      </c>
      <c r="I361">
        <v>366.98880000000003</v>
      </c>
      <c r="J361">
        <v>-399.5813</v>
      </c>
      <c r="K361">
        <v>1.065682</v>
      </c>
      <c r="L361">
        <v>367.36840000000001</v>
      </c>
      <c r="M361">
        <v>0.99970230000000004</v>
      </c>
      <c r="N361">
        <v>0</v>
      </c>
      <c r="O361">
        <v>-2.3240159999999999E-2</v>
      </c>
      <c r="P361">
        <v>0.98209400000000002</v>
      </c>
      <c r="Q361">
        <v>0.18345139999999999</v>
      </c>
      <c r="R361">
        <v>-4.2861669999999998E-2</v>
      </c>
      <c r="S361">
        <v>3.0605470000000001</v>
      </c>
      <c r="T361">
        <v>-4.0142539999999997E-2</v>
      </c>
      <c r="U361">
        <v>-1.38855E-2</v>
      </c>
      <c r="V361">
        <v>1.9815860000000001E-2</v>
      </c>
      <c r="W361">
        <v>0.19077640000000001</v>
      </c>
      <c r="X361">
        <v>0.98143349999999996</v>
      </c>
      <c r="Y361">
        <v>-1.8701300000000001E-2</v>
      </c>
      <c r="Z361">
        <v>4.2742870000000001E-4</v>
      </c>
      <c r="AA361">
        <v>0.99982499999999996</v>
      </c>
      <c r="AB361">
        <v>28</v>
      </c>
      <c r="AC361">
        <v>84.674599999999998</v>
      </c>
      <c r="AD361">
        <v>-1.1156820000000001</v>
      </c>
      <c r="AE361">
        <v>-0.37959999999998201</v>
      </c>
      <c r="AF361">
        <v>-1.58813239455628</v>
      </c>
      <c r="AG361">
        <v>-1.1156820000000001</v>
      </c>
      <c r="AH361">
        <v>84.645856202799393</v>
      </c>
      <c r="AI361">
        <v>90.755015368345099</v>
      </c>
      <c r="AJ361">
        <v>91.074861934550796</v>
      </c>
      <c r="AK361">
        <v>84.668104284510505</v>
      </c>
      <c r="AL361">
        <v>79.001902626612306</v>
      </c>
      <c r="AM361">
        <v>88.843313479686401</v>
      </c>
      <c r="AN361">
        <v>1.0000000090133701</v>
      </c>
    </row>
    <row r="362" spans="1:40" x14ac:dyDescent="0.25">
      <c r="A362" t="str">
        <f>"20190312172904505"</f>
        <v>20190312172904505</v>
      </c>
      <c r="B362" t="str">
        <f>"1552382944497579"</f>
        <v>1552382944497579</v>
      </c>
      <c r="C362" t="s">
        <v>40</v>
      </c>
      <c r="D362">
        <v>3.2059829999999998</v>
      </c>
      <c r="E362">
        <v>0.48791620000000002</v>
      </c>
      <c r="F362" t="s">
        <v>43</v>
      </c>
      <c r="G362">
        <v>-295.90609999999998</v>
      </c>
      <c r="H362">
        <v>-0.05</v>
      </c>
      <c r="I362">
        <v>366.97340000000003</v>
      </c>
      <c r="J362">
        <v>-399.28809999999999</v>
      </c>
      <c r="K362">
        <v>1.0672790000000001</v>
      </c>
      <c r="L362">
        <v>367.3623</v>
      </c>
      <c r="M362">
        <v>0.99973160000000005</v>
      </c>
      <c r="N362">
        <v>0</v>
      </c>
      <c r="O362">
        <v>-2.252403E-2</v>
      </c>
      <c r="P362">
        <v>0.98177519999999996</v>
      </c>
      <c r="Q362">
        <v>0.18535019999999999</v>
      </c>
      <c r="R362">
        <v>-4.1986889999999999E-2</v>
      </c>
      <c r="S362">
        <v>3.0603030000000002</v>
      </c>
      <c r="T362">
        <v>-3.2932879999999998E-2</v>
      </c>
      <c r="U362">
        <v>-1.165771E-2</v>
      </c>
      <c r="V362">
        <v>1.9668060000000001E-2</v>
      </c>
      <c r="W362">
        <v>0.19069259999999999</v>
      </c>
      <c r="X362">
        <v>0.98145280000000001</v>
      </c>
      <c r="Y362">
        <v>-1.8713480000000001E-2</v>
      </c>
      <c r="Z362">
        <v>3.4305339999999998E-4</v>
      </c>
      <c r="AA362">
        <v>0.99982479999999996</v>
      </c>
      <c r="AB362">
        <v>28</v>
      </c>
      <c r="AC362">
        <v>103.38200000000001</v>
      </c>
      <c r="AD362">
        <v>-1.1172789999999999</v>
      </c>
      <c r="AE362">
        <v>-0.38889999999997799</v>
      </c>
      <c r="AF362">
        <v>-1.93958562634525</v>
      </c>
      <c r="AG362">
        <v>-1.1172789999999999</v>
      </c>
      <c r="AH362">
        <v>103.35245999687299</v>
      </c>
      <c r="AI362">
        <v>90.619255789738204</v>
      </c>
      <c r="AJ362">
        <v>91.075127063988901</v>
      </c>
      <c r="AK362">
        <v>103.37669607881099</v>
      </c>
      <c r="AL362">
        <v>79.006794256939301</v>
      </c>
      <c r="AM362">
        <v>88.851961077575297</v>
      </c>
      <c r="AN362">
        <v>1.0000000494533801</v>
      </c>
    </row>
    <row r="363" spans="1:40" x14ac:dyDescent="0.25">
      <c r="A363" t="str">
        <f>"20190312172904522"</f>
        <v>20190312172904522</v>
      </c>
      <c r="B363" t="str">
        <f>"1552382944518077"</f>
        <v>1552382944518077</v>
      </c>
      <c r="C363" t="s">
        <v>40</v>
      </c>
      <c r="D363">
        <v>3.201959</v>
      </c>
      <c r="E363">
        <v>0.48798069999999999</v>
      </c>
      <c r="F363" t="s">
        <v>41</v>
      </c>
      <c r="G363">
        <v>-278.10969999999998</v>
      </c>
      <c r="H363" s="1">
        <v>-1.328107E-6</v>
      </c>
      <c r="I363">
        <v>366.99009999999998</v>
      </c>
      <c r="J363">
        <v>-399.05450000000002</v>
      </c>
      <c r="K363">
        <v>1.068595</v>
      </c>
      <c r="L363">
        <v>367.35759999999999</v>
      </c>
      <c r="M363">
        <v>0.99975150000000002</v>
      </c>
      <c r="N363">
        <v>0</v>
      </c>
      <c r="O363">
        <v>-2.194627E-2</v>
      </c>
      <c r="P363">
        <v>0.9816743</v>
      </c>
      <c r="Q363">
        <v>0.18606780000000001</v>
      </c>
      <c r="R363">
        <v>-4.1168679999999999E-2</v>
      </c>
      <c r="S363">
        <v>3.0603639999999999</v>
      </c>
      <c r="T363">
        <v>-2.695417E-2</v>
      </c>
      <c r="U363">
        <v>-9.399414E-3</v>
      </c>
      <c r="V363">
        <v>1.942988E-2</v>
      </c>
      <c r="W363">
        <v>0.18994359999999999</v>
      </c>
      <c r="X363">
        <v>0.98160270000000005</v>
      </c>
      <c r="Y363">
        <v>-1.8874169999999999E-2</v>
      </c>
      <c r="Z363">
        <v>2.7639130000000001E-4</v>
      </c>
      <c r="AA363">
        <v>0.99982179999999998</v>
      </c>
      <c r="AB363">
        <v>28</v>
      </c>
      <c r="AC363">
        <v>120.9448</v>
      </c>
      <c r="AD363">
        <v>-1.0685963281069999</v>
      </c>
      <c r="AE363">
        <v>-0.36750000000000599</v>
      </c>
      <c r="AF363">
        <v>-2.28671754431894</v>
      </c>
      <c r="AG363">
        <v>-1.0685963281069999</v>
      </c>
      <c r="AH363">
        <v>120.914296496866</v>
      </c>
      <c r="AI363">
        <v>90.506255440480302</v>
      </c>
      <c r="AJ363">
        <v>91.083442167556797</v>
      </c>
      <c r="AK363">
        <v>120.940638631404</v>
      </c>
      <c r="AL363">
        <v>79.050506955652295</v>
      </c>
      <c r="AM363">
        <v>88.8660333119455</v>
      </c>
      <c r="AN363">
        <v>0.99999997603253099</v>
      </c>
    </row>
    <row r="364" spans="1:40" x14ac:dyDescent="0.25">
      <c r="A364" t="str">
        <f>"20190312172904546"</f>
        <v>20190312172904546</v>
      </c>
      <c r="B364" t="str">
        <f>"1552382944537598"</f>
        <v>1552382944537598</v>
      </c>
      <c r="C364" t="s">
        <v>40</v>
      </c>
      <c r="D364">
        <v>3.205063</v>
      </c>
      <c r="E364">
        <v>0.4880681</v>
      </c>
      <c r="F364" t="s">
        <v>41</v>
      </c>
      <c r="G364">
        <v>-265.90219999999999</v>
      </c>
      <c r="H364" s="1">
        <v>-2.1974419999999998E-6</v>
      </c>
      <c r="I364">
        <v>367.03890000000001</v>
      </c>
      <c r="J364">
        <v>-398.76479999999998</v>
      </c>
      <c r="K364">
        <v>1.0702320000000001</v>
      </c>
      <c r="L364">
        <v>367.35199999999998</v>
      </c>
      <c r="M364">
        <v>0.99977380000000005</v>
      </c>
      <c r="N364">
        <v>0</v>
      </c>
      <c r="O364">
        <v>-2.1144110000000001E-2</v>
      </c>
      <c r="P364">
        <v>0.98162760000000004</v>
      </c>
      <c r="Q364">
        <v>0.18651770000000001</v>
      </c>
      <c r="R364">
        <v>-4.0231160000000002E-2</v>
      </c>
      <c r="S364">
        <v>3.0603639999999999</v>
      </c>
      <c r="T364">
        <v>-2.456057E-2</v>
      </c>
      <c r="U364">
        <v>-7.3242189999999999E-3</v>
      </c>
      <c r="V364">
        <v>1.928821E-2</v>
      </c>
      <c r="W364">
        <v>0.1887867</v>
      </c>
      <c r="X364">
        <v>0.9818287</v>
      </c>
      <c r="Y364">
        <v>-1.875011E-2</v>
      </c>
      <c r="Z364">
        <v>2.4491340000000001E-4</v>
      </c>
      <c r="AA364">
        <v>0.99982420000000005</v>
      </c>
      <c r="AB364">
        <v>28</v>
      </c>
      <c r="AC364">
        <v>132.86259999999999</v>
      </c>
      <c r="AD364">
        <v>-1.070234197442</v>
      </c>
      <c r="AE364">
        <v>-0.31309999999996302</v>
      </c>
      <c r="AF364">
        <v>-2.49607687692678</v>
      </c>
      <c r="AG364">
        <v>-1.070234197442</v>
      </c>
      <c r="AH364">
        <v>132.830898254364</v>
      </c>
      <c r="AI364">
        <v>90.461547377899706</v>
      </c>
      <c r="AJ364">
        <v>91.076540490442696</v>
      </c>
      <c r="AK364">
        <v>132.85865922879901</v>
      </c>
      <c r="AL364">
        <v>79.118014404658894</v>
      </c>
      <c r="AM364">
        <v>88.874558371524799</v>
      </c>
      <c r="AN364">
        <v>1.00000002464279</v>
      </c>
    </row>
    <row r="365" spans="1:40" x14ac:dyDescent="0.25">
      <c r="A365" t="str">
        <f>"20190312172904559"</f>
        <v>20190312172904559</v>
      </c>
      <c r="B365" t="str">
        <f>"1552382944548331"</f>
        <v>1552382944548331</v>
      </c>
      <c r="C365" t="s">
        <v>40</v>
      </c>
      <c r="D365">
        <v>3.187805</v>
      </c>
      <c r="E365">
        <v>0.48819040000000002</v>
      </c>
      <c r="F365" t="s">
        <v>41</v>
      </c>
      <c r="G365">
        <v>-258.76870000000002</v>
      </c>
      <c r="H365" s="1">
        <v>-1.0677660000000001E-6</v>
      </c>
      <c r="I365">
        <v>367.12580000000003</v>
      </c>
      <c r="J365">
        <v>-398.601</v>
      </c>
      <c r="K365">
        <v>1.071172</v>
      </c>
      <c r="L365">
        <v>367.34870000000001</v>
      </c>
      <c r="M365">
        <v>0.99979419999999997</v>
      </c>
      <c r="N365">
        <v>0</v>
      </c>
      <c r="O365">
        <v>-2.021852E-2</v>
      </c>
      <c r="P365">
        <v>0.98167110000000002</v>
      </c>
      <c r="Q365">
        <v>0.1864693</v>
      </c>
      <c r="R365">
        <v>-3.938647E-2</v>
      </c>
      <c r="S365">
        <v>3.0603639999999999</v>
      </c>
      <c r="T365">
        <v>-2.3395659999999999E-2</v>
      </c>
      <c r="U365">
        <v>-4.9438479999999998E-3</v>
      </c>
      <c r="V365">
        <v>1.9366120000000001E-2</v>
      </c>
      <c r="W365">
        <v>0.18811140000000001</v>
      </c>
      <c r="X365">
        <v>0.98195679999999996</v>
      </c>
      <c r="Y365">
        <v>-1.8602279999999999E-2</v>
      </c>
      <c r="Z365">
        <v>2.2565810000000001E-4</v>
      </c>
      <c r="AA365">
        <v>0.99982689999999996</v>
      </c>
      <c r="AB365">
        <v>28</v>
      </c>
      <c r="AC365">
        <v>139.83229999999901</v>
      </c>
      <c r="AD365">
        <v>-1.0711730677660001</v>
      </c>
      <c r="AE365">
        <v>-0.222899999999981</v>
      </c>
      <c r="AF365">
        <v>-2.6041988138791101</v>
      </c>
      <c r="AG365">
        <v>-1.0711730677660001</v>
      </c>
      <c r="AH365">
        <v>139.800019079885</v>
      </c>
      <c r="AI365">
        <v>90.438925904637301</v>
      </c>
      <c r="AJ365">
        <v>91.067184016662097</v>
      </c>
      <c r="AK365">
        <v>139.82837551062201</v>
      </c>
      <c r="AL365">
        <v>79.157412426698997</v>
      </c>
      <c r="AM365">
        <v>88.870160974855395</v>
      </c>
      <c r="AN365">
        <v>1.00000005124002</v>
      </c>
    </row>
    <row r="366" spans="1:40" x14ac:dyDescent="0.25">
      <c r="A366" t="str">
        <f>"20190312172904570"</f>
        <v>20190312172904570</v>
      </c>
      <c r="B366" t="str">
        <f>"1552382944567851"</f>
        <v>1552382944567851</v>
      </c>
      <c r="C366" t="s">
        <v>40</v>
      </c>
      <c r="D366">
        <v>3.2477119999999999</v>
      </c>
      <c r="E366">
        <v>0.48832880000000001</v>
      </c>
      <c r="F366" t="s">
        <v>41</v>
      </c>
      <c r="G366">
        <v>-263.11579999999998</v>
      </c>
      <c r="H366" s="1">
        <v>-3.3649429999999999E-6</v>
      </c>
      <c r="I366">
        <v>367.19600000000003</v>
      </c>
      <c r="J366">
        <v>-398.44909999999999</v>
      </c>
      <c r="K366">
        <v>1.0722370000000001</v>
      </c>
      <c r="L366">
        <v>367.34570000000002</v>
      </c>
      <c r="M366">
        <v>0.99981100000000001</v>
      </c>
      <c r="N366">
        <v>0</v>
      </c>
      <c r="O366">
        <v>-1.939979E-2</v>
      </c>
      <c r="P366">
        <v>0.98174790000000001</v>
      </c>
      <c r="Q366">
        <v>0.1862357</v>
      </c>
      <c r="R366">
        <v>-3.8573660000000003E-2</v>
      </c>
      <c r="S366">
        <v>3.060486</v>
      </c>
      <c r="T366">
        <v>-2.4196860000000001E-2</v>
      </c>
      <c r="U366">
        <v>-3.4484860000000002E-3</v>
      </c>
      <c r="V366">
        <v>1.9330730000000001E-2</v>
      </c>
      <c r="W366">
        <v>0.18762239999999999</v>
      </c>
      <c r="X366">
        <v>0.98205100000000001</v>
      </c>
      <c r="Y366">
        <v>-1.827206E-2</v>
      </c>
      <c r="Z366">
        <v>2.2559929999999999E-4</v>
      </c>
      <c r="AA366">
        <v>0.99983299999999997</v>
      </c>
      <c r="AB366">
        <v>28</v>
      </c>
      <c r="AC366">
        <v>135.33330000000001</v>
      </c>
      <c r="AD366">
        <v>-1.0722403649429999</v>
      </c>
      <c r="AE366">
        <v>-0.14970000000005201</v>
      </c>
      <c r="AF366">
        <v>-2.4756124871296898</v>
      </c>
      <c r="AG366">
        <v>-1.0722403649429999</v>
      </c>
      <c r="AH366">
        <v>135.3022418864</v>
      </c>
      <c r="AI366">
        <v>90.453970905385404</v>
      </c>
      <c r="AJ366">
        <v>91.048218565615301</v>
      </c>
      <c r="AK366">
        <v>135.32913587277699</v>
      </c>
      <c r="AL366">
        <v>79.185937460299996</v>
      </c>
      <c r="AM366">
        <v>88.872333279654399</v>
      </c>
      <c r="AN366">
        <v>1.0000000043525401</v>
      </c>
    </row>
    <row r="367" spans="1:40" x14ac:dyDescent="0.25">
      <c r="A367" t="str">
        <f>"20190312172904590"</f>
        <v>20190312172904590</v>
      </c>
      <c r="B367" t="str">
        <f>"1552382944577611"</f>
        <v>1552382944577611</v>
      </c>
      <c r="C367" t="s">
        <v>40</v>
      </c>
      <c r="D367">
        <v>3.1884809999999999</v>
      </c>
      <c r="E367">
        <v>0.4883651</v>
      </c>
      <c r="F367" t="s">
        <v>41</v>
      </c>
      <c r="G367">
        <v>-269.20249999999999</v>
      </c>
      <c r="H367" s="1">
        <v>-8.8011879999999996E-7</v>
      </c>
      <c r="I367">
        <v>367.27609999999999</v>
      </c>
      <c r="J367">
        <v>-398.2149</v>
      </c>
      <c r="K367">
        <v>1.0742370000000001</v>
      </c>
      <c r="L367">
        <v>367.34100000000001</v>
      </c>
      <c r="M367">
        <v>0.99982859999999996</v>
      </c>
      <c r="N367">
        <v>0</v>
      </c>
      <c r="O367">
        <v>-1.846267E-2</v>
      </c>
      <c r="P367">
        <v>0.98184839999999995</v>
      </c>
      <c r="Q367">
        <v>0.18583930000000001</v>
      </c>
      <c r="R367">
        <v>-3.7913700000000002E-2</v>
      </c>
      <c r="S367">
        <v>3.0605470000000001</v>
      </c>
      <c r="T367">
        <v>-2.5390510000000002E-2</v>
      </c>
      <c r="U367">
        <v>-1.6479489999999999E-3</v>
      </c>
      <c r="V367">
        <v>1.9479159999999999E-2</v>
      </c>
      <c r="W367">
        <v>0.18724679999999999</v>
      </c>
      <c r="X367">
        <v>0.98211970000000004</v>
      </c>
      <c r="Y367">
        <v>-1.7923080000000001E-2</v>
      </c>
      <c r="Z367">
        <v>2.2750259999999999E-4</v>
      </c>
      <c r="AA367">
        <v>0.99983940000000004</v>
      </c>
      <c r="AB367">
        <v>28</v>
      </c>
      <c r="AC367">
        <v>129.01240000000001</v>
      </c>
      <c r="AD367">
        <v>-1.0742378801187999</v>
      </c>
      <c r="AE367">
        <v>-6.4900000000022801E-2</v>
      </c>
      <c r="AF367">
        <v>-2.3168660581495399</v>
      </c>
      <c r="AG367">
        <v>-1.0742378801187999</v>
      </c>
      <c r="AH367">
        <v>128.98266536010601</v>
      </c>
      <c r="AI367">
        <v>90.4771024615996</v>
      </c>
      <c r="AJ367">
        <v>91.029071403306105</v>
      </c>
      <c r="AK367">
        <v>129.00794478927099</v>
      </c>
      <c r="AL367">
        <v>79.207845483153505</v>
      </c>
      <c r="AM367">
        <v>88.863756277162395</v>
      </c>
      <c r="AN367">
        <v>0.99999995345631598</v>
      </c>
    </row>
    <row r="368" spans="1:40" x14ac:dyDescent="0.25">
      <c r="A368" t="str">
        <f>"20190312172904602"</f>
        <v>20190312172904602</v>
      </c>
      <c r="B368" t="str">
        <f>"1552382944598106"</f>
        <v>1552382944598106</v>
      </c>
      <c r="C368" t="s">
        <v>40</v>
      </c>
      <c r="D368">
        <v>3.2037520000000002</v>
      </c>
      <c r="E368">
        <v>0.48857109999999898</v>
      </c>
      <c r="F368" t="s">
        <v>41</v>
      </c>
      <c r="G368">
        <v>-274.50139999999999</v>
      </c>
      <c r="H368" s="1">
        <v>-2.7430409999999999E-6</v>
      </c>
      <c r="I368">
        <v>367.35079999999999</v>
      </c>
      <c r="J368">
        <v>-398.05180000000001</v>
      </c>
      <c r="K368">
        <v>1.075877</v>
      </c>
      <c r="L368">
        <v>367.33780000000002</v>
      </c>
      <c r="M368">
        <v>0.99983359999999999</v>
      </c>
      <c r="N368">
        <v>0</v>
      </c>
      <c r="O368">
        <v>-1.8175380000000001E-2</v>
      </c>
      <c r="P368">
        <v>0.98190549999999999</v>
      </c>
      <c r="Q368">
        <v>0.185506</v>
      </c>
      <c r="R368">
        <v>-3.8069840000000001E-2</v>
      </c>
      <c r="S368">
        <v>3.0605159999999998</v>
      </c>
      <c r="T368">
        <v>-2.6575330000000001E-2</v>
      </c>
      <c r="U368">
        <v>2.4414059999999999E-4</v>
      </c>
      <c r="V368">
        <v>1.9790619999999998E-2</v>
      </c>
      <c r="W368">
        <v>0.18709970000000001</v>
      </c>
      <c r="X368">
        <v>0.98214159999999995</v>
      </c>
      <c r="Y368">
        <v>-1.8253789999999999E-2</v>
      </c>
      <c r="Z368">
        <v>2.370626E-4</v>
      </c>
      <c r="AA368">
        <v>0.99983330000000004</v>
      </c>
      <c r="AB368">
        <v>28</v>
      </c>
      <c r="AC368">
        <v>123.5504</v>
      </c>
      <c r="AD368">
        <v>-1.0758797430410001</v>
      </c>
      <c r="AE368">
        <v>1.2999999999976799E-2</v>
      </c>
      <c r="AF368">
        <v>-2.2584047936395701</v>
      </c>
      <c r="AG368">
        <v>-1.0758797430410001</v>
      </c>
      <c r="AH368">
        <v>123.520388381031</v>
      </c>
      <c r="AI368">
        <v>90.498958191791203</v>
      </c>
      <c r="AJ368">
        <v>91.047459847593402</v>
      </c>
      <c r="AK368">
        <v>123.545717267877</v>
      </c>
      <c r="AL368">
        <v>79.216426317591598</v>
      </c>
      <c r="AM368">
        <v>88.845619038492401</v>
      </c>
      <c r="AN368">
        <v>1.0000000444153101</v>
      </c>
    </row>
    <row r="369" spans="1:40" x14ac:dyDescent="0.25">
      <c r="A369" t="str">
        <f>"20190312172904624"</f>
        <v>20190312172904624</v>
      </c>
      <c r="B369" t="str">
        <f>"1552382944617627"</f>
        <v>1552382944617627</v>
      </c>
      <c r="C369" t="s">
        <v>40</v>
      </c>
      <c r="D369">
        <v>3.1935829999999998</v>
      </c>
      <c r="E369">
        <v>0.48868010000000001</v>
      </c>
      <c r="F369" t="s">
        <v>43</v>
      </c>
      <c r="G369">
        <v>-274.80459999999999</v>
      </c>
      <c r="H369">
        <v>-0.05</v>
      </c>
      <c r="I369">
        <v>367.27629999999999</v>
      </c>
      <c r="J369">
        <v>-397.79270000000002</v>
      </c>
      <c r="K369">
        <v>1.0785340000000001</v>
      </c>
      <c r="L369">
        <v>367.33330000000001</v>
      </c>
      <c r="M369">
        <v>0.99982499999999996</v>
      </c>
      <c r="N369">
        <v>0</v>
      </c>
      <c r="O369">
        <v>-1.8632619999999999E-2</v>
      </c>
      <c r="P369">
        <v>0.98185319999999998</v>
      </c>
      <c r="Q369">
        <v>0.1855638</v>
      </c>
      <c r="R369">
        <v>-3.912467E-2</v>
      </c>
      <c r="S369">
        <v>3.0605159999999998</v>
      </c>
      <c r="T369">
        <v>-2.7958150000000001E-2</v>
      </c>
      <c r="U369">
        <v>-1.525879E-3</v>
      </c>
      <c r="V369">
        <v>2.0235429999999999E-2</v>
      </c>
      <c r="W369">
        <v>0.18727160000000001</v>
      </c>
      <c r="X369">
        <v>0.98209970000000002</v>
      </c>
      <c r="Y369">
        <v>-1.8132639999999998E-2</v>
      </c>
      <c r="Z369">
        <v>2.5302030000000001E-4</v>
      </c>
      <c r="AA369">
        <v>0.99983560000000005</v>
      </c>
      <c r="AB369">
        <v>28</v>
      </c>
      <c r="AC369">
        <v>122.9881</v>
      </c>
      <c r="AD369">
        <v>-1.1285339999999999</v>
      </c>
      <c r="AE369">
        <v>-5.7000000000016302E-2</v>
      </c>
      <c r="AF369">
        <v>-2.2344154956576801</v>
      </c>
      <c r="AG369">
        <v>-1.1285339999999999</v>
      </c>
      <c r="AH369">
        <v>122.95745817838799</v>
      </c>
      <c r="AI369">
        <v>90.525773285742801</v>
      </c>
      <c r="AJ369">
        <v>91.041079491375399</v>
      </c>
      <c r="AK369">
        <v>122.98293671597899</v>
      </c>
      <c r="AL369">
        <v>79.206399170460102</v>
      </c>
      <c r="AM369">
        <v>88.819630320594698</v>
      </c>
      <c r="AN369">
        <v>0.99999997276696695</v>
      </c>
    </row>
    <row r="370" spans="1:40" x14ac:dyDescent="0.25">
      <c r="A370" t="str">
        <f>"20190312172904636"</f>
        <v>20190312172904636</v>
      </c>
      <c r="B370" t="str">
        <f>"1552382944628363"</f>
        <v>1552382944628363</v>
      </c>
      <c r="C370" t="s">
        <v>40</v>
      </c>
      <c r="D370">
        <v>3.1858270000000002</v>
      </c>
      <c r="E370">
        <v>0.4887224</v>
      </c>
      <c r="F370" t="s">
        <v>41</v>
      </c>
      <c r="G370">
        <v>-276.84989999999999</v>
      </c>
      <c r="H370" s="1">
        <v>-1.7758720000000001E-6</v>
      </c>
      <c r="I370">
        <v>367.12349999999998</v>
      </c>
      <c r="J370">
        <v>-397.63760000000002</v>
      </c>
      <c r="K370">
        <v>1.0800339999999999</v>
      </c>
      <c r="L370">
        <v>367.33089999999999</v>
      </c>
      <c r="M370">
        <v>0.99982199999999999</v>
      </c>
      <c r="N370">
        <v>0</v>
      </c>
      <c r="O370">
        <v>-1.8796839999999999E-2</v>
      </c>
      <c r="P370">
        <v>0.98183609999999999</v>
      </c>
      <c r="Q370">
        <v>0.1856274</v>
      </c>
      <c r="R370">
        <v>-3.9245559999999999E-2</v>
      </c>
      <c r="S370">
        <v>3.0603940000000001</v>
      </c>
      <c r="T370">
        <v>-2.729177E-2</v>
      </c>
      <c r="U370">
        <v>-5.3100589999999998E-3</v>
      </c>
      <c r="V370">
        <v>2.016631E-2</v>
      </c>
      <c r="W370">
        <v>0.1872702</v>
      </c>
      <c r="X370">
        <v>0.98210140000000001</v>
      </c>
      <c r="Y370">
        <v>-1.706063E-2</v>
      </c>
      <c r="Z370">
        <v>2.4368339999999999E-4</v>
      </c>
      <c r="AA370">
        <v>0.99985440000000003</v>
      </c>
      <c r="AB370">
        <v>28</v>
      </c>
      <c r="AC370">
        <v>120.7877</v>
      </c>
      <c r="AD370">
        <v>-1.0800357758719901</v>
      </c>
      <c r="AE370">
        <v>-0.207400000000006</v>
      </c>
      <c r="AF370">
        <v>-2.06290178544696</v>
      </c>
      <c r="AG370">
        <v>-1.0800357758719901</v>
      </c>
      <c r="AH370">
        <v>120.760603043692</v>
      </c>
      <c r="AI370">
        <v>90.512342717881793</v>
      </c>
      <c r="AJ370">
        <v>90.978664132491701</v>
      </c>
      <c r="AK370">
        <v>120.78305050183801</v>
      </c>
      <c r="AL370">
        <v>79.206480950563801</v>
      </c>
      <c r="AM370">
        <v>88.8236631175252</v>
      </c>
      <c r="AN370">
        <v>0.99999998387450795</v>
      </c>
    </row>
    <row r="371" spans="1:40" x14ac:dyDescent="0.25">
      <c r="A371" t="str">
        <f>"20190312172904648"</f>
        <v>20190312172904648</v>
      </c>
      <c r="B371" t="str">
        <f>"1552382944638123"</f>
        <v>1552382944638123</v>
      </c>
      <c r="C371" t="s">
        <v>40</v>
      </c>
      <c r="D371">
        <v>3.189457</v>
      </c>
      <c r="E371">
        <v>0.48877609999999999</v>
      </c>
      <c r="F371" t="s">
        <v>41</v>
      </c>
      <c r="G371">
        <v>-274.59719999999999</v>
      </c>
      <c r="H371" s="1">
        <v>-2.7481539999999998E-6</v>
      </c>
      <c r="I371">
        <v>367.09039999999999</v>
      </c>
      <c r="J371">
        <v>-397.48360000000002</v>
      </c>
      <c r="K371">
        <v>1.0814999999999999</v>
      </c>
      <c r="L371">
        <v>367.32850000000002</v>
      </c>
      <c r="M371">
        <v>0.99982170000000004</v>
      </c>
      <c r="N371">
        <v>0</v>
      </c>
      <c r="O371">
        <v>-1.881907E-2</v>
      </c>
      <c r="P371">
        <v>0.98184079999999996</v>
      </c>
      <c r="Q371">
        <v>0.18562909999999999</v>
      </c>
      <c r="R371">
        <v>-3.912769E-2</v>
      </c>
      <c r="S371">
        <v>3.0603639999999999</v>
      </c>
      <c r="T371">
        <v>-2.686357E-2</v>
      </c>
      <c r="U371">
        <v>-5.9814450000000002E-3</v>
      </c>
      <c r="V371">
        <v>2.002118E-2</v>
      </c>
      <c r="W371">
        <v>0.18723509999999999</v>
      </c>
      <c r="X371">
        <v>0.98211110000000001</v>
      </c>
      <c r="Y371">
        <v>-1.6863550000000001E-2</v>
      </c>
      <c r="Z371">
        <v>2.3919260000000001E-4</v>
      </c>
      <c r="AA371">
        <v>0.99985780000000002</v>
      </c>
      <c r="AB371">
        <v>28</v>
      </c>
      <c r="AC371">
        <v>122.88639999999999</v>
      </c>
      <c r="AD371">
        <v>-1.0815027481539901</v>
      </c>
      <c r="AE371">
        <v>-0.23810000000003101</v>
      </c>
      <c r="AF371">
        <v>-2.0743920468097001</v>
      </c>
      <c r="AG371">
        <v>-1.0815027481539901</v>
      </c>
      <c r="AH371">
        <v>122.859602268494</v>
      </c>
      <c r="AI371">
        <v>90.504275705469198</v>
      </c>
      <c r="AJ371">
        <v>90.967304263316507</v>
      </c>
      <c r="AK371">
        <v>122.881872626237</v>
      </c>
      <c r="AL371">
        <v>79.208528656701603</v>
      </c>
      <c r="AM371">
        <v>88.832137988009094</v>
      </c>
      <c r="AN371">
        <v>1.0000000215319</v>
      </c>
    </row>
    <row r="372" spans="1:40" x14ac:dyDescent="0.25">
      <c r="A372" t="str">
        <f>"20190312172904661"</f>
        <v>20190312172904661</v>
      </c>
      <c r="B372" t="str">
        <f>"1552382944657643"</f>
        <v>1552382944657643</v>
      </c>
      <c r="C372" t="s">
        <v>40</v>
      </c>
      <c r="D372">
        <v>3.1909670000000001</v>
      </c>
      <c r="E372">
        <v>0.48890099999999997</v>
      </c>
      <c r="F372" t="s">
        <v>41</v>
      </c>
      <c r="G372">
        <v>-273.74509999999998</v>
      </c>
      <c r="H372" s="1">
        <v>-3.118113E-6</v>
      </c>
      <c r="I372">
        <v>367.06560000000002</v>
      </c>
      <c r="J372">
        <v>-397.32159999999999</v>
      </c>
      <c r="K372">
        <v>1.083013</v>
      </c>
      <c r="L372">
        <v>367.3261</v>
      </c>
      <c r="M372">
        <v>0.99982510000000002</v>
      </c>
      <c r="N372">
        <v>0</v>
      </c>
      <c r="O372">
        <v>-1.8639289999999999E-2</v>
      </c>
      <c r="P372">
        <v>0.98185750000000005</v>
      </c>
      <c r="Q372">
        <v>0.18556590000000001</v>
      </c>
      <c r="R372">
        <v>-3.9003540000000003E-2</v>
      </c>
      <c r="S372">
        <v>3.0602719999999999</v>
      </c>
      <c r="T372">
        <v>-2.6747469999999999E-2</v>
      </c>
      <c r="U372">
        <v>-6.5002439999999996E-3</v>
      </c>
      <c r="V372">
        <v>2.0102160000000001E-2</v>
      </c>
      <c r="W372">
        <v>0.1871756</v>
      </c>
      <c r="X372">
        <v>0.98212080000000002</v>
      </c>
      <c r="Y372">
        <v>-1.651422E-2</v>
      </c>
      <c r="Z372">
        <v>2.3506810000000001E-4</v>
      </c>
      <c r="AA372">
        <v>0.99986359999999996</v>
      </c>
      <c r="AB372">
        <v>28</v>
      </c>
      <c r="AC372">
        <v>123.5765</v>
      </c>
      <c r="AD372">
        <v>-1.083016118113</v>
      </c>
      <c r="AE372">
        <v>-0.26049999999997903</v>
      </c>
      <c r="AF372">
        <v>-2.0427692814812701</v>
      </c>
      <c r="AG372">
        <v>-1.083016118113</v>
      </c>
      <c r="AH372">
        <v>123.55039752495399</v>
      </c>
      <c r="AI372">
        <v>90.502160943814701</v>
      </c>
      <c r="AJ372">
        <v>90.947236084960593</v>
      </c>
      <c r="AK372">
        <v>123.572029840185</v>
      </c>
      <c r="AL372">
        <v>79.211999245725593</v>
      </c>
      <c r="AM372">
        <v>88.827427211179696</v>
      </c>
      <c r="AN372">
        <v>1.0000000339323301</v>
      </c>
    </row>
    <row r="373" spans="1:40" x14ac:dyDescent="0.25">
      <c r="A373" t="str">
        <f>"20190312172904682"</f>
        <v>20190312172904682</v>
      </c>
      <c r="B373" t="str">
        <f>"1552382944678140"</f>
        <v>1552382944678140</v>
      </c>
      <c r="C373" t="s">
        <v>40</v>
      </c>
      <c r="D373">
        <v>3.1753499999999999</v>
      </c>
      <c r="E373">
        <v>0.48900769999999999</v>
      </c>
      <c r="F373" t="s">
        <v>41</v>
      </c>
      <c r="G373">
        <v>-274.14370000000002</v>
      </c>
      <c r="H373" s="1">
        <v>-2.953202E-6</v>
      </c>
      <c r="I373">
        <v>367.03129999999999</v>
      </c>
      <c r="J373">
        <v>-397.06880000000001</v>
      </c>
      <c r="K373">
        <v>1.0853699999999999</v>
      </c>
      <c r="L373">
        <v>367.32229999999998</v>
      </c>
      <c r="M373">
        <v>0.99983739999999999</v>
      </c>
      <c r="N373">
        <v>0</v>
      </c>
      <c r="O373">
        <v>-1.793751E-2</v>
      </c>
      <c r="P373">
        <v>0.98184210000000005</v>
      </c>
      <c r="Q373">
        <v>0.1858148</v>
      </c>
      <c r="R373">
        <v>-3.8196800000000003E-2</v>
      </c>
      <c r="S373">
        <v>3.0602109999999998</v>
      </c>
      <c r="T373">
        <v>-2.690625E-2</v>
      </c>
      <c r="U373">
        <v>-7.3242189999999999E-3</v>
      </c>
      <c r="V373">
        <v>2.0068679999999998E-2</v>
      </c>
      <c r="W373">
        <v>0.18769459999999999</v>
      </c>
      <c r="X373">
        <v>0.98202239999999996</v>
      </c>
      <c r="Y373">
        <v>-1.554322E-2</v>
      </c>
      <c r="Z373">
        <v>2.260303E-4</v>
      </c>
      <c r="AA373">
        <v>0.99987919999999997</v>
      </c>
      <c r="AB373">
        <v>28</v>
      </c>
      <c r="AC373">
        <v>122.9251</v>
      </c>
      <c r="AD373">
        <v>-1.085372953202</v>
      </c>
      <c r="AE373">
        <v>-0.29099999999999598</v>
      </c>
      <c r="AF373">
        <v>-1.9138715930882599</v>
      </c>
      <c r="AG373">
        <v>-1.085372953202</v>
      </c>
      <c r="AH373">
        <v>122.900960912158</v>
      </c>
      <c r="AI373">
        <v>90.505920653746898</v>
      </c>
      <c r="AJ373">
        <v>90.892164725976102</v>
      </c>
      <c r="AK373">
        <v>122.920653805835</v>
      </c>
      <c r="AL373">
        <v>79.181725884572899</v>
      </c>
      <c r="AM373">
        <v>88.829262313538607</v>
      </c>
      <c r="AN373">
        <v>1.0000000044439299</v>
      </c>
    </row>
    <row r="374" spans="1:40" x14ac:dyDescent="0.25">
      <c r="A374" t="str">
        <f>"20190312172904703"</f>
        <v>20190312172904703</v>
      </c>
      <c r="B374" t="str">
        <f>"1552382944697659"</f>
        <v>1552382944697659</v>
      </c>
      <c r="C374" t="s">
        <v>40</v>
      </c>
      <c r="D374">
        <v>3.200488</v>
      </c>
      <c r="E374">
        <v>0.48911719999999997</v>
      </c>
      <c r="F374" t="s">
        <v>41</v>
      </c>
      <c r="G374">
        <v>-266.64100000000002</v>
      </c>
      <c r="H374" s="1">
        <v>-1.87434E-6</v>
      </c>
      <c r="I374">
        <v>367.07380000000001</v>
      </c>
      <c r="J374">
        <v>-396.79640000000001</v>
      </c>
      <c r="K374">
        <v>1.0879190000000001</v>
      </c>
      <c r="L374">
        <v>367.31830000000002</v>
      </c>
      <c r="M374">
        <v>0.9998534</v>
      </c>
      <c r="N374">
        <v>0</v>
      </c>
      <c r="O374">
        <v>-1.6953949999999999E-2</v>
      </c>
      <c r="P374">
        <v>0.98191309999999998</v>
      </c>
      <c r="Q374">
        <v>0.1856894</v>
      </c>
      <c r="R374">
        <v>-3.6966300000000001E-2</v>
      </c>
      <c r="S374">
        <v>3.0600589999999999</v>
      </c>
      <c r="T374">
        <v>-2.5464649999999998E-2</v>
      </c>
      <c r="U374">
        <v>-5.8288569999999998E-3</v>
      </c>
      <c r="V374">
        <v>1.9897629999999999E-2</v>
      </c>
      <c r="W374">
        <v>0.18813340000000001</v>
      </c>
      <c r="X374">
        <v>0.98194190000000003</v>
      </c>
      <c r="Y374">
        <v>-1.504832E-2</v>
      </c>
      <c r="Z374">
        <v>2.0368869999999999E-4</v>
      </c>
      <c r="AA374">
        <v>0.99988679999999996</v>
      </c>
      <c r="AB374">
        <v>28</v>
      </c>
      <c r="AC374">
        <v>130.15539999999999</v>
      </c>
      <c r="AD374">
        <v>-1.08792087434</v>
      </c>
      <c r="AE374">
        <v>-0.24450000000001601</v>
      </c>
      <c r="AF374">
        <v>-1.9620525394162101</v>
      </c>
      <c r="AG374">
        <v>-1.08792087434</v>
      </c>
      <c r="AH374">
        <v>130.13174625600601</v>
      </c>
      <c r="AI374">
        <v>90.478935700322694</v>
      </c>
      <c r="AJ374">
        <v>90.863807760335405</v>
      </c>
      <c r="AK374">
        <v>130.151083766651</v>
      </c>
      <c r="AL374">
        <v>79.156128370350203</v>
      </c>
      <c r="AM374">
        <v>88.839142906013606</v>
      </c>
      <c r="AN374">
        <v>0.99999999342539303</v>
      </c>
    </row>
    <row r="375" spans="1:40" x14ac:dyDescent="0.25">
      <c r="A375" t="str">
        <f>"20190312172904724"</f>
        <v>20190312172904724</v>
      </c>
      <c r="B375" t="str">
        <f>"1552382944718155"</f>
        <v>1552382944718155</v>
      </c>
      <c r="C375" t="s">
        <v>40</v>
      </c>
      <c r="D375">
        <v>3.1896059999999999</v>
      </c>
      <c r="E375">
        <v>0.48921049999999999</v>
      </c>
      <c r="F375" t="s">
        <v>41</v>
      </c>
      <c r="G375">
        <v>-265.55020000000002</v>
      </c>
      <c r="H375" s="1">
        <v>-2.3255949999999999E-6</v>
      </c>
      <c r="I375">
        <v>367.16770000000002</v>
      </c>
      <c r="J375">
        <v>-396.52760000000001</v>
      </c>
      <c r="K375">
        <v>1.090406</v>
      </c>
      <c r="L375">
        <v>367.3143</v>
      </c>
      <c r="M375">
        <v>0.99986649999999999</v>
      </c>
      <c r="N375">
        <v>0</v>
      </c>
      <c r="O375">
        <v>-1.6027960000000001E-2</v>
      </c>
      <c r="P375">
        <v>0.98211400000000004</v>
      </c>
      <c r="Q375">
        <v>0.1848631</v>
      </c>
      <c r="R375">
        <v>-3.5747960000000002E-2</v>
      </c>
      <c r="S375">
        <v>3.0599059999999998</v>
      </c>
      <c r="T375">
        <v>-2.5364040000000001E-2</v>
      </c>
      <c r="U375">
        <v>-3.5095209999999998E-3</v>
      </c>
      <c r="V375">
        <v>1.9649699999999999E-2</v>
      </c>
      <c r="W375">
        <v>0.18800649999999999</v>
      </c>
      <c r="X375">
        <v>0.98197120000000004</v>
      </c>
      <c r="Y375">
        <v>-1.488018E-2</v>
      </c>
      <c r="Z375">
        <v>1.945231E-4</v>
      </c>
      <c r="AA375">
        <v>0.99988929999999998</v>
      </c>
      <c r="AB375">
        <v>28</v>
      </c>
      <c r="AC375">
        <v>130.97739999999999</v>
      </c>
      <c r="AD375">
        <v>-1.0904083255949999</v>
      </c>
      <c r="AE375">
        <v>-0.146599999999978</v>
      </c>
      <c r="AF375">
        <v>-1.9525946165558601</v>
      </c>
      <c r="AG375">
        <v>-1.0904083255949999</v>
      </c>
      <c r="AH375">
        <v>130.95384852362301</v>
      </c>
      <c r="AI375">
        <v>90.477018495957907</v>
      </c>
      <c r="AJ375">
        <v>90.854248592969498</v>
      </c>
      <c r="AK375">
        <v>130.972943996846</v>
      </c>
      <c r="AL375">
        <v>79.163531335823507</v>
      </c>
      <c r="AM375">
        <v>88.853637820527794</v>
      </c>
      <c r="AN375">
        <v>0.99999999619088997</v>
      </c>
    </row>
    <row r="376" spans="1:40" x14ac:dyDescent="0.25">
      <c r="A376" t="str">
        <f>"20190312172904736"</f>
        <v>20190312172904736</v>
      </c>
      <c r="B376" t="str">
        <f>"1552382944727915"</f>
        <v>1552382944727915</v>
      </c>
      <c r="C376" t="s">
        <v>40</v>
      </c>
      <c r="D376">
        <v>3.1724410000000001</v>
      </c>
      <c r="E376">
        <v>0.48923499999999998</v>
      </c>
      <c r="F376" t="s">
        <v>41</v>
      </c>
      <c r="G376">
        <v>-274.95740000000001</v>
      </c>
      <c r="H376" s="1">
        <v>-2.5575749999999998E-6</v>
      </c>
      <c r="I376">
        <v>367.29360000000003</v>
      </c>
      <c r="J376">
        <v>-396.36040000000003</v>
      </c>
      <c r="K376">
        <v>1.0919000000000001</v>
      </c>
      <c r="L376">
        <v>367.31200000000001</v>
      </c>
      <c r="M376">
        <v>0.9998726</v>
      </c>
      <c r="N376">
        <v>0</v>
      </c>
      <c r="O376">
        <v>-1.555191E-2</v>
      </c>
      <c r="P376">
        <v>0.98221919999999996</v>
      </c>
      <c r="Q376">
        <v>0.18441959999999999</v>
      </c>
      <c r="R376">
        <v>-3.5149890000000003E-2</v>
      </c>
      <c r="S376">
        <v>3.0598139999999998</v>
      </c>
      <c r="T376">
        <v>-2.74446E-2</v>
      </c>
      <c r="U376">
        <v>-5.1879879999999995E-4</v>
      </c>
      <c r="V376">
        <v>1.9536060000000001E-2</v>
      </c>
      <c r="W376">
        <v>0.18801300000000001</v>
      </c>
      <c r="X376">
        <v>0.98197219999999996</v>
      </c>
      <c r="Y376">
        <v>-1.5381229999999999E-2</v>
      </c>
      <c r="Z376">
        <v>2.0846309999999999E-4</v>
      </c>
      <c r="AA376">
        <v>0.99988169999999998</v>
      </c>
      <c r="AB376">
        <v>28</v>
      </c>
      <c r="AC376">
        <v>121.40300000000001</v>
      </c>
      <c r="AD376">
        <v>-1.0919025575749901</v>
      </c>
      <c r="AE376">
        <v>-1.8399999999928598E-2</v>
      </c>
      <c r="AF376">
        <v>-1.8695117239874</v>
      </c>
      <c r="AG376">
        <v>-1.0919025575749901</v>
      </c>
      <c r="AH376">
        <v>121.378785050704</v>
      </c>
      <c r="AI376">
        <v>90.515347898981901</v>
      </c>
      <c r="AJ376">
        <v>90.882416662552302</v>
      </c>
      <c r="AK376">
        <v>121.398092182976</v>
      </c>
      <c r="AL376">
        <v>79.163151904542602</v>
      </c>
      <c r="AM376">
        <v>88.860266976997494</v>
      </c>
      <c r="AN376">
        <v>0.99999997369108096</v>
      </c>
    </row>
    <row r="377" spans="1:40" x14ac:dyDescent="0.25">
      <c r="A377" t="str">
        <f>"20190312172904749"</f>
        <v>20190312172904749</v>
      </c>
      <c r="B377" t="str">
        <f>"1552382944737675"</f>
        <v>1552382944737675</v>
      </c>
      <c r="C377" t="s">
        <v>40</v>
      </c>
      <c r="D377">
        <v>3.1564709999999998</v>
      </c>
      <c r="E377">
        <v>0.48931039999999998</v>
      </c>
      <c r="F377" t="s">
        <v>41</v>
      </c>
      <c r="G377">
        <v>-279.58010000000002</v>
      </c>
      <c r="H377" s="1">
        <v>-7.2688859999999896E-7</v>
      </c>
      <c r="I377">
        <v>367.36900000000003</v>
      </c>
      <c r="J377">
        <v>-396.20400000000001</v>
      </c>
      <c r="K377">
        <v>1.093253</v>
      </c>
      <c r="L377">
        <v>367.30990000000003</v>
      </c>
      <c r="M377">
        <v>0.99987709999999996</v>
      </c>
      <c r="N377">
        <v>0</v>
      </c>
      <c r="O377">
        <v>-1.5148750000000001E-2</v>
      </c>
      <c r="P377">
        <v>0.98236239999999997</v>
      </c>
      <c r="Q377">
        <v>0.18373590000000001</v>
      </c>
      <c r="R377">
        <v>-3.4716980000000001E-2</v>
      </c>
      <c r="S377">
        <v>3.0597530000000002</v>
      </c>
      <c r="T377">
        <v>-2.86088E-2</v>
      </c>
      <c r="U377">
        <v>1.495361E-3</v>
      </c>
      <c r="V377">
        <v>1.95082E-2</v>
      </c>
      <c r="W377">
        <v>0.187747</v>
      </c>
      <c r="X377">
        <v>0.98202370000000005</v>
      </c>
      <c r="Y377">
        <v>-1.5636190000000001E-2</v>
      </c>
      <c r="Z377">
        <v>2.1473330000000001E-4</v>
      </c>
      <c r="AA377">
        <v>0.99987780000000004</v>
      </c>
      <c r="AB377">
        <v>28</v>
      </c>
      <c r="AC377">
        <v>116.62390000000001</v>
      </c>
      <c r="AD377">
        <v>-1.0932537268886</v>
      </c>
      <c r="AE377">
        <v>5.9100000000000798E-2</v>
      </c>
      <c r="AF377">
        <v>-1.82565349262073</v>
      </c>
      <c r="AG377">
        <v>-1.0932537268886</v>
      </c>
      <c r="AH377">
        <v>116.59937581724699</v>
      </c>
      <c r="AI377">
        <v>90.537132488794796</v>
      </c>
      <c r="AJ377">
        <v>90.897034761249401</v>
      </c>
      <c r="AK377">
        <v>116.61879203352299</v>
      </c>
      <c r="AL377">
        <v>79.178669488992796</v>
      </c>
      <c r="AM377">
        <v>88.861951570355998</v>
      </c>
      <c r="AN377">
        <v>1.0000000266189599</v>
      </c>
    </row>
    <row r="378" spans="1:40" x14ac:dyDescent="0.25">
      <c r="A378" t="str">
        <f>"20190312172904769"</f>
        <v>20190312172904769</v>
      </c>
      <c r="B378" t="str">
        <f>"1552382944758171"</f>
        <v>1552382944758171</v>
      </c>
      <c r="C378" t="s">
        <v>40</v>
      </c>
      <c r="D378">
        <v>3.165667</v>
      </c>
      <c r="E378">
        <v>0.48946339999999999</v>
      </c>
      <c r="F378" t="s">
        <v>43</v>
      </c>
      <c r="G378">
        <v>-283.37110000000001</v>
      </c>
      <c r="H378">
        <v>-0.05</v>
      </c>
      <c r="I378">
        <v>367.38200000000001</v>
      </c>
      <c r="J378">
        <v>-395.95159999999998</v>
      </c>
      <c r="K378">
        <v>1.095318</v>
      </c>
      <c r="L378">
        <v>367.30669999999998</v>
      </c>
      <c r="M378">
        <v>0.99988259999999995</v>
      </c>
      <c r="N378">
        <v>0</v>
      </c>
      <c r="O378">
        <v>-1.458485E-2</v>
      </c>
      <c r="P378">
        <v>0.9825315</v>
      </c>
      <c r="Q378">
        <v>0.18294530000000001</v>
      </c>
      <c r="R378">
        <v>-3.4108090000000001E-2</v>
      </c>
      <c r="S378">
        <v>3.059723</v>
      </c>
      <c r="T378">
        <v>-3.100193E-2</v>
      </c>
      <c r="U378">
        <v>1.953125E-3</v>
      </c>
      <c r="V378">
        <v>1.9456250000000001E-2</v>
      </c>
      <c r="W378">
        <v>0.187614</v>
      </c>
      <c r="X378">
        <v>0.98205010000000004</v>
      </c>
      <c r="Y378">
        <v>-1.5221749999999999E-2</v>
      </c>
      <c r="Z378">
        <v>2.2488510000000001E-4</v>
      </c>
      <c r="AA378">
        <v>0.99988410000000005</v>
      </c>
      <c r="AB378">
        <v>28</v>
      </c>
      <c r="AC378">
        <v>112.58049999999901</v>
      </c>
      <c r="AD378">
        <v>-1.1453180000000001</v>
      </c>
      <c r="AE378">
        <v>7.5299999999970099E-2</v>
      </c>
      <c r="AF378">
        <v>-1.71710210004607</v>
      </c>
      <c r="AG378">
        <v>-1.1453180000000001</v>
      </c>
      <c r="AH378">
        <v>112.55577777841999</v>
      </c>
      <c r="AI378">
        <v>90.582928660960704</v>
      </c>
      <c r="AJ378">
        <v>90.874011748268501</v>
      </c>
      <c r="AK378">
        <v>112.574700995597</v>
      </c>
      <c r="AL378">
        <v>79.186427166189304</v>
      </c>
      <c r="AM378">
        <v>88.865011884029002</v>
      </c>
      <c r="AN378">
        <v>0.99999997878503599</v>
      </c>
    </row>
    <row r="379" spans="1:40" x14ac:dyDescent="0.25">
      <c r="A379" t="str">
        <f>"20190312172904792"</f>
        <v>20190312172904792</v>
      </c>
      <c r="B379" t="str">
        <f>"1552382944787451"</f>
        <v>1552382944787451</v>
      </c>
      <c r="C379" t="s">
        <v>40</v>
      </c>
      <c r="D379">
        <v>3.1807379999999998</v>
      </c>
      <c r="E379">
        <v>0.48967939999999999</v>
      </c>
      <c r="F379" t="s">
        <v>43</v>
      </c>
      <c r="G379">
        <v>-292.7011</v>
      </c>
      <c r="H379">
        <v>-0.05</v>
      </c>
      <c r="I379">
        <v>367.39519999999999</v>
      </c>
      <c r="J379">
        <v>-395.67059999999998</v>
      </c>
      <c r="K379">
        <v>1.09739599999999</v>
      </c>
      <c r="L379">
        <v>367.30340000000001</v>
      </c>
      <c r="M379">
        <v>0.99988730000000003</v>
      </c>
      <c r="N379">
        <v>0</v>
      </c>
      <c r="O379">
        <v>-1.400504E-2</v>
      </c>
      <c r="P379">
        <v>0.98272579999999998</v>
      </c>
      <c r="Q379">
        <v>0.18202650000000001</v>
      </c>
      <c r="R379">
        <v>-3.3414060000000002E-2</v>
      </c>
      <c r="S379">
        <v>3.0597530000000002</v>
      </c>
      <c r="T379">
        <v>-3.3940669999999999E-2</v>
      </c>
      <c r="U379">
        <v>2.6245119999999999E-3</v>
      </c>
      <c r="V379">
        <v>1.9333960000000001E-2</v>
      </c>
      <c r="W379">
        <v>0.1873939</v>
      </c>
      <c r="X379">
        <v>0.98209460000000004</v>
      </c>
      <c r="Y379">
        <v>-1.486113E-2</v>
      </c>
      <c r="Z379">
        <v>2.3776830000000001E-4</v>
      </c>
      <c r="AA379">
        <v>0.99988960000000005</v>
      </c>
      <c r="AB379">
        <v>28</v>
      </c>
      <c r="AC379">
        <v>102.969499999999</v>
      </c>
      <c r="AD379">
        <v>-1.1473960000000001</v>
      </c>
      <c r="AE379">
        <v>9.1799999999977899E-2</v>
      </c>
      <c r="AF379">
        <v>-1.53371361308108</v>
      </c>
      <c r="AG379">
        <v>-1.1473960000000001</v>
      </c>
      <c r="AH379">
        <v>102.94533275096801</v>
      </c>
      <c r="AI379">
        <v>90.638503277493996</v>
      </c>
      <c r="AJ379">
        <v>90.853548324334795</v>
      </c>
      <c r="AK379">
        <v>102.963150351159</v>
      </c>
      <c r="AL379">
        <v>79.199266337546902</v>
      </c>
      <c r="AM379">
        <v>88.872194962927907</v>
      </c>
      <c r="AN379">
        <v>1.0000000395578199</v>
      </c>
    </row>
    <row r="380" spans="1:40" x14ac:dyDescent="0.25">
      <c r="A380" t="str">
        <f>"20190312172904804"</f>
        <v>20190312172904804</v>
      </c>
      <c r="B380" t="str">
        <f>"1552382944798187"</f>
        <v>1552382944798187</v>
      </c>
      <c r="C380" t="s">
        <v>40</v>
      </c>
      <c r="D380">
        <v>3.1810860000000001</v>
      </c>
      <c r="E380">
        <v>0.48973879999999997</v>
      </c>
      <c r="F380" t="s">
        <v>43</v>
      </c>
      <c r="G380">
        <v>-300.87060000000002</v>
      </c>
      <c r="H380">
        <v>-0.05</v>
      </c>
      <c r="I380">
        <v>367.41219999999998</v>
      </c>
      <c r="J380">
        <v>-395.52080000000001</v>
      </c>
      <c r="K380">
        <v>1.0984309999999999</v>
      </c>
      <c r="L380">
        <v>367.30169999999998</v>
      </c>
      <c r="M380">
        <v>0.99988960000000005</v>
      </c>
      <c r="N380">
        <v>0</v>
      </c>
      <c r="O380">
        <v>-1.369502E-2</v>
      </c>
      <c r="P380">
        <v>0.98282349999999996</v>
      </c>
      <c r="Q380">
        <v>0.18155640000000001</v>
      </c>
      <c r="R380">
        <v>-3.3099110000000001E-2</v>
      </c>
      <c r="S380">
        <v>3.0596920000000001</v>
      </c>
      <c r="T380">
        <v>-3.7032490000000001E-2</v>
      </c>
      <c r="U380">
        <v>3.5095209999999998E-3</v>
      </c>
      <c r="V380">
        <v>1.9326690000000001E-2</v>
      </c>
      <c r="W380">
        <v>0.18728330000000001</v>
      </c>
      <c r="X380">
        <v>0.98211579999999998</v>
      </c>
      <c r="Y380">
        <v>-1.484006E-2</v>
      </c>
      <c r="Z380">
        <v>2.5555229999999998E-4</v>
      </c>
      <c r="AA380">
        <v>0.9998899</v>
      </c>
      <c r="AB380">
        <v>28</v>
      </c>
      <c r="AC380">
        <v>94.650199999999899</v>
      </c>
      <c r="AD380">
        <v>-1.148431</v>
      </c>
      <c r="AE380">
        <v>0.110500000000001</v>
      </c>
      <c r="AF380">
        <v>-1.40654048851604</v>
      </c>
      <c r="AG380">
        <v>-1.148431</v>
      </c>
      <c r="AH380">
        <v>94.625879171651704</v>
      </c>
      <c r="AI380">
        <v>90.695261726236097</v>
      </c>
      <c r="AJ380">
        <v>90.851594721856202</v>
      </c>
      <c r="AK380">
        <v>94.643300126927201</v>
      </c>
      <c r="AL380">
        <v>79.205717033110005</v>
      </c>
      <c r="AM380">
        <v>88.872643262716807</v>
      </c>
      <c r="AN380">
        <v>1.00000000000744</v>
      </c>
    </row>
    <row r="381" spans="1:40" x14ac:dyDescent="0.25">
      <c r="A381" t="str">
        <f>"20190312172904815"</f>
        <v>20190312172904815</v>
      </c>
      <c r="B381" t="str">
        <f>"1552382944807947"</f>
        <v>1552382944807947</v>
      </c>
      <c r="C381" t="s">
        <v>40</v>
      </c>
      <c r="D381">
        <v>3.1675019999999998</v>
      </c>
      <c r="E381">
        <v>0.4898188</v>
      </c>
      <c r="F381" t="s">
        <v>43</v>
      </c>
      <c r="G381">
        <v>-303.96199999999999</v>
      </c>
      <c r="H381">
        <v>-0.05</v>
      </c>
      <c r="I381">
        <v>367.41489999999999</v>
      </c>
      <c r="J381">
        <v>-395.36709999999999</v>
      </c>
      <c r="K381">
        <v>1.0993740000000001</v>
      </c>
      <c r="L381">
        <v>367.30009999999999</v>
      </c>
      <c r="M381">
        <v>0.99989189999999994</v>
      </c>
      <c r="N381">
        <v>0</v>
      </c>
      <c r="O381">
        <v>-1.335589E-2</v>
      </c>
      <c r="P381">
        <v>0.98293699999999995</v>
      </c>
      <c r="Q381">
        <v>0.18099519999999999</v>
      </c>
      <c r="R381">
        <v>-3.2794299999999998E-2</v>
      </c>
      <c r="S381">
        <v>3.0596619999999999</v>
      </c>
      <c r="T381">
        <v>-3.8377639999999998E-2</v>
      </c>
      <c r="U381">
        <v>3.7841799999999998E-3</v>
      </c>
      <c r="V381">
        <v>1.936305E-2</v>
      </c>
      <c r="W381">
        <v>0.18706739999999999</v>
      </c>
      <c r="X381">
        <v>0.98215620000000003</v>
      </c>
      <c r="Y381">
        <v>-1.459062E-2</v>
      </c>
      <c r="Z381">
        <v>2.5901949999999999E-4</v>
      </c>
      <c r="AA381">
        <v>0.99989349999999999</v>
      </c>
      <c r="AB381">
        <v>28</v>
      </c>
      <c r="AC381">
        <v>91.405100000000004</v>
      </c>
      <c r="AD381">
        <v>-1.1493739999999999</v>
      </c>
      <c r="AE381">
        <v>0.114800000000002</v>
      </c>
      <c r="AF381">
        <v>-1.33539814967281</v>
      </c>
      <c r="AG381">
        <v>-1.1493739999999999</v>
      </c>
      <c r="AH381">
        <v>91.380964659857995</v>
      </c>
      <c r="AI381">
        <v>90.720541499866997</v>
      </c>
      <c r="AJ381">
        <v>90.837233797754294</v>
      </c>
      <c r="AK381">
        <v>91.397948833528204</v>
      </c>
      <c r="AL381">
        <v>79.218309427375203</v>
      </c>
      <c r="AM381">
        <v>88.870569322542096</v>
      </c>
      <c r="AN381">
        <v>0.99999997052324996</v>
      </c>
    </row>
    <row r="382" spans="1:40" x14ac:dyDescent="0.25">
      <c r="A382" t="str">
        <f>"20190312172904836"</f>
        <v>20190312172904836</v>
      </c>
      <c r="B382" t="str">
        <f>"1552382944828066"</f>
        <v>1552382944828066</v>
      </c>
      <c r="C382" t="s">
        <v>40</v>
      </c>
      <c r="D382">
        <v>3.17611</v>
      </c>
      <c r="E382">
        <v>0.48993639999999999</v>
      </c>
      <c r="F382" t="s">
        <v>43</v>
      </c>
      <c r="G382">
        <v>-307.8922</v>
      </c>
      <c r="H382">
        <v>-0.05</v>
      </c>
      <c r="I382">
        <v>367.4144</v>
      </c>
      <c r="J382">
        <v>-395.10590000000002</v>
      </c>
      <c r="K382">
        <v>1.1008500000000001</v>
      </c>
      <c r="L382">
        <v>367.29730000000001</v>
      </c>
      <c r="M382">
        <v>0.99989600000000001</v>
      </c>
      <c r="N382">
        <v>0</v>
      </c>
      <c r="O382">
        <v>-1.275679E-2</v>
      </c>
      <c r="P382">
        <v>0.98308130000000005</v>
      </c>
      <c r="Q382">
        <v>0.18032029999999999</v>
      </c>
      <c r="R382">
        <v>-3.2183299999999998E-2</v>
      </c>
      <c r="S382">
        <v>3.059631</v>
      </c>
      <c r="T382">
        <v>-4.0201899999999999E-2</v>
      </c>
      <c r="U382">
        <v>3.9978030000000003E-3</v>
      </c>
      <c r="V382">
        <v>1.9357659999999999E-2</v>
      </c>
      <c r="W382">
        <v>0.18694939999999999</v>
      </c>
      <c r="X382">
        <v>0.98217880000000002</v>
      </c>
      <c r="Y382">
        <v>-1.4061280000000001E-2</v>
      </c>
      <c r="Z382">
        <v>2.599856E-4</v>
      </c>
      <c r="AA382">
        <v>0.99990109999999999</v>
      </c>
      <c r="AB382">
        <v>28</v>
      </c>
      <c r="AC382">
        <v>87.213700000000003</v>
      </c>
      <c r="AD382">
        <v>-1.1508499999999999</v>
      </c>
      <c r="AE382">
        <v>0.117099999999993</v>
      </c>
      <c r="AF382">
        <v>-1.22946841745262</v>
      </c>
      <c r="AG382">
        <v>-1.1508499999999999</v>
      </c>
      <c r="AH382">
        <v>87.189926985731404</v>
      </c>
      <c r="AI382">
        <v>90.756147730441498</v>
      </c>
      <c r="AJ382">
        <v>90.8078763842217</v>
      </c>
      <c r="AK382">
        <v>87.206189092800003</v>
      </c>
      <c r="AL382">
        <v>79.225192024846606</v>
      </c>
      <c r="AM382">
        <v>88.870909609694195</v>
      </c>
      <c r="AN382">
        <v>0.99999999616523705</v>
      </c>
    </row>
    <row r="383" spans="1:40" x14ac:dyDescent="0.25">
      <c r="A383" t="str">
        <f>"20190312172904848"</f>
        <v>20190312172904848</v>
      </c>
      <c r="B383" t="str">
        <f>"1552382944837823"</f>
        <v>1552382944837823</v>
      </c>
      <c r="C383" t="s">
        <v>40</v>
      </c>
      <c r="D383">
        <v>3.1546180000000001</v>
      </c>
      <c r="E383">
        <v>0.49001030000000001</v>
      </c>
      <c r="F383" t="s">
        <v>43</v>
      </c>
      <c r="G383">
        <v>-311.2045</v>
      </c>
      <c r="H383">
        <v>-0.05</v>
      </c>
      <c r="I383">
        <v>367.44540000000001</v>
      </c>
      <c r="J383">
        <v>-394.95159999999998</v>
      </c>
      <c r="K383">
        <v>1.101642</v>
      </c>
      <c r="L383">
        <v>367.29579999999999</v>
      </c>
      <c r="M383">
        <v>0.99989859999999997</v>
      </c>
      <c r="N383">
        <v>0</v>
      </c>
      <c r="O383">
        <v>-1.2390160000000001E-2</v>
      </c>
      <c r="P383">
        <v>0.98316979999999998</v>
      </c>
      <c r="Q383">
        <v>0.17989579999999999</v>
      </c>
      <c r="R383">
        <v>-3.1853560000000003E-2</v>
      </c>
      <c r="S383">
        <v>3.0595089999999998</v>
      </c>
      <c r="T383">
        <v>-4.1966320000000001E-2</v>
      </c>
      <c r="U383">
        <v>5.4016109999999997E-3</v>
      </c>
      <c r="V383">
        <v>1.9399179999999999E-2</v>
      </c>
      <c r="W383">
        <v>0.18683269999999999</v>
      </c>
      <c r="X383">
        <v>0.98220019999999997</v>
      </c>
      <c r="Y383">
        <v>-1.415333E-2</v>
      </c>
      <c r="Z383">
        <v>2.670088E-4</v>
      </c>
      <c r="AA383">
        <v>0.99989980000000001</v>
      </c>
      <c r="AB383">
        <v>28</v>
      </c>
      <c r="AC383">
        <v>83.747099999999904</v>
      </c>
      <c r="AD383">
        <v>-1.1516420000000001</v>
      </c>
      <c r="AE383">
        <v>0.14960000000001999</v>
      </c>
      <c r="AF383">
        <v>-1.18702958103169</v>
      </c>
      <c r="AG383">
        <v>-1.1516420000000001</v>
      </c>
      <c r="AH383">
        <v>83.722985451812207</v>
      </c>
      <c r="AI383">
        <v>90.787996687550404</v>
      </c>
      <c r="AJ383">
        <v>90.812288622396593</v>
      </c>
      <c r="AK383">
        <v>83.739319387530102</v>
      </c>
      <c r="AL383">
        <v>79.231998510176993</v>
      </c>
      <c r="AM383">
        <v>88.868513113711302</v>
      </c>
      <c r="AN383">
        <v>1.0000000094270001</v>
      </c>
    </row>
    <row r="384" spans="1:40" x14ac:dyDescent="0.25">
      <c r="A384" t="str">
        <f>"20190312172904860"</f>
        <v>20190312172904860</v>
      </c>
      <c r="B384" t="str">
        <f>"1552382944858318"</f>
        <v>1552382944858318</v>
      </c>
      <c r="C384" t="s">
        <v>40</v>
      </c>
      <c r="D384">
        <v>3.1576219999999999</v>
      </c>
      <c r="E384">
        <v>0.49013289999999998</v>
      </c>
      <c r="F384" t="s">
        <v>43</v>
      </c>
      <c r="G384">
        <v>-313.9169</v>
      </c>
      <c r="H384">
        <v>-0.05</v>
      </c>
      <c r="I384">
        <v>367.44450000000001</v>
      </c>
      <c r="J384">
        <v>-394.78989999999999</v>
      </c>
      <c r="K384">
        <v>1.1024119999999999</v>
      </c>
      <c r="L384">
        <v>367.29419999999999</v>
      </c>
      <c r="M384">
        <v>0.99990109999999999</v>
      </c>
      <c r="N384">
        <v>0</v>
      </c>
      <c r="O384">
        <v>-1.20007E-2</v>
      </c>
      <c r="P384">
        <v>0.9832535</v>
      </c>
      <c r="Q384">
        <v>0.17949300000000001</v>
      </c>
      <c r="R384">
        <v>-3.1546680000000001E-2</v>
      </c>
      <c r="S384">
        <v>3.0595089999999998</v>
      </c>
      <c r="T384">
        <v>-4.3480869999999998E-2</v>
      </c>
      <c r="U384">
        <v>5.6152340000000002E-3</v>
      </c>
      <c r="V384">
        <v>1.9486199999999999E-2</v>
      </c>
      <c r="W384">
        <v>0.18673619999999999</v>
      </c>
      <c r="X384">
        <v>0.9822168</v>
      </c>
      <c r="Y384">
        <v>-1.38336E-2</v>
      </c>
      <c r="Z384">
        <v>2.6883830000000002E-4</v>
      </c>
      <c r="AA384">
        <v>0.99990429999999997</v>
      </c>
      <c r="AB384">
        <v>28</v>
      </c>
      <c r="AC384">
        <v>80.872999999999905</v>
      </c>
      <c r="AD384">
        <v>-1.152412</v>
      </c>
      <c r="AE384">
        <v>0.150300000000015</v>
      </c>
      <c r="AF384">
        <v>-1.1206203387206699</v>
      </c>
      <c r="AG384">
        <v>-1.152412</v>
      </c>
      <c r="AH384">
        <v>80.848955658580195</v>
      </c>
      <c r="AI384">
        <v>90.8165539272335</v>
      </c>
      <c r="AJ384">
        <v>90.794106788805806</v>
      </c>
      <c r="AK384">
        <v>80.864933527731097</v>
      </c>
      <c r="AL384">
        <v>79.237626295666999</v>
      </c>
      <c r="AM384">
        <v>88.863458070794593</v>
      </c>
      <c r="AN384">
        <v>0.99999998129155898</v>
      </c>
    </row>
    <row r="385" spans="1:40" x14ac:dyDescent="0.25">
      <c r="A385" t="str">
        <f>"20190312172904881"</f>
        <v>20190312172904881</v>
      </c>
      <c r="B385" t="str">
        <f>"1552382944877838"</f>
        <v>1552382944877838</v>
      </c>
      <c r="C385" t="s">
        <v>40</v>
      </c>
      <c r="D385">
        <v>3.1323780000000001</v>
      </c>
      <c r="E385">
        <v>0.49031999999999998</v>
      </c>
      <c r="F385" t="s">
        <v>43</v>
      </c>
      <c r="G385">
        <v>-316.1318</v>
      </c>
      <c r="H385">
        <v>-0.05</v>
      </c>
      <c r="I385">
        <v>367.43459999999999</v>
      </c>
      <c r="J385">
        <v>-394.53390000000002</v>
      </c>
      <c r="K385">
        <v>1.103505</v>
      </c>
      <c r="L385">
        <v>367.29180000000002</v>
      </c>
      <c r="M385">
        <v>0.99990480000000004</v>
      </c>
      <c r="N385">
        <v>0</v>
      </c>
      <c r="O385">
        <v>-1.138639E-2</v>
      </c>
      <c r="P385">
        <v>0.98331590000000002</v>
      </c>
      <c r="Q385">
        <v>0.17919649999999901</v>
      </c>
      <c r="R385">
        <v>-3.127825E-2</v>
      </c>
      <c r="S385">
        <v>3.059418</v>
      </c>
      <c r="T385">
        <v>-4.4823170000000002E-2</v>
      </c>
      <c r="U385">
        <v>5.4626459999999998E-3</v>
      </c>
      <c r="V385">
        <v>1.983563E-2</v>
      </c>
      <c r="W385">
        <v>0.1868861</v>
      </c>
      <c r="X385">
        <v>0.98218130000000003</v>
      </c>
      <c r="Y385">
        <v>-1.3169490000000001E-2</v>
      </c>
      <c r="Z385">
        <v>2.6328149999999998E-4</v>
      </c>
      <c r="AA385">
        <v>0.99991319999999995</v>
      </c>
      <c r="AB385">
        <v>28</v>
      </c>
      <c r="AC385">
        <v>78.402100000000004</v>
      </c>
      <c r="AD385">
        <v>-1.153505</v>
      </c>
      <c r="AE385">
        <v>0.14279999999996501</v>
      </c>
      <c r="AF385">
        <v>-1.03531063742457</v>
      </c>
      <c r="AG385">
        <v>-1.153505</v>
      </c>
      <c r="AH385">
        <v>78.378425120511196</v>
      </c>
      <c r="AI385">
        <v>90.843094681059995</v>
      </c>
      <c r="AJ385">
        <v>90.756783263627199</v>
      </c>
      <c r="AK385">
        <v>78.393749535741506</v>
      </c>
      <c r="AL385">
        <v>79.228883807978306</v>
      </c>
      <c r="AM385">
        <v>88.843041085209506</v>
      </c>
      <c r="AN385">
        <v>0.99999998633019804</v>
      </c>
    </row>
    <row r="386" spans="1:40" x14ac:dyDescent="0.25">
      <c r="A386" t="str">
        <f>"20190312172904904"</f>
        <v>20190312172904904</v>
      </c>
      <c r="B386" t="str">
        <f>"1552382944898334"</f>
        <v>1552382944898334</v>
      </c>
      <c r="C386" t="s">
        <v>40</v>
      </c>
      <c r="D386">
        <v>3.1339739999999998</v>
      </c>
      <c r="E386">
        <v>0.49048449999999999</v>
      </c>
      <c r="F386" t="s">
        <v>41</v>
      </c>
      <c r="G386">
        <v>-322.82040000000001</v>
      </c>
      <c r="H386" s="1">
        <v>-3.4539070000000001E-6</v>
      </c>
      <c r="I386">
        <v>367.40899999999999</v>
      </c>
      <c r="J386">
        <v>-394.2561</v>
      </c>
      <c r="K386">
        <v>1.1045419999999999</v>
      </c>
      <c r="L386">
        <v>367.2894</v>
      </c>
      <c r="M386">
        <v>0.99990829999999997</v>
      </c>
      <c r="N386">
        <v>0</v>
      </c>
      <c r="O386">
        <v>-1.073433E-2</v>
      </c>
      <c r="P386">
        <v>0.98333820000000005</v>
      </c>
      <c r="Q386">
        <v>0.17917859999999999</v>
      </c>
      <c r="R386">
        <v>-3.067508E-2</v>
      </c>
      <c r="S386">
        <v>3.0596619999999999</v>
      </c>
      <c r="T386">
        <v>-4.7081230000000002E-2</v>
      </c>
      <c r="U386">
        <v>5.0048829999999999E-3</v>
      </c>
      <c r="V386">
        <v>1.988347E-2</v>
      </c>
      <c r="W386">
        <v>0.18730669999999999</v>
      </c>
      <c r="X386">
        <v>0.98210019999999998</v>
      </c>
      <c r="Y386">
        <v>-1.2367619999999999E-2</v>
      </c>
      <c r="Z386">
        <v>2.6031980000000001E-4</v>
      </c>
      <c r="AA386">
        <v>0.99992349999999997</v>
      </c>
      <c r="AB386">
        <v>28</v>
      </c>
      <c r="AC386">
        <v>71.435699999999997</v>
      </c>
      <c r="AD386">
        <v>-1.1045454539070001</v>
      </c>
      <c r="AE386">
        <v>0.11959999999999101</v>
      </c>
      <c r="AF386">
        <v>-0.88622174893547501</v>
      </c>
      <c r="AG386">
        <v>-1.1045454539070001</v>
      </c>
      <c r="AH386">
        <v>71.413226947779705</v>
      </c>
      <c r="AI386">
        <v>90.8860526027308</v>
      </c>
      <c r="AJ386">
        <v>90.710990971229506</v>
      </c>
      <c r="AK386">
        <v>71.427266451566794</v>
      </c>
      <c r="AL386">
        <v>79.204351913218701</v>
      </c>
      <c r="AM386">
        <v>88.840155724248007</v>
      </c>
      <c r="AN386">
        <v>0.99999997754208503</v>
      </c>
    </row>
    <row r="387" spans="1:40" x14ac:dyDescent="0.25">
      <c r="A387" t="str">
        <f>"20190312172904926"</f>
        <v>20190312172904926</v>
      </c>
      <c r="B387" t="str">
        <f>"1552382944917854"</f>
        <v>1552382944917854</v>
      </c>
      <c r="C387" t="s">
        <v>40</v>
      </c>
      <c r="D387">
        <v>3.11775</v>
      </c>
      <c r="E387">
        <v>0.49065609999999998</v>
      </c>
      <c r="F387" t="s">
        <v>41</v>
      </c>
      <c r="G387">
        <v>-323.50259999999997</v>
      </c>
      <c r="H387" s="1">
        <v>-3.1602019999999999E-6</v>
      </c>
      <c r="I387">
        <v>367.41489999999999</v>
      </c>
      <c r="J387">
        <v>-393.97359999999998</v>
      </c>
      <c r="K387">
        <v>1.1054520000000001</v>
      </c>
      <c r="L387">
        <v>367.28710000000001</v>
      </c>
      <c r="M387">
        <v>0.99991180000000002</v>
      </c>
      <c r="N387">
        <v>0</v>
      </c>
      <c r="O387">
        <v>-1.0087270000000001E-2</v>
      </c>
      <c r="P387">
        <v>0.98337350000000001</v>
      </c>
      <c r="Q387">
        <v>0.17909129999999901</v>
      </c>
      <c r="R387">
        <v>-3.0063059999999999E-2</v>
      </c>
      <c r="S387">
        <v>3.0596920000000001</v>
      </c>
      <c r="T387">
        <v>-4.7765370000000001E-2</v>
      </c>
      <c r="U387">
        <v>5.432129E-3</v>
      </c>
      <c r="V387">
        <v>1.9912369999999999E-2</v>
      </c>
      <c r="W387">
        <v>0.1876159</v>
      </c>
      <c r="X387">
        <v>0.98204060000000004</v>
      </c>
      <c r="Y387">
        <v>-1.1860249999999999E-2</v>
      </c>
      <c r="Z387">
        <v>2.500391E-4</v>
      </c>
      <c r="AA387">
        <v>0.99992959999999997</v>
      </c>
      <c r="AB387">
        <v>28</v>
      </c>
      <c r="AC387">
        <v>70.471000000000004</v>
      </c>
      <c r="AD387">
        <v>-1.105455160202</v>
      </c>
      <c r="AE387">
        <v>0.12779999999997901</v>
      </c>
      <c r="AF387">
        <v>-0.838473708158054</v>
      </c>
      <c r="AG387">
        <v>-1.105455160202</v>
      </c>
      <c r="AH387">
        <v>70.448789736096103</v>
      </c>
      <c r="AI387">
        <v>90.898925774951806</v>
      </c>
      <c r="AJ387">
        <v>90.681895837630904</v>
      </c>
      <c r="AK387">
        <v>70.462451309553302</v>
      </c>
      <c r="AL387">
        <v>79.186316395749003</v>
      </c>
      <c r="AM387">
        <v>88.838399914613007</v>
      </c>
      <c r="AN387">
        <v>0.99999998423009295</v>
      </c>
    </row>
    <row r="388" spans="1:40" x14ac:dyDescent="0.25">
      <c r="A388" t="str">
        <f>"20190312172904938"</f>
        <v>20190312172904938</v>
      </c>
      <c r="B388" t="str">
        <f>"1552382944927614"</f>
        <v>1552382944927614</v>
      </c>
      <c r="C388" t="s">
        <v>40</v>
      </c>
      <c r="D388">
        <v>3.2530830000000002</v>
      </c>
      <c r="E388">
        <v>0.49073650000000002</v>
      </c>
      <c r="F388" t="s">
        <v>41</v>
      </c>
      <c r="G388">
        <v>-324.44990000000001</v>
      </c>
      <c r="H388" s="1">
        <v>-2.750802E-6</v>
      </c>
      <c r="I388">
        <v>367.43189999999998</v>
      </c>
      <c r="J388">
        <v>-393.80360000000002</v>
      </c>
      <c r="K388">
        <v>1.1059330000000001</v>
      </c>
      <c r="L388">
        <v>367.28579999999999</v>
      </c>
      <c r="M388">
        <v>0.99991359999999996</v>
      </c>
      <c r="N388">
        <v>0</v>
      </c>
      <c r="O388">
        <v>-9.7017890000000006E-3</v>
      </c>
      <c r="P388">
        <v>0.98339069999999995</v>
      </c>
      <c r="Q388">
        <v>0.179055399999999</v>
      </c>
      <c r="R388">
        <v>-2.970397E-2</v>
      </c>
      <c r="S388">
        <v>3.0597840000000001</v>
      </c>
      <c r="T388">
        <v>-4.8651699999999999E-2</v>
      </c>
      <c r="U388">
        <v>6.3781740000000003E-3</v>
      </c>
      <c r="V388">
        <v>1.993431E-2</v>
      </c>
      <c r="W388">
        <v>0.1877981</v>
      </c>
      <c r="X388">
        <v>0.98200540000000003</v>
      </c>
      <c r="Y388">
        <v>-1.178385E-2</v>
      </c>
      <c r="Z388">
        <v>2.4793450000000001E-4</v>
      </c>
      <c r="AA388">
        <v>0.9999306</v>
      </c>
      <c r="AB388">
        <v>28</v>
      </c>
      <c r="AC388">
        <v>69.353700000000003</v>
      </c>
      <c r="AD388">
        <v>-1.105935750802</v>
      </c>
      <c r="AE388">
        <v>0.14609999999998899</v>
      </c>
      <c r="AF388">
        <v>-0.81876635586233903</v>
      </c>
      <c r="AG388">
        <v>-1.105935750802</v>
      </c>
      <c r="AH388">
        <v>69.331388385832398</v>
      </c>
      <c r="AI388">
        <v>90.913809196945607</v>
      </c>
      <c r="AJ388">
        <v>90.676600844785497</v>
      </c>
      <c r="AK388">
        <v>69.345042272231197</v>
      </c>
      <c r="AL388">
        <v>79.175688957072495</v>
      </c>
      <c r="AM388">
        <v>88.837078710778897</v>
      </c>
      <c r="AN388">
        <v>1.00000005435397</v>
      </c>
    </row>
    <row r="389" spans="1:40" x14ac:dyDescent="0.25">
      <c r="A389" t="str">
        <f>"20190312172904952"</f>
        <v>20190312172904952</v>
      </c>
      <c r="B389" t="str">
        <f>"1552382944948110"</f>
        <v>1552382944948110</v>
      </c>
      <c r="C389" t="s">
        <v>40</v>
      </c>
      <c r="D389">
        <v>3.2798980000000002</v>
      </c>
      <c r="E389">
        <v>0.49088340000000003</v>
      </c>
      <c r="F389" t="s">
        <v>41</v>
      </c>
      <c r="G389">
        <v>-324.64400000000001</v>
      </c>
      <c r="H389" s="1">
        <v>-2.6673650000000002E-6</v>
      </c>
      <c r="I389">
        <v>367.43270000000001</v>
      </c>
      <c r="J389">
        <v>-393.64580000000001</v>
      </c>
      <c r="K389">
        <v>1.106344</v>
      </c>
      <c r="L389">
        <v>367.28460000000001</v>
      </c>
      <c r="M389">
        <v>0.99991529999999995</v>
      </c>
      <c r="N389">
        <v>0</v>
      </c>
      <c r="O389">
        <v>-9.3444600000000006E-3</v>
      </c>
      <c r="P389">
        <v>0.98345380000000004</v>
      </c>
      <c r="Q389">
        <v>0.17877899999999999</v>
      </c>
      <c r="R389">
        <v>-2.9279739999999999E-2</v>
      </c>
      <c r="S389">
        <v>3.0597840000000001</v>
      </c>
      <c r="T389">
        <v>-4.8929210000000001E-2</v>
      </c>
      <c r="U389">
        <v>6.5002439999999996E-3</v>
      </c>
      <c r="V389">
        <v>1.9862399999999999E-2</v>
      </c>
      <c r="W389">
        <v>0.1877114</v>
      </c>
      <c r="X389">
        <v>0.98202339999999999</v>
      </c>
      <c r="Y389">
        <v>-1.1466479999999999E-2</v>
      </c>
      <c r="Z389">
        <v>2.4109770000000001E-4</v>
      </c>
      <c r="AA389">
        <v>0.99993430000000005</v>
      </c>
      <c r="AB389">
        <v>28</v>
      </c>
      <c r="AC389">
        <v>69.001800000000003</v>
      </c>
      <c r="AD389">
        <v>-1.106346667365</v>
      </c>
      <c r="AE389">
        <v>0.14809999999999901</v>
      </c>
      <c r="AF389">
        <v>-0.792700771560504</v>
      </c>
      <c r="AG389">
        <v>-1.106346667365</v>
      </c>
      <c r="AH389">
        <v>68.979670194178993</v>
      </c>
      <c r="AI389">
        <v>90.918812395433093</v>
      </c>
      <c r="AJ389">
        <v>90.658402820949703</v>
      </c>
      <c r="AK389">
        <v>68.993095868784806</v>
      </c>
      <c r="AL389">
        <v>79.180746082524195</v>
      </c>
      <c r="AM389">
        <v>88.841293860247802</v>
      </c>
      <c r="AN389">
        <v>1.0000000213856299</v>
      </c>
    </row>
    <row r="390" spans="1:40" x14ac:dyDescent="0.25">
      <c r="A390" t="str">
        <f>"20190312172904970"</f>
        <v>20190312172904970</v>
      </c>
      <c r="B390" t="str">
        <f>"1552382944957871"</f>
        <v>1552382944957871</v>
      </c>
      <c r="C390" t="s">
        <v>40</v>
      </c>
      <c r="D390">
        <v>3.1592069999999999</v>
      </c>
      <c r="E390">
        <v>0.49095050000000001</v>
      </c>
      <c r="F390" t="s">
        <v>41</v>
      </c>
      <c r="G390">
        <v>-325.6438</v>
      </c>
      <c r="H390" s="1">
        <v>-2.2369769999999999E-6</v>
      </c>
      <c r="I390">
        <v>367.44119999999998</v>
      </c>
      <c r="J390">
        <v>-393.40719999999999</v>
      </c>
      <c r="K390">
        <v>1.1068929999999999</v>
      </c>
      <c r="L390">
        <v>367.28300000000002</v>
      </c>
      <c r="M390">
        <v>0.99991759999999996</v>
      </c>
      <c r="N390">
        <v>0</v>
      </c>
      <c r="O390">
        <v>-8.8031759999999994E-3</v>
      </c>
      <c r="P390">
        <v>0.9835486</v>
      </c>
      <c r="Q390">
        <v>0.17838799999999999</v>
      </c>
      <c r="R390">
        <v>-2.846166E-2</v>
      </c>
      <c r="S390">
        <v>3.0597840000000001</v>
      </c>
      <c r="T390">
        <v>-4.9780489999999997E-2</v>
      </c>
      <c r="U390">
        <v>7.0495610000000002E-3</v>
      </c>
      <c r="V390">
        <v>1.9577890000000001E-2</v>
      </c>
      <c r="W390">
        <v>0.1875859</v>
      </c>
      <c r="X390">
        <v>0.98205310000000001</v>
      </c>
      <c r="Y390">
        <v>-1.110475E-2</v>
      </c>
      <c r="Z390">
        <v>2.33544E-4</v>
      </c>
      <c r="AA390">
        <v>0.99993829999999995</v>
      </c>
      <c r="AB390">
        <v>28</v>
      </c>
      <c r="AC390">
        <v>67.763399999999905</v>
      </c>
      <c r="AD390">
        <v>-1.106895236977</v>
      </c>
      <c r="AE390">
        <v>0.15819999999996501</v>
      </c>
      <c r="AF390">
        <v>-0.75455171517410202</v>
      </c>
      <c r="AG390">
        <v>-1.106895236977</v>
      </c>
      <c r="AH390">
        <v>67.741306488512706</v>
      </c>
      <c r="AI390">
        <v>90.936073606748806</v>
      </c>
      <c r="AJ390">
        <v>90.638175481158598</v>
      </c>
      <c r="AK390">
        <v>67.754550918201303</v>
      </c>
      <c r="AL390">
        <v>79.188066811593899</v>
      </c>
      <c r="AM390">
        <v>88.857921327594099</v>
      </c>
      <c r="AN390">
        <v>1.0000000274376299</v>
      </c>
    </row>
    <row r="391" spans="1:40" x14ac:dyDescent="0.25">
      <c r="A391" t="str">
        <f>"20190312172904993"</f>
        <v>20190312172904993</v>
      </c>
      <c r="B391" t="str">
        <f>"1552382944988126"</f>
        <v>1552382944988126</v>
      </c>
      <c r="C391" t="s">
        <v>40</v>
      </c>
      <c r="D391">
        <v>3.1909920000000001</v>
      </c>
      <c r="E391">
        <v>0.49110470000000001</v>
      </c>
      <c r="F391" t="s">
        <v>41</v>
      </c>
      <c r="G391">
        <v>-326.80340000000001</v>
      </c>
      <c r="H391" s="1">
        <v>-1.7349309999999999E-6</v>
      </c>
      <c r="I391">
        <v>367.46690000000001</v>
      </c>
      <c r="J391">
        <v>-393.11079999999998</v>
      </c>
      <c r="K391">
        <v>1.1074809999999999</v>
      </c>
      <c r="L391">
        <v>367.28120000000001</v>
      </c>
      <c r="M391">
        <v>0.9999207</v>
      </c>
      <c r="N391">
        <v>0</v>
      </c>
      <c r="O391">
        <v>-8.1273549999999993E-3</v>
      </c>
      <c r="P391">
        <v>0.98362959999999999</v>
      </c>
      <c r="Q391">
        <v>0.17808470000000001</v>
      </c>
      <c r="R391">
        <v>-2.755119E-2</v>
      </c>
      <c r="S391">
        <v>3.0596619999999999</v>
      </c>
      <c r="T391">
        <v>-5.084872E-2</v>
      </c>
      <c r="U391">
        <v>8.4533690000000005E-3</v>
      </c>
      <c r="V391">
        <v>1.9333719999999999E-2</v>
      </c>
      <c r="W391">
        <v>0.18757699999999999</v>
      </c>
      <c r="X391">
        <v>0.98205960000000003</v>
      </c>
      <c r="Y391">
        <v>-1.0887819999999999E-2</v>
      </c>
      <c r="Z391">
        <v>2.255313E-4</v>
      </c>
      <c r="AA391">
        <v>0.99994070000000002</v>
      </c>
      <c r="AB391">
        <v>28</v>
      </c>
      <c r="AC391">
        <v>66.307399999999902</v>
      </c>
      <c r="AD391">
        <v>-1.1074827349309999</v>
      </c>
      <c r="AE391">
        <v>0.18569999999999701</v>
      </c>
      <c r="AF391">
        <v>-0.72442049543412401</v>
      </c>
      <c r="AG391">
        <v>-1.1074827349309999</v>
      </c>
      <c r="AH391">
        <v>66.285209392873099</v>
      </c>
      <c r="AI391">
        <v>90.957142560968904</v>
      </c>
      <c r="AJ391">
        <v>90.626151519836199</v>
      </c>
      <c r="AK391">
        <v>66.298418437541898</v>
      </c>
      <c r="AL391">
        <v>79.188585558564597</v>
      </c>
      <c r="AM391">
        <v>88.872168775799395</v>
      </c>
      <c r="AN391">
        <v>0.99999999080509905</v>
      </c>
    </row>
    <row r="392" spans="1:40" x14ac:dyDescent="0.25">
      <c r="A392" t="str">
        <f>"20190312172905007"</f>
        <v>20190312172905007</v>
      </c>
      <c r="B392" t="str">
        <f>"1552382944997887"</f>
        <v>1552382944997887</v>
      </c>
      <c r="C392" t="s">
        <v>40</v>
      </c>
      <c r="D392">
        <v>3.157324</v>
      </c>
      <c r="E392">
        <v>0.49115690000000001</v>
      </c>
      <c r="F392" t="s">
        <v>41</v>
      </c>
      <c r="G392">
        <v>-326.77800000000002</v>
      </c>
      <c r="H392" s="1">
        <v>-1.7407609999999999E-6</v>
      </c>
      <c r="I392">
        <v>367.49549999999999</v>
      </c>
      <c r="J392">
        <v>-392.93799999999999</v>
      </c>
      <c r="K392">
        <v>1.1077809999999999</v>
      </c>
      <c r="L392">
        <v>367.28019999999998</v>
      </c>
      <c r="M392">
        <v>0.99992230000000004</v>
      </c>
      <c r="N392">
        <v>0</v>
      </c>
      <c r="O392">
        <v>-7.731333E-3</v>
      </c>
      <c r="P392">
        <v>0.98374830000000002</v>
      </c>
      <c r="Q392">
        <v>0.1775341</v>
      </c>
      <c r="R392">
        <v>-2.6859259999999999E-2</v>
      </c>
      <c r="S392">
        <v>3.059418</v>
      </c>
      <c r="T392">
        <v>-5.1079510000000002E-2</v>
      </c>
      <c r="U392">
        <v>9.8876950000000002E-3</v>
      </c>
      <c r="V392">
        <v>1.9032009999999999E-2</v>
      </c>
      <c r="W392">
        <v>0.18718360000000001</v>
      </c>
      <c r="X392">
        <v>0.98214049999999997</v>
      </c>
      <c r="Y392">
        <v>-1.096083E-2</v>
      </c>
      <c r="Z392">
        <v>2.2057080000000001E-4</v>
      </c>
      <c r="AA392">
        <v>0.99993989999999999</v>
      </c>
      <c r="AB392">
        <v>28</v>
      </c>
      <c r="AC392">
        <v>66.16</v>
      </c>
      <c r="AD392">
        <v>-1.1077827407609999</v>
      </c>
      <c r="AE392">
        <v>0.21530000000001301</v>
      </c>
      <c r="AF392">
        <v>-0.72661929903815303</v>
      </c>
      <c r="AG392">
        <v>-1.1077827407609999</v>
      </c>
      <c r="AH392">
        <v>66.137815544890998</v>
      </c>
      <c r="AI392">
        <v>90.959534441775304</v>
      </c>
      <c r="AJ392">
        <v>90.629451455213797</v>
      </c>
      <c r="AK392">
        <v>66.151083160115206</v>
      </c>
      <c r="AL392">
        <v>79.211531602838605</v>
      </c>
      <c r="AM392">
        <v>88.889855996052802</v>
      </c>
      <c r="AN392">
        <v>0.99999993962692302</v>
      </c>
    </row>
    <row r="393" spans="1:40" x14ac:dyDescent="0.25">
      <c r="A393" t="str">
        <f>"20190312172905026"</f>
        <v>20190312172905026</v>
      </c>
      <c r="B393" t="str">
        <f>"1552382945018382"</f>
        <v>1552382945018382</v>
      </c>
      <c r="C393" t="s">
        <v>40</v>
      </c>
      <c r="D393">
        <v>3.136514</v>
      </c>
      <c r="E393">
        <v>0.4912744</v>
      </c>
      <c r="F393" t="s">
        <v>41</v>
      </c>
      <c r="G393">
        <v>-328.51220000000001</v>
      </c>
      <c r="H393" s="1">
        <v>-1.0460959999999999E-6</v>
      </c>
      <c r="I393">
        <v>367.53530000000001</v>
      </c>
      <c r="J393">
        <v>-392.6968</v>
      </c>
      <c r="K393">
        <v>1.10815</v>
      </c>
      <c r="L393">
        <v>367.279</v>
      </c>
      <c r="M393">
        <v>0.99992420000000004</v>
      </c>
      <c r="N393">
        <v>0</v>
      </c>
      <c r="O393">
        <v>-7.1775669999999897E-3</v>
      </c>
      <c r="P393">
        <v>0.98382530000000001</v>
      </c>
      <c r="Q393">
        <v>0.17720710000000001</v>
      </c>
      <c r="R393">
        <v>-2.6178400000000001E-2</v>
      </c>
      <c r="S393">
        <v>3.0593569999999999</v>
      </c>
      <c r="T393">
        <v>-5.2604680000000001E-2</v>
      </c>
      <c r="U393">
        <v>1.211548E-2</v>
      </c>
      <c r="V393">
        <v>1.8896679999999999E-2</v>
      </c>
      <c r="W393">
        <v>0.18705620000000001</v>
      </c>
      <c r="X393">
        <v>0.98216749999999997</v>
      </c>
      <c r="Y393">
        <v>-1.113517E-2</v>
      </c>
      <c r="Z393">
        <v>2.1913759999999999E-4</v>
      </c>
      <c r="AA393">
        <v>0.99993799999999999</v>
      </c>
      <c r="AB393">
        <v>28</v>
      </c>
      <c r="AC393">
        <v>64.184599999999904</v>
      </c>
      <c r="AD393">
        <v>-1.108151046096</v>
      </c>
      <c r="AE393">
        <v>0.25630000000001002</v>
      </c>
      <c r="AF393">
        <v>-0.71679205839438398</v>
      </c>
      <c r="AG393">
        <v>-1.108151046096</v>
      </c>
      <c r="AH393">
        <v>64.161981548215294</v>
      </c>
      <c r="AI393">
        <v>90.989403755633205</v>
      </c>
      <c r="AJ393">
        <v>90.640058962184497</v>
      </c>
      <c r="AK393">
        <v>64.175553490324106</v>
      </c>
      <c r="AL393">
        <v>79.218963562896207</v>
      </c>
      <c r="AM393">
        <v>88.897778182922394</v>
      </c>
      <c r="AN393">
        <v>1.00000005226485</v>
      </c>
    </row>
    <row r="394" spans="1:40" x14ac:dyDescent="0.25">
      <c r="A394" t="str">
        <f>"20190312172905048"</f>
        <v>20190312172905048</v>
      </c>
      <c r="B394" t="str">
        <f>"1552382945037906"</f>
        <v>1552382945037906</v>
      </c>
      <c r="C394" t="s">
        <v>40</v>
      </c>
      <c r="D394">
        <v>3.1544059999999998</v>
      </c>
      <c r="E394">
        <v>0.49139270000000002</v>
      </c>
      <c r="F394" t="s">
        <v>41</v>
      </c>
      <c r="G394">
        <v>-328.95420000000001</v>
      </c>
      <c r="H394" s="1">
        <v>-8.9185430000000002E-7</v>
      </c>
      <c r="I394">
        <v>367.5498</v>
      </c>
      <c r="J394">
        <v>-392.41950000000003</v>
      </c>
      <c r="K394">
        <v>1.108519</v>
      </c>
      <c r="L394">
        <v>367.27769999999998</v>
      </c>
      <c r="M394">
        <v>0.9999266</v>
      </c>
      <c r="N394">
        <v>0</v>
      </c>
      <c r="O394">
        <v>-6.5418169999999897E-3</v>
      </c>
      <c r="P394">
        <v>0.9839696</v>
      </c>
      <c r="Q394">
        <v>0.17651979999999901</v>
      </c>
      <c r="R394">
        <v>-2.5393969999999998E-2</v>
      </c>
      <c r="S394">
        <v>3.0592039999999998</v>
      </c>
      <c r="T394">
        <v>-5.3183439999999998E-2</v>
      </c>
      <c r="U394">
        <v>1.300049E-2</v>
      </c>
      <c r="V394">
        <v>1.8737879999999998E-2</v>
      </c>
      <c r="W394">
        <v>0.18657370000000001</v>
      </c>
      <c r="X394">
        <v>0.98226230000000003</v>
      </c>
      <c r="Y394">
        <v>-1.078898E-2</v>
      </c>
      <c r="Z394">
        <v>2.0749860000000001E-4</v>
      </c>
      <c r="AA394">
        <v>0.99994179999999999</v>
      </c>
      <c r="AB394">
        <v>28</v>
      </c>
      <c r="AC394">
        <v>63.465299999999999</v>
      </c>
      <c r="AD394">
        <v>-1.1085198918543</v>
      </c>
      <c r="AE394">
        <v>0.27210000000002299</v>
      </c>
      <c r="AF394">
        <v>-0.68708453410342296</v>
      </c>
      <c r="AG394">
        <v>-1.1085198918543</v>
      </c>
      <c r="AH394">
        <v>63.442806911635799</v>
      </c>
      <c r="AI394">
        <v>91.000953911965198</v>
      </c>
      <c r="AJ394">
        <v>90.620488072587605</v>
      </c>
      <c r="AK394">
        <v>63.456210494598103</v>
      </c>
      <c r="AL394">
        <v>79.247104052410407</v>
      </c>
      <c r="AM394">
        <v>88.907144007842305</v>
      </c>
      <c r="AN394">
        <v>1.00000003983993</v>
      </c>
    </row>
    <row r="395" spans="1:40" x14ac:dyDescent="0.25">
      <c r="A395" t="str">
        <f>"20190312172905059"</f>
        <v>20190312172905059</v>
      </c>
      <c r="B395" t="str">
        <f>"1552382945047663"</f>
        <v>1552382945047663</v>
      </c>
      <c r="C395" t="s">
        <v>40</v>
      </c>
      <c r="D395">
        <v>3.1409539999999998</v>
      </c>
      <c r="E395">
        <v>0.49145450000000002</v>
      </c>
      <c r="F395" t="s">
        <v>41</v>
      </c>
      <c r="G395">
        <v>-330.65069999999997</v>
      </c>
      <c r="H395" s="1">
        <v>-4.3570680000000001E-6</v>
      </c>
      <c r="I395">
        <v>367.56479999999999</v>
      </c>
      <c r="J395">
        <v>-392.26979999999998</v>
      </c>
      <c r="K395">
        <v>1.10869</v>
      </c>
      <c r="L395">
        <v>367.27699999999999</v>
      </c>
      <c r="M395">
        <v>0.99992780000000003</v>
      </c>
      <c r="N395">
        <v>0</v>
      </c>
      <c r="O395">
        <v>-6.1986119999999896E-3</v>
      </c>
      <c r="P395">
        <v>0.98401539999999998</v>
      </c>
      <c r="Q395">
        <v>0.17627019999999999</v>
      </c>
      <c r="R395">
        <v>-2.5357270000000001E-2</v>
      </c>
      <c r="S395">
        <v>3.0590820000000001</v>
      </c>
      <c r="T395">
        <v>-5.4899219999999999E-2</v>
      </c>
      <c r="U395">
        <v>1.422119E-2</v>
      </c>
      <c r="V395">
        <v>1.9038960000000001E-2</v>
      </c>
      <c r="W395">
        <v>0.18642610000000001</v>
      </c>
      <c r="X395">
        <v>0.9822845</v>
      </c>
      <c r="Y395">
        <v>-1.084483E-2</v>
      </c>
      <c r="Z395">
        <v>2.0854240000000001E-4</v>
      </c>
      <c r="AA395">
        <v>0.99994119999999997</v>
      </c>
      <c r="AB395">
        <v>28</v>
      </c>
      <c r="AC395">
        <v>61.619100000000003</v>
      </c>
      <c r="AD395">
        <v>-1.1086943570679999</v>
      </c>
      <c r="AE395">
        <v>0.287800000000004</v>
      </c>
      <c r="AF395">
        <v>-0.66955084880294602</v>
      </c>
      <c r="AG395">
        <v>-1.1086943570679999</v>
      </c>
      <c r="AH395">
        <v>61.596191458825899</v>
      </c>
      <c r="AI395">
        <v>91.031117279393698</v>
      </c>
      <c r="AJ395">
        <v>90.622780825800405</v>
      </c>
      <c r="AK395">
        <v>61.609806879658898</v>
      </c>
      <c r="AL395">
        <v>79.255711565050206</v>
      </c>
      <c r="AM395">
        <v>88.889613464033005</v>
      </c>
      <c r="AN395">
        <v>1.0000000058496701</v>
      </c>
    </row>
    <row r="396" spans="1:40" x14ac:dyDescent="0.25">
      <c r="A396" t="str">
        <f>"20190312172905071"</f>
        <v>20190312172905071</v>
      </c>
      <c r="B396" t="str">
        <f>"1552382945068159"</f>
        <v>1552382945068159</v>
      </c>
      <c r="C396" t="s">
        <v>40</v>
      </c>
      <c r="D396">
        <v>3.1414569999999999</v>
      </c>
      <c r="E396">
        <v>0.49156309999999898</v>
      </c>
      <c r="F396" t="s">
        <v>41</v>
      </c>
      <c r="G396">
        <v>-331.12189999999998</v>
      </c>
      <c r="H396" s="1">
        <v>-4.1566409999999998E-6</v>
      </c>
      <c r="I396">
        <v>367.55509999999998</v>
      </c>
      <c r="J396">
        <v>-392.12920000000003</v>
      </c>
      <c r="K396">
        <v>1.108838</v>
      </c>
      <c r="L396">
        <v>367.27659999999997</v>
      </c>
      <c r="M396">
        <v>0.99992879999999995</v>
      </c>
      <c r="N396">
        <v>0</v>
      </c>
      <c r="O396">
        <v>-5.8762110000000001E-3</v>
      </c>
      <c r="P396">
        <v>0.98404599999999998</v>
      </c>
      <c r="Q396">
        <v>0.17615339999999999</v>
      </c>
      <c r="R396">
        <v>-2.4976120000000001E-2</v>
      </c>
      <c r="S396">
        <v>3.0589900000000001</v>
      </c>
      <c r="T396">
        <v>-5.546355E-2</v>
      </c>
      <c r="U396">
        <v>1.3916019999999999E-2</v>
      </c>
      <c r="V396">
        <v>1.897482E-2</v>
      </c>
      <c r="W396">
        <v>0.18639749999999999</v>
      </c>
      <c r="X396">
        <v>0.98229120000000003</v>
      </c>
      <c r="Y396">
        <v>-1.0422880000000001E-2</v>
      </c>
      <c r="Z396">
        <v>2.0102189999999999E-4</v>
      </c>
      <c r="AA396">
        <v>0.99994559999999999</v>
      </c>
      <c r="AB396">
        <v>28</v>
      </c>
      <c r="AC396">
        <v>61.007300000000001</v>
      </c>
      <c r="AD396">
        <v>-1.1088421566410001</v>
      </c>
      <c r="AE396">
        <v>0.27850000000000802</v>
      </c>
      <c r="AF396">
        <v>-0.636795932535687</v>
      </c>
      <c r="AG396">
        <v>-1.1088421566410001</v>
      </c>
      <c r="AH396">
        <v>60.984464108432398</v>
      </c>
      <c r="AI396">
        <v>91.041601573413899</v>
      </c>
      <c r="AJ396">
        <v>90.598257177522598</v>
      </c>
      <c r="AK396">
        <v>60.997868016683299</v>
      </c>
      <c r="AL396">
        <v>79.257379795032406</v>
      </c>
      <c r="AM396">
        <v>88.893360839168594</v>
      </c>
      <c r="AN396">
        <v>1.00000003669886</v>
      </c>
    </row>
    <row r="397" spans="1:40" x14ac:dyDescent="0.25">
      <c r="A397" t="str">
        <f>"20190312172905084"</f>
        <v>20190312172905084</v>
      </c>
      <c r="B397" t="str">
        <f>"1552382945077920"</f>
        <v>1552382945077920</v>
      </c>
      <c r="C397" t="s">
        <v>40</v>
      </c>
      <c r="D397">
        <v>3.1460620000000001</v>
      </c>
      <c r="E397">
        <v>0.49162679999999997</v>
      </c>
      <c r="F397" t="s">
        <v>41</v>
      </c>
      <c r="G397">
        <v>-330.78230000000002</v>
      </c>
      <c r="H397" s="1">
        <v>-4.3009499999999999E-6</v>
      </c>
      <c r="I397">
        <v>367.56290000000001</v>
      </c>
      <c r="J397">
        <v>-391.96</v>
      </c>
      <c r="K397">
        <v>1.1090040000000001</v>
      </c>
      <c r="L397">
        <v>367.27600000000001</v>
      </c>
      <c r="M397">
        <v>0.99992970000000003</v>
      </c>
      <c r="N397">
        <v>0</v>
      </c>
      <c r="O397">
        <v>-5.4887900000000003E-3</v>
      </c>
      <c r="P397">
        <v>0.98413680000000003</v>
      </c>
      <c r="Q397">
        <v>0.17569009999999999</v>
      </c>
      <c r="R397">
        <v>-2.4649339999999999E-2</v>
      </c>
      <c r="S397">
        <v>3.058929</v>
      </c>
      <c r="T397">
        <v>-5.5289980000000002E-2</v>
      </c>
      <c r="U397">
        <v>1.428223E-2</v>
      </c>
      <c r="V397">
        <v>1.9029480000000001E-2</v>
      </c>
      <c r="W397">
        <v>0.1860368</v>
      </c>
      <c r="X397">
        <v>0.98235850000000002</v>
      </c>
      <c r="Y397">
        <v>-1.015538E-2</v>
      </c>
      <c r="Z397">
        <v>1.909774E-4</v>
      </c>
      <c r="AA397">
        <v>0.99994839999999996</v>
      </c>
      <c r="AB397">
        <v>28</v>
      </c>
      <c r="AC397">
        <v>61.177699999999902</v>
      </c>
      <c r="AD397">
        <v>-1.10900830095</v>
      </c>
      <c r="AE397">
        <v>0.28690000000000199</v>
      </c>
      <c r="AF397">
        <v>-0.62250121765225597</v>
      </c>
      <c r="AG397">
        <v>-1.10900830095</v>
      </c>
      <c r="AH397">
        <v>61.155107670839598</v>
      </c>
      <c r="AI397">
        <v>91.0388542027911</v>
      </c>
      <c r="AJ397">
        <v>90.583196761511203</v>
      </c>
      <c r="AK397">
        <v>61.168330052483299</v>
      </c>
      <c r="AL397">
        <v>79.278414094286404</v>
      </c>
      <c r="AM397">
        <v>88.890249798099802</v>
      </c>
      <c r="AN397">
        <v>1.0000000172927801</v>
      </c>
    </row>
    <row r="398" spans="1:40" x14ac:dyDescent="0.25">
      <c r="A398" t="str">
        <f>"20190312172905105"</f>
        <v>20190312172905105</v>
      </c>
      <c r="B398" t="str">
        <f>"1552382945097439"</f>
        <v>1552382945097439</v>
      </c>
      <c r="C398" t="s">
        <v>40</v>
      </c>
      <c r="D398">
        <v>3.1439189999999999</v>
      </c>
      <c r="E398">
        <v>0.4917376</v>
      </c>
      <c r="F398" t="s">
        <v>41</v>
      </c>
      <c r="G398">
        <v>-331.91989999999998</v>
      </c>
      <c r="H398" s="1">
        <v>-3.812205E-6</v>
      </c>
      <c r="I398">
        <v>367.56700000000001</v>
      </c>
      <c r="J398">
        <v>-391.69499999999999</v>
      </c>
      <c r="K398">
        <v>1.1092139999999999</v>
      </c>
      <c r="L398">
        <v>367.27519999999998</v>
      </c>
      <c r="M398">
        <v>0.99993160000000003</v>
      </c>
      <c r="N398">
        <v>0</v>
      </c>
      <c r="O398">
        <v>-4.883185E-3</v>
      </c>
      <c r="P398">
        <v>0.98421230000000004</v>
      </c>
      <c r="Q398">
        <v>0.17529129999999901</v>
      </c>
      <c r="R398">
        <v>-2.448614E-2</v>
      </c>
      <c r="S398">
        <v>3.0588069999999998</v>
      </c>
      <c r="T398">
        <v>-5.6499479999999998E-2</v>
      </c>
      <c r="U398">
        <v>1.4831540000000001E-2</v>
      </c>
      <c r="V398">
        <v>1.9462139999999999E-2</v>
      </c>
      <c r="W398">
        <v>0.1857809</v>
      </c>
      <c r="X398">
        <v>0.98239849999999995</v>
      </c>
      <c r="Y398">
        <v>-9.7295960000000001E-3</v>
      </c>
      <c r="Z398">
        <v>1.8004450000000001E-4</v>
      </c>
      <c r="AA398">
        <v>0.99995270000000003</v>
      </c>
      <c r="AB398">
        <v>28</v>
      </c>
      <c r="AC398">
        <v>59.775100000000002</v>
      </c>
      <c r="AD398">
        <v>-1.1092178122049901</v>
      </c>
      <c r="AE398">
        <v>0.29179999999996598</v>
      </c>
      <c r="AF398">
        <v>-0.58350495635634603</v>
      </c>
      <c r="AG398">
        <v>-1.1092178122049901</v>
      </c>
      <c r="AH398">
        <v>59.752387327198903</v>
      </c>
      <c r="AI398">
        <v>91.063441549102194</v>
      </c>
      <c r="AJ398">
        <v>90.559497455191106</v>
      </c>
      <c r="AK398">
        <v>59.7655304794378</v>
      </c>
      <c r="AL398">
        <v>79.293336741093199</v>
      </c>
      <c r="AM398">
        <v>88.865070909658996</v>
      </c>
      <c r="AN398">
        <v>1.0000000652502099</v>
      </c>
    </row>
    <row r="399" spans="1:40" x14ac:dyDescent="0.25">
      <c r="A399" t="str">
        <f>"20190312172905127"</f>
        <v>20190312172905127</v>
      </c>
      <c r="B399" t="str">
        <f>"1552382945117934"</f>
        <v>1552382945117934</v>
      </c>
      <c r="C399" t="s">
        <v>40</v>
      </c>
      <c r="D399">
        <v>3.1639390000000001</v>
      </c>
      <c r="E399">
        <v>0.49185590000000001</v>
      </c>
      <c r="F399" t="s">
        <v>41</v>
      </c>
      <c r="G399">
        <v>-332.53059999999999</v>
      </c>
      <c r="H399" s="1">
        <v>-3.5528780000000001E-6</v>
      </c>
      <c r="I399">
        <v>367.55189999999999</v>
      </c>
      <c r="J399">
        <v>-391.41340000000002</v>
      </c>
      <c r="K399">
        <v>1.1094079999999999</v>
      </c>
      <c r="L399">
        <v>367.27449999999999</v>
      </c>
      <c r="M399">
        <v>0.99993310000000002</v>
      </c>
      <c r="N399">
        <v>0</v>
      </c>
      <c r="O399">
        <v>-4.2396489999999998E-3</v>
      </c>
      <c r="P399">
        <v>0.98428649999999995</v>
      </c>
      <c r="Q399">
        <v>0.17489179999999999</v>
      </c>
      <c r="R399">
        <v>-2.4358100000000001E-2</v>
      </c>
      <c r="S399">
        <v>3.0586850000000001</v>
      </c>
      <c r="T399">
        <v>-5.7344319999999997E-2</v>
      </c>
      <c r="U399">
        <v>1.4312739999999999E-2</v>
      </c>
      <c r="V399">
        <v>1.996788E-2</v>
      </c>
      <c r="W399">
        <v>0.18551670000000001</v>
      </c>
      <c r="X399">
        <v>0.98243820000000004</v>
      </c>
      <c r="Y399">
        <v>-8.9168230000000008E-3</v>
      </c>
      <c r="Z399">
        <v>1.6306090000000001E-4</v>
      </c>
      <c r="AA399">
        <v>0.99996019999999997</v>
      </c>
      <c r="AB399">
        <v>28</v>
      </c>
      <c r="AC399">
        <v>58.882800000000003</v>
      </c>
      <c r="AD399">
        <v>-1.109411552878</v>
      </c>
      <c r="AE399">
        <v>0.27739999999999998</v>
      </c>
      <c r="AF399">
        <v>-0.52686734372729604</v>
      </c>
      <c r="AG399">
        <v>-1.109411552878</v>
      </c>
      <c r="AH399">
        <v>58.860200641020498</v>
      </c>
      <c r="AI399">
        <v>91.0797538565037</v>
      </c>
      <c r="AJ399">
        <v>90.512850255922899</v>
      </c>
      <c r="AK399">
        <v>58.873012515861099</v>
      </c>
      <c r="AL399">
        <v>79.308741269896998</v>
      </c>
      <c r="AM399">
        <v>88.8356338848223</v>
      </c>
      <c r="AN399">
        <v>0.99999998951491198</v>
      </c>
    </row>
    <row r="400" spans="1:40" x14ac:dyDescent="0.25">
      <c r="A400" t="str">
        <f>"20190312172905139"</f>
        <v>20190312172905139</v>
      </c>
      <c r="B400" t="str">
        <f>"1552382945127695"</f>
        <v>1552382945127695</v>
      </c>
      <c r="C400" t="s">
        <v>40</v>
      </c>
      <c r="D400">
        <v>3.1648200000000002</v>
      </c>
      <c r="E400">
        <v>0.49191109999999999</v>
      </c>
      <c r="F400" t="s">
        <v>41</v>
      </c>
      <c r="G400">
        <v>-333.05430000000001</v>
      </c>
      <c r="H400" s="1">
        <v>-3.330841E-6</v>
      </c>
      <c r="I400">
        <v>367.53699999999998</v>
      </c>
      <c r="J400">
        <v>-391.26</v>
      </c>
      <c r="K400">
        <v>1.109497</v>
      </c>
      <c r="L400">
        <v>367.27420000000001</v>
      </c>
      <c r="M400">
        <v>0.99993379999999998</v>
      </c>
      <c r="N400">
        <v>0</v>
      </c>
      <c r="O400">
        <v>-3.889628E-3</v>
      </c>
      <c r="P400">
        <v>0.98423769999999999</v>
      </c>
      <c r="Q400">
        <v>0.17515439999999999</v>
      </c>
      <c r="R400">
        <v>-2.4443599999999999E-2</v>
      </c>
      <c r="S400">
        <v>3.0585629999999999</v>
      </c>
      <c r="T400">
        <v>-5.8143500000000001E-2</v>
      </c>
      <c r="U400">
        <v>1.376343E-2</v>
      </c>
      <c r="V400">
        <v>2.0397740000000001E-2</v>
      </c>
      <c r="W400">
        <v>0.18584609999999999</v>
      </c>
      <c r="X400">
        <v>0.98236710000000005</v>
      </c>
      <c r="Y400">
        <v>-8.3874859999999996E-3</v>
      </c>
      <c r="Z400">
        <v>1.5365520000000001E-4</v>
      </c>
      <c r="AA400">
        <v>0.99996479999999999</v>
      </c>
      <c r="AB400">
        <v>28</v>
      </c>
      <c r="AC400">
        <v>58.205699999999901</v>
      </c>
      <c r="AD400">
        <v>-1.1095003308410001</v>
      </c>
      <c r="AE400">
        <v>0.26279999999997</v>
      </c>
      <c r="AF400">
        <v>-0.48903212224278397</v>
      </c>
      <c r="AG400">
        <v>-1.1095003308410001</v>
      </c>
      <c r="AH400">
        <v>58.183097056668103</v>
      </c>
      <c r="AI400">
        <v>91.092408988346904</v>
      </c>
      <c r="AJ400">
        <v>90.4815628298375</v>
      </c>
      <c r="AK400">
        <v>58.195729452481103</v>
      </c>
      <c r="AL400">
        <v>79.289533921949797</v>
      </c>
      <c r="AM400">
        <v>88.810488971646805</v>
      </c>
      <c r="AN400">
        <v>0.999999979922363</v>
      </c>
    </row>
    <row r="401" spans="1:40" x14ac:dyDescent="0.25">
      <c r="A401" t="str">
        <f>"20190312172905151"</f>
        <v>20190312172905151</v>
      </c>
      <c r="B401" t="str">
        <f>"1552382945148191"</f>
        <v>1552382945148191</v>
      </c>
      <c r="C401" t="s">
        <v>40</v>
      </c>
      <c r="D401">
        <v>3.158023</v>
      </c>
      <c r="E401">
        <v>0.49199720000000002</v>
      </c>
      <c r="F401" t="s">
        <v>41</v>
      </c>
      <c r="G401">
        <v>-331.8349</v>
      </c>
      <c r="H401" s="1">
        <v>-3.8554999999999998E-6</v>
      </c>
      <c r="I401">
        <v>367.52850000000001</v>
      </c>
      <c r="J401">
        <v>-391.11110000000002</v>
      </c>
      <c r="K401">
        <v>1.109578</v>
      </c>
      <c r="L401">
        <v>367.274</v>
      </c>
      <c r="M401">
        <v>0.99993430000000005</v>
      </c>
      <c r="N401">
        <v>0</v>
      </c>
      <c r="O401">
        <v>-3.5498309999999998E-3</v>
      </c>
      <c r="P401">
        <v>0.98426970000000003</v>
      </c>
      <c r="Q401">
        <v>0.17497209999999999</v>
      </c>
      <c r="R401">
        <v>-2.446249E-2</v>
      </c>
      <c r="S401">
        <v>3.0585330000000002</v>
      </c>
      <c r="T401">
        <v>-5.7104469999999997E-2</v>
      </c>
      <c r="U401">
        <v>1.3092039999999999E-2</v>
      </c>
      <c r="V401">
        <v>2.0751220000000001E-2</v>
      </c>
      <c r="W401">
        <v>0.18572379999999999</v>
      </c>
      <c r="X401">
        <v>0.9823828</v>
      </c>
      <c r="Y401">
        <v>-7.8284589999999994E-3</v>
      </c>
      <c r="Z401">
        <v>1.393493E-4</v>
      </c>
      <c r="AA401">
        <v>0.99996940000000001</v>
      </c>
      <c r="AB401">
        <v>28</v>
      </c>
      <c r="AC401">
        <v>59.276200000000003</v>
      </c>
      <c r="AD401">
        <v>-1.1095818554999901</v>
      </c>
      <c r="AE401">
        <v>0.254500000000007</v>
      </c>
      <c r="AF401">
        <v>-0.46476853850998701</v>
      </c>
      <c r="AG401">
        <v>-1.1095818554999901</v>
      </c>
      <c r="AH401">
        <v>59.254161007215103</v>
      </c>
      <c r="AI401">
        <v>91.072751213805304</v>
      </c>
      <c r="AJ401">
        <v>90.449398475525001</v>
      </c>
      <c r="AK401">
        <v>59.2663713952306</v>
      </c>
      <c r="AL401">
        <v>79.296665074404501</v>
      </c>
      <c r="AM401">
        <v>88.789900905192795</v>
      </c>
      <c r="AN401">
        <v>0.99999995437688305</v>
      </c>
    </row>
    <row r="402" spans="1:40" x14ac:dyDescent="0.25">
      <c r="A402" t="str">
        <f>"20190312172905163"</f>
        <v>20190312172905163</v>
      </c>
      <c r="B402" t="str">
        <f>"1552382945157950"</f>
        <v>1552382945157950</v>
      </c>
      <c r="C402" t="s">
        <v>40</v>
      </c>
      <c r="D402">
        <v>3.1625679999999998</v>
      </c>
      <c r="E402">
        <v>0.49198969999999997</v>
      </c>
      <c r="F402" t="s">
        <v>41</v>
      </c>
      <c r="G402">
        <v>-332.4006</v>
      </c>
      <c r="H402" s="1">
        <v>-3.6150219999999999E-6</v>
      </c>
      <c r="I402">
        <v>367.51580000000001</v>
      </c>
      <c r="J402">
        <v>-390.95190000000002</v>
      </c>
      <c r="K402">
        <v>1.109659</v>
      </c>
      <c r="L402">
        <v>367.27379999999999</v>
      </c>
      <c r="M402">
        <v>0.99993469999999995</v>
      </c>
      <c r="N402">
        <v>0</v>
      </c>
      <c r="O402">
        <v>-3.1864409999999999E-3</v>
      </c>
      <c r="P402">
        <v>0.98425879999999999</v>
      </c>
      <c r="Q402">
        <v>0.17501369999999999</v>
      </c>
      <c r="R402">
        <v>-2.4593179999999999E-2</v>
      </c>
      <c r="S402">
        <v>3.0585629999999999</v>
      </c>
      <c r="T402">
        <v>-5.7804469999999997E-2</v>
      </c>
      <c r="U402">
        <v>1.260376E-2</v>
      </c>
      <c r="V402">
        <v>2.123978E-2</v>
      </c>
      <c r="W402">
        <v>0.1858273</v>
      </c>
      <c r="X402">
        <v>0.98235289999999997</v>
      </c>
      <c r="Y402">
        <v>-7.3054879999999997E-3</v>
      </c>
      <c r="Z402">
        <v>1.292469E-4</v>
      </c>
      <c r="AA402">
        <v>0.99997329999999995</v>
      </c>
      <c r="AB402">
        <v>28</v>
      </c>
      <c r="AC402">
        <v>58.551299999999998</v>
      </c>
      <c r="AD402">
        <v>-1.1096626150219999</v>
      </c>
      <c r="AE402">
        <v>0.24200000000001801</v>
      </c>
      <c r="AF402">
        <v>-0.42842639231733498</v>
      </c>
      <c r="AG402">
        <v>-1.1096626150219999</v>
      </c>
      <c r="AH402">
        <v>58.529209549080498</v>
      </c>
      <c r="AI402">
        <v>91.086118644859198</v>
      </c>
      <c r="AJ402">
        <v>90.419390350573707</v>
      </c>
      <c r="AK402">
        <v>58.5412954309433</v>
      </c>
      <c r="AL402">
        <v>79.290631121289806</v>
      </c>
      <c r="AM402">
        <v>88.761381810046998</v>
      </c>
      <c r="AN402">
        <v>1.0000000669090701</v>
      </c>
    </row>
    <row r="403" spans="1:40" x14ac:dyDescent="0.25">
      <c r="A403" t="str">
        <f>"20190312172905181"</f>
        <v>20190312172905181</v>
      </c>
      <c r="B403" t="str">
        <f>"1552382945178446"</f>
        <v>1552382945178446</v>
      </c>
      <c r="C403" t="s">
        <v>40</v>
      </c>
      <c r="D403">
        <v>3.1368839999999998</v>
      </c>
      <c r="E403">
        <v>0.49198950000000002</v>
      </c>
      <c r="F403" t="s">
        <v>41</v>
      </c>
      <c r="G403">
        <v>-332.24970000000002</v>
      </c>
      <c r="H403" s="1">
        <v>-3.6804520000000001E-6</v>
      </c>
      <c r="I403">
        <v>367.51209999999998</v>
      </c>
      <c r="J403">
        <v>-390.72989999999999</v>
      </c>
      <c r="K403">
        <v>1.1097619999999999</v>
      </c>
      <c r="L403">
        <v>367.27370000000002</v>
      </c>
      <c r="M403">
        <v>0.99993540000000003</v>
      </c>
      <c r="N403">
        <v>0</v>
      </c>
      <c r="O403">
        <v>-2.6804369999999999E-3</v>
      </c>
      <c r="P403">
        <v>0.98428680000000002</v>
      </c>
      <c r="Q403">
        <v>0.17480999999999999</v>
      </c>
      <c r="R403">
        <v>-2.4933380000000002E-2</v>
      </c>
      <c r="S403">
        <v>3.0585629999999999</v>
      </c>
      <c r="T403">
        <v>-5.7816739999999998E-2</v>
      </c>
      <c r="U403">
        <v>1.242065E-2</v>
      </c>
      <c r="V403">
        <v>2.207773E-2</v>
      </c>
      <c r="W403">
        <v>0.18570130000000001</v>
      </c>
      <c r="X403">
        <v>0.98235819999999996</v>
      </c>
      <c r="Y403">
        <v>-6.7397919999999997E-3</v>
      </c>
      <c r="Z403">
        <v>1.143633E-4</v>
      </c>
      <c r="AA403">
        <v>0.99997729999999996</v>
      </c>
      <c r="AB403">
        <v>28</v>
      </c>
      <c r="AC403">
        <v>58.480199999999897</v>
      </c>
      <c r="AD403">
        <v>-1.109765680452</v>
      </c>
      <c r="AE403">
        <v>0.23839999999995601</v>
      </c>
      <c r="AF403">
        <v>-0.395018947879344</v>
      </c>
      <c r="AG403">
        <v>-1.109765680452</v>
      </c>
      <c r="AH403">
        <v>58.458299297717403</v>
      </c>
      <c r="AI403">
        <v>91.087541078834803</v>
      </c>
      <c r="AJ403">
        <v>90.387157586578297</v>
      </c>
      <c r="AK403">
        <v>58.470166551979297</v>
      </c>
      <c r="AL403">
        <v>79.297977720285999</v>
      </c>
      <c r="AM403">
        <v>88.712539029464907</v>
      </c>
      <c r="AN403">
        <v>1.0000000160454401</v>
      </c>
    </row>
    <row r="404" spans="1:40" x14ac:dyDescent="0.25">
      <c r="A404" t="str">
        <f>"20190312172905193"</f>
        <v>20190312172905193</v>
      </c>
      <c r="B404" t="str">
        <f>"1552382945188207"</f>
        <v>1552382945188207</v>
      </c>
      <c r="C404" t="s">
        <v>40</v>
      </c>
      <c r="D404">
        <v>3.1475789999999999</v>
      </c>
      <c r="E404">
        <v>0.4919905</v>
      </c>
      <c r="F404" t="s">
        <v>41</v>
      </c>
      <c r="G404">
        <v>-333.30270000000002</v>
      </c>
      <c r="H404" s="1">
        <v>-3.2342150000000001E-6</v>
      </c>
      <c r="I404">
        <v>367.48099999999999</v>
      </c>
      <c r="J404">
        <v>-390.57650000000001</v>
      </c>
      <c r="K404">
        <v>1.1098190000000001</v>
      </c>
      <c r="L404">
        <v>367.27359999999999</v>
      </c>
      <c r="M404">
        <v>0.99993569999999998</v>
      </c>
      <c r="N404">
        <v>0</v>
      </c>
      <c r="O404">
        <v>-2.3308130000000002E-3</v>
      </c>
      <c r="P404">
        <v>0.9842457</v>
      </c>
      <c r="Q404">
        <v>0.1750565</v>
      </c>
      <c r="R404">
        <v>-2.4818130000000001E-2</v>
      </c>
      <c r="S404">
        <v>3.0586850000000001</v>
      </c>
      <c r="T404">
        <v>-5.9108260000000003E-2</v>
      </c>
      <c r="U404">
        <v>1.1047360000000001E-2</v>
      </c>
      <c r="V404">
        <v>2.2306800000000002E-2</v>
      </c>
      <c r="W404">
        <v>0.18599599999999999</v>
      </c>
      <c r="X404">
        <v>0.98229719999999998</v>
      </c>
      <c r="Y404">
        <v>-5.941165E-3</v>
      </c>
      <c r="Z404">
        <v>1.024409E-4</v>
      </c>
      <c r="AA404">
        <v>0.99998240000000005</v>
      </c>
      <c r="AB404">
        <v>28</v>
      </c>
      <c r="AC404">
        <v>57.273800000000001</v>
      </c>
      <c r="AD404">
        <v>-1.1098222342149999</v>
      </c>
      <c r="AE404">
        <v>0.207400000000006</v>
      </c>
      <c r="AF404">
        <v>-0.34077422112892403</v>
      </c>
      <c r="AG404">
        <v>-1.1098222342149999</v>
      </c>
      <c r="AH404">
        <v>57.251663994180099</v>
      </c>
      <c r="AI404">
        <v>91.110518654344006</v>
      </c>
      <c r="AJ404">
        <v>90.341032778758304</v>
      </c>
      <c r="AK404">
        <v>57.263433904751501</v>
      </c>
      <c r="AL404">
        <v>79.280792527106698</v>
      </c>
      <c r="AM404">
        <v>88.699104645980398</v>
      </c>
      <c r="AN404">
        <v>0.99999994723503804</v>
      </c>
    </row>
    <row r="405" spans="1:40" x14ac:dyDescent="0.25">
      <c r="A405" t="str">
        <f>"20190312172905206"</f>
        <v>20190312172905206</v>
      </c>
      <c r="B405" t="str">
        <f>"1552382945197967"</f>
        <v>1552382945197967</v>
      </c>
      <c r="C405" t="s">
        <v>40</v>
      </c>
      <c r="D405">
        <v>3.1465719999999999</v>
      </c>
      <c r="E405">
        <v>0.49198789999999998</v>
      </c>
      <c r="F405" t="s">
        <v>41</v>
      </c>
      <c r="G405">
        <v>-332.70780000000002</v>
      </c>
      <c r="H405" s="1">
        <v>-3.4867169999999998E-6</v>
      </c>
      <c r="I405">
        <v>367.49639999999999</v>
      </c>
      <c r="J405">
        <v>-390.41559999999998</v>
      </c>
      <c r="K405">
        <v>1.109877</v>
      </c>
      <c r="L405">
        <v>367.27370000000002</v>
      </c>
      <c r="M405">
        <v>0.99993600000000005</v>
      </c>
      <c r="N405">
        <v>0</v>
      </c>
      <c r="O405">
        <v>-1.964145E-3</v>
      </c>
      <c r="P405">
        <v>0.98422639999999995</v>
      </c>
      <c r="Q405">
        <v>0.175173</v>
      </c>
      <c r="R405">
        <v>-2.4756899999999998E-2</v>
      </c>
      <c r="S405">
        <v>3.0587460000000002</v>
      </c>
      <c r="T405">
        <v>-5.8661459999999999E-2</v>
      </c>
      <c r="U405">
        <v>1.177979E-2</v>
      </c>
      <c r="V405">
        <v>2.2606370000000001E-2</v>
      </c>
      <c r="W405">
        <v>0.1861614</v>
      </c>
      <c r="X405">
        <v>0.98225910000000005</v>
      </c>
      <c r="Y405">
        <v>-5.8139659999999899E-3</v>
      </c>
      <c r="Z405" s="1">
        <v>9.3413209999999996E-5</v>
      </c>
      <c r="AA405">
        <v>0.99998310000000001</v>
      </c>
      <c r="AB405">
        <v>28</v>
      </c>
      <c r="AC405">
        <v>57.707799999999899</v>
      </c>
      <c r="AD405">
        <v>-1.109880486717</v>
      </c>
      <c r="AE405">
        <v>0.222699999999974</v>
      </c>
      <c r="AF405">
        <v>-0.33592883520625499</v>
      </c>
      <c r="AG405">
        <v>-1.109880486717</v>
      </c>
      <c r="AH405">
        <v>57.685913573660997</v>
      </c>
      <c r="AI405">
        <v>91.102219603708704</v>
      </c>
      <c r="AJ405">
        <v>90.333653152282494</v>
      </c>
      <c r="AK405">
        <v>57.697567606485798</v>
      </c>
      <c r="AL405">
        <v>79.271148217929493</v>
      </c>
      <c r="AM405">
        <v>88.681589229748099</v>
      </c>
      <c r="AN405">
        <v>1.00000002717367</v>
      </c>
    </row>
    <row r="406" spans="1:40" x14ac:dyDescent="0.25">
      <c r="A406" t="str">
        <f>"20190312172905227"</f>
        <v>20190312172905227</v>
      </c>
      <c r="B406" t="str">
        <f>"1552382945217490"</f>
        <v>1552382945217490</v>
      </c>
      <c r="C406" t="s">
        <v>40</v>
      </c>
      <c r="D406">
        <v>3.1335540000000002</v>
      </c>
      <c r="E406">
        <v>0.49196810000000002</v>
      </c>
      <c r="F406" t="s">
        <v>41</v>
      </c>
      <c r="G406">
        <v>-332.49279999999999</v>
      </c>
      <c r="H406" s="1">
        <v>-3.5782939999999999E-6</v>
      </c>
      <c r="I406">
        <v>367.50009999999997</v>
      </c>
      <c r="J406">
        <v>-390.14499999999998</v>
      </c>
      <c r="K406">
        <v>1.1099570000000001</v>
      </c>
      <c r="L406">
        <v>367.27379999999999</v>
      </c>
      <c r="M406">
        <v>0.9999363</v>
      </c>
      <c r="N406">
        <v>0</v>
      </c>
      <c r="O406">
        <v>-1.3477459999999999E-3</v>
      </c>
      <c r="P406">
        <v>0.98418329999999998</v>
      </c>
      <c r="Q406">
        <v>0.17546719999999999</v>
      </c>
      <c r="R406">
        <v>-2.438477E-2</v>
      </c>
      <c r="S406">
        <v>3.0588069999999998</v>
      </c>
      <c r="T406">
        <v>-5.8610799999999998E-2</v>
      </c>
      <c r="U406">
        <v>1.196289E-2</v>
      </c>
      <c r="V406">
        <v>2.284071E-2</v>
      </c>
      <c r="W406">
        <v>0.18652769999999999</v>
      </c>
      <c r="X406">
        <v>0.98218419999999895</v>
      </c>
      <c r="Y406">
        <v>-5.2575399999999998E-3</v>
      </c>
      <c r="Z406" s="1">
        <v>7.6189680000000005E-5</v>
      </c>
      <c r="AA406">
        <v>0.99998620000000005</v>
      </c>
      <c r="AB406">
        <v>28</v>
      </c>
      <c r="AC406">
        <v>57.652199999999901</v>
      </c>
      <c r="AD406">
        <v>-1.1099605782940001</v>
      </c>
      <c r="AE406">
        <v>0.22629999999997999</v>
      </c>
      <c r="AF406">
        <v>-0.30389255458949099</v>
      </c>
      <c r="AG406">
        <v>-1.1099605782940001</v>
      </c>
      <c r="AH406">
        <v>57.6304812592602</v>
      </c>
      <c r="AI406">
        <v>91.103362483401199</v>
      </c>
      <c r="AJ406">
        <v>90.302124831216602</v>
      </c>
      <c r="AK406">
        <v>57.641970241691503</v>
      </c>
      <c r="AL406">
        <v>79.249786773539299</v>
      </c>
      <c r="AM406">
        <v>88.667825799153306</v>
      </c>
      <c r="AN406">
        <v>1.00000004181511</v>
      </c>
    </row>
    <row r="407" spans="1:40" x14ac:dyDescent="0.25">
      <c r="A407" t="str">
        <f>"20190312172905239"</f>
        <v>20190312172905239</v>
      </c>
      <c r="B407" t="str">
        <f>"1552382945228223"</f>
        <v>1552382945228223</v>
      </c>
      <c r="C407" t="s">
        <v>40</v>
      </c>
      <c r="D407">
        <v>3.1940249999999999</v>
      </c>
      <c r="E407">
        <v>0.4919307</v>
      </c>
      <c r="F407" t="s">
        <v>41</v>
      </c>
      <c r="G407">
        <v>-331.87419999999997</v>
      </c>
      <c r="H407" s="1">
        <v>-3.8386589999999997E-6</v>
      </c>
      <c r="I407">
        <v>367.52839999999998</v>
      </c>
      <c r="J407">
        <v>-389.9744</v>
      </c>
      <c r="K407">
        <v>1.109996</v>
      </c>
      <c r="L407">
        <v>367.274</v>
      </c>
      <c r="M407">
        <v>0.99993620000000005</v>
      </c>
      <c r="N407">
        <v>0</v>
      </c>
      <c r="O407">
        <v>-9.5947459999999997E-4</v>
      </c>
      <c r="P407">
        <v>0.98421579999999997</v>
      </c>
      <c r="Q407">
        <v>0.17531579999999999</v>
      </c>
      <c r="R407">
        <v>-2.4164000000000001E-2</v>
      </c>
      <c r="S407">
        <v>3.058929</v>
      </c>
      <c r="T407">
        <v>-5.8267350000000002E-2</v>
      </c>
      <c r="U407">
        <v>1.33667E-2</v>
      </c>
      <c r="V407">
        <v>2.3002370000000001E-2</v>
      </c>
      <c r="W407">
        <v>0.18641859999999999</v>
      </c>
      <c r="X407">
        <v>0.98220110000000005</v>
      </c>
      <c r="Y407">
        <v>-5.328073E-3</v>
      </c>
      <c r="Z407" s="1">
        <v>6.9016259999999996E-5</v>
      </c>
      <c r="AA407">
        <v>0.99998580000000004</v>
      </c>
      <c r="AB407">
        <v>28</v>
      </c>
      <c r="AC407">
        <v>58.100200000000001</v>
      </c>
      <c r="AD407">
        <v>-1.109999838659</v>
      </c>
      <c r="AE407">
        <v>0.25439999999997498</v>
      </c>
      <c r="AF407">
        <v>-0.31003591983180701</v>
      </c>
      <c r="AG407">
        <v>-1.109999838659</v>
      </c>
      <c r="AH407">
        <v>58.0787309288404</v>
      </c>
      <c r="AI407">
        <v>91.094887188640399</v>
      </c>
      <c r="AJ407">
        <v>90.305853462849299</v>
      </c>
      <c r="AK407">
        <v>58.090164470571601</v>
      </c>
      <c r="AL407">
        <v>79.256148910639595</v>
      </c>
      <c r="AM407">
        <v>88.658423561280102</v>
      </c>
      <c r="AN407">
        <v>1.00000000214639</v>
      </c>
    </row>
    <row r="408" spans="1:40" x14ac:dyDescent="0.25">
      <c r="A408" t="str">
        <f>"20190312172905261"</f>
        <v>20190312172905261</v>
      </c>
      <c r="B408" t="str">
        <f>"1552382945257504"</f>
        <v>1552382945257504</v>
      </c>
      <c r="C408" t="s">
        <v>40</v>
      </c>
      <c r="D408">
        <v>3.160069</v>
      </c>
      <c r="E408">
        <v>0.4918283</v>
      </c>
      <c r="F408" t="s">
        <v>41</v>
      </c>
      <c r="G408">
        <v>-332.32639999999998</v>
      </c>
      <c r="H408" s="1">
        <v>-3.6415519999999999E-6</v>
      </c>
      <c r="I408">
        <v>367.54590000000002</v>
      </c>
      <c r="J408">
        <v>-389.71039999999999</v>
      </c>
      <c r="K408">
        <v>1.1100559999999999</v>
      </c>
      <c r="L408">
        <v>367.27440000000001</v>
      </c>
      <c r="M408">
        <v>0.99993589999999999</v>
      </c>
      <c r="N408">
        <v>0</v>
      </c>
      <c r="O408">
        <v>-3.619707E-4</v>
      </c>
      <c r="P408">
        <v>0.98425779999999996</v>
      </c>
      <c r="Q408">
        <v>0.17520329999999901</v>
      </c>
      <c r="R408">
        <v>-2.3257400000000001E-2</v>
      </c>
      <c r="S408">
        <v>3.058929</v>
      </c>
      <c r="T408">
        <v>-5.8898930000000002E-2</v>
      </c>
      <c r="U408">
        <v>1.4434809999999999E-2</v>
      </c>
      <c r="V408">
        <v>2.2684269999999999E-2</v>
      </c>
      <c r="W408">
        <v>0.18636469999999999</v>
      </c>
      <c r="X408">
        <v>0.9822187</v>
      </c>
      <c r="Y408">
        <v>-5.0798390000000001E-3</v>
      </c>
      <c r="Z408" s="1">
        <v>5.5870140000000002E-5</v>
      </c>
      <c r="AA408">
        <v>0.99998710000000002</v>
      </c>
      <c r="AB408">
        <v>28</v>
      </c>
      <c r="AC408">
        <v>57.384</v>
      </c>
      <c r="AD408">
        <v>-1.1100596415520001</v>
      </c>
      <c r="AE408">
        <v>0.27150000000000302</v>
      </c>
      <c r="AF408">
        <v>-0.29216331214796298</v>
      </c>
      <c r="AG408">
        <v>-1.1100596415520001</v>
      </c>
      <c r="AH408">
        <v>57.362433060668501</v>
      </c>
      <c r="AI408">
        <v>91.108617031481302</v>
      </c>
      <c r="AJ408">
        <v>90.291821303109899</v>
      </c>
      <c r="AK408">
        <v>57.373916708278202</v>
      </c>
      <c r="AL408">
        <v>79.259291954923398</v>
      </c>
      <c r="AM408">
        <v>88.676993293011193</v>
      </c>
      <c r="AN408">
        <v>0.99999997607060598</v>
      </c>
    </row>
    <row r="409" spans="1:40" x14ac:dyDescent="0.25">
      <c r="A409" t="str">
        <f>"20190312172905283"</f>
        <v>20190312172905283</v>
      </c>
      <c r="B409" t="str">
        <f>"1552382945278000"</f>
        <v>1552382945278000</v>
      </c>
      <c r="C409" t="s">
        <v>40</v>
      </c>
      <c r="D409">
        <v>3.1803349999999999</v>
      </c>
      <c r="E409">
        <v>0.49176599999999998</v>
      </c>
      <c r="F409" t="s">
        <v>41</v>
      </c>
      <c r="G409">
        <v>-333.04300000000001</v>
      </c>
      <c r="H409" s="1">
        <v>-3.3248540000000001E-6</v>
      </c>
      <c r="I409">
        <v>367.59820000000002</v>
      </c>
      <c r="J409">
        <v>-389.43180000000001</v>
      </c>
      <c r="K409">
        <v>1.1100989999999999</v>
      </c>
      <c r="L409">
        <v>367.27499999999998</v>
      </c>
      <c r="M409">
        <v>0.99993520000000002</v>
      </c>
      <c r="N409">
        <v>0</v>
      </c>
      <c r="O409">
        <v>2.5874120000000001E-4</v>
      </c>
      <c r="P409">
        <v>0.98422969999999999</v>
      </c>
      <c r="Q409">
        <v>0.1755092</v>
      </c>
      <c r="R409">
        <v>-2.2093160000000001E-2</v>
      </c>
      <c r="S409">
        <v>3.059021</v>
      </c>
      <c r="T409">
        <v>-5.9923169999999998E-2</v>
      </c>
      <c r="U409">
        <v>1.748657E-2</v>
      </c>
      <c r="V409">
        <v>2.2133159999999999E-2</v>
      </c>
      <c r="W409">
        <v>0.18672349999999999</v>
      </c>
      <c r="X409">
        <v>0.98216309999999996</v>
      </c>
      <c r="Y409">
        <v>-5.4565509999999996E-3</v>
      </c>
      <c r="Z409" s="1">
        <v>4.8370359999999997E-5</v>
      </c>
      <c r="AA409">
        <v>0.99998509999999996</v>
      </c>
      <c r="AB409">
        <v>28</v>
      </c>
      <c r="AC409">
        <v>56.388800000000003</v>
      </c>
      <c r="AD409">
        <v>-1.1101023248539901</v>
      </c>
      <c r="AE409">
        <v>0.32320000000004201</v>
      </c>
      <c r="AF409">
        <v>-0.30848938379406299</v>
      </c>
      <c r="AG409">
        <v>-1.1101023248539901</v>
      </c>
      <c r="AH409">
        <v>56.367036782648199</v>
      </c>
      <c r="AI409">
        <v>91.128230402841695</v>
      </c>
      <c r="AJ409">
        <v>90.313569140010102</v>
      </c>
      <c r="AK409">
        <v>56.378810988951997</v>
      </c>
      <c r="AL409">
        <v>79.238366623878406</v>
      </c>
      <c r="AM409">
        <v>88.709051425266594</v>
      </c>
      <c r="AN409">
        <v>0.99999994861272101</v>
      </c>
    </row>
    <row r="410" spans="1:40" x14ac:dyDescent="0.25">
      <c r="A410" t="str">
        <f>"20190312172905307"</f>
        <v>20190312172905307</v>
      </c>
      <c r="B410" t="str">
        <f>"1552382945297519"</f>
        <v>1552382945297519</v>
      </c>
      <c r="C410" t="s">
        <v>40</v>
      </c>
      <c r="D410">
        <v>3.1544690000000002</v>
      </c>
      <c r="E410">
        <v>0.49169580000000002</v>
      </c>
      <c r="F410" t="s">
        <v>41</v>
      </c>
      <c r="G410">
        <v>-332.30290000000002</v>
      </c>
      <c r="H410" s="1">
        <v>-3.6295499999999998E-6</v>
      </c>
      <c r="I410">
        <v>367.67039999999997</v>
      </c>
      <c r="J410">
        <v>-389.13639999999998</v>
      </c>
      <c r="K410">
        <v>1.1101240000000001</v>
      </c>
      <c r="L410">
        <v>367.2758</v>
      </c>
      <c r="M410">
        <v>0.9999344</v>
      </c>
      <c r="N410">
        <v>0</v>
      </c>
      <c r="O410">
        <v>8.8829060000000001E-4</v>
      </c>
      <c r="P410">
        <v>0.98419089999999998</v>
      </c>
      <c r="Q410">
        <v>0.17586650000000001</v>
      </c>
      <c r="R410">
        <v>-2.0958919999999999E-2</v>
      </c>
      <c r="S410">
        <v>3.0591740000000001</v>
      </c>
      <c r="T410">
        <v>-5.9444429999999999E-2</v>
      </c>
      <c r="U410">
        <v>2.1179199999999999E-2</v>
      </c>
      <c r="V410">
        <v>2.162497E-2</v>
      </c>
      <c r="W410">
        <v>0.18712880000000001</v>
      </c>
      <c r="X410">
        <v>0.98209729999999995</v>
      </c>
      <c r="Y410">
        <v>-6.0337100000000003E-3</v>
      </c>
      <c r="Z410" s="1">
        <v>4.1355759999999999E-5</v>
      </c>
      <c r="AA410">
        <v>0.99998180000000003</v>
      </c>
      <c r="AB410">
        <v>28</v>
      </c>
      <c r="AC410">
        <v>56.833499999999901</v>
      </c>
      <c r="AD410">
        <v>-1.11012762955</v>
      </c>
      <c r="AE410">
        <v>0.39459999999996798</v>
      </c>
      <c r="AF410">
        <v>-0.34398065326487798</v>
      </c>
      <c r="AG410">
        <v>-1.11012762955</v>
      </c>
      <c r="AH410">
        <v>56.812153205347897</v>
      </c>
      <c r="AI410">
        <v>91.119414867727102</v>
      </c>
      <c r="AJ410">
        <v>90.346904627334794</v>
      </c>
      <c r="AK410">
        <v>56.824039436418303</v>
      </c>
      <c r="AL410">
        <v>79.214728187192193</v>
      </c>
      <c r="AM410">
        <v>88.738598173909693</v>
      </c>
      <c r="AN410">
        <v>0.99999996689211401</v>
      </c>
    </row>
    <row r="411" spans="1:40" x14ac:dyDescent="0.25">
      <c r="A411" t="str">
        <f>"20190312172905328"</f>
        <v>20190312172905328</v>
      </c>
      <c r="B411" t="str">
        <f>"1552382945318014"</f>
        <v>1552382945318014</v>
      </c>
      <c r="C411" t="s">
        <v>40</v>
      </c>
      <c r="D411">
        <v>3.163999</v>
      </c>
      <c r="E411">
        <v>0.491645</v>
      </c>
      <c r="F411" t="s">
        <v>41</v>
      </c>
      <c r="G411">
        <v>-331.14109999999999</v>
      </c>
      <c r="H411" s="1">
        <v>-4.1140090000000004E-6</v>
      </c>
      <c r="I411">
        <v>367.74889999999999</v>
      </c>
      <c r="J411">
        <v>-388.85270000000003</v>
      </c>
      <c r="K411">
        <v>1.110142</v>
      </c>
      <c r="L411">
        <v>367.27670000000001</v>
      </c>
      <c r="M411">
        <v>0.99993310000000002</v>
      </c>
      <c r="N411">
        <v>0</v>
      </c>
      <c r="O411">
        <v>1.468399E-3</v>
      </c>
      <c r="P411">
        <v>0.98419590000000001</v>
      </c>
      <c r="Q411">
        <v>0.17597499999999999</v>
      </c>
      <c r="R411">
        <v>-1.9784220000000002E-2</v>
      </c>
      <c r="S411">
        <v>3.0591740000000001</v>
      </c>
      <c r="T411">
        <v>-5.8557749999999999E-2</v>
      </c>
      <c r="U411">
        <v>2.496338E-2</v>
      </c>
      <c r="V411">
        <v>2.1030199999999999E-2</v>
      </c>
      <c r="W411">
        <v>0.18727820000000001</v>
      </c>
      <c r="X411">
        <v>0.9820818</v>
      </c>
      <c r="Y411">
        <v>-6.6904869999999898E-3</v>
      </c>
      <c r="Z411" s="1">
        <v>3.592027E-5</v>
      </c>
      <c r="AA411">
        <v>0.99997760000000002</v>
      </c>
      <c r="AB411">
        <v>28</v>
      </c>
      <c r="AC411">
        <v>57.711599999999997</v>
      </c>
      <c r="AD411">
        <v>-1.1101461140090001</v>
      </c>
      <c r="AE411">
        <v>0.47219999999998602</v>
      </c>
      <c r="AF411">
        <v>-0.38730695212914701</v>
      </c>
      <c r="AG411">
        <v>-1.1101461140090001</v>
      </c>
      <c r="AH411">
        <v>57.6908854088989</v>
      </c>
      <c r="AI411">
        <v>91.102382194323397</v>
      </c>
      <c r="AJ411">
        <v>90.384648635475003</v>
      </c>
      <c r="AK411">
        <v>57.702865529645202</v>
      </c>
      <c r="AL411">
        <v>79.206014807416196</v>
      </c>
      <c r="AM411">
        <v>88.773261478213598</v>
      </c>
      <c r="AN411">
        <v>1.00000002769925</v>
      </c>
    </row>
    <row r="412" spans="1:40" x14ac:dyDescent="0.25">
      <c r="A412" t="str">
        <f>"20190312172905349"</f>
        <v>20190312172905349</v>
      </c>
      <c r="B412" t="str">
        <f>"1552382945337535"</f>
        <v>1552382945337535</v>
      </c>
      <c r="C412" t="s">
        <v>40</v>
      </c>
      <c r="D412">
        <v>3.1681330000000001</v>
      </c>
      <c r="E412">
        <v>0.49161440000000001</v>
      </c>
      <c r="F412" t="s">
        <v>41</v>
      </c>
      <c r="G412">
        <v>-330.7688</v>
      </c>
      <c r="H412" s="1">
        <v>-4.2606929999999997E-6</v>
      </c>
      <c r="I412">
        <v>367.82240000000002</v>
      </c>
      <c r="J412">
        <v>-388.59109999999998</v>
      </c>
      <c r="K412">
        <v>1.1101510000000001</v>
      </c>
      <c r="L412">
        <v>367.27769999999998</v>
      </c>
      <c r="M412">
        <v>0.99993189999999998</v>
      </c>
      <c r="N412">
        <v>0</v>
      </c>
      <c r="O412">
        <v>1.9708210000000002E-3</v>
      </c>
      <c r="P412">
        <v>0.98419889999999999</v>
      </c>
      <c r="Q412">
        <v>0.17603479999999999</v>
      </c>
      <c r="R412">
        <v>-1.909918E-2</v>
      </c>
      <c r="S412">
        <v>3.0592350000000001</v>
      </c>
      <c r="T412">
        <v>-5.847049E-2</v>
      </c>
      <c r="U412">
        <v>2.8747559999999998E-2</v>
      </c>
      <c r="V412">
        <v>2.085103E-2</v>
      </c>
      <c r="W412">
        <v>0.18737100000000001</v>
      </c>
      <c r="X412">
        <v>0.98206789999999999</v>
      </c>
      <c r="Y412">
        <v>-7.4246850000000003E-3</v>
      </c>
      <c r="Z412" s="1">
        <v>3.3279150000000001E-5</v>
      </c>
      <c r="AA412">
        <v>0.99997250000000004</v>
      </c>
      <c r="AB412">
        <v>28</v>
      </c>
      <c r="AC412">
        <v>57.822299999999899</v>
      </c>
      <c r="AD412">
        <v>-1.1101552606929901</v>
      </c>
      <c r="AE412">
        <v>0.54470000000003405</v>
      </c>
      <c r="AF412">
        <v>-0.43057529545024797</v>
      </c>
      <c r="AG412">
        <v>-1.1101552606929901</v>
      </c>
      <c r="AH412">
        <v>57.801956307752697</v>
      </c>
      <c r="AI412">
        <v>91.100267736425906</v>
      </c>
      <c r="AJ412">
        <v>90.426796815697998</v>
      </c>
      <c r="AK412">
        <v>57.8142196418083</v>
      </c>
      <c r="AL412">
        <v>79.200601732861898</v>
      </c>
      <c r="AM412">
        <v>88.783692501322705</v>
      </c>
      <c r="AN412">
        <v>1.00000000865173</v>
      </c>
    </row>
    <row r="413" spans="1:40" x14ac:dyDescent="0.25">
      <c r="A413" t="str">
        <f>"20190312172905361"</f>
        <v>20190312172905361</v>
      </c>
      <c r="B413" t="str">
        <f>"1552382945358031"</f>
        <v>1552382945358031</v>
      </c>
      <c r="C413" t="s">
        <v>40</v>
      </c>
      <c r="D413">
        <v>3.1230910000000001</v>
      </c>
      <c r="E413">
        <v>0.49160540000000003</v>
      </c>
      <c r="F413" t="s">
        <v>41</v>
      </c>
      <c r="G413">
        <v>-330.63150000000002</v>
      </c>
      <c r="H413" s="1">
        <v>-4.3118129999999997E-6</v>
      </c>
      <c r="I413">
        <v>367.86619999999999</v>
      </c>
      <c r="J413">
        <v>-388.43430000000001</v>
      </c>
      <c r="K413">
        <v>1.1101460000000001</v>
      </c>
      <c r="L413">
        <v>367.2783</v>
      </c>
      <c r="M413">
        <v>0.99993100000000001</v>
      </c>
      <c r="N413">
        <v>0</v>
      </c>
      <c r="O413">
        <v>2.2552649999999998E-3</v>
      </c>
      <c r="P413">
        <v>0.98417589999999999</v>
      </c>
      <c r="Q413">
        <v>0.1762032</v>
      </c>
      <c r="R413">
        <v>-1.8726340000000001E-2</v>
      </c>
      <c r="S413">
        <v>3.0591740000000001</v>
      </c>
      <c r="T413">
        <v>-5.8595300000000003E-2</v>
      </c>
      <c r="U413">
        <v>3.106689E-2</v>
      </c>
      <c r="V413">
        <v>2.0766219999999998E-2</v>
      </c>
      <c r="W413">
        <v>0.1875569</v>
      </c>
      <c r="X413">
        <v>0.98203419999999997</v>
      </c>
      <c r="Y413">
        <v>-7.8984399999999996E-3</v>
      </c>
      <c r="Z413" s="1">
        <v>3.2439420000000001E-5</v>
      </c>
      <c r="AA413">
        <v>0.99996879999999999</v>
      </c>
      <c r="AB413">
        <v>28</v>
      </c>
      <c r="AC413">
        <v>57.802799999999898</v>
      </c>
      <c r="AD413">
        <v>-1.1101503118129901</v>
      </c>
      <c r="AE413">
        <v>0.58789999999998999</v>
      </c>
      <c r="AF413">
        <v>-0.45736052284155398</v>
      </c>
      <c r="AG413">
        <v>-1.1101503118129901</v>
      </c>
      <c r="AH413">
        <v>57.7826672208977</v>
      </c>
      <c r="AI413">
        <v>91.100626094451499</v>
      </c>
      <c r="AJ413">
        <v>90.453497245974503</v>
      </c>
      <c r="AK413">
        <v>57.795140310615103</v>
      </c>
      <c r="AL413">
        <v>79.189758094668306</v>
      </c>
      <c r="AM413">
        <v>88.788596706335994</v>
      </c>
      <c r="AN413">
        <v>0.99999999830016895</v>
      </c>
    </row>
    <row r="414" spans="1:40" x14ac:dyDescent="0.25">
      <c r="A414" t="str">
        <f>"20190312172905383"</f>
        <v>20190312172905383</v>
      </c>
      <c r="B414" t="str">
        <f>"1552382945377551"</f>
        <v>1552382945377551</v>
      </c>
      <c r="C414" t="s">
        <v>40</v>
      </c>
      <c r="D414">
        <v>3.1529419999999999</v>
      </c>
      <c r="E414">
        <v>0.49159580000000003</v>
      </c>
      <c r="F414" t="s">
        <v>41</v>
      </c>
      <c r="G414">
        <v>-330.2482</v>
      </c>
      <c r="H414" s="1">
        <v>-4.4712410000000001E-6</v>
      </c>
      <c r="I414">
        <v>367.89460000000003</v>
      </c>
      <c r="J414">
        <v>-388.16849999999999</v>
      </c>
      <c r="K414">
        <v>1.1101350000000001</v>
      </c>
      <c r="L414">
        <v>367.27940000000001</v>
      </c>
      <c r="M414">
        <v>0.99992970000000003</v>
      </c>
      <c r="N414">
        <v>0</v>
      </c>
      <c r="O414">
        <v>2.6879740000000001E-3</v>
      </c>
      <c r="P414">
        <v>0.98420160000000001</v>
      </c>
      <c r="Q414">
        <v>0.17608219999999999</v>
      </c>
      <c r="R414">
        <v>-1.851245E-2</v>
      </c>
      <c r="S414">
        <v>3.0592959999999998</v>
      </c>
      <c r="T414">
        <v>-5.8369160000000003E-2</v>
      </c>
      <c r="U414">
        <v>3.2409670000000002E-2</v>
      </c>
      <c r="V414">
        <v>2.0996259999999999E-2</v>
      </c>
      <c r="W414">
        <v>0.18746270000000001</v>
      </c>
      <c r="X414">
        <v>0.98204729999999996</v>
      </c>
      <c r="Y414">
        <v>-7.9042479999999991E-3</v>
      </c>
      <c r="Z414" s="1">
        <v>2.4113009999999998E-5</v>
      </c>
      <c r="AA414">
        <v>0.99996879999999999</v>
      </c>
      <c r="AB414">
        <v>28</v>
      </c>
      <c r="AC414">
        <v>57.920299999999997</v>
      </c>
      <c r="AD414">
        <v>-1.110139471241</v>
      </c>
      <c r="AE414">
        <v>0.61520000000001496</v>
      </c>
      <c r="AF414">
        <v>-0.459330412441527</v>
      </c>
      <c r="AG414">
        <v>-1.110139471241</v>
      </c>
      <c r="AH414">
        <v>57.900476481735701</v>
      </c>
      <c r="AI414">
        <v>91.098376336693207</v>
      </c>
      <c r="AJ414">
        <v>90.454523754574893</v>
      </c>
      <c r="AK414">
        <v>57.912939580765801</v>
      </c>
      <c r="AL414">
        <v>79.195252871325494</v>
      </c>
      <c r="AM414">
        <v>88.775197657132694</v>
      </c>
      <c r="AN414">
        <v>1.0000000031312799</v>
      </c>
    </row>
    <row r="415" spans="1:40" x14ac:dyDescent="0.25">
      <c r="A415" t="str">
        <f>"20190312172905394"</f>
        <v>20190312172905394</v>
      </c>
      <c r="B415" t="str">
        <f>"1552382945388288"</f>
        <v>1552382945388288</v>
      </c>
      <c r="C415" t="s">
        <v>40</v>
      </c>
      <c r="D415">
        <v>3.191147</v>
      </c>
      <c r="E415">
        <v>0.49157800000000001</v>
      </c>
      <c r="F415" t="s">
        <v>41</v>
      </c>
      <c r="G415">
        <v>-330.69099999999997</v>
      </c>
      <c r="H415" s="1">
        <v>-4.2797620000000003E-6</v>
      </c>
      <c r="I415">
        <v>367.90309999999999</v>
      </c>
      <c r="J415">
        <v>-388.01760000000002</v>
      </c>
      <c r="K415">
        <v>1.110115</v>
      </c>
      <c r="L415">
        <v>367.28</v>
      </c>
      <c r="M415">
        <v>0.99992890000000001</v>
      </c>
      <c r="N415">
        <v>0</v>
      </c>
      <c r="O415">
        <v>2.893081E-3</v>
      </c>
      <c r="P415">
        <v>0.98418799999999995</v>
      </c>
      <c r="Q415">
        <v>0.1761662</v>
      </c>
      <c r="R415">
        <v>-1.8429870000000001E-2</v>
      </c>
      <c r="S415">
        <v>3.0593569999999999</v>
      </c>
      <c r="T415">
        <v>-5.9089419999999997E-2</v>
      </c>
      <c r="U415">
        <v>3.3203129999999997E-2</v>
      </c>
      <c r="V415">
        <v>2.1128790000000001E-2</v>
      </c>
      <c r="W415">
        <v>0.18756020000000001</v>
      </c>
      <c r="X415">
        <v>0.98202590000000001</v>
      </c>
      <c r="Y415">
        <v>-7.9582439999999997E-3</v>
      </c>
      <c r="Z415" s="1">
        <v>2.097013E-5</v>
      </c>
      <c r="AA415">
        <v>0.99996830000000003</v>
      </c>
      <c r="AB415">
        <v>28</v>
      </c>
      <c r="AC415">
        <v>57.326599999999999</v>
      </c>
      <c r="AD415">
        <v>-1.1101192797620001</v>
      </c>
      <c r="AE415">
        <v>0.62310000000002197</v>
      </c>
      <c r="AF415">
        <v>-0.45706441896072503</v>
      </c>
      <c r="AG415">
        <v>-1.1101192797620001</v>
      </c>
      <c r="AH415">
        <v>57.3066756076147</v>
      </c>
      <c r="AI415">
        <v>91.109734115868804</v>
      </c>
      <c r="AJ415">
        <v>90.456967824800799</v>
      </c>
      <c r="AK415">
        <v>57.3192493137756</v>
      </c>
      <c r="AL415">
        <v>79.189566292110698</v>
      </c>
      <c r="AM415">
        <v>88.767442137718405</v>
      </c>
      <c r="AN415">
        <v>1.00000006133085</v>
      </c>
    </row>
    <row r="416" spans="1:40" x14ac:dyDescent="0.25">
      <c r="A416" t="str">
        <f>"20190312172905406"</f>
        <v>20190312172905406</v>
      </c>
      <c r="B416" t="str">
        <f>"1552382945398047"</f>
        <v>1552382945398047</v>
      </c>
      <c r="C416" t="s">
        <v>40</v>
      </c>
      <c r="D416">
        <v>3.1411630000000001</v>
      </c>
      <c r="E416">
        <v>0.4915813</v>
      </c>
      <c r="F416" t="s">
        <v>41</v>
      </c>
      <c r="G416">
        <v>-330.47140000000002</v>
      </c>
      <c r="H416" s="1">
        <v>-4.3723779999999997E-6</v>
      </c>
      <c r="I416">
        <v>367.91199999999998</v>
      </c>
      <c r="J416">
        <v>-387.87090000000001</v>
      </c>
      <c r="K416">
        <v>1.1100950000000001</v>
      </c>
      <c r="L416">
        <v>367.28070000000002</v>
      </c>
      <c r="M416">
        <v>0.99992809999999999</v>
      </c>
      <c r="N416">
        <v>0</v>
      </c>
      <c r="O416">
        <v>3.0807730000000002E-3</v>
      </c>
      <c r="P416">
        <v>0.98420479999999999</v>
      </c>
      <c r="Q416">
        <v>0.17607629999999999</v>
      </c>
      <c r="R416">
        <v>-1.838762E-2</v>
      </c>
      <c r="S416">
        <v>3.0593569999999999</v>
      </c>
      <c r="T416">
        <v>-5.9017779999999999E-2</v>
      </c>
      <c r="U416">
        <v>3.3599850000000001E-2</v>
      </c>
      <c r="V416">
        <v>2.1285350000000001E-2</v>
      </c>
      <c r="W416">
        <v>0.18748200000000001</v>
      </c>
      <c r="X416">
        <v>0.98203739999999995</v>
      </c>
      <c r="Y416">
        <v>-7.9002480000000003E-3</v>
      </c>
      <c r="Z416" s="1">
        <v>1.6764849999999999E-5</v>
      </c>
      <c r="AA416">
        <v>0.99996879999999999</v>
      </c>
      <c r="AB416">
        <v>28</v>
      </c>
      <c r="AC416">
        <v>57.399499999999897</v>
      </c>
      <c r="AD416">
        <v>-1.1100993723779999</v>
      </c>
      <c r="AE416">
        <v>0.63129999999995301</v>
      </c>
      <c r="AF416">
        <v>-0.45428040354982402</v>
      </c>
      <c r="AG416">
        <v>-1.1100993723779999</v>
      </c>
      <c r="AH416">
        <v>57.379713400674</v>
      </c>
      <c r="AI416">
        <v>91.108302550575203</v>
      </c>
      <c r="AJ416">
        <v>90.453606414095802</v>
      </c>
      <c r="AK416">
        <v>57.392248616386297</v>
      </c>
      <c r="AL416">
        <v>79.194127185802699</v>
      </c>
      <c r="AM416">
        <v>88.758326521625094</v>
      </c>
      <c r="AN416">
        <v>1.0000000107236899</v>
      </c>
    </row>
    <row r="417" spans="1:40" x14ac:dyDescent="0.25">
      <c r="A417" t="str">
        <f>"20190312172905418"</f>
        <v>20190312172905418</v>
      </c>
      <c r="B417" t="str">
        <f>"1552382945407807"</f>
        <v>1552382945407807</v>
      </c>
      <c r="C417" t="s">
        <v>40</v>
      </c>
      <c r="D417">
        <v>3.1624400000000001</v>
      </c>
      <c r="E417">
        <v>0.49156149999999998</v>
      </c>
      <c r="F417" t="s">
        <v>41</v>
      </c>
      <c r="G417">
        <v>-330.87860000000001</v>
      </c>
      <c r="H417" s="1">
        <v>-4.1985840000000003E-6</v>
      </c>
      <c r="I417">
        <v>367.90710000000001</v>
      </c>
      <c r="J417">
        <v>-387.70859999999999</v>
      </c>
      <c r="K417">
        <v>1.110066</v>
      </c>
      <c r="L417">
        <v>367.28140000000002</v>
      </c>
      <c r="M417">
        <v>0.99992749999999997</v>
      </c>
      <c r="N417">
        <v>0</v>
      </c>
      <c r="O417">
        <v>3.2533979999999998E-3</v>
      </c>
      <c r="P417">
        <v>0.98422750000000003</v>
      </c>
      <c r="Q417">
        <v>0.17593249999999999</v>
      </c>
      <c r="R417">
        <v>-1.855356E-2</v>
      </c>
      <c r="S417">
        <v>3.0594480000000002</v>
      </c>
      <c r="T417">
        <v>-5.9592010000000001E-2</v>
      </c>
      <c r="U417">
        <v>3.363037E-2</v>
      </c>
      <c r="V417">
        <v>2.163853E-2</v>
      </c>
      <c r="W417">
        <v>0.18735080000000001</v>
      </c>
      <c r="X417">
        <v>0.98205469999999895</v>
      </c>
      <c r="Y417">
        <v>-7.7373069999999997E-3</v>
      </c>
      <c r="Z417" s="1">
        <v>1.1978600000000001E-5</v>
      </c>
      <c r="AA417">
        <v>0.99997009999999997</v>
      </c>
      <c r="AB417">
        <v>28</v>
      </c>
      <c r="AC417">
        <v>56.829999999999899</v>
      </c>
      <c r="AD417">
        <v>-1.110070198584</v>
      </c>
      <c r="AE417">
        <v>0.62569999999999404</v>
      </c>
      <c r="AF417">
        <v>-0.44062555494873301</v>
      </c>
      <c r="AG417">
        <v>-1.110070198584</v>
      </c>
      <c r="AH417">
        <v>56.8100620270151</v>
      </c>
      <c r="AI417">
        <v>91.119385016354997</v>
      </c>
      <c r="AJ417">
        <v>90.444383926326793</v>
      </c>
      <c r="AK417">
        <v>56.822614813459303</v>
      </c>
      <c r="AL417">
        <v>79.201779780164898</v>
      </c>
      <c r="AM417">
        <v>88.737752729812897</v>
      </c>
      <c r="AN417">
        <v>0.99999999101664505</v>
      </c>
    </row>
    <row r="418" spans="1:40" x14ac:dyDescent="0.25">
      <c r="A418" t="str">
        <f>"20190312172905430"</f>
        <v>20190312172905430</v>
      </c>
      <c r="B418" t="str">
        <f>"1552382945417567"</f>
        <v>1552382945417567</v>
      </c>
      <c r="C418" t="s">
        <v>40</v>
      </c>
      <c r="D418">
        <v>3.1659310000000001</v>
      </c>
      <c r="E418">
        <v>0.49154029999999999</v>
      </c>
      <c r="F418" t="s">
        <v>41</v>
      </c>
      <c r="G418">
        <v>-331.31040000000002</v>
      </c>
      <c r="H418" s="1">
        <v>-4.0155599999999999E-6</v>
      </c>
      <c r="I418">
        <v>367.89449999999999</v>
      </c>
      <c r="J418">
        <v>-387.5598</v>
      </c>
      <c r="K418">
        <v>1.1100380000000001</v>
      </c>
      <c r="L418">
        <v>367.28199999999998</v>
      </c>
      <c r="M418">
        <v>0.99992689999999995</v>
      </c>
      <c r="N418">
        <v>0</v>
      </c>
      <c r="O418">
        <v>3.3873229999999998E-3</v>
      </c>
      <c r="P418">
        <v>0.98424659999999997</v>
      </c>
      <c r="Q418">
        <v>0.17585290000000001</v>
      </c>
      <c r="R418">
        <v>-1.8292369999999999E-2</v>
      </c>
      <c r="S418">
        <v>3.0594790000000001</v>
      </c>
      <c r="T418">
        <v>-6.0218809999999998E-2</v>
      </c>
      <c r="U418">
        <v>3.3264160000000001E-2</v>
      </c>
      <c r="V418">
        <v>2.152538E-2</v>
      </c>
      <c r="W418">
        <v>0.18728149999999999</v>
      </c>
      <c r="X418">
        <v>0.98207040000000001</v>
      </c>
      <c r="Y418">
        <v>-7.4836449999999997E-3</v>
      </c>
      <c r="Z418" s="1">
        <v>6.9725359999999999E-6</v>
      </c>
      <c r="AA418">
        <v>0.99997199999999997</v>
      </c>
      <c r="AB418">
        <v>28</v>
      </c>
      <c r="AC418">
        <v>56.249399999999902</v>
      </c>
      <c r="AD418">
        <v>-1.1100420155599999</v>
      </c>
      <c r="AE418">
        <v>0.61250000000001104</v>
      </c>
      <c r="AF418">
        <v>-0.42178452223560597</v>
      </c>
      <c r="AG418">
        <v>-1.1100420155599999</v>
      </c>
      <c r="AH418">
        <v>56.229256678003701</v>
      </c>
      <c r="AI418">
        <v>91.130917915805298</v>
      </c>
      <c r="AJ418">
        <v>90.429776617543794</v>
      </c>
      <c r="AK418">
        <v>56.241794086073803</v>
      </c>
      <c r="AL418">
        <v>79.205821874456404</v>
      </c>
      <c r="AM418">
        <v>88.744371093319003</v>
      </c>
      <c r="AN418">
        <v>0.99999998639127696</v>
      </c>
    </row>
    <row r="419" spans="1:40" x14ac:dyDescent="0.25">
      <c r="A419" t="str">
        <f>"20190312172905449"</f>
        <v>20190312172905449</v>
      </c>
      <c r="B419" t="str">
        <f>"1552382945438063"</f>
        <v>1552382945438063</v>
      </c>
      <c r="C419" t="s">
        <v>40</v>
      </c>
      <c r="D419">
        <v>3.1386669999999999</v>
      </c>
      <c r="E419">
        <v>0.49157200000000001</v>
      </c>
      <c r="F419" t="s">
        <v>41</v>
      </c>
      <c r="G419">
        <v>-331.5557</v>
      </c>
      <c r="H419" s="1">
        <v>-3.9085209999999999E-6</v>
      </c>
      <c r="I419">
        <v>367.90480000000002</v>
      </c>
      <c r="J419">
        <v>-387.31240000000003</v>
      </c>
      <c r="K419">
        <v>1.1099950000000001</v>
      </c>
      <c r="L419">
        <v>367.28309999999999</v>
      </c>
      <c r="M419">
        <v>0.99992610000000004</v>
      </c>
      <c r="N419">
        <v>0</v>
      </c>
      <c r="O419">
        <v>3.5636299999999999E-3</v>
      </c>
      <c r="P419">
        <v>0.98429449999999996</v>
      </c>
      <c r="Q419">
        <v>0.17555699999999999</v>
      </c>
      <c r="R419">
        <v>-1.8546920000000001E-2</v>
      </c>
      <c r="S419">
        <v>3.0594790000000001</v>
      </c>
      <c r="T419">
        <v>-6.0641050000000002E-2</v>
      </c>
      <c r="U419">
        <v>3.4027099999999998E-2</v>
      </c>
      <c r="V419">
        <v>2.198027E-2</v>
      </c>
      <c r="W419">
        <v>0.1870009</v>
      </c>
      <c r="X419">
        <v>0.98211380000000004</v>
      </c>
      <c r="Y419">
        <v>-7.5566699999999997E-3</v>
      </c>
      <c r="Z419" s="1">
        <v>4.2507379999999996E-6</v>
      </c>
      <c r="AA419">
        <v>0.99997139999999995</v>
      </c>
      <c r="AB419">
        <v>28</v>
      </c>
      <c r="AC419">
        <v>55.756700000000002</v>
      </c>
      <c r="AD419">
        <v>-1.109998908521</v>
      </c>
      <c r="AE419">
        <v>0.621700000000032</v>
      </c>
      <c r="AF419">
        <v>-0.42281882755157701</v>
      </c>
      <c r="AG419">
        <v>-1.109998908521</v>
      </c>
      <c r="AH419">
        <v>55.736474582100598</v>
      </c>
      <c r="AI419">
        <v>91.1408690284362</v>
      </c>
      <c r="AJ419">
        <v>90.434639431386699</v>
      </c>
      <c r="AK419">
        <v>55.749129788535697</v>
      </c>
      <c r="AL419">
        <v>79.222188280934702</v>
      </c>
      <c r="AM419">
        <v>88.717901635260105</v>
      </c>
      <c r="AN419">
        <v>0.99999999251026095</v>
      </c>
    </row>
    <row r="420" spans="1:40" x14ac:dyDescent="0.25">
      <c r="A420" t="str">
        <f>"20190312172905462"</f>
        <v>20190312172905462</v>
      </c>
      <c r="B420" t="str">
        <f>"1552382945457583"</f>
        <v>1552382945457583</v>
      </c>
      <c r="C420" t="s">
        <v>40</v>
      </c>
      <c r="D420">
        <v>3.1451760000000002</v>
      </c>
      <c r="E420">
        <v>0.49157450000000003</v>
      </c>
      <c r="F420" t="s">
        <v>41</v>
      </c>
      <c r="G420">
        <v>-332.77690000000001</v>
      </c>
      <c r="H420" s="1">
        <v>-3.3903949999999998E-6</v>
      </c>
      <c r="I420">
        <v>367.87209999999999</v>
      </c>
      <c r="J420">
        <v>-387.15280000000001</v>
      </c>
      <c r="K420">
        <v>1.109966</v>
      </c>
      <c r="L420">
        <v>367.28379999999999</v>
      </c>
      <c r="M420">
        <v>0.99992559999999997</v>
      </c>
      <c r="N420">
        <v>0</v>
      </c>
      <c r="O420">
        <v>3.650744E-3</v>
      </c>
      <c r="P420">
        <v>0.98430359999999995</v>
      </c>
      <c r="Q420">
        <v>0.17547579999999999</v>
      </c>
      <c r="R420">
        <v>-1.8838520000000001E-2</v>
      </c>
      <c r="S420">
        <v>3.059631</v>
      </c>
      <c r="T420">
        <v>-6.227481E-2</v>
      </c>
      <c r="U420">
        <v>3.3050540000000003E-2</v>
      </c>
      <c r="V420">
        <v>2.23742E-2</v>
      </c>
      <c r="W420">
        <v>0.1869287</v>
      </c>
      <c r="X420">
        <v>0.98211870000000001</v>
      </c>
      <c r="Y420">
        <v>-7.149926E-3</v>
      </c>
      <c r="Z420" s="1">
        <v>-1.5467670000000001E-6</v>
      </c>
      <c r="AA420">
        <v>0.99997440000000004</v>
      </c>
      <c r="AB420">
        <v>28</v>
      </c>
      <c r="AC420">
        <v>54.375900000000001</v>
      </c>
      <c r="AD420">
        <v>-1.1099693903950001</v>
      </c>
      <c r="AE420">
        <v>0.58830000000000304</v>
      </c>
      <c r="AF420">
        <v>-0.38960781592071297</v>
      </c>
      <c r="AG420">
        <v>-1.1099693903950001</v>
      </c>
      <c r="AH420">
        <v>54.355039126390402</v>
      </c>
      <c r="AI420">
        <v>91.169828808113394</v>
      </c>
      <c r="AJ420">
        <v>90.410679517258004</v>
      </c>
      <c r="AK420">
        <v>54.367767148644901</v>
      </c>
      <c r="AL420">
        <v>79.226399833431401</v>
      </c>
      <c r="AM420">
        <v>88.694938277529104</v>
      </c>
      <c r="AN420">
        <v>1.0000000422994999</v>
      </c>
    </row>
    <row r="421" spans="1:40" x14ac:dyDescent="0.25">
      <c r="A421" t="str">
        <f>"20190312172905474"</f>
        <v>20190312172905474</v>
      </c>
      <c r="B421" t="str">
        <f>"1552382945468319"</f>
        <v>1552382945468319</v>
      </c>
      <c r="C421" t="s">
        <v>40</v>
      </c>
      <c r="D421">
        <v>3.141883</v>
      </c>
      <c r="E421">
        <v>0.4915812</v>
      </c>
      <c r="F421" t="s">
        <v>41</v>
      </c>
      <c r="G421">
        <v>-333.11380000000003</v>
      </c>
      <c r="H421" s="1">
        <v>-3.2497590000000001E-6</v>
      </c>
      <c r="I421">
        <v>367.85019999999997</v>
      </c>
      <c r="J421">
        <v>-387.00369999999998</v>
      </c>
      <c r="K421">
        <v>1.1099380000000001</v>
      </c>
      <c r="L421">
        <v>367.28440000000001</v>
      </c>
      <c r="M421">
        <v>0.99992539999999996</v>
      </c>
      <c r="N421">
        <v>0</v>
      </c>
      <c r="O421">
        <v>3.7001019999999998E-3</v>
      </c>
      <c r="P421">
        <v>0.98428459999999995</v>
      </c>
      <c r="Q421">
        <v>0.175562</v>
      </c>
      <c r="R421">
        <v>-1.9030269999999998E-2</v>
      </c>
      <c r="S421">
        <v>3.0596619999999999</v>
      </c>
      <c r="T421">
        <v>-6.2845830000000005E-2</v>
      </c>
      <c r="U421">
        <v>3.207397E-2</v>
      </c>
      <c r="V421">
        <v>2.2628019999999999E-2</v>
      </c>
      <c r="W421">
        <v>0.18702150000000001</v>
      </c>
      <c r="X421">
        <v>0.98209519999999995</v>
      </c>
      <c r="Y421">
        <v>-6.7814030000000001E-3</v>
      </c>
      <c r="Z421" s="1">
        <v>-6.3589399999999996E-6</v>
      </c>
      <c r="AA421">
        <v>0.999977</v>
      </c>
      <c r="AB421">
        <v>28</v>
      </c>
      <c r="AC421">
        <v>53.889899999999898</v>
      </c>
      <c r="AD421">
        <v>-1.10994124975899</v>
      </c>
      <c r="AE421">
        <v>0.565799999999967</v>
      </c>
      <c r="AF421">
        <v>-0.36622914612459201</v>
      </c>
      <c r="AG421">
        <v>-1.10994124975899</v>
      </c>
      <c r="AH421">
        <v>53.868775329543098</v>
      </c>
      <c r="AI421">
        <v>91.180358794672401</v>
      </c>
      <c r="AJ421">
        <v>90.3895217777455</v>
      </c>
      <c r="AK421">
        <v>53.881453663298501</v>
      </c>
      <c r="AL421">
        <v>79.220987148667504</v>
      </c>
      <c r="AM421">
        <v>88.680106881269097</v>
      </c>
      <c r="AN421">
        <v>1.0000000253071999</v>
      </c>
    </row>
    <row r="422" spans="1:40" x14ac:dyDescent="0.25">
      <c r="A422" t="str">
        <f>"20190312172905487"</f>
        <v>20190312172905487</v>
      </c>
      <c r="B422" t="str">
        <f>"1552382945478079"</f>
        <v>1552382945478079</v>
      </c>
      <c r="C422" t="s">
        <v>40</v>
      </c>
      <c r="D422">
        <v>3.1916159999999998</v>
      </c>
      <c r="E422">
        <v>0.49155769999999999</v>
      </c>
      <c r="F422" t="s">
        <v>41</v>
      </c>
      <c r="G422">
        <v>-332.92759999999998</v>
      </c>
      <c r="H422" s="1">
        <v>-3.3310899999999999E-6</v>
      </c>
      <c r="I422">
        <v>367.84199999999998</v>
      </c>
      <c r="J422">
        <v>-386.83370000000002</v>
      </c>
      <c r="K422">
        <v>1.109912</v>
      </c>
      <c r="L422">
        <v>367.2851</v>
      </c>
      <c r="M422">
        <v>0.99992510000000001</v>
      </c>
      <c r="N422">
        <v>0</v>
      </c>
      <c r="O422">
        <v>3.7440080000000001E-3</v>
      </c>
      <c r="P422">
        <v>0.98426360000000002</v>
      </c>
      <c r="Q422">
        <v>0.1756316</v>
      </c>
      <c r="R422">
        <v>-1.9467959999999999E-2</v>
      </c>
      <c r="S422">
        <v>3.0597530000000002</v>
      </c>
      <c r="T422">
        <v>-6.2803150000000002E-2</v>
      </c>
      <c r="U422">
        <v>3.1555180000000002E-2</v>
      </c>
      <c r="V422">
        <v>2.3123379999999999E-2</v>
      </c>
      <c r="W422">
        <v>0.18709970000000001</v>
      </c>
      <c r="X422">
        <v>0.98206870000000002</v>
      </c>
      <c r="Y422">
        <v>-6.5677030000000003E-3</v>
      </c>
      <c r="Z422" s="1">
        <v>-9.4484420000000008E-6</v>
      </c>
      <c r="AA422">
        <v>0.99997840000000005</v>
      </c>
      <c r="AB422">
        <v>28</v>
      </c>
      <c r="AC422">
        <v>53.906100000000002</v>
      </c>
      <c r="AD422">
        <v>-1.1099153310900001</v>
      </c>
      <c r="AE422">
        <v>0.55689999999998396</v>
      </c>
      <c r="AF422">
        <v>-0.35490708057454101</v>
      </c>
      <c r="AG422">
        <v>-1.1099153310900001</v>
      </c>
      <c r="AH422">
        <v>53.884965782823997</v>
      </c>
      <c r="AI422">
        <v>91.179978368403894</v>
      </c>
      <c r="AJ422">
        <v>90.377366553099606</v>
      </c>
      <c r="AK422">
        <v>53.897564031170702</v>
      </c>
      <c r="AL422">
        <v>79.216425396184803</v>
      </c>
      <c r="AM422">
        <v>88.651186694408295</v>
      </c>
      <c r="AN422">
        <v>0.99999995998120095</v>
      </c>
    </row>
    <row r="423" spans="1:40" x14ac:dyDescent="0.25">
      <c r="A423" t="str">
        <f>"20190312172905508"</f>
        <v>20190312172905508</v>
      </c>
      <c r="B423" t="str">
        <f>"1552382945497599"</f>
        <v>1552382945497599</v>
      </c>
      <c r="C423" t="s">
        <v>40</v>
      </c>
      <c r="D423">
        <v>3.141222</v>
      </c>
      <c r="E423">
        <v>0.49155779999999899</v>
      </c>
      <c r="F423" t="s">
        <v>41</v>
      </c>
      <c r="G423">
        <v>-332.4778</v>
      </c>
      <c r="H423" s="1">
        <v>-3.5250870000000002E-6</v>
      </c>
      <c r="I423">
        <v>367.83640000000003</v>
      </c>
      <c r="J423">
        <v>-386.57670000000002</v>
      </c>
      <c r="K423">
        <v>1.109883</v>
      </c>
      <c r="L423">
        <v>367.28609999999998</v>
      </c>
      <c r="M423">
        <v>0.9999247</v>
      </c>
      <c r="N423">
        <v>0</v>
      </c>
      <c r="O423">
        <v>3.7733250000000001E-3</v>
      </c>
      <c r="P423">
        <v>0.98422969999999999</v>
      </c>
      <c r="Q423">
        <v>0.17567099999999999</v>
      </c>
      <c r="R423">
        <v>-2.0765599999999999E-2</v>
      </c>
      <c r="S423">
        <v>3.059723</v>
      </c>
      <c r="T423">
        <v>-6.247759E-2</v>
      </c>
      <c r="U423">
        <v>3.1036379999999999E-2</v>
      </c>
      <c r="V423">
        <v>2.446686E-2</v>
      </c>
      <c r="W423">
        <v>0.18714980000000001</v>
      </c>
      <c r="X423">
        <v>0.98202659999999997</v>
      </c>
      <c r="Y423">
        <v>-6.3690040000000002E-3</v>
      </c>
      <c r="Z423" s="1">
        <v>-1.202659E-5</v>
      </c>
      <c r="AA423">
        <v>0.99997970000000003</v>
      </c>
      <c r="AB423">
        <v>28</v>
      </c>
      <c r="AC423">
        <v>54.0989</v>
      </c>
      <c r="AD423">
        <v>-1.109886525087</v>
      </c>
      <c r="AE423">
        <v>0.55030000000004897</v>
      </c>
      <c r="AF423">
        <v>-0.34600381281401799</v>
      </c>
      <c r="AG423">
        <v>-1.109886525087</v>
      </c>
      <c r="AH423">
        <v>54.077832342750497</v>
      </c>
      <c r="AI423">
        <v>91.175742132263295</v>
      </c>
      <c r="AJ423">
        <v>90.366588060092198</v>
      </c>
      <c r="AK423">
        <v>54.090327394347398</v>
      </c>
      <c r="AL423">
        <v>79.213503250597597</v>
      </c>
      <c r="AM423">
        <v>88.572790326904297</v>
      </c>
      <c r="AN423">
        <v>0.99999995899292804</v>
      </c>
    </row>
    <row r="424" spans="1:40" x14ac:dyDescent="0.25">
      <c r="A424" t="str">
        <f>"20190312172905529"</f>
        <v>20190312172905529</v>
      </c>
      <c r="B424" t="str">
        <f>"1552382945518095"</f>
        <v>1552382945518095</v>
      </c>
      <c r="C424" t="s">
        <v>40</v>
      </c>
      <c r="D424">
        <v>3.152323</v>
      </c>
      <c r="E424">
        <v>0.4915852</v>
      </c>
      <c r="F424" t="s">
        <v>41</v>
      </c>
      <c r="G424">
        <v>-332.15550000000002</v>
      </c>
      <c r="H424" s="1">
        <v>-3.6717930000000002E-6</v>
      </c>
      <c r="I424">
        <v>367.78859999999997</v>
      </c>
      <c r="J424">
        <v>-386.29610000000002</v>
      </c>
      <c r="K424">
        <v>1.1098619999999999</v>
      </c>
      <c r="L424">
        <v>367.28710000000001</v>
      </c>
      <c r="M424">
        <v>0.9999247</v>
      </c>
      <c r="N424">
        <v>0</v>
      </c>
      <c r="O424">
        <v>3.7744229999999998E-3</v>
      </c>
      <c r="P424">
        <v>0.98429920000000004</v>
      </c>
      <c r="Q424">
        <v>0.17517550000000001</v>
      </c>
      <c r="R424">
        <v>-2.1654730000000001E-2</v>
      </c>
      <c r="S424">
        <v>3.0598139999999998</v>
      </c>
      <c r="T424">
        <v>-6.240296E-2</v>
      </c>
      <c r="U424">
        <v>2.8259280000000001E-2</v>
      </c>
      <c r="V424">
        <v>2.536913E-2</v>
      </c>
      <c r="W424">
        <v>0.18666640000000001</v>
      </c>
      <c r="X424">
        <v>0.98209579999999996</v>
      </c>
      <c r="Y424">
        <v>-5.4602890000000001E-3</v>
      </c>
      <c r="Z424" s="1">
        <v>-2.1299509999999999E-5</v>
      </c>
      <c r="AA424">
        <v>0.99998509999999996</v>
      </c>
      <c r="AB424">
        <v>28</v>
      </c>
      <c r="AC424">
        <v>54.140599999999999</v>
      </c>
      <c r="AD424">
        <v>-1.109865671793</v>
      </c>
      <c r="AE424">
        <v>0.50149999999996397</v>
      </c>
      <c r="AF424">
        <v>-0.297008165385578</v>
      </c>
      <c r="AG424">
        <v>-1.109865671793</v>
      </c>
      <c r="AH424">
        <v>54.119366266482402</v>
      </c>
      <c r="AI424">
        <v>91.174824347485696</v>
      </c>
      <c r="AJ424">
        <v>90.314437228112695</v>
      </c>
      <c r="AK424">
        <v>54.131560302150902</v>
      </c>
      <c r="AL424">
        <v>79.241697856804606</v>
      </c>
      <c r="AM424">
        <v>88.520285999790801</v>
      </c>
      <c r="AN424">
        <v>1.00000004901177</v>
      </c>
    </row>
    <row r="425" spans="1:40" x14ac:dyDescent="0.25">
      <c r="A425" t="str">
        <f>"20190312172905550"</f>
        <v>20190312172905550</v>
      </c>
      <c r="B425" t="str">
        <f>"1552382945537615"</f>
        <v>1552382945537615</v>
      </c>
      <c r="C425" t="s">
        <v>40</v>
      </c>
      <c r="D425">
        <v>3.1235460000000002</v>
      </c>
      <c r="E425">
        <v>0.49160199999999998</v>
      </c>
      <c r="F425" t="s">
        <v>41</v>
      </c>
      <c r="G425">
        <v>-333.56299999999999</v>
      </c>
      <c r="H425" s="1">
        <v>-3.077763E-6</v>
      </c>
      <c r="I425">
        <v>367.73360000000002</v>
      </c>
      <c r="J425">
        <v>-386.03519999999997</v>
      </c>
      <c r="K425">
        <v>1.109853</v>
      </c>
      <c r="L425">
        <v>367.28809999999999</v>
      </c>
      <c r="M425">
        <v>0.99992460000000005</v>
      </c>
      <c r="N425">
        <v>0</v>
      </c>
      <c r="O425">
        <v>3.760874E-3</v>
      </c>
      <c r="P425">
        <v>0.98443369999999997</v>
      </c>
      <c r="Q425">
        <v>0.17433379999999901</v>
      </c>
      <c r="R425">
        <v>-2.2321790000000001E-2</v>
      </c>
      <c r="S425">
        <v>3.0598450000000001</v>
      </c>
      <c r="T425">
        <v>-6.4399960000000006E-2</v>
      </c>
      <c r="U425">
        <v>2.5909419999999999E-2</v>
      </c>
      <c r="V425">
        <v>2.6029630000000002E-2</v>
      </c>
      <c r="W425">
        <v>0.1858358</v>
      </c>
      <c r="X425">
        <v>0.982236</v>
      </c>
      <c r="Y425">
        <v>-4.7059930000000003E-3</v>
      </c>
      <c r="Z425" s="1">
        <v>-2.9632450000000001E-5</v>
      </c>
      <c r="AA425">
        <v>0.99998889999999996</v>
      </c>
      <c r="AB425">
        <v>29</v>
      </c>
      <c r="AC425">
        <v>52.472199999999901</v>
      </c>
      <c r="AD425">
        <v>-1.109856077763</v>
      </c>
      <c r="AE425">
        <v>0.44550000000003798</v>
      </c>
      <c r="AF425">
        <v>-0.248031075809139</v>
      </c>
      <c r="AG425">
        <v>-1.109856077763</v>
      </c>
      <c r="AH425">
        <v>52.450041132102299</v>
      </c>
      <c r="AI425">
        <v>91.212198668720703</v>
      </c>
      <c r="AJ425">
        <v>90.270944075437001</v>
      </c>
      <c r="AK425">
        <v>52.4623685577304</v>
      </c>
      <c r="AL425">
        <v>79.290134997439907</v>
      </c>
      <c r="AM425">
        <v>88.481995193443893</v>
      </c>
      <c r="AN425">
        <v>1.0000000229477799</v>
      </c>
    </row>
    <row r="426" spans="1:40" x14ac:dyDescent="0.25">
      <c r="A426" t="str">
        <f>"20190312172905562"</f>
        <v>20190312172905562</v>
      </c>
      <c r="B426" t="str">
        <f>"1552382945558111"</f>
        <v>1552382945558111</v>
      </c>
      <c r="C426" t="s">
        <v>40</v>
      </c>
      <c r="D426">
        <v>3.146029</v>
      </c>
      <c r="E426">
        <v>0.491614</v>
      </c>
      <c r="F426" t="s">
        <v>41</v>
      </c>
      <c r="G426">
        <v>-335.62869999999998</v>
      </c>
      <c r="H426" s="1">
        <v>-2.2013859999999998E-6</v>
      </c>
      <c r="I426">
        <v>367.6782</v>
      </c>
      <c r="J426">
        <v>-385.88569999999999</v>
      </c>
      <c r="K426">
        <v>1.10985</v>
      </c>
      <c r="L426">
        <v>367.28870000000001</v>
      </c>
      <c r="M426">
        <v>0.99992460000000005</v>
      </c>
      <c r="N426">
        <v>0</v>
      </c>
      <c r="O426">
        <v>3.7505220000000001E-3</v>
      </c>
      <c r="P426">
        <v>0.98443910000000001</v>
      </c>
      <c r="Q426">
        <v>0.174262</v>
      </c>
      <c r="R426">
        <v>-2.2639449999999998E-2</v>
      </c>
      <c r="S426">
        <v>3.0599059999999998</v>
      </c>
      <c r="T426">
        <v>-6.7373279999999994E-2</v>
      </c>
      <c r="U426">
        <v>2.368164E-2</v>
      </c>
      <c r="V426">
        <v>2.6339040000000001E-2</v>
      </c>
      <c r="W426">
        <v>0.1857692</v>
      </c>
      <c r="X426">
        <v>0.98224029999999996</v>
      </c>
      <c r="Y426">
        <v>-3.9883269999999998E-3</v>
      </c>
      <c r="Z426" s="1">
        <v>-3.8671589999999997E-5</v>
      </c>
      <c r="AA426">
        <v>0.99999210000000005</v>
      </c>
      <c r="AB426">
        <v>29</v>
      </c>
      <c r="AC426">
        <v>50.256999999999998</v>
      </c>
      <c r="AD426">
        <v>-1.1098522013859999</v>
      </c>
      <c r="AE426">
        <v>0.38949999999999801</v>
      </c>
      <c r="AF426">
        <v>-0.20089642100100799</v>
      </c>
      <c r="AG426">
        <v>-1.1098522013859999</v>
      </c>
      <c r="AH426">
        <v>50.233610829023498</v>
      </c>
      <c r="AI426">
        <v>91.265666430975699</v>
      </c>
      <c r="AJ426">
        <v>90.229138528707693</v>
      </c>
      <c r="AK426">
        <v>50.246271386070902</v>
      </c>
      <c r="AL426">
        <v>79.294017987440796</v>
      </c>
      <c r="AM426">
        <v>88.463966230992796</v>
      </c>
      <c r="AN426">
        <v>0.99999997382042505</v>
      </c>
    </row>
    <row r="427" spans="1:40" x14ac:dyDescent="0.25">
      <c r="A427" t="str">
        <f>"20190312172905573"</f>
        <v>20190312172905573</v>
      </c>
      <c r="B427" t="str">
        <f>"1552382945567871"</f>
        <v>1552382945567871</v>
      </c>
      <c r="C427" t="s">
        <v>40</v>
      </c>
      <c r="D427">
        <v>3.162493</v>
      </c>
      <c r="E427">
        <v>0.49160419999999999</v>
      </c>
      <c r="F427" t="s">
        <v>41</v>
      </c>
      <c r="G427">
        <v>-335.76839999999999</v>
      </c>
      <c r="H427" s="1">
        <v>-2.1442429999999999E-6</v>
      </c>
      <c r="I427">
        <v>367.66250000000002</v>
      </c>
      <c r="J427">
        <v>-385.74160000000001</v>
      </c>
      <c r="K427">
        <v>1.1098509999999999</v>
      </c>
      <c r="L427">
        <v>367.28919999999999</v>
      </c>
      <c r="M427">
        <v>0.99992449999999999</v>
      </c>
      <c r="N427">
        <v>0</v>
      </c>
      <c r="O427">
        <v>3.7403330000000002E-3</v>
      </c>
      <c r="P427">
        <v>0.98447770000000001</v>
      </c>
      <c r="Q427">
        <v>0.174020799999999</v>
      </c>
      <c r="R427">
        <v>-2.2813759999999999E-2</v>
      </c>
      <c r="S427">
        <v>3.0599370000000001</v>
      </c>
      <c r="T427">
        <v>-6.7762489999999995E-2</v>
      </c>
      <c r="U427">
        <v>2.2827150000000001E-2</v>
      </c>
      <c r="V427">
        <v>2.650448E-2</v>
      </c>
      <c r="W427">
        <v>0.185534</v>
      </c>
      <c r="X427">
        <v>0.9822803</v>
      </c>
      <c r="Y427">
        <v>-3.719268E-3</v>
      </c>
      <c r="Z427" s="1">
        <v>-4.1647760000000002E-5</v>
      </c>
      <c r="AA427">
        <v>0.99999309999999997</v>
      </c>
      <c r="AB427">
        <v>29</v>
      </c>
      <c r="AC427">
        <v>49.973199999999999</v>
      </c>
      <c r="AD427">
        <v>-1.109853144243</v>
      </c>
      <c r="AE427">
        <v>0.373300000000028</v>
      </c>
      <c r="AF427">
        <v>-0.186276300361431</v>
      </c>
      <c r="AG427">
        <v>-1.109853144243</v>
      </c>
      <c r="AH427">
        <v>49.949611065961797</v>
      </c>
      <c r="AI427">
        <v>91.272862710083601</v>
      </c>
      <c r="AJ427">
        <v>90.213671260474598</v>
      </c>
      <c r="AK427">
        <v>49.962286962295003</v>
      </c>
      <c r="AL427">
        <v>79.307732331800807</v>
      </c>
      <c r="AM427">
        <v>88.454385718696699</v>
      </c>
      <c r="AN427">
        <v>0.99999997019207898</v>
      </c>
    </row>
    <row r="428" spans="1:40" x14ac:dyDescent="0.25">
      <c r="A428" t="str">
        <f>"20190312172905586"</f>
        <v>20190312172905586</v>
      </c>
      <c r="B428" t="str">
        <f>"1552382945577632"</f>
        <v>1552382945577632</v>
      </c>
      <c r="C428" t="s">
        <v>40</v>
      </c>
      <c r="D428">
        <v>3.1234649999999999</v>
      </c>
      <c r="E428">
        <v>0.49160799999999999</v>
      </c>
      <c r="F428" t="s">
        <v>41</v>
      </c>
      <c r="G428">
        <v>-336.23009999999999</v>
      </c>
      <c r="H428" s="1">
        <v>-1.9489090000000001E-6</v>
      </c>
      <c r="I428">
        <v>367.6472</v>
      </c>
      <c r="J428">
        <v>-385.57</v>
      </c>
      <c r="K428">
        <v>1.10985</v>
      </c>
      <c r="L428">
        <v>367.28989999999999</v>
      </c>
      <c r="M428">
        <v>0.99992449999999999</v>
      </c>
      <c r="N428">
        <v>0</v>
      </c>
      <c r="O428">
        <v>3.7285370000000001E-3</v>
      </c>
      <c r="P428">
        <v>0.98448720000000001</v>
      </c>
      <c r="Q428">
        <v>0.1739446</v>
      </c>
      <c r="R428">
        <v>-2.2989840000000001E-2</v>
      </c>
      <c r="S428">
        <v>3.0599370000000001</v>
      </c>
      <c r="T428">
        <v>-6.8591589999999994E-2</v>
      </c>
      <c r="U428">
        <v>2.2125240000000001E-2</v>
      </c>
      <c r="V428">
        <v>2.6669499999999999E-2</v>
      </c>
      <c r="W428">
        <v>0.1854633</v>
      </c>
      <c r="X428">
        <v>0.98228919999999997</v>
      </c>
      <c r="Y428">
        <v>-3.5017450000000001E-3</v>
      </c>
      <c r="Z428" s="1">
        <v>-4.4330530000000001E-5</v>
      </c>
      <c r="AA428">
        <v>0.99999389999999999</v>
      </c>
      <c r="AB428">
        <v>29</v>
      </c>
      <c r="AC428">
        <v>49.3399</v>
      </c>
      <c r="AD428">
        <v>-1.109851948909</v>
      </c>
      <c r="AE428">
        <v>0.357300000000009</v>
      </c>
      <c r="AF428">
        <v>-0.17323161472003801</v>
      </c>
      <c r="AG428">
        <v>-1.109851948909</v>
      </c>
      <c r="AH428">
        <v>49.315937705857998</v>
      </c>
      <c r="AI428">
        <v>91.289212193239806</v>
      </c>
      <c r="AJ428">
        <v>90.2012614996369</v>
      </c>
      <c r="AK428">
        <v>49.328728874246302</v>
      </c>
      <c r="AL428">
        <v>79.311854850858296</v>
      </c>
      <c r="AM428">
        <v>88.444781338734401</v>
      </c>
      <c r="AN428">
        <v>0.99999998515688904</v>
      </c>
    </row>
    <row r="429" spans="1:40" x14ac:dyDescent="0.25">
      <c r="A429" t="str">
        <f>"20190312172905598"</f>
        <v>20190312172905598</v>
      </c>
      <c r="B429" t="str">
        <f>"1552382945588367"</f>
        <v>1552382945588367</v>
      </c>
      <c r="C429" t="s">
        <v>40</v>
      </c>
      <c r="D429">
        <v>3.1322450000000002</v>
      </c>
      <c r="E429">
        <v>0.49160090000000001</v>
      </c>
      <c r="F429" t="s">
        <v>41</v>
      </c>
      <c r="G429">
        <v>-336.35340000000002</v>
      </c>
      <c r="H429" s="1">
        <v>-1.8977620000000001E-6</v>
      </c>
      <c r="I429">
        <v>367.63729999999998</v>
      </c>
      <c r="J429">
        <v>-385.41489999999999</v>
      </c>
      <c r="K429">
        <v>1.1098509999999999</v>
      </c>
      <c r="L429">
        <v>367.29039999999998</v>
      </c>
      <c r="M429">
        <v>0.99992449999999999</v>
      </c>
      <c r="N429">
        <v>0</v>
      </c>
      <c r="O429">
        <v>3.7193880000000001E-3</v>
      </c>
      <c r="P429">
        <v>0.98447470000000004</v>
      </c>
      <c r="Q429">
        <v>0.17398150000000001</v>
      </c>
      <c r="R429">
        <v>-2.3245720000000001E-2</v>
      </c>
      <c r="S429">
        <v>3.0599669999999999</v>
      </c>
      <c r="T429">
        <v>-6.9003220000000004E-2</v>
      </c>
      <c r="U429">
        <v>2.1606449999999999E-2</v>
      </c>
      <c r="V429">
        <v>2.6916490000000001E-2</v>
      </c>
      <c r="W429">
        <v>0.18550449999999999</v>
      </c>
      <c r="X429">
        <v>0.98227469999999995</v>
      </c>
      <c r="Y429">
        <v>-3.3413269999999998E-3</v>
      </c>
      <c r="Z429" s="1">
        <v>-4.6198269999999999E-5</v>
      </c>
      <c r="AA429">
        <v>0.99999439999999995</v>
      </c>
      <c r="AB429">
        <v>29</v>
      </c>
      <c r="AC429">
        <v>49.061499999999903</v>
      </c>
      <c r="AD429">
        <v>-1.1098528977619999</v>
      </c>
      <c r="AE429">
        <v>0.34690000000000498</v>
      </c>
      <c r="AF429">
        <v>-0.16432224406930601</v>
      </c>
      <c r="AG429">
        <v>-1.1098528977619999</v>
      </c>
      <c r="AH429">
        <v>49.0373578285921</v>
      </c>
      <c r="AI429">
        <v>91.296535506679504</v>
      </c>
      <c r="AJ429">
        <v>90.191995169446102</v>
      </c>
      <c r="AK429">
        <v>49.050191009454302</v>
      </c>
      <c r="AL429">
        <v>79.309452756739503</v>
      </c>
      <c r="AM429">
        <v>88.430362252976494</v>
      </c>
      <c r="AN429">
        <v>1.00000000160713</v>
      </c>
    </row>
    <row r="430" spans="1:40" x14ac:dyDescent="0.25">
      <c r="A430" t="str">
        <f>"20190312172905609"</f>
        <v>20190312172905609</v>
      </c>
      <c r="B430" t="str">
        <f>"1552382945607888"</f>
        <v>1552382945607888</v>
      </c>
      <c r="C430" t="s">
        <v>40</v>
      </c>
      <c r="D430">
        <v>3.117283</v>
      </c>
      <c r="E430">
        <v>0.49159809999999998</v>
      </c>
      <c r="F430" t="s">
        <v>41</v>
      </c>
      <c r="G430">
        <v>-336.29950000000002</v>
      </c>
      <c r="H430" s="1">
        <v>-1.922922E-6</v>
      </c>
      <c r="I430">
        <v>367.6259</v>
      </c>
      <c r="J430">
        <v>-385.27080000000001</v>
      </c>
      <c r="K430">
        <v>1.10985</v>
      </c>
      <c r="L430">
        <v>367.291</v>
      </c>
      <c r="M430">
        <v>0.99992449999999999</v>
      </c>
      <c r="N430">
        <v>0</v>
      </c>
      <c r="O430">
        <v>3.7126279999999999E-3</v>
      </c>
      <c r="P430">
        <v>0.98449810000000004</v>
      </c>
      <c r="Q430">
        <v>0.1738654</v>
      </c>
      <c r="R430">
        <v>-2.3118349999999999E-2</v>
      </c>
      <c r="S430">
        <v>3.0600589999999999</v>
      </c>
      <c r="T430">
        <v>-6.9147470000000003E-2</v>
      </c>
      <c r="U430">
        <v>2.0904539999999999E-2</v>
      </c>
      <c r="V430">
        <v>2.6782609999999998E-2</v>
      </c>
      <c r="W430">
        <v>0.18539249999999999</v>
      </c>
      <c r="X430">
        <v>0.98229949999999999</v>
      </c>
      <c r="Y430">
        <v>-3.1185679999999999E-3</v>
      </c>
      <c r="Z430" s="1">
        <v>-4.8657209999999898E-5</v>
      </c>
      <c r="AA430">
        <v>0.99999510000000003</v>
      </c>
      <c r="AB430">
        <v>29</v>
      </c>
      <c r="AC430">
        <v>48.9712999999999</v>
      </c>
      <c r="AD430">
        <v>-1.1098519229220001</v>
      </c>
      <c r="AE430">
        <v>0.33490000000000397</v>
      </c>
      <c r="AF430">
        <v>-0.15299441925729701</v>
      </c>
      <c r="AG430">
        <v>-1.1098519229220001</v>
      </c>
      <c r="AH430">
        <v>48.947066596956297</v>
      </c>
      <c r="AI430">
        <v>91.298926176042002</v>
      </c>
      <c r="AJ430">
        <v>90.179089505749204</v>
      </c>
      <c r="AK430">
        <v>48.959886713819202</v>
      </c>
      <c r="AL430">
        <v>79.315983115881295</v>
      </c>
      <c r="AM430">
        <v>88.438205013609902</v>
      </c>
      <c r="AN430">
        <v>0.99999999747745605</v>
      </c>
    </row>
    <row r="431" spans="1:40" x14ac:dyDescent="0.25">
      <c r="A431" t="str">
        <f>"20190312172905628"</f>
        <v>20190312172905628</v>
      </c>
      <c r="B431" t="str">
        <f>"1552382945617657"</f>
        <v>1552382945617657</v>
      </c>
      <c r="C431" t="s">
        <v>40</v>
      </c>
      <c r="D431">
        <v>3.1288429999999998</v>
      </c>
      <c r="E431">
        <v>0.49159819999999999</v>
      </c>
      <c r="F431" t="s">
        <v>41</v>
      </c>
      <c r="G431">
        <v>-336.7346</v>
      </c>
      <c r="H431" s="1">
        <v>-1.7346019999999999E-6</v>
      </c>
      <c r="I431">
        <v>367.63510000000002</v>
      </c>
      <c r="J431">
        <v>-385.0342</v>
      </c>
      <c r="K431">
        <v>1.109855</v>
      </c>
      <c r="L431">
        <v>367.2919</v>
      </c>
      <c r="M431">
        <v>0.99992449999999999</v>
      </c>
      <c r="N431">
        <v>0</v>
      </c>
      <c r="O431">
        <v>3.7048469999999998E-3</v>
      </c>
      <c r="P431">
        <v>0.98453210000000002</v>
      </c>
      <c r="Q431">
        <v>0.17366419999999999</v>
      </c>
      <c r="R431">
        <v>-2.3186720000000001E-2</v>
      </c>
      <c r="S431">
        <v>3.06012</v>
      </c>
      <c r="T431">
        <v>-6.9974179999999997E-2</v>
      </c>
      <c r="U431">
        <v>2.1697999999999999E-2</v>
      </c>
      <c r="V431">
        <v>2.6843180000000001E-2</v>
      </c>
      <c r="W431">
        <v>0.18519849999999999</v>
      </c>
      <c r="X431">
        <v>0.98233440000000005</v>
      </c>
      <c r="Y431">
        <v>-3.385421E-3</v>
      </c>
      <c r="Z431" s="1">
        <v>-4.6009289999999999E-5</v>
      </c>
      <c r="AA431">
        <v>0.9999943</v>
      </c>
      <c r="AB431">
        <v>29</v>
      </c>
      <c r="AC431">
        <v>48.299599999999998</v>
      </c>
      <c r="AD431">
        <v>-1.1098567346020001</v>
      </c>
      <c r="AE431">
        <v>0.34320000000002399</v>
      </c>
      <c r="AF431">
        <v>-0.16415606070595801</v>
      </c>
      <c r="AG431">
        <v>-1.1098567346020001</v>
      </c>
      <c r="AH431">
        <v>48.275051372052197</v>
      </c>
      <c r="AI431">
        <v>91.317006144558206</v>
      </c>
      <c r="AJ431">
        <v>90.1948296882411</v>
      </c>
      <c r="AK431">
        <v>48.288086669052099</v>
      </c>
      <c r="AL431">
        <v>79.327293939653003</v>
      </c>
      <c r="AM431">
        <v>88.434730288391904</v>
      </c>
      <c r="AN431">
        <v>0.99999995706905997</v>
      </c>
    </row>
    <row r="432" spans="1:40" x14ac:dyDescent="0.25">
      <c r="A432" t="str">
        <f>"20190312172905640"</f>
        <v>20190312172905640</v>
      </c>
      <c r="B432" t="str">
        <f>"1552382945638144"</f>
        <v>1552382945638144</v>
      </c>
      <c r="C432" t="s">
        <v>40</v>
      </c>
      <c r="D432">
        <v>3.123494</v>
      </c>
      <c r="E432">
        <v>0.49162630000000002</v>
      </c>
      <c r="F432" t="s">
        <v>41</v>
      </c>
      <c r="G432">
        <v>-337.1087</v>
      </c>
      <c r="H432" s="1">
        <v>-1.5764409999999999E-6</v>
      </c>
      <c r="I432">
        <v>367.62209999999999</v>
      </c>
      <c r="J432">
        <v>-384.87959999999998</v>
      </c>
      <c r="K432">
        <v>1.109858</v>
      </c>
      <c r="L432">
        <v>367.29239999999999</v>
      </c>
      <c r="M432">
        <v>0.99992449999999999</v>
      </c>
      <c r="N432">
        <v>0</v>
      </c>
      <c r="O432">
        <v>3.7016699999999998E-3</v>
      </c>
      <c r="P432">
        <v>0.98455780000000004</v>
      </c>
      <c r="Q432">
        <v>0.1735526</v>
      </c>
      <c r="R432">
        <v>-2.293568E-2</v>
      </c>
      <c r="S432">
        <v>3.0600589999999999</v>
      </c>
      <c r="T432">
        <v>-7.0864559999999993E-2</v>
      </c>
      <c r="U432">
        <v>2.1087649999999999E-2</v>
      </c>
      <c r="V432">
        <v>2.6588839999999999E-2</v>
      </c>
      <c r="W432">
        <v>0.1850908</v>
      </c>
      <c r="X432">
        <v>0.9823617</v>
      </c>
      <c r="Y432">
        <v>-3.189346E-3</v>
      </c>
      <c r="Z432" s="1">
        <v>-4.8792000000000003E-5</v>
      </c>
      <c r="AA432">
        <v>0.99999490000000002</v>
      </c>
      <c r="AB432">
        <v>29</v>
      </c>
      <c r="AC432">
        <v>47.770899999999898</v>
      </c>
      <c r="AD432">
        <v>-1.109859576441</v>
      </c>
      <c r="AE432">
        <v>0.32970000000000199</v>
      </c>
      <c r="AF432">
        <v>-0.15277103599838401</v>
      </c>
      <c r="AG432">
        <v>-1.109859576441</v>
      </c>
      <c r="AH432">
        <v>47.746022519907903</v>
      </c>
      <c r="AI432">
        <v>91.331597718344497</v>
      </c>
      <c r="AJ432">
        <v>90.183326385356196</v>
      </c>
      <c r="AK432">
        <v>47.759164500024603</v>
      </c>
      <c r="AL432">
        <v>79.333574153215494</v>
      </c>
      <c r="AM432">
        <v>88.449597062070794</v>
      </c>
      <c r="AN432">
        <v>1.0000000401420299</v>
      </c>
    </row>
    <row r="433" spans="1:40" x14ac:dyDescent="0.25">
      <c r="A433" t="str">
        <f>"20190312172905652"</f>
        <v>20190312172905652</v>
      </c>
      <c r="B433" t="str">
        <f>"1552382945647903"</f>
        <v>1552382945647903</v>
      </c>
      <c r="C433" t="s">
        <v>40</v>
      </c>
      <c r="D433">
        <v>3.1404489999999998</v>
      </c>
      <c r="E433">
        <v>0.49162630000000002</v>
      </c>
      <c r="F433" t="s">
        <v>41</v>
      </c>
      <c r="G433">
        <v>-337.3673</v>
      </c>
      <c r="H433" s="1">
        <v>-1.4639070000000001E-6</v>
      </c>
      <c r="I433">
        <v>367.6311</v>
      </c>
      <c r="J433">
        <v>-384.73930000000001</v>
      </c>
      <c r="K433">
        <v>1.109861</v>
      </c>
      <c r="L433">
        <v>367.29289999999997</v>
      </c>
      <c r="M433">
        <v>0.99992429999999999</v>
      </c>
      <c r="N433">
        <v>0</v>
      </c>
      <c r="O433">
        <v>3.7001059999999999E-3</v>
      </c>
      <c r="P433">
        <v>0.98456849999999996</v>
      </c>
      <c r="Q433">
        <v>0.17347839999999901</v>
      </c>
      <c r="R433">
        <v>-2.3027789999999999E-2</v>
      </c>
      <c r="S433">
        <v>3.06012</v>
      </c>
      <c r="T433">
        <v>-7.1482420000000005E-2</v>
      </c>
      <c r="U433">
        <v>2.182007E-2</v>
      </c>
      <c r="V433">
        <v>2.667951E-2</v>
      </c>
      <c r="W433">
        <v>0.18501999999999999</v>
      </c>
      <c r="X433">
        <v>0.98237249999999998</v>
      </c>
      <c r="Y433">
        <v>-3.4300400000000001E-3</v>
      </c>
      <c r="Z433" s="1">
        <v>-4.6368939999999999E-5</v>
      </c>
      <c r="AA433">
        <v>0.9999941</v>
      </c>
      <c r="AB433">
        <v>29</v>
      </c>
      <c r="AC433">
        <v>47.372</v>
      </c>
      <c r="AD433">
        <v>-1.1098624639070001</v>
      </c>
      <c r="AE433">
        <v>0.33820000000002798</v>
      </c>
      <c r="AF433">
        <v>-0.16281482860655699</v>
      </c>
      <c r="AG433">
        <v>-1.1098624639070001</v>
      </c>
      <c r="AH433">
        <v>47.346939626667599</v>
      </c>
      <c r="AI433">
        <v>91.342819964634501</v>
      </c>
      <c r="AJ433">
        <v>90.1970257386143</v>
      </c>
      <c r="AK433">
        <v>47.360225879618802</v>
      </c>
      <c r="AL433">
        <v>79.337701154539104</v>
      </c>
      <c r="AM433">
        <v>88.444329756361</v>
      </c>
      <c r="AN433">
        <v>0.99999996270504399</v>
      </c>
    </row>
    <row r="434" spans="1:40" x14ac:dyDescent="0.25">
      <c r="A434" t="str">
        <f>"20190312172905664"</f>
        <v>20190312172905664</v>
      </c>
      <c r="B434" t="str">
        <f>"1552382945657663"</f>
        <v>1552382945657663</v>
      </c>
      <c r="C434" t="s">
        <v>40</v>
      </c>
      <c r="D434">
        <v>3.217543</v>
      </c>
      <c r="E434">
        <v>0.50634609999999902</v>
      </c>
      <c r="F434" t="s">
        <v>41</v>
      </c>
      <c r="G434">
        <v>-337.38440000000003</v>
      </c>
      <c r="H434" s="1">
        <v>-1.456915E-6</v>
      </c>
      <c r="I434">
        <v>367.62909999999999</v>
      </c>
      <c r="J434">
        <v>-384.58030000000002</v>
      </c>
      <c r="K434">
        <v>1.1098629999999901</v>
      </c>
      <c r="L434">
        <v>367.29349999999999</v>
      </c>
      <c r="M434">
        <v>0.99992429999999999</v>
      </c>
      <c r="N434">
        <v>0</v>
      </c>
      <c r="O434">
        <v>3.6990769999999998E-3</v>
      </c>
      <c r="P434">
        <v>0.98454949999999997</v>
      </c>
      <c r="Q434">
        <v>0.17358959999999901</v>
      </c>
      <c r="R434">
        <v>-2.300191E-2</v>
      </c>
      <c r="S434">
        <v>3.0602109999999998</v>
      </c>
      <c r="T434">
        <v>-7.1722389999999997E-2</v>
      </c>
      <c r="U434">
        <v>2.1728520000000001E-2</v>
      </c>
      <c r="V434">
        <v>2.6652479999999999E-2</v>
      </c>
      <c r="W434">
        <v>0.18513479999999999</v>
      </c>
      <c r="X434">
        <v>0.98235170000000005</v>
      </c>
      <c r="Y434">
        <v>-3.400948E-3</v>
      </c>
      <c r="Z434" s="1">
        <v>-4.6839930000000001E-5</v>
      </c>
      <c r="AA434">
        <v>0.99999420000000006</v>
      </c>
      <c r="AB434">
        <v>29</v>
      </c>
      <c r="AC434">
        <v>47.195900000000002</v>
      </c>
      <c r="AD434">
        <v>-1.10986445691499</v>
      </c>
      <c r="AE434">
        <v>0.33559999999999901</v>
      </c>
      <c r="AF434">
        <v>-0.16091543031838801</v>
      </c>
      <c r="AG434">
        <v>-1.10986445691499</v>
      </c>
      <c r="AH434">
        <v>47.170734085276202</v>
      </c>
      <c r="AI434">
        <v>91.347836746746793</v>
      </c>
      <c r="AJ434">
        <v>90.195454648534806</v>
      </c>
      <c r="AK434">
        <v>47.184063485802803</v>
      </c>
      <c r="AL434">
        <v>79.331008970472197</v>
      </c>
      <c r="AM434">
        <v>88.445872200427303</v>
      </c>
      <c r="AN434">
        <v>1.0000000556770301</v>
      </c>
    </row>
    <row r="435" spans="1:40" x14ac:dyDescent="0.25">
      <c r="A435" t="str">
        <f>"20190312172905676"</f>
        <v>20190312172905676</v>
      </c>
      <c r="B435" t="str">
        <f>"1552382945668399"</f>
        <v>1552382945668399</v>
      </c>
      <c r="C435" t="s">
        <v>40</v>
      </c>
      <c r="D435">
        <v>3.272659</v>
      </c>
      <c r="E435">
        <v>0.51423589999999997</v>
      </c>
      <c r="F435" t="s">
        <v>42</v>
      </c>
      <c r="G435">
        <v>-383.60379999999998</v>
      </c>
      <c r="H435">
        <v>1.047336</v>
      </c>
      <c r="I435">
        <v>367.26459999999997</v>
      </c>
      <c r="J435">
        <v>-384.42079999999999</v>
      </c>
      <c r="K435">
        <v>1.109866</v>
      </c>
      <c r="L435">
        <v>367.29410000000001</v>
      </c>
      <c r="M435">
        <v>0.99992429999999999</v>
      </c>
      <c r="N435">
        <v>0</v>
      </c>
      <c r="O435">
        <v>3.6990640000000002E-3</v>
      </c>
      <c r="P435">
        <v>0.98451789999999995</v>
      </c>
      <c r="Q435">
        <v>0.173784299999999</v>
      </c>
      <c r="R435">
        <v>-2.2889550000000002E-2</v>
      </c>
      <c r="S435">
        <v>3.0798030000000001</v>
      </c>
      <c r="T435">
        <v>-0.1974062</v>
      </c>
      <c r="U435">
        <v>-9.0820310000000001E-2</v>
      </c>
      <c r="V435">
        <v>2.6539710000000001E-2</v>
      </c>
      <c r="W435">
        <v>0.1853321</v>
      </c>
      <c r="X435">
        <v>0.98231749999999995</v>
      </c>
      <c r="Y435">
        <v>3.3098250000000003E-2</v>
      </c>
      <c r="Z435">
        <v>-1.2962570000000001E-3</v>
      </c>
      <c r="AA435">
        <v>0.99945130000000004</v>
      </c>
      <c r="AB435">
        <v>29</v>
      </c>
      <c r="AC435">
        <v>0.81700000000000705</v>
      </c>
      <c r="AD435">
        <v>-6.2529999999999905E-2</v>
      </c>
      <c r="AE435">
        <v>-2.9500000000041299E-2</v>
      </c>
      <c r="AF435">
        <v>3.2332988759191703E-2</v>
      </c>
      <c r="AG435">
        <v>-6.2529999999999905E-2</v>
      </c>
      <c r="AH435">
        <v>0.81213417420767797</v>
      </c>
      <c r="AI435">
        <v>94.399311561238505</v>
      </c>
      <c r="AJ435">
        <v>87.720123093672896</v>
      </c>
      <c r="AK435">
        <v>0.81517932995022002</v>
      </c>
      <c r="AL435">
        <v>79.319504915615397</v>
      </c>
      <c r="AM435">
        <v>88.452390853528001</v>
      </c>
      <c r="AN435">
        <v>1.0000000071517701</v>
      </c>
    </row>
    <row r="436" spans="1:40" x14ac:dyDescent="0.25">
      <c r="A436" t="str">
        <f>"20190312172905688"</f>
        <v>20190312172905688</v>
      </c>
      <c r="B436" t="str">
        <f>"1552382945678159"</f>
        <v>1552382945678159</v>
      </c>
      <c r="C436" t="s">
        <v>40</v>
      </c>
      <c r="D436">
        <v>3.1981860000000002</v>
      </c>
      <c r="E436">
        <v>0.51423589999999997</v>
      </c>
      <c r="F436" t="s">
        <v>42</v>
      </c>
      <c r="G436">
        <v>-383.60759999999999</v>
      </c>
      <c r="H436">
        <v>1.043612</v>
      </c>
      <c r="I436">
        <v>367.25409999999999</v>
      </c>
      <c r="J436">
        <v>-384.26859999999999</v>
      </c>
      <c r="K436">
        <v>1.1098680000000001</v>
      </c>
      <c r="L436">
        <v>367.29469999999998</v>
      </c>
      <c r="M436">
        <v>0.99992420000000004</v>
      </c>
      <c r="N436">
        <v>0</v>
      </c>
      <c r="O436">
        <v>3.6992309999999999E-3</v>
      </c>
      <c r="P436">
        <v>0.98446619999999996</v>
      </c>
      <c r="Q436">
        <v>0.174071</v>
      </c>
      <c r="R436">
        <v>-2.293135E-2</v>
      </c>
      <c r="S436">
        <v>3.088104</v>
      </c>
      <c r="T436">
        <v>-0.25180039999999998</v>
      </c>
      <c r="U436">
        <v>-0.15142820000000001</v>
      </c>
      <c r="V436">
        <v>2.6581230000000001E-2</v>
      </c>
      <c r="W436">
        <v>0.1856207</v>
      </c>
      <c r="X436">
        <v>0.98226190000000002</v>
      </c>
      <c r="Y436">
        <v>5.2485820000000002E-2</v>
      </c>
      <c r="Z436">
        <v>-2.4359730000000001E-3</v>
      </c>
      <c r="AA436">
        <v>0.99861869999999997</v>
      </c>
      <c r="AB436">
        <v>29</v>
      </c>
      <c r="AC436">
        <v>0.66100000000000103</v>
      </c>
      <c r="AD436">
        <v>-6.6255999999999995E-2</v>
      </c>
      <c r="AE436">
        <v>-4.0599999999983503E-2</v>
      </c>
      <c r="AF436">
        <v>4.26184929212053E-2</v>
      </c>
      <c r="AG436">
        <v>-6.6255999999999995E-2</v>
      </c>
      <c r="AH436">
        <v>0.65429610439273</v>
      </c>
      <c r="AI436">
        <v>95.770088606611907</v>
      </c>
      <c r="AJ436">
        <v>86.273223818515802</v>
      </c>
      <c r="AK436">
        <v>0.65902168833686903</v>
      </c>
      <c r="AL436">
        <v>79.302677547183293</v>
      </c>
      <c r="AM436">
        <v>88.4498831843771</v>
      </c>
      <c r="AN436">
        <v>1.0000000231242001</v>
      </c>
    </row>
    <row r="437" spans="1:40" x14ac:dyDescent="0.25">
      <c r="A437" t="str">
        <f>"20190312172905708"</f>
        <v>20190312172905708</v>
      </c>
      <c r="B437" t="str">
        <f>"1552382945697679"</f>
        <v>1552382945697679</v>
      </c>
      <c r="C437" t="s">
        <v>40</v>
      </c>
      <c r="D437">
        <v>3.152393</v>
      </c>
      <c r="E437">
        <v>0.55558509999999905</v>
      </c>
      <c r="F437" t="s">
        <v>42</v>
      </c>
      <c r="G437">
        <v>-383.3562</v>
      </c>
      <c r="H437">
        <v>1.0358350000000001</v>
      </c>
      <c r="I437">
        <v>367.24959999999999</v>
      </c>
      <c r="J437">
        <v>-384.01549999999997</v>
      </c>
      <c r="K437">
        <v>1.1098730000000001</v>
      </c>
      <c r="L437">
        <v>367.29559999999998</v>
      </c>
      <c r="M437">
        <v>0.99992420000000004</v>
      </c>
      <c r="N437">
        <v>0</v>
      </c>
      <c r="O437">
        <v>3.6997520000000002E-3</v>
      </c>
      <c r="P437">
        <v>0.98440539999999999</v>
      </c>
      <c r="Q437">
        <v>0.17442460000000001</v>
      </c>
      <c r="R437">
        <v>-2.285541E-2</v>
      </c>
      <c r="S437">
        <v>3.0881349999999999</v>
      </c>
      <c r="T437">
        <v>-0.25089139999999999</v>
      </c>
      <c r="U437">
        <v>-0.15118409999999999</v>
      </c>
      <c r="V437">
        <v>2.650541E-2</v>
      </c>
      <c r="W437">
        <v>0.1859778</v>
      </c>
      <c r="X437">
        <v>0.98219639999999997</v>
      </c>
      <c r="Y437">
        <v>5.2408690000000001E-2</v>
      </c>
      <c r="Z437">
        <v>-2.4241050000000002E-3</v>
      </c>
      <c r="AA437">
        <v>0.99862280000000003</v>
      </c>
      <c r="AB437">
        <v>29</v>
      </c>
      <c r="AC437">
        <v>0.65929999999997302</v>
      </c>
      <c r="AD437">
        <v>-7.4037999999999798E-2</v>
      </c>
      <c r="AE437">
        <v>-4.59999999999922E-2</v>
      </c>
      <c r="AF437">
        <v>4.7838736860763502E-2</v>
      </c>
      <c r="AG437">
        <v>-7.4037999999999798E-2</v>
      </c>
      <c r="AH437">
        <v>0.65095596861666705</v>
      </c>
      <c r="AI437">
        <v>96.471482023703402</v>
      </c>
      <c r="AJ437">
        <v>85.796890501616801</v>
      </c>
      <c r="AK437">
        <v>0.65689713294099294</v>
      </c>
      <c r="AL437">
        <v>79.281854654910703</v>
      </c>
      <c r="AM437">
        <v>88.454199543682805</v>
      </c>
      <c r="AN437">
        <v>1.0000000235125299</v>
      </c>
    </row>
    <row r="438" spans="1:40" x14ac:dyDescent="0.25">
      <c r="A438" t="str">
        <f>"20190312172905731"</f>
        <v>20190312172905731</v>
      </c>
      <c r="B438" t="str">
        <f>"1552382945727935"</f>
        <v>1552382945727935</v>
      </c>
      <c r="C438" t="s">
        <v>40</v>
      </c>
      <c r="D438">
        <v>3.1609609999999999</v>
      </c>
      <c r="E438">
        <v>0.55863879999999999</v>
      </c>
      <c r="F438" t="s">
        <v>42</v>
      </c>
      <c r="G438">
        <v>-383.14280000000002</v>
      </c>
      <c r="H438">
        <v>0.94727910000000004</v>
      </c>
      <c r="I438">
        <v>367.1653</v>
      </c>
      <c r="J438">
        <v>-383.72739999999999</v>
      </c>
      <c r="K438">
        <v>1.1098760000000001</v>
      </c>
      <c r="L438">
        <v>367.29669999999999</v>
      </c>
      <c r="M438">
        <v>0.99992409999999998</v>
      </c>
      <c r="N438">
        <v>0</v>
      </c>
      <c r="O438">
        <v>3.7003909999999999E-3</v>
      </c>
      <c r="P438">
        <v>0.98437399999999997</v>
      </c>
      <c r="Q438">
        <v>0.1746201</v>
      </c>
      <c r="R438">
        <v>-2.2714370000000001E-2</v>
      </c>
      <c r="S438">
        <v>3.14032</v>
      </c>
      <c r="T438">
        <v>-0.58513269999999995</v>
      </c>
      <c r="U438">
        <v>-0.46783449999999999</v>
      </c>
      <c r="V438">
        <v>2.6364459999999999E-2</v>
      </c>
      <c r="W438">
        <v>0.1861778</v>
      </c>
      <c r="X438">
        <v>0.98216230000000004</v>
      </c>
      <c r="Y438">
        <v>0.1484471</v>
      </c>
      <c r="Z438">
        <v>-1.431868E-2</v>
      </c>
      <c r="AA438">
        <v>0.98881669999999999</v>
      </c>
      <c r="AB438">
        <v>29</v>
      </c>
      <c r="AC438">
        <v>0.58459999999996604</v>
      </c>
      <c r="AD438">
        <v>-0.16259689999999999</v>
      </c>
      <c r="AE438">
        <v>-0.131399999999985</v>
      </c>
      <c r="AF438">
        <v>0.124401796192512</v>
      </c>
      <c r="AG438">
        <v>-0.16259689999999999</v>
      </c>
      <c r="AH438">
        <v>0.54404717499128796</v>
      </c>
      <c r="AI438">
        <v>106.243266430795</v>
      </c>
      <c r="AJ438">
        <v>77.120178817558397</v>
      </c>
      <c r="AK438">
        <v>0.58129242847428797</v>
      </c>
      <c r="AL438">
        <v>79.270191777830902</v>
      </c>
      <c r="AM438">
        <v>88.462362459150398</v>
      </c>
      <c r="AN438">
        <v>1.0000000207526101</v>
      </c>
    </row>
    <row r="439" spans="1:40" x14ac:dyDescent="0.25">
      <c r="A439" t="str">
        <f>"20190312172905751"</f>
        <v>20190312172905751</v>
      </c>
      <c r="B439" t="str">
        <f>"1552382945748431"</f>
        <v>1552382945748431</v>
      </c>
      <c r="C439" t="s">
        <v>40</v>
      </c>
      <c r="D439">
        <v>3.1497660000000001</v>
      </c>
      <c r="E439">
        <v>0.55988680000000002</v>
      </c>
      <c r="F439" t="s">
        <v>42</v>
      </c>
      <c r="G439">
        <v>-382.88810000000001</v>
      </c>
      <c r="H439">
        <v>0.94579340000000001</v>
      </c>
      <c r="I439">
        <v>367.16520000000003</v>
      </c>
      <c r="J439">
        <v>-383.47559999999999</v>
      </c>
      <c r="K439">
        <v>1.1098790000000001</v>
      </c>
      <c r="L439">
        <v>367.29759999999999</v>
      </c>
      <c r="M439">
        <v>0.99992409999999998</v>
      </c>
      <c r="N439">
        <v>0</v>
      </c>
      <c r="O439">
        <v>3.7010340000000002E-3</v>
      </c>
      <c r="P439">
        <v>0.98438009999999998</v>
      </c>
      <c r="Q439">
        <v>0.17458950000000001</v>
      </c>
      <c r="R439">
        <v>-2.267303E-2</v>
      </c>
      <c r="S439">
        <v>3.1453549999999999</v>
      </c>
      <c r="T439">
        <v>-0.61501240000000001</v>
      </c>
      <c r="U439">
        <v>-0.49078369999999999</v>
      </c>
      <c r="V439">
        <v>2.6323820000000001E-2</v>
      </c>
      <c r="W439">
        <v>0.1861506</v>
      </c>
      <c r="X439">
        <v>0.9821685</v>
      </c>
      <c r="Y439">
        <v>0.154892</v>
      </c>
      <c r="Z439">
        <v>-1.5626049999999999E-2</v>
      </c>
      <c r="AA439">
        <v>0.98780780000000001</v>
      </c>
      <c r="AB439">
        <v>29</v>
      </c>
      <c r="AC439">
        <v>0.58749999999997704</v>
      </c>
      <c r="AD439">
        <v>-0.164085599999999</v>
      </c>
      <c r="AE439">
        <v>-0.13239999999996099</v>
      </c>
      <c r="AF439">
        <v>0.12527386489647699</v>
      </c>
      <c r="AG439">
        <v>-0.164085599999999</v>
      </c>
      <c r="AH439">
        <v>0.54644076217605897</v>
      </c>
      <c r="AI439">
        <v>106.31410404998999</v>
      </c>
      <c r="AJ439">
        <v>77.087823874457399</v>
      </c>
      <c r="AK439">
        <v>0.58413622719448999</v>
      </c>
      <c r="AL439">
        <v>79.271777464417994</v>
      </c>
      <c r="AM439">
        <v>88.464741231466405</v>
      </c>
      <c r="AN439">
        <v>0.99999997588600098</v>
      </c>
    </row>
    <row r="440" spans="1:40" x14ac:dyDescent="0.25">
      <c r="A440" t="str">
        <f>"20190312172905763"</f>
        <v>20190312172905763</v>
      </c>
      <c r="B440" t="str">
        <f>"1552382945758192"</f>
        <v>1552382945758192</v>
      </c>
      <c r="C440" t="s">
        <v>40</v>
      </c>
      <c r="D440">
        <v>3.2313369999999999</v>
      </c>
      <c r="E440">
        <v>0.56018849999999998</v>
      </c>
      <c r="F440" t="s">
        <v>42</v>
      </c>
      <c r="G440">
        <v>-382.63440000000003</v>
      </c>
      <c r="H440">
        <v>0.94231240000000005</v>
      </c>
      <c r="I440">
        <v>367.16390000000001</v>
      </c>
      <c r="J440">
        <v>-383.32170000000002</v>
      </c>
      <c r="K440">
        <v>1.1098809999999999</v>
      </c>
      <c r="L440">
        <v>367.29820000000001</v>
      </c>
      <c r="M440">
        <v>0.99992409999999998</v>
      </c>
      <c r="N440">
        <v>0</v>
      </c>
      <c r="O440">
        <v>3.7013829999999999E-3</v>
      </c>
      <c r="P440">
        <v>0.9843499</v>
      </c>
      <c r="Q440">
        <v>0.17473749999999999</v>
      </c>
      <c r="R440">
        <v>-2.2850390000000002E-2</v>
      </c>
      <c r="S440">
        <v>3.1472470000000001</v>
      </c>
      <c r="T440">
        <v>-0.62685389999999996</v>
      </c>
      <c r="U440">
        <v>-0.50018309999999999</v>
      </c>
      <c r="V440">
        <v>2.6501139999999999E-2</v>
      </c>
      <c r="W440">
        <v>0.18629960000000001</v>
      </c>
      <c r="X440">
        <v>0.98213550000000005</v>
      </c>
      <c r="Y440">
        <v>0.157522</v>
      </c>
      <c r="Z440">
        <v>-1.6166280000000002E-2</v>
      </c>
      <c r="AA440">
        <v>0.98738309999999996</v>
      </c>
      <c r="AB440">
        <v>29</v>
      </c>
      <c r="AC440">
        <v>0.68729999999999303</v>
      </c>
      <c r="AD440">
        <v>-0.16756859999999901</v>
      </c>
      <c r="AE440">
        <v>-0.13429999999999601</v>
      </c>
      <c r="AF440">
        <v>0.12943246386737101</v>
      </c>
      <c r="AG440">
        <v>-0.16756859999999901</v>
      </c>
      <c r="AH440">
        <v>0.649604567265191</v>
      </c>
      <c r="AI440">
        <v>104.19693501898</v>
      </c>
      <c r="AJ440">
        <v>78.731498266579493</v>
      </c>
      <c r="AK440">
        <v>0.68324087423143398</v>
      </c>
      <c r="AL440">
        <v>79.263088613214805</v>
      </c>
      <c r="AM440">
        <v>88.454352660417698</v>
      </c>
      <c r="AN440">
        <v>0.99999999587085497</v>
      </c>
    </row>
    <row r="441" spans="1:40" x14ac:dyDescent="0.25">
      <c r="A441" t="str">
        <f>"20190312172905773"</f>
        <v>20190312172905773</v>
      </c>
      <c r="B441" t="str">
        <f>"1552382945767952"</f>
        <v>1552382945767952</v>
      </c>
      <c r="C441" t="s">
        <v>40</v>
      </c>
      <c r="D441">
        <v>3.2278920000000002</v>
      </c>
      <c r="E441">
        <v>0.56050710000000004</v>
      </c>
      <c r="F441" t="s">
        <v>42</v>
      </c>
      <c r="G441">
        <v>-382.62200000000001</v>
      </c>
      <c r="H441">
        <v>0.96991519999999998</v>
      </c>
      <c r="I441">
        <v>367.18630000000002</v>
      </c>
      <c r="J441">
        <v>-383.1848</v>
      </c>
      <c r="K441">
        <v>1.10988</v>
      </c>
      <c r="L441">
        <v>367.2987</v>
      </c>
      <c r="M441">
        <v>0.99992409999999998</v>
      </c>
      <c r="N441">
        <v>0</v>
      </c>
      <c r="O441">
        <v>3.7015529999999998E-3</v>
      </c>
      <c r="P441">
        <v>0.98431179999999996</v>
      </c>
      <c r="Q441">
        <v>0.17496779999999901</v>
      </c>
      <c r="R441">
        <v>-2.2733840000000002E-2</v>
      </c>
      <c r="S441">
        <v>3.1477970000000002</v>
      </c>
      <c r="T441">
        <v>-0.62966420000000001</v>
      </c>
      <c r="U441">
        <v>-0.50347900000000001</v>
      </c>
      <c r="V441">
        <v>2.638447E-2</v>
      </c>
      <c r="W441">
        <v>0.18653149999999999</v>
      </c>
      <c r="X441">
        <v>0.98209460000000004</v>
      </c>
      <c r="Y441">
        <v>0.15845960000000001</v>
      </c>
      <c r="Z441">
        <v>-1.632567E-2</v>
      </c>
      <c r="AA441">
        <v>0.98723050000000001</v>
      </c>
      <c r="AB441">
        <v>29</v>
      </c>
      <c r="AC441">
        <v>0.56280000000003805</v>
      </c>
      <c r="AD441">
        <v>-0.1399648</v>
      </c>
      <c r="AE441">
        <v>-0.112399999999979</v>
      </c>
      <c r="AF441">
        <v>0.10805585071085</v>
      </c>
      <c r="AG441">
        <v>-0.1399648</v>
      </c>
      <c r="AH441">
        <v>0.530809500775973</v>
      </c>
      <c r="AI441">
        <v>104.487372039848</v>
      </c>
      <c r="AJ441">
        <v>78.493632175192701</v>
      </c>
      <c r="AK441">
        <v>0.55948631638845503</v>
      </c>
      <c r="AL441">
        <v>79.249564401185097</v>
      </c>
      <c r="AM441">
        <v>88.461089964251798</v>
      </c>
      <c r="AN441">
        <v>0.99999997204929503</v>
      </c>
    </row>
    <row r="442" spans="1:40" x14ac:dyDescent="0.25">
      <c r="A442" t="str">
        <f>"20190312172905786"</f>
        <v>20190312172905786</v>
      </c>
      <c r="B442" t="str">
        <f>"1552382945777711"</f>
        <v>1552382945777711</v>
      </c>
      <c r="C442" t="s">
        <v>40</v>
      </c>
      <c r="D442">
        <v>3.1361659999999998</v>
      </c>
      <c r="E442">
        <v>0.56093040000000005</v>
      </c>
      <c r="F442" t="s">
        <v>42</v>
      </c>
      <c r="G442">
        <v>-382.3766</v>
      </c>
      <c r="H442">
        <v>0.94774080000000005</v>
      </c>
      <c r="I442">
        <v>367.1687</v>
      </c>
      <c r="J442">
        <v>-383.02809999999999</v>
      </c>
      <c r="K442">
        <v>1.1098790000000001</v>
      </c>
      <c r="L442">
        <v>367.29930000000002</v>
      </c>
      <c r="M442">
        <v>0.99992389999999998</v>
      </c>
      <c r="N442">
        <v>0</v>
      </c>
      <c r="O442">
        <v>3.7018419999999999E-3</v>
      </c>
      <c r="P442">
        <v>0.98430930000000005</v>
      </c>
      <c r="Q442">
        <v>0.17493979999999901</v>
      </c>
      <c r="R442">
        <v>-2.3046629999999999E-2</v>
      </c>
      <c r="S442">
        <v>3.1484380000000001</v>
      </c>
      <c r="T442">
        <v>-0.63174370000000002</v>
      </c>
      <c r="U442">
        <v>-0.50546259999999998</v>
      </c>
      <c r="V442">
        <v>2.6697680000000001E-2</v>
      </c>
      <c r="W442">
        <v>0.1865048</v>
      </c>
      <c r="X442">
        <v>0.98209120000000005</v>
      </c>
      <c r="Y442">
        <v>0.15900549999999999</v>
      </c>
      <c r="Z442">
        <v>-1.6428479999999999E-2</v>
      </c>
      <c r="AA442">
        <v>0.98714100000000005</v>
      </c>
      <c r="AB442">
        <v>29</v>
      </c>
      <c r="AC442">
        <v>0.65149999999999797</v>
      </c>
      <c r="AD442">
        <v>-0.16213819999999901</v>
      </c>
      <c r="AE442">
        <v>-0.13060000000001501</v>
      </c>
      <c r="AF442">
        <v>0.12553620594123699</v>
      </c>
      <c r="AG442">
        <v>-0.16213819999999901</v>
      </c>
      <c r="AH442">
        <v>0.61442713843670904</v>
      </c>
      <c r="AI442">
        <v>104.49604582620501</v>
      </c>
      <c r="AJ442">
        <v>78.4525860996918</v>
      </c>
      <c r="AK442">
        <v>0.64774133984861904</v>
      </c>
      <c r="AL442">
        <v>79.251121456025302</v>
      </c>
      <c r="AM442">
        <v>88.442825119148296</v>
      </c>
      <c r="AN442">
        <v>0.99999996582893003</v>
      </c>
    </row>
    <row r="443" spans="1:40" x14ac:dyDescent="0.25">
      <c r="A443" t="str">
        <f>"20190312172905797"</f>
        <v>20190312172905797</v>
      </c>
      <c r="B443" t="str">
        <f>"1552382945788447"</f>
        <v>1552382945788447</v>
      </c>
      <c r="C443" t="s">
        <v>40</v>
      </c>
      <c r="D443">
        <v>3.163656</v>
      </c>
      <c r="E443">
        <v>0.56120340000000002</v>
      </c>
      <c r="F443" t="s">
        <v>42</v>
      </c>
      <c r="G443">
        <v>-382.12920000000003</v>
      </c>
      <c r="H443">
        <v>0.92892920000000001</v>
      </c>
      <c r="I443">
        <v>367.15370000000001</v>
      </c>
      <c r="J443">
        <v>-382.87939999999998</v>
      </c>
      <c r="K443">
        <v>1.10988</v>
      </c>
      <c r="L443">
        <v>367.2998</v>
      </c>
      <c r="M443">
        <v>0.99992400000000004</v>
      </c>
      <c r="N443">
        <v>0</v>
      </c>
      <c r="O443">
        <v>3.7020120000000002E-3</v>
      </c>
      <c r="P443">
        <v>0.98434849999999996</v>
      </c>
      <c r="Q443">
        <v>0.17469570000000001</v>
      </c>
      <c r="R443">
        <v>-2.3225030000000001E-2</v>
      </c>
      <c r="S443">
        <v>3.1485599999999998</v>
      </c>
      <c r="T443">
        <v>-0.63389799999999996</v>
      </c>
      <c r="U443">
        <v>-0.50891109999999995</v>
      </c>
      <c r="V443">
        <v>2.687639E-2</v>
      </c>
      <c r="W443">
        <v>0.18626309999999999</v>
      </c>
      <c r="X443">
        <v>0.98213229999999996</v>
      </c>
      <c r="Y443">
        <v>0.16001319999999999</v>
      </c>
      <c r="Z443">
        <v>-1.6581249999999999E-2</v>
      </c>
      <c r="AA443">
        <v>0.98697559999999995</v>
      </c>
      <c r="AB443">
        <v>29</v>
      </c>
      <c r="AC443">
        <v>0.75019999999994902</v>
      </c>
      <c r="AD443">
        <v>-0.18095079999999999</v>
      </c>
      <c r="AE443">
        <v>-0.14609999999998899</v>
      </c>
      <c r="AF443">
        <v>0.14097437954476499</v>
      </c>
      <c r="AG443">
        <v>-0.18095079999999999</v>
      </c>
      <c r="AH443">
        <v>0.70986383990949098</v>
      </c>
      <c r="AI443">
        <v>104.037667054141</v>
      </c>
      <c r="AJ443">
        <v>78.767572753741504</v>
      </c>
      <c r="AK443">
        <v>0.74600511990181395</v>
      </c>
      <c r="AL443">
        <v>79.2652179578632</v>
      </c>
      <c r="AM443">
        <v>88.432472390634004</v>
      </c>
      <c r="AN443">
        <v>1.00000006873216</v>
      </c>
    </row>
    <row r="444" spans="1:40" x14ac:dyDescent="0.25">
      <c r="A444" t="str">
        <f>"20190312172905807"</f>
        <v>20190312172905807</v>
      </c>
      <c r="B444" t="str">
        <f>"1552382945798208"</f>
        <v>1552382945798208</v>
      </c>
      <c r="C444" t="s">
        <v>40</v>
      </c>
      <c r="D444">
        <v>3.2293319999999999</v>
      </c>
      <c r="E444">
        <v>0.56146160000000001</v>
      </c>
      <c r="F444" t="s">
        <v>42</v>
      </c>
      <c r="G444">
        <v>-382.11759999999998</v>
      </c>
      <c r="H444">
        <v>0.95581950000000004</v>
      </c>
      <c r="I444">
        <v>367.17579999999998</v>
      </c>
      <c r="J444">
        <v>-382.74110000000002</v>
      </c>
      <c r="K444">
        <v>1.1098809999999999</v>
      </c>
      <c r="L444">
        <v>367.30029999999999</v>
      </c>
      <c r="M444">
        <v>0.99992389999999998</v>
      </c>
      <c r="N444">
        <v>0</v>
      </c>
      <c r="O444">
        <v>3.7023619999999998E-3</v>
      </c>
      <c r="P444">
        <v>0.98436990000000002</v>
      </c>
      <c r="Q444">
        <v>0.174558399999999</v>
      </c>
      <c r="R444">
        <v>-2.3349330000000001E-2</v>
      </c>
      <c r="S444">
        <v>3.1486510000000001</v>
      </c>
      <c r="T444">
        <v>-0.63687340000000003</v>
      </c>
      <c r="U444">
        <v>-0.51162719999999995</v>
      </c>
      <c r="V444">
        <v>2.7000969999999999E-2</v>
      </c>
      <c r="W444">
        <v>0.18612670000000001</v>
      </c>
      <c r="X444">
        <v>0.98215469999999905</v>
      </c>
      <c r="Y444">
        <v>0.16079399999999999</v>
      </c>
      <c r="Z444">
        <v>-1.673374E-2</v>
      </c>
      <c r="AA444">
        <v>0.98684609999999995</v>
      </c>
      <c r="AB444">
        <v>29</v>
      </c>
      <c r="AC444">
        <v>0.62350000000003503</v>
      </c>
      <c r="AD444">
        <v>-0.15406149999999899</v>
      </c>
      <c r="AE444">
        <v>-0.124500000000011</v>
      </c>
      <c r="AF444">
        <v>0.119775339289115</v>
      </c>
      <c r="AG444">
        <v>-0.15406149999999899</v>
      </c>
      <c r="AH444">
        <v>0.58848304499374005</v>
      </c>
      <c r="AI444">
        <v>104.38808343261699</v>
      </c>
      <c r="AJ444">
        <v>78.495595607080404</v>
      </c>
      <c r="AK444">
        <v>0.61999465475855198</v>
      </c>
      <c r="AL444">
        <v>79.273171754350599</v>
      </c>
      <c r="AM444">
        <v>88.425245986007496</v>
      </c>
      <c r="AN444">
        <v>1.0000000277829599</v>
      </c>
    </row>
    <row r="445" spans="1:40" x14ac:dyDescent="0.25">
      <c r="A445" t="str">
        <f>"20190312172905819"</f>
        <v>20190312172905819</v>
      </c>
      <c r="B445" t="str">
        <f>"1552382945807968"</f>
        <v>1552382945807968</v>
      </c>
      <c r="C445" t="s">
        <v>40</v>
      </c>
      <c r="D445">
        <v>3.228774</v>
      </c>
      <c r="E445">
        <v>0.56178680000000003</v>
      </c>
      <c r="F445" t="s">
        <v>42</v>
      </c>
      <c r="G445">
        <v>-381.87189999999998</v>
      </c>
      <c r="H445">
        <v>0.93372560000000004</v>
      </c>
      <c r="I445">
        <v>367.15809999999999</v>
      </c>
      <c r="J445">
        <v>-382.59480000000002</v>
      </c>
      <c r="K445">
        <v>1.10988</v>
      </c>
      <c r="L445">
        <v>367.30090000000001</v>
      </c>
      <c r="M445">
        <v>0.99992400000000004</v>
      </c>
      <c r="N445">
        <v>0</v>
      </c>
      <c r="O445">
        <v>3.7025320000000001E-3</v>
      </c>
      <c r="P445">
        <v>0.98438199999999998</v>
      </c>
      <c r="Q445">
        <v>0.17447319999999999</v>
      </c>
      <c r="R445">
        <v>-2.3482610000000001E-2</v>
      </c>
      <c r="S445">
        <v>3.148682</v>
      </c>
      <c r="T445">
        <v>-0.63821600000000001</v>
      </c>
      <c r="U445">
        <v>-0.51348879999999997</v>
      </c>
      <c r="V445">
        <v>2.7134450000000001E-2</v>
      </c>
      <c r="W445">
        <v>0.18604380000000001</v>
      </c>
      <c r="X445">
        <v>0.98216669999999995</v>
      </c>
      <c r="Y445">
        <v>0.16133719999999999</v>
      </c>
      <c r="Z445">
        <v>-1.6821590000000001E-2</v>
      </c>
      <c r="AA445">
        <v>0.98675599999999997</v>
      </c>
      <c r="AB445">
        <v>29</v>
      </c>
      <c r="AC445">
        <v>0.72290000000003796</v>
      </c>
      <c r="AD445">
        <v>-0.17615439999999999</v>
      </c>
      <c r="AE445">
        <v>-0.14280000000002199</v>
      </c>
      <c r="AF445">
        <v>0.13761145439356101</v>
      </c>
      <c r="AG445">
        <v>-0.17615439999999999</v>
      </c>
      <c r="AH445">
        <v>0.68331570003883002</v>
      </c>
      <c r="AI445">
        <v>104.182811958957</v>
      </c>
      <c r="AJ445">
        <v>78.613630446901695</v>
      </c>
      <c r="AK445">
        <v>0.718948976589596</v>
      </c>
      <c r="AL445">
        <v>79.278005712603701</v>
      </c>
      <c r="AM445">
        <v>88.417484422809395</v>
      </c>
      <c r="AN445">
        <v>1.0000000002420599</v>
      </c>
    </row>
    <row r="446" spans="1:40" x14ac:dyDescent="0.25">
      <c r="A446" t="str">
        <f>"20190312172905832"</f>
        <v>20190312172905832</v>
      </c>
      <c r="B446" t="str">
        <f>"1552382945828464"</f>
        <v>1552382945828464</v>
      </c>
      <c r="C446" t="s">
        <v>40</v>
      </c>
      <c r="D446">
        <v>3.2268319999999999</v>
      </c>
      <c r="E446">
        <v>0.56223089999999998</v>
      </c>
      <c r="F446" t="s">
        <v>42</v>
      </c>
      <c r="G446">
        <v>-381.86</v>
      </c>
      <c r="H446">
        <v>0.96060120000000004</v>
      </c>
      <c r="I446">
        <v>367.17989999999998</v>
      </c>
      <c r="J446">
        <v>-382.43900000000002</v>
      </c>
      <c r="K446">
        <v>1.10988</v>
      </c>
      <c r="L446">
        <v>367.30149999999998</v>
      </c>
      <c r="M446">
        <v>0.99992389999999998</v>
      </c>
      <c r="N446">
        <v>0</v>
      </c>
      <c r="O446">
        <v>3.7028209999999998E-3</v>
      </c>
      <c r="P446">
        <v>0.98435850000000003</v>
      </c>
      <c r="Q446">
        <v>0.1746017</v>
      </c>
      <c r="R446">
        <v>-2.3506389999999999E-2</v>
      </c>
      <c r="S446">
        <v>3.148682</v>
      </c>
      <c r="T446">
        <v>-0.63983990000000002</v>
      </c>
      <c r="U446">
        <v>-0.51660159999999999</v>
      </c>
      <c r="V446">
        <v>2.715855E-2</v>
      </c>
      <c r="W446">
        <v>0.18617310000000001</v>
      </c>
      <c r="X446">
        <v>0.98214159999999995</v>
      </c>
      <c r="Y446">
        <v>0.16225329999999999</v>
      </c>
      <c r="Z446">
        <v>-1.6953860000000001E-2</v>
      </c>
      <c r="AA446">
        <v>0.98660349999999997</v>
      </c>
      <c r="AB446">
        <v>29</v>
      </c>
      <c r="AC446">
        <v>0.57900000000000695</v>
      </c>
      <c r="AD446">
        <v>-0.14927879999999999</v>
      </c>
      <c r="AE446">
        <v>-0.1216</v>
      </c>
      <c r="AF446">
        <v>0.11633678138906201</v>
      </c>
      <c r="AG446">
        <v>-0.14927879999999999</v>
      </c>
      <c r="AH446">
        <v>0.54391774780234003</v>
      </c>
      <c r="AI446">
        <v>105.023071541375</v>
      </c>
      <c r="AJ446">
        <v>77.927101922428605</v>
      </c>
      <c r="AK446">
        <v>0.57590357110177404</v>
      </c>
      <c r="AL446">
        <v>79.270466353592894</v>
      </c>
      <c r="AM446">
        <v>88.416039137206596</v>
      </c>
      <c r="AN446">
        <v>1.0000000662261299</v>
      </c>
    </row>
    <row r="447" spans="1:40" x14ac:dyDescent="0.25">
      <c r="A447" t="str">
        <f>"20190312172905851"</f>
        <v>20190312172905851</v>
      </c>
      <c r="B447" t="str">
        <f>"1552382945847983"</f>
        <v>1552382945847983</v>
      </c>
      <c r="C447" t="s">
        <v>40</v>
      </c>
      <c r="D447">
        <v>3.1429999999999998</v>
      </c>
      <c r="E447">
        <v>0.56259040000000005</v>
      </c>
      <c r="F447" t="s">
        <v>42</v>
      </c>
      <c r="G447">
        <v>-381.613</v>
      </c>
      <c r="H447">
        <v>0.94151399999999996</v>
      </c>
      <c r="I447">
        <v>367.16500000000002</v>
      </c>
      <c r="J447">
        <v>-382.19130000000001</v>
      </c>
      <c r="K447">
        <v>1.1098790000000001</v>
      </c>
      <c r="L447">
        <v>367.30239999999998</v>
      </c>
      <c r="M447">
        <v>0.99992389999999998</v>
      </c>
      <c r="N447">
        <v>0</v>
      </c>
      <c r="O447">
        <v>3.702987E-3</v>
      </c>
      <c r="P447">
        <v>0.98438159999999997</v>
      </c>
      <c r="Q447">
        <v>0.17441129999999999</v>
      </c>
      <c r="R447">
        <v>-2.3962629999999999E-2</v>
      </c>
      <c r="S447">
        <v>3.1491389999999999</v>
      </c>
      <c r="T447">
        <v>-0.64187819999999995</v>
      </c>
      <c r="U447">
        <v>-0.52023319999999995</v>
      </c>
      <c r="V447">
        <v>2.7614699999999999E-2</v>
      </c>
      <c r="W447">
        <v>0.18598519999999999</v>
      </c>
      <c r="X447">
        <v>0.98216440000000005</v>
      </c>
      <c r="Y447">
        <v>0.1632981</v>
      </c>
      <c r="Z447">
        <v>-1.7107609999999999E-2</v>
      </c>
      <c r="AA447">
        <v>0.98642839999999998</v>
      </c>
      <c r="AB447">
        <v>29</v>
      </c>
      <c r="AC447">
        <v>0.57829999999995596</v>
      </c>
      <c r="AD447">
        <v>-0.16836499999999999</v>
      </c>
      <c r="AE447">
        <v>-0.137399999999956</v>
      </c>
      <c r="AF447">
        <v>0.12917653921599001</v>
      </c>
      <c r="AG447">
        <v>-0.16836499999999999</v>
      </c>
      <c r="AH447">
        <v>0.534873210930639</v>
      </c>
      <c r="AI447">
        <v>107.012992802082</v>
      </c>
      <c r="AJ447">
        <v>76.422559953933302</v>
      </c>
      <c r="AK447">
        <v>0.57543262271101103</v>
      </c>
      <c r="AL447">
        <v>79.281422746477205</v>
      </c>
      <c r="AM447">
        <v>88.389486486224698</v>
      </c>
      <c r="AN447">
        <v>0.99999998745124496</v>
      </c>
    </row>
    <row r="448" spans="1:40" x14ac:dyDescent="0.25">
      <c r="A448" t="str">
        <f>"20190312172905863"</f>
        <v>20190312172905863</v>
      </c>
      <c r="B448" t="str">
        <f>"1552382945857743"</f>
        <v>1552382945857743</v>
      </c>
      <c r="C448" t="s">
        <v>40</v>
      </c>
      <c r="D448">
        <v>3.183389</v>
      </c>
      <c r="E448">
        <v>0.57557609999999904</v>
      </c>
      <c r="F448" t="s">
        <v>42</v>
      </c>
      <c r="G448">
        <v>-381.35820000000001</v>
      </c>
      <c r="H448">
        <v>0.93969139999999995</v>
      </c>
      <c r="I448">
        <v>367.16340000000002</v>
      </c>
      <c r="J448">
        <v>-382.03919999999999</v>
      </c>
      <c r="K448">
        <v>1.10988</v>
      </c>
      <c r="L448">
        <v>367.30290000000002</v>
      </c>
      <c r="M448">
        <v>0.99992389999999998</v>
      </c>
      <c r="N448">
        <v>0</v>
      </c>
      <c r="O448">
        <v>3.7031590000000001E-3</v>
      </c>
      <c r="P448">
        <v>0.98436140000000005</v>
      </c>
      <c r="Q448">
        <v>0.17452709999999999</v>
      </c>
      <c r="R448">
        <v>-2.3941899999999999E-2</v>
      </c>
      <c r="S448">
        <v>3.1488339999999999</v>
      </c>
      <c r="T448">
        <v>-0.64341870000000001</v>
      </c>
      <c r="U448">
        <v>-0.52413940000000003</v>
      </c>
      <c r="V448">
        <v>2.759433E-2</v>
      </c>
      <c r="W448">
        <v>0.18610189999999999</v>
      </c>
      <c r="X448">
        <v>0.98214290000000004</v>
      </c>
      <c r="Y448">
        <v>0.16446529999999901</v>
      </c>
      <c r="Z448">
        <v>-1.726507E-2</v>
      </c>
      <c r="AA448">
        <v>0.98623170000000004</v>
      </c>
      <c r="AB448">
        <v>29</v>
      </c>
      <c r="AC448">
        <v>0.68099999999998295</v>
      </c>
      <c r="AD448">
        <v>-0.170188599999999</v>
      </c>
      <c r="AE448">
        <v>-0.13949999999999799</v>
      </c>
      <c r="AF448">
        <v>0.13398975709793101</v>
      </c>
      <c r="AG448">
        <v>-0.170188599999999</v>
      </c>
      <c r="AH448">
        <v>0.64199753360431799</v>
      </c>
      <c r="AI448">
        <v>104.54741973808601</v>
      </c>
      <c r="AJ448">
        <v>78.211161341603002</v>
      </c>
      <c r="AK448">
        <v>0.67755313277347495</v>
      </c>
      <c r="AL448">
        <v>79.274617874463601</v>
      </c>
      <c r="AM448">
        <v>88.390638646430602</v>
      </c>
      <c r="AN448">
        <v>1.0000000201260799</v>
      </c>
    </row>
    <row r="449" spans="1:40" x14ac:dyDescent="0.25">
      <c r="A449" t="str">
        <f>"20190312172905875"</f>
        <v>20190312172905875</v>
      </c>
      <c r="B449" t="str">
        <f>"1552382945867503"</f>
        <v>1552382945867503</v>
      </c>
      <c r="C449" t="s">
        <v>40</v>
      </c>
      <c r="D449">
        <v>3.1435620000000002</v>
      </c>
      <c r="E449">
        <v>0.57548679999999997</v>
      </c>
      <c r="F449" t="s">
        <v>42</v>
      </c>
      <c r="G449">
        <v>-381.11689999999999</v>
      </c>
      <c r="H449">
        <v>0.90132179999999995</v>
      </c>
      <c r="I449">
        <v>367.12040000000002</v>
      </c>
      <c r="J449">
        <v>-381.88200000000001</v>
      </c>
      <c r="K449">
        <v>1.109885</v>
      </c>
      <c r="L449">
        <v>367.30349999999999</v>
      </c>
      <c r="M449">
        <v>0.99992380000000003</v>
      </c>
      <c r="N449">
        <v>0</v>
      </c>
      <c r="O449">
        <v>3.7033299999999999E-3</v>
      </c>
      <c r="P449">
        <v>0.9843537</v>
      </c>
      <c r="Q449">
        <v>0.17456099999999999</v>
      </c>
      <c r="R449">
        <v>-2.4004259999999999E-2</v>
      </c>
      <c r="S449">
        <v>3.159119</v>
      </c>
      <c r="T449">
        <v>-0.71440009999999998</v>
      </c>
      <c r="U449">
        <v>-0.62509159999999997</v>
      </c>
      <c r="V449">
        <v>2.7656770000000001E-2</v>
      </c>
      <c r="W449">
        <v>0.186137</v>
      </c>
      <c r="X449">
        <v>0.98213450000000002</v>
      </c>
      <c r="Y449">
        <v>0.19295570000000001</v>
      </c>
      <c r="Z449">
        <v>-2.2165480000000001E-2</v>
      </c>
      <c r="AA449">
        <v>0.98095710000000003</v>
      </c>
      <c r="AB449">
        <v>29</v>
      </c>
      <c r="AC449">
        <v>0.76509999999996103</v>
      </c>
      <c r="AD449">
        <v>-0.208563199999999</v>
      </c>
      <c r="AE449">
        <v>-0.18309999999996701</v>
      </c>
      <c r="AF449">
        <v>0.17372255833176201</v>
      </c>
      <c r="AG449">
        <v>-0.208563199999999</v>
      </c>
      <c r="AH449">
        <v>0.71421893936953496</v>
      </c>
      <c r="AI449">
        <v>105.84091174986099</v>
      </c>
      <c r="AJ449">
        <v>76.329175551254394</v>
      </c>
      <c r="AK449">
        <v>0.76405944076473298</v>
      </c>
      <c r="AL449">
        <v>79.272571112664195</v>
      </c>
      <c r="AM449">
        <v>88.386985143045706</v>
      </c>
      <c r="AN449">
        <v>1.0000000278930401</v>
      </c>
    </row>
    <row r="450" spans="1:40" x14ac:dyDescent="0.25">
      <c r="A450" t="str">
        <f>"20190312172905887"</f>
        <v>20190312172905887</v>
      </c>
      <c r="B450" t="str">
        <f>"1552382945878240"</f>
        <v>1552382945878240</v>
      </c>
      <c r="C450" t="s">
        <v>40</v>
      </c>
      <c r="D450">
        <v>3.2110129999999999</v>
      </c>
      <c r="E450">
        <v>0.57662919999999995</v>
      </c>
      <c r="F450" t="s">
        <v>42</v>
      </c>
      <c r="G450">
        <v>-381.10449999999997</v>
      </c>
      <c r="H450">
        <v>0.93423350000000005</v>
      </c>
      <c r="I450">
        <v>367.1497</v>
      </c>
      <c r="J450">
        <v>-381.7303</v>
      </c>
      <c r="K450">
        <v>1.1098859999999999</v>
      </c>
      <c r="L450">
        <v>367.30410000000001</v>
      </c>
      <c r="M450">
        <v>0.99992380000000003</v>
      </c>
      <c r="N450">
        <v>0</v>
      </c>
      <c r="O450">
        <v>3.7031450000000001E-3</v>
      </c>
      <c r="P450">
        <v>0.98435839999999997</v>
      </c>
      <c r="Q450">
        <v>0.17453460000000001</v>
      </c>
      <c r="R450">
        <v>-2.4010719999999999E-2</v>
      </c>
      <c r="S450">
        <v>3.159027</v>
      </c>
      <c r="T450">
        <v>-0.71357419999999905</v>
      </c>
      <c r="U450">
        <v>-0.62475590000000003</v>
      </c>
      <c r="V450">
        <v>2.7663159999999999E-2</v>
      </c>
      <c r="W450">
        <v>0.18611179999999999</v>
      </c>
      <c r="X450">
        <v>0.98213910000000004</v>
      </c>
      <c r="Y450">
        <v>0.19287309999999999</v>
      </c>
      <c r="Z450">
        <v>-2.2132140000000002E-2</v>
      </c>
      <c r="AA450">
        <v>0.98097409999999996</v>
      </c>
      <c r="AB450">
        <v>29</v>
      </c>
      <c r="AC450">
        <v>0.625800000000026</v>
      </c>
      <c r="AD450">
        <v>-0.17565249999999999</v>
      </c>
      <c r="AE450">
        <v>-0.154400000000009</v>
      </c>
      <c r="AF450">
        <v>0.14588279283771699</v>
      </c>
      <c r="AG450">
        <v>-0.17565249999999999</v>
      </c>
      <c r="AH450">
        <v>0.58200248013302502</v>
      </c>
      <c r="AI450">
        <v>106.317425864067</v>
      </c>
      <c r="AJ450">
        <v>75.928351785804693</v>
      </c>
      <c r="AK450">
        <v>0.625189952641095</v>
      </c>
      <c r="AL450">
        <v>79.274040690626705</v>
      </c>
      <c r="AM450">
        <v>88.386620211109602</v>
      </c>
      <c r="AN450">
        <v>1.0000000321346101</v>
      </c>
    </row>
    <row r="451" spans="1:40" x14ac:dyDescent="0.25">
      <c r="A451" t="str">
        <f>"20190312172905899"</f>
        <v>20190312172905899</v>
      </c>
      <c r="B451" t="str">
        <f>"1552382945887999"</f>
        <v>1552382945887999</v>
      </c>
      <c r="C451" t="s">
        <v>40</v>
      </c>
      <c r="D451">
        <v>3.1552519999999999</v>
      </c>
      <c r="E451">
        <v>0.576690699999999</v>
      </c>
      <c r="F451" t="s">
        <v>42</v>
      </c>
      <c r="G451">
        <v>-380.85759999999999</v>
      </c>
      <c r="H451">
        <v>0.91113730000000004</v>
      </c>
      <c r="I451">
        <v>367.12869999999998</v>
      </c>
      <c r="J451">
        <v>-381.57429999999999</v>
      </c>
      <c r="K451">
        <v>1.1098859999999999</v>
      </c>
      <c r="L451">
        <v>367.30470000000003</v>
      </c>
      <c r="M451">
        <v>0.99992380000000003</v>
      </c>
      <c r="N451">
        <v>0</v>
      </c>
      <c r="O451">
        <v>3.7033169999999998E-3</v>
      </c>
      <c r="P451">
        <v>0.98433179999999998</v>
      </c>
      <c r="Q451">
        <v>0.17467339999999901</v>
      </c>
      <c r="R451">
        <v>-2.4086610000000001E-2</v>
      </c>
      <c r="S451">
        <v>3.1597900000000001</v>
      </c>
      <c r="T451">
        <v>-0.71957059999999995</v>
      </c>
      <c r="U451">
        <v>-0.63348389999999999</v>
      </c>
      <c r="V451">
        <v>2.7739030000000001E-2</v>
      </c>
      <c r="W451">
        <v>0.1862509</v>
      </c>
      <c r="X451">
        <v>0.98211059999999994</v>
      </c>
      <c r="Y451">
        <v>0.1953</v>
      </c>
      <c r="Z451">
        <v>-2.2573019999999999E-2</v>
      </c>
      <c r="AA451">
        <v>0.98048369999999996</v>
      </c>
      <c r="AB451">
        <v>29</v>
      </c>
      <c r="AC451">
        <v>0.716700000000003</v>
      </c>
      <c r="AD451">
        <v>-0.1987487</v>
      </c>
      <c r="AE451">
        <v>-0.17600000000004401</v>
      </c>
      <c r="AF451">
        <v>0.16657207618770001</v>
      </c>
      <c r="AG451">
        <v>-0.1987487</v>
      </c>
      <c r="AH451">
        <v>0.66762223642500396</v>
      </c>
      <c r="AI451">
        <v>106.110927660035</v>
      </c>
      <c r="AJ451">
        <v>75.990695906612402</v>
      </c>
      <c r="AK451">
        <v>0.71621697333021594</v>
      </c>
      <c r="AL451">
        <v>79.265929115793298</v>
      </c>
      <c r="AM451">
        <v>88.382150722404106</v>
      </c>
      <c r="AN451">
        <v>1.00000004108425</v>
      </c>
    </row>
    <row r="452" spans="1:40" x14ac:dyDescent="0.25">
      <c r="A452" t="str">
        <f>"20190312172905920"</f>
        <v>20190312172905920</v>
      </c>
      <c r="B452" t="str">
        <f>"1552382945918255"</f>
        <v>1552382945918255</v>
      </c>
      <c r="C452" t="s">
        <v>40</v>
      </c>
      <c r="D452">
        <v>3.10575</v>
      </c>
      <c r="E452">
        <v>0.57562329999999995</v>
      </c>
      <c r="F452" t="s">
        <v>42</v>
      </c>
      <c r="G452">
        <v>-380.84480000000002</v>
      </c>
      <c r="H452">
        <v>0.94391890000000001</v>
      </c>
      <c r="I452">
        <v>367.15789999999998</v>
      </c>
      <c r="J452">
        <v>-381.31420000000003</v>
      </c>
      <c r="K452">
        <v>1.109882</v>
      </c>
      <c r="L452">
        <v>367.30560000000003</v>
      </c>
      <c r="M452">
        <v>0.99992380000000003</v>
      </c>
      <c r="N452">
        <v>0</v>
      </c>
      <c r="O452">
        <v>3.7034849999999999E-3</v>
      </c>
      <c r="P452">
        <v>0.98432050000000004</v>
      </c>
      <c r="Q452">
        <v>0.17473900000000001</v>
      </c>
      <c r="R452">
        <v>-2.4073770000000001E-2</v>
      </c>
      <c r="S452">
        <v>3.159821</v>
      </c>
      <c r="T452">
        <v>-0.71890430000000005</v>
      </c>
      <c r="U452">
        <v>-0.63421629999999996</v>
      </c>
      <c r="V452">
        <v>2.7726359999999999E-2</v>
      </c>
      <c r="W452">
        <v>0.1863184</v>
      </c>
      <c r="X452">
        <v>0.98209809999999997</v>
      </c>
      <c r="Y452">
        <v>0.19552069999999999</v>
      </c>
      <c r="Z452">
        <v>-2.2576510000000001E-2</v>
      </c>
      <c r="AA452">
        <v>0.98043970000000003</v>
      </c>
      <c r="AB452">
        <v>29</v>
      </c>
      <c r="AC452">
        <v>0.46940000000000698</v>
      </c>
      <c r="AD452">
        <v>-0.1659631</v>
      </c>
      <c r="AE452">
        <v>-0.14770000000004299</v>
      </c>
      <c r="AF452">
        <v>0.13417560246570701</v>
      </c>
      <c r="AG452">
        <v>-0.1659631</v>
      </c>
      <c r="AH452">
        <v>0.42096653249652399</v>
      </c>
      <c r="AI452">
        <v>110.58740939575701</v>
      </c>
      <c r="AJ452">
        <v>72.321243169126504</v>
      </c>
      <c r="AK452">
        <v>0.47197421999595701</v>
      </c>
      <c r="AL452">
        <v>79.261992167022697</v>
      </c>
      <c r="AM452">
        <v>88.382868722733704</v>
      </c>
      <c r="AN452">
        <v>0.99999998762050901</v>
      </c>
    </row>
    <row r="453" spans="1:40" x14ac:dyDescent="0.25">
      <c r="A453" t="str">
        <f>"20190312172905940"</f>
        <v>20190312172905940</v>
      </c>
      <c r="B453" t="str">
        <f>"1552382945937775"</f>
        <v>1552382945937775</v>
      </c>
      <c r="C453" t="s">
        <v>40</v>
      </c>
      <c r="D453">
        <v>3.2218840000000002</v>
      </c>
      <c r="E453">
        <v>0.57516659999999997</v>
      </c>
      <c r="F453" t="s">
        <v>42</v>
      </c>
      <c r="G453">
        <v>-380.58859999999999</v>
      </c>
      <c r="H453">
        <v>0.94558260000000005</v>
      </c>
      <c r="I453">
        <v>367.1619</v>
      </c>
      <c r="J453">
        <v>-381.05020000000002</v>
      </c>
      <c r="K453">
        <v>1.1098779999999999</v>
      </c>
      <c r="L453">
        <v>367.3066</v>
      </c>
      <c r="M453">
        <v>0.99992389999999998</v>
      </c>
      <c r="N453">
        <v>0</v>
      </c>
      <c r="O453">
        <v>3.703474E-3</v>
      </c>
      <c r="P453">
        <v>0.98431820000000003</v>
      </c>
      <c r="Q453">
        <v>0.17476729999999999</v>
      </c>
      <c r="R453">
        <v>-2.3962799999999999E-2</v>
      </c>
      <c r="S453">
        <v>3.1594850000000001</v>
      </c>
      <c r="T453">
        <v>-0.71549759999999996</v>
      </c>
      <c r="U453">
        <v>-0.62509159999999997</v>
      </c>
      <c r="V453">
        <v>2.7615540000000001E-2</v>
      </c>
      <c r="W453">
        <v>0.18634829999999999</v>
      </c>
      <c r="X453">
        <v>0.98209550000000001</v>
      </c>
      <c r="Y453">
        <v>0.1929215</v>
      </c>
      <c r="Z453">
        <v>-2.21925E-2</v>
      </c>
      <c r="AA453">
        <v>0.98096320000000004</v>
      </c>
      <c r="AB453">
        <v>29</v>
      </c>
      <c r="AC453">
        <v>0.46160000000003198</v>
      </c>
      <c r="AD453">
        <v>-0.16429540000000001</v>
      </c>
      <c r="AE453">
        <v>-0.1447</v>
      </c>
      <c r="AF453">
        <v>0.131267192417544</v>
      </c>
      <c r="AG453">
        <v>-0.16429540000000001</v>
      </c>
      <c r="AH453">
        <v>0.41337838050256098</v>
      </c>
      <c r="AI453">
        <v>110.74696315675</v>
      </c>
      <c r="AJ453">
        <v>72.382894339751005</v>
      </c>
      <c r="AK453">
        <v>0.46379493284561102</v>
      </c>
      <c r="AL453">
        <v>79.260247957440498</v>
      </c>
      <c r="AM453">
        <v>88.389324591208094</v>
      </c>
      <c r="AN453">
        <v>0.99999993904131401</v>
      </c>
    </row>
    <row r="454" spans="1:40" x14ac:dyDescent="0.25">
      <c r="A454" t="str">
        <f>"20190312172905953"</f>
        <v>20190312172905953</v>
      </c>
      <c r="B454" t="str">
        <f>"1552382945948513"</f>
        <v>1552382945948513</v>
      </c>
      <c r="C454" t="s">
        <v>40</v>
      </c>
      <c r="D454">
        <v>3.115218</v>
      </c>
      <c r="E454">
        <v>0.57500200000000001</v>
      </c>
      <c r="F454" t="s">
        <v>42</v>
      </c>
      <c r="G454">
        <v>-380.33179999999999</v>
      </c>
      <c r="H454">
        <v>0.94802620000000004</v>
      </c>
      <c r="I454">
        <v>367.16489999999999</v>
      </c>
      <c r="J454">
        <v>-380.899</v>
      </c>
      <c r="K454">
        <v>1.1098790000000001</v>
      </c>
      <c r="L454">
        <v>367.30709999999999</v>
      </c>
      <c r="M454">
        <v>0.99992389999999998</v>
      </c>
      <c r="N454">
        <v>0</v>
      </c>
      <c r="O454">
        <v>3.7034680000000001E-3</v>
      </c>
      <c r="P454">
        <v>0.98429089999999997</v>
      </c>
      <c r="Q454">
        <v>0.1749047</v>
      </c>
      <c r="R454">
        <v>-2.409147E-2</v>
      </c>
      <c r="S454">
        <v>3.1590579999999999</v>
      </c>
      <c r="T454">
        <v>-0.71185050000000005</v>
      </c>
      <c r="U454">
        <v>-0.62130739999999995</v>
      </c>
      <c r="V454">
        <v>2.774387E-2</v>
      </c>
      <c r="W454">
        <v>0.1864866</v>
      </c>
      <c r="X454">
        <v>0.98206570000000004</v>
      </c>
      <c r="Y454">
        <v>0.19188630000000001</v>
      </c>
      <c r="Z454">
        <v>-2.1973240000000002E-2</v>
      </c>
      <c r="AA454">
        <v>0.98117109999999996</v>
      </c>
      <c r="AB454">
        <v>29</v>
      </c>
      <c r="AC454">
        <v>0.56720000000001303</v>
      </c>
      <c r="AD454">
        <v>-0.16185279999999999</v>
      </c>
      <c r="AE454">
        <v>-0.14220000000000199</v>
      </c>
      <c r="AF454">
        <v>0.13403141133027999</v>
      </c>
      <c r="AG454">
        <v>-0.16185279999999999</v>
      </c>
      <c r="AH454">
        <v>0.52634526740571397</v>
      </c>
      <c r="AI454">
        <v>106.593701907301</v>
      </c>
      <c r="AJ454">
        <v>75.713525358258195</v>
      </c>
      <c r="AK454">
        <v>0.56674517078791198</v>
      </c>
      <c r="AL454">
        <v>79.252183305372895</v>
      </c>
      <c r="AM454">
        <v>88.381794643079004</v>
      </c>
      <c r="AN454">
        <v>1.00000000670931</v>
      </c>
    </row>
    <row r="455" spans="1:40" x14ac:dyDescent="0.25">
      <c r="A455" t="str">
        <f>"20190312172905966"</f>
        <v>20190312172905966</v>
      </c>
      <c r="B455" t="str">
        <f>"1552382945958271"</f>
        <v>1552382945958271</v>
      </c>
      <c r="C455" t="s">
        <v>40</v>
      </c>
      <c r="D455">
        <v>3.1169959999999999</v>
      </c>
      <c r="E455">
        <v>0.57498719999999903</v>
      </c>
      <c r="F455" t="s">
        <v>42</v>
      </c>
      <c r="G455">
        <v>-380.0847</v>
      </c>
      <c r="H455">
        <v>0.92686690000000005</v>
      </c>
      <c r="I455">
        <v>367.14710000000002</v>
      </c>
      <c r="J455">
        <v>-380.72879999999998</v>
      </c>
      <c r="K455">
        <v>1.1098809999999999</v>
      </c>
      <c r="L455">
        <v>367.30779999999999</v>
      </c>
      <c r="M455">
        <v>0.99992380000000003</v>
      </c>
      <c r="N455">
        <v>0</v>
      </c>
      <c r="O455">
        <v>3.7035810000000001E-3</v>
      </c>
      <c r="P455">
        <v>0.98428289999999996</v>
      </c>
      <c r="Q455">
        <v>0.17494209999999999</v>
      </c>
      <c r="R455">
        <v>-2.414204E-2</v>
      </c>
      <c r="S455">
        <v>3.1588750000000001</v>
      </c>
      <c r="T455">
        <v>-0.71006380000000002</v>
      </c>
      <c r="U455">
        <v>-0.6203613</v>
      </c>
      <c r="V455">
        <v>2.779471E-2</v>
      </c>
      <c r="W455">
        <v>0.18652450000000001</v>
      </c>
      <c r="X455">
        <v>0.98205699999999996</v>
      </c>
      <c r="Y455">
        <v>0.1916426</v>
      </c>
      <c r="Z455">
        <v>-2.1894440000000001E-2</v>
      </c>
      <c r="AA455">
        <v>0.98122050000000005</v>
      </c>
      <c r="AB455">
        <v>29</v>
      </c>
      <c r="AC455">
        <v>0.64409999999998002</v>
      </c>
      <c r="AD455">
        <v>-0.18301410000000001</v>
      </c>
      <c r="AE455">
        <v>-0.16069999999996201</v>
      </c>
      <c r="AF455">
        <v>0.15156499027954401</v>
      </c>
      <c r="AG455">
        <v>-0.18301410000000001</v>
      </c>
      <c r="AH455">
        <v>0.59804643846551597</v>
      </c>
      <c r="AI455">
        <v>106.52255237738601</v>
      </c>
      <c r="AJ455">
        <v>75.778754700206093</v>
      </c>
      <c r="AK455">
        <v>0.64352595102181898</v>
      </c>
      <c r="AL455">
        <v>79.249972321704703</v>
      </c>
      <c r="AM455">
        <v>88.378816545970594</v>
      </c>
      <c r="AN455">
        <v>0.999999943126615</v>
      </c>
    </row>
    <row r="456" spans="1:40" x14ac:dyDescent="0.25">
      <c r="A456" t="str">
        <f>"20190312172905976"</f>
        <v>20190312172905976</v>
      </c>
      <c r="B456" t="str">
        <f>"1552382945968031"</f>
        <v>1552382945968031</v>
      </c>
      <c r="C456" t="s">
        <v>40</v>
      </c>
      <c r="D456">
        <v>3.114395</v>
      </c>
      <c r="E456">
        <v>0.57493260000000002</v>
      </c>
      <c r="F456" t="s">
        <v>42</v>
      </c>
      <c r="G456">
        <v>-379.83550000000002</v>
      </c>
      <c r="H456">
        <v>0.90947460000000002</v>
      </c>
      <c r="I456">
        <v>367.1318</v>
      </c>
      <c r="J456">
        <v>-380.5779</v>
      </c>
      <c r="K456">
        <v>1.1098859999999999</v>
      </c>
      <c r="L456">
        <v>367.30829999999997</v>
      </c>
      <c r="M456">
        <v>0.99992380000000003</v>
      </c>
      <c r="N456">
        <v>0</v>
      </c>
      <c r="O456">
        <v>3.703755E-3</v>
      </c>
      <c r="P456">
        <v>0.98424739999999999</v>
      </c>
      <c r="Q456">
        <v>0.17517460000000001</v>
      </c>
      <c r="R456">
        <v>-2.3894209999999999E-2</v>
      </c>
      <c r="S456">
        <v>3.1586910000000001</v>
      </c>
      <c r="T456">
        <v>-0.70878649999999999</v>
      </c>
      <c r="U456">
        <v>-0.62097170000000002</v>
      </c>
      <c r="V456">
        <v>2.7546850000000001E-2</v>
      </c>
      <c r="W456">
        <v>0.18675729999999999</v>
      </c>
      <c r="X456">
        <v>0.9820198</v>
      </c>
      <c r="Y456">
        <v>0.1918475</v>
      </c>
      <c r="Z456">
        <v>-2.1879349999999999E-2</v>
      </c>
      <c r="AA456">
        <v>0.98118079999999996</v>
      </c>
      <c r="AB456">
        <v>29</v>
      </c>
      <c r="AC456">
        <v>0.74239999999997497</v>
      </c>
      <c r="AD456">
        <v>-0.20041139999999999</v>
      </c>
      <c r="AE456">
        <v>-0.17649999999997501</v>
      </c>
      <c r="AF456">
        <v>0.167682759165977</v>
      </c>
      <c r="AG456">
        <v>-0.20041139999999999</v>
      </c>
      <c r="AH456">
        <v>0.69388084164344999</v>
      </c>
      <c r="AI456">
        <v>105.681846314279</v>
      </c>
      <c r="AJ456">
        <v>76.414407527421403</v>
      </c>
      <c r="AK456">
        <v>0.74145320780970303</v>
      </c>
      <c r="AL456">
        <v>79.236395940765604</v>
      </c>
      <c r="AM456">
        <v>88.393205043591294</v>
      </c>
      <c r="AN456">
        <v>1.0000000028201199</v>
      </c>
    </row>
    <row r="457" spans="1:40" x14ac:dyDescent="0.25">
      <c r="A457" t="str">
        <f>"20190312172905990"</f>
        <v>20190312172905990</v>
      </c>
      <c r="B457" t="str">
        <f>"1552382945988529"</f>
        <v>1552382945988529</v>
      </c>
      <c r="C457" t="s">
        <v>40</v>
      </c>
      <c r="D457">
        <v>3.1376750000000002</v>
      </c>
      <c r="E457">
        <v>0.57480929999999997</v>
      </c>
      <c r="F457" t="s">
        <v>42</v>
      </c>
      <c r="G457">
        <v>-379.82339999999999</v>
      </c>
      <c r="H457">
        <v>0.94115190000000004</v>
      </c>
      <c r="I457">
        <v>367.15989999999999</v>
      </c>
      <c r="J457">
        <v>-380.41660000000002</v>
      </c>
      <c r="K457">
        <v>1.1098870000000001</v>
      </c>
      <c r="L457">
        <v>367.30889999999999</v>
      </c>
      <c r="M457">
        <v>0.99992380000000003</v>
      </c>
      <c r="N457">
        <v>0</v>
      </c>
      <c r="O457">
        <v>3.7037440000000001E-3</v>
      </c>
      <c r="P457">
        <v>0.98421769999999997</v>
      </c>
      <c r="Q457">
        <v>0.17532110000000001</v>
      </c>
      <c r="R457">
        <v>-2.4055859999999998E-2</v>
      </c>
      <c r="S457">
        <v>3.1586910000000001</v>
      </c>
      <c r="T457">
        <v>-0.70653769999999905</v>
      </c>
      <c r="U457">
        <v>-0.6199036</v>
      </c>
      <c r="V457">
        <v>2.7708219999999999E-2</v>
      </c>
      <c r="W457">
        <v>0.1869054</v>
      </c>
      <c r="X457">
        <v>0.9819871</v>
      </c>
      <c r="Y457">
        <v>0.19156380000000001</v>
      </c>
      <c r="Z457">
        <v>-2.1781180000000001E-2</v>
      </c>
      <c r="AA457">
        <v>0.98123839999999996</v>
      </c>
      <c r="AB457">
        <v>29</v>
      </c>
      <c r="AC457">
        <v>0.59320000000002404</v>
      </c>
      <c r="AD457">
        <v>-0.1687351</v>
      </c>
      <c r="AE457">
        <v>-0.14899999999999999</v>
      </c>
      <c r="AF457">
        <v>0.14050262847227599</v>
      </c>
      <c r="AG457">
        <v>-0.1687351</v>
      </c>
      <c r="AH457">
        <v>0.55072845395082304</v>
      </c>
      <c r="AI457">
        <v>106.534901235399</v>
      </c>
      <c r="AJ457">
        <v>75.687915920770195</v>
      </c>
      <c r="AK457">
        <v>0.59288645841399701</v>
      </c>
      <c r="AL457">
        <v>79.227758524562105</v>
      </c>
      <c r="AM457">
        <v>88.383743593513401</v>
      </c>
      <c r="AN457">
        <v>1.00000001928556</v>
      </c>
    </row>
    <row r="458" spans="1:40" x14ac:dyDescent="0.25">
      <c r="A458" t="str">
        <f>"20190312172906008"</f>
        <v>20190312172906008</v>
      </c>
      <c r="B458" t="str">
        <f>"1552382945998287"</f>
        <v>1552382945998287</v>
      </c>
      <c r="C458" t="s">
        <v>40</v>
      </c>
      <c r="D458">
        <v>3.2194180000000001</v>
      </c>
      <c r="E458">
        <v>0.57483509999999904</v>
      </c>
      <c r="F458" t="s">
        <v>42</v>
      </c>
      <c r="G458">
        <v>-379.57499999999999</v>
      </c>
      <c r="H458">
        <v>0.922068</v>
      </c>
      <c r="I458">
        <v>367.14359999999999</v>
      </c>
      <c r="J458">
        <v>-380.18680000000001</v>
      </c>
      <c r="K458">
        <v>1.1098920000000001</v>
      </c>
      <c r="L458">
        <v>367.3098</v>
      </c>
      <c r="M458">
        <v>0.99992369999999997</v>
      </c>
      <c r="N458">
        <v>0</v>
      </c>
      <c r="O458">
        <v>3.703895E-3</v>
      </c>
      <c r="P458">
        <v>0.98418720000000004</v>
      </c>
      <c r="Q458">
        <v>0.17547309999999999</v>
      </c>
      <c r="R458">
        <v>-2.4188379999999999E-2</v>
      </c>
      <c r="S458">
        <v>3.1585999999999999</v>
      </c>
      <c r="T458">
        <v>-0.70493879999999998</v>
      </c>
      <c r="U458">
        <v>-0.61956789999999995</v>
      </c>
      <c r="V458">
        <v>2.7840920000000002E-2</v>
      </c>
      <c r="W458">
        <v>0.18706130000000001</v>
      </c>
      <c r="X458">
        <v>0.98195359999999998</v>
      </c>
      <c r="Y458">
        <v>0.19149099999999999</v>
      </c>
      <c r="Z458">
        <v>-2.1725939999999999E-2</v>
      </c>
      <c r="AA458">
        <v>0.98125390000000001</v>
      </c>
      <c r="AB458">
        <v>29</v>
      </c>
      <c r="AC458">
        <v>0.611800000000016</v>
      </c>
      <c r="AD458">
        <v>-0.18782399999999999</v>
      </c>
      <c r="AE458">
        <v>-0.16620000000000301</v>
      </c>
      <c r="AF458">
        <v>0.154871527921082</v>
      </c>
      <c r="AG458">
        <v>-0.18782399999999999</v>
      </c>
      <c r="AH458">
        <v>0.56186373073904605</v>
      </c>
      <c r="AI458">
        <v>107.862525789236</v>
      </c>
      <c r="AJ458">
        <v>74.589719171483196</v>
      </c>
      <c r="AK458">
        <v>0.612334791643109</v>
      </c>
      <c r="AL458">
        <v>79.218665093643395</v>
      </c>
      <c r="AM458">
        <v>88.375951791718705</v>
      </c>
      <c r="AN458">
        <v>0.99999995966854704</v>
      </c>
    </row>
    <row r="459" spans="1:40" x14ac:dyDescent="0.25">
      <c r="A459" t="str">
        <f>"20190312172906019"</f>
        <v>20190312172906019</v>
      </c>
      <c r="B459" t="str">
        <f>"1552382946008048"</f>
        <v>1552382946008048</v>
      </c>
      <c r="C459" t="s">
        <v>40</v>
      </c>
      <c r="D459">
        <v>3.0879180000000002</v>
      </c>
      <c r="E459">
        <v>0.57473439999999998</v>
      </c>
      <c r="F459" t="s">
        <v>42</v>
      </c>
      <c r="G459">
        <v>-379.3211</v>
      </c>
      <c r="H459">
        <v>0.91686029999999996</v>
      </c>
      <c r="I459">
        <v>367.13940000000002</v>
      </c>
      <c r="J459">
        <v>-380.03559999999999</v>
      </c>
      <c r="K459">
        <v>1.109893</v>
      </c>
      <c r="L459">
        <v>367.31029999999998</v>
      </c>
      <c r="M459">
        <v>0.99992380000000003</v>
      </c>
      <c r="N459">
        <v>0</v>
      </c>
      <c r="O459">
        <v>3.7038679999999999E-3</v>
      </c>
      <c r="P459">
        <v>0.98413099999999998</v>
      </c>
      <c r="Q459">
        <v>0.17579729999999999</v>
      </c>
      <c r="R459">
        <v>-2.4122890000000001E-2</v>
      </c>
      <c r="S459">
        <v>3.1585079999999999</v>
      </c>
      <c r="T459">
        <v>-0.70441469999999995</v>
      </c>
      <c r="U459">
        <v>-0.62030030000000003</v>
      </c>
      <c r="V459">
        <v>2.777518E-2</v>
      </c>
      <c r="W459">
        <v>0.18738969999999999</v>
      </c>
      <c r="X459">
        <v>0.98189289999999996</v>
      </c>
      <c r="Y459">
        <v>0.1917169</v>
      </c>
      <c r="Z459">
        <v>-2.1734960000000001E-2</v>
      </c>
      <c r="AA459">
        <v>0.98120960000000002</v>
      </c>
      <c r="AB459">
        <v>29</v>
      </c>
      <c r="AC459">
        <v>0.71449999999998604</v>
      </c>
      <c r="AD459">
        <v>-0.193032699999999</v>
      </c>
      <c r="AE459">
        <v>-0.17089999999996</v>
      </c>
      <c r="AF459">
        <v>0.16233775900783801</v>
      </c>
      <c r="AG459">
        <v>-0.193032699999999</v>
      </c>
      <c r="AH459">
        <v>0.66776043078755998</v>
      </c>
      <c r="AI459">
        <v>105.689698655486</v>
      </c>
      <c r="AJ459">
        <v>76.336020744235597</v>
      </c>
      <c r="AK459">
        <v>0.71380611106557801</v>
      </c>
      <c r="AL459">
        <v>79.199511036758295</v>
      </c>
      <c r="AM459">
        <v>88.379684458424506</v>
      </c>
      <c r="AN459">
        <v>1.00000001368026</v>
      </c>
    </row>
    <row r="460" spans="1:40" x14ac:dyDescent="0.25">
      <c r="A460" t="str">
        <f>"20190312172906043"</f>
        <v>20190312172906043</v>
      </c>
      <c r="B460" t="str">
        <f>"1552382946037831"</f>
        <v>1552382946037831</v>
      </c>
      <c r="C460" t="s">
        <v>40</v>
      </c>
      <c r="D460">
        <v>3.2215950000000002</v>
      </c>
      <c r="E460">
        <v>0.57432380000000005</v>
      </c>
      <c r="F460" t="s">
        <v>42</v>
      </c>
      <c r="G460">
        <v>-379.30869999999999</v>
      </c>
      <c r="H460">
        <v>0.94825400000000004</v>
      </c>
      <c r="I460">
        <v>367.16739999999999</v>
      </c>
      <c r="J460">
        <v>-379.74959999999999</v>
      </c>
      <c r="K460">
        <v>1.1098980000000001</v>
      </c>
      <c r="L460">
        <v>367.31139999999999</v>
      </c>
      <c r="M460">
        <v>0.99992360000000002</v>
      </c>
      <c r="N460">
        <v>0</v>
      </c>
      <c r="O460">
        <v>3.7039859999999998E-3</v>
      </c>
      <c r="P460">
        <v>0.98410629999999999</v>
      </c>
      <c r="Q460">
        <v>0.17594499999999999</v>
      </c>
      <c r="R460">
        <v>-2.4048770000000001E-2</v>
      </c>
      <c r="S460">
        <v>3.1586910000000001</v>
      </c>
      <c r="T460">
        <v>-0.70257159999999996</v>
      </c>
      <c r="U460">
        <v>-0.61914060000000004</v>
      </c>
      <c r="V460">
        <v>2.7701239999999999E-2</v>
      </c>
      <c r="W460">
        <v>0.18754699999999999</v>
      </c>
      <c r="X460">
        <v>0.98186490000000004</v>
      </c>
      <c r="Y460">
        <v>0.19139100000000001</v>
      </c>
      <c r="Z460">
        <v>-2.1643490000000001E-2</v>
      </c>
      <c r="AA460">
        <v>0.98127520000000001</v>
      </c>
      <c r="AB460">
        <v>29</v>
      </c>
      <c r="AC460">
        <v>0.44089999999999901</v>
      </c>
      <c r="AD460">
        <v>-0.16164400000000001</v>
      </c>
      <c r="AE460">
        <v>-0.14400000000000501</v>
      </c>
      <c r="AF460">
        <v>0.12985989098498801</v>
      </c>
      <c r="AG460">
        <v>-0.16164400000000001</v>
      </c>
      <c r="AH460">
        <v>0.39267112144222499</v>
      </c>
      <c r="AI460">
        <v>111.347265020382</v>
      </c>
      <c r="AJ460">
        <v>71.700482206272696</v>
      </c>
      <c r="AK460">
        <v>0.444052906349376</v>
      </c>
      <c r="AL460">
        <v>79.190335139119298</v>
      </c>
      <c r="AM460">
        <v>88.383949532878702</v>
      </c>
      <c r="AN460">
        <v>0.99999995887927295</v>
      </c>
    </row>
    <row r="461" spans="1:40" x14ac:dyDescent="0.25">
      <c r="A461" t="str">
        <f>"20190312172906055"</f>
        <v>20190312172906055</v>
      </c>
      <c r="B461" t="str">
        <f>"1552382946047591"</f>
        <v>1552382946047591</v>
      </c>
      <c r="C461" t="s">
        <v>40</v>
      </c>
      <c r="D461">
        <v>3.0968830000000001</v>
      </c>
      <c r="E461">
        <v>0.57415289999999997</v>
      </c>
      <c r="F461" t="s">
        <v>42</v>
      </c>
      <c r="G461">
        <v>-379.05009999999999</v>
      </c>
      <c r="H461">
        <v>0.95473850000000005</v>
      </c>
      <c r="I461">
        <v>367.17469999999997</v>
      </c>
      <c r="J461">
        <v>-379.58440000000002</v>
      </c>
      <c r="K461">
        <v>1.1098980000000001</v>
      </c>
      <c r="L461">
        <v>367.31200000000001</v>
      </c>
      <c r="M461">
        <v>0.99992340000000002</v>
      </c>
      <c r="N461">
        <v>0</v>
      </c>
      <c r="O461">
        <v>3.7041259999999999E-3</v>
      </c>
      <c r="P461">
        <v>0.98409270000000004</v>
      </c>
      <c r="Q461">
        <v>0.17602039999999999</v>
      </c>
      <c r="R461">
        <v>-2.4058159999999999E-2</v>
      </c>
      <c r="S461">
        <v>3.1586910000000001</v>
      </c>
      <c r="T461">
        <v>-0.70077650000000002</v>
      </c>
      <c r="U461">
        <v>-0.61538700000000002</v>
      </c>
      <c r="V461">
        <v>2.771055E-2</v>
      </c>
      <c r="W461">
        <v>0.1876285</v>
      </c>
      <c r="X461">
        <v>0.98184910000000003</v>
      </c>
      <c r="Y461">
        <v>0.19031500000000001</v>
      </c>
      <c r="Z461">
        <v>-2.1474980000000001E-2</v>
      </c>
      <c r="AA461">
        <v>0.98148820000000003</v>
      </c>
      <c r="AB461">
        <v>29</v>
      </c>
      <c r="AC461">
        <v>0.53430000000002997</v>
      </c>
      <c r="AD461">
        <v>-0.15515950000000001</v>
      </c>
      <c r="AE461">
        <v>-0.13729999999998199</v>
      </c>
      <c r="AF461">
        <v>0.12906811381682001</v>
      </c>
      <c r="AG461">
        <v>-0.15515950000000001</v>
      </c>
      <c r="AH461">
        <v>0.49465687956894699</v>
      </c>
      <c r="AI461">
        <v>106.883535248096</v>
      </c>
      <c r="AJ461">
        <v>75.376177460634494</v>
      </c>
      <c r="AK461">
        <v>0.53424570840519603</v>
      </c>
      <c r="AL461">
        <v>79.185581500368301</v>
      </c>
      <c r="AM461">
        <v>88.383380688482504</v>
      </c>
      <c r="AN461">
        <v>0.99999999188218103</v>
      </c>
    </row>
    <row r="462" spans="1:40" x14ac:dyDescent="0.25">
      <c r="A462" t="str">
        <f>"20190312172906067"</f>
        <v>20190312172906067</v>
      </c>
      <c r="B462" t="str">
        <f>"1552382946058326"</f>
        <v>1552382946058326</v>
      </c>
      <c r="C462" t="s">
        <v>40</v>
      </c>
      <c r="D462">
        <v>3.0794429999999999</v>
      </c>
      <c r="E462">
        <v>0.57401990000000003</v>
      </c>
      <c r="F462" t="s">
        <v>42</v>
      </c>
      <c r="G462">
        <v>-378.8021</v>
      </c>
      <c r="H462">
        <v>0.93652250000000004</v>
      </c>
      <c r="I462">
        <v>367.15969999999999</v>
      </c>
      <c r="J462">
        <v>-379.42619999999999</v>
      </c>
      <c r="K462">
        <v>1.109899</v>
      </c>
      <c r="L462">
        <v>367.31259999999997</v>
      </c>
      <c r="M462">
        <v>0.99992329999999996</v>
      </c>
      <c r="N462">
        <v>0</v>
      </c>
      <c r="O462">
        <v>3.7040889999999998E-3</v>
      </c>
      <c r="P462">
        <v>0.98408059999999997</v>
      </c>
      <c r="Q462">
        <v>0.17608689999999999</v>
      </c>
      <c r="R462">
        <v>-2.4058759999999998E-2</v>
      </c>
      <c r="S462">
        <v>3.1586910000000001</v>
      </c>
      <c r="T462">
        <v>-0.70016940000000005</v>
      </c>
      <c r="U462">
        <v>-0.61404419999999904</v>
      </c>
      <c r="V462">
        <v>2.7711240000000002E-2</v>
      </c>
      <c r="W462">
        <v>0.1877007</v>
      </c>
      <c r="X462">
        <v>0.98183529999999997</v>
      </c>
      <c r="Y462">
        <v>0.1899293</v>
      </c>
      <c r="Z462">
        <v>-2.1415779999999999E-2</v>
      </c>
      <c r="AA462">
        <v>0.9815642</v>
      </c>
      <c r="AB462">
        <v>29</v>
      </c>
      <c r="AC462">
        <v>0.62409999999999799</v>
      </c>
      <c r="AD462">
        <v>-0.17337649999999899</v>
      </c>
      <c r="AE462">
        <v>-0.15289999999998799</v>
      </c>
      <c r="AF462">
        <v>0.14467766812094299</v>
      </c>
      <c r="AG462">
        <v>-0.17337649999999899</v>
      </c>
      <c r="AH462">
        <v>0.58121437766014294</v>
      </c>
      <c r="AI462">
        <v>106.143992167509</v>
      </c>
      <c r="AJ462">
        <v>76.021845071097005</v>
      </c>
      <c r="AK462">
        <v>0.62353924592124199</v>
      </c>
      <c r="AL462">
        <v>79.181370127522101</v>
      </c>
      <c r="AM462">
        <v>88.383317745004106</v>
      </c>
      <c r="AN462">
        <v>1.00000001096445</v>
      </c>
    </row>
    <row r="463" spans="1:40" x14ac:dyDescent="0.25">
      <c r="A463" t="str">
        <f>"20190312172906079"</f>
        <v>20190312172906079</v>
      </c>
      <c r="B463" t="str">
        <f>"1552382946067736"</f>
        <v>1552382946067736</v>
      </c>
      <c r="C463" t="s">
        <v>40</v>
      </c>
      <c r="D463">
        <v>3.1266889999999998</v>
      </c>
      <c r="E463">
        <v>0.57387290000000002</v>
      </c>
      <c r="F463" t="s">
        <v>42</v>
      </c>
      <c r="G463">
        <v>-378.55380000000002</v>
      </c>
      <c r="H463">
        <v>0.91669509999999998</v>
      </c>
      <c r="I463">
        <v>367.1429</v>
      </c>
      <c r="J463">
        <v>-379.27460000000002</v>
      </c>
      <c r="K463">
        <v>1.109896</v>
      </c>
      <c r="L463">
        <v>367.31319999999999</v>
      </c>
      <c r="M463">
        <v>0.99992329999999996</v>
      </c>
      <c r="N463">
        <v>0</v>
      </c>
      <c r="O463">
        <v>3.7042329999999999E-3</v>
      </c>
      <c r="P463">
        <v>0.98407120000000003</v>
      </c>
      <c r="Q463">
        <v>0.1761606</v>
      </c>
      <c r="R463">
        <v>-2.3906730000000001E-2</v>
      </c>
      <c r="S463">
        <v>3.158722</v>
      </c>
      <c r="T463">
        <v>-0.69964609999999905</v>
      </c>
      <c r="U463">
        <v>-0.61346440000000002</v>
      </c>
      <c r="V463">
        <v>2.7559210000000001E-2</v>
      </c>
      <c r="W463">
        <v>0.18778030000000001</v>
      </c>
      <c r="X463">
        <v>0.98182429999999998</v>
      </c>
      <c r="Y463">
        <v>0.1897645</v>
      </c>
      <c r="Z463">
        <v>-2.1382450000000001E-2</v>
      </c>
      <c r="AA463">
        <v>0.98159680000000005</v>
      </c>
      <c r="AB463">
        <v>29</v>
      </c>
      <c r="AC463">
        <v>0.720799999999997</v>
      </c>
      <c r="AD463">
        <v>-0.19320090000000001</v>
      </c>
      <c r="AE463">
        <v>-0.17029999999999701</v>
      </c>
      <c r="AF463">
        <v>0.161949145969803</v>
      </c>
      <c r="AG463">
        <v>-0.19320090000000001</v>
      </c>
      <c r="AH463">
        <v>0.67428240991910204</v>
      </c>
      <c r="AI463">
        <v>105.568100826378</v>
      </c>
      <c r="AJ463">
        <v>76.494515827293199</v>
      </c>
      <c r="AK463">
        <v>0.71986865605294303</v>
      </c>
      <c r="AL463">
        <v>79.176726190907601</v>
      </c>
      <c r="AM463">
        <v>88.392164549635098</v>
      </c>
      <c r="AN463">
        <v>0.99999995359720095</v>
      </c>
    </row>
    <row r="464" spans="1:40" x14ac:dyDescent="0.25">
      <c r="A464" t="str">
        <f>"20190312172906097"</f>
        <v>20190312172906097</v>
      </c>
      <c r="B464" t="str">
        <f>"1552382946088235"</f>
        <v>1552382946088235</v>
      </c>
      <c r="C464" t="s">
        <v>40</v>
      </c>
      <c r="D464">
        <v>3.1535489999999999</v>
      </c>
      <c r="E464">
        <v>0.57370120000000002</v>
      </c>
      <c r="F464" t="s">
        <v>42</v>
      </c>
      <c r="G464">
        <v>-378.54149999999998</v>
      </c>
      <c r="H464">
        <v>0.94774530000000001</v>
      </c>
      <c r="I464">
        <v>367.17099999999999</v>
      </c>
      <c r="J464">
        <v>-379.03829999999999</v>
      </c>
      <c r="K464">
        <v>1.1098980000000001</v>
      </c>
      <c r="L464">
        <v>367.31400000000002</v>
      </c>
      <c r="M464">
        <v>0.99992309999999995</v>
      </c>
      <c r="N464">
        <v>0</v>
      </c>
      <c r="O464">
        <v>3.7043000000000002E-3</v>
      </c>
      <c r="P464">
        <v>0.98409120000000005</v>
      </c>
      <c r="Q464">
        <v>0.1760678</v>
      </c>
      <c r="R464">
        <v>-2.376174E-2</v>
      </c>
      <c r="S464">
        <v>3.1587830000000001</v>
      </c>
      <c r="T464">
        <v>-0.69881800000000005</v>
      </c>
      <c r="U464">
        <v>-0.61163330000000005</v>
      </c>
      <c r="V464">
        <v>2.7414529999999999E-2</v>
      </c>
      <c r="W464">
        <v>0.18769640000000001</v>
      </c>
      <c r="X464">
        <v>0.98184439999999995</v>
      </c>
      <c r="Y464">
        <v>0.18923509999999999</v>
      </c>
      <c r="Z464">
        <v>-2.1301130000000001E-2</v>
      </c>
      <c r="AA464">
        <v>0.98170069999999998</v>
      </c>
      <c r="AB464">
        <v>29</v>
      </c>
      <c r="AC464">
        <v>0.49680000000000701</v>
      </c>
      <c r="AD464">
        <v>-0.16215269999999901</v>
      </c>
      <c r="AE464">
        <v>-0.14300000000002899</v>
      </c>
      <c r="AF464">
        <v>0.13186618508120501</v>
      </c>
      <c r="AG464">
        <v>-0.16215269999999901</v>
      </c>
      <c r="AH464">
        <v>0.45181625311961698</v>
      </c>
      <c r="AI464">
        <v>109.009723486303</v>
      </c>
      <c r="AJ464">
        <v>73.729693027577397</v>
      </c>
      <c r="AK464">
        <v>0.49781534274087103</v>
      </c>
      <c r="AL464">
        <v>79.181620404046996</v>
      </c>
      <c r="AM464">
        <v>88.400633673896493</v>
      </c>
      <c r="AN464">
        <v>0.99999996041971895</v>
      </c>
    </row>
    <row r="465" spans="1:40" x14ac:dyDescent="0.25">
      <c r="A465" t="str">
        <f>"20190312172906111"</f>
        <v>20190312172906111</v>
      </c>
      <c r="B465" t="str">
        <f>"1552382946107752"</f>
        <v>1552382946107752</v>
      </c>
      <c r="C465" t="s">
        <v>40</v>
      </c>
      <c r="D465">
        <v>3.1092040000000001</v>
      </c>
      <c r="E465">
        <v>0.57361669999999998</v>
      </c>
      <c r="F465" t="s">
        <v>42</v>
      </c>
      <c r="G465">
        <v>-378.28739999999999</v>
      </c>
      <c r="H465">
        <v>0.94380189999999997</v>
      </c>
      <c r="I465">
        <v>367.16849999999999</v>
      </c>
      <c r="J465">
        <v>-378.8723</v>
      </c>
      <c r="K465">
        <v>1.109899</v>
      </c>
      <c r="L465">
        <v>367.31459999999998</v>
      </c>
      <c r="M465">
        <v>0.99992309999999995</v>
      </c>
      <c r="N465">
        <v>0</v>
      </c>
      <c r="O465">
        <v>3.7042640000000001E-3</v>
      </c>
      <c r="P465">
        <v>0.98408399999999996</v>
      </c>
      <c r="Q465">
        <v>0.1761115</v>
      </c>
      <c r="R465">
        <v>-2.37396E-2</v>
      </c>
      <c r="S465">
        <v>3.1589049999999999</v>
      </c>
      <c r="T465">
        <v>-0.69898149999999903</v>
      </c>
      <c r="U465">
        <v>-0.60980219999999996</v>
      </c>
      <c r="V465">
        <v>2.7392179999999999E-2</v>
      </c>
      <c r="W465">
        <v>0.18774560000000001</v>
      </c>
      <c r="X465">
        <v>0.98183569999999998</v>
      </c>
      <c r="Y465">
        <v>0.18868969999999999</v>
      </c>
      <c r="Z465">
        <v>-2.1247229999999999E-2</v>
      </c>
      <c r="AA465">
        <v>0.98180690000000004</v>
      </c>
      <c r="AB465">
        <v>29</v>
      </c>
      <c r="AC465">
        <v>0.58490000000000397</v>
      </c>
      <c r="AD465">
        <v>-0.1660971</v>
      </c>
      <c r="AE465">
        <v>-0.14609999999998899</v>
      </c>
      <c r="AF465">
        <v>0.13780552015195999</v>
      </c>
      <c r="AG465">
        <v>-0.1660971</v>
      </c>
      <c r="AH465">
        <v>0.54312812245419395</v>
      </c>
      <c r="AI465">
        <v>106.51104143852299</v>
      </c>
      <c r="AJ465">
        <v>75.763027566428093</v>
      </c>
      <c r="AK465">
        <v>0.58443713555298604</v>
      </c>
      <c r="AL465">
        <v>79.178751321781505</v>
      </c>
      <c r="AM465">
        <v>88.401922745631595</v>
      </c>
      <c r="AN465">
        <v>1.0000000418195001</v>
      </c>
    </row>
    <row r="466" spans="1:40" x14ac:dyDescent="0.25">
      <c r="A466" t="str">
        <f>"20190312172906132"</f>
        <v>20190312172906132</v>
      </c>
      <c r="B466" t="str">
        <f>"1552382946128248"</f>
        <v>1552382946128248</v>
      </c>
      <c r="C466" t="s">
        <v>40</v>
      </c>
      <c r="D466">
        <v>3.1003400000000001</v>
      </c>
      <c r="E466">
        <v>0.5735114</v>
      </c>
      <c r="F466" t="s">
        <v>42</v>
      </c>
      <c r="G466">
        <v>-378.03879999999998</v>
      </c>
      <c r="H466">
        <v>0.92561859999999996</v>
      </c>
      <c r="I466">
        <v>367.154</v>
      </c>
      <c r="J466">
        <v>-378.6071</v>
      </c>
      <c r="K466">
        <v>1.1098980000000001</v>
      </c>
      <c r="L466">
        <v>367.31560000000002</v>
      </c>
      <c r="M466">
        <v>0.99992309999999995</v>
      </c>
      <c r="N466">
        <v>0</v>
      </c>
      <c r="O466">
        <v>3.7043879999999999E-3</v>
      </c>
      <c r="P466">
        <v>0.98402579999999995</v>
      </c>
      <c r="Q466">
        <v>0.17646120000000001</v>
      </c>
      <c r="R466">
        <v>-2.3554490000000001E-2</v>
      </c>
      <c r="S466">
        <v>3.1588129999999999</v>
      </c>
      <c r="T466">
        <v>-0.69845290000000004</v>
      </c>
      <c r="U466">
        <v>-0.60903929999999995</v>
      </c>
      <c r="V466">
        <v>2.7207180000000001E-2</v>
      </c>
      <c r="W466">
        <v>0.1881044</v>
      </c>
      <c r="X466">
        <v>0.98177210000000004</v>
      </c>
      <c r="Y466">
        <v>0.1884777</v>
      </c>
      <c r="Z466">
        <v>-2.1209660000000002E-2</v>
      </c>
      <c r="AA466">
        <v>0.98184839999999995</v>
      </c>
      <c r="AB466">
        <v>29</v>
      </c>
      <c r="AC466">
        <v>0.56830000000002201</v>
      </c>
      <c r="AD466">
        <v>-0.18427940000000001</v>
      </c>
      <c r="AE466">
        <v>-0.161600000000021</v>
      </c>
      <c r="AF466">
        <v>0.14919077226775601</v>
      </c>
      <c r="AG466">
        <v>-0.18427940000000001</v>
      </c>
      <c r="AH466">
        <v>0.51736727602950205</v>
      </c>
      <c r="AI466">
        <v>108.893072976722</v>
      </c>
      <c r="AJ466">
        <v>73.914274004091197</v>
      </c>
      <c r="AK466">
        <v>0.56910955193213597</v>
      </c>
      <c r="AL466">
        <v>79.157819962931399</v>
      </c>
      <c r="AM466">
        <v>88.412607450124796</v>
      </c>
      <c r="AN466">
        <v>0.99999997614066005</v>
      </c>
    </row>
    <row r="467" spans="1:40" x14ac:dyDescent="0.25">
      <c r="A467" t="str">
        <f>"20190312172906145"</f>
        <v>20190312172906145</v>
      </c>
      <c r="B467" t="str">
        <f>"1552382946138008"</f>
        <v>1552382946138008</v>
      </c>
      <c r="C467" t="s">
        <v>40</v>
      </c>
      <c r="D467">
        <v>3.118744</v>
      </c>
      <c r="E467">
        <v>0.5735268</v>
      </c>
      <c r="F467" t="s">
        <v>42</v>
      </c>
      <c r="G467">
        <v>-377.78199999999998</v>
      </c>
      <c r="H467">
        <v>0.92782279999999995</v>
      </c>
      <c r="I467">
        <v>367.15690000000001</v>
      </c>
      <c r="J467">
        <v>-378.43150000000003</v>
      </c>
      <c r="K467">
        <v>1.109899</v>
      </c>
      <c r="L467">
        <v>367.31630000000001</v>
      </c>
      <c r="M467">
        <v>0.99992289999999995</v>
      </c>
      <c r="N467">
        <v>0</v>
      </c>
      <c r="O467">
        <v>3.7047120000000002E-3</v>
      </c>
      <c r="P467">
        <v>0.98399479999999995</v>
      </c>
      <c r="Q467">
        <v>0.17661070000000001</v>
      </c>
      <c r="R467">
        <v>-2.3725759999999999E-2</v>
      </c>
      <c r="S467">
        <v>3.1591800000000001</v>
      </c>
      <c r="T467">
        <v>-0.69724929999999996</v>
      </c>
      <c r="U467">
        <v>-0.60696410000000001</v>
      </c>
      <c r="V467">
        <v>2.7378590000000001E-2</v>
      </c>
      <c r="W467">
        <v>0.18825890000000001</v>
      </c>
      <c r="X467">
        <v>0.98173770000000005</v>
      </c>
      <c r="Y467">
        <v>0.1878647</v>
      </c>
      <c r="Z467">
        <v>-2.1106659999999999E-2</v>
      </c>
      <c r="AA467">
        <v>0.98196810000000001</v>
      </c>
      <c r="AB467">
        <v>29</v>
      </c>
      <c r="AC467">
        <v>0.64950000000004504</v>
      </c>
      <c r="AD467">
        <v>-0.18207619999999899</v>
      </c>
      <c r="AE467">
        <v>-0.15940000000000501</v>
      </c>
      <c r="AF467">
        <v>0.15063956606957299</v>
      </c>
      <c r="AG467">
        <v>-0.18207619999999899</v>
      </c>
      <c r="AH467">
        <v>0.60412589604491296</v>
      </c>
      <c r="AI467">
        <v>106.300700566711</v>
      </c>
      <c r="AJ467">
        <v>75.998744324976599</v>
      </c>
      <c r="AK467">
        <v>0.64870033123479998</v>
      </c>
      <c r="AL467">
        <v>79.148806516647099</v>
      </c>
      <c r="AM467">
        <v>88.402555820926395</v>
      </c>
      <c r="AN467">
        <v>0.99999995611044301</v>
      </c>
    </row>
    <row r="468" spans="1:40" x14ac:dyDescent="0.25">
      <c r="A468" t="str">
        <f>"20190312172906165"</f>
        <v>20190312172906165</v>
      </c>
      <c r="B468" t="str">
        <f>"1552382946158504"</f>
        <v>1552382946158504</v>
      </c>
      <c r="C468" t="s">
        <v>40</v>
      </c>
      <c r="D468">
        <v>3.2170329999999998</v>
      </c>
      <c r="E468">
        <v>0.573569199999999</v>
      </c>
      <c r="F468" t="s">
        <v>42</v>
      </c>
      <c r="G468">
        <v>-377.53230000000002</v>
      </c>
      <c r="H468">
        <v>0.91157129999999997</v>
      </c>
      <c r="I468">
        <v>367.14319999999998</v>
      </c>
      <c r="J468">
        <v>-378.18189999999998</v>
      </c>
      <c r="K468">
        <v>1.1098969999999999</v>
      </c>
      <c r="L468">
        <v>367.31720000000001</v>
      </c>
      <c r="M468">
        <v>0.9999228</v>
      </c>
      <c r="N468">
        <v>0</v>
      </c>
      <c r="O468">
        <v>3.7048459999999999E-3</v>
      </c>
      <c r="P468">
        <v>0.98397429999999997</v>
      </c>
      <c r="Q468">
        <v>0.1767522</v>
      </c>
      <c r="R468">
        <v>-2.3521899999999998E-2</v>
      </c>
      <c r="S468">
        <v>3.1592410000000002</v>
      </c>
      <c r="T468">
        <v>-0.69686130000000002</v>
      </c>
      <c r="U468">
        <v>-0.60748290000000005</v>
      </c>
      <c r="V468">
        <v>2.7174690000000001E-2</v>
      </c>
      <c r="W468">
        <v>0.1884074</v>
      </c>
      <c r="X468">
        <v>0.98171489999999995</v>
      </c>
      <c r="Y468">
        <v>0.18801850000000001</v>
      </c>
      <c r="Z468">
        <v>-2.1111120000000001E-2</v>
      </c>
      <c r="AA468">
        <v>0.98193859999999999</v>
      </c>
      <c r="AB468">
        <v>29</v>
      </c>
      <c r="AC468">
        <v>0.64959999999996398</v>
      </c>
      <c r="AD468">
        <v>-0.19832569999999899</v>
      </c>
      <c r="AE468">
        <v>-0.17400000000003499</v>
      </c>
      <c r="AF468">
        <v>0.16229105856704701</v>
      </c>
      <c r="AG468">
        <v>-0.19832569999999899</v>
      </c>
      <c r="AH468">
        <v>0.59702693794862205</v>
      </c>
      <c r="AI468">
        <v>107.773591955512</v>
      </c>
      <c r="AJ468">
        <v>74.792633414031798</v>
      </c>
      <c r="AK468">
        <v>0.64970195906092998</v>
      </c>
      <c r="AL468">
        <v>79.140143308497002</v>
      </c>
      <c r="AM468">
        <v>88.414409766160105</v>
      </c>
      <c r="AN468">
        <v>0.99999997851668199</v>
      </c>
    </row>
    <row r="469" spans="1:40" x14ac:dyDescent="0.25">
      <c r="A469" t="str">
        <f>"20190312172906177"</f>
        <v>20190312172906177</v>
      </c>
      <c r="B469" t="str">
        <f>"1552382946168264"</f>
        <v>1552382946168264</v>
      </c>
      <c r="C469" t="s">
        <v>40</v>
      </c>
      <c r="D469">
        <v>3.1026889999999998</v>
      </c>
      <c r="E469">
        <v>0.57350269999999903</v>
      </c>
      <c r="F469" t="s">
        <v>42</v>
      </c>
      <c r="G469">
        <v>-377.27679999999998</v>
      </c>
      <c r="H469">
        <v>0.91044899999999995</v>
      </c>
      <c r="I469">
        <v>367.14280000000002</v>
      </c>
      <c r="J469">
        <v>-378.02640000000002</v>
      </c>
      <c r="K469">
        <v>1.1098980000000001</v>
      </c>
      <c r="L469">
        <v>367.3177</v>
      </c>
      <c r="M469">
        <v>0.99992289999999995</v>
      </c>
      <c r="N469">
        <v>0</v>
      </c>
      <c r="O469">
        <v>3.7048210000000001E-3</v>
      </c>
      <c r="P469">
        <v>0.98395849999999996</v>
      </c>
      <c r="Q469">
        <v>0.17684820000000001</v>
      </c>
      <c r="R469">
        <v>-2.346786E-2</v>
      </c>
      <c r="S469">
        <v>3.159424</v>
      </c>
      <c r="T469">
        <v>-0.69626899999999903</v>
      </c>
      <c r="U469">
        <v>-0.60739140000000003</v>
      </c>
      <c r="V469">
        <v>2.712055E-2</v>
      </c>
      <c r="W469">
        <v>0.1885076</v>
      </c>
      <c r="X469">
        <v>0.98169720000000005</v>
      </c>
      <c r="Y469">
        <v>0.18798909999999999</v>
      </c>
      <c r="Z469">
        <v>-2.1089299999999998E-2</v>
      </c>
      <c r="AA469">
        <v>0.9819447</v>
      </c>
      <c r="AB469">
        <v>29</v>
      </c>
      <c r="AC469">
        <v>0.74960000000004301</v>
      </c>
      <c r="AD469">
        <v>-0.19944899999999999</v>
      </c>
      <c r="AE469">
        <v>-0.17489999999997899</v>
      </c>
      <c r="AF469">
        <v>0.166497457210174</v>
      </c>
      <c r="AG469">
        <v>-0.19944899999999999</v>
      </c>
      <c r="AH469">
        <v>0.70182609743060398</v>
      </c>
      <c r="AI469">
        <v>105.456719154805</v>
      </c>
      <c r="AJ469">
        <v>76.654174948415999</v>
      </c>
      <c r="AK469">
        <v>0.74837235243769296</v>
      </c>
      <c r="AL469">
        <v>79.134297934761605</v>
      </c>
      <c r="AM469">
        <v>88.417538605180397</v>
      </c>
      <c r="AN469">
        <v>1.0000000159889499</v>
      </c>
    </row>
    <row r="470" spans="1:40" x14ac:dyDescent="0.25">
      <c r="A470" t="str">
        <f>"20190312172906189"</f>
        <v>20190312172906189</v>
      </c>
      <c r="B470" t="str">
        <f>"1552382946178025"</f>
        <v>1552382946178025</v>
      </c>
      <c r="C470" t="s">
        <v>40</v>
      </c>
      <c r="D470">
        <v>3.1166010000000002</v>
      </c>
      <c r="E470">
        <v>0.57349629999999996</v>
      </c>
      <c r="F470" t="s">
        <v>42</v>
      </c>
      <c r="G470">
        <v>-377.2645</v>
      </c>
      <c r="H470">
        <v>0.94212309999999999</v>
      </c>
      <c r="I470">
        <v>367.17099999999999</v>
      </c>
      <c r="J470">
        <v>-377.86970000000002</v>
      </c>
      <c r="K470">
        <v>1.1098969999999999</v>
      </c>
      <c r="L470">
        <v>367.3184</v>
      </c>
      <c r="M470">
        <v>0.99992289999999995</v>
      </c>
      <c r="N470">
        <v>0</v>
      </c>
      <c r="O470">
        <v>3.7047970000000001E-3</v>
      </c>
      <c r="P470">
        <v>0.98394219999999999</v>
      </c>
      <c r="Q470">
        <v>0.1769444</v>
      </c>
      <c r="R470">
        <v>-2.342783E-2</v>
      </c>
      <c r="S470">
        <v>3.1595149999999999</v>
      </c>
      <c r="T470">
        <v>-0.69583609999999996</v>
      </c>
      <c r="U470">
        <v>-0.60678100000000001</v>
      </c>
      <c r="V470">
        <v>2.7080440000000001E-2</v>
      </c>
      <c r="W470">
        <v>0.18860730000000001</v>
      </c>
      <c r="X470">
        <v>0.98167910000000003</v>
      </c>
      <c r="Y470">
        <v>0.18781049999999999</v>
      </c>
      <c r="Z470">
        <v>-2.1056990000000001E-2</v>
      </c>
      <c r="AA470">
        <v>0.98197950000000001</v>
      </c>
      <c r="AB470">
        <v>29</v>
      </c>
      <c r="AC470">
        <v>0.60520000000002405</v>
      </c>
      <c r="AD470">
        <v>-0.167773899999999</v>
      </c>
      <c r="AE470">
        <v>-0.147400000000004</v>
      </c>
      <c r="AF470">
        <v>0.13951946416125199</v>
      </c>
      <c r="AG470">
        <v>-0.167773899999999</v>
      </c>
      <c r="AH470">
        <v>0.56375085803954095</v>
      </c>
      <c r="AI470">
        <v>106.11334117128899</v>
      </c>
      <c r="AJ470">
        <v>76.099498992269702</v>
      </c>
      <c r="AK470">
        <v>0.60450706558432499</v>
      </c>
      <c r="AL470">
        <v>79.128480585709497</v>
      </c>
      <c r="AM470">
        <v>88.419848683536202</v>
      </c>
      <c r="AN470">
        <v>0.99999995961034605</v>
      </c>
    </row>
    <row r="471" spans="1:40" x14ac:dyDescent="0.25">
      <c r="A471" t="str">
        <f>"20190312172906201"</f>
        <v>20190312172906201</v>
      </c>
      <c r="B471" t="str">
        <f>"1552382946197544"</f>
        <v>1552382946197544</v>
      </c>
      <c r="C471" t="s">
        <v>40</v>
      </c>
      <c r="D471">
        <v>3.217679</v>
      </c>
      <c r="E471">
        <v>0.5734764</v>
      </c>
      <c r="F471" t="s">
        <v>42</v>
      </c>
      <c r="G471">
        <v>-377.01639999999998</v>
      </c>
      <c r="H471">
        <v>0.92207169999999905</v>
      </c>
      <c r="I471">
        <v>367.15449999999998</v>
      </c>
      <c r="J471">
        <v>-377.70929999999998</v>
      </c>
      <c r="K471">
        <v>1.1098969999999999</v>
      </c>
      <c r="L471">
        <v>367.31889999999999</v>
      </c>
      <c r="M471">
        <v>0.99992270000000005</v>
      </c>
      <c r="N471">
        <v>0</v>
      </c>
      <c r="O471">
        <v>3.7048929999999999E-3</v>
      </c>
      <c r="P471">
        <v>0.9838751</v>
      </c>
      <c r="Q471">
        <v>0.17732690000000001</v>
      </c>
      <c r="R471">
        <v>-2.3345999999999999E-2</v>
      </c>
      <c r="S471">
        <v>3.1596069999999998</v>
      </c>
      <c r="T471">
        <v>-0.6955076</v>
      </c>
      <c r="U471">
        <v>-0.60638429999999999</v>
      </c>
      <c r="V471">
        <v>2.699857E-2</v>
      </c>
      <c r="W471">
        <v>0.18899270000000001</v>
      </c>
      <c r="X471">
        <v>0.98160729999999996</v>
      </c>
      <c r="Y471">
        <v>0.18769330000000001</v>
      </c>
      <c r="Z471">
        <v>-2.1034319999999999E-2</v>
      </c>
      <c r="AA471">
        <v>0.98200240000000005</v>
      </c>
      <c r="AB471">
        <v>29</v>
      </c>
      <c r="AC471">
        <v>0.69290000000000795</v>
      </c>
      <c r="AD471">
        <v>-0.1878253</v>
      </c>
      <c r="AE471">
        <v>-0.16439999999999999</v>
      </c>
      <c r="AF471">
        <v>0.15610681619769901</v>
      </c>
      <c r="AG471">
        <v>-0.1878253</v>
      </c>
      <c r="AH471">
        <v>0.64726033892774304</v>
      </c>
      <c r="AI471">
        <v>105.75357492345501</v>
      </c>
      <c r="AJ471">
        <v>76.440309538156697</v>
      </c>
      <c r="AK471">
        <v>0.69180461673244797</v>
      </c>
      <c r="AL471">
        <v>79.105995137355393</v>
      </c>
      <c r="AM471">
        <v>88.424508236788895</v>
      </c>
      <c r="AN471">
        <v>1.0000000274243099</v>
      </c>
    </row>
    <row r="472" spans="1:40" x14ac:dyDescent="0.25">
      <c r="A472" t="str">
        <f>"20190312172906213"</f>
        <v>20190312172906213</v>
      </c>
      <c r="B472" t="str">
        <f>"1552382946208280"</f>
        <v>1552382946208280</v>
      </c>
      <c r="C472" t="s">
        <v>40</v>
      </c>
      <c r="D472">
        <v>3.434507</v>
      </c>
      <c r="E472">
        <v>0.57345800000000002</v>
      </c>
      <c r="F472" t="s">
        <v>42</v>
      </c>
      <c r="G472">
        <v>-377.00310000000002</v>
      </c>
      <c r="H472">
        <v>0.95474970000000003</v>
      </c>
      <c r="I472">
        <v>367.18340000000001</v>
      </c>
      <c r="J472">
        <v>-377.5684</v>
      </c>
      <c r="K472">
        <v>1.1099030000000001</v>
      </c>
      <c r="L472">
        <v>367.31950000000001</v>
      </c>
      <c r="M472">
        <v>0.99992270000000005</v>
      </c>
      <c r="N472">
        <v>0</v>
      </c>
      <c r="O472">
        <v>3.7048739999999999E-3</v>
      </c>
      <c r="P472">
        <v>0.98389040000000005</v>
      </c>
      <c r="Q472">
        <v>0.17724619999999999</v>
      </c>
      <c r="R472">
        <v>-2.3321999999999999E-2</v>
      </c>
      <c r="S472">
        <v>3.1599119999999998</v>
      </c>
      <c r="T472">
        <v>-0.69422759999999994</v>
      </c>
      <c r="U472">
        <v>-0.60592650000000003</v>
      </c>
      <c r="V472">
        <v>2.697453E-2</v>
      </c>
      <c r="W472">
        <v>0.18891540000000001</v>
      </c>
      <c r="X472">
        <v>0.98162280000000002</v>
      </c>
      <c r="Y472">
        <v>0.18755839999999999</v>
      </c>
      <c r="Z472">
        <v>-2.0980289999999999E-2</v>
      </c>
      <c r="AA472">
        <v>0.98202940000000005</v>
      </c>
      <c r="AB472">
        <v>29</v>
      </c>
      <c r="AC472">
        <v>0.56529999999997904</v>
      </c>
      <c r="AD472">
        <v>-0.15515329999999999</v>
      </c>
      <c r="AE472">
        <v>-0.136099999999999</v>
      </c>
      <c r="AF472">
        <v>0.129007934811005</v>
      </c>
      <c r="AG472">
        <v>-0.15515329999999999</v>
      </c>
      <c r="AH472">
        <v>0.52725047730807295</v>
      </c>
      <c r="AI472">
        <v>105.951881549164</v>
      </c>
      <c r="AJ472">
        <v>76.250967493307996</v>
      </c>
      <c r="AK472">
        <v>0.56454287664151903</v>
      </c>
      <c r="AL472">
        <v>79.110504908756596</v>
      </c>
      <c r="AM472">
        <v>88.425935218835505</v>
      </c>
      <c r="AN472">
        <v>0.99999998755286001</v>
      </c>
    </row>
    <row r="473" spans="1:40" x14ac:dyDescent="0.25">
      <c r="A473" t="str">
        <f>"20190312172906231"</f>
        <v>20190312172906231</v>
      </c>
      <c r="B473" t="str">
        <f>"1552382946227800"</f>
        <v>1552382946227800</v>
      </c>
      <c r="C473" t="s">
        <v>40</v>
      </c>
      <c r="D473">
        <v>3.141934</v>
      </c>
      <c r="E473">
        <v>0.57342789999999999</v>
      </c>
      <c r="F473" t="s">
        <v>42</v>
      </c>
      <c r="G473">
        <v>-376.7568</v>
      </c>
      <c r="H473">
        <v>0.93157429999999997</v>
      </c>
      <c r="I473">
        <v>367.16359999999997</v>
      </c>
      <c r="J473">
        <v>-377.33350000000002</v>
      </c>
      <c r="K473">
        <v>1.1099019999999999</v>
      </c>
      <c r="L473">
        <v>367.32029999999997</v>
      </c>
      <c r="M473">
        <v>0.99992259999999999</v>
      </c>
      <c r="N473">
        <v>0</v>
      </c>
      <c r="O473">
        <v>3.7050379999999999E-3</v>
      </c>
      <c r="P473">
        <v>0.98383810000000005</v>
      </c>
      <c r="Q473">
        <v>0.17755979999999999</v>
      </c>
      <c r="R473">
        <v>-2.3137749999999999E-2</v>
      </c>
      <c r="S473">
        <v>3.1598820000000001</v>
      </c>
      <c r="T473">
        <v>-0.69446750000000002</v>
      </c>
      <c r="U473">
        <v>-0.60574340000000004</v>
      </c>
      <c r="V473">
        <v>2.679016E-2</v>
      </c>
      <c r="W473">
        <v>0.18923100000000001</v>
      </c>
      <c r="X473">
        <v>0.98156710000000003</v>
      </c>
      <c r="Y473">
        <v>0.18750359999999999</v>
      </c>
      <c r="Z473">
        <v>-2.0981820000000002E-2</v>
      </c>
      <c r="AA473">
        <v>0.98203980000000002</v>
      </c>
      <c r="AB473">
        <v>29</v>
      </c>
      <c r="AC473">
        <v>0.57670000000001598</v>
      </c>
      <c r="AD473">
        <v>-0.17832769999999901</v>
      </c>
      <c r="AE473">
        <v>-0.15670000000000001</v>
      </c>
      <c r="AF473">
        <v>0.14584888705108401</v>
      </c>
      <c r="AG473">
        <v>-0.17832769999999901</v>
      </c>
      <c r="AH473">
        <v>0.52901051628271201</v>
      </c>
      <c r="AI473">
        <v>108.002716865518</v>
      </c>
      <c r="AJ473">
        <v>74.586399004640498</v>
      </c>
      <c r="AK473">
        <v>0.57699635421641204</v>
      </c>
      <c r="AL473">
        <v>79.092090660202302</v>
      </c>
      <c r="AM473">
        <v>88.436599873508797</v>
      </c>
      <c r="AN473">
        <v>1.00000002791811</v>
      </c>
    </row>
    <row r="474" spans="1:40" x14ac:dyDescent="0.25">
      <c r="A474" t="str">
        <f>"20190312172906243"</f>
        <v>20190312172906243</v>
      </c>
      <c r="B474" t="str">
        <f>"1552382946238068"</f>
        <v>1552382946238068</v>
      </c>
      <c r="C474" t="s">
        <v>40</v>
      </c>
      <c r="D474">
        <v>3.1564559999999999</v>
      </c>
      <c r="E474">
        <v>0.57343350000000004</v>
      </c>
      <c r="F474" t="s">
        <v>42</v>
      </c>
      <c r="G474">
        <v>-376.50229999999999</v>
      </c>
      <c r="H474">
        <v>0.92762259999999996</v>
      </c>
      <c r="I474">
        <v>367.16109999999998</v>
      </c>
      <c r="J474">
        <v>-377.17489999999998</v>
      </c>
      <c r="K474">
        <v>1.1099030000000001</v>
      </c>
      <c r="L474">
        <v>367.32089999999999</v>
      </c>
      <c r="M474">
        <v>0.99992259999999999</v>
      </c>
      <c r="N474">
        <v>0</v>
      </c>
      <c r="O474">
        <v>3.705042E-3</v>
      </c>
      <c r="P474">
        <v>0.98387029999999998</v>
      </c>
      <c r="Q474">
        <v>0.1774029</v>
      </c>
      <c r="R474">
        <v>-2.2969570000000002E-2</v>
      </c>
      <c r="S474">
        <v>3.160126</v>
      </c>
      <c r="T474">
        <v>-0.69306060000000003</v>
      </c>
      <c r="U474">
        <v>-0.60513309999999998</v>
      </c>
      <c r="V474">
        <v>2.662231E-2</v>
      </c>
      <c r="W474">
        <v>0.1890733</v>
      </c>
      <c r="X474">
        <v>0.98160199999999997</v>
      </c>
      <c r="Y474">
        <v>0.18732869999999999</v>
      </c>
      <c r="Z474">
        <v>-2.0920299999999999E-2</v>
      </c>
      <c r="AA474">
        <v>0.98207449999999996</v>
      </c>
      <c r="AB474">
        <v>29</v>
      </c>
      <c r="AC474">
        <v>0.67259999999998799</v>
      </c>
      <c r="AD474">
        <v>-0.18228039999999901</v>
      </c>
      <c r="AE474">
        <v>-0.15980000000001801</v>
      </c>
      <c r="AF474">
        <v>0.15174178730596799</v>
      </c>
      <c r="AG474">
        <v>-0.18228039999999901</v>
      </c>
      <c r="AH474">
        <v>0.62832148109129204</v>
      </c>
      <c r="AI474">
        <v>105.748439996995</v>
      </c>
      <c r="AJ474">
        <v>76.422846282163604</v>
      </c>
      <c r="AK474">
        <v>0.67159481671594601</v>
      </c>
      <c r="AL474">
        <v>79.101291711832999</v>
      </c>
      <c r="AM474">
        <v>88.446445532703606</v>
      </c>
      <c r="AN474">
        <v>0.99999997328331203</v>
      </c>
    </row>
    <row r="475" spans="1:40" x14ac:dyDescent="0.25">
      <c r="A475" t="str">
        <f>"20190312172906256"</f>
        <v>20190312172906256</v>
      </c>
      <c r="B475" t="str">
        <f>"1552382946247828"</f>
        <v>1552382946247828</v>
      </c>
      <c r="C475" t="s">
        <v>40</v>
      </c>
      <c r="D475">
        <v>3.2186729999999999</v>
      </c>
      <c r="E475">
        <v>0.57342479999999996</v>
      </c>
      <c r="F475" t="s">
        <v>42</v>
      </c>
      <c r="G475">
        <v>-376.25380000000001</v>
      </c>
      <c r="H475">
        <v>0.90785629999999995</v>
      </c>
      <c r="I475">
        <v>367.14420000000001</v>
      </c>
      <c r="J475">
        <v>-377.0086</v>
      </c>
      <c r="K475">
        <v>1.109901</v>
      </c>
      <c r="L475">
        <v>367.32159999999999</v>
      </c>
      <c r="M475">
        <v>0.99992270000000005</v>
      </c>
      <c r="N475">
        <v>0</v>
      </c>
      <c r="O475">
        <v>3.7052539999999998E-3</v>
      </c>
      <c r="P475">
        <v>0.98384389999999999</v>
      </c>
      <c r="Q475">
        <v>0.1775659</v>
      </c>
      <c r="R475">
        <v>-2.2840760000000002E-2</v>
      </c>
      <c r="S475">
        <v>3.1600649999999999</v>
      </c>
      <c r="T475">
        <v>-0.69328900000000004</v>
      </c>
      <c r="U475">
        <v>-0.60498050000000003</v>
      </c>
      <c r="V475">
        <v>2.6493470000000002E-2</v>
      </c>
      <c r="W475">
        <v>0.18923100000000001</v>
      </c>
      <c r="X475">
        <v>0.98157510000000003</v>
      </c>
      <c r="Y475">
        <v>0.1872846</v>
      </c>
      <c r="Z475">
        <v>-2.0922820000000002E-2</v>
      </c>
      <c r="AA475">
        <v>0.98208280000000003</v>
      </c>
      <c r="AB475">
        <v>29</v>
      </c>
      <c r="AC475">
        <v>0.75479999999998804</v>
      </c>
      <c r="AD475">
        <v>-0.20204469999999999</v>
      </c>
      <c r="AE475">
        <v>-0.17739999999997699</v>
      </c>
      <c r="AF475">
        <v>0.168738106208382</v>
      </c>
      <c r="AG475">
        <v>-0.20204469999999999</v>
      </c>
      <c r="AH475">
        <v>0.70618623735691999</v>
      </c>
      <c r="AI475">
        <v>105.55046321688199</v>
      </c>
      <c r="AJ475">
        <v>76.561555372122996</v>
      </c>
      <c r="AK475">
        <v>0.75365350866111303</v>
      </c>
      <c r="AL475">
        <v>79.092090088342005</v>
      </c>
      <c r="AM475">
        <v>88.453918030798405</v>
      </c>
      <c r="AN475">
        <v>0.99999997612682501</v>
      </c>
    </row>
    <row r="476" spans="1:40" x14ac:dyDescent="0.25">
      <c r="A476" t="str">
        <f>"20190312172906278"</f>
        <v>20190312172906278</v>
      </c>
      <c r="B476" t="str">
        <f>"1552382946268323"</f>
        <v>1552382946268323</v>
      </c>
      <c r="C476" t="s">
        <v>40</v>
      </c>
      <c r="D476">
        <v>3.147052</v>
      </c>
      <c r="E476">
        <v>0.57346390000000003</v>
      </c>
      <c r="F476" t="s">
        <v>42</v>
      </c>
      <c r="G476">
        <v>-376.2407</v>
      </c>
      <c r="H476">
        <v>0.94166050000000001</v>
      </c>
      <c r="I476">
        <v>367.17419999999998</v>
      </c>
      <c r="J476">
        <v>-376.73930000000001</v>
      </c>
      <c r="K476">
        <v>1.1099000000000001</v>
      </c>
      <c r="L476">
        <v>367.32249999999999</v>
      </c>
      <c r="M476">
        <v>0.99992289999999995</v>
      </c>
      <c r="N476">
        <v>0</v>
      </c>
      <c r="O476">
        <v>3.7053260000000001E-3</v>
      </c>
      <c r="P476">
        <v>0.9838867</v>
      </c>
      <c r="Q476">
        <v>0.1773718</v>
      </c>
      <c r="R476">
        <v>-2.2500240000000001E-2</v>
      </c>
      <c r="S476">
        <v>3.1601870000000001</v>
      </c>
      <c r="T476">
        <v>-0.69253889999999996</v>
      </c>
      <c r="U476">
        <v>-0.60482789999999997</v>
      </c>
      <c r="V476">
        <v>2.6153260000000001E-2</v>
      </c>
      <c r="W476">
        <v>0.18902550000000001</v>
      </c>
      <c r="X476">
        <v>0.98162380000000005</v>
      </c>
      <c r="Y476">
        <v>0.18724250000000001</v>
      </c>
      <c r="Z476">
        <v>-2.0895509999999999E-2</v>
      </c>
      <c r="AA476">
        <v>0.98209139999999995</v>
      </c>
      <c r="AB476">
        <v>29</v>
      </c>
      <c r="AC476">
        <v>0.49860000000000998</v>
      </c>
      <c r="AD476">
        <v>-0.16823949999999999</v>
      </c>
      <c r="AE476">
        <v>-0.14830000000000601</v>
      </c>
      <c r="AF476">
        <v>0.13592832915249201</v>
      </c>
      <c r="AG476">
        <v>-0.16823949999999999</v>
      </c>
      <c r="AH476">
        <v>0.45088405306940799</v>
      </c>
      <c r="AI476">
        <v>109.659329066569</v>
      </c>
      <c r="AJ476">
        <v>73.223480068810105</v>
      </c>
      <c r="AK476">
        <v>0.50007746333816605</v>
      </c>
      <c r="AL476">
        <v>79.104080582236406</v>
      </c>
      <c r="AM476">
        <v>88.473837930296597</v>
      </c>
      <c r="AN476">
        <v>0.99999995869265801</v>
      </c>
    </row>
    <row r="477" spans="1:40" x14ac:dyDescent="0.25">
      <c r="A477" t="str">
        <f>"20190312172906291"</f>
        <v>20190312172906291</v>
      </c>
      <c r="B477" t="str">
        <f>"1552382946287844"</f>
        <v>1552382946287844</v>
      </c>
      <c r="C477" t="s">
        <v>40</v>
      </c>
      <c r="D477">
        <v>3.1468340000000001</v>
      </c>
      <c r="E477">
        <v>0.57347029999999999</v>
      </c>
      <c r="F477" t="s">
        <v>42</v>
      </c>
      <c r="G477">
        <v>-375.98360000000002</v>
      </c>
      <c r="H477">
        <v>0.9441406</v>
      </c>
      <c r="I477">
        <v>367.17770000000002</v>
      </c>
      <c r="J477">
        <v>-376.56470000000002</v>
      </c>
      <c r="K477">
        <v>1.1098969999999999</v>
      </c>
      <c r="L477">
        <v>367.32319999999999</v>
      </c>
      <c r="M477">
        <v>0.99992300000000001</v>
      </c>
      <c r="N477">
        <v>0</v>
      </c>
      <c r="O477">
        <v>3.7053889999999999E-3</v>
      </c>
      <c r="P477">
        <v>0.98386280000000004</v>
      </c>
      <c r="Q477">
        <v>0.17753160000000001</v>
      </c>
      <c r="R477">
        <v>-2.2289130000000001E-2</v>
      </c>
      <c r="S477">
        <v>3.1602779999999999</v>
      </c>
      <c r="T477">
        <v>-0.69328710000000004</v>
      </c>
      <c r="U477">
        <v>-0.60412600000000005</v>
      </c>
      <c r="V477">
        <v>2.5942139999999999E-2</v>
      </c>
      <c r="W477">
        <v>0.1891748</v>
      </c>
      <c r="X477">
        <v>0.98160069999999999</v>
      </c>
      <c r="Y477">
        <v>0.18702260000000001</v>
      </c>
      <c r="Z477">
        <v>-2.0893800000000001E-2</v>
      </c>
      <c r="AA477">
        <v>0.98213340000000005</v>
      </c>
      <c r="AB477">
        <v>29</v>
      </c>
      <c r="AC477">
        <v>0.58109999999999196</v>
      </c>
      <c r="AD477">
        <v>-0.1657564</v>
      </c>
      <c r="AE477">
        <v>-0.14549999999996999</v>
      </c>
      <c r="AF477">
        <v>0.13715134965044701</v>
      </c>
      <c r="AG477">
        <v>-0.1657564</v>
      </c>
      <c r="AH477">
        <v>0.539267759642996</v>
      </c>
      <c r="AI477">
        <v>106.58825821980101</v>
      </c>
      <c r="AJ477">
        <v>75.730560155157207</v>
      </c>
      <c r="AK477">
        <v>0.580599167621067</v>
      </c>
      <c r="AL477">
        <v>79.095369791240799</v>
      </c>
      <c r="AM477">
        <v>88.486116380763306</v>
      </c>
      <c r="AN477">
        <v>1.0000000169116501</v>
      </c>
    </row>
    <row r="478" spans="1:40" x14ac:dyDescent="0.25">
      <c r="A478" t="str">
        <f>"20190312172906311"</f>
        <v>20190312172906311</v>
      </c>
      <c r="B478" t="str">
        <f>"1552382946308340"</f>
        <v>1552382946308340</v>
      </c>
      <c r="C478" t="s">
        <v>40</v>
      </c>
      <c r="D478">
        <v>3.1528939999999999</v>
      </c>
      <c r="E478">
        <v>0.57347199999999998</v>
      </c>
      <c r="F478" t="s">
        <v>42</v>
      </c>
      <c r="G478">
        <v>-375.73390000000001</v>
      </c>
      <c r="H478">
        <v>0.92788099999999996</v>
      </c>
      <c r="I478">
        <v>367.16399999999999</v>
      </c>
      <c r="J478">
        <v>-376.30650000000003</v>
      </c>
      <c r="K478">
        <v>1.1098920000000001</v>
      </c>
      <c r="L478">
        <v>367.32420000000002</v>
      </c>
      <c r="M478">
        <v>0.99992329999999996</v>
      </c>
      <c r="N478">
        <v>0</v>
      </c>
      <c r="O478">
        <v>3.7053310000000001E-3</v>
      </c>
      <c r="P478">
        <v>0.98388310000000001</v>
      </c>
      <c r="Q478">
        <v>0.1774685</v>
      </c>
      <c r="R478">
        <v>-2.189659E-2</v>
      </c>
      <c r="S478">
        <v>3.1604920000000001</v>
      </c>
      <c r="T478">
        <v>-0.69259989999999905</v>
      </c>
      <c r="U478">
        <v>-0.60394289999999995</v>
      </c>
      <c r="V478">
        <v>2.5549499999999999E-2</v>
      </c>
      <c r="W478">
        <v>0.1890915</v>
      </c>
      <c r="X478">
        <v>0.98162700000000003</v>
      </c>
      <c r="Y478">
        <v>0.18696579999999999</v>
      </c>
      <c r="Z478">
        <v>-2.0866200000000001E-2</v>
      </c>
      <c r="AA478">
        <v>0.98214480000000004</v>
      </c>
      <c r="AB478">
        <v>29</v>
      </c>
      <c r="AC478">
        <v>0.57260000000002198</v>
      </c>
      <c r="AD478">
        <v>-0.18201100000000001</v>
      </c>
      <c r="AE478">
        <v>-0.16020000000003101</v>
      </c>
      <c r="AF478">
        <v>0.148413612478249</v>
      </c>
      <c r="AG478">
        <v>-0.18201100000000001</v>
      </c>
      <c r="AH478">
        <v>0.52299513598803304</v>
      </c>
      <c r="AI478">
        <v>108.510400100628</v>
      </c>
      <c r="AJ478">
        <v>74.1573159441093</v>
      </c>
      <c r="AK478">
        <v>0.57330490731981798</v>
      </c>
      <c r="AL478">
        <v>79.100229733280798</v>
      </c>
      <c r="AM478">
        <v>88.509058849308005</v>
      </c>
      <c r="AN478">
        <v>0.99999996972574901</v>
      </c>
    </row>
    <row r="479" spans="1:40" x14ac:dyDescent="0.25">
      <c r="A479" t="str">
        <f>"20190312172906333"</f>
        <v>20190312172906333</v>
      </c>
      <c r="B479" t="str">
        <f>"1552382946327860"</f>
        <v>1552382946327860</v>
      </c>
      <c r="C479" t="s">
        <v>40</v>
      </c>
      <c r="D479">
        <v>3.2407900000000001</v>
      </c>
      <c r="E479">
        <v>0.57351779999999997</v>
      </c>
      <c r="F479" t="s">
        <v>42</v>
      </c>
      <c r="G479">
        <v>-375.47739999999999</v>
      </c>
      <c r="H479">
        <v>0.92824410000000002</v>
      </c>
      <c r="I479">
        <v>367.16579999999999</v>
      </c>
      <c r="J479">
        <v>-376.02780000000001</v>
      </c>
      <c r="K479">
        <v>1.10988</v>
      </c>
      <c r="L479">
        <v>367.3252</v>
      </c>
      <c r="M479">
        <v>0.99992360000000002</v>
      </c>
      <c r="N479">
        <v>0</v>
      </c>
      <c r="O479">
        <v>3.7053229999999999E-3</v>
      </c>
      <c r="P479">
        <v>0.98382440000000004</v>
      </c>
      <c r="Q479">
        <v>0.17780270000000001</v>
      </c>
      <c r="R479">
        <v>-2.1819040000000001E-2</v>
      </c>
      <c r="S479">
        <v>3.1606749999999999</v>
      </c>
      <c r="T479">
        <v>-0.69258059999999999</v>
      </c>
      <c r="U479">
        <v>-0.60287480000000004</v>
      </c>
      <c r="V479">
        <v>2.5471790000000001E-2</v>
      </c>
      <c r="W479">
        <v>0.18939719999999999</v>
      </c>
      <c r="X479">
        <v>0.9815701</v>
      </c>
      <c r="Y479">
        <v>0.1866429</v>
      </c>
      <c r="Z479">
        <v>-2.083043E-2</v>
      </c>
      <c r="AA479">
        <v>0.98220700000000005</v>
      </c>
      <c r="AB479">
        <v>29</v>
      </c>
      <c r="AC479">
        <v>0.55040000000002398</v>
      </c>
      <c r="AD479">
        <v>-0.18163589999999999</v>
      </c>
      <c r="AE479">
        <v>-0.15940000000000501</v>
      </c>
      <c r="AF479">
        <v>0.14669856884614699</v>
      </c>
      <c r="AG479">
        <v>-0.18163589999999999</v>
      </c>
      <c r="AH479">
        <v>0.49960640700668202</v>
      </c>
      <c r="AI479">
        <v>109.23036370618</v>
      </c>
      <c r="AJ479">
        <v>73.636269490701807</v>
      </c>
      <c r="AK479">
        <v>0.551469520637763</v>
      </c>
      <c r="AL479">
        <v>79.082392270599101</v>
      </c>
      <c r="AM479">
        <v>88.513505453108607</v>
      </c>
      <c r="AN479">
        <v>0.99999998633382703</v>
      </c>
    </row>
    <row r="480" spans="1:40" x14ac:dyDescent="0.25">
      <c r="A480" t="str">
        <f>"20190312172906354"</f>
        <v>20190312172906354</v>
      </c>
      <c r="B480" t="str">
        <f>"1552382946348356"</f>
        <v>1552382946348356</v>
      </c>
      <c r="C480" t="s">
        <v>40</v>
      </c>
      <c r="D480">
        <v>3.227201</v>
      </c>
      <c r="E480">
        <v>0.57350119999999905</v>
      </c>
      <c r="F480" t="s">
        <v>42</v>
      </c>
      <c r="G480">
        <v>-375.21929999999998</v>
      </c>
      <c r="H480">
        <v>0.93303559999999996</v>
      </c>
      <c r="I480">
        <v>367.17059999999998</v>
      </c>
      <c r="J480">
        <v>-375.75330000000002</v>
      </c>
      <c r="K480">
        <v>1.1098749999999999</v>
      </c>
      <c r="L480">
        <v>367.32619999999997</v>
      </c>
      <c r="M480">
        <v>0.99992389999999998</v>
      </c>
      <c r="N480">
        <v>0</v>
      </c>
      <c r="O480">
        <v>3.7056929999999999E-3</v>
      </c>
      <c r="P480">
        <v>0.98382080000000005</v>
      </c>
      <c r="Q480">
        <v>0.17784800000000001</v>
      </c>
      <c r="R480">
        <v>-2.1603609999999999E-2</v>
      </c>
      <c r="S480">
        <v>3.1609500000000001</v>
      </c>
      <c r="T480">
        <v>-0.69142559999999997</v>
      </c>
      <c r="U480">
        <v>-0.60278319999999996</v>
      </c>
      <c r="V480">
        <v>2.525693E-2</v>
      </c>
      <c r="W480">
        <v>0.18941079999999999</v>
      </c>
      <c r="X480">
        <v>0.98157300000000003</v>
      </c>
      <c r="Y480">
        <v>0.1866158</v>
      </c>
      <c r="Z480">
        <v>-2.0791960000000002E-2</v>
      </c>
      <c r="AA480">
        <v>0.982213</v>
      </c>
      <c r="AB480">
        <v>29</v>
      </c>
      <c r="AC480">
        <v>0.53400000000004799</v>
      </c>
      <c r="AD480">
        <v>-0.17683939999999901</v>
      </c>
      <c r="AE480">
        <v>-0.15559999999999199</v>
      </c>
      <c r="AF480">
        <v>0.14311157921081399</v>
      </c>
      <c r="AG480">
        <v>-0.17683939999999901</v>
      </c>
      <c r="AH480">
        <v>0.48444946706476599</v>
      </c>
      <c r="AI480">
        <v>109.29392568234699</v>
      </c>
      <c r="AJ480">
        <v>73.542293180966396</v>
      </c>
      <c r="AK480">
        <v>0.53520499216273099</v>
      </c>
      <c r="AL480">
        <v>79.081598381344406</v>
      </c>
      <c r="AM480">
        <v>88.526043150612693</v>
      </c>
      <c r="AN480">
        <v>0.99999995899933103</v>
      </c>
    </row>
    <row r="481" spans="1:40" x14ac:dyDescent="0.25">
      <c r="A481" t="str">
        <f>"20190312172906366"</f>
        <v>20190312172906366</v>
      </c>
      <c r="B481" t="str">
        <f>"1552382946358116"</f>
        <v>1552382946358116</v>
      </c>
      <c r="C481" t="s">
        <v>40</v>
      </c>
      <c r="D481">
        <v>3.2174580000000002</v>
      </c>
      <c r="E481">
        <v>0.58002390000000004</v>
      </c>
      <c r="F481" t="s">
        <v>42</v>
      </c>
      <c r="G481">
        <v>-374.9615</v>
      </c>
      <c r="H481">
        <v>0.93670430000000005</v>
      </c>
      <c r="I481">
        <v>367.17520000000002</v>
      </c>
      <c r="J481">
        <v>-375.59620000000001</v>
      </c>
      <c r="K481">
        <v>1.109869</v>
      </c>
      <c r="L481">
        <v>367.32679999999999</v>
      </c>
      <c r="M481">
        <v>0.99992420000000004</v>
      </c>
      <c r="N481">
        <v>0</v>
      </c>
      <c r="O481">
        <v>3.7056279999999999E-3</v>
      </c>
      <c r="P481">
        <v>0.98378489999999996</v>
      </c>
      <c r="Q481">
        <v>0.1780466</v>
      </c>
      <c r="R481">
        <v>-2.161223E-2</v>
      </c>
      <c r="S481">
        <v>3.161133</v>
      </c>
      <c r="T481">
        <v>-0.69134019999999996</v>
      </c>
      <c r="U481">
        <v>-0.60214230000000002</v>
      </c>
      <c r="V481">
        <v>2.5265180000000002E-2</v>
      </c>
      <c r="W481">
        <v>0.18959019999999999</v>
      </c>
      <c r="X481">
        <v>0.98153820000000003</v>
      </c>
      <c r="Y481">
        <v>0.1864189</v>
      </c>
      <c r="Z481">
        <v>-2.0767580000000001E-2</v>
      </c>
      <c r="AA481">
        <v>0.98225079999999998</v>
      </c>
      <c r="AB481">
        <v>29</v>
      </c>
      <c r="AC481">
        <v>0.63470000000000903</v>
      </c>
      <c r="AD481">
        <v>-0.1731647</v>
      </c>
      <c r="AE481">
        <v>-0.15159999999997301</v>
      </c>
      <c r="AF481">
        <v>0.14382328379092901</v>
      </c>
      <c r="AG481">
        <v>-0.1731647</v>
      </c>
      <c r="AH481">
        <v>0.59241681085342102</v>
      </c>
      <c r="AI481">
        <v>105.857256350337</v>
      </c>
      <c r="AJ481">
        <v>76.354089878374296</v>
      </c>
      <c r="AK481">
        <v>0.63374192544618202</v>
      </c>
      <c r="AL481">
        <v>79.071130350714895</v>
      </c>
      <c r="AM481">
        <v>88.525509652914295</v>
      </c>
      <c r="AN481">
        <v>1.00000000565785</v>
      </c>
    </row>
    <row r="482" spans="1:40" x14ac:dyDescent="0.25">
      <c r="A482" t="str">
        <f>"20190312172906378"</f>
        <v>20190312172906378</v>
      </c>
      <c r="B482" t="str">
        <f>"1552382946367876"</f>
        <v>1552382946367876</v>
      </c>
      <c r="C482" t="s">
        <v>40</v>
      </c>
      <c r="D482">
        <v>3.1733349999999998</v>
      </c>
      <c r="E482">
        <v>0.5798449</v>
      </c>
      <c r="F482" t="s">
        <v>42</v>
      </c>
      <c r="G482">
        <v>-374.7149</v>
      </c>
      <c r="H482">
        <v>0.90929070000000001</v>
      </c>
      <c r="I482">
        <v>367.1447</v>
      </c>
      <c r="J482">
        <v>-375.44009999999997</v>
      </c>
      <c r="K482">
        <v>1.109866</v>
      </c>
      <c r="L482">
        <v>367.32729999999998</v>
      </c>
      <c r="M482">
        <v>0.99992449999999999</v>
      </c>
      <c r="N482">
        <v>0</v>
      </c>
      <c r="O482">
        <v>3.7059269999999999E-3</v>
      </c>
      <c r="P482">
        <v>0.98380120000000004</v>
      </c>
      <c r="Q482">
        <v>0.17798420000000001</v>
      </c>
      <c r="R482">
        <v>-2.1379639999999998E-2</v>
      </c>
      <c r="S482">
        <v>3.1655579999999999</v>
      </c>
      <c r="T482">
        <v>-0.72056869999999995</v>
      </c>
      <c r="U482">
        <v>-0.65295409999999998</v>
      </c>
      <c r="V482">
        <v>2.503292E-2</v>
      </c>
      <c r="W482">
        <v>0.18950819999999999</v>
      </c>
      <c r="X482">
        <v>0.98155999999999999</v>
      </c>
      <c r="Y482">
        <v>0.20062679999999999</v>
      </c>
      <c r="Z482">
        <v>-2.3144149999999999E-2</v>
      </c>
      <c r="AA482">
        <v>0.97939430000000005</v>
      </c>
      <c r="AB482">
        <v>29</v>
      </c>
      <c r="AC482">
        <v>0.72519999999997198</v>
      </c>
      <c r="AD482">
        <v>-0.20057530000000001</v>
      </c>
      <c r="AE482">
        <v>-0.182599999999979</v>
      </c>
      <c r="AF482">
        <v>0.17285226633928799</v>
      </c>
      <c r="AG482">
        <v>-0.20057530000000001</v>
      </c>
      <c r="AH482">
        <v>0.67589730651100299</v>
      </c>
      <c r="AI482">
        <v>106.040020469236</v>
      </c>
      <c r="AJ482">
        <v>75.654781118579805</v>
      </c>
      <c r="AK482">
        <v>0.72591013624108303</v>
      </c>
      <c r="AL482">
        <v>79.075915501392302</v>
      </c>
      <c r="AM482">
        <v>88.539091010387594</v>
      </c>
      <c r="AN482">
        <v>1.0000000192754801</v>
      </c>
    </row>
    <row r="483" spans="1:40" x14ac:dyDescent="0.25">
      <c r="A483" t="str">
        <f>"20190312172906391"</f>
        <v>20190312172906391</v>
      </c>
      <c r="B483" t="str">
        <f>"1552382946388372"</f>
        <v>1552382946388372</v>
      </c>
      <c r="C483" t="s">
        <v>40</v>
      </c>
      <c r="D483">
        <v>3.2024409999999999</v>
      </c>
      <c r="E483">
        <v>0.57966470000000003</v>
      </c>
      <c r="F483" t="s">
        <v>42</v>
      </c>
      <c r="G483">
        <v>-374.70240000000001</v>
      </c>
      <c r="H483">
        <v>0.94204619999999994</v>
      </c>
      <c r="I483">
        <v>367.17529999999999</v>
      </c>
      <c r="J483">
        <v>-375.29250000000002</v>
      </c>
      <c r="K483">
        <v>1.1098619999999999</v>
      </c>
      <c r="L483">
        <v>367.3279</v>
      </c>
      <c r="M483">
        <v>0.9999247</v>
      </c>
      <c r="N483">
        <v>0</v>
      </c>
      <c r="O483">
        <v>3.7058719999999998E-3</v>
      </c>
      <c r="P483">
        <v>0.98377689999999995</v>
      </c>
      <c r="Q483">
        <v>0.17811669999999999</v>
      </c>
      <c r="R483">
        <v>-2.1401400000000001E-2</v>
      </c>
      <c r="S483">
        <v>3.1655880000000001</v>
      </c>
      <c r="T483">
        <v>-0.72031590000000001</v>
      </c>
      <c r="U483">
        <v>-0.65124510000000002</v>
      </c>
      <c r="V483">
        <v>2.50545E-2</v>
      </c>
      <c r="W483">
        <v>0.1896196</v>
      </c>
      <c r="X483">
        <v>0.98153789999999996</v>
      </c>
      <c r="Y483">
        <v>0.2001327</v>
      </c>
      <c r="Z483">
        <v>-2.3082249999999999E-2</v>
      </c>
      <c r="AA483">
        <v>0.9794969</v>
      </c>
      <c r="AB483">
        <v>29</v>
      </c>
      <c r="AC483">
        <v>0.59010000000000595</v>
      </c>
      <c r="AD483">
        <v>-0.16781579999999999</v>
      </c>
      <c r="AE483">
        <v>-0.15260000000000601</v>
      </c>
      <c r="AF483">
        <v>0.143879095285525</v>
      </c>
      <c r="AG483">
        <v>-0.16781579999999999</v>
      </c>
      <c r="AH483">
        <v>0.54798970325990104</v>
      </c>
      <c r="AI483">
        <v>106.49926752517599</v>
      </c>
      <c r="AJ483">
        <v>75.288585768740901</v>
      </c>
      <c r="AK483">
        <v>0.59089428129632104</v>
      </c>
      <c r="AL483">
        <v>79.069414504702706</v>
      </c>
      <c r="AM483">
        <v>88.537799251186399</v>
      </c>
      <c r="AN483">
        <v>0.99999998490540898</v>
      </c>
    </row>
    <row r="484" spans="1:40" x14ac:dyDescent="0.25">
      <c r="A484" t="str">
        <f>"20190312172906402"</f>
        <v>20190312172906402</v>
      </c>
      <c r="B484" t="str">
        <f>"1552382946398132"</f>
        <v>1552382946398132</v>
      </c>
      <c r="C484" t="s">
        <v>40</v>
      </c>
      <c r="D484">
        <v>3.2685580000000001</v>
      </c>
      <c r="E484">
        <v>0.58000410000000002</v>
      </c>
      <c r="F484" t="s">
        <v>42</v>
      </c>
      <c r="G484">
        <v>-374.45440000000002</v>
      </c>
      <c r="H484">
        <v>0.91955819999999999</v>
      </c>
      <c r="I484">
        <v>367.15559999999999</v>
      </c>
      <c r="J484">
        <v>-375.13729999999998</v>
      </c>
      <c r="K484">
        <v>1.109864</v>
      </c>
      <c r="L484">
        <v>367.32850000000002</v>
      </c>
      <c r="M484">
        <v>0.99992499999999995</v>
      </c>
      <c r="N484">
        <v>0</v>
      </c>
      <c r="O484">
        <v>3.7060069999999999E-3</v>
      </c>
      <c r="P484">
        <v>0.98374930000000005</v>
      </c>
      <c r="Q484">
        <v>0.17828050000000001</v>
      </c>
      <c r="R484">
        <v>-2.1296369999999998E-2</v>
      </c>
      <c r="S484">
        <v>3.1654360000000001</v>
      </c>
      <c r="T484">
        <v>-0.71876930000000006</v>
      </c>
      <c r="U484">
        <v>-0.64968870000000001</v>
      </c>
      <c r="V484">
        <v>2.4949570000000001E-2</v>
      </c>
      <c r="W484">
        <v>0.1897606</v>
      </c>
      <c r="X484">
        <v>0.98151330000000003</v>
      </c>
      <c r="Y484">
        <v>0.19971050000000001</v>
      </c>
      <c r="Z484">
        <v>-2.2989200000000001E-2</v>
      </c>
      <c r="AA484">
        <v>0.97958520000000004</v>
      </c>
      <c r="AB484">
        <v>29</v>
      </c>
      <c r="AC484">
        <v>0.68289999999996098</v>
      </c>
      <c r="AD484">
        <v>-0.1903058</v>
      </c>
      <c r="AE484">
        <v>-0.17290000000002601</v>
      </c>
      <c r="AF484">
        <v>0.163497688405251</v>
      </c>
      <c r="AG484">
        <v>-0.1903058</v>
      </c>
      <c r="AH484">
        <v>0.63584990893465199</v>
      </c>
      <c r="AI484">
        <v>106.16499461822001</v>
      </c>
      <c r="AJ484">
        <v>75.579782501091202</v>
      </c>
      <c r="AK484">
        <v>0.68355899403029297</v>
      </c>
      <c r="AL484">
        <v>79.061186159232903</v>
      </c>
      <c r="AM484">
        <v>88.543883929920796</v>
      </c>
      <c r="AN484">
        <v>0.99999996221621601</v>
      </c>
    </row>
    <row r="485" spans="1:40" x14ac:dyDescent="0.25">
      <c r="A485" t="str">
        <f>"20190312172906421"</f>
        <v>20190312172906421</v>
      </c>
      <c r="B485" t="str">
        <f>"1552382946417652"</f>
        <v>1552382946417652</v>
      </c>
      <c r="C485" t="s">
        <v>40</v>
      </c>
      <c r="D485">
        <v>3.2422110000000002</v>
      </c>
      <c r="E485">
        <v>0.58015190000000005</v>
      </c>
      <c r="F485" t="s">
        <v>42</v>
      </c>
      <c r="G485">
        <v>-374.44150000000002</v>
      </c>
      <c r="H485">
        <v>0.95189380000000001</v>
      </c>
      <c r="I485">
        <v>367.18490000000003</v>
      </c>
      <c r="J485">
        <v>-374.8965</v>
      </c>
      <c r="K485">
        <v>1.1098589999999999</v>
      </c>
      <c r="L485">
        <v>367.32929999999999</v>
      </c>
      <c r="M485">
        <v>0.99992539999999996</v>
      </c>
      <c r="N485">
        <v>0</v>
      </c>
      <c r="O485">
        <v>3.706235E-3</v>
      </c>
      <c r="P485">
        <v>0.98371699999999995</v>
      </c>
      <c r="Q485">
        <v>0.17844960000000001</v>
      </c>
      <c r="R485">
        <v>-2.137826E-2</v>
      </c>
      <c r="S485">
        <v>3.16568</v>
      </c>
      <c r="T485">
        <v>-0.71880469999999996</v>
      </c>
      <c r="U485">
        <v>-0.65191650000000001</v>
      </c>
      <c r="V485">
        <v>2.5031560000000001E-2</v>
      </c>
      <c r="W485">
        <v>0.18989120000000001</v>
      </c>
      <c r="X485">
        <v>0.98148599999999997</v>
      </c>
      <c r="Y485">
        <v>0.20034279999999999</v>
      </c>
      <c r="Z485">
        <v>-2.3057290000000001E-2</v>
      </c>
      <c r="AA485">
        <v>0.97945450000000001</v>
      </c>
      <c r="AB485">
        <v>29</v>
      </c>
      <c r="AC485">
        <v>0.45499999999998397</v>
      </c>
      <c r="AD485">
        <v>-0.157965199999999</v>
      </c>
      <c r="AE485">
        <v>-0.144399999999961</v>
      </c>
      <c r="AF485">
        <v>0.13166754891325999</v>
      </c>
      <c r="AG485">
        <v>-0.157965199999999</v>
      </c>
      <c r="AH485">
        <v>0.40960854616688702</v>
      </c>
      <c r="AI485">
        <v>110.160560895998</v>
      </c>
      <c r="AJ485">
        <v>72.180140067047802</v>
      </c>
      <c r="AK485">
        <v>0.45833231278278502</v>
      </c>
      <c r="AL485">
        <v>79.053565257979798</v>
      </c>
      <c r="AM485">
        <v>88.539060252125594</v>
      </c>
      <c r="AN485">
        <v>1.0000000075147299</v>
      </c>
    </row>
    <row r="486" spans="1:40" x14ac:dyDescent="0.25">
      <c r="A486" t="str">
        <f>"20190312172906433"</f>
        <v>20190312172906433</v>
      </c>
      <c r="B486" t="str">
        <f>"1552382946428388"</f>
        <v>1552382946428388</v>
      </c>
      <c r="C486" t="s">
        <v>40</v>
      </c>
      <c r="D486">
        <v>3.155548</v>
      </c>
      <c r="E486">
        <v>0.58015190000000005</v>
      </c>
      <c r="F486" t="s">
        <v>42</v>
      </c>
      <c r="G486">
        <v>-374.18610000000001</v>
      </c>
      <c r="H486">
        <v>0.94868019999999997</v>
      </c>
      <c r="I486">
        <v>367.18270000000001</v>
      </c>
      <c r="J486">
        <v>-374.74650000000003</v>
      </c>
      <c r="K486">
        <v>1.1098539999999999</v>
      </c>
      <c r="L486">
        <v>367.32990000000001</v>
      </c>
      <c r="M486">
        <v>0.99992570000000003</v>
      </c>
      <c r="N486">
        <v>0</v>
      </c>
      <c r="O486">
        <v>3.706385E-3</v>
      </c>
      <c r="P486">
        <v>0.98370519999999995</v>
      </c>
      <c r="Q486">
        <v>0.17849470000000001</v>
      </c>
      <c r="R486">
        <v>-2.1542720000000001E-2</v>
      </c>
      <c r="S486">
        <v>3.1657709999999999</v>
      </c>
      <c r="T486">
        <v>-0.71824129999999997</v>
      </c>
      <c r="U486">
        <v>-0.65255739999999995</v>
      </c>
      <c r="V486">
        <v>2.5196070000000001E-2</v>
      </c>
      <c r="W486">
        <v>0.18991089999999999</v>
      </c>
      <c r="X486">
        <v>0.98147799999999996</v>
      </c>
      <c r="Y486">
        <v>0.20053119999999999</v>
      </c>
      <c r="Z486">
        <v>-2.3059489999999998E-2</v>
      </c>
      <c r="AA486">
        <v>0.97941590000000001</v>
      </c>
      <c r="AB486">
        <v>29</v>
      </c>
      <c r="AC486">
        <v>0.560400000000015</v>
      </c>
      <c r="AD486">
        <v>-0.16117380000000001</v>
      </c>
      <c r="AE486">
        <v>-0.147199999999998</v>
      </c>
      <c r="AF486">
        <v>0.138555087487782</v>
      </c>
      <c r="AG486">
        <v>-0.16117380000000001</v>
      </c>
      <c r="AH486">
        <v>0.51964175408907198</v>
      </c>
      <c r="AI486">
        <v>106.68310117975599</v>
      </c>
      <c r="AJ486">
        <v>75.070234705785296</v>
      </c>
      <c r="AK486">
        <v>0.56142858732696799</v>
      </c>
      <c r="AL486">
        <v>79.052415840343997</v>
      </c>
      <c r="AM486">
        <v>88.529451026222802</v>
      </c>
      <c r="AN486">
        <v>1.0000000281831201</v>
      </c>
    </row>
    <row r="487" spans="1:40" x14ac:dyDescent="0.25">
      <c r="A487" t="str">
        <f>"20190312172906444"</f>
        <v>20190312172906444</v>
      </c>
      <c r="B487" t="str">
        <f>"1552382946438148"</f>
        <v>1552382946438148</v>
      </c>
      <c r="C487" t="s">
        <v>40</v>
      </c>
      <c r="D487">
        <v>3.1892510000000001</v>
      </c>
      <c r="E487">
        <v>0.58008479999999996</v>
      </c>
      <c r="F487" t="s">
        <v>42</v>
      </c>
      <c r="G487">
        <v>-373.93799999999999</v>
      </c>
      <c r="H487">
        <v>0.9264365</v>
      </c>
      <c r="I487">
        <v>367.16300000000001</v>
      </c>
      <c r="J487">
        <v>-374.59730000000002</v>
      </c>
      <c r="K487">
        <v>1.10985</v>
      </c>
      <c r="L487">
        <v>367.3304</v>
      </c>
      <c r="M487">
        <v>0.99992590000000003</v>
      </c>
      <c r="N487">
        <v>0</v>
      </c>
      <c r="O487">
        <v>3.706717E-3</v>
      </c>
      <c r="P487">
        <v>0.98371450000000005</v>
      </c>
      <c r="Q487">
        <v>0.17843020000000001</v>
      </c>
      <c r="R487">
        <v>-2.1647219999999998E-2</v>
      </c>
      <c r="S487">
        <v>3.1658019999999998</v>
      </c>
      <c r="T487">
        <v>-0.71829679999999996</v>
      </c>
      <c r="U487">
        <v>-0.65304569999999995</v>
      </c>
      <c r="V487">
        <v>2.5300929999999999E-2</v>
      </c>
      <c r="W487">
        <v>0.18982099999999999</v>
      </c>
      <c r="X487">
        <v>0.9814927</v>
      </c>
      <c r="Y487">
        <v>0.20067070000000001</v>
      </c>
      <c r="Z487">
        <v>-2.3076200000000002E-2</v>
      </c>
      <c r="AA487">
        <v>0.97938689999999995</v>
      </c>
      <c r="AB487">
        <v>29</v>
      </c>
      <c r="AC487">
        <v>0.65929999999997302</v>
      </c>
      <c r="AD487">
        <v>-0.18341350000000001</v>
      </c>
      <c r="AE487">
        <v>-0.167399999999986</v>
      </c>
      <c r="AF487">
        <v>0.15833138216849499</v>
      </c>
      <c r="AG487">
        <v>-0.18341350000000001</v>
      </c>
      <c r="AH487">
        <v>0.61403179160006405</v>
      </c>
      <c r="AI487">
        <v>106.132118613193</v>
      </c>
      <c r="AJ487">
        <v>75.540942546583196</v>
      </c>
      <c r="AK487">
        <v>0.66010936946631804</v>
      </c>
      <c r="AL487">
        <v>79.057662232606802</v>
      </c>
      <c r="AM487">
        <v>88.523355764750406</v>
      </c>
      <c r="AN487">
        <v>1.0000000346265701</v>
      </c>
    </row>
    <row r="488" spans="1:40" x14ac:dyDescent="0.25">
      <c r="A488" t="str">
        <f>"20190312172906456"</f>
        <v>20190312172906456</v>
      </c>
      <c r="B488" t="str">
        <f>"1552382946447908"</f>
        <v>1552382946447908</v>
      </c>
      <c r="C488" t="s">
        <v>40</v>
      </c>
      <c r="D488">
        <v>3.1949619999999999</v>
      </c>
      <c r="E488">
        <v>0.57994190000000001</v>
      </c>
      <c r="F488" t="s">
        <v>42</v>
      </c>
      <c r="G488">
        <v>-373.68950000000001</v>
      </c>
      <c r="H488">
        <v>0.90368749999999998</v>
      </c>
      <c r="I488">
        <v>367.14299999999997</v>
      </c>
      <c r="J488">
        <v>-374.44349999999997</v>
      </c>
      <c r="K488">
        <v>1.1098460000000001</v>
      </c>
      <c r="L488">
        <v>367.33100000000002</v>
      </c>
      <c r="M488">
        <v>0.99992630000000005</v>
      </c>
      <c r="N488">
        <v>0</v>
      </c>
      <c r="O488">
        <v>3.7067100000000002E-3</v>
      </c>
      <c r="P488">
        <v>0.98374410000000001</v>
      </c>
      <c r="Q488">
        <v>0.17827850000000001</v>
      </c>
      <c r="R488">
        <v>-2.1548990000000001E-2</v>
      </c>
      <c r="S488">
        <v>3.1657410000000001</v>
      </c>
      <c r="T488">
        <v>-0.71901630000000005</v>
      </c>
      <c r="U488">
        <v>-0.65234380000000003</v>
      </c>
      <c r="V488">
        <v>2.5203030000000001E-2</v>
      </c>
      <c r="W488">
        <v>0.1896407</v>
      </c>
      <c r="X488">
        <v>0.98153000000000001</v>
      </c>
      <c r="Y488">
        <v>0.2004609</v>
      </c>
      <c r="Z488">
        <v>-2.30764E-2</v>
      </c>
      <c r="AA488">
        <v>0.97942989999999996</v>
      </c>
      <c r="AB488">
        <v>29</v>
      </c>
      <c r="AC488">
        <v>0.75399999999996203</v>
      </c>
      <c r="AD488">
        <v>-0.206158499999999</v>
      </c>
      <c r="AE488">
        <v>-0.187999999999931</v>
      </c>
      <c r="AF488">
        <v>0.17824815890349399</v>
      </c>
      <c r="AG488">
        <v>-0.206158499999999</v>
      </c>
      <c r="AH488">
        <v>0.70376499594212305</v>
      </c>
      <c r="AI488">
        <v>105.852947314326</v>
      </c>
      <c r="AJ488">
        <v>75.787128163711202</v>
      </c>
      <c r="AK488">
        <v>0.75469126322500402</v>
      </c>
      <c r="AL488">
        <v>79.068182995480299</v>
      </c>
      <c r="AM488">
        <v>88.529122884469302</v>
      </c>
      <c r="AN488">
        <v>0.99999996435883398</v>
      </c>
    </row>
    <row r="489" spans="1:40" x14ac:dyDescent="0.25">
      <c r="A489" t="str">
        <f>"20190312172906468"</f>
        <v>20190312172906468</v>
      </c>
      <c r="B489" t="str">
        <f>"1552382946457668"</f>
        <v>1552382946457668</v>
      </c>
      <c r="C489" t="s">
        <v>40</v>
      </c>
      <c r="D489">
        <v>3.2205020000000002</v>
      </c>
      <c r="E489">
        <v>0.5799474</v>
      </c>
      <c r="F489" t="s">
        <v>42</v>
      </c>
      <c r="G489">
        <v>-373.67750000000001</v>
      </c>
      <c r="H489">
        <v>0.93570390000000003</v>
      </c>
      <c r="I489">
        <v>367.17309999999998</v>
      </c>
      <c r="J489">
        <v>-374.29419999999999</v>
      </c>
      <c r="K489">
        <v>1.109842</v>
      </c>
      <c r="L489">
        <v>367.33159999999998</v>
      </c>
      <c r="M489">
        <v>0.9999266</v>
      </c>
      <c r="N489">
        <v>0</v>
      </c>
      <c r="O489">
        <v>3.7070580000000001E-3</v>
      </c>
      <c r="P489">
        <v>0.98375429999999997</v>
      </c>
      <c r="Q489">
        <v>0.1782376</v>
      </c>
      <c r="R489">
        <v>-2.1423859999999999E-2</v>
      </c>
      <c r="S489">
        <v>3.1658019999999998</v>
      </c>
      <c r="T489">
        <v>-0.71978589999999998</v>
      </c>
      <c r="U489">
        <v>-0.65087890000000004</v>
      </c>
      <c r="V489">
        <v>2.5078059999999999E-2</v>
      </c>
      <c r="W489">
        <v>0.1895714</v>
      </c>
      <c r="X489">
        <v>0.98154660000000005</v>
      </c>
      <c r="Y489">
        <v>0.20002249999999999</v>
      </c>
      <c r="Z489">
        <v>-2.305246E-2</v>
      </c>
      <c r="AA489">
        <v>0.9795201</v>
      </c>
      <c r="AB489">
        <v>29</v>
      </c>
      <c r="AC489">
        <v>0.61669999999998004</v>
      </c>
      <c r="AD489">
        <v>-0.17413809999999899</v>
      </c>
      <c r="AE489">
        <v>-0.158500000000003</v>
      </c>
      <c r="AF489">
        <v>0.14959646699394299</v>
      </c>
      <c r="AG489">
        <v>-0.17413809999999899</v>
      </c>
      <c r="AH489">
        <v>0.57323435225949804</v>
      </c>
      <c r="AI489">
        <v>106.380027378186</v>
      </c>
      <c r="AJ489">
        <v>75.373785280617398</v>
      </c>
      <c r="AK489">
        <v>0.61749558979724395</v>
      </c>
      <c r="AL489">
        <v>79.072227082469297</v>
      </c>
      <c r="AM489">
        <v>88.536437835269794</v>
      </c>
      <c r="AN489">
        <v>0.999999976381441</v>
      </c>
    </row>
    <row r="490" spans="1:40" x14ac:dyDescent="0.25">
      <c r="A490" t="str">
        <f>"20190312172906480"</f>
        <v>20190312172906480</v>
      </c>
      <c r="B490" t="str">
        <f>"1552382946468404"</f>
        <v>1552382946468404</v>
      </c>
      <c r="C490" t="s">
        <v>40</v>
      </c>
      <c r="D490">
        <v>3.213438</v>
      </c>
      <c r="E490">
        <v>0.57993850000000002</v>
      </c>
      <c r="F490" t="s">
        <v>42</v>
      </c>
      <c r="G490">
        <v>-373.42880000000002</v>
      </c>
      <c r="H490">
        <v>0.91293329999999995</v>
      </c>
      <c r="I490">
        <v>367.15339999999998</v>
      </c>
      <c r="J490">
        <v>-374.14299999999997</v>
      </c>
      <c r="K490">
        <v>1.109836</v>
      </c>
      <c r="L490">
        <v>367.33210000000003</v>
      </c>
      <c r="M490">
        <v>0.99992689999999995</v>
      </c>
      <c r="N490">
        <v>0</v>
      </c>
      <c r="O490">
        <v>3.7072339999999998E-3</v>
      </c>
      <c r="P490">
        <v>0.98372969999999904</v>
      </c>
      <c r="Q490">
        <v>0.17837739999999999</v>
      </c>
      <c r="R490">
        <v>-2.1392609999999999E-2</v>
      </c>
      <c r="S490">
        <v>3.1658940000000002</v>
      </c>
      <c r="T490">
        <v>-0.72036650000000002</v>
      </c>
      <c r="U490">
        <v>-0.65090939999999997</v>
      </c>
      <c r="V490">
        <v>2.5046840000000001E-2</v>
      </c>
      <c r="W490">
        <v>0.18968099999999999</v>
      </c>
      <c r="X490">
        <v>0.98152629999999996</v>
      </c>
      <c r="Y490">
        <v>0.20001869999999999</v>
      </c>
      <c r="Z490">
        <v>-2.3069559999999999E-2</v>
      </c>
      <c r="AA490">
        <v>0.97952039999999996</v>
      </c>
      <c r="AB490">
        <v>29</v>
      </c>
      <c r="AC490">
        <v>0.71420000000000505</v>
      </c>
      <c r="AD490">
        <v>-0.19690270000000001</v>
      </c>
      <c r="AE490">
        <v>-0.17870000000004799</v>
      </c>
      <c r="AF490">
        <v>0.169240763057081</v>
      </c>
      <c r="AG490">
        <v>-0.19690270000000001</v>
      </c>
      <c r="AH490">
        <v>0.66590032551998202</v>
      </c>
      <c r="AI490">
        <v>105.99140365361301</v>
      </c>
      <c r="AJ490">
        <v>75.740007973693295</v>
      </c>
      <c r="AK490">
        <v>0.71472816698032204</v>
      </c>
      <c r="AL490">
        <v>79.065832258837204</v>
      </c>
      <c r="AM490">
        <v>88.538228832961806</v>
      </c>
      <c r="AN490">
        <v>1.0000000517733301</v>
      </c>
    </row>
    <row r="491" spans="1:40" x14ac:dyDescent="0.25">
      <c r="A491" t="str">
        <f>"20190312172906491"</f>
        <v>20190312172906491</v>
      </c>
      <c r="B491" t="str">
        <f>"1552382946487924"</f>
        <v>1552382946487924</v>
      </c>
      <c r="C491" t="s">
        <v>40</v>
      </c>
      <c r="D491">
        <v>3.1760459999999999</v>
      </c>
      <c r="E491">
        <v>0.57982719999999999</v>
      </c>
      <c r="F491" t="s">
        <v>42</v>
      </c>
      <c r="G491">
        <v>-373.41660000000002</v>
      </c>
      <c r="H491">
        <v>0.94462170000000001</v>
      </c>
      <c r="I491">
        <v>367.18259999999998</v>
      </c>
      <c r="J491">
        <v>-373.98939999999999</v>
      </c>
      <c r="K491">
        <v>1.1098319999999999</v>
      </c>
      <c r="L491">
        <v>367.33269999999999</v>
      </c>
      <c r="M491">
        <v>0.99992749999999997</v>
      </c>
      <c r="N491">
        <v>0</v>
      </c>
      <c r="O491">
        <v>3.7072310000000001E-3</v>
      </c>
      <c r="P491">
        <v>0.98375639999999998</v>
      </c>
      <c r="Q491">
        <v>0.178232</v>
      </c>
      <c r="R491">
        <v>-2.1378439999999999E-2</v>
      </c>
      <c r="S491">
        <v>3.1660460000000001</v>
      </c>
      <c r="T491">
        <v>-0.72019239999999995</v>
      </c>
      <c r="U491">
        <v>-0.65109249999999996</v>
      </c>
      <c r="V491">
        <v>2.5032869999999999E-2</v>
      </c>
      <c r="W491">
        <v>0.1895059</v>
      </c>
      <c r="X491">
        <v>0.9815604</v>
      </c>
      <c r="Y491">
        <v>0.2000654</v>
      </c>
      <c r="Z491">
        <v>-2.3068120000000001E-2</v>
      </c>
      <c r="AA491">
        <v>0.97951100000000002</v>
      </c>
      <c r="AB491">
        <v>29</v>
      </c>
      <c r="AC491">
        <v>0.572799999999972</v>
      </c>
      <c r="AD491">
        <v>-0.1652103</v>
      </c>
      <c r="AE491">
        <v>-0.150100000000009</v>
      </c>
      <c r="AF491">
        <v>0.14122879042194</v>
      </c>
      <c r="AG491">
        <v>-0.1652103</v>
      </c>
      <c r="AH491">
        <v>0.53091129278310301</v>
      </c>
      <c r="AI491">
        <v>106.737312255784</v>
      </c>
      <c r="AJ491">
        <v>75.103606323878097</v>
      </c>
      <c r="AK491">
        <v>0.57367832038064603</v>
      </c>
      <c r="AL491">
        <v>79.076049221671198</v>
      </c>
      <c r="AM491">
        <v>88.539094522180903</v>
      </c>
      <c r="AN491">
        <v>0.99999997478170299</v>
      </c>
    </row>
    <row r="492" spans="1:40" x14ac:dyDescent="0.25">
      <c r="A492" t="str">
        <f>"20190312172906503"</f>
        <v>20190312172906503</v>
      </c>
      <c r="B492" t="str">
        <f>"1552382946497684"</f>
        <v>1552382946497684</v>
      </c>
      <c r="C492" t="s">
        <v>40</v>
      </c>
      <c r="D492">
        <v>3.228199</v>
      </c>
      <c r="E492">
        <v>0.57988009999999901</v>
      </c>
      <c r="F492" t="s">
        <v>42</v>
      </c>
      <c r="G492">
        <v>-373.1678</v>
      </c>
      <c r="H492">
        <v>0.92269789999999996</v>
      </c>
      <c r="I492">
        <v>367.1635</v>
      </c>
      <c r="J492">
        <v>-373.83629999999999</v>
      </c>
      <c r="K492">
        <v>1.1098250000000001</v>
      </c>
      <c r="L492">
        <v>367.33330000000001</v>
      </c>
      <c r="M492">
        <v>0.99992769999999997</v>
      </c>
      <c r="N492">
        <v>0</v>
      </c>
      <c r="O492">
        <v>3.7075839999999999E-3</v>
      </c>
      <c r="P492">
        <v>0.98374139999999999</v>
      </c>
      <c r="Q492">
        <v>0.1783139</v>
      </c>
      <c r="R492">
        <v>-2.138584E-2</v>
      </c>
      <c r="S492">
        <v>3.1660460000000001</v>
      </c>
      <c r="T492">
        <v>-0.72112949999999998</v>
      </c>
      <c r="U492">
        <v>-0.650177</v>
      </c>
      <c r="V492">
        <v>2.5040429999999999E-2</v>
      </c>
      <c r="W492">
        <v>0.18955830000000001</v>
      </c>
      <c r="X492">
        <v>0.98155009999999998</v>
      </c>
      <c r="Y492">
        <v>0.19978760000000001</v>
      </c>
      <c r="Z492">
        <v>-2.30672E-2</v>
      </c>
      <c r="AA492">
        <v>0.97956759999999998</v>
      </c>
      <c r="AB492">
        <v>29</v>
      </c>
      <c r="AC492">
        <v>0.66849999999999399</v>
      </c>
      <c r="AD492">
        <v>-0.18712709999999999</v>
      </c>
      <c r="AE492">
        <v>-0.169800000000009</v>
      </c>
      <c r="AF492">
        <v>0.16046611466221</v>
      </c>
      <c r="AG492">
        <v>-0.18712709999999999</v>
      </c>
      <c r="AH492">
        <v>0.62207672692542604</v>
      </c>
      <c r="AI492">
        <v>106.239559092199</v>
      </c>
      <c r="AJ492">
        <v>75.535734797523602</v>
      </c>
      <c r="AK492">
        <v>0.66913778827043202</v>
      </c>
      <c r="AL492">
        <v>79.072991618890399</v>
      </c>
      <c r="AM492">
        <v>88.538638187591701</v>
      </c>
      <c r="AN492">
        <v>0.99999998552174196</v>
      </c>
    </row>
    <row r="493" spans="1:40" x14ac:dyDescent="0.25">
      <c r="A493" t="str">
        <f>"20190312172906523"</f>
        <v>20190312172906523</v>
      </c>
      <c r="B493" t="str">
        <f>"1552382946518180"</f>
        <v>1552382946518180</v>
      </c>
      <c r="C493" t="s">
        <v>40</v>
      </c>
      <c r="D493">
        <v>3.1875749999999998</v>
      </c>
      <c r="E493">
        <v>0.57980379999999998</v>
      </c>
      <c r="F493" t="s">
        <v>42</v>
      </c>
      <c r="G493">
        <v>-372.91849999999999</v>
      </c>
      <c r="H493">
        <v>0.90075329999999998</v>
      </c>
      <c r="I493">
        <v>367.14460000000003</v>
      </c>
      <c r="J493">
        <v>-373.58749999999998</v>
      </c>
      <c r="K493">
        <v>1.1098140000000001</v>
      </c>
      <c r="L493">
        <v>367.33420000000001</v>
      </c>
      <c r="M493">
        <v>0.99992820000000004</v>
      </c>
      <c r="N493">
        <v>0</v>
      </c>
      <c r="O493">
        <v>3.7076909999999999E-3</v>
      </c>
      <c r="P493">
        <v>0.98372000000000004</v>
      </c>
      <c r="Q493">
        <v>0.17842069999999999</v>
      </c>
      <c r="R493">
        <v>-2.1477710000000001E-2</v>
      </c>
      <c r="S493">
        <v>3.166229</v>
      </c>
      <c r="T493">
        <v>-0.72133590000000003</v>
      </c>
      <c r="U493">
        <v>-0.65026859999999997</v>
      </c>
      <c r="V493">
        <v>2.5132249999999998E-2</v>
      </c>
      <c r="W493">
        <v>0.18961639999999999</v>
      </c>
      <c r="X493">
        <v>0.98153659999999998</v>
      </c>
      <c r="Y493">
        <v>0.19980110000000001</v>
      </c>
      <c r="Z493">
        <v>-2.3073840000000002E-2</v>
      </c>
      <c r="AA493">
        <v>0.97956469999999995</v>
      </c>
      <c r="AB493">
        <v>29</v>
      </c>
      <c r="AC493">
        <v>0.66899999999998205</v>
      </c>
      <c r="AD493">
        <v>-0.20906069999999899</v>
      </c>
      <c r="AE493">
        <v>-0.189599999999984</v>
      </c>
      <c r="AF493">
        <v>0.17615585283466401</v>
      </c>
      <c r="AG493">
        <v>-0.20906069999999899</v>
      </c>
      <c r="AH493">
        <v>0.61289067502713102</v>
      </c>
      <c r="AI493">
        <v>108.150885148763</v>
      </c>
      <c r="AJ493">
        <v>73.964392827336397</v>
      </c>
      <c r="AK493">
        <v>0.67109778744055704</v>
      </c>
      <c r="AL493">
        <v>79.069601993948794</v>
      </c>
      <c r="AM493">
        <v>88.533261736012804</v>
      </c>
      <c r="AN493">
        <v>1.0000000531392801</v>
      </c>
    </row>
    <row r="494" spans="1:40" x14ac:dyDescent="0.25">
      <c r="A494" t="str">
        <f>"20190312172906546"</f>
        <v>20190312172906546</v>
      </c>
      <c r="B494" t="str">
        <f>"1552382946537700"</f>
        <v>1552382946537700</v>
      </c>
      <c r="C494" t="s">
        <v>40</v>
      </c>
      <c r="D494">
        <v>3.2010809999999998</v>
      </c>
      <c r="E494">
        <v>0.57973439999999998</v>
      </c>
      <c r="F494" t="s">
        <v>42</v>
      </c>
      <c r="G494">
        <v>-372.89819999999997</v>
      </c>
      <c r="H494">
        <v>0.95273229999999998</v>
      </c>
      <c r="I494">
        <v>367.1925</v>
      </c>
      <c r="J494">
        <v>-373.29340000000002</v>
      </c>
      <c r="K494">
        <v>1.1098059999999901</v>
      </c>
      <c r="L494">
        <v>367.33519999999999</v>
      </c>
      <c r="M494">
        <v>0.99992890000000001</v>
      </c>
      <c r="N494">
        <v>0</v>
      </c>
      <c r="O494">
        <v>3.7080239999999999E-3</v>
      </c>
      <c r="P494">
        <v>0.98375820000000003</v>
      </c>
      <c r="Q494">
        <v>0.17821149999999999</v>
      </c>
      <c r="R494">
        <v>-2.1460340000000001E-2</v>
      </c>
      <c r="S494">
        <v>3.1663209999999999</v>
      </c>
      <c r="T494">
        <v>-0.72160480000000005</v>
      </c>
      <c r="U494">
        <v>-0.6498718</v>
      </c>
      <c r="V494">
        <v>2.5115430000000001E-2</v>
      </c>
      <c r="W494">
        <v>0.1893505</v>
      </c>
      <c r="X494">
        <v>0.98158829999999997</v>
      </c>
      <c r="Y494">
        <v>0.19967760000000001</v>
      </c>
      <c r="Z494">
        <v>-2.3068180000000001E-2</v>
      </c>
      <c r="AA494">
        <v>0.97959010000000002</v>
      </c>
      <c r="AB494">
        <v>29</v>
      </c>
      <c r="AC494">
        <v>0.39520000000004502</v>
      </c>
      <c r="AD494">
        <v>-0.15707369999999901</v>
      </c>
      <c r="AE494">
        <v>-0.14269999999999</v>
      </c>
      <c r="AF494">
        <v>0.126487974604412</v>
      </c>
      <c r="AG494">
        <v>-0.15707369999999901</v>
      </c>
      <c r="AH494">
        <v>0.34627638578555697</v>
      </c>
      <c r="AI494">
        <v>113.07751022620501</v>
      </c>
      <c r="AJ494">
        <v>69.933742436807805</v>
      </c>
      <c r="AK494">
        <v>0.40072270999273801</v>
      </c>
      <c r="AL494">
        <v>79.085117373882696</v>
      </c>
      <c r="AM494">
        <v>88.534320103693702</v>
      </c>
      <c r="AN494">
        <v>0.99999999368561199</v>
      </c>
    </row>
    <row r="495" spans="1:40" x14ac:dyDescent="0.25">
      <c r="A495" t="str">
        <f>"20190312172906566"</f>
        <v>20190312172906566</v>
      </c>
      <c r="B495" t="str">
        <f>"1552382946558196"</f>
        <v>1552382946558196</v>
      </c>
      <c r="C495" t="s">
        <v>40</v>
      </c>
      <c r="D495">
        <v>3.3171520000000001</v>
      </c>
      <c r="E495">
        <v>0.57968439999999999</v>
      </c>
      <c r="F495" t="s">
        <v>42</v>
      </c>
      <c r="G495">
        <v>-372.4008</v>
      </c>
      <c r="H495">
        <v>0.90628640000000005</v>
      </c>
      <c r="I495">
        <v>367.15210000000002</v>
      </c>
      <c r="J495">
        <v>-373.02370000000002</v>
      </c>
      <c r="K495">
        <v>1.1097969999999999</v>
      </c>
      <c r="L495">
        <v>367.33620000000002</v>
      </c>
      <c r="M495">
        <v>0.99992950000000003</v>
      </c>
      <c r="N495">
        <v>0</v>
      </c>
      <c r="O495">
        <v>3.7085099999999999E-3</v>
      </c>
      <c r="P495">
        <v>0.9837224</v>
      </c>
      <c r="Q495">
        <v>0.178425799999999</v>
      </c>
      <c r="R495">
        <v>-2.13257E-2</v>
      </c>
      <c r="S495">
        <v>3.1661990000000002</v>
      </c>
      <c r="T495">
        <v>-0.72198370000000001</v>
      </c>
      <c r="U495">
        <v>-0.64855959999999901</v>
      </c>
      <c r="V495">
        <v>2.4981059999999999E-2</v>
      </c>
      <c r="W495">
        <v>0.18951100000000001</v>
      </c>
      <c r="X495">
        <v>0.98156080000000001</v>
      </c>
      <c r="Y495">
        <v>0.19929910000000001</v>
      </c>
      <c r="Z495">
        <v>-2.3039690000000002E-2</v>
      </c>
      <c r="AA495">
        <v>0.97966779999999998</v>
      </c>
      <c r="AB495">
        <v>29</v>
      </c>
      <c r="AC495">
        <v>0.622900000000015</v>
      </c>
      <c r="AD495">
        <v>-0.20351060000000001</v>
      </c>
      <c r="AE495">
        <v>-0.18410000000000001</v>
      </c>
      <c r="AF495">
        <v>0.169745438843766</v>
      </c>
      <c r="AG495">
        <v>-0.20351060000000001</v>
      </c>
      <c r="AH495">
        <v>0.56659205230271703</v>
      </c>
      <c r="AI495">
        <v>108.987024623159</v>
      </c>
      <c r="AJ495">
        <v>73.322298138378898</v>
      </c>
      <c r="AK495">
        <v>0.62550510154052896</v>
      </c>
      <c r="AL495">
        <v>79.075752322673196</v>
      </c>
      <c r="AM495">
        <v>88.542117414855198</v>
      </c>
      <c r="AN495">
        <v>1.00000003828818</v>
      </c>
    </row>
    <row r="496" spans="1:40" x14ac:dyDescent="0.25">
      <c r="A496" t="str">
        <f>"20190312172906577"</f>
        <v>20190312172906577</v>
      </c>
      <c r="B496" t="str">
        <f>"1552382946567956"</f>
        <v>1552382946567956</v>
      </c>
      <c r="C496" t="s">
        <v>40</v>
      </c>
      <c r="D496">
        <v>3.1862140000000001</v>
      </c>
      <c r="E496">
        <v>0.57706400000000002</v>
      </c>
      <c r="F496" t="s">
        <v>42</v>
      </c>
      <c r="G496">
        <v>-372.14159999999998</v>
      </c>
      <c r="H496">
        <v>0.90891080000000002</v>
      </c>
      <c r="I496">
        <v>367.15539999999999</v>
      </c>
      <c r="J496">
        <v>-372.87700000000001</v>
      </c>
      <c r="K496">
        <v>1.1097939999999999</v>
      </c>
      <c r="L496">
        <v>367.33679999999998</v>
      </c>
      <c r="M496">
        <v>0.99992990000000004</v>
      </c>
      <c r="N496">
        <v>0</v>
      </c>
      <c r="O496">
        <v>3.7084969999999998E-3</v>
      </c>
      <c r="P496">
        <v>0.98372199999999999</v>
      </c>
      <c r="Q496">
        <v>0.1784261</v>
      </c>
      <c r="R496">
        <v>-2.133583E-2</v>
      </c>
      <c r="S496">
        <v>3.1664119999999998</v>
      </c>
      <c r="T496">
        <v>-0.72127940000000001</v>
      </c>
      <c r="U496">
        <v>-0.64782709999999999</v>
      </c>
      <c r="V496">
        <v>2.49914E-2</v>
      </c>
      <c r="W496">
        <v>0.18948290000000001</v>
      </c>
      <c r="X496">
        <v>0.98156589999999999</v>
      </c>
      <c r="Y496">
        <v>0.19908390000000001</v>
      </c>
      <c r="Z496">
        <v>-2.2992820000000001E-2</v>
      </c>
      <c r="AA496">
        <v>0.97971269999999999</v>
      </c>
      <c r="AB496">
        <v>29</v>
      </c>
      <c r="AC496">
        <v>0.73539999999996997</v>
      </c>
      <c r="AD496">
        <v>-0.20088320000000001</v>
      </c>
      <c r="AE496">
        <v>-0.18139999999999601</v>
      </c>
      <c r="AF496">
        <v>0.17202623112462501</v>
      </c>
      <c r="AG496">
        <v>-0.20088320000000001</v>
      </c>
      <c r="AH496">
        <v>0.68643962216474597</v>
      </c>
      <c r="AI496">
        <v>105.847489549128</v>
      </c>
      <c r="AJ496">
        <v>75.931055426906198</v>
      </c>
      <c r="AK496">
        <v>0.73562656226842604</v>
      </c>
      <c r="AL496">
        <v>79.077391374297306</v>
      </c>
      <c r="AM496">
        <v>88.541521812738907</v>
      </c>
      <c r="AN496">
        <v>0.99999997775458904</v>
      </c>
    </row>
    <row r="497" spans="1:40" x14ac:dyDescent="0.25">
      <c r="A497" t="str">
        <f>"20190312172906590"</f>
        <v>20190312172906590</v>
      </c>
      <c r="B497" t="str">
        <f>"1552382946577717"</f>
        <v>1552382946577717</v>
      </c>
      <c r="C497" t="s">
        <v>40</v>
      </c>
      <c r="D497">
        <v>3.1812659999999999</v>
      </c>
      <c r="E497">
        <v>0.57708349999999997</v>
      </c>
      <c r="F497" t="s">
        <v>42</v>
      </c>
      <c r="G497">
        <v>-372.12830000000002</v>
      </c>
      <c r="H497">
        <v>0.94380629999999999</v>
      </c>
      <c r="I497">
        <v>367.18790000000001</v>
      </c>
      <c r="J497">
        <v>-372.73079999999999</v>
      </c>
      <c r="K497">
        <v>1.109788</v>
      </c>
      <c r="L497">
        <v>367.33730000000003</v>
      </c>
      <c r="M497">
        <v>0.99993030000000005</v>
      </c>
      <c r="N497">
        <v>0</v>
      </c>
      <c r="O497">
        <v>3.708842E-3</v>
      </c>
      <c r="P497">
        <v>0.98364249999999998</v>
      </c>
      <c r="Q497">
        <v>0.17886550000000001</v>
      </c>
      <c r="R497">
        <v>-2.1324160000000002E-2</v>
      </c>
      <c r="S497">
        <v>3.1632389999999999</v>
      </c>
      <c r="T497">
        <v>-0.70147399999999904</v>
      </c>
      <c r="U497">
        <v>-0.62756350000000005</v>
      </c>
      <c r="V497">
        <v>2.4979689999999999E-2</v>
      </c>
      <c r="W497">
        <v>0.18989259999999999</v>
      </c>
      <c r="X497">
        <v>0.981487</v>
      </c>
      <c r="Y497">
        <v>0.1936216</v>
      </c>
      <c r="Z497">
        <v>-2.1818489999999999E-2</v>
      </c>
      <c r="AA497">
        <v>0.98083359999999997</v>
      </c>
      <c r="AB497">
        <v>29</v>
      </c>
      <c r="AC497">
        <v>0.60249999999996295</v>
      </c>
      <c r="AD497">
        <v>-0.16598170000000001</v>
      </c>
      <c r="AE497">
        <v>-0.14940000000001399</v>
      </c>
      <c r="AF497">
        <v>0.14151566103548799</v>
      </c>
      <c r="AG497">
        <v>-0.16598170000000001</v>
      </c>
      <c r="AH497">
        <v>0.56177608267662904</v>
      </c>
      <c r="AI497">
        <v>105.987436745997</v>
      </c>
      <c r="AJ497">
        <v>75.8609349791341</v>
      </c>
      <c r="AK497">
        <v>0.60263502563384097</v>
      </c>
      <c r="AL497">
        <v>79.053483006513801</v>
      </c>
      <c r="AM497">
        <v>88.542087765055399</v>
      </c>
      <c r="AN497">
        <v>0.999999957808127</v>
      </c>
    </row>
    <row r="498" spans="1:40" x14ac:dyDescent="0.25">
      <c r="A498" t="str">
        <f>"20190312172906602"</f>
        <v>20190312172906602</v>
      </c>
      <c r="B498" t="str">
        <f>"1552382946598211"</f>
        <v>1552382946598211</v>
      </c>
      <c r="C498" t="s">
        <v>40</v>
      </c>
      <c r="D498">
        <v>3.2187329999999998</v>
      </c>
      <c r="E498">
        <v>0.576565199999999</v>
      </c>
      <c r="F498" t="s">
        <v>42</v>
      </c>
      <c r="G498">
        <v>-371.87920000000003</v>
      </c>
      <c r="H498">
        <v>0.91995099999999996</v>
      </c>
      <c r="I498">
        <v>367.16820000000001</v>
      </c>
      <c r="J498">
        <v>-372.57170000000002</v>
      </c>
      <c r="K498">
        <v>1.1097840000000001</v>
      </c>
      <c r="L498">
        <v>367.33789999999999</v>
      </c>
      <c r="M498">
        <v>0.99993050000000006</v>
      </c>
      <c r="N498">
        <v>0</v>
      </c>
      <c r="O498">
        <v>3.709024E-3</v>
      </c>
      <c r="P498">
        <v>0.98364249999999998</v>
      </c>
      <c r="Q498">
        <v>0.1788806</v>
      </c>
      <c r="R498">
        <v>-2.1196820000000002E-2</v>
      </c>
      <c r="S498">
        <v>3.1645810000000001</v>
      </c>
      <c r="T498">
        <v>-0.70554259999999902</v>
      </c>
      <c r="U498">
        <v>-0.62725830000000005</v>
      </c>
      <c r="V498">
        <v>2.4852470000000002E-2</v>
      </c>
      <c r="W498">
        <v>0.18987580000000001</v>
      </c>
      <c r="X498">
        <v>0.98149350000000002</v>
      </c>
      <c r="Y498">
        <v>0.1934071</v>
      </c>
      <c r="Z498">
        <v>-2.1909999999999999E-2</v>
      </c>
      <c r="AA498">
        <v>0.98087389999999997</v>
      </c>
      <c r="AB498">
        <v>29</v>
      </c>
      <c r="AC498">
        <v>0.69249999999999501</v>
      </c>
      <c r="AD498">
        <v>-0.189833</v>
      </c>
      <c r="AE498">
        <v>-0.16969999999997701</v>
      </c>
      <c r="AF498">
        <v>0.1608640523032</v>
      </c>
      <c r="AG498">
        <v>-0.189833</v>
      </c>
      <c r="AH498">
        <v>0.64606694282797295</v>
      </c>
      <c r="AI498">
        <v>105.914087732772</v>
      </c>
      <c r="AJ498">
        <v>76.018247165709695</v>
      </c>
      <c r="AK498">
        <v>0.69232673343407103</v>
      </c>
      <c r="AL498">
        <v>79.054463632167497</v>
      </c>
      <c r="AM498">
        <v>88.549519242665497</v>
      </c>
      <c r="AN498">
        <v>0.99999997761649495</v>
      </c>
    </row>
    <row r="499" spans="1:40" x14ac:dyDescent="0.25">
      <c r="A499" t="str">
        <f>"20190312172906614"</f>
        <v>20190312172906614</v>
      </c>
      <c r="B499" t="str">
        <f>"1552382946607972"</f>
        <v>1552382946607972</v>
      </c>
      <c r="C499" t="s">
        <v>40</v>
      </c>
      <c r="D499">
        <v>3.2116980000000002</v>
      </c>
      <c r="E499">
        <v>0.57729090000000005</v>
      </c>
      <c r="F499" t="s">
        <v>42</v>
      </c>
      <c r="G499">
        <v>-371.86599999999999</v>
      </c>
      <c r="H499">
        <v>0.95298660000000002</v>
      </c>
      <c r="I499">
        <v>367.1986</v>
      </c>
      <c r="J499">
        <v>-372.4135</v>
      </c>
      <c r="K499">
        <v>1.10978</v>
      </c>
      <c r="L499">
        <v>367.33850000000001</v>
      </c>
      <c r="M499">
        <v>0.99993089999999996</v>
      </c>
      <c r="N499">
        <v>0</v>
      </c>
      <c r="O499">
        <v>3.7093920000000002E-3</v>
      </c>
      <c r="P499">
        <v>0.98360400000000003</v>
      </c>
      <c r="Q499">
        <v>0.17910789999999999</v>
      </c>
      <c r="R499">
        <v>-2.106013E-2</v>
      </c>
      <c r="S499">
        <v>3.1643370000000002</v>
      </c>
      <c r="T499">
        <v>-0.70317850000000004</v>
      </c>
      <c r="U499">
        <v>-0.62298580000000003</v>
      </c>
      <c r="V499">
        <v>2.4715979999999999E-2</v>
      </c>
      <c r="W499">
        <v>0.19006960000000001</v>
      </c>
      <c r="X499">
        <v>0.98145939999999998</v>
      </c>
      <c r="Y499">
        <v>0.19220400000000001</v>
      </c>
      <c r="Z499">
        <v>-2.1711859999999999E-2</v>
      </c>
      <c r="AA499">
        <v>0.98111479999999995</v>
      </c>
      <c r="AB499">
        <v>29</v>
      </c>
      <c r="AC499">
        <v>0.54750000000001298</v>
      </c>
      <c r="AD499">
        <v>-0.156793399999999</v>
      </c>
      <c r="AE499">
        <v>-0.13990000000001099</v>
      </c>
      <c r="AF499">
        <v>0.131784354957732</v>
      </c>
      <c r="AG499">
        <v>-0.156793399999999</v>
      </c>
      <c r="AH499">
        <v>0.50787723917234795</v>
      </c>
      <c r="AI499">
        <v>106.637557864809</v>
      </c>
      <c r="AJ499">
        <v>75.453655612216195</v>
      </c>
      <c r="AK499">
        <v>0.54762265892173501</v>
      </c>
      <c r="AL499">
        <v>79.043153367788193</v>
      </c>
      <c r="AM499">
        <v>88.557431823626104</v>
      </c>
      <c r="AN499">
        <v>0.99999994317993801</v>
      </c>
    </row>
    <row r="500" spans="1:40" x14ac:dyDescent="0.25">
      <c r="A500" t="str">
        <f>"20190312172906626"</f>
        <v>20190312172906626</v>
      </c>
      <c r="B500" t="str">
        <f>"1552382946617733"</f>
        <v>1552382946617733</v>
      </c>
      <c r="C500" t="s">
        <v>40</v>
      </c>
      <c r="D500">
        <v>3.2487219999999999</v>
      </c>
      <c r="E500">
        <v>0.57789239999999997</v>
      </c>
      <c r="F500" t="s">
        <v>42</v>
      </c>
      <c r="G500">
        <v>-371.61619999999999</v>
      </c>
      <c r="H500">
        <v>0.93177679999999996</v>
      </c>
      <c r="I500">
        <v>367.1798</v>
      </c>
      <c r="J500">
        <v>-372.26429999999999</v>
      </c>
      <c r="K500">
        <v>1.1097760000000001</v>
      </c>
      <c r="L500">
        <v>367.339</v>
      </c>
      <c r="M500">
        <v>0.99993129999999997</v>
      </c>
      <c r="N500">
        <v>0</v>
      </c>
      <c r="O500">
        <v>3.7095740000000002E-3</v>
      </c>
      <c r="P500">
        <v>0.98355539999999997</v>
      </c>
      <c r="Q500">
        <v>0.17937690000000001</v>
      </c>
      <c r="R500">
        <v>-2.1044589999999998E-2</v>
      </c>
      <c r="S500">
        <v>3.1652830000000001</v>
      </c>
      <c r="T500">
        <v>-0.70687699999999998</v>
      </c>
      <c r="U500">
        <v>-0.62789919999999899</v>
      </c>
      <c r="V500">
        <v>2.470054E-2</v>
      </c>
      <c r="W500">
        <v>0.19030639999999999</v>
      </c>
      <c r="X500">
        <v>0.98141400000000001</v>
      </c>
      <c r="Y500">
        <v>0.19353880000000001</v>
      </c>
      <c r="Z500">
        <v>-2.1959909999999999E-2</v>
      </c>
      <c r="AA500">
        <v>0.98084680000000002</v>
      </c>
      <c r="AB500">
        <v>29</v>
      </c>
      <c r="AC500">
        <v>0.64809999999999901</v>
      </c>
      <c r="AD500">
        <v>-0.1779992</v>
      </c>
      <c r="AE500">
        <v>-0.15919999999999801</v>
      </c>
      <c r="AF500">
        <v>0.150870469971741</v>
      </c>
      <c r="AG500">
        <v>-0.1779992</v>
      </c>
      <c r="AH500">
        <v>0.60450138108139495</v>
      </c>
      <c r="AI500">
        <v>105.944259193847</v>
      </c>
      <c r="AJ500">
        <v>75.986495314604099</v>
      </c>
      <c r="AK500">
        <v>0.64797186176519195</v>
      </c>
      <c r="AL500">
        <v>79.029334567700801</v>
      </c>
      <c r="AM500">
        <v>88.558265948212593</v>
      </c>
      <c r="AN500">
        <v>1.0000000409766201</v>
      </c>
    </row>
    <row r="501" spans="1:40" x14ac:dyDescent="0.25">
      <c r="A501" t="str">
        <f>"20190312172906645"</f>
        <v>20190312172906645</v>
      </c>
      <c r="B501" t="str">
        <f>"1552382946638228"</f>
        <v>1552382946638228</v>
      </c>
      <c r="C501" t="s">
        <v>40</v>
      </c>
      <c r="D501">
        <v>3.1888139999999998</v>
      </c>
      <c r="E501">
        <v>0.5782195</v>
      </c>
      <c r="F501" t="s">
        <v>42</v>
      </c>
      <c r="G501">
        <v>-371.36619999999999</v>
      </c>
      <c r="H501">
        <v>0.90851380000000004</v>
      </c>
      <c r="I501">
        <v>367.15929999999997</v>
      </c>
      <c r="J501">
        <v>-372.01429999999999</v>
      </c>
      <c r="K501">
        <v>1.109769</v>
      </c>
      <c r="L501">
        <v>367.3399</v>
      </c>
      <c r="M501">
        <v>0.99993180000000004</v>
      </c>
      <c r="N501">
        <v>0</v>
      </c>
      <c r="O501">
        <v>3.7097160000000001E-3</v>
      </c>
      <c r="P501">
        <v>0.98344520000000002</v>
      </c>
      <c r="Q501">
        <v>0.17997669999999999</v>
      </c>
      <c r="R501">
        <v>-2.1069839999999999E-2</v>
      </c>
      <c r="S501">
        <v>3.1660159999999999</v>
      </c>
      <c r="T501">
        <v>-0.70956750000000002</v>
      </c>
      <c r="U501">
        <v>-0.6328125</v>
      </c>
      <c r="V501">
        <v>2.4725549999999999E-2</v>
      </c>
      <c r="W501">
        <v>0.19084899999999999</v>
      </c>
      <c r="X501">
        <v>0.98130799999999996</v>
      </c>
      <c r="Y501">
        <v>0.19489580000000001</v>
      </c>
      <c r="Z501">
        <v>-2.2182259999999999E-2</v>
      </c>
      <c r="AA501">
        <v>0.98057309999999998</v>
      </c>
      <c r="AB501">
        <v>29</v>
      </c>
      <c r="AC501">
        <v>0.64809999999999901</v>
      </c>
      <c r="AD501">
        <v>-0.2012552</v>
      </c>
      <c r="AE501">
        <v>-0.18060000000002599</v>
      </c>
      <c r="AF501">
        <v>0.167972769145662</v>
      </c>
      <c r="AG501">
        <v>-0.2012552</v>
      </c>
      <c r="AH501">
        <v>0.59425122087319404</v>
      </c>
      <c r="AI501">
        <v>108.05083717943501</v>
      </c>
      <c r="AJ501">
        <v>74.216371130620999</v>
      </c>
      <c r="AK501">
        <v>0.64950213256831102</v>
      </c>
      <c r="AL501">
        <v>78.997665464782401</v>
      </c>
      <c r="AM501">
        <v>88.556650942018294</v>
      </c>
      <c r="AN501">
        <v>1.0000000422438999</v>
      </c>
    </row>
    <row r="502" spans="1:40" x14ac:dyDescent="0.25">
      <c r="A502" t="str">
        <f>"20190312172906656"</f>
        <v>20190312172906656</v>
      </c>
      <c r="B502" t="str">
        <f>"1552382946647988"</f>
        <v>1552382946647988</v>
      </c>
      <c r="C502" t="s">
        <v>40</v>
      </c>
      <c r="D502">
        <v>3.1912780000000001</v>
      </c>
      <c r="E502">
        <v>0.57812319999999995</v>
      </c>
      <c r="F502" t="s">
        <v>42</v>
      </c>
      <c r="G502">
        <v>-371.108</v>
      </c>
      <c r="H502">
        <v>0.90631019999999896</v>
      </c>
      <c r="I502">
        <v>367.15769999999998</v>
      </c>
      <c r="J502">
        <v>-371.86160000000001</v>
      </c>
      <c r="K502">
        <v>1.109764</v>
      </c>
      <c r="L502">
        <v>367.34050000000002</v>
      </c>
      <c r="M502">
        <v>0.9999323</v>
      </c>
      <c r="N502">
        <v>0</v>
      </c>
      <c r="O502">
        <v>3.7097359999999999E-3</v>
      </c>
      <c r="P502">
        <v>0.98342680000000005</v>
      </c>
      <c r="Q502">
        <v>0.18007819999999999</v>
      </c>
      <c r="R502">
        <v>-2.1064659999999999E-2</v>
      </c>
      <c r="S502">
        <v>3.1670229999999999</v>
      </c>
      <c r="T502">
        <v>-0.71101769999999997</v>
      </c>
      <c r="U502">
        <v>-0.63510129999999998</v>
      </c>
      <c r="V502">
        <v>2.47204E-2</v>
      </c>
      <c r="W502">
        <v>0.19091449999999999</v>
      </c>
      <c r="X502">
        <v>0.98129529999999998</v>
      </c>
      <c r="Y502">
        <v>0.19548760000000001</v>
      </c>
      <c r="Z502">
        <v>-2.2283250000000001E-2</v>
      </c>
      <c r="AA502">
        <v>0.98045300000000002</v>
      </c>
      <c r="AB502">
        <v>29</v>
      </c>
      <c r="AC502">
        <v>0.75360000000000504</v>
      </c>
      <c r="AD502">
        <v>-0.20345379999999999</v>
      </c>
      <c r="AE502">
        <v>-0.18280000000004201</v>
      </c>
      <c r="AF502">
        <v>0.173641662048381</v>
      </c>
      <c r="AG502">
        <v>-0.20345379999999999</v>
      </c>
      <c r="AH502">
        <v>0.70442629952055902</v>
      </c>
      <c r="AI502">
        <v>105.664975437187</v>
      </c>
      <c r="AJ502">
        <v>76.152606033380906</v>
      </c>
      <c r="AK502">
        <v>0.753499360974906</v>
      </c>
      <c r="AL502">
        <v>78.993841324310694</v>
      </c>
      <c r="AM502">
        <v>88.556932776963293</v>
      </c>
      <c r="AN502">
        <v>0.999999955144249</v>
      </c>
    </row>
    <row r="503" spans="1:40" x14ac:dyDescent="0.25">
      <c r="A503" t="str">
        <f>"20190312172906667"</f>
        <v>20190312172906667</v>
      </c>
      <c r="B503" t="str">
        <f>"1552382946657748"</f>
        <v>1552382946657748</v>
      </c>
      <c r="C503" t="s">
        <v>40</v>
      </c>
      <c r="D503">
        <v>3.1906629999999998</v>
      </c>
      <c r="E503">
        <v>0.57831639999999995</v>
      </c>
      <c r="F503" t="s">
        <v>42</v>
      </c>
      <c r="G503">
        <v>-371.09609999999998</v>
      </c>
      <c r="H503">
        <v>0.93789029999999995</v>
      </c>
      <c r="I503">
        <v>367.18680000000001</v>
      </c>
      <c r="J503">
        <v>-371.7176</v>
      </c>
      <c r="K503">
        <v>1.109761</v>
      </c>
      <c r="L503">
        <v>367.34100000000001</v>
      </c>
      <c r="M503">
        <v>0.99993279999999995</v>
      </c>
      <c r="N503">
        <v>0</v>
      </c>
      <c r="O503">
        <v>3.709805E-3</v>
      </c>
      <c r="P503">
        <v>0.98343219999999998</v>
      </c>
      <c r="Q503">
        <v>0.18006059999999999</v>
      </c>
      <c r="R503">
        <v>-2.096456E-2</v>
      </c>
      <c r="S503">
        <v>3.1672060000000002</v>
      </c>
      <c r="T503">
        <v>-0.71120799999999995</v>
      </c>
      <c r="U503">
        <v>-0.63415529999999998</v>
      </c>
      <c r="V503">
        <v>2.4620309999999999E-2</v>
      </c>
      <c r="W503">
        <v>0.1908639</v>
      </c>
      <c r="X503">
        <v>0.9813077</v>
      </c>
      <c r="Y503">
        <v>0.1951997</v>
      </c>
      <c r="Z503">
        <v>-2.2256850000000002E-2</v>
      </c>
      <c r="AA503">
        <v>0.98051100000000002</v>
      </c>
      <c r="AB503">
        <v>29</v>
      </c>
      <c r="AC503">
        <v>0.62150000000002503</v>
      </c>
      <c r="AD503">
        <v>-0.17187069999999899</v>
      </c>
      <c r="AE503">
        <v>-0.154200000000003</v>
      </c>
      <c r="AF503">
        <v>0.145987675571145</v>
      </c>
      <c r="AG503">
        <v>-0.17187069999999899</v>
      </c>
      <c r="AH503">
        <v>0.57919785045140404</v>
      </c>
      <c r="AI503">
        <v>106.052636749952</v>
      </c>
      <c r="AJ503">
        <v>75.853183068493607</v>
      </c>
      <c r="AK503">
        <v>0.621548138847413</v>
      </c>
      <c r="AL503">
        <v>78.996795245009295</v>
      </c>
      <c r="AM503">
        <v>88.562791284724398</v>
      </c>
      <c r="AN503">
        <v>0.99999999503349801</v>
      </c>
    </row>
    <row r="504" spans="1:40" x14ac:dyDescent="0.25">
      <c r="A504" t="str">
        <f>"20190312172906679"</f>
        <v>20190312172906679</v>
      </c>
      <c r="B504" t="str">
        <f>"1552382946668485"</f>
        <v>1552382946668485</v>
      </c>
      <c r="C504" t="s">
        <v>40</v>
      </c>
      <c r="D504">
        <v>3.2213880000000001</v>
      </c>
      <c r="E504">
        <v>0.5787139</v>
      </c>
      <c r="F504" t="s">
        <v>42</v>
      </c>
      <c r="G504">
        <v>-370.8458</v>
      </c>
      <c r="H504">
        <v>0.91390709999999997</v>
      </c>
      <c r="I504">
        <v>367.16579999999999</v>
      </c>
      <c r="J504">
        <v>-371.56650000000002</v>
      </c>
      <c r="K504">
        <v>1.109756</v>
      </c>
      <c r="L504">
        <v>367.34160000000003</v>
      </c>
      <c r="M504">
        <v>0.99993310000000002</v>
      </c>
      <c r="N504">
        <v>0</v>
      </c>
      <c r="O504">
        <v>3.7100039999999998E-3</v>
      </c>
      <c r="P504">
        <v>0.98339469999999995</v>
      </c>
      <c r="Q504">
        <v>0.1802684</v>
      </c>
      <c r="R504">
        <v>-2.0941089999999999E-2</v>
      </c>
      <c r="S504">
        <v>3.1672669999999998</v>
      </c>
      <c r="T504">
        <v>-0.71156869999999905</v>
      </c>
      <c r="U504">
        <v>-0.6355286</v>
      </c>
      <c r="V504">
        <v>2.4596679999999999E-2</v>
      </c>
      <c r="W504">
        <v>0.19103619999999999</v>
      </c>
      <c r="X504">
        <v>0.9812748</v>
      </c>
      <c r="Y504">
        <v>0.1955915</v>
      </c>
      <c r="Z504">
        <v>-2.2309659999999999E-2</v>
      </c>
      <c r="AA504">
        <v>0.98043170000000002</v>
      </c>
      <c r="AB504">
        <v>29</v>
      </c>
      <c r="AC504">
        <v>0.72070000000002199</v>
      </c>
      <c r="AD504">
        <v>-0.19584889999999999</v>
      </c>
      <c r="AE504">
        <v>-0.17580000000003701</v>
      </c>
      <c r="AF504">
        <v>0.16684377082169599</v>
      </c>
      <c r="AG504">
        <v>-0.19584889999999999</v>
      </c>
      <c r="AH504">
        <v>0.67312602402597499</v>
      </c>
      <c r="AI504">
        <v>105.77012936941</v>
      </c>
      <c r="AJ504">
        <v>76.078994063011905</v>
      </c>
      <c r="AK504">
        <v>0.72061937228625095</v>
      </c>
      <c r="AL504">
        <v>78.986738515807204</v>
      </c>
      <c r="AM504">
        <v>88.564121986368605</v>
      </c>
      <c r="AN504">
        <v>1.0000000297462499</v>
      </c>
    </row>
    <row r="505" spans="1:40" x14ac:dyDescent="0.25">
      <c r="A505" t="str">
        <f>"20190312172906690"</f>
        <v>20190312172906690</v>
      </c>
      <c r="B505" t="str">
        <f>"1552382946688004"</f>
        <v>1552382946688004</v>
      </c>
      <c r="C505" t="s">
        <v>40</v>
      </c>
      <c r="D505">
        <v>3.199484</v>
      </c>
      <c r="E505">
        <v>0.57883869999999904</v>
      </c>
      <c r="F505" t="s">
        <v>42</v>
      </c>
      <c r="G505">
        <v>-370.83370000000002</v>
      </c>
      <c r="H505">
        <v>0.94505170000000005</v>
      </c>
      <c r="I505">
        <v>367.1936</v>
      </c>
      <c r="J505">
        <v>-371.4153</v>
      </c>
      <c r="K505">
        <v>1.109753</v>
      </c>
      <c r="L505">
        <v>367.34210000000002</v>
      </c>
      <c r="M505">
        <v>0.99993339999999997</v>
      </c>
      <c r="N505">
        <v>0</v>
      </c>
      <c r="O505">
        <v>3.710208E-3</v>
      </c>
      <c r="P505">
        <v>0.98337940000000001</v>
      </c>
      <c r="Q505">
        <v>0.18033840000000001</v>
      </c>
      <c r="R505">
        <v>-2.1058500000000001E-2</v>
      </c>
      <c r="S505">
        <v>3.1676030000000002</v>
      </c>
      <c r="T505">
        <v>-0.71196519999999996</v>
      </c>
      <c r="U505">
        <v>-0.63858029999999999</v>
      </c>
      <c r="V505">
        <v>2.4714320000000001E-2</v>
      </c>
      <c r="W505">
        <v>0.1910694</v>
      </c>
      <c r="X505">
        <v>0.98126539999999995</v>
      </c>
      <c r="Y505">
        <v>0.19645550000000001</v>
      </c>
      <c r="Z505">
        <v>-2.241253E-2</v>
      </c>
      <c r="AA505">
        <v>0.98025660000000003</v>
      </c>
      <c r="AB505">
        <v>29</v>
      </c>
      <c r="AC505">
        <v>0.58159999999998002</v>
      </c>
      <c r="AD505">
        <v>-0.16470129999999999</v>
      </c>
      <c r="AE505">
        <v>-0.14850000000001201</v>
      </c>
      <c r="AF505">
        <v>0.140108679878123</v>
      </c>
      <c r="AG505">
        <v>-0.16470129999999999</v>
      </c>
      <c r="AH505">
        <v>0.54036299165290702</v>
      </c>
      <c r="AI505">
        <v>106.438226668558</v>
      </c>
      <c r="AJ505">
        <v>75.464097249958201</v>
      </c>
      <c r="AK505">
        <v>0.582021583059391</v>
      </c>
      <c r="AL505">
        <v>78.984800816435296</v>
      </c>
      <c r="AM505">
        <v>88.557243608245201</v>
      </c>
      <c r="AN505">
        <v>1.0000000492332899</v>
      </c>
    </row>
    <row r="506" spans="1:40" x14ac:dyDescent="0.25">
      <c r="A506" t="str">
        <f>"20190312172906702"</f>
        <v>20190312172906702</v>
      </c>
      <c r="B506" t="str">
        <f>"1552382946697764"</f>
        <v>1552382946697764</v>
      </c>
      <c r="C506" t="s">
        <v>40</v>
      </c>
      <c r="D506">
        <v>3.1921010000000001</v>
      </c>
      <c r="E506">
        <v>0.57878999999999903</v>
      </c>
      <c r="F506" t="s">
        <v>42</v>
      </c>
      <c r="G506">
        <v>-370.5829</v>
      </c>
      <c r="H506">
        <v>0.92275309999999999</v>
      </c>
      <c r="I506">
        <v>367.17360000000002</v>
      </c>
      <c r="J506">
        <v>-371.26949999999999</v>
      </c>
      <c r="K506">
        <v>1.10975</v>
      </c>
      <c r="L506">
        <v>367.34269999999998</v>
      </c>
      <c r="M506">
        <v>0.99993399999999999</v>
      </c>
      <c r="N506">
        <v>0</v>
      </c>
      <c r="O506">
        <v>3.7102279999999999E-3</v>
      </c>
      <c r="P506">
        <v>0.98332759999999997</v>
      </c>
      <c r="Q506">
        <v>0.18061630000000001</v>
      </c>
      <c r="R506">
        <v>-2.1090589999999999E-2</v>
      </c>
      <c r="S506">
        <v>3.1675420000000001</v>
      </c>
      <c r="T506">
        <v>-0.71168229999999999</v>
      </c>
      <c r="U506">
        <v>-0.64001459999999999</v>
      </c>
      <c r="V506">
        <v>2.474645E-2</v>
      </c>
      <c r="W506">
        <v>0.19131090000000001</v>
      </c>
      <c r="X506">
        <v>0.98121749999999996</v>
      </c>
      <c r="Y506">
        <v>0.19687959999999999</v>
      </c>
      <c r="Z506">
        <v>-2.2449899999999998E-2</v>
      </c>
      <c r="AA506">
        <v>0.9801706</v>
      </c>
      <c r="AB506">
        <v>29</v>
      </c>
      <c r="AC506">
        <v>0.68659999999999799</v>
      </c>
      <c r="AD506">
        <v>-0.18699689999999999</v>
      </c>
      <c r="AE506">
        <v>-0.16909999999995701</v>
      </c>
      <c r="AF506">
        <v>0.16042716825428399</v>
      </c>
      <c r="AG506">
        <v>-0.18699689999999999</v>
      </c>
      <c r="AH506">
        <v>0.64113117977866196</v>
      </c>
      <c r="AI506">
        <v>105.798526144134</v>
      </c>
      <c r="AJ506">
        <v>75.951613959971496</v>
      </c>
      <c r="AK506">
        <v>0.68684343675111104</v>
      </c>
      <c r="AL506">
        <v>78.970703454869394</v>
      </c>
      <c r="AM506">
        <v>88.555298245923694</v>
      </c>
      <c r="AN506">
        <v>1.0000000147763299</v>
      </c>
    </row>
    <row r="507" spans="1:40" x14ac:dyDescent="0.25">
      <c r="A507" t="str">
        <f>"20190312172906715"</f>
        <v>20190312172906715</v>
      </c>
      <c r="B507" t="str">
        <f>"1552382946708501"</f>
        <v>1552382946708501</v>
      </c>
      <c r="C507" t="s">
        <v>40</v>
      </c>
      <c r="D507">
        <v>3.311064</v>
      </c>
      <c r="E507">
        <v>0.57852789999999998</v>
      </c>
      <c r="F507" t="s">
        <v>42</v>
      </c>
      <c r="G507">
        <v>-370.57080000000002</v>
      </c>
      <c r="H507">
        <v>0.95292679999999996</v>
      </c>
      <c r="I507">
        <v>367.2013</v>
      </c>
      <c r="J507">
        <v>-371.10919999999999</v>
      </c>
      <c r="K507">
        <v>1.109742</v>
      </c>
      <c r="L507">
        <v>367.3433</v>
      </c>
      <c r="M507">
        <v>0.9999344</v>
      </c>
      <c r="N507">
        <v>0</v>
      </c>
      <c r="O507">
        <v>3.710456E-3</v>
      </c>
      <c r="P507">
        <v>0.98327889999999996</v>
      </c>
      <c r="Q507">
        <v>0.18089259999999999</v>
      </c>
      <c r="R507">
        <v>-2.098887E-2</v>
      </c>
      <c r="S507">
        <v>3.1677550000000001</v>
      </c>
      <c r="T507">
        <v>-0.7110225</v>
      </c>
      <c r="U507">
        <v>-0.63952640000000005</v>
      </c>
      <c r="V507">
        <v>2.4644849999999999E-2</v>
      </c>
      <c r="W507">
        <v>0.1915463</v>
      </c>
      <c r="X507">
        <v>0.98117410000000005</v>
      </c>
      <c r="Y507">
        <v>0.19673450000000001</v>
      </c>
      <c r="Z507">
        <v>-2.2412580000000001E-2</v>
      </c>
      <c r="AA507">
        <v>0.98020059999999998</v>
      </c>
      <c r="AB507">
        <v>29</v>
      </c>
      <c r="AC507">
        <v>0.53839999999996702</v>
      </c>
      <c r="AD507">
        <v>-0.15681519999999999</v>
      </c>
      <c r="AE507">
        <v>-0.14199999999999499</v>
      </c>
      <c r="AF507">
        <v>0.13341491661605201</v>
      </c>
      <c r="AG507">
        <v>-0.15681519999999999</v>
      </c>
      <c r="AH507">
        <v>0.49834283573830002</v>
      </c>
      <c r="AI507">
        <v>106.907631433665</v>
      </c>
      <c r="AJ507">
        <v>75.012405932515804</v>
      </c>
      <c r="AK507">
        <v>0.53919952601833598</v>
      </c>
      <c r="AL507">
        <v>78.956961556566498</v>
      </c>
      <c r="AM507">
        <v>88.561163557967006</v>
      </c>
      <c r="AN507">
        <v>0.99999998409301105</v>
      </c>
    </row>
    <row r="508" spans="1:40" x14ac:dyDescent="0.25">
      <c r="A508" t="str">
        <f>"20190312172906735"</f>
        <v>20190312172906735</v>
      </c>
      <c r="B508" t="str">
        <f>"1552382946728020"</f>
        <v>1552382946728020</v>
      </c>
      <c r="C508" t="s">
        <v>40</v>
      </c>
      <c r="D508">
        <v>3.2125880000000002</v>
      </c>
      <c r="E508">
        <v>0.57815879999999997</v>
      </c>
      <c r="F508" t="s">
        <v>42</v>
      </c>
      <c r="G508">
        <v>-370.31920000000002</v>
      </c>
      <c r="H508">
        <v>0.93303990000000003</v>
      </c>
      <c r="I508">
        <v>367.18430000000001</v>
      </c>
      <c r="J508">
        <v>-370.84769999999997</v>
      </c>
      <c r="K508">
        <v>1.1097330000000001</v>
      </c>
      <c r="L508">
        <v>367.34429999999998</v>
      </c>
      <c r="M508">
        <v>0.99993520000000002</v>
      </c>
      <c r="N508">
        <v>0</v>
      </c>
      <c r="O508">
        <v>3.7106510000000001E-3</v>
      </c>
      <c r="P508">
        <v>0.98334379999999999</v>
      </c>
      <c r="Q508">
        <v>0.1805484</v>
      </c>
      <c r="R508">
        <v>-2.0913950000000001E-2</v>
      </c>
      <c r="S508">
        <v>3.1677550000000001</v>
      </c>
      <c r="T508">
        <v>-0.70857199999999998</v>
      </c>
      <c r="U508">
        <v>-0.63720699999999997</v>
      </c>
      <c r="V508">
        <v>2.4570249999999998E-2</v>
      </c>
      <c r="W508">
        <v>0.19113540000000001</v>
      </c>
      <c r="X508">
        <v>0.98125609999999996</v>
      </c>
      <c r="Y508">
        <v>0.19609209999999999</v>
      </c>
      <c r="Z508">
        <v>-2.226844E-2</v>
      </c>
      <c r="AA508">
        <v>0.9803326</v>
      </c>
      <c r="AB508">
        <v>29</v>
      </c>
      <c r="AC508">
        <v>0.52849999999995101</v>
      </c>
      <c r="AD508">
        <v>-0.17669309999999999</v>
      </c>
      <c r="AE508">
        <v>-0.159999999999968</v>
      </c>
      <c r="AF508">
        <v>0.146917022713973</v>
      </c>
      <c r="AG508">
        <v>-0.17669309999999999</v>
      </c>
      <c r="AH508">
        <v>0.47887032612823599</v>
      </c>
      <c r="AI508">
        <v>109.430336378191</v>
      </c>
      <c r="AJ508">
        <v>72.944029554136193</v>
      </c>
      <c r="AK508">
        <v>0.53115144017211502</v>
      </c>
      <c r="AL508">
        <v>78.980947588689503</v>
      </c>
      <c r="AM508">
        <v>88.565636920028396</v>
      </c>
      <c r="AN508">
        <v>0.99999998605271601</v>
      </c>
    </row>
    <row r="509" spans="1:40" x14ac:dyDescent="0.25">
      <c r="A509" t="str">
        <f>"20190312172906757"</f>
        <v>20190312172906757</v>
      </c>
      <c r="B509" t="str">
        <f>"1552382946748516"</f>
        <v>1552382946748516</v>
      </c>
      <c r="C509" t="s">
        <v>40</v>
      </c>
      <c r="D509">
        <v>3.1889799999999999</v>
      </c>
      <c r="E509">
        <v>0.57243250000000001</v>
      </c>
      <c r="F509" t="s">
        <v>42</v>
      </c>
      <c r="G509">
        <v>-370.05869999999999</v>
      </c>
      <c r="H509">
        <v>0.93369880000000005</v>
      </c>
      <c r="I509">
        <v>367.18619999999999</v>
      </c>
      <c r="J509">
        <v>-370.56479999999999</v>
      </c>
      <c r="K509">
        <v>1.1097220000000001</v>
      </c>
      <c r="L509">
        <v>367.34530000000001</v>
      </c>
      <c r="M509">
        <v>0.99993589999999999</v>
      </c>
      <c r="N509">
        <v>0</v>
      </c>
      <c r="O509">
        <v>3.710877E-3</v>
      </c>
      <c r="P509">
        <v>0.98344109999999996</v>
      </c>
      <c r="Q509">
        <v>0.1800505</v>
      </c>
      <c r="R509">
        <v>-2.0636060000000001E-2</v>
      </c>
      <c r="S509">
        <v>3.1671140000000002</v>
      </c>
      <c r="T509">
        <v>-0.70681110000000003</v>
      </c>
      <c r="U509">
        <v>-0.63363649999999905</v>
      </c>
      <c r="V509">
        <v>2.4292930000000001E-2</v>
      </c>
      <c r="W509">
        <v>0.19056480000000001</v>
      </c>
      <c r="X509">
        <v>0.98137399999999997</v>
      </c>
      <c r="Y509">
        <v>0.19511149999999999</v>
      </c>
      <c r="Z509">
        <v>-2.211403E-2</v>
      </c>
      <c r="AA509">
        <v>0.98053179999999995</v>
      </c>
      <c r="AB509">
        <v>29</v>
      </c>
      <c r="AC509">
        <v>0.50610000000000299</v>
      </c>
      <c r="AD509">
        <v>-0.17602319999999899</v>
      </c>
      <c r="AE509">
        <v>-0.159100000000023</v>
      </c>
      <c r="AF509">
        <v>0.145012953681568</v>
      </c>
      <c r="AG509">
        <v>-0.17602319999999899</v>
      </c>
      <c r="AH509">
        <v>0.45537493158556303</v>
      </c>
      <c r="AI509">
        <v>110.21981409672399</v>
      </c>
      <c r="AJ509">
        <v>72.336060096688001</v>
      </c>
      <c r="AK509">
        <v>0.50929289410932199</v>
      </c>
      <c r="AL509">
        <v>79.014252988444298</v>
      </c>
      <c r="AM509">
        <v>88.581989976624598</v>
      </c>
      <c r="AN509">
        <v>1.00000000866151</v>
      </c>
    </row>
    <row r="510" spans="1:40" x14ac:dyDescent="0.25">
      <c r="A510" t="str">
        <f>"20190312172906769"</f>
        <v>20190312172906769</v>
      </c>
      <c r="B510" t="str">
        <f>"1552382946758276"</f>
        <v>1552382946758276</v>
      </c>
      <c r="C510" t="s">
        <v>40</v>
      </c>
      <c r="D510">
        <v>3.2143660000000001</v>
      </c>
      <c r="E510">
        <v>0.57249799999999995</v>
      </c>
      <c r="F510" t="s">
        <v>42</v>
      </c>
      <c r="G510">
        <v>-369.798</v>
      </c>
      <c r="H510">
        <v>0.93648869999999895</v>
      </c>
      <c r="I510">
        <v>367.2029</v>
      </c>
      <c r="J510">
        <v>-370.41219999999998</v>
      </c>
      <c r="K510">
        <v>1.1097159999999999</v>
      </c>
      <c r="L510">
        <v>367.34589999999997</v>
      </c>
      <c r="M510">
        <v>0.99993620000000005</v>
      </c>
      <c r="N510">
        <v>0</v>
      </c>
      <c r="O510">
        <v>3.711097E-3</v>
      </c>
      <c r="P510">
        <v>0.98345119999999997</v>
      </c>
      <c r="Q510">
        <v>0.17999490000000001</v>
      </c>
      <c r="R510">
        <v>-2.0634240000000002E-2</v>
      </c>
      <c r="S510">
        <v>3.1693120000000001</v>
      </c>
      <c r="T510">
        <v>-0.71599579999999996</v>
      </c>
      <c r="U510">
        <v>-0.58755489999999999</v>
      </c>
      <c r="V510">
        <v>2.4291279999999998E-2</v>
      </c>
      <c r="W510">
        <v>0.19046930000000001</v>
      </c>
      <c r="X510">
        <v>0.98139259999999995</v>
      </c>
      <c r="Y510">
        <v>0.18141760000000001</v>
      </c>
      <c r="Z510">
        <v>-2.0894030000000001E-2</v>
      </c>
      <c r="AA510">
        <v>0.98318419999999895</v>
      </c>
      <c r="AB510">
        <v>29</v>
      </c>
      <c r="AC510">
        <v>0.61419999999998198</v>
      </c>
      <c r="AD510">
        <v>-0.1732273</v>
      </c>
      <c r="AE510">
        <v>-0.14299999999997201</v>
      </c>
      <c r="AF510">
        <v>0.13508563127951601</v>
      </c>
      <c r="AG510">
        <v>-0.1732273</v>
      </c>
      <c r="AH510">
        <v>0.57060976460352697</v>
      </c>
      <c r="AI510">
        <v>106.458049226927</v>
      </c>
      <c r="AJ510">
        <v>76.681058194205903</v>
      </c>
      <c r="AK510">
        <v>0.61143383019290598</v>
      </c>
      <c r="AL510">
        <v>79.019827040594805</v>
      </c>
      <c r="AM510">
        <v>88.582113112224704</v>
      </c>
      <c r="AN510">
        <v>1.00000002793064</v>
      </c>
    </row>
    <row r="511" spans="1:40" x14ac:dyDescent="0.25">
      <c r="A511" t="str">
        <f>"20190312172906780"</f>
        <v>20190312172906780</v>
      </c>
      <c r="B511" t="str">
        <f>"1552382946777797"</f>
        <v>1552382946777797</v>
      </c>
      <c r="C511" t="s">
        <v>40</v>
      </c>
      <c r="D511">
        <v>3.2111730000000001</v>
      </c>
      <c r="E511">
        <v>0.57256300000000004</v>
      </c>
      <c r="F511" t="s">
        <v>42</v>
      </c>
      <c r="G511">
        <v>-369.54570000000001</v>
      </c>
      <c r="H511">
        <v>0.91435840000000002</v>
      </c>
      <c r="I511">
        <v>367.18450000000001</v>
      </c>
      <c r="J511">
        <v>-370.25200000000001</v>
      </c>
      <c r="K511">
        <v>1.1097090000000001</v>
      </c>
      <c r="L511">
        <v>367.34649999999999</v>
      </c>
      <c r="M511">
        <v>0.99993679999999996</v>
      </c>
      <c r="N511">
        <v>0</v>
      </c>
      <c r="O511">
        <v>3.7111520000000001E-3</v>
      </c>
      <c r="P511">
        <v>0.98341579999999995</v>
      </c>
      <c r="Q511">
        <v>0.1802115</v>
      </c>
      <c r="R511">
        <v>-2.0431040000000001E-2</v>
      </c>
      <c r="S511">
        <v>3.1689449999999999</v>
      </c>
      <c r="T511">
        <v>-0.71455990000000003</v>
      </c>
      <c r="U511">
        <v>-0.58840939999999997</v>
      </c>
      <c r="V511">
        <v>2.4088080000000001E-2</v>
      </c>
      <c r="W511">
        <v>0.19064210000000001</v>
      </c>
      <c r="X511">
        <v>0.98136400000000001</v>
      </c>
      <c r="Y511">
        <v>0.18170449999999999</v>
      </c>
      <c r="Z511">
        <v>-2.0886640000000001E-2</v>
      </c>
      <c r="AA511">
        <v>0.98313130000000004</v>
      </c>
      <c r="AB511">
        <v>29</v>
      </c>
      <c r="AC511">
        <v>0.70629999999994197</v>
      </c>
      <c r="AD511">
        <v>-0.19535060000000001</v>
      </c>
      <c r="AE511">
        <v>-0.161999999999977</v>
      </c>
      <c r="AF511">
        <v>0.15346701868552501</v>
      </c>
      <c r="AG511">
        <v>-0.19535060000000001</v>
      </c>
      <c r="AH511">
        <v>0.65788236183772897</v>
      </c>
      <c r="AI511">
        <v>106.128532799387</v>
      </c>
      <c r="AJ511">
        <v>76.869187828932795</v>
      </c>
      <c r="AK511">
        <v>0.70322342449734399</v>
      </c>
      <c r="AL511">
        <v>79.009740918036599</v>
      </c>
      <c r="AM511">
        <v>88.593928196072596</v>
      </c>
      <c r="AN511">
        <v>0.99999997319324696</v>
      </c>
    </row>
    <row r="512" spans="1:40" x14ac:dyDescent="0.25">
      <c r="A512" t="str">
        <f>"20190312172906791"</f>
        <v>20190312172906791</v>
      </c>
      <c r="B512" t="str">
        <f>"1552382946787557"</f>
        <v>1552382946787557</v>
      </c>
      <c r="C512" t="s">
        <v>40</v>
      </c>
      <c r="D512">
        <v>3.2157529999999999</v>
      </c>
      <c r="E512">
        <v>0.57254259999999901</v>
      </c>
      <c r="F512" t="s">
        <v>42</v>
      </c>
      <c r="G512">
        <v>-369.53250000000003</v>
      </c>
      <c r="H512">
        <v>0.9472988</v>
      </c>
      <c r="I512">
        <v>367.2124</v>
      </c>
      <c r="J512">
        <v>-370.11110000000002</v>
      </c>
      <c r="K512">
        <v>1.109701</v>
      </c>
      <c r="L512">
        <v>367.34699999999998</v>
      </c>
      <c r="M512">
        <v>0.99993719999999997</v>
      </c>
      <c r="N512">
        <v>0</v>
      </c>
      <c r="O512">
        <v>3.7112439999999998E-3</v>
      </c>
      <c r="P512">
        <v>0.98338680000000001</v>
      </c>
      <c r="Q512">
        <v>0.18037320000000001</v>
      </c>
      <c r="R512">
        <v>-2.0396560000000001E-2</v>
      </c>
      <c r="S512">
        <v>3.169495</v>
      </c>
      <c r="T512">
        <v>-0.71556739999999996</v>
      </c>
      <c r="U512">
        <v>-0.58853149999999999</v>
      </c>
      <c r="V512">
        <v>2.4053519999999998E-2</v>
      </c>
      <c r="W512">
        <v>0.1907652</v>
      </c>
      <c r="X512">
        <v>0.98134089999999996</v>
      </c>
      <c r="Y512">
        <v>0.18169969999999999</v>
      </c>
      <c r="Z512">
        <v>-2.0911329999999999E-2</v>
      </c>
      <c r="AA512">
        <v>0.98313170000000005</v>
      </c>
      <c r="AB512">
        <v>29</v>
      </c>
      <c r="AC512">
        <v>0.57859999999999401</v>
      </c>
      <c r="AD512">
        <v>-0.162402199999999</v>
      </c>
      <c r="AE512">
        <v>-0.13459999999997699</v>
      </c>
      <c r="AF512">
        <v>0.127237141737013</v>
      </c>
      <c r="AG512">
        <v>-0.162402199999999</v>
      </c>
      <c r="AH512">
        <v>0.53789552410105901</v>
      </c>
      <c r="AI512">
        <v>106.373489761868</v>
      </c>
      <c r="AJ512">
        <v>76.691523460774206</v>
      </c>
      <c r="AK512">
        <v>0.57610360149038897</v>
      </c>
      <c r="AL512">
        <v>79.002555662262594</v>
      </c>
      <c r="AM512">
        <v>88.595911690586803</v>
      </c>
      <c r="AN512">
        <v>0.99999994768411804</v>
      </c>
    </row>
    <row r="513" spans="1:40" x14ac:dyDescent="0.25">
      <c r="A513" t="str">
        <f>"20190312172906802"</f>
        <v>20190312172906802</v>
      </c>
      <c r="B513" t="str">
        <f>"1552382946798292"</f>
        <v>1552382946798292</v>
      </c>
      <c r="C513" t="s">
        <v>40</v>
      </c>
      <c r="D513">
        <v>3.211138</v>
      </c>
      <c r="E513">
        <v>0.57253619999999905</v>
      </c>
      <c r="F513" t="s">
        <v>42</v>
      </c>
      <c r="G513">
        <v>-369.28140000000002</v>
      </c>
      <c r="H513">
        <v>0.92276119999999995</v>
      </c>
      <c r="I513">
        <v>367.19290000000001</v>
      </c>
      <c r="J513">
        <v>-369.9631</v>
      </c>
      <c r="K513">
        <v>1.109693</v>
      </c>
      <c r="L513">
        <v>367.3476</v>
      </c>
      <c r="M513">
        <v>0.99993770000000004</v>
      </c>
      <c r="N513">
        <v>0</v>
      </c>
      <c r="O513">
        <v>3.7114660000000001E-3</v>
      </c>
      <c r="P513">
        <v>0.98336239999999997</v>
      </c>
      <c r="Q513">
        <v>0.1805013</v>
      </c>
      <c r="R513">
        <v>-2.044909E-2</v>
      </c>
      <c r="S513">
        <v>3.169403</v>
      </c>
      <c r="T513">
        <v>-0.71407149999999997</v>
      </c>
      <c r="U513">
        <v>-0.58819580000000005</v>
      </c>
      <c r="V513">
        <v>2.4106240000000001E-2</v>
      </c>
      <c r="W513">
        <v>0.19085179999999999</v>
      </c>
      <c r="X513">
        <v>0.98132280000000005</v>
      </c>
      <c r="Y513">
        <v>0.18162439999999999</v>
      </c>
      <c r="Z513">
        <v>-2.086118E-2</v>
      </c>
      <c r="AA513">
        <v>0.98314669999999904</v>
      </c>
      <c r="AB513">
        <v>29</v>
      </c>
      <c r="AC513">
        <v>0.68169999999997799</v>
      </c>
      <c r="AD513">
        <v>-0.18693180000000001</v>
      </c>
      <c r="AE513">
        <v>-0.15469999999999101</v>
      </c>
      <c r="AF513">
        <v>0.146735984887018</v>
      </c>
      <c r="AG513">
        <v>-0.18693180000000001</v>
      </c>
      <c r="AH513">
        <v>0.63566429650113199</v>
      </c>
      <c r="AI513">
        <v>105.98901543295</v>
      </c>
      <c r="AJ513">
        <v>77.001598656332305</v>
      </c>
      <c r="AK513">
        <v>0.67863395505845603</v>
      </c>
      <c r="AL513">
        <v>78.997501329006298</v>
      </c>
      <c r="AM513">
        <v>88.592809531314899</v>
      </c>
      <c r="AN513">
        <v>0.99999997908500804</v>
      </c>
    </row>
    <row r="514" spans="1:40" x14ac:dyDescent="0.25">
      <c r="A514" t="str">
        <f>"20190312172906814"</f>
        <v>20190312172906814</v>
      </c>
      <c r="B514" t="str">
        <f>"1552382946808054"</f>
        <v>1552382946808054</v>
      </c>
      <c r="C514" t="s">
        <v>40</v>
      </c>
      <c r="D514">
        <v>3.2000700000000002</v>
      </c>
      <c r="E514">
        <v>0.57251909999999995</v>
      </c>
      <c r="F514" t="s">
        <v>42</v>
      </c>
      <c r="G514">
        <v>-369.2688</v>
      </c>
      <c r="H514">
        <v>0.95328959999999996</v>
      </c>
      <c r="I514">
        <v>367.21870000000001</v>
      </c>
      <c r="J514">
        <v>-369.80680000000001</v>
      </c>
      <c r="K514">
        <v>1.109685</v>
      </c>
      <c r="L514">
        <v>367.34820000000002</v>
      </c>
      <c r="M514">
        <v>0.9999382</v>
      </c>
      <c r="N514">
        <v>0</v>
      </c>
      <c r="O514">
        <v>3.7115300000000002E-3</v>
      </c>
      <c r="P514">
        <v>0.98333599999999999</v>
      </c>
      <c r="Q514">
        <v>0.180641</v>
      </c>
      <c r="R514">
        <v>-2.0484559999999999E-2</v>
      </c>
      <c r="S514">
        <v>3.1695859999999998</v>
      </c>
      <c r="T514">
        <v>-0.71399749999999995</v>
      </c>
      <c r="U514">
        <v>-0.58761600000000003</v>
      </c>
      <c r="V514">
        <v>2.4141639999999999E-2</v>
      </c>
      <c r="W514">
        <v>0.1909458</v>
      </c>
      <c r="X514">
        <v>0.98130360000000005</v>
      </c>
      <c r="Y514">
        <v>0.181446</v>
      </c>
      <c r="Z514">
        <v>-2.0838570000000001E-2</v>
      </c>
      <c r="AA514">
        <v>0.9831801</v>
      </c>
      <c r="AB514">
        <v>29</v>
      </c>
      <c r="AC514">
        <v>0.53800000000001003</v>
      </c>
      <c r="AD514">
        <v>-0.15639539999999899</v>
      </c>
      <c r="AE514">
        <v>-0.129500000000007</v>
      </c>
      <c r="AF514">
        <v>0.12176942618588001</v>
      </c>
      <c r="AG514">
        <v>-0.15639539999999899</v>
      </c>
      <c r="AH514">
        <v>0.49775627270727602</v>
      </c>
      <c r="AI514">
        <v>106.972229651308</v>
      </c>
      <c r="AJ514">
        <v>76.253340616498704</v>
      </c>
      <c r="AK514">
        <v>0.53576918660393102</v>
      </c>
      <c r="AL514">
        <v>78.992014147236702</v>
      </c>
      <c r="AM514">
        <v>88.590716343498698</v>
      </c>
      <c r="AN514">
        <v>0.99999993634624196</v>
      </c>
    </row>
    <row r="515" spans="1:40" x14ac:dyDescent="0.25">
      <c r="A515" t="str">
        <f>"20190312172906826"</f>
        <v>20190312172906826</v>
      </c>
      <c r="B515" t="str">
        <f>"1552382946817812"</f>
        <v>1552382946817812</v>
      </c>
      <c r="C515" t="s">
        <v>40</v>
      </c>
      <c r="D515">
        <v>3.2111010000000002</v>
      </c>
      <c r="E515">
        <v>0.57251909999999995</v>
      </c>
      <c r="F515" t="s">
        <v>42</v>
      </c>
      <c r="G515">
        <v>-369.01650000000001</v>
      </c>
      <c r="H515">
        <v>0.93164060000000004</v>
      </c>
      <c r="I515">
        <v>367.2013</v>
      </c>
      <c r="J515">
        <v>-369.65629999999999</v>
      </c>
      <c r="K515">
        <v>1.1096790000000001</v>
      </c>
      <c r="L515">
        <v>367.34879999999998</v>
      </c>
      <c r="M515">
        <v>0.99993860000000001</v>
      </c>
      <c r="N515">
        <v>0</v>
      </c>
      <c r="O515">
        <v>3.7117650000000001E-3</v>
      </c>
      <c r="P515">
        <v>0.98336849999999998</v>
      </c>
      <c r="Q515">
        <v>0.18047369999999999</v>
      </c>
      <c r="R515">
        <v>-2.0394760000000001E-2</v>
      </c>
      <c r="S515">
        <v>3.1697690000000001</v>
      </c>
      <c r="T515">
        <v>-0.71425740000000004</v>
      </c>
      <c r="U515">
        <v>-0.58773799999999998</v>
      </c>
      <c r="V515">
        <v>2.4052299999999999E-2</v>
      </c>
      <c r="W515">
        <v>0.19073519999999999</v>
      </c>
      <c r="X515">
        <v>0.98134679999999996</v>
      </c>
      <c r="Y515">
        <v>0.1814694</v>
      </c>
      <c r="Z515">
        <v>-2.0847379999999999E-2</v>
      </c>
      <c r="AA515">
        <v>0.98317560000000004</v>
      </c>
      <c r="AB515">
        <v>29</v>
      </c>
      <c r="AC515">
        <v>0.63979999999997905</v>
      </c>
      <c r="AD515">
        <v>-0.17803840000000001</v>
      </c>
      <c r="AE515">
        <v>-0.14749999999997901</v>
      </c>
      <c r="AF515">
        <v>0.13960882998994101</v>
      </c>
      <c r="AG515">
        <v>-0.17803840000000001</v>
      </c>
      <c r="AH515">
        <v>0.59546509292798</v>
      </c>
      <c r="AI515">
        <v>106.230116648576</v>
      </c>
      <c r="AJ515">
        <v>76.805129965683804</v>
      </c>
      <c r="AK515">
        <v>0.63699840987356304</v>
      </c>
      <c r="AL515">
        <v>79.004307110901607</v>
      </c>
      <c r="AM515">
        <v>88.5959913155354</v>
      </c>
      <c r="AN515">
        <v>0.99999998576228399</v>
      </c>
    </row>
    <row r="516" spans="1:40" x14ac:dyDescent="0.25">
      <c r="A516" t="str">
        <f>"20190312172906838"</f>
        <v>20190312172906838</v>
      </c>
      <c r="B516" t="str">
        <f>"1552382946827573"</f>
        <v>1552382946827573</v>
      </c>
      <c r="C516" t="s">
        <v>40</v>
      </c>
      <c r="D516">
        <v>3.2160479999999998</v>
      </c>
      <c r="E516">
        <v>0.57676169999999904</v>
      </c>
      <c r="F516" t="s">
        <v>42</v>
      </c>
      <c r="G516">
        <v>-368.7636</v>
      </c>
      <c r="H516">
        <v>0.9083831</v>
      </c>
      <c r="I516">
        <v>367.1832</v>
      </c>
      <c r="J516">
        <v>-369.49880000000002</v>
      </c>
      <c r="K516">
        <v>1.109674</v>
      </c>
      <c r="L516">
        <v>367.34930000000003</v>
      </c>
      <c r="M516">
        <v>0.99993900000000002</v>
      </c>
      <c r="N516">
        <v>0</v>
      </c>
      <c r="O516">
        <v>3.7120159999999998E-3</v>
      </c>
      <c r="P516">
        <v>0.9833944</v>
      </c>
      <c r="Q516">
        <v>0.1803256</v>
      </c>
      <c r="R516">
        <v>-2.044903E-2</v>
      </c>
      <c r="S516">
        <v>3.169708</v>
      </c>
      <c r="T516">
        <v>-0.71472840000000004</v>
      </c>
      <c r="U516">
        <v>-0.587677</v>
      </c>
      <c r="V516">
        <v>2.4106929999999999E-2</v>
      </c>
      <c r="W516">
        <v>0.19054099999999999</v>
      </c>
      <c r="X516">
        <v>0.98138320000000001</v>
      </c>
      <c r="Y516">
        <v>0.1814492</v>
      </c>
      <c r="Z516">
        <v>-2.0859030000000001E-2</v>
      </c>
      <c r="AA516">
        <v>0.98317909999999997</v>
      </c>
      <c r="AB516">
        <v>29</v>
      </c>
      <c r="AC516">
        <v>0.73520000000001995</v>
      </c>
      <c r="AD516">
        <v>-0.20129089999999999</v>
      </c>
      <c r="AE516">
        <v>-0.166100000000028</v>
      </c>
      <c r="AF516">
        <v>0.15758869982592699</v>
      </c>
      <c r="AG516">
        <v>-0.20129089999999999</v>
      </c>
      <c r="AH516">
        <v>0.68567531269610305</v>
      </c>
      <c r="AI516">
        <v>105.96618639793201</v>
      </c>
      <c r="AJ516">
        <v>77.056491286617103</v>
      </c>
      <c r="AK516">
        <v>0.731780608636588</v>
      </c>
      <c r="AL516">
        <v>79.015641995197399</v>
      </c>
      <c r="AM516">
        <v>88.592855843381997</v>
      </c>
      <c r="AN516">
        <v>1.0000000009986301</v>
      </c>
    </row>
    <row r="517" spans="1:40" x14ac:dyDescent="0.25">
      <c r="A517" t="str">
        <f>"20190312172906850"</f>
        <v>20190312172906850</v>
      </c>
      <c r="B517" t="str">
        <f>"1552382946848068"</f>
        <v>1552382946848068</v>
      </c>
      <c r="C517" t="s">
        <v>40</v>
      </c>
      <c r="D517">
        <v>3.1974200000000002</v>
      </c>
      <c r="E517">
        <v>0.57630619999999999</v>
      </c>
      <c r="F517" t="s">
        <v>42</v>
      </c>
      <c r="G517">
        <v>-368.75240000000002</v>
      </c>
      <c r="H517">
        <v>0.93707070000000003</v>
      </c>
      <c r="I517">
        <v>367.20330000000001</v>
      </c>
      <c r="J517">
        <v>-369.34429999999998</v>
      </c>
      <c r="K517">
        <v>1.109666</v>
      </c>
      <c r="L517">
        <v>367.34989999999999</v>
      </c>
      <c r="M517">
        <v>0.99993949999999998</v>
      </c>
      <c r="N517">
        <v>0</v>
      </c>
      <c r="O517">
        <v>3.7120819999999998E-3</v>
      </c>
      <c r="P517">
        <v>0.98334630000000001</v>
      </c>
      <c r="Q517">
        <v>0.18060899999999999</v>
      </c>
      <c r="R517">
        <v>-2.026302E-2</v>
      </c>
      <c r="S517">
        <v>3.172272</v>
      </c>
      <c r="T517">
        <v>-0.73351339999999998</v>
      </c>
      <c r="U517">
        <v>-0.6205444</v>
      </c>
      <c r="V517">
        <v>2.3920759999999999E-2</v>
      </c>
      <c r="W517">
        <v>0.1907778</v>
      </c>
      <c r="X517">
        <v>0.98134180000000004</v>
      </c>
      <c r="Y517">
        <v>0.19067539999999999</v>
      </c>
      <c r="Z517">
        <v>-2.240062E-2</v>
      </c>
      <c r="AA517">
        <v>0.98139750000000003</v>
      </c>
      <c r="AB517">
        <v>29</v>
      </c>
      <c r="AC517">
        <v>0.59189999999995202</v>
      </c>
      <c r="AD517">
        <v>-0.17259530000000001</v>
      </c>
      <c r="AE517">
        <v>-0.146599999999978</v>
      </c>
      <c r="AF517">
        <v>0.13775987766780001</v>
      </c>
      <c r="AG517">
        <v>-0.17259530000000001</v>
      </c>
      <c r="AH517">
        <v>0.54749038809973705</v>
      </c>
      <c r="AI517">
        <v>106.99936894295</v>
      </c>
      <c r="AJ517">
        <v>75.8763965996895</v>
      </c>
      <c r="AK517">
        <v>0.59034959688199795</v>
      </c>
      <c r="AL517">
        <v>79.001821368978298</v>
      </c>
      <c r="AM517">
        <v>88.603659560751396</v>
      </c>
      <c r="AN517">
        <v>1.0000000500795201</v>
      </c>
    </row>
    <row r="518" spans="1:40" x14ac:dyDescent="0.25">
      <c r="A518" t="str">
        <f>"20190312172906868"</f>
        <v>20190312172906868</v>
      </c>
      <c r="B518" t="str">
        <f>"1552382946857828"</f>
        <v>1552382946857828</v>
      </c>
      <c r="C518" t="s">
        <v>40</v>
      </c>
      <c r="D518">
        <v>3.240615</v>
      </c>
      <c r="E518">
        <v>0.57660119999999904</v>
      </c>
      <c r="F518" t="s">
        <v>42</v>
      </c>
      <c r="G518">
        <v>-368.49889999999999</v>
      </c>
      <c r="H518">
        <v>0.91422800000000004</v>
      </c>
      <c r="I518">
        <v>367.18520000000001</v>
      </c>
      <c r="J518">
        <v>-369.10610000000003</v>
      </c>
      <c r="K518">
        <v>1.109653</v>
      </c>
      <c r="L518">
        <v>367.35079999999999</v>
      </c>
      <c r="M518">
        <v>0.99994050000000001</v>
      </c>
      <c r="N518">
        <v>0</v>
      </c>
      <c r="O518">
        <v>3.712098E-3</v>
      </c>
      <c r="P518">
        <v>0.98333680000000001</v>
      </c>
      <c r="Q518">
        <v>0.18065980000000001</v>
      </c>
      <c r="R518">
        <v>-2.02782E-2</v>
      </c>
      <c r="S518">
        <v>3.1728519999999998</v>
      </c>
      <c r="T518">
        <v>-0.73360630000000004</v>
      </c>
      <c r="U518">
        <v>-0.61636349999999995</v>
      </c>
      <c r="V518">
        <v>2.3935930000000001E-2</v>
      </c>
      <c r="W518">
        <v>0.1907577</v>
      </c>
      <c r="X518">
        <v>0.98134529999999998</v>
      </c>
      <c r="Y518">
        <v>0.18942639999999999</v>
      </c>
      <c r="Z518">
        <v>-2.226092E-2</v>
      </c>
      <c r="AA518">
        <v>0.98164249999999997</v>
      </c>
      <c r="AB518">
        <v>29</v>
      </c>
      <c r="AC518">
        <v>0.60720000000003405</v>
      </c>
      <c r="AD518">
        <v>-0.19542499999999999</v>
      </c>
      <c r="AE518">
        <v>-0.16559999999998301</v>
      </c>
      <c r="AF518">
        <v>0.15309272765074999</v>
      </c>
      <c r="AG518">
        <v>-0.19542499999999999</v>
      </c>
      <c r="AH518">
        <v>0.55324104602843804</v>
      </c>
      <c r="AI518">
        <v>108.800758310974</v>
      </c>
      <c r="AJ518">
        <v>74.532182069831194</v>
      </c>
      <c r="AK518">
        <v>0.60638599002218696</v>
      </c>
      <c r="AL518">
        <v>79.002994150471196</v>
      </c>
      <c r="AM518">
        <v>88.602779365712607</v>
      </c>
      <c r="AN518">
        <v>1.0000000133431699</v>
      </c>
    </row>
    <row r="519" spans="1:40" x14ac:dyDescent="0.25">
      <c r="A519" t="str">
        <f>"20190312172906879"</f>
        <v>20190312172906879</v>
      </c>
      <c r="B519" t="str">
        <f>"1552382946867589"</f>
        <v>1552382946867589</v>
      </c>
      <c r="C519" t="s">
        <v>40</v>
      </c>
      <c r="D519">
        <v>3.2021709999999999</v>
      </c>
      <c r="E519">
        <v>0.57647689999999996</v>
      </c>
      <c r="F519" t="s">
        <v>42</v>
      </c>
      <c r="G519">
        <v>-368.23820000000001</v>
      </c>
      <c r="H519">
        <v>0.90925909999999999</v>
      </c>
      <c r="I519">
        <v>367.18119999999999</v>
      </c>
      <c r="J519">
        <v>-368.95249999999999</v>
      </c>
      <c r="K519">
        <v>1.1096459999999999</v>
      </c>
      <c r="L519">
        <v>367.35129999999998</v>
      </c>
      <c r="M519">
        <v>0.99994079999999996</v>
      </c>
      <c r="N519">
        <v>0</v>
      </c>
      <c r="O519">
        <v>3.7123360000000001E-3</v>
      </c>
      <c r="P519">
        <v>0.98331029999999997</v>
      </c>
      <c r="Q519">
        <v>0.1808044</v>
      </c>
      <c r="R519">
        <v>-2.0260139999999999E-2</v>
      </c>
      <c r="S519">
        <v>3.1726380000000001</v>
      </c>
      <c r="T519">
        <v>-0.73264960000000001</v>
      </c>
      <c r="U519">
        <v>-0.61901859999999997</v>
      </c>
      <c r="V519">
        <v>2.3918120000000001E-2</v>
      </c>
      <c r="W519">
        <v>0.19085740000000001</v>
      </c>
      <c r="X519">
        <v>0.98132629999999998</v>
      </c>
      <c r="Y519">
        <v>0.19022320000000001</v>
      </c>
      <c r="Z519">
        <v>-2.2322390000000001E-2</v>
      </c>
      <c r="AA519">
        <v>0.981487</v>
      </c>
      <c r="AB519">
        <v>29</v>
      </c>
      <c r="AC519">
        <v>0.71429999999997995</v>
      </c>
      <c r="AD519">
        <v>-0.20038689999999901</v>
      </c>
      <c r="AE519">
        <v>-0.17009999999999001</v>
      </c>
      <c r="AF519">
        <v>0.16077653356961499</v>
      </c>
      <c r="AG519">
        <v>-0.20038689999999901</v>
      </c>
      <c r="AH519">
        <v>0.66419623078890999</v>
      </c>
      <c r="AI519">
        <v>106.342713606704</v>
      </c>
      <c r="AJ519">
        <v>76.392620629994695</v>
      </c>
      <c r="AK519">
        <v>0.71215211607666096</v>
      </c>
      <c r="AL519">
        <v>78.997174311138906</v>
      </c>
      <c r="AM519">
        <v>88.603791562040001</v>
      </c>
      <c r="AN519">
        <v>0.99999996533539104</v>
      </c>
    </row>
    <row r="520" spans="1:40" x14ac:dyDescent="0.25">
      <c r="A520" t="str">
        <f>"20190312172906891"</f>
        <v>20190312172906891</v>
      </c>
      <c r="B520" t="str">
        <f>"1552382946888085"</f>
        <v>1552382946888085</v>
      </c>
      <c r="C520" t="s">
        <v>40</v>
      </c>
      <c r="D520">
        <v>3.235007</v>
      </c>
      <c r="E520">
        <v>0.57687489999999997</v>
      </c>
      <c r="F520" t="s">
        <v>42</v>
      </c>
      <c r="G520">
        <v>-368.22559999999999</v>
      </c>
      <c r="H520">
        <v>0.94184970000000001</v>
      </c>
      <c r="I520">
        <v>367.20949999999999</v>
      </c>
      <c r="J520">
        <v>-368.81200000000001</v>
      </c>
      <c r="K520">
        <v>1.1096410000000001</v>
      </c>
      <c r="L520">
        <v>367.3519</v>
      </c>
      <c r="M520">
        <v>0.99994119999999997</v>
      </c>
      <c r="N520">
        <v>0</v>
      </c>
      <c r="O520">
        <v>3.7123690000000001E-3</v>
      </c>
      <c r="P520">
        <v>0.98332569999999997</v>
      </c>
      <c r="Q520">
        <v>0.18071880000000001</v>
      </c>
      <c r="R520">
        <v>-2.0279180000000001E-2</v>
      </c>
      <c r="S520">
        <v>3.172882</v>
      </c>
      <c r="T520">
        <v>-0.73259839999999998</v>
      </c>
      <c r="U520">
        <v>-0.61816409999999999</v>
      </c>
      <c r="V520">
        <v>2.3937190000000001E-2</v>
      </c>
      <c r="W520">
        <v>0.19073100000000001</v>
      </c>
      <c r="X520">
        <v>0.98135039999999996</v>
      </c>
      <c r="Y520">
        <v>0.18996209999999999</v>
      </c>
      <c r="Z520">
        <v>-2.2290299999999999E-2</v>
      </c>
      <c r="AA520">
        <v>0.98153840000000003</v>
      </c>
      <c r="AB520">
        <v>29</v>
      </c>
      <c r="AC520">
        <v>0.58639999999996895</v>
      </c>
      <c r="AD520">
        <v>-0.16779129999999901</v>
      </c>
      <c r="AE520">
        <v>-0.14240000000000899</v>
      </c>
      <c r="AF520">
        <v>0.13420028641013201</v>
      </c>
      <c r="AG520">
        <v>-0.16779129999999901</v>
      </c>
      <c r="AH520">
        <v>0.54382140092275699</v>
      </c>
      <c r="AI520">
        <v>106.675850222751</v>
      </c>
      <c r="AJ520">
        <v>76.137920730965703</v>
      </c>
      <c r="AK520">
        <v>0.58472673389356999</v>
      </c>
      <c r="AL520">
        <v>79.004551916665307</v>
      </c>
      <c r="AM520">
        <v>88.602713103186304</v>
      </c>
      <c r="AN520">
        <v>0.99999995550312704</v>
      </c>
    </row>
    <row r="521" spans="1:40" x14ac:dyDescent="0.25">
      <c r="A521" t="str">
        <f>"20190312172906901"</f>
        <v>20190312172906901</v>
      </c>
      <c r="B521" t="str">
        <f>"1552382946897844"</f>
        <v>1552382946897844</v>
      </c>
      <c r="C521" t="s">
        <v>40</v>
      </c>
      <c r="D521">
        <v>3.2288359999999998</v>
      </c>
      <c r="E521">
        <v>0.57697919999999903</v>
      </c>
      <c r="F521" t="s">
        <v>42</v>
      </c>
      <c r="G521">
        <v>-367.97269999999997</v>
      </c>
      <c r="H521">
        <v>0.91590709999999997</v>
      </c>
      <c r="I521">
        <v>367.18720000000002</v>
      </c>
      <c r="J521">
        <v>-368.66699999999997</v>
      </c>
      <c r="K521">
        <v>1.109637</v>
      </c>
      <c r="L521">
        <v>367.35239999999999</v>
      </c>
      <c r="M521">
        <v>0.99994170000000004</v>
      </c>
      <c r="N521">
        <v>0</v>
      </c>
      <c r="O521">
        <v>3.7125840000000001E-3</v>
      </c>
      <c r="P521">
        <v>0.98328579999999999</v>
      </c>
      <c r="Q521">
        <v>0.18092749999999999</v>
      </c>
      <c r="R521">
        <v>-2.0368440000000002E-2</v>
      </c>
      <c r="S521">
        <v>3.1726990000000002</v>
      </c>
      <c r="T521">
        <v>-0.73253330000000005</v>
      </c>
      <c r="U521">
        <v>-0.62121579999999998</v>
      </c>
      <c r="V521">
        <v>2.4026430000000001E-2</v>
      </c>
      <c r="W521">
        <v>0.19089809999999999</v>
      </c>
      <c r="X521">
        <v>0.98131579999999996</v>
      </c>
      <c r="Y521">
        <v>0.1908609</v>
      </c>
      <c r="Z521">
        <v>-2.2389180000000002E-2</v>
      </c>
      <c r="AA521">
        <v>0.9813617</v>
      </c>
      <c r="AB521">
        <v>29</v>
      </c>
      <c r="AC521">
        <v>0.69429999999999803</v>
      </c>
      <c r="AD521">
        <v>-0.19372990000000001</v>
      </c>
      <c r="AE521">
        <v>-0.16519999999997001</v>
      </c>
      <c r="AF521">
        <v>0.15626235824714499</v>
      </c>
      <c r="AG521">
        <v>-0.19372990000000001</v>
      </c>
      <c r="AH521">
        <v>0.646075421163956</v>
      </c>
      <c r="AI521">
        <v>106.248916276796</v>
      </c>
      <c r="AJ521">
        <v>76.403329089987196</v>
      </c>
      <c r="AK521">
        <v>0.69236020147835797</v>
      </c>
      <c r="AL521">
        <v>78.994799377234997</v>
      </c>
      <c r="AM521">
        <v>88.597456538045094</v>
      </c>
      <c r="AN521">
        <v>1.0000000266258899</v>
      </c>
    </row>
    <row r="522" spans="1:40" x14ac:dyDescent="0.25">
      <c r="A522" t="str">
        <f>"20190312172906912"</f>
        <v>20190312172906912</v>
      </c>
      <c r="B522" t="str">
        <f>"1552382946907604"</f>
        <v>1552382946907604</v>
      </c>
      <c r="C522" t="s">
        <v>40</v>
      </c>
      <c r="D522">
        <v>3.2201390000000001</v>
      </c>
      <c r="E522">
        <v>0.57720740000000004</v>
      </c>
      <c r="F522" t="s">
        <v>42</v>
      </c>
      <c r="G522">
        <v>-367.96039999999999</v>
      </c>
      <c r="H522">
        <v>0.94670560000000004</v>
      </c>
      <c r="I522">
        <v>367.21350000000001</v>
      </c>
      <c r="J522">
        <v>-368.52440000000001</v>
      </c>
      <c r="K522">
        <v>1.109632</v>
      </c>
      <c r="L522">
        <v>367.35300000000001</v>
      </c>
      <c r="M522">
        <v>0.99994209999999994</v>
      </c>
      <c r="N522">
        <v>0</v>
      </c>
      <c r="O522">
        <v>3.712665E-3</v>
      </c>
      <c r="P522">
        <v>0.98327830000000005</v>
      </c>
      <c r="Q522">
        <v>0.180981</v>
      </c>
      <c r="R522">
        <v>-2.0248829999999999E-2</v>
      </c>
      <c r="S522">
        <v>3.1727599999999998</v>
      </c>
      <c r="T522">
        <v>-0.73182369999999997</v>
      </c>
      <c r="U522">
        <v>-0.62222290000000002</v>
      </c>
      <c r="V522">
        <v>2.3906759999999999E-2</v>
      </c>
      <c r="W522">
        <v>0.1909131</v>
      </c>
      <c r="X522">
        <v>0.98131579999999996</v>
      </c>
      <c r="Y522">
        <v>0.19115979999999999</v>
      </c>
      <c r="Z522">
        <v>-2.2400699999999999E-2</v>
      </c>
      <c r="AA522">
        <v>0.98130329999999999</v>
      </c>
      <c r="AB522">
        <v>29</v>
      </c>
      <c r="AC522">
        <v>0.56400000000002104</v>
      </c>
      <c r="AD522">
        <v>-0.162926399999999</v>
      </c>
      <c r="AE522">
        <v>-0.13949999999999799</v>
      </c>
      <c r="AF522">
        <v>0.131270162836883</v>
      </c>
      <c r="AG522">
        <v>-0.162926399999999</v>
      </c>
      <c r="AH522">
        <v>0.52239746946525401</v>
      </c>
      <c r="AI522">
        <v>106.829433898915</v>
      </c>
      <c r="AJ522">
        <v>75.894533384328</v>
      </c>
      <c r="AK522">
        <v>0.56273971209777196</v>
      </c>
      <c r="AL522">
        <v>78.993923787870997</v>
      </c>
      <c r="AM522">
        <v>88.604439507803605</v>
      </c>
      <c r="AN522">
        <v>1.0000000221274701</v>
      </c>
    </row>
    <row r="523" spans="1:40" x14ac:dyDescent="0.25">
      <c r="A523" t="str">
        <f>"20190312172906925"</f>
        <v>20190312172906925</v>
      </c>
      <c r="B523" t="str">
        <f>"1552382946918341"</f>
        <v>1552382946918341</v>
      </c>
      <c r="C523" t="s">
        <v>40</v>
      </c>
      <c r="D523">
        <v>3.2193559999999999</v>
      </c>
      <c r="E523">
        <v>0.57743449999999996</v>
      </c>
      <c r="F523" t="s">
        <v>42</v>
      </c>
      <c r="G523">
        <v>-367.7072</v>
      </c>
      <c r="H523">
        <v>0.92132029999999998</v>
      </c>
      <c r="I523">
        <v>367.19200000000001</v>
      </c>
      <c r="J523">
        <v>-368.36829999999998</v>
      </c>
      <c r="K523">
        <v>1.1096269999999999</v>
      </c>
      <c r="L523">
        <v>367.3535</v>
      </c>
      <c r="M523">
        <v>0.99994249999999996</v>
      </c>
      <c r="N523">
        <v>0</v>
      </c>
      <c r="O523">
        <v>3.7126999999999898E-3</v>
      </c>
      <c r="P523">
        <v>0.98326780000000003</v>
      </c>
      <c r="Q523">
        <v>0.1810407</v>
      </c>
      <c r="R523">
        <v>-2.0224389999999998E-2</v>
      </c>
      <c r="S523">
        <v>3.1727289999999999</v>
      </c>
      <c r="T523">
        <v>-0.73110339999999996</v>
      </c>
      <c r="U523">
        <v>-0.62426759999999903</v>
      </c>
      <c r="V523">
        <v>2.3882589999999999E-2</v>
      </c>
      <c r="W523">
        <v>0.1909313</v>
      </c>
      <c r="X523">
        <v>0.98131279999999999</v>
      </c>
      <c r="Y523">
        <v>0.1917654</v>
      </c>
      <c r="Z523">
        <v>-2.244633E-2</v>
      </c>
      <c r="AA523">
        <v>0.9811841</v>
      </c>
      <c r="AB523">
        <v>29</v>
      </c>
      <c r="AC523">
        <v>0.66109999999997604</v>
      </c>
      <c r="AD523">
        <v>-0.18830669999999999</v>
      </c>
      <c r="AE523">
        <v>-0.161500000000046</v>
      </c>
      <c r="AF523">
        <v>0.15229332081588301</v>
      </c>
      <c r="AG523">
        <v>-0.18830669999999999</v>
      </c>
      <c r="AH523">
        <v>0.61352221616998903</v>
      </c>
      <c r="AI523">
        <v>106.588109290982</v>
      </c>
      <c r="AJ523">
        <v>76.059358501372898</v>
      </c>
      <c r="AK523">
        <v>0.65959243367715603</v>
      </c>
      <c r="AL523">
        <v>78.992860943056797</v>
      </c>
      <c r="AM523">
        <v>88.605845617424706</v>
      </c>
      <c r="AN523">
        <v>0.99999997543431796</v>
      </c>
    </row>
    <row r="524" spans="1:40" x14ac:dyDescent="0.25">
      <c r="A524" t="str">
        <f>"20190312172906948"</f>
        <v>20190312172906948</v>
      </c>
      <c r="B524" t="str">
        <f>"1552382946937874"</f>
        <v>1552382946937874</v>
      </c>
      <c r="C524" t="s">
        <v>40</v>
      </c>
      <c r="D524">
        <v>3.2398920000000002</v>
      </c>
      <c r="E524">
        <v>0.57753239999999995</v>
      </c>
      <c r="F524" t="s">
        <v>42</v>
      </c>
      <c r="G524">
        <v>-367.452</v>
      </c>
      <c r="H524">
        <v>0.89856659999999899</v>
      </c>
      <c r="I524">
        <v>367.17219999999998</v>
      </c>
      <c r="J524">
        <v>-368.05509999999998</v>
      </c>
      <c r="K524">
        <v>1.109612</v>
      </c>
      <c r="L524">
        <v>367.35469999999998</v>
      </c>
      <c r="M524">
        <v>0.99994320000000003</v>
      </c>
      <c r="N524">
        <v>0</v>
      </c>
      <c r="O524">
        <v>3.713086E-3</v>
      </c>
      <c r="P524">
        <v>0.98325410000000002</v>
      </c>
      <c r="Q524">
        <v>0.1811256</v>
      </c>
      <c r="R524">
        <v>-2.012564E-2</v>
      </c>
      <c r="S524">
        <v>3.1726990000000002</v>
      </c>
      <c r="T524">
        <v>-0.73087349999999995</v>
      </c>
      <c r="U524">
        <v>-0.62622069999999996</v>
      </c>
      <c r="V524">
        <v>2.3784050000000001E-2</v>
      </c>
      <c r="W524">
        <v>0.1909411</v>
      </c>
      <c r="X524">
        <v>0.98131330000000005</v>
      </c>
      <c r="Y524">
        <v>0.19233819999999999</v>
      </c>
      <c r="Z524">
        <v>-2.250299E-2</v>
      </c>
      <c r="AA524">
        <v>0.98107060000000001</v>
      </c>
      <c r="AB524">
        <v>29</v>
      </c>
      <c r="AC524">
        <v>0.60309999999998298</v>
      </c>
      <c r="AD524">
        <v>-0.21104539999999999</v>
      </c>
      <c r="AE524">
        <v>-0.18250000000000399</v>
      </c>
      <c r="AF524">
        <v>0.166104346464402</v>
      </c>
      <c r="AG524">
        <v>-0.21104539999999999</v>
      </c>
      <c r="AH524">
        <v>0.54165444892655301</v>
      </c>
      <c r="AI524">
        <v>110.430815230268</v>
      </c>
      <c r="AJ524">
        <v>72.951260815603902</v>
      </c>
      <c r="AK524">
        <v>0.60458279566776796</v>
      </c>
      <c r="AL524">
        <v>78.992289068776103</v>
      </c>
      <c r="AM524">
        <v>88.611596374630693</v>
      </c>
      <c r="AN524">
        <v>0.99999998873025098</v>
      </c>
    </row>
    <row r="525" spans="1:40" x14ac:dyDescent="0.25">
      <c r="A525" t="str">
        <f>"20190312172906969"</f>
        <v>20190312172906969</v>
      </c>
      <c r="B525" t="str">
        <f>"1552382946958356"</f>
        <v>1552382946958356</v>
      </c>
      <c r="C525" t="s">
        <v>40</v>
      </c>
      <c r="D525">
        <v>3.2652519999999998</v>
      </c>
      <c r="E525">
        <v>0.57754209999999995</v>
      </c>
      <c r="F525" t="s">
        <v>42</v>
      </c>
      <c r="G525">
        <v>-367.18389999999999</v>
      </c>
      <c r="H525">
        <v>0.90919939999999999</v>
      </c>
      <c r="I525">
        <v>367.18220000000002</v>
      </c>
      <c r="J525">
        <v>-367.77870000000001</v>
      </c>
      <c r="K525">
        <v>1.1096109999999999</v>
      </c>
      <c r="L525">
        <v>367.35570000000001</v>
      </c>
      <c r="M525">
        <v>0.9999439</v>
      </c>
      <c r="N525">
        <v>0</v>
      </c>
      <c r="O525">
        <v>3.71339E-3</v>
      </c>
      <c r="P525">
        <v>0.98325070000000003</v>
      </c>
      <c r="Q525">
        <v>0.18118590000000001</v>
      </c>
      <c r="R525">
        <v>-1.9741970000000001E-2</v>
      </c>
      <c r="S525">
        <v>3.1727289999999999</v>
      </c>
      <c r="T525">
        <v>-0.72997389999999995</v>
      </c>
      <c r="U525">
        <v>-0.6272278</v>
      </c>
      <c r="V525">
        <v>2.3400710000000002E-2</v>
      </c>
      <c r="W525">
        <v>0.19094159999999999</v>
      </c>
      <c r="X525">
        <v>0.98132240000000004</v>
      </c>
      <c r="Y525">
        <v>0.19264129999999999</v>
      </c>
      <c r="Z525">
        <v>-2.250928E-2</v>
      </c>
      <c r="AA525">
        <v>0.98101099999999997</v>
      </c>
      <c r="AB525">
        <v>30</v>
      </c>
      <c r="AC525">
        <v>0.59480000000001998</v>
      </c>
      <c r="AD525">
        <v>-0.2004116</v>
      </c>
      <c r="AE525">
        <v>-0.173499999999989</v>
      </c>
      <c r="AF525">
        <v>0.159065270209616</v>
      </c>
      <c r="AG525">
        <v>-0.2004116</v>
      </c>
      <c r="AH525">
        <v>0.53787578944776504</v>
      </c>
      <c r="AI525">
        <v>109.66189701563501</v>
      </c>
      <c r="AJ525">
        <v>73.525543174539095</v>
      </c>
      <c r="AK525">
        <v>0.59563154254578798</v>
      </c>
      <c r="AL525">
        <v>78.992259678411202</v>
      </c>
      <c r="AM525">
        <v>88.633978117748001</v>
      </c>
      <c r="AN525">
        <v>0.99999997029041099</v>
      </c>
    </row>
    <row r="526" spans="1:40" x14ac:dyDescent="0.25">
      <c r="A526" t="str">
        <f>"20190312172906980"</f>
        <v>20190312172906980</v>
      </c>
      <c r="B526" t="str">
        <f>"1552382946968117"</f>
        <v>1552382946968117</v>
      </c>
      <c r="C526" t="s">
        <v>40</v>
      </c>
      <c r="D526">
        <v>3.2683270000000002</v>
      </c>
      <c r="E526">
        <v>0.57762579999999997</v>
      </c>
      <c r="F526" t="s">
        <v>42</v>
      </c>
      <c r="G526">
        <v>-366.91829999999999</v>
      </c>
      <c r="H526">
        <v>0.91188380000000002</v>
      </c>
      <c r="I526">
        <v>367.18540000000002</v>
      </c>
      <c r="J526">
        <v>-367.6284</v>
      </c>
      <c r="K526">
        <v>1.109607</v>
      </c>
      <c r="L526">
        <v>367.35629999999998</v>
      </c>
      <c r="M526">
        <v>0.99994430000000001</v>
      </c>
      <c r="N526">
        <v>0</v>
      </c>
      <c r="O526">
        <v>3.7135470000000002E-3</v>
      </c>
      <c r="P526">
        <v>0.98323369999999999</v>
      </c>
      <c r="Q526">
        <v>0.18130470000000001</v>
      </c>
      <c r="R526">
        <v>-1.950845E-2</v>
      </c>
      <c r="S526">
        <v>3.172974</v>
      </c>
      <c r="T526">
        <v>-0.72936569999999901</v>
      </c>
      <c r="U526">
        <v>-0.62637330000000002</v>
      </c>
      <c r="V526">
        <v>2.3167119999999999E-2</v>
      </c>
      <c r="W526">
        <v>0.19102959999999999</v>
      </c>
      <c r="X526">
        <v>0.98131080000000004</v>
      </c>
      <c r="Y526">
        <v>0.19238769999999999</v>
      </c>
      <c r="Z526">
        <v>-2.2461419999999999E-2</v>
      </c>
      <c r="AA526">
        <v>0.98106190000000004</v>
      </c>
      <c r="AB526">
        <v>30</v>
      </c>
      <c r="AC526">
        <v>0.71010000000001094</v>
      </c>
      <c r="AD526">
        <v>-0.19772319999999999</v>
      </c>
      <c r="AE526">
        <v>-0.17089999999996</v>
      </c>
      <c r="AF526">
        <v>0.16168653967707</v>
      </c>
      <c r="AG526">
        <v>-0.19772319999999999</v>
      </c>
      <c r="AH526">
        <v>0.66101697172200602</v>
      </c>
      <c r="AI526">
        <v>106.201432659522</v>
      </c>
      <c r="AJ526">
        <v>76.255175587609997</v>
      </c>
      <c r="AK526">
        <v>0.70864690631901905</v>
      </c>
      <c r="AL526">
        <v>78.987122927778302</v>
      </c>
      <c r="AM526">
        <v>88.647592918068199</v>
      </c>
      <c r="AN526">
        <v>0.99999995486094595</v>
      </c>
    </row>
    <row r="527" spans="1:40" x14ac:dyDescent="0.25">
      <c r="A527" t="str">
        <f>"20190312172907002"</f>
        <v>20190312172907002</v>
      </c>
      <c r="B527" t="str">
        <f>"1552382946998372"</f>
        <v>1552382946998372</v>
      </c>
      <c r="C527" t="s">
        <v>40</v>
      </c>
      <c r="D527">
        <v>3.2559469999999999</v>
      </c>
      <c r="E527">
        <v>0.57776649999999996</v>
      </c>
      <c r="F527" t="s">
        <v>42</v>
      </c>
      <c r="G527">
        <v>-366.90600000000001</v>
      </c>
      <c r="H527">
        <v>0.94365750000000004</v>
      </c>
      <c r="I527">
        <v>367.2131</v>
      </c>
      <c r="J527">
        <v>-367.34370000000001</v>
      </c>
      <c r="K527">
        <v>1.109599</v>
      </c>
      <c r="L527">
        <v>367.35730000000001</v>
      </c>
      <c r="M527">
        <v>0.99994470000000002</v>
      </c>
      <c r="N527">
        <v>0</v>
      </c>
      <c r="O527">
        <v>3.7140060000000002E-3</v>
      </c>
      <c r="P527">
        <v>0.98320719999999995</v>
      </c>
      <c r="Q527">
        <v>0.1814818</v>
      </c>
      <c r="R527">
        <v>-1.9194969999999999E-2</v>
      </c>
      <c r="S527">
        <v>3.173187</v>
      </c>
      <c r="T527">
        <v>-0.72919339999999999</v>
      </c>
      <c r="U527">
        <v>-0.62649540000000004</v>
      </c>
      <c r="V527">
        <v>2.2854039999999999E-2</v>
      </c>
      <c r="W527">
        <v>0.1911513</v>
      </c>
      <c r="X527">
        <v>0.98129449999999996</v>
      </c>
      <c r="Y527">
        <v>0.19241420000000001</v>
      </c>
      <c r="Z527">
        <v>-2.24578E-2</v>
      </c>
      <c r="AA527">
        <v>0.98105679999999995</v>
      </c>
      <c r="AB527">
        <v>30</v>
      </c>
      <c r="AC527">
        <v>0.43770000000000597</v>
      </c>
      <c r="AD527">
        <v>-0.16594149999999899</v>
      </c>
      <c r="AE527">
        <v>-0.14420000000001201</v>
      </c>
      <c r="AF527">
        <v>0.12908722562903899</v>
      </c>
      <c r="AG527">
        <v>-0.16594149999999899</v>
      </c>
      <c r="AH527">
        <v>0.38698485195955301</v>
      </c>
      <c r="AI527">
        <v>112.135123283051</v>
      </c>
      <c r="AJ527">
        <v>71.552756304154101</v>
      </c>
      <c r="AK527">
        <v>0.44040591377615401</v>
      </c>
      <c r="AL527">
        <v>78.980019753716505</v>
      </c>
      <c r="AM527">
        <v>88.6658405168222</v>
      </c>
      <c r="AN527">
        <v>1.00000001118313</v>
      </c>
    </row>
    <row r="528" spans="1:40" x14ac:dyDescent="0.25">
      <c r="A528" t="str">
        <f>"20190312172907013"</f>
        <v>20190312172907013</v>
      </c>
      <c r="B528" t="str">
        <f>"1552382947008132"</f>
        <v>1552382947008132</v>
      </c>
      <c r="C528" t="s">
        <v>40</v>
      </c>
      <c r="D528">
        <v>3.3242829999999999</v>
      </c>
      <c r="E528">
        <v>0.57794889999999999</v>
      </c>
      <c r="F528" t="s">
        <v>42</v>
      </c>
      <c r="G528">
        <v>-366.63929999999999</v>
      </c>
      <c r="H528">
        <v>0.94774510000000001</v>
      </c>
      <c r="I528">
        <v>367.21800000000002</v>
      </c>
      <c r="J528">
        <v>-367.19159999999999</v>
      </c>
      <c r="K528">
        <v>1.10959599999999</v>
      </c>
      <c r="L528">
        <v>367.35789999999997</v>
      </c>
      <c r="M528">
        <v>0.99994499999999997</v>
      </c>
      <c r="N528">
        <v>0</v>
      </c>
      <c r="O528">
        <v>3.714143E-3</v>
      </c>
      <c r="P528">
        <v>0.98323490000000002</v>
      </c>
      <c r="Q528">
        <v>0.1813332</v>
      </c>
      <c r="R528">
        <v>-1.916955E-2</v>
      </c>
      <c r="S528">
        <v>3.1736149999999999</v>
      </c>
      <c r="T528">
        <v>-0.72922359999999997</v>
      </c>
      <c r="U528">
        <v>-0.62667850000000003</v>
      </c>
      <c r="V528">
        <v>2.2828910000000001E-2</v>
      </c>
      <c r="W528">
        <v>0.1909758</v>
      </c>
      <c r="X528">
        <v>0.98132929999999996</v>
      </c>
      <c r="Y528">
        <v>0.1924439</v>
      </c>
      <c r="Z528">
        <v>-2.2459070000000001E-2</v>
      </c>
      <c r="AA528">
        <v>0.98105089999999995</v>
      </c>
      <c r="AB528">
        <v>30</v>
      </c>
      <c r="AC528">
        <v>0.55230000000000201</v>
      </c>
      <c r="AD528">
        <v>-0.16185089999999899</v>
      </c>
      <c r="AE528">
        <v>-0.13989999999995401</v>
      </c>
      <c r="AF528">
        <v>0.131350507415914</v>
      </c>
      <c r="AG528">
        <v>-0.16185089999999899</v>
      </c>
      <c r="AH528">
        <v>0.51057343058503901</v>
      </c>
      <c r="AI528">
        <v>107.066583764714</v>
      </c>
      <c r="AJ528">
        <v>75.572890836690505</v>
      </c>
      <c r="AK528">
        <v>0.55148336117112695</v>
      </c>
      <c r="AL528">
        <v>78.990264374096796</v>
      </c>
      <c r="AM528">
        <v>88.667354254627497</v>
      </c>
      <c r="AN528">
        <v>1.00000005517795</v>
      </c>
    </row>
    <row r="529" spans="1:40" x14ac:dyDescent="0.25">
      <c r="A529" t="str">
        <f>"20190312172907024"</f>
        <v>20190312172907024</v>
      </c>
      <c r="B529" t="str">
        <f>"1552382947017892"</f>
        <v>1552382947017892</v>
      </c>
      <c r="C529" t="s">
        <v>40</v>
      </c>
      <c r="D529">
        <v>3.246934</v>
      </c>
      <c r="E529">
        <v>0.57794069999999997</v>
      </c>
      <c r="F529" t="s">
        <v>42</v>
      </c>
      <c r="G529">
        <v>-366.3836</v>
      </c>
      <c r="H529">
        <v>0.92373570000000005</v>
      </c>
      <c r="I529">
        <v>367.19749999999999</v>
      </c>
      <c r="J529">
        <v>-367.0444</v>
      </c>
      <c r="K529">
        <v>1.109591</v>
      </c>
      <c r="L529">
        <v>367.35840000000002</v>
      </c>
      <c r="M529">
        <v>0.99994519999999998</v>
      </c>
      <c r="N529">
        <v>0</v>
      </c>
      <c r="O529">
        <v>3.714391E-3</v>
      </c>
      <c r="P529">
        <v>0.98320810000000003</v>
      </c>
      <c r="Q529">
        <v>0.18149180000000001</v>
      </c>
      <c r="R529">
        <v>-1.9042050000000001E-2</v>
      </c>
      <c r="S529">
        <v>3.173584</v>
      </c>
      <c r="T529">
        <v>-0.73020079999999998</v>
      </c>
      <c r="U529">
        <v>-0.62799069999999901</v>
      </c>
      <c r="V529">
        <v>2.270175E-2</v>
      </c>
      <c r="W529">
        <v>0.19110869999999999</v>
      </c>
      <c r="X529">
        <v>0.98130629999999996</v>
      </c>
      <c r="Y529">
        <v>0.1928144</v>
      </c>
      <c r="Z529">
        <v>-2.2529500000000001E-2</v>
      </c>
      <c r="AA529">
        <v>0.98097659999999998</v>
      </c>
      <c r="AB529">
        <v>30</v>
      </c>
      <c r="AC529">
        <v>0.66079999999999395</v>
      </c>
      <c r="AD529">
        <v>-0.185855299999999</v>
      </c>
      <c r="AE529">
        <v>-0.16090000000002599</v>
      </c>
      <c r="AF529">
        <v>0.1520021845376</v>
      </c>
      <c r="AG529">
        <v>-0.185855299999999</v>
      </c>
      <c r="AH529">
        <v>0.61432119224670201</v>
      </c>
      <c r="AI529">
        <v>106.36652740570899</v>
      </c>
      <c r="AJ529">
        <v>76.10236768483</v>
      </c>
      <c r="AK529">
        <v>0.65957363795538504</v>
      </c>
      <c r="AL529">
        <v>78.982506042866603</v>
      </c>
      <c r="AM529">
        <v>88.674743560583806</v>
      </c>
      <c r="AN529">
        <v>0.99999997954422104</v>
      </c>
    </row>
    <row r="530" spans="1:40" x14ac:dyDescent="0.25">
      <c r="A530" t="str">
        <f>"20190312172907035"</f>
        <v>20190312172907035</v>
      </c>
      <c r="B530" t="str">
        <f>"1552382947027652"</f>
        <v>1552382947027652</v>
      </c>
      <c r="C530" t="s">
        <v>40</v>
      </c>
      <c r="D530">
        <v>3.2567840000000001</v>
      </c>
      <c r="E530">
        <v>0.57794140000000005</v>
      </c>
      <c r="F530" t="s">
        <v>42</v>
      </c>
      <c r="G530">
        <v>-366.12729999999999</v>
      </c>
      <c r="H530">
        <v>0.89872649999999998</v>
      </c>
      <c r="I530">
        <v>367.17689999999999</v>
      </c>
      <c r="J530">
        <v>-366.89429999999999</v>
      </c>
      <c r="K530">
        <v>1.109591</v>
      </c>
      <c r="L530">
        <v>367.35899999999998</v>
      </c>
      <c r="M530">
        <v>0.99994550000000004</v>
      </c>
      <c r="N530">
        <v>0</v>
      </c>
      <c r="O530">
        <v>3.714509E-3</v>
      </c>
      <c r="P530">
        <v>0.98318899999999998</v>
      </c>
      <c r="Q530">
        <v>0.18161340000000001</v>
      </c>
      <c r="R530">
        <v>-1.8875490000000002E-2</v>
      </c>
      <c r="S530">
        <v>3.1738279999999999</v>
      </c>
      <c r="T530">
        <v>-0.72984649999999995</v>
      </c>
      <c r="U530">
        <v>-0.6272278</v>
      </c>
      <c r="V530">
        <v>2.2535039999999999E-2</v>
      </c>
      <c r="W530">
        <v>0.1912065</v>
      </c>
      <c r="X530">
        <v>0.98129109999999997</v>
      </c>
      <c r="Y530">
        <v>0.19258410000000001</v>
      </c>
      <c r="Z530">
        <v>-2.2491819999999999E-2</v>
      </c>
      <c r="AA530">
        <v>0.98102270000000003</v>
      </c>
      <c r="AB530">
        <v>30</v>
      </c>
      <c r="AC530">
        <v>0.76699999999999502</v>
      </c>
      <c r="AD530">
        <v>-0.21086450000000001</v>
      </c>
      <c r="AE530">
        <v>-0.182100000000048</v>
      </c>
      <c r="AF530">
        <v>0.172598710919907</v>
      </c>
      <c r="AG530">
        <v>-0.21086450000000001</v>
      </c>
      <c r="AH530">
        <v>0.71515026140462101</v>
      </c>
      <c r="AI530">
        <v>105.99356989822699</v>
      </c>
      <c r="AJ530">
        <v>76.431364859289502</v>
      </c>
      <c r="AK530">
        <v>0.76530650641332099</v>
      </c>
      <c r="AL530">
        <v>78.976797339320598</v>
      </c>
      <c r="AM530">
        <v>88.684451760974198</v>
      </c>
      <c r="AN530">
        <v>0.99999998830462999</v>
      </c>
    </row>
    <row r="531" spans="1:40" x14ac:dyDescent="0.25">
      <c r="A531" t="str">
        <f>"20190312172907047"</f>
        <v>20190312172907047</v>
      </c>
      <c r="B531" t="str">
        <f>"1552382947038389"</f>
        <v>1552382947038389</v>
      </c>
      <c r="C531" t="s">
        <v>40</v>
      </c>
      <c r="D531">
        <v>3.2682829999999998</v>
      </c>
      <c r="E531">
        <v>0.57801559999999996</v>
      </c>
      <c r="F531" t="s">
        <v>42</v>
      </c>
      <c r="G531">
        <v>-366.11529999999999</v>
      </c>
      <c r="H531">
        <v>0.93059289999999995</v>
      </c>
      <c r="I531">
        <v>367.20479999999998</v>
      </c>
      <c r="J531">
        <v>-366.74329999999998</v>
      </c>
      <c r="K531">
        <v>1.1095900000000001</v>
      </c>
      <c r="L531">
        <v>367.35950000000003</v>
      </c>
      <c r="M531">
        <v>0.9999458</v>
      </c>
      <c r="N531">
        <v>0</v>
      </c>
      <c r="O531">
        <v>3.7146229999999998E-3</v>
      </c>
      <c r="P531">
        <v>0.98319630000000002</v>
      </c>
      <c r="Q531">
        <v>0.1815756</v>
      </c>
      <c r="R531">
        <v>-1.8854570000000001E-2</v>
      </c>
      <c r="S531">
        <v>3.1739809999999999</v>
      </c>
      <c r="T531">
        <v>-0.72937489999999905</v>
      </c>
      <c r="U531">
        <v>-0.62701419999999997</v>
      </c>
      <c r="V531">
        <v>2.251446E-2</v>
      </c>
      <c r="W531">
        <v>0.19114619999999999</v>
      </c>
      <c r="X531">
        <v>0.98130329999999999</v>
      </c>
      <c r="Y531">
        <v>0.19252</v>
      </c>
      <c r="Z531">
        <v>-2.2469570000000001E-2</v>
      </c>
      <c r="AA531">
        <v>0.98103580000000001</v>
      </c>
      <c r="AB531">
        <v>30</v>
      </c>
      <c r="AC531">
        <v>0.62799999999998501</v>
      </c>
      <c r="AD531">
        <v>-0.17899709999999899</v>
      </c>
      <c r="AE531">
        <v>-0.15470000000004799</v>
      </c>
      <c r="AF531">
        <v>0.14586001291342901</v>
      </c>
      <c r="AG531">
        <v>-0.17899709999999899</v>
      </c>
      <c r="AH531">
        <v>0.58278398441614299</v>
      </c>
      <c r="AI531">
        <v>106.59148873379699</v>
      </c>
      <c r="AJ531">
        <v>75.948580938870805</v>
      </c>
      <c r="AK531">
        <v>0.62685905725886404</v>
      </c>
      <c r="AL531">
        <v>78.980316976701999</v>
      </c>
      <c r="AM531">
        <v>88.685669091280104</v>
      </c>
      <c r="AN531">
        <v>0.99999996863720997</v>
      </c>
    </row>
    <row r="532" spans="1:40" x14ac:dyDescent="0.25">
      <c r="A532" t="str">
        <f>"20190312172907057"</f>
        <v>20190312172907057</v>
      </c>
      <c r="B532" t="str">
        <f>"1552382947048149"</f>
        <v>1552382947048149</v>
      </c>
      <c r="C532" t="s">
        <v>40</v>
      </c>
      <c r="D532">
        <v>3.262661</v>
      </c>
      <c r="E532">
        <v>0.57817969999999996</v>
      </c>
      <c r="F532" t="s">
        <v>42</v>
      </c>
      <c r="G532">
        <v>-365.85849999999999</v>
      </c>
      <c r="H532">
        <v>0.90607459999999995</v>
      </c>
      <c r="I532">
        <v>367.18439999999998</v>
      </c>
      <c r="J532">
        <v>-366.589</v>
      </c>
      <c r="K532">
        <v>1.1095870000000001</v>
      </c>
      <c r="L532">
        <v>367.36009999999999</v>
      </c>
      <c r="M532">
        <v>0.99994590000000005</v>
      </c>
      <c r="N532">
        <v>0</v>
      </c>
      <c r="O532">
        <v>3.7149090000000002E-3</v>
      </c>
      <c r="P532">
        <v>0.98316139999999996</v>
      </c>
      <c r="Q532">
        <v>0.1817597</v>
      </c>
      <c r="R532">
        <v>-1.8893549999999999E-2</v>
      </c>
      <c r="S532">
        <v>3.1740110000000001</v>
      </c>
      <c r="T532">
        <v>-0.73002270000000002</v>
      </c>
      <c r="U532">
        <v>-0.6277161</v>
      </c>
      <c r="V532">
        <v>2.2553520000000001E-2</v>
      </c>
      <c r="W532">
        <v>0.19130810000000001</v>
      </c>
      <c r="X532">
        <v>0.98127089999999995</v>
      </c>
      <c r="Y532">
        <v>0.1927141</v>
      </c>
      <c r="Z532">
        <v>-2.2510249999999999E-2</v>
      </c>
      <c r="AA532">
        <v>0.98099669999999894</v>
      </c>
      <c r="AB532">
        <v>30</v>
      </c>
      <c r="AC532">
        <v>0.73050000000000603</v>
      </c>
      <c r="AD532">
        <v>-0.20351240000000001</v>
      </c>
      <c r="AE532">
        <v>-0.17570000000000599</v>
      </c>
      <c r="AF532">
        <v>0.166217327336911</v>
      </c>
      <c r="AG532">
        <v>-0.20351240000000001</v>
      </c>
      <c r="AH532">
        <v>0.67995413128504401</v>
      </c>
      <c r="AI532">
        <v>106.211374093106</v>
      </c>
      <c r="AJ532">
        <v>76.263229374466604</v>
      </c>
      <c r="AK532">
        <v>0.72896029899603199</v>
      </c>
      <c r="AL532">
        <v>78.970866902090805</v>
      </c>
      <c r="AM532">
        <v>88.683346223090197</v>
      </c>
      <c r="AN532">
        <v>1.0000000147884001</v>
      </c>
    </row>
    <row r="533" spans="1:40" x14ac:dyDescent="0.25">
      <c r="A533" t="str">
        <f>"20190312172907069"</f>
        <v>20190312172907069</v>
      </c>
      <c r="B533" t="str">
        <f>"1552382947057909"</f>
        <v>1552382947057909</v>
      </c>
      <c r="C533" t="s">
        <v>40</v>
      </c>
      <c r="D533">
        <v>3.246321</v>
      </c>
      <c r="E533">
        <v>0.57816499999999904</v>
      </c>
      <c r="F533" t="s">
        <v>42</v>
      </c>
      <c r="G533">
        <v>-365.846</v>
      </c>
      <c r="H533">
        <v>0.93883229999999995</v>
      </c>
      <c r="I533">
        <v>367.21269999999998</v>
      </c>
      <c r="J533">
        <v>-366.4452</v>
      </c>
      <c r="K533">
        <v>1.109588</v>
      </c>
      <c r="L533">
        <v>367.36059999999998</v>
      </c>
      <c r="M533">
        <v>0.999946</v>
      </c>
      <c r="N533">
        <v>0</v>
      </c>
      <c r="O533">
        <v>3.7150009999999999E-3</v>
      </c>
      <c r="P533">
        <v>0.98317600000000005</v>
      </c>
      <c r="Q533">
        <v>0.18168239999999999</v>
      </c>
      <c r="R533">
        <v>-1.8879070000000001E-2</v>
      </c>
      <c r="S533">
        <v>3.1741640000000002</v>
      </c>
      <c r="T533">
        <v>-0.72948690000000005</v>
      </c>
      <c r="U533">
        <v>-0.62899780000000005</v>
      </c>
      <c r="V533">
        <v>2.253904E-2</v>
      </c>
      <c r="W533">
        <v>0.1912131</v>
      </c>
      <c r="X533">
        <v>0.98128970000000004</v>
      </c>
      <c r="Y533">
        <v>0.19308510000000001</v>
      </c>
      <c r="Z533">
        <v>-2.253399E-2</v>
      </c>
      <c r="AA533">
        <v>0.9809232</v>
      </c>
      <c r="AB533">
        <v>30</v>
      </c>
      <c r="AC533">
        <v>0.59919999999999596</v>
      </c>
      <c r="AD533">
        <v>-0.17075569999999901</v>
      </c>
      <c r="AE533">
        <v>-0.14789999999999201</v>
      </c>
      <c r="AF533">
        <v>0.139450722955649</v>
      </c>
      <c r="AG533">
        <v>-0.17075569999999901</v>
      </c>
      <c r="AH533">
        <v>0.55608066087848396</v>
      </c>
      <c r="AI533">
        <v>106.586022662792</v>
      </c>
      <c r="AJ533">
        <v>75.922011181870502</v>
      </c>
      <c r="AK533">
        <v>0.59818869482663695</v>
      </c>
      <c r="AL533">
        <v>78.976411836888005</v>
      </c>
      <c r="AM533">
        <v>88.6842164549128</v>
      </c>
      <c r="AN533">
        <v>0.99999996663090995</v>
      </c>
    </row>
    <row r="534" spans="1:40" x14ac:dyDescent="0.25">
      <c r="A534" t="str">
        <f>"20190312172907081"</f>
        <v>20190312172907081</v>
      </c>
      <c r="B534" t="str">
        <f>"1552382947078405"</f>
        <v>1552382947078405</v>
      </c>
      <c r="C534" t="s">
        <v>40</v>
      </c>
      <c r="D534">
        <v>3.255036</v>
      </c>
      <c r="E534">
        <v>0.57821979999999995</v>
      </c>
      <c r="F534" t="s">
        <v>42</v>
      </c>
      <c r="G534">
        <v>-365.58940000000001</v>
      </c>
      <c r="H534">
        <v>0.91281650000000003</v>
      </c>
      <c r="I534">
        <v>367.1909</v>
      </c>
      <c r="J534">
        <v>-366.28859999999997</v>
      </c>
      <c r="K534">
        <v>1.1095839999999999</v>
      </c>
      <c r="L534">
        <v>367.3612</v>
      </c>
      <c r="M534">
        <v>0.99994620000000001</v>
      </c>
      <c r="N534">
        <v>0</v>
      </c>
      <c r="O534">
        <v>3.7152729999999998E-3</v>
      </c>
      <c r="P534">
        <v>0.98315370000000002</v>
      </c>
      <c r="Q534">
        <v>0.18180750000000001</v>
      </c>
      <c r="R534">
        <v>-1.8838000000000001E-2</v>
      </c>
      <c r="S534">
        <v>3.1741329999999999</v>
      </c>
      <c r="T534">
        <v>-0.72993759999999996</v>
      </c>
      <c r="U534">
        <v>-0.62890630000000003</v>
      </c>
      <c r="V534">
        <v>2.249814E-2</v>
      </c>
      <c r="W534">
        <v>0.1913193</v>
      </c>
      <c r="X534">
        <v>0.98126999999999998</v>
      </c>
      <c r="Y534">
        <v>0.19305459999999999</v>
      </c>
      <c r="Z534">
        <v>-2.2544459999999999E-2</v>
      </c>
      <c r="AA534">
        <v>0.98092900000000005</v>
      </c>
      <c r="AB534">
        <v>30</v>
      </c>
      <c r="AC534">
        <v>0.69919999999996196</v>
      </c>
      <c r="AD534">
        <v>-0.19676749999999901</v>
      </c>
      <c r="AE534">
        <v>-0.17029999999999701</v>
      </c>
      <c r="AF534">
        <v>0.16086986741790901</v>
      </c>
      <c r="AG534">
        <v>-0.19676749999999901</v>
      </c>
      <c r="AH534">
        <v>0.64997000291813101</v>
      </c>
      <c r="AI534">
        <v>106.37627709696299</v>
      </c>
      <c r="AJ534">
        <v>76.098458874896295</v>
      </c>
      <c r="AK534">
        <v>0.69789509812915396</v>
      </c>
      <c r="AL534">
        <v>78.970213248216396</v>
      </c>
      <c r="AM534">
        <v>88.686576918501402</v>
      </c>
      <c r="AN534">
        <v>1.0000000268779701</v>
      </c>
    </row>
    <row r="535" spans="1:40" x14ac:dyDescent="0.25">
      <c r="A535" t="str">
        <f>"20190312172907093"</f>
        <v>20190312172907093</v>
      </c>
      <c r="B535" t="str">
        <f>"1552382947088165"</f>
        <v>1552382947088165</v>
      </c>
      <c r="C535" t="s">
        <v>40</v>
      </c>
      <c r="D535">
        <v>3.285301</v>
      </c>
      <c r="E535">
        <v>0.57828299999999999</v>
      </c>
      <c r="F535" t="s">
        <v>42</v>
      </c>
      <c r="G535">
        <v>-365.57650000000001</v>
      </c>
      <c r="H535">
        <v>0.94587279999999996</v>
      </c>
      <c r="I535">
        <v>367.21980000000002</v>
      </c>
      <c r="J535">
        <v>-366.13799999999998</v>
      </c>
      <c r="K535">
        <v>1.1095820000000001</v>
      </c>
      <c r="L535">
        <v>367.36169999999998</v>
      </c>
      <c r="M535">
        <v>0.99994649999999996</v>
      </c>
      <c r="N535">
        <v>0</v>
      </c>
      <c r="O535">
        <v>3.7151799999999998E-3</v>
      </c>
      <c r="P535">
        <v>0.98311329999999997</v>
      </c>
      <c r="Q535">
        <v>0.18203549999999999</v>
      </c>
      <c r="R535">
        <v>-1.87505E-2</v>
      </c>
      <c r="S535">
        <v>3.174347</v>
      </c>
      <c r="T535">
        <v>-0.72986269999999998</v>
      </c>
      <c r="U535">
        <v>-0.6294556</v>
      </c>
      <c r="V535">
        <v>2.2410469999999998E-2</v>
      </c>
      <c r="W535">
        <v>0.19152949999999999</v>
      </c>
      <c r="X535">
        <v>0.98123099999999996</v>
      </c>
      <c r="Y535">
        <v>0.19320329999999999</v>
      </c>
      <c r="Z535">
        <v>-2.2557089999999998E-2</v>
      </c>
      <c r="AA535">
        <v>0.98089939999999998</v>
      </c>
      <c r="AB535">
        <v>30</v>
      </c>
      <c r="AC535">
        <v>0.56150000000002298</v>
      </c>
      <c r="AD535">
        <v>-0.1637092</v>
      </c>
      <c r="AE535">
        <v>-0.141899999999964</v>
      </c>
      <c r="AF535">
        <v>0.13333166715977099</v>
      </c>
      <c r="AG535">
        <v>-0.1637092</v>
      </c>
      <c r="AH535">
        <v>0.51946259238902204</v>
      </c>
      <c r="AI535">
        <v>106.975135502676</v>
      </c>
      <c r="AJ535">
        <v>75.604517612055204</v>
      </c>
      <c r="AK535">
        <v>0.56073114816618397</v>
      </c>
      <c r="AL535">
        <v>78.957942762785095</v>
      </c>
      <c r="AM535">
        <v>88.691641257434298</v>
      </c>
      <c r="AN535">
        <v>1.0000000269484299</v>
      </c>
    </row>
    <row r="536" spans="1:40" x14ac:dyDescent="0.25">
      <c r="A536" t="str">
        <f>"20190312172907104"</f>
        <v>20190312172907104</v>
      </c>
      <c r="B536" t="str">
        <f>"1552382947097924"</f>
        <v>1552382947097924</v>
      </c>
      <c r="C536" t="s">
        <v>40</v>
      </c>
      <c r="D536">
        <v>3.2814610000000002</v>
      </c>
      <c r="E536">
        <v>0.57834890000000005</v>
      </c>
      <c r="F536" t="s">
        <v>42</v>
      </c>
      <c r="G536">
        <v>-365.31920000000002</v>
      </c>
      <c r="H536">
        <v>0.92160089999999995</v>
      </c>
      <c r="I536">
        <v>367.19900000000001</v>
      </c>
      <c r="J536">
        <v>-365.98</v>
      </c>
      <c r="K536">
        <v>1.109577</v>
      </c>
      <c r="L536">
        <v>367.3623</v>
      </c>
      <c r="M536">
        <v>0.99994669999999997</v>
      </c>
      <c r="N536">
        <v>0</v>
      </c>
      <c r="O536">
        <v>3.7152679999999999E-3</v>
      </c>
      <c r="P536">
        <v>0.98311550000000003</v>
      </c>
      <c r="Q536">
        <v>0.1820358</v>
      </c>
      <c r="R536">
        <v>-1.863509E-2</v>
      </c>
      <c r="S536">
        <v>3.1744690000000002</v>
      </c>
      <c r="T536">
        <v>-0.72889659999999901</v>
      </c>
      <c r="U536">
        <v>-0.62976069999999995</v>
      </c>
      <c r="V536">
        <v>2.2295200000000001E-2</v>
      </c>
      <c r="W536">
        <v>0.19151170000000001</v>
      </c>
      <c r="X536">
        <v>0.98123709999999997</v>
      </c>
      <c r="Y536">
        <v>0.193298</v>
      </c>
      <c r="Z536">
        <v>-2.253759E-2</v>
      </c>
      <c r="AA536">
        <v>0.98088120000000001</v>
      </c>
      <c r="AB536">
        <v>30</v>
      </c>
      <c r="AC536">
        <v>0.66079999999999395</v>
      </c>
      <c r="AD536">
        <v>-0.18797610000000001</v>
      </c>
      <c r="AE536">
        <v>-0.16329999999999201</v>
      </c>
      <c r="AF536">
        <v>0.15400868170780299</v>
      </c>
      <c r="AG536">
        <v>-0.18797610000000001</v>
      </c>
      <c r="AH536">
        <v>0.61340764342566001</v>
      </c>
      <c r="AI536">
        <v>106.553050237115</v>
      </c>
      <c r="AJ536">
        <v>75.906033539780694</v>
      </c>
      <c r="AK536">
        <v>0.65978983413326997</v>
      </c>
      <c r="AL536">
        <v>78.958981861154996</v>
      </c>
      <c r="AM536">
        <v>88.698376670471902</v>
      </c>
      <c r="AN536">
        <v>1.0000000267981599</v>
      </c>
    </row>
    <row r="537" spans="1:40" x14ac:dyDescent="0.25">
      <c r="A537" t="str">
        <f>"20190312172907116"</f>
        <v>20190312172907116</v>
      </c>
      <c r="B537" t="str">
        <f>"1552382947107685"</f>
        <v>1552382947107685</v>
      </c>
      <c r="C537" t="s">
        <v>40</v>
      </c>
      <c r="D537">
        <v>3.245139</v>
      </c>
      <c r="E537">
        <v>0.57836829999999995</v>
      </c>
      <c r="F537" t="s">
        <v>42</v>
      </c>
      <c r="G537">
        <v>-365.0607</v>
      </c>
      <c r="H537">
        <v>0.89839199999999997</v>
      </c>
      <c r="I537">
        <v>367.1798</v>
      </c>
      <c r="J537">
        <v>-365.82139999999998</v>
      </c>
      <c r="K537">
        <v>1.109572</v>
      </c>
      <c r="L537">
        <v>367.36290000000002</v>
      </c>
      <c r="M537">
        <v>0.99994680000000002</v>
      </c>
      <c r="N537">
        <v>0</v>
      </c>
      <c r="O537">
        <v>3.715533E-3</v>
      </c>
      <c r="P537">
        <v>0.98307990000000001</v>
      </c>
      <c r="Q537">
        <v>0.1822231</v>
      </c>
      <c r="R537">
        <v>-1.8679919999999999E-2</v>
      </c>
      <c r="S537">
        <v>3.1745610000000002</v>
      </c>
      <c r="T537">
        <v>-0.7291976</v>
      </c>
      <c r="U537">
        <v>-0.62994380000000005</v>
      </c>
      <c r="V537">
        <v>2.234005E-2</v>
      </c>
      <c r="W537">
        <v>0.19168160000000001</v>
      </c>
      <c r="X537">
        <v>0.98120289999999999</v>
      </c>
      <c r="Y537">
        <v>0.1933425</v>
      </c>
      <c r="Z537">
        <v>-2.2550980000000002E-2</v>
      </c>
      <c r="AA537">
        <v>0.98087219999999997</v>
      </c>
      <c r="AB537">
        <v>30</v>
      </c>
      <c r="AC537">
        <v>0.76069999999998505</v>
      </c>
      <c r="AD537">
        <v>-0.21118000000000001</v>
      </c>
      <c r="AE537">
        <v>-0.18310000000002399</v>
      </c>
      <c r="AF537">
        <v>0.17330062158923101</v>
      </c>
      <c r="AG537">
        <v>-0.21118000000000001</v>
      </c>
      <c r="AH537">
        <v>0.70840809574516295</v>
      </c>
      <c r="AI537">
        <v>106.149232217695</v>
      </c>
      <c r="AJ537">
        <v>76.253490229326502</v>
      </c>
      <c r="AK537">
        <v>0.75925761633354805</v>
      </c>
      <c r="AL537">
        <v>78.949063509105599</v>
      </c>
      <c r="AM537">
        <v>88.695713727693004</v>
      </c>
      <c r="AN537">
        <v>1.0000000222904799</v>
      </c>
    </row>
    <row r="538" spans="1:40" x14ac:dyDescent="0.25">
      <c r="A538" t="str">
        <f>"20190312172907129"</f>
        <v>20190312172907129</v>
      </c>
      <c r="B538" t="str">
        <f>"1552382947118421"</f>
        <v>1552382947118421</v>
      </c>
      <c r="C538" t="s">
        <v>40</v>
      </c>
      <c r="D538">
        <v>3.253136</v>
      </c>
      <c r="E538">
        <v>0.57839069999999904</v>
      </c>
      <c r="F538" t="s">
        <v>42</v>
      </c>
      <c r="G538">
        <v>-365.04790000000003</v>
      </c>
      <c r="H538">
        <v>0.93205369999999998</v>
      </c>
      <c r="I538">
        <v>367.20920000000001</v>
      </c>
      <c r="J538">
        <v>-365.65449999999998</v>
      </c>
      <c r="K538">
        <v>1.1095699999999999</v>
      </c>
      <c r="L538">
        <v>367.36360000000002</v>
      </c>
      <c r="M538">
        <v>0.99994700000000003</v>
      </c>
      <c r="N538">
        <v>0</v>
      </c>
      <c r="O538">
        <v>3.7156189999999999E-3</v>
      </c>
      <c r="P538">
        <v>0.98306070000000001</v>
      </c>
      <c r="Q538">
        <v>0.18232760000000001</v>
      </c>
      <c r="R538">
        <v>-1.8676580000000002E-2</v>
      </c>
      <c r="S538">
        <v>3.174744</v>
      </c>
      <c r="T538">
        <v>-0.72867890000000002</v>
      </c>
      <c r="U538">
        <v>-0.63040160000000001</v>
      </c>
      <c r="V538">
        <v>2.2336720000000001E-2</v>
      </c>
      <c r="W538">
        <v>0.1917682</v>
      </c>
      <c r="X538">
        <v>0.981186</v>
      </c>
      <c r="Y538">
        <v>0.19347230000000001</v>
      </c>
      <c r="Z538">
        <v>-2.2548370000000002E-2</v>
      </c>
      <c r="AA538">
        <v>0.98084660000000001</v>
      </c>
      <c r="AB538">
        <v>30</v>
      </c>
      <c r="AC538">
        <v>0.60659999999995695</v>
      </c>
      <c r="AD538">
        <v>-0.17751629999999999</v>
      </c>
      <c r="AE538">
        <v>-0.154400000000009</v>
      </c>
      <c r="AF538">
        <v>0.14499151374080199</v>
      </c>
      <c r="AG538">
        <v>-0.17751629999999999</v>
      </c>
      <c r="AH538">
        <v>0.56090913473673498</v>
      </c>
      <c r="AI538">
        <v>107.03549262546299</v>
      </c>
      <c r="AJ538">
        <v>75.506649812364003</v>
      </c>
      <c r="AK538">
        <v>0.60593203682727703</v>
      </c>
      <c r="AL538">
        <v>78.944007311195307</v>
      </c>
      <c r="AM538">
        <v>88.695885623011506</v>
      </c>
      <c r="AN538">
        <v>0.99999996909379796</v>
      </c>
    </row>
    <row r="539" spans="1:40" x14ac:dyDescent="0.25">
      <c r="A539" t="str">
        <f>"20190312172907148"</f>
        <v>20190312172907148</v>
      </c>
      <c r="B539" t="str">
        <f>"1552382947137941"</f>
        <v>1552382947137941</v>
      </c>
      <c r="C539" t="s">
        <v>40</v>
      </c>
      <c r="D539">
        <v>3.4102980000000001</v>
      </c>
      <c r="E539">
        <v>0.57827390000000001</v>
      </c>
      <c r="F539" t="s">
        <v>42</v>
      </c>
      <c r="G539">
        <v>-364.78820000000002</v>
      </c>
      <c r="H539">
        <v>0.91085799999999995</v>
      </c>
      <c r="I539">
        <v>367.19099999999997</v>
      </c>
      <c r="J539">
        <v>-365.3938</v>
      </c>
      <c r="K539">
        <v>1.109572</v>
      </c>
      <c r="L539">
        <v>367.36450000000002</v>
      </c>
      <c r="M539">
        <v>0.99994720000000004</v>
      </c>
      <c r="N539">
        <v>0</v>
      </c>
      <c r="O539">
        <v>3.7157480000000001E-3</v>
      </c>
      <c r="P539">
        <v>0.98303260000000003</v>
      </c>
      <c r="Q539">
        <v>0.18248819999999999</v>
      </c>
      <c r="R539">
        <v>-1.857926E-2</v>
      </c>
      <c r="S539">
        <v>3.1748349999999999</v>
      </c>
      <c r="T539">
        <v>-0.7284119</v>
      </c>
      <c r="U539">
        <v>-0.63070680000000001</v>
      </c>
      <c r="V539">
        <v>2.2239390000000001E-2</v>
      </c>
      <c r="W539">
        <v>0.19190299999999999</v>
      </c>
      <c r="X539">
        <v>0.98116190000000003</v>
      </c>
      <c r="Y539">
        <v>0.1935595</v>
      </c>
      <c r="Z539">
        <v>-2.2549309999999999E-2</v>
      </c>
      <c r="AA539">
        <v>0.98082939999999996</v>
      </c>
      <c r="AB539">
        <v>30</v>
      </c>
      <c r="AC539">
        <v>0.60559999999998104</v>
      </c>
      <c r="AD539">
        <v>-0.198714</v>
      </c>
      <c r="AE539">
        <v>-0.17350000000004601</v>
      </c>
      <c r="AF539">
        <v>0.15984450540310899</v>
      </c>
      <c r="AG539">
        <v>-0.198714</v>
      </c>
      <c r="AH539">
        <v>0.55020524232756596</v>
      </c>
      <c r="AI539">
        <v>109.127761385479</v>
      </c>
      <c r="AJ539">
        <v>73.800469990943498</v>
      </c>
      <c r="AK539">
        <v>0.60643493335089105</v>
      </c>
      <c r="AL539">
        <v>78.936138169021703</v>
      </c>
      <c r="AM539">
        <v>88.701534337851101</v>
      </c>
      <c r="AN539">
        <v>1.00000001294409</v>
      </c>
    </row>
    <row r="540" spans="1:40" x14ac:dyDescent="0.25">
      <c r="A540" t="str">
        <f>"20190312172907170"</f>
        <v>20190312172907170</v>
      </c>
      <c r="B540" t="str">
        <f>"1552382947158438"</f>
        <v>1552382947158438</v>
      </c>
      <c r="C540" t="s">
        <v>40</v>
      </c>
      <c r="D540">
        <v>3.3156769999999902</v>
      </c>
      <c r="E540">
        <v>0.57317259999999903</v>
      </c>
      <c r="F540" t="s">
        <v>42</v>
      </c>
      <c r="G540">
        <v>-364.52069999999998</v>
      </c>
      <c r="H540">
        <v>0.90957880000000002</v>
      </c>
      <c r="I540">
        <v>367.19119999999998</v>
      </c>
      <c r="J540">
        <v>-365.1028</v>
      </c>
      <c r="K540">
        <v>1.1095729999999999</v>
      </c>
      <c r="L540">
        <v>367.36559999999997</v>
      </c>
      <c r="M540">
        <v>0.99994749999999999</v>
      </c>
      <c r="N540">
        <v>0</v>
      </c>
      <c r="O540">
        <v>3.716249E-3</v>
      </c>
      <c r="P540">
        <v>0.98299369999999997</v>
      </c>
      <c r="Q540">
        <v>0.18272720000000001</v>
      </c>
      <c r="R540">
        <v>-1.8278329999999999E-2</v>
      </c>
      <c r="S540">
        <v>3.1748959999999999</v>
      </c>
      <c r="T540">
        <v>-0.72724319999999998</v>
      </c>
      <c r="U540">
        <v>-0.62966919999999904</v>
      </c>
      <c r="V540">
        <v>2.1939050000000002E-2</v>
      </c>
      <c r="W540">
        <v>0.19211210000000001</v>
      </c>
      <c r="X540">
        <v>0.98112770000000005</v>
      </c>
      <c r="Y540">
        <v>0.19327059999999999</v>
      </c>
      <c r="Z540">
        <v>-2.248203E-2</v>
      </c>
      <c r="AA540">
        <v>0.98088790000000003</v>
      </c>
      <c r="AB540">
        <v>30</v>
      </c>
      <c r="AC540">
        <v>0.58210000000002504</v>
      </c>
      <c r="AD540">
        <v>-0.19999419999999901</v>
      </c>
      <c r="AE540">
        <v>-0.17439999999999101</v>
      </c>
      <c r="AF540">
        <v>0.159306128262789</v>
      </c>
      <c r="AG540">
        <v>-0.19999419999999901</v>
      </c>
      <c r="AH540">
        <v>0.52462103529181303</v>
      </c>
      <c r="AI540">
        <v>110.040439821878</v>
      </c>
      <c r="AJ540">
        <v>73.108591957630196</v>
      </c>
      <c r="AK540">
        <v>0.58361233126654699</v>
      </c>
      <c r="AL540">
        <v>78.923930022707793</v>
      </c>
      <c r="AM540">
        <v>88.719019425461696</v>
      </c>
      <c r="AN540">
        <v>0.99999997229430004</v>
      </c>
    </row>
    <row r="541" spans="1:40" x14ac:dyDescent="0.25">
      <c r="A541" t="str">
        <f>"20190312172907191"</f>
        <v>20190312172907191</v>
      </c>
      <c r="B541" t="str">
        <f>"1552382947187717"</f>
        <v>1552382947187717</v>
      </c>
      <c r="C541" t="s">
        <v>40</v>
      </c>
      <c r="D541">
        <v>3.355397</v>
      </c>
      <c r="E541">
        <v>0.58022439999999997</v>
      </c>
      <c r="F541" t="s">
        <v>42</v>
      </c>
      <c r="G541">
        <v>-364.2484</v>
      </c>
      <c r="H541">
        <v>0.92032049999999999</v>
      </c>
      <c r="I541">
        <v>367.20639999999997</v>
      </c>
      <c r="J541">
        <v>-364.81400000000002</v>
      </c>
      <c r="K541">
        <v>1.1095680000000001</v>
      </c>
      <c r="L541">
        <v>367.36680000000001</v>
      </c>
      <c r="M541">
        <v>0.99994780000000005</v>
      </c>
      <c r="N541">
        <v>0</v>
      </c>
      <c r="O541">
        <v>3.7165710000000001E-3</v>
      </c>
      <c r="P541">
        <v>0.98295270000000001</v>
      </c>
      <c r="Q541">
        <v>0.18296299999999999</v>
      </c>
      <c r="R541">
        <v>-1.8135160000000001E-2</v>
      </c>
      <c r="S541">
        <v>3.1715390000000001</v>
      </c>
      <c r="T541">
        <v>-0.70255480000000003</v>
      </c>
      <c r="U541">
        <v>-0.5895996</v>
      </c>
      <c r="V541">
        <v>2.1795809999999999E-2</v>
      </c>
      <c r="W541">
        <v>0.19231889999999999</v>
      </c>
      <c r="X541">
        <v>0.98109040000000003</v>
      </c>
      <c r="Y541">
        <v>0.18206890000000001</v>
      </c>
      <c r="Z541">
        <v>-2.0567829999999999E-2</v>
      </c>
      <c r="AA541">
        <v>0.98307060000000002</v>
      </c>
      <c r="AB541">
        <v>30</v>
      </c>
      <c r="AC541">
        <v>0.56560000000001698</v>
      </c>
      <c r="AD541">
        <v>-0.18924750000000001</v>
      </c>
      <c r="AE541">
        <v>-0.16040000000003801</v>
      </c>
      <c r="AF541">
        <v>0.147243581465096</v>
      </c>
      <c r="AG541">
        <v>-0.18924750000000001</v>
      </c>
      <c r="AH541">
        <v>0.51195113929706404</v>
      </c>
      <c r="AI541">
        <v>109.55796802481601</v>
      </c>
      <c r="AJ541">
        <v>73.954099647214306</v>
      </c>
      <c r="AK541">
        <v>0.56532225992479701</v>
      </c>
      <c r="AL541">
        <v>78.911856362478403</v>
      </c>
      <c r="AM541">
        <v>88.727331817052999</v>
      </c>
      <c r="AN541">
        <v>0.99999999480146295</v>
      </c>
    </row>
    <row r="542" spans="1:40" x14ac:dyDescent="0.25">
      <c r="A542" t="str">
        <f>"20190312172907202"</f>
        <v>20190312172907202</v>
      </c>
      <c r="B542" t="str">
        <f>"1552382947198453"</f>
        <v>1552382947198453</v>
      </c>
      <c r="C542" t="s">
        <v>40</v>
      </c>
      <c r="D542">
        <v>3.367839</v>
      </c>
      <c r="E542">
        <v>0.58061180000000001</v>
      </c>
      <c r="F542" t="s">
        <v>42</v>
      </c>
      <c r="G542">
        <v>-363.98059999999998</v>
      </c>
      <c r="H542">
        <v>0.91629989999999994</v>
      </c>
      <c r="I542">
        <v>367.19749999999999</v>
      </c>
      <c r="J542">
        <v>-364.66640000000001</v>
      </c>
      <c r="K542">
        <v>1.1095619999999999</v>
      </c>
      <c r="L542">
        <v>367.3673</v>
      </c>
      <c r="M542">
        <v>0.99994799999999995</v>
      </c>
      <c r="N542">
        <v>0</v>
      </c>
      <c r="O542">
        <v>3.7167659999999998E-3</v>
      </c>
      <c r="P542">
        <v>0.98295500000000002</v>
      </c>
      <c r="Q542">
        <v>0.18297050000000001</v>
      </c>
      <c r="R542">
        <v>-1.793287E-2</v>
      </c>
      <c r="S542">
        <v>3.1773069999999999</v>
      </c>
      <c r="T542">
        <v>-0.736842</v>
      </c>
      <c r="U542">
        <v>-0.64431759999999905</v>
      </c>
      <c r="V542">
        <v>2.1593770000000002E-2</v>
      </c>
      <c r="W542">
        <v>0.1923105</v>
      </c>
      <c r="X542">
        <v>0.98109650000000004</v>
      </c>
      <c r="Y542">
        <v>0.19725709999999999</v>
      </c>
      <c r="Z542">
        <v>-2.319688E-2</v>
      </c>
      <c r="AA542">
        <v>0.98007730000000004</v>
      </c>
      <c r="AB542">
        <v>30</v>
      </c>
      <c r="AC542">
        <v>0.68580000000002805</v>
      </c>
      <c r="AD542">
        <v>-0.19326209999999999</v>
      </c>
      <c r="AE542">
        <v>-0.169800000000009</v>
      </c>
      <c r="AF542">
        <v>0.160349413099108</v>
      </c>
      <c r="AG542">
        <v>-0.19326209999999999</v>
      </c>
      <c r="AH542">
        <v>0.63746448672578704</v>
      </c>
      <c r="AI542">
        <v>106.38408040715601</v>
      </c>
      <c r="AJ542">
        <v>75.880606571604105</v>
      </c>
      <c r="AK542">
        <v>0.68514461642357605</v>
      </c>
      <c r="AL542">
        <v>78.912346644843495</v>
      </c>
      <c r="AM542">
        <v>88.739133043881296</v>
      </c>
      <c r="AN542">
        <v>0.99999998081265595</v>
      </c>
    </row>
    <row r="543" spans="1:40" x14ac:dyDescent="0.25">
      <c r="A543" t="str">
        <f>"20190312172907214"</f>
        <v>20190312172907214</v>
      </c>
      <c r="B543" t="str">
        <f>"1552382947208213"</f>
        <v>1552382947208213</v>
      </c>
      <c r="C543" t="s">
        <v>40</v>
      </c>
      <c r="D543">
        <v>3.2753800000000002</v>
      </c>
      <c r="E543">
        <v>0.58061180000000001</v>
      </c>
      <c r="F543" t="s">
        <v>42</v>
      </c>
      <c r="G543">
        <v>-363.96839999999997</v>
      </c>
      <c r="H543">
        <v>0.94742309999999996</v>
      </c>
      <c r="I543">
        <v>367.22500000000002</v>
      </c>
      <c r="J543">
        <v>-364.51209999999998</v>
      </c>
      <c r="K543">
        <v>1.1095600000000001</v>
      </c>
      <c r="L543">
        <v>367.36790000000002</v>
      </c>
      <c r="M543">
        <v>0.99994810000000001</v>
      </c>
      <c r="N543">
        <v>0</v>
      </c>
      <c r="O543">
        <v>3.7170250000000001E-3</v>
      </c>
      <c r="P543">
        <v>0.98293260000000005</v>
      </c>
      <c r="Q543">
        <v>0.18311040000000001</v>
      </c>
      <c r="R543">
        <v>-1.7722769999999999E-2</v>
      </c>
      <c r="S543">
        <v>3.1776430000000002</v>
      </c>
      <c r="T543">
        <v>-0.73811340000000003</v>
      </c>
      <c r="U543">
        <v>-0.64672850000000004</v>
      </c>
      <c r="V543">
        <v>2.1383909999999999E-2</v>
      </c>
      <c r="W543">
        <v>0.19243360000000001</v>
      </c>
      <c r="X543">
        <v>0.98107699999999998</v>
      </c>
      <c r="Y543">
        <v>0.19791880000000001</v>
      </c>
      <c r="Z543">
        <v>-2.3307049999999999E-2</v>
      </c>
      <c r="AA543">
        <v>0.97994130000000002</v>
      </c>
      <c r="AB543">
        <v>30</v>
      </c>
      <c r="AC543">
        <v>0.54370000000000096</v>
      </c>
      <c r="AD543">
        <v>-0.1621369</v>
      </c>
      <c r="AE543">
        <v>-0.142899999999997</v>
      </c>
      <c r="AF543">
        <v>0.13379090343049799</v>
      </c>
      <c r="AG543">
        <v>-0.1621369</v>
      </c>
      <c r="AH543">
        <v>0.50145265336943901</v>
      </c>
      <c r="AI543">
        <v>107.349124023843</v>
      </c>
      <c r="AJ543">
        <v>75.061095016127197</v>
      </c>
      <c r="AK543">
        <v>0.54373076403088505</v>
      </c>
      <c r="AL543">
        <v>78.9051597404966</v>
      </c>
      <c r="AM543">
        <v>88.7513581265396</v>
      </c>
      <c r="AN543">
        <v>1.00000002097242</v>
      </c>
    </row>
    <row r="544" spans="1:40" x14ac:dyDescent="0.25">
      <c r="A544" t="str">
        <f>"20190312172907225"</f>
        <v>20190312172907225</v>
      </c>
      <c r="B544" t="str">
        <f>"1552382947217973"</f>
        <v>1552382947217973</v>
      </c>
      <c r="C544" t="s">
        <v>40</v>
      </c>
      <c r="D544">
        <v>3.2792970000000001</v>
      </c>
      <c r="E544">
        <v>0.58032220000000001</v>
      </c>
      <c r="F544" t="s">
        <v>42</v>
      </c>
      <c r="G544">
        <v>-363.70859999999999</v>
      </c>
      <c r="H544">
        <v>0.92308630000000003</v>
      </c>
      <c r="I544">
        <v>367.20400000000001</v>
      </c>
      <c r="J544">
        <v>-364.35309999999998</v>
      </c>
      <c r="K544">
        <v>1.1095569999999999</v>
      </c>
      <c r="L544">
        <v>367.36849999999998</v>
      </c>
      <c r="M544">
        <v>0.99994830000000001</v>
      </c>
      <c r="N544">
        <v>0</v>
      </c>
      <c r="O544">
        <v>3.7172870000000001E-3</v>
      </c>
      <c r="P544">
        <v>0.98288569999999997</v>
      </c>
      <c r="Q544">
        <v>0.18336659999999999</v>
      </c>
      <c r="R544">
        <v>-1.7678780000000002E-2</v>
      </c>
      <c r="S544">
        <v>3.1778559999999998</v>
      </c>
      <c r="T544">
        <v>-0.73763069999999997</v>
      </c>
      <c r="U544">
        <v>-0.64624019999999904</v>
      </c>
      <c r="V544">
        <v>2.133995E-2</v>
      </c>
      <c r="W544">
        <v>0.1926727</v>
      </c>
      <c r="X544">
        <v>0.98103099999999999</v>
      </c>
      <c r="Y544">
        <v>0.19777239999999999</v>
      </c>
      <c r="Z544">
        <v>-2.3274489999999998E-2</v>
      </c>
      <c r="AA544">
        <v>0.97997160000000005</v>
      </c>
      <c r="AB544">
        <v>30</v>
      </c>
      <c r="AC544">
        <v>0.64449999999999297</v>
      </c>
      <c r="AD544">
        <v>-0.18647069999999899</v>
      </c>
      <c r="AE544">
        <v>-0.164499999999975</v>
      </c>
      <c r="AF544">
        <v>0.15473422620038499</v>
      </c>
      <c r="AG544">
        <v>-0.18647069999999899</v>
      </c>
      <c r="AH544">
        <v>0.59696838406541397</v>
      </c>
      <c r="AI544">
        <v>106.823770360434</v>
      </c>
      <c r="AJ544">
        <v>75.468724534362906</v>
      </c>
      <c r="AK544">
        <v>0.64427110310023505</v>
      </c>
      <c r="AL544">
        <v>78.891198751369501</v>
      </c>
      <c r="AM544">
        <v>88.753865804116202</v>
      </c>
      <c r="AN544">
        <v>0.99999999287614605</v>
      </c>
    </row>
    <row r="545" spans="1:40" x14ac:dyDescent="0.25">
      <c r="A545" t="str">
        <f>"20190312172907237"</f>
        <v>20190312172907237</v>
      </c>
      <c r="B545" t="str">
        <f>"1552382947227733"</f>
        <v>1552382947227733</v>
      </c>
      <c r="C545" t="s">
        <v>40</v>
      </c>
      <c r="D545">
        <v>3.3204799999999999</v>
      </c>
      <c r="E545">
        <v>0.58007940000000002</v>
      </c>
      <c r="F545" t="s">
        <v>42</v>
      </c>
      <c r="G545">
        <v>-363.44760000000002</v>
      </c>
      <c r="H545">
        <v>0.89982220000000002</v>
      </c>
      <c r="I545">
        <v>367.18509999999998</v>
      </c>
      <c r="J545">
        <v>-364.19459999999998</v>
      </c>
      <c r="K545">
        <v>1.1095549999999901</v>
      </c>
      <c r="L545">
        <v>367.36900000000003</v>
      </c>
      <c r="M545">
        <v>0.99994839999999996</v>
      </c>
      <c r="N545">
        <v>0</v>
      </c>
      <c r="O545">
        <v>3.7175530000000002E-3</v>
      </c>
      <c r="P545">
        <v>0.98285829999999996</v>
      </c>
      <c r="Q545">
        <v>0.18352760000000001</v>
      </c>
      <c r="R545">
        <v>-1.7534170000000002E-2</v>
      </c>
      <c r="S545">
        <v>3.1779169999999999</v>
      </c>
      <c r="T545">
        <v>-0.73606680000000002</v>
      </c>
      <c r="U545">
        <v>-0.64373780000000003</v>
      </c>
      <c r="V545">
        <v>2.1195510000000001E-2</v>
      </c>
      <c r="W545">
        <v>0.1928154</v>
      </c>
      <c r="X545">
        <v>0.98100609999999999</v>
      </c>
      <c r="Y545">
        <v>0.19706650000000001</v>
      </c>
      <c r="Z545">
        <v>-2.3147850000000001E-2</v>
      </c>
      <c r="AA545">
        <v>0.98011680000000001</v>
      </c>
      <c r="AB545">
        <v>30</v>
      </c>
      <c r="AC545">
        <v>0.74699999999995703</v>
      </c>
      <c r="AD545">
        <v>-0.209732799999999</v>
      </c>
      <c r="AE545">
        <v>-0.18390000000005099</v>
      </c>
      <c r="AF545">
        <v>0.17376101458003701</v>
      </c>
      <c r="AG545">
        <v>-0.209732799999999</v>
      </c>
      <c r="AH545">
        <v>0.69467888763146401</v>
      </c>
      <c r="AI545">
        <v>106.32477328798799</v>
      </c>
      <c r="AJ545">
        <v>75.956670027339101</v>
      </c>
      <c r="AK545">
        <v>0.746163182222637</v>
      </c>
      <c r="AL545">
        <v>78.882866463987895</v>
      </c>
      <c r="AM545">
        <v>88.762266257091994</v>
      </c>
      <c r="AN545">
        <v>0.99999999817926499</v>
      </c>
    </row>
    <row r="546" spans="1:40" x14ac:dyDescent="0.25">
      <c r="A546" t="str">
        <f>"20190312172907250"</f>
        <v>20190312172907250</v>
      </c>
      <c r="B546" t="str">
        <f>"1552382947238469"</f>
        <v>1552382947238469</v>
      </c>
      <c r="C546" t="s">
        <v>40</v>
      </c>
      <c r="D546">
        <v>3.3827099999999999</v>
      </c>
      <c r="E546">
        <v>0.58029379999999997</v>
      </c>
      <c r="F546" t="s">
        <v>42</v>
      </c>
      <c r="G546">
        <v>-363.4348</v>
      </c>
      <c r="H546">
        <v>0.93384730000000005</v>
      </c>
      <c r="I546">
        <v>367.2158</v>
      </c>
      <c r="J546">
        <v>-364.02969999999999</v>
      </c>
      <c r="K546">
        <v>1.109553</v>
      </c>
      <c r="L546">
        <v>367.36970000000002</v>
      </c>
      <c r="M546">
        <v>0.99994870000000002</v>
      </c>
      <c r="N546">
        <v>0</v>
      </c>
      <c r="O546">
        <v>3.717822E-3</v>
      </c>
      <c r="P546">
        <v>0.98286410000000002</v>
      </c>
      <c r="Q546">
        <v>0.1835136</v>
      </c>
      <c r="R546">
        <v>-1.736122E-2</v>
      </c>
      <c r="S546">
        <v>3.178131</v>
      </c>
      <c r="T546">
        <v>-0.73494609999999905</v>
      </c>
      <c r="U546">
        <v>-0.64129639999999999</v>
      </c>
      <c r="V546">
        <v>2.1022820000000001E-2</v>
      </c>
      <c r="W546">
        <v>0.19278310000000001</v>
      </c>
      <c r="X546">
        <v>0.9810162</v>
      </c>
      <c r="Y546">
        <v>0.1963635</v>
      </c>
      <c r="Z546">
        <v>-2.3034280000000001E-2</v>
      </c>
      <c r="AA546">
        <v>0.98026060000000004</v>
      </c>
      <c r="AB546">
        <v>30</v>
      </c>
      <c r="AC546">
        <v>0.59489999999999499</v>
      </c>
      <c r="AD546">
        <v>-0.17570569999999899</v>
      </c>
      <c r="AE546">
        <v>-0.15390000000002099</v>
      </c>
      <c r="AF546">
        <v>0.14431160713299099</v>
      </c>
      <c r="AG546">
        <v>-0.17570569999999899</v>
      </c>
      <c r="AH546">
        <v>0.549403533371006</v>
      </c>
      <c r="AI546">
        <v>107.187828220469</v>
      </c>
      <c r="AJ546">
        <v>75.282605461030499</v>
      </c>
      <c r="AK546">
        <v>0.59459446301352603</v>
      </c>
      <c r="AL546">
        <v>78.884752902228399</v>
      </c>
      <c r="AM546">
        <v>88.772360204854905</v>
      </c>
      <c r="AN546">
        <v>1.0000000336343999</v>
      </c>
    </row>
    <row r="547" spans="1:40" x14ac:dyDescent="0.25">
      <c r="A547" t="str">
        <f>"20190312172907270"</f>
        <v>20190312172907270</v>
      </c>
      <c r="B547" t="str">
        <f>"1552382947267749"</f>
        <v>1552382947267749</v>
      </c>
      <c r="C547" t="s">
        <v>40</v>
      </c>
      <c r="D547">
        <v>3.3323040000000002</v>
      </c>
      <c r="E547">
        <v>0.57983739999999995</v>
      </c>
      <c r="F547" t="s">
        <v>42</v>
      </c>
      <c r="G547">
        <v>-363.173</v>
      </c>
      <c r="H547">
        <v>0.91111430000000004</v>
      </c>
      <c r="I547">
        <v>367.19600000000003</v>
      </c>
      <c r="J547">
        <v>-363.74590000000001</v>
      </c>
      <c r="K547">
        <v>1.1095389999999901</v>
      </c>
      <c r="L547">
        <v>367.3707</v>
      </c>
      <c r="M547">
        <v>0.99994890000000003</v>
      </c>
      <c r="N547">
        <v>0</v>
      </c>
      <c r="O547">
        <v>3.718276E-3</v>
      </c>
      <c r="P547">
        <v>0.9827996</v>
      </c>
      <c r="Q547">
        <v>0.18389269999999999</v>
      </c>
      <c r="R547">
        <v>-1.6999190000000001E-2</v>
      </c>
      <c r="S547">
        <v>3.1784059999999998</v>
      </c>
      <c r="T547">
        <v>-0.73633709999999997</v>
      </c>
      <c r="U547">
        <v>-0.64309689999999997</v>
      </c>
      <c r="V547">
        <v>2.066088E-2</v>
      </c>
      <c r="W547">
        <v>0.19312940000000001</v>
      </c>
      <c r="X547">
        <v>0.98095569999999999</v>
      </c>
      <c r="Y547">
        <v>0.1968511</v>
      </c>
      <c r="Z547">
        <v>-2.3128949999999999E-2</v>
      </c>
      <c r="AA547">
        <v>0.98016049999999999</v>
      </c>
      <c r="AB547">
        <v>30</v>
      </c>
      <c r="AC547">
        <v>0.57290000000000396</v>
      </c>
      <c r="AD547">
        <v>-0.19842469999999901</v>
      </c>
      <c r="AE547">
        <v>-0.174700000000029</v>
      </c>
      <c r="AF547">
        <v>0.15934087080079201</v>
      </c>
      <c r="AG547">
        <v>-0.19842469999999901</v>
      </c>
      <c r="AH547">
        <v>0.51565184115707396</v>
      </c>
      <c r="AI547">
        <v>110.18599875654699</v>
      </c>
      <c r="AJ547">
        <v>72.828399435976493</v>
      </c>
      <c r="AK547">
        <v>0.57502930009376496</v>
      </c>
      <c r="AL547">
        <v>78.864530541675094</v>
      </c>
      <c r="AM547">
        <v>88.793415210416796</v>
      </c>
      <c r="AN547">
        <v>0.99999996123461099</v>
      </c>
    </row>
    <row r="548" spans="1:40" x14ac:dyDescent="0.25">
      <c r="A548" t="str">
        <f>"20190312172907283"</f>
        <v>20190312172907283</v>
      </c>
      <c r="B548" t="str">
        <f>"1552382947278485"</f>
        <v>1552382947278485</v>
      </c>
      <c r="C548" t="s">
        <v>40</v>
      </c>
      <c r="D548">
        <v>3.3076560000000002</v>
      </c>
      <c r="E548">
        <v>0.57972009999999996</v>
      </c>
      <c r="F548" t="s">
        <v>42</v>
      </c>
      <c r="G548">
        <v>-362.90100000000001</v>
      </c>
      <c r="H548">
        <v>0.91467569999999998</v>
      </c>
      <c r="I548">
        <v>367.20069999999998</v>
      </c>
      <c r="J548">
        <v>-363.5718</v>
      </c>
      <c r="K548">
        <v>1.1095349999999999</v>
      </c>
      <c r="L548">
        <v>367.37139999999999</v>
      </c>
      <c r="M548">
        <v>0.99994899999999998</v>
      </c>
      <c r="N548">
        <v>0</v>
      </c>
      <c r="O548">
        <v>3.7187259999999999E-3</v>
      </c>
      <c r="P548">
        <v>0.98278699999999997</v>
      </c>
      <c r="Q548">
        <v>0.1839674</v>
      </c>
      <c r="R548">
        <v>-1.6907519999999999E-2</v>
      </c>
      <c r="S548">
        <v>3.1786189999999999</v>
      </c>
      <c r="T548">
        <v>-0.73310109999999995</v>
      </c>
      <c r="U548">
        <v>-0.63867189999999996</v>
      </c>
      <c r="V548">
        <v>2.0569710000000001E-2</v>
      </c>
      <c r="W548">
        <v>0.193185</v>
      </c>
      <c r="X548">
        <v>0.98094669999999895</v>
      </c>
      <c r="Y548">
        <v>0.1956021</v>
      </c>
      <c r="Z548">
        <v>-2.2890669999999998E-2</v>
      </c>
      <c r="AA548">
        <v>0.98041619999999996</v>
      </c>
      <c r="AB548">
        <v>30</v>
      </c>
      <c r="AC548">
        <v>0.67079999999998496</v>
      </c>
      <c r="AD548">
        <v>-0.19485930000000001</v>
      </c>
      <c r="AE548">
        <v>-0.17070000000001001</v>
      </c>
      <c r="AF548">
        <v>0.16047556491915899</v>
      </c>
      <c r="AG548">
        <v>-0.19485930000000001</v>
      </c>
      <c r="AH548">
        <v>0.62094953208742398</v>
      </c>
      <c r="AI548">
        <v>106.900168225998</v>
      </c>
      <c r="AJ548">
        <v>75.509765048926894</v>
      </c>
      <c r="AK548">
        <v>0.67029909378739605</v>
      </c>
      <c r="AL548">
        <v>78.861284107254704</v>
      </c>
      <c r="AM548">
        <v>88.798726909919907</v>
      </c>
      <c r="AN548">
        <v>0.99999999271768603</v>
      </c>
    </row>
    <row r="549" spans="1:40" x14ac:dyDescent="0.25">
      <c r="A549" t="str">
        <f>"20190312172907296"</f>
        <v>20190312172907296</v>
      </c>
      <c r="B549" t="str">
        <f>"1552382947288245"</f>
        <v>1552382947288245</v>
      </c>
      <c r="C549" t="s">
        <v>40</v>
      </c>
      <c r="D549">
        <v>3.2967599999999999</v>
      </c>
      <c r="E549">
        <v>0.57954969999999995</v>
      </c>
      <c r="F549" t="s">
        <v>42</v>
      </c>
      <c r="G549">
        <v>-362.63749999999999</v>
      </c>
      <c r="H549">
        <v>0.89435259999999905</v>
      </c>
      <c r="I549">
        <v>367.18340000000001</v>
      </c>
      <c r="J549">
        <v>-363.3997</v>
      </c>
      <c r="K549">
        <v>1.109532</v>
      </c>
      <c r="L549">
        <v>367.37200000000001</v>
      </c>
      <c r="M549">
        <v>0.99994930000000004</v>
      </c>
      <c r="N549">
        <v>0</v>
      </c>
      <c r="O549">
        <v>3.718809E-3</v>
      </c>
      <c r="P549">
        <v>0.98274729999999999</v>
      </c>
      <c r="Q549">
        <v>0.18418280000000001</v>
      </c>
      <c r="R549">
        <v>-1.6868950000000001E-2</v>
      </c>
      <c r="S549">
        <v>3.1786500000000002</v>
      </c>
      <c r="T549">
        <v>-0.73224929999999999</v>
      </c>
      <c r="U549">
        <v>-0.63784790000000002</v>
      </c>
      <c r="V549">
        <v>2.0531069999999998E-2</v>
      </c>
      <c r="W549">
        <v>0.19338250000000001</v>
      </c>
      <c r="X549">
        <v>0.98090860000000002</v>
      </c>
      <c r="Y549">
        <v>0.1953732</v>
      </c>
      <c r="Z549">
        <v>-2.283932E-2</v>
      </c>
      <c r="AA549">
        <v>0.98046299999999997</v>
      </c>
      <c r="AB549">
        <v>30</v>
      </c>
      <c r="AC549">
        <v>0.76220000000000698</v>
      </c>
      <c r="AD549">
        <v>-0.21517939999999999</v>
      </c>
      <c r="AE549">
        <v>-0.188599999999951</v>
      </c>
      <c r="AF549">
        <v>0.17806048779536199</v>
      </c>
      <c r="AG549">
        <v>-0.21517939999999999</v>
      </c>
      <c r="AH549">
        <v>0.70829827799330902</v>
      </c>
      <c r="AI549">
        <v>106.41657226936999</v>
      </c>
      <c r="AJ549">
        <v>75.888719444432397</v>
      </c>
      <c r="AK549">
        <v>0.76137649169551402</v>
      </c>
      <c r="AL549">
        <v>78.849750773397204</v>
      </c>
      <c r="AM549">
        <v>88.800936272270505</v>
      </c>
      <c r="AN549">
        <v>0.99999999884777702</v>
      </c>
    </row>
    <row r="550" spans="1:40" x14ac:dyDescent="0.25">
      <c r="A550" t="str">
        <f>"20190312172907314"</f>
        <v>20190312172907314</v>
      </c>
      <c r="B550" t="str">
        <f>"1552382947307768"</f>
        <v>1552382947307768</v>
      </c>
      <c r="C550" t="s">
        <v>40</v>
      </c>
      <c r="D550">
        <v>3.3298930000000002</v>
      </c>
      <c r="E550">
        <v>0.57951619999999904</v>
      </c>
      <c r="F550" t="s">
        <v>42</v>
      </c>
      <c r="G550">
        <v>-362.62369999999999</v>
      </c>
      <c r="H550">
        <v>0.93118160000000005</v>
      </c>
      <c r="I550">
        <v>367.21609999999998</v>
      </c>
      <c r="J550">
        <v>-363.14370000000002</v>
      </c>
      <c r="K550">
        <v>1.109529</v>
      </c>
      <c r="L550">
        <v>367.37299999999999</v>
      </c>
      <c r="M550">
        <v>0.99994950000000005</v>
      </c>
      <c r="N550">
        <v>0</v>
      </c>
      <c r="O550">
        <v>3.719291E-3</v>
      </c>
      <c r="P550">
        <v>0.98268009999999995</v>
      </c>
      <c r="Q550">
        <v>0.18453910000000001</v>
      </c>
      <c r="R550">
        <v>-1.6887329999999999E-2</v>
      </c>
      <c r="S550">
        <v>3.1786799999999999</v>
      </c>
      <c r="T550">
        <v>-0.73064289999999998</v>
      </c>
      <c r="U550">
        <v>-0.63656619999999997</v>
      </c>
      <c r="V550">
        <v>2.0549629999999999E-2</v>
      </c>
      <c r="W550">
        <v>0.19371269999999999</v>
      </c>
      <c r="X550">
        <v>0.98084309999999997</v>
      </c>
      <c r="Y550">
        <v>0.1950219</v>
      </c>
      <c r="Z550">
        <v>-2.2751730000000001E-2</v>
      </c>
      <c r="AA550">
        <v>0.98053500000000005</v>
      </c>
      <c r="AB550">
        <v>30</v>
      </c>
      <c r="AC550">
        <v>0.52000000000003799</v>
      </c>
      <c r="AD550">
        <v>-0.17834739999999999</v>
      </c>
      <c r="AE550">
        <v>-0.15690000000006399</v>
      </c>
      <c r="AF550">
        <v>0.14337484253411401</v>
      </c>
      <c r="AG550">
        <v>-0.17834739999999999</v>
      </c>
      <c r="AH550">
        <v>0.46886174278745402</v>
      </c>
      <c r="AI550">
        <v>109.98918220818101</v>
      </c>
      <c r="AJ550">
        <v>72.996711930655906</v>
      </c>
      <c r="AK550">
        <v>0.521723561292885</v>
      </c>
      <c r="AL550">
        <v>78.830467558732295</v>
      </c>
      <c r="AM550">
        <v>88.7997725191086</v>
      </c>
      <c r="AN550">
        <v>1.00000004212601</v>
      </c>
    </row>
    <row r="551" spans="1:40" x14ac:dyDescent="0.25">
      <c r="A551" t="str">
        <f>"20190312172907327"</f>
        <v>20190312172907327</v>
      </c>
      <c r="B551" t="str">
        <f>"1552382947318501"</f>
        <v>1552382947318501</v>
      </c>
      <c r="C551" t="s">
        <v>40</v>
      </c>
      <c r="D551">
        <v>3.2892389999999998</v>
      </c>
      <c r="E551">
        <v>0.57936549999999998</v>
      </c>
      <c r="F551" t="s">
        <v>42</v>
      </c>
      <c r="G551">
        <v>-362.35329999999999</v>
      </c>
      <c r="H551">
        <v>0.92804419999999999</v>
      </c>
      <c r="I551">
        <v>367.2149</v>
      </c>
      <c r="J551">
        <v>-362.98169999999999</v>
      </c>
      <c r="K551">
        <v>1.1095250000000001</v>
      </c>
      <c r="L551">
        <v>367.37349999999998</v>
      </c>
      <c r="M551">
        <v>0.99994959999999999</v>
      </c>
      <c r="N551">
        <v>0</v>
      </c>
      <c r="O551">
        <v>3.7196659999999999E-3</v>
      </c>
      <c r="P551">
        <v>0.98265309999999995</v>
      </c>
      <c r="Q551">
        <v>0.1847066</v>
      </c>
      <c r="R551">
        <v>-1.663048E-2</v>
      </c>
      <c r="S551">
        <v>3.1791079999999998</v>
      </c>
      <c r="T551">
        <v>-0.73003779999999996</v>
      </c>
      <c r="U551">
        <v>-0.63586430000000005</v>
      </c>
      <c r="V551">
        <v>2.0293100000000001E-2</v>
      </c>
      <c r="W551">
        <v>0.19386390000000001</v>
      </c>
      <c r="X551">
        <v>0.98081850000000004</v>
      </c>
      <c r="Y551">
        <v>0.19480330000000001</v>
      </c>
      <c r="Z551">
        <v>-2.270645E-2</v>
      </c>
      <c r="AA551">
        <v>0.98057939999999999</v>
      </c>
      <c r="AB551">
        <v>30</v>
      </c>
      <c r="AC551">
        <v>0.62839999999999896</v>
      </c>
      <c r="AD551">
        <v>-0.1814808</v>
      </c>
      <c r="AE551">
        <v>-0.15859999999997801</v>
      </c>
      <c r="AF551">
        <v>0.14923496325017899</v>
      </c>
      <c r="AG551">
        <v>-0.1814808</v>
      </c>
      <c r="AH551">
        <v>0.58215875343773604</v>
      </c>
      <c r="AI551">
        <v>106.80292735604</v>
      </c>
      <c r="AJ551">
        <v>75.621977268327598</v>
      </c>
      <c r="AK551">
        <v>0.62778592627511198</v>
      </c>
      <c r="AL551">
        <v>78.821636289253405</v>
      </c>
      <c r="AM551">
        <v>88.814721462639397</v>
      </c>
      <c r="AN551">
        <v>0.99999997578653399</v>
      </c>
    </row>
    <row r="552" spans="1:40" x14ac:dyDescent="0.25">
      <c r="A552" t="str">
        <f>"20190312172907339"</f>
        <v>20190312172907339</v>
      </c>
      <c r="B552" t="str">
        <f>"1552382947328261"</f>
        <v>1552382947328261</v>
      </c>
      <c r="C552" t="s">
        <v>40</v>
      </c>
      <c r="D552">
        <v>3.317679</v>
      </c>
      <c r="E552">
        <v>0.57927379999999995</v>
      </c>
      <c r="F552" t="s">
        <v>42</v>
      </c>
      <c r="G552">
        <v>-362.09</v>
      </c>
      <c r="H552">
        <v>0.90485939999999998</v>
      </c>
      <c r="I552">
        <v>367.19549999999998</v>
      </c>
      <c r="J552">
        <v>-362.8</v>
      </c>
      <c r="K552">
        <v>1.1095189999999999</v>
      </c>
      <c r="L552">
        <v>367.37419999999997</v>
      </c>
      <c r="M552">
        <v>0.9999498</v>
      </c>
      <c r="N552">
        <v>0</v>
      </c>
      <c r="O552">
        <v>3.7199310000000001E-3</v>
      </c>
      <c r="P552">
        <v>0.98270840000000004</v>
      </c>
      <c r="Q552">
        <v>0.18440010000000001</v>
      </c>
      <c r="R552">
        <v>-1.6760210000000001E-2</v>
      </c>
      <c r="S552">
        <v>3.1794129999999998</v>
      </c>
      <c r="T552">
        <v>-0.729869199999999</v>
      </c>
      <c r="U552">
        <v>-0.63369750000000002</v>
      </c>
      <c r="V552">
        <v>2.0423340000000002E-2</v>
      </c>
      <c r="W552">
        <v>0.19353970000000001</v>
      </c>
      <c r="X552">
        <v>0.98087979999999997</v>
      </c>
      <c r="Y552">
        <v>0.19416130000000001</v>
      </c>
      <c r="Z552">
        <v>-2.262869E-2</v>
      </c>
      <c r="AA552">
        <v>0.98070860000000004</v>
      </c>
      <c r="AB552">
        <v>30</v>
      </c>
      <c r="AC552">
        <v>0.71000000000003605</v>
      </c>
      <c r="AD552">
        <v>-0.2046596</v>
      </c>
      <c r="AE552">
        <v>-0.178699999999992</v>
      </c>
      <c r="AF552">
        <v>0.168197141986763</v>
      </c>
      <c r="AG552">
        <v>-0.2046596</v>
      </c>
      <c r="AH552">
        <v>0.65792054349903895</v>
      </c>
      <c r="AI552">
        <v>106.771636627039</v>
      </c>
      <c r="AJ552">
        <v>75.659505188593599</v>
      </c>
      <c r="AK552">
        <v>0.70924979520811005</v>
      </c>
      <c r="AL552">
        <v>78.840569947843093</v>
      </c>
      <c r="AM552">
        <v>88.807191128814296</v>
      </c>
      <c r="AN552">
        <v>0.99999995517044105</v>
      </c>
    </row>
    <row r="553" spans="1:40" x14ac:dyDescent="0.25">
      <c r="A553" t="str">
        <f>"20190312172907353"</f>
        <v>20190312172907353</v>
      </c>
      <c r="B553" t="str">
        <f>"1552382947347780"</f>
        <v>1552382947347780</v>
      </c>
      <c r="C553" t="s">
        <v>40</v>
      </c>
      <c r="D553">
        <v>3.6199780000000001</v>
      </c>
      <c r="E553">
        <v>0.57917450000000004</v>
      </c>
      <c r="F553" t="s">
        <v>42</v>
      </c>
      <c r="G553">
        <v>-362.07530000000003</v>
      </c>
      <c r="H553">
        <v>0.94317169999999895</v>
      </c>
      <c r="I553">
        <v>367.22949999999997</v>
      </c>
      <c r="J553">
        <v>-362.62450000000001</v>
      </c>
      <c r="K553">
        <v>1.1095170000000001</v>
      </c>
      <c r="L553">
        <v>367.37490000000003</v>
      </c>
      <c r="M553">
        <v>0.99995000000000001</v>
      </c>
      <c r="N553">
        <v>0</v>
      </c>
      <c r="O553">
        <v>3.720189E-3</v>
      </c>
      <c r="P553">
        <v>0.98270639999999998</v>
      </c>
      <c r="Q553">
        <v>0.18441660000000001</v>
      </c>
      <c r="R553">
        <v>-1.6701549999999999E-2</v>
      </c>
      <c r="S553">
        <v>3.1789550000000002</v>
      </c>
      <c r="T553">
        <v>-0.72983319999999996</v>
      </c>
      <c r="U553">
        <v>-0.63351440000000003</v>
      </c>
      <c r="V553">
        <v>2.0364980000000001E-2</v>
      </c>
      <c r="W553">
        <v>0.19353960000000001</v>
      </c>
      <c r="X553">
        <v>0.98088109999999995</v>
      </c>
      <c r="Y553">
        <v>0.194134</v>
      </c>
      <c r="Z553">
        <v>-2.2627830000000002E-2</v>
      </c>
      <c r="AA553">
        <v>0.98071399999999997</v>
      </c>
      <c r="AB553">
        <v>30</v>
      </c>
      <c r="AC553">
        <v>0.54919999999998403</v>
      </c>
      <c r="AD553">
        <v>-0.1663453</v>
      </c>
      <c r="AE553">
        <v>-0.14540000000005099</v>
      </c>
      <c r="AF553">
        <v>0.135799918584456</v>
      </c>
      <c r="AG553">
        <v>-0.1663453</v>
      </c>
      <c r="AH553">
        <v>0.50533249546549897</v>
      </c>
      <c r="AI553">
        <v>107.63550858796501</v>
      </c>
      <c r="AJ553">
        <v>74.958065261754896</v>
      </c>
      <c r="AK553">
        <v>0.54906585005172504</v>
      </c>
      <c r="AL553">
        <v>78.840576529157104</v>
      </c>
      <c r="AM553">
        <v>88.810600193403005</v>
      </c>
      <c r="AN553">
        <v>1.0000000207578801</v>
      </c>
    </row>
    <row r="554" spans="1:40" x14ac:dyDescent="0.25">
      <c r="A554" t="str">
        <f>"20190312172907371"</f>
        <v>20190312172907371</v>
      </c>
      <c r="B554" t="str">
        <f>"1552382947368277"</f>
        <v>1552382947368277</v>
      </c>
      <c r="C554" t="s">
        <v>40</v>
      </c>
      <c r="D554">
        <v>3.2534700000000001</v>
      </c>
      <c r="E554">
        <v>0.57392589999999999</v>
      </c>
      <c r="F554" t="s">
        <v>42</v>
      </c>
      <c r="G554">
        <v>-361.81079999999997</v>
      </c>
      <c r="H554">
        <v>0.9228151</v>
      </c>
      <c r="I554">
        <v>367.21260000000001</v>
      </c>
      <c r="J554">
        <v>-362.38589999999999</v>
      </c>
      <c r="K554">
        <v>1.109513</v>
      </c>
      <c r="L554">
        <v>367.37580000000003</v>
      </c>
      <c r="M554">
        <v>0.99995009999999995</v>
      </c>
      <c r="N554">
        <v>0</v>
      </c>
      <c r="O554">
        <v>3.7206470000000001E-3</v>
      </c>
      <c r="P554">
        <v>0.98268800000000001</v>
      </c>
      <c r="Q554">
        <v>0.1845233</v>
      </c>
      <c r="R554">
        <v>-1.6602559999999999E-2</v>
      </c>
      <c r="S554">
        <v>3.178925</v>
      </c>
      <c r="T554">
        <v>-0.72940439999999995</v>
      </c>
      <c r="U554">
        <v>-0.63302609999999904</v>
      </c>
      <c r="V554">
        <v>2.0266320000000001E-2</v>
      </c>
      <c r="W554">
        <v>0.19362480000000001</v>
      </c>
      <c r="X554">
        <v>0.98086629999999997</v>
      </c>
      <c r="Y554">
        <v>0.19400010000000001</v>
      </c>
      <c r="Z554">
        <v>-2.2600490000000001E-2</v>
      </c>
      <c r="AA554">
        <v>0.98074110000000003</v>
      </c>
      <c r="AB554">
        <v>30</v>
      </c>
      <c r="AC554">
        <v>0.57510000000002004</v>
      </c>
      <c r="AD554">
        <v>-0.1866979</v>
      </c>
      <c r="AE554">
        <v>-0.163200000000017</v>
      </c>
      <c r="AF554">
        <v>0.15064564813458201</v>
      </c>
      <c r="AG554">
        <v>-0.1866979</v>
      </c>
      <c r="AH554">
        <v>0.52343602428973202</v>
      </c>
      <c r="AI554">
        <v>108.919891076887</v>
      </c>
      <c r="AJ554">
        <v>73.944104651164693</v>
      </c>
      <c r="AK554">
        <v>0.57579118497120096</v>
      </c>
      <c r="AL554">
        <v>78.835600491003902</v>
      </c>
      <c r="AM554">
        <v>88.816342851312797</v>
      </c>
      <c r="AN554">
        <v>0.99999999268853601</v>
      </c>
    </row>
    <row r="555" spans="1:40" x14ac:dyDescent="0.25">
      <c r="A555" t="str">
        <f>"20190312172907382"</f>
        <v>20190312172907382</v>
      </c>
      <c r="B555" t="str">
        <f>"1552382947378037"</f>
        <v>1552382947378037</v>
      </c>
      <c r="C555" t="s">
        <v>40</v>
      </c>
      <c r="D555">
        <v>3.2238280000000001</v>
      </c>
      <c r="E555">
        <v>0.57387119999999903</v>
      </c>
      <c r="F555" t="s">
        <v>42</v>
      </c>
      <c r="G555">
        <v>-361.53829999999999</v>
      </c>
      <c r="H555">
        <v>0.92219819999999997</v>
      </c>
      <c r="I555">
        <v>367.21719999999999</v>
      </c>
      <c r="J555">
        <v>-362.21510000000001</v>
      </c>
      <c r="K555">
        <v>1.1095109999999999</v>
      </c>
      <c r="L555">
        <v>367.37639999999999</v>
      </c>
      <c r="M555">
        <v>0.99995040000000002</v>
      </c>
      <c r="N555">
        <v>0</v>
      </c>
      <c r="O555">
        <v>3.720714E-3</v>
      </c>
      <c r="P555">
        <v>0.98269600000000001</v>
      </c>
      <c r="Q555">
        <v>0.18449499999999999</v>
      </c>
      <c r="R555">
        <v>-1.6447070000000001E-2</v>
      </c>
      <c r="S555">
        <v>3.1745909999999999</v>
      </c>
      <c r="T555">
        <v>-0.70162829999999998</v>
      </c>
      <c r="U555">
        <v>-0.59213260000000001</v>
      </c>
      <c r="V555">
        <v>2.0110860000000001E-2</v>
      </c>
      <c r="W555">
        <v>0.1935827</v>
      </c>
      <c r="X555">
        <v>0.98087780000000002</v>
      </c>
      <c r="Y555">
        <v>0.18266740000000001</v>
      </c>
      <c r="Z555">
        <v>-2.0586630000000002E-2</v>
      </c>
      <c r="AA555">
        <v>0.98295920000000003</v>
      </c>
      <c r="AB555">
        <v>30</v>
      </c>
      <c r="AC555">
        <v>0.67680000000001395</v>
      </c>
      <c r="AD555">
        <v>-0.1873128</v>
      </c>
      <c r="AE555">
        <v>-0.15919999999999801</v>
      </c>
      <c r="AF555">
        <v>0.15077380248592201</v>
      </c>
      <c r="AG555">
        <v>-0.1873128</v>
      </c>
      <c r="AH555">
        <v>0.63044438061656105</v>
      </c>
      <c r="AI555">
        <v>106.11736849767</v>
      </c>
      <c r="AJ555">
        <v>76.550064208280702</v>
      </c>
      <c r="AK555">
        <v>0.67474361175997999</v>
      </c>
      <c r="AL555">
        <v>78.838059057772995</v>
      </c>
      <c r="AM555">
        <v>88.825433727187999</v>
      </c>
      <c r="AN555">
        <v>0.99999998348103403</v>
      </c>
    </row>
    <row r="556" spans="1:40" x14ac:dyDescent="0.25">
      <c r="A556" t="str">
        <f>"20190312172907394"</f>
        <v>20190312172907394</v>
      </c>
      <c r="B556" t="str">
        <f>"1552382947387797"</f>
        <v>1552382947387797</v>
      </c>
      <c r="C556" t="s">
        <v>40</v>
      </c>
      <c r="D556">
        <v>3.4891130000000001</v>
      </c>
      <c r="E556">
        <v>0.57387119999999903</v>
      </c>
      <c r="F556" t="s">
        <v>42</v>
      </c>
      <c r="G556">
        <v>-361.52449999999999</v>
      </c>
      <c r="H556">
        <v>0.95606060000000004</v>
      </c>
      <c r="I556">
        <v>367.2473</v>
      </c>
      <c r="J556">
        <v>-362.06549999999999</v>
      </c>
      <c r="K556">
        <v>1.109507</v>
      </c>
      <c r="L556">
        <v>367.37700000000001</v>
      </c>
      <c r="M556">
        <v>0.99995040000000002</v>
      </c>
      <c r="N556">
        <v>0</v>
      </c>
      <c r="O556">
        <v>3.7210640000000001E-3</v>
      </c>
      <c r="P556">
        <v>0.98266229999999999</v>
      </c>
      <c r="Q556">
        <v>0.1846843</v>
      </c>
      <c r="R556">
        <v>-1.6328200000000001E-2</v>
      </c>
      <c r="S556">
        <v>3.175354</v>
      </c>
      <c r="T556">
        <v>-0.70557519999999996</v>
      </c>
      <c r="U556">
        <v>-0.59155269999999904</v>
      </c>
      <c r="V556">
        <v>1.9992429999999999E-2</v>
      </c>
      <c r="W556">
        <v>0.19376090000000001</v>
      </c>
      <c r="X556">
        <v>0.98084499999999997</v>
      </c>
      <c r="Y556">
        <v>0.18241109999999999</v>
      </c>
      <c r="Z556">
        <v>-2.0667479999999998E-2</v>
      </c>
      <c r="AA556">
        <v>0.98300509999999997</v>
      </c>
      <c r="AB556">
        <v>30</v>
      </c>
      <c r="AC556">
        <v>0.54099999999999604</v>
      </c>
      <c r="AD556">
        <v>-0.15344640000000001</v>
      </c>
      <c r="AE556">
        <v>-0.12969999999995699</v>
      </c>
      <c r="AF556">
        <v>0.12240052512145699</v>
      </c>
      <c r="AG556">
        <v>-0.15344640000000001</v>
      </c>
      <c r="AH556">
        <v>0.50230053058748103</v>
      </c>
      <c r="AI556">
        <v>106.531007797607</v>
      </c>
      <c r="AJ556">
        <v>76.305076170406196</v>
      </c>
      <c r="AK556">
        <v>0.53928981934710496</v>
      </c>
      <c r="AL556">
        <v>78.827651512379404</v>
      </c>
      <c r="AM556">
        <v>88.832309624512604</v>
      </c>
      <c r="AN556">
        <v>0.99999994882555598</v>
      </c>
    </row>
    <row r="557" spans="1:40" x14ac:dyDescent="0.25">
      <c r="A557" t="str">
        <f>"20190312172907405"</f>
        <v>20190312172907405</v>
      </c>
      <c r="B557" t="str">
        <f>"1552382947398534"</f>
        <v>1552382947398534</v>
      </c>
      <c r="C557" t="s">
        <v>40</v>
      </c>
      <c r="D557">
        <v>3.2465609999999998</v>
      </c>
      <c r="E557">
        <v>0.55503740000000001</v>
      </c>
      <c r="F557" t="s">
        <v>42</v>
      </c>
      <c r="G557">
        <v>-361.26170000000002</v>
      </c>
      <c r="H557">
        <v>0.9310889</v>
      </c>
      <c r="I557">
        <v>367.22710000000001</v>
      </c>
      <c r="J557">
        <v>-361.91180000000003</v>
      </c>
      <c r="K557">
        <v>1.1095060000000001</v>
      </c>
      <c r="L557">
        <v>367.3775</v>
      </c>
      <c r="M557">
        <v>0.99995040000000002</v>
      </c>
      <c r="N557">
        <v>0</v>
      </c>
      <c r="O557">
        <v>3.721472E-3</v>
      </c>
      <c r="P557">
        <v>0.9826857</v>
      </c>
      <c r="Q557">
        <v>0.18454390000000001</v>
      </c>
      <c r="R557">
        <v>-1.650445E-2</v>
      </c>
      <c r="S557">
        <v>3.1755979999999999</v>
      </c>
      <c r="T557">
        <v>-0.70498179999999999</v>
      </c>
      <c r="U557">
        <v>-0.59112549999999997</v>
      </c>
      <c r="V557">
        <v>2.016886E-2</v>
      </c>
      <c r="W557">
        <v>0.1936098</v>
      </c>
      <c r="X557">
        <v>0.9808713</v>
      </c>
      <c r="Y557">
        <v>0.182281</v>
      </c>
      <c r="Z557">
        <v>-2.0635150000000001E-2</v>
      </c>
      <c r="AA557">
        <v>0.98302990000000001</v>
      </c>
      <c r="AB557">
        <v>31</v>
      </c>
      <c r="AC557">
        <v>0.650100000000009</v>
      </c>
      <c r="AD557">
        <v>-0.178417099999999</v>
      </c>
      <c r="AE557">
        <v>-0.15039999999998999</v>
      </c>
      <c r="AF557">
        <v>0.142621804653947</v>
      </c>
      <c r="AG557">
        <v>-0.178417099999999</v>
      </c>
      <c r="AH557">
        <v>0.60619643061270001</v>
      </c>
      <c r="AI557">
        <v>105.986990207044</v>
      </c>
      <c r="AJ557">
        <v>76.7606129711628</v>
      </c>
      <c r="AK557">
        <v>0.64780224854714497</v>
      </c>
      <c r="AL557">
        <v>78.836476839957996</v>
      </c>
      <c r="AM557">
        <v>88.8220394109929</v>
      </c>
      <c r="AN557">
        <v>1.00000002236671</v>
      </c>
    </row>
    <row r="558" spans="1:40" x14ac:dyDescent="0.25">
      <c r="A558" t="str">
        <f>"20190312172907516"</f>
        <v>20190312172907516</v>
      </c>
      <c r="B558" t="str">
        <f>"1552382947507845"</f>
        <v>1552382947507845</v>
      </c>
      <c r="C558" t="s">
        <v>40</v>
      </c>
      <c r="D558">
        <v>3.7905570000000002</v>
      </c>
      <c r="E558">
        <v>0.49203360000000002</v>
      </c>
      <c r="F558" t="s">
        <v>42</v>
      </c>
      <c r="G558">
        <v>-359.63830000000002</v>
      </c>
      <c r="H558">
        <v>0.87367809999999901</v>
      </c>
      <c r="I558">
        <v>367.25889999999998</v>
      </c>
      <c r="J558">
        <v>-360.38119999999998</v>
      </c>
      <c r="K558">
        <v>1.1094999999999999</v>
      </c>
      <c r="L558">
        <v>367.38319999999999</v>
      </c>
      <c r="M558">
        <v>0.99995100000000003</v>
      </c>
      <c r="N558">
        <v>0</v>
      </c>
      <c r="O558">
        <v>3.7240580000000001E-3</v>
      </c>
      <c r="P558">
        <v>0.98245700000000002</v>
      </c>
      <c r="Q558">
        <v>0.18575559999999999</v>
      </c>
      <c r="R558">
        <v>-1.6530920000000001E-2</v>
      </c>
      <c r="S558">
        <v>3.2035830000000001</v>
      </c>
      <c r="T558">
        <v>-0.83250569999999902</v>
      </c>
      <c r="U558">
        <v>-0.43579099999999998</v>
      </c>
      <c r="V558">
        <v>2.0197150000000001E-2</v>
      </c>
      <c r="W558">
        <v>0.19476470000000001</v>
      </c>
      <c r="X558">
        <v>0.98064200000000001</v>
      </c>
      <c r="Y558">
        <v>0.13398750000000001</v>
      </c>
      <c r="Z558">
        <v>-1.7998199999999999E-2</v>
      </c>
      <c r="AA558">
        <v>0.99081960000000002</v>
      </c>
      <c r="AB558">
        <v>31</v>
      </c>
      <c r="AC558">
        <v>0.74289999999996303</v>
      </c>
      <c r="AD558">
        <v>-0.2358219</v>
      </c>
      <c r="AE558">
        <v>-0.124300000000005</v>
      </c>
      <c r="AF558">
        <v>0.11572267306171399</v>
      </c>
      <c r="AG558">
        <v>-0.2358219</v>
      </c>
      <c r="AH558">
        <v>0.67615494265019604</v>
      </c>
      <c r="AI558">
        <v>108.97146098232299</v>
      </c>
      <c r="AJ558">
        <v>80.288029995481295</v>
      </c>
      <c r="AK558">
        <v>0.72538900739565204</v>
      </c>
      <c r="AL558">
        <v>78.769021336598499</v>
      </c>
      <c r="AM558">
        <v>88.820111855861896</v>
      </c>
      <c r="AN558">
        <v>0.99999997269910501</v>
      </c>
    </row>
    <row r="559" spans="1:40" x14ac:dyDescent="0.25">
      <c r="A559" t="str">
        <f>"20190312172907528"</f>
        <v>20190312172907528</v>
      </c>
      <c r="B559" t="str">
        <f>"1552382947517605"</f>
        <v>1552382947517605</v>
      </c>
      <c r="C559" t="s">
        <v>40</v>
      </c>
      <c r="D559">
        <v>3.2442510000000002</v>
      </c>
      <c r="E559">
        <v>0.49218079999999997</v>
      </c>
      <c r="F559" t="s">
        <v>42</v>
      </c>
      <c r="G559">
        <v>-359.57679999999999</v>
      </c>
      <c r="H559">
        <v>1.0081709999999999</v>
      </c>
      <c r="I559">
        <v>367.39600000000002</v>
      </c>
      <c r="J559">
        <v>-360.22750000000002</v>
      </c>
      <c r="K559">
        <v>1.109499</v>
      </c>
      <c r="L559">
        <v>367.38380000000001</v>
      </c>
      <c r="M559">
        <v>0.99995089999999998</v>
      </c>
      <c r="N559">
        <v>0</v>
      </c>
      <c r="O559">
        <v>3.7244230000000001E-3</v>
      </c>
      <c r="P559">
        <v>0.98245070000000001</v>
      </c>
      <c r="Q559">
        <v>0.18580240000000001</v>
      </c>
      <c r="R559">
        <v>-1.6371699999999999E-2</v>
      </c>
      <c r="S559">
        <v>3.1289669999999998</v>
      </c>
      <c r="T559">
        <v>-0.39431500000000003</v>
      </c>
      <c r="U559">
        <v>5.0354000000000003E-2</v>
      </c>
      <c r="V559">
        <v>2.0038219999999999E-2</v>
      </c>
      <c r="W559">
        <v>0.1948096</v>
      </c>
      <c r="X559">
        <v>0.98063639999999996</v>
      </c>
      <c r="Y559">
        <v>-1.2298760000000001E-2</v>
      </c>
      <c r="Z559">
        <v>3.0435640000000001E-4</v>
      </c>
      <c r="AA559">
        <v>0.99992429999999999</v>
      </c>
      <c r="AB559">
        <v>31</v>
      </c>
      <c r="AC559">
        <v>0.65070000000002803</v>
      </c>
      <c r="AD559">
        <v>-0.101328</v>
      </c>
      <c r="AE559">
        <v>1.21999999999502E-2</v>
      </c>
      <c r="AF559">
        <v>-9.54495500194779E-3</v>
      </c>
      <c r="AG559">
        <v>-0.101328</v>
      </c>
      <c r="AH559">
        <v>0.635339860097619</v>
      </c>
      <c r="AI559">
        <v>99.060570670121905</v>
      </c>
      <c r="AJ559">
        <v>90.860711774532504</v>
      </c>
      <c r="AK559">
        <v>0.64344013519429399</v>
      </c>
      <c r="AL559">
        <v>78.766399166657905</v>
      </c>
      <c r="AM559">
        <v>88.829387038738204</v>
      </c>
      <c r="AN559">
        <v>1.00000002975894</v>
      </c>
    </row>
    <row r="560" spans="1:40" x14ac:dyDescent="0.25">
      <c r="A560" t="str">
        <f>"20190312172907541"</f>
        <v>20190312172907541</v>
      </c>
      <c r="B560" t="str">
        <f>"1552382947528341"</f>
        <v>1552382947528341</v>
      </c>
      <c r="C560" t="s">
        <v>40</v>
      </c>
      <c r="D560">
        <v>3.2316579999999999</v>
      </c>
      <c r="E560">
        <v>0.4926953</v>
      </c>
      <c r="F560" t="s">
        <v>42</v>
      </c>
      <c r="G560">
        <v>-359.30020000000002</v>
      </c>
      <c r="H560">
        <v>1.0084979999999999</v>
      </c>
      <c r="I560">
        <v>367.39769999999999</v>
      </c>
      <c r="J560">
        <v>-360.04880000000003</v>
      </c>
      <c r="K560">
        <v>1.10949599999999</v>
      </c>
      <c r="L560">
        <v>367.3845</v>
      </c>
      <c r="M560">
        <v>0.99995100000000003</v>
      </c>
      <c r="N560">
        <v>0</v>
      </c>
      <c r="O560">
        <v>3.724607E-3</v>
      </c>
      <c r="P560">
        <v>0.98246920000000004</v>
      </c>
      <c r="Q560">
        <v>0.18569959999999999</v>
      </c>
      <c r="R560">
        <v>-1.64388E-2</v>
      </c>
      <c r="S560">
        <v>3.118652</v>
      </c>
      <c r="T560">
        <v>-0.33990779999999998</v>
      </c>
      <c r="U560">
        <v>4.7607419999999998E-2</v>
      </c>
      <c r="V560">
        <v>2.0105419999999999E-2</v>
      </c>
      <c r="W560">
        <v>0.1947063</v>
      </c>
      <c r="X560">
        <v>0.98065550000000001</v>
      </c>
      <c r="Y560">
        <v>-1.149318E-2</v>
      </c>
      <c r="Z560">
        <v>2.197027E-4</v>
      </c>
      <c r="AA560">
        <v>0.99993390000000004</v>
      </c>
      <c r="AB560">
        <v>31</v>
      </c>
      <c r="AC560">
        <v>0.74860000000001004</v>
      </c>
      <c r="AD560">
        <v>-0.10099799999999901</v>
      </c>
      <c r="AE560">
        <v>1.31999999999834E-2</v>
      </c>
      <c r="AF560">
        <v>-1.0225481079448E-2</v>
      </c>
      <c r="AG560">
        <v>-0.10099799999999901</v>
      </c>
      <c r="AH560">
        <v>0.73526463753589499</v>
      </c>
      <c r="AI560">
        <v>97.820613636546398</v>
      </c>
      <c r="AJ560">
        <v>90.796773178292796</v>
      </c>
      <c r="AK560">
        <v>0.74223934393030999</v>
      </c>
      <c r="AL560">
        <v>78.772432920044807</v>
      </c>
      <c r="AM560">
        <v>88.825485248988301</v>
      </c>
      <c r="AN560">
        <v>0.99999999042665799</v>
      </c>
    </row>
    <row r="561" spans="1:40" x14ac:dyDescent="0.25">
      <c r="A561" t="str">
        <f>"20190312172907554"</f>
        <v>20190312172907554</v>
      </c>
      <c r="B561" t="str">
        <f>"1552382947547861"</f>
        <v>1552382947547861</v>
      </c>
      <c r="C561" t="s">
        <v>40</v>
      </c>
      <c r="D561">
        <v>3.737222</v>
      </c>
      <c r="E561">
        <v>0.49339440000000001</v>
      </c>
      <c r="F561" t="s">
        <v>42</v>
      </c>
      <c r="G561">
        <v>-359.28359999999998</v>
      </c>
      <c r="H561">
        <v>1.037744</v>
      </c>
      <c r="I561">
        <v>367.39440000000002</v>
      </c>
      <c r="J561">
        <v>-359.86630000000002</v>
      </c>
      <c r="K561">
        <v>1.1094919999999999</v>
      </c>
      <c r="L561">
        <v>367.3852</v>
      </c>
      <c r="M561">
        <v>0.99995100000000003</v>
      </c>
      <c r="N561">
        <v>0</v>
      </c>
      <c r="O561">
        <v>3.725084E-3</v>
      </c>
      <c r="P561">
        <v>0.98241299999999998</v>
      </c>
      <c r="Q561">
        <v>0.18600159999999999</v>
      </c>
      <c r="R561">
        <v>-1.6379049999999999E-2</v>
      </c>
      <c r="S561">
        <v>3.109375</v>
      </c>
      <c r="T561">
        <v>-0.29184320000000002</v>
      </c>
      <c r="U561">
        <v>4.1351319999999997E-2</v>
      </c>
      <c r="V561">
        <v>2.0046029999999999E-2</v>
      </c>
      <c r="W561">
        <v>0.19500790000000001</v>
      </c>
      <c r="X561">
        <v>0.98059680000000005</v>
      </c>
      <c r="Y561">
        <v>-9.5471529999999992E-3</v>
      </c>
      <c r="Z561" s="1">
        <v>9.8178629999999998E-5</v>
      </c>
      <c r="AA561">
        <v>0.99995440000000002</v>
      </c>
      <c r="AB561">
        <v>31</v>
      </c>
      <c r="AC561">
        <v>0.58270000000004496</v>
      </c>
      <c r="AD561">
        <v>-7.1747999999999895E-2</v>
      </c>
      <c r="AE561">
        <v>9.2000000000211895E-3</v>
      </c>
      <c r="AF561">
        <v>-6.9242850760074899E-3</v>
      </c>
      <c r="AG561">
        <v>-7.1747999999999895E-2</v>
      </c>
      <c r="AH561">
        <v>0.57402950227141702</v>
      </c>
      <c r="AI561">
        <v>97.123944421249504</v>
      </c>
      <c r="AJ561">
        <v>90.691102232160006</v>
      </c>
      <c r="AK561">
        <v>0.57853745834283199</v>
      </c>
      <c r="AL561">
        <v>78.754814960079301</v>
      </c>
      <c r="AM561">
        <v>88.828883634526804</v>
      </c>
      <c r="AN561">
        <v>1.0000000042757</v>
      </c>
    </row>
    <row r="562" spans="1:40" x14ac:dyDescent="0.25">
      <c r="A562" t="str">
        <f>"20190312172907572"</f>
        <v>20190312172907572</v>
      </c>
      <c r="B562" t="str">
        <f>"1552382947568356"</f>
        <v>1552382947568356</v>
      </c>
      <c r="C562" t="s">
        <v>40</v>
      </c>
      <c r="D562">
        <v>3.2544840000000002</v>
      </c>
      <c r="E562">
        <v>0.49853510000000001</v>
      </c>
      <c r="F562" t="s">
        <v>42</v>
      </c>
      <c r="G562">
        <v>-359.0043</v>
      </c>
      <c r="H562">
        <v>1.040802</v>
      </c>
      <c r="I562">
        <v>367.39449999999999</v>
      </c>
      <c r="J562">
        <v>-359.62040000000002</v>
      </c>
      <c r="K562">
        <v>1.109488</v>
      </c>
      <c r="L562">
        <v>367.3861</v>
      </c>
      <c r="M562">
        <v>0.99995100000000003</v>
      </c>
      <c r="N562">
        <v>0</v>
      </c>
      <c r="O562">
        <v>3.7254369999999998E-3</v>
      </c>
      <c r="P562">
        <v>0.98241559999999994</v>
      </c>
      <c r="Q562">
        <v>0.18599080000000001</v>
      </c>
      <c r="R562">
        <v>-1.634236E-2</v>
      </c>
      <c r="S562">
        <v>3.1010740000000001</v>
      </c>
      <c r="T562">
        <v>-0.24713180000000001</v>
      </c>
      <c r="U562">
        <v>3.3905030000000003E-2</v>
      </c>
      <c r="V562">
        <v>2.0009679999999998E-2</v>
      </c>
      <c r="W562">
        <v>0.19499810000000001</v>
      </c>
      <c r="X562">
        <v>0.98059949999999996</v>
      </c>
      <c r="Y562">
        <v>-7.1962160000000001E-3</v>
      </c>
      <c r="Z562" s="1">
        <v>-1.0141230000000001E-5</v>
      </c>
      <c r="AA562">
        <v>0.99997409999999998</v>
      </c>
      <c r="AB562">
        <v>31</v>
      </c>
      <c r="AC562">
        <v>0.61610000000001697</v>
      </c>
      <c r="AD562">
        <v>-6.8685999999999997E-2</v>
      </c>
      <c r="AE562">
        <v>8.3999999999946305E-3</v>
      </c>
      <c r="AF562">
        <v>-6.0296748963765698E-3</v>
      </c>
      <c r="AG562">
        <v>-6.8685999999999997E-2</v>
      </c>
      <c r="AH562">
        <v>0.60856461294957698</v>
      </c>
      <c r="AI562">
        <v>96.439157078217093</v>
      </c>
      <c r="AJ562">
        <v>90.567669581399002</v>
      </c>
      <c r="AK562">
        <v>0.61245817139607595</v>
      </c>
      <c r="AL562">
        <v>78.755387546646404</v>
      </c>
      <c r="AM562">
        <v>88.831009879028599</v>
      </c>
      <c r="AN562">
        <v>1.00000001284878</v>
      </c>
    </row>
    <row r="563" spans="1:40" x14ac:dyDescent="0.25">
      <c r="A563" t="str">
        <f>"20190312172907583"</f>
        <v>20190312172907583</v>
      </c>
      <c r="B563" t="str">
        <f>"1552382947578117"</f>
        <v>1552382947578117</v>
      </c>
      <c r="C563" t="s">
        <v>40</v>
      </c>
      <c r="D563">
        <v>3.247039</v>
      </c>
      <c r="E563">
        <v>0.498303</v>
      </c>
      <c r="F563" t="s">
        <v>44</v>
      </c>
      <c r="G563">
        <v>-158.19499999999999</v>
      </c>
      <c r="H563">
        <v>4.6808509999999997</v>
      </c>
      <c r="I563">
        <v>366.17419999999998</v>
      </c>
      <c r="J563">
        <v>-359.45420000000001</v>
      </c>
      <c r="K563">
        <v>1.1094850000000001</v>
      </c>
      <c r="L563">
        <v>367.38670000000002</v>
      </c>
      <c r="M563">
        <v>0.99995109999999998</v>
      </c>
      <c r="N563">
        <v>0</v>
      </c>
      <c r="O563">
        <v>3.7256099999999999E-3</v>
      </c>
      <c r="P563">
        <v>0.98239699999999996</v>
      </c>
      <c r="Q563">
        <v>0.18609690000000001</v>
      </c>
      <c r="R563">
        <v>-1.6257489999999999E-2</v>
      </c>
      <c r="S563">
        <v>3.0431819999999998</v>
      </c>
      <c r="T563">
        <v>5.3958300000000001E-2</v>
      </c>
      <c r="U563">
        <v>-1.8310549999999998E-2</v>
      </c>
      <c r="V563">
        <v>1.9924919999999999E-2</v>
      </c>
      <c r="W563">
        <v>0.19510520000000001</v>
      </c>
      <c r="X563">
        <v>0.98057989999999995</v>
      </c>
      <c r="Y563">
        <v>9.7403400000000001E-3</v>
      </c>
      <c r="Z563">
        <v>1.524002E-4</v>
      </c>
      <c r="AA563">
        <v>0.99995259999999997</v>
      </c>
      <c r="AB563">
        <v>31</v>
      </c>
      <c r="AC563">
        <v>201.25919999999999</v>
      </c>
      <c r="AD563">
        <v>3.5713659999999998</v>
      </c>
      <c r="AE563">
        <v>-1.2125000000000301</v>
      </c>
      <c r="AF563">
        <v>1.9617186348715001</v>
      </c>
      <c r="AG563">
        <v>3.5713659999999998</v>
      </c>
      <c r="AH563">
        <v>201.18993546913899</v>
      </c>
      <c r="AI563">
        <v>88.983085380046006</v>
      </c>
      <c r="AJ563">
        <v>89.4413506010155</v>
      </c>
      <c r="AK563">
        <v>201.23119323103199</v>
      </c>
      <c r="AL563">
        <v>78.749130748819397</v>
      </c>
      <c r="AM563">
        <v>88.835937036513798</v>
      </c>
      <c r="AN563">
        <v>0.99999999089402802</v>
      </c>
    </row>
    <row r="564" spans="1:40" x14ac:dyDescent="0.25">
      <c r="A564" t="str">
        <f>"20190312172907594"</f>
        <v>20190312172907594</v>
      </c>
      <c r="B564" t="str">
        <f>"1552382947587877"</f>
        <v>1552382947587877</v>
      </c>
      <c r="C564" t="s">
        <v>40</v>
      </c>
      <c r="D564">
        <v>3.2457950000000002</v>
      </c>
      <c r="E564">
        <v>0.49808079999999999</v>
      </c>
      <c r="F564" t="s">
        <v>44</v>
      </c>
      <c r="G564">
        <v>-158.19499999999999</v>
      </c>
      <c r="H564">
        <v>4.0388710000000003</v>
      </c>
      <c r="I564">
        <v>366.36009999999999</v>
      </c>
      <c r="J564">
        <v>-359.29219999999998</v>
      </c>
      <c r="K564">
        <v>1.109483</v>
      </c>
      <c r="L564">
        <v>367.38729999999998</v>
      </c>
      <c r="M564">
        <v>0.99995089999999998</v>
      </c>
      <c r="N564">
        <v>0</v>
      </c>
      <c r="O564">
        <v>3.725899E-3</v>
      </c>
      <c r="P564">
        <v>0.98241239999999996</v>
      </c>
      <c r="Q564">
        <v>0.18602009999999999</v>
      </c>
      <c r="R564">
        <v>-1.6199539999999998E-2</v>
      </c>
      <c r="S564">
        <v>3.045105</v>
      </c>
      <c r="T564">
        <v>4.4323679999999997E-2</v>
      </c>
      <c r="U564">
        <v>-1.5533450000000001E-2</v>
      </c>
      <c r="V564">
        <v>1.986742E-2</v>
      </c>
      <c r="W564">
        <v>0.19503090000000001</v>
      </c>
      <c r="X564">
        <v>0.98059589999999996</v>
      </c>
      <c r="Y564">
        <v>8.82569699999999E-3</v>
      </c>
      <c r="Z564">
        <v>1.184606E-4</v>
      </c>
      <c r="AA564">
        <v>0.99996099999999999</v>
      </c>
      <c r="AB564">
        <v>31</v>
      </c>
      <c r="AC564">
        <v>201.09719999999999</v>
      </c>
      <c r="AD564">
        <v>2.9293879999999999</v>
      </c>
      <c r="AE564">
        <v>-1.0271999999999899</v>
      </c>
      <c r="AF564">
        <v>1.77611543644081</v>
      </c>
      <c r="AG564">
        <v>2.9293879999999999</v>
      </c>
      <c r="AH564">
        <v>201.04931542947</v>
      </c>
      <c r="AI564">
        <v>89.165263781897295</v>
      </c>
      <c r="AJ564">
        <v>89.493849203104602</v>
      </c>
      <c r="AK564">
        <v>201.07849993163501</v>
      </c>
      <c r="AL564">
        <v>78.753471797135404</v>
      </c>
      <c r="AM564">
        <v>88.839314341560794</v>
      </c>
      <c r="AN564">
        <v>1.0000000427145299</v>
      </c>
    </row>
    <row r="565" spans="1:40" x14ac:dyDescent="0.25">
      <c r="A565" t="str">
        <f>"20190312172907607"</f>
        <v>20190312172907607</v>
      </c>
      <c r="B565" t="str">
        <f>"1552382947597637"</f>
        <v>1552382947597637</v>
      </c>
      <c r="C565" t="s">
        <v>40</v>
      </c>
      <c r="D565">
        <v>3.2441040000000001</v>
      </c>
      <c r="E565">
        <v>0.49793660000000001</v>
      </c>
      <c r="F565" t="s">
        <v>44</v>
      </c>
      <c r="G565">
        <v>-158.19499999999999</v>
      </c>
      <c r="H565">
        <v>3.6765810000000001</v>
      </c>
      <c r="I565">
        <v>366.49680000000001</v>
      </c>
      <c r="J565">
        <v>-359.1352</v>
      </c>
      <c r="K565">
        <v>1.1094820000000001</v>
      </c>
      <c r="L565">
        <v>367.3879</v>
      </c>
      <c r="M565">
        <v>0.99995089999999998</v>
      </c>
      <c r="N565">
        <v>0</v>
      </c>
      <c r="O565">
        <v>3.7262459999999999E-3</v>
      </c>
      <c r="P565">
        <v>0.9824389</v>
      </c>
      <c r="Q565">
        <v>0.1858783</v>
      </c>
      <c r="R565">
        <v>-1.6229009999999999E-2</v>
      </c>
      <c r="S565">
        <v>3.0461119999999999</v>
      </c>
      <c r="T565">
        <v>3.888631E-2</v>
      </c>
      <c r="U565">
        <v>-1.3488770000000001E-2</v>
      </c>
      <c r="V565">
        <v>1.9897080000000001E-2</v>
      </c>
      <c r="W565">
        <v>0.1948915</v>
      </c>
      <c r="X565">
        <v>0.98062289999999996</v>
      </c>
      <c r="Y565">
        <v>8.1535180000000002E-3</v>
      </c>
      <c r="Z565" s="1">
        <v>9.9609719999999997E-5</v>
      </c>
      <c r="AA565">
        <v>0.99996669999999999</v>
      </c>
      <c r="AB565">
        <v>31</v>
      </c>
      <c r="AC565">
        <v>200.9402</v>
      </c>
      <c r="AD565">
        <v>2.5670989999999998</v>
      </c>
      <c r="AE565">
        <v>-0.89109999999999401</v>
      </c>
      <c r="AF565">
        <v>1.6396103976766001</v>
      </c>
      <c r="AG565">
        <v>2.5670989999999998</v>
      </c>
      <c r="AH565">
        <v>200.90269521430699</v>
      </c>
      <c r="AI565">
        <v>89.267948910618998</v>
      </c>
      <c r="AJ565">
        <v>89.532407118203295</v>
      </c>
      <c r="AK565">
        <v>200.925785462953</v>
      </c>
      <c r="AL565">
        <v>78.761613821866504</v>
      </c>
      <c r="AM565">
        <v>88.837614029871403</v>
      </c>
      <c r="AN565">
        <v>0.99999993128458997</v>
      </c>
    </row>
    <row r="566" spans="1:40" x14ac:dyDescent="0.25">
      <c r="A566" t="str">
        <f>"20190312172907617"</f>
        <v>20190312172907617</v>
      </c>
      <c r="B566" t="str">
        <f>"1552382947608374"</f>
        <v>1552382947608374</v>
      </c>
      <c r="C566" t="s">
        <v>40</v>
      </c>
      <c r="D566">
        <v>3.2604929999999999</v>
      </c>
      <c r="E566">
        <v>0.49800220000000001</v>
      </c>
      <c r="F566" t="s">
        <v>44</v>
      </c>
      <c r="G566">
        <v>-158.19499999999999</v>
      </c>
      <c r="H566">
        <v>3.2826270000000002</v>
      </c>
      <c r="I566">
        <v>366.58699999999999</v>
      </c>
      <c r="J566">
        <v>-358.9812</v>
      </c>
      <c r="K566">
        <v>1.10948</v>
      </c>
      <c r="L566">
        <v>367.38850000000002</v>
      </c>
      <c r="M566">
        <v>0.99995089999999998</v>
      </c>
      <c r="N566">
        <v>0</v>
      </c>
      <c r="O566">
        <v>3.726413E-3</v>
      </c>
      <c r="P566">
        <v>0.98240689999999997</v>
      </c>
      <c r="Q566">
        <v>0.18603140000000001</v>
      </c>
      <c r="R566">
        <v>-1.6401869999999999E-2</v>
      </c>
      <c r="S566">
        <v>3.0471499999999998</v>
      </c>
      <c r="T566">
        <v>3.295588E-2</v>
      </c>
      <c r="U566">
        <v>-1.2146000000000001E-2</v>
      </c>
      <c r="V566">
        <v>2.0070169999999998E-2</v>
      </c>
      <c r="W566">
        <v>0.19504630000000001</v>
      </c>
      <c r="X566">
        <v>0.98058869999999998</v>
      </c>
      <c r="Y566">
        <v>7.7118309999999997E-3</v>
      </c>
      <c r="Z566" s="1">
        <v>8.2004260000000001E-5</v>
      </c>
      <c r="AA566">
        <v>0.99997029999999998</v>
      </c>
      <c r="AB566">
        <v>31</v>
      </c>
      <c r="AC566">
        <v>200.78620000000001</v>
      </c>
      <c r="AD566">
        <v>2.1731470000000002</v>
      </c>
      <c r="AE566">
        <v>-0.80150000000003196</v>
      </c>
      <c r="AF566">
        <v>1.54955676956759</v>
      </c>
      <c r="AG566">
        <v>2.1731470000000002</v>
      </c>
      <c r="AH566">
        <v>200.758302219559</v>
      </c>
      <c r="AI566">
        <v>89.379833467441699</v>
      </c>
      <c r="AJ566">
        <v>89.557770219243196</v>
      </c>
      <c r="AK566">
        <v>200.77604340195899</v>
      </c>
      <c r="AL566">
        <v>78.752572074131606</v>
      </c>
      <c r="AM566">
        <v>88.827464053571205</v>
      </c>
      <c r="AN566">
        <v>1.0000000347175999</v>
      </c>
    </row>
    <row r="567" spans="1:40" x14ac:dyDescent="0.25">
      <c r="A567" t="str">
        <f>"20190312172907628"</f>
        <v>20190312172907628</v>
      </c>
      <c r="B567" t="str">
        <f>"1552382947618133"</f>
        <v>1552382947618133</v>
      </c>
      <c r="C567" t="s">
        <v>40</v>
      </c>
      <c r="D567">
        <v>3.2133620000000001</v>
      </c>
      <c r="E567">
        <v>0.49803190000000003</v>
      </c>
      <c r="F567" t="s">
        <v>44</v>
      </c>
      <c r="G567">
        <v>-158.19499999999999</v>
      </c>
      <c r="H567">
        <v>3.0150730000000001</v>
      </c>
      <c r="I567">
        <v>366.53809999999999</v>
      </c>
      <c r="J567">
        <v>-358.83240000000001</v>
      </c>
      <c r="K567">
        <v>1.1094809999999999</v>
      </c>
      <c r="L567">
        <v>367.38900000000001</v>
      </c>
      <c r="M567">
        <v>0.99995089999999998</v>
      </c>
      <c r="N567">
        <v>0</v>
      </c>
      <c r="O567">
        <v>3.7265789999999998E-3</v>
      </c>
      <c r="P567">
        <v>0.98246750000000005</v>
      </c>
      <c r="Q567">
        <v>0.18572520000000001</v>
      </c>
      <c r="R567">
        <v>-1.6251580000000002E-2</v>
      </c>
      <c r="S567">
        <v>3.0480649999999998</v>
      </c>
      <c r="T567">
        <v>2.8929469999999999E-2</v>
      </c>
      <c r="U567">
        <v>-1.2908940000000001E-2</v>
      </c>
      <c r="V567">
        <v>1.9920139999999999E-2</v>
      </c>
      <c r="W567">
        <v>0.19474369999999999</v>
      </c>
      <c r="X567">
        <v>0.98065190000000002</v>
      </c>
      <c r="Y567">
        <v>7.9612329999999999E-3</v>
      </c>
      <c r="Z567" s="1">
        <v>7.3149230000000003E-5</v>
      </c>
      <c r="AA567">
        <v>0.99996830000000003</v>
      </c>
      <c r="AB567">
        <v>31</v>
      </c>
      <c r="AC567">
        <v>200.63740000000001</v>
      </c>
      <c r="AD567">
        <v>1.905592</v>
      </c>
      <c r="AE567">
        <v>-0.85090000000002397</v>
      </c>
      <c r="AF567">
        <v>1.5984725441004899</v>
      </c>
      <c r="AG567">
        <v>1.905592</v>
      </c>
      <c r="AH567">
        <v>200.61473927882301</v>
      </c>
      <c r="AI567">
        <v>89.455794571341897</v>
      </c>
      <c r="AJ567">
        <v>89.543484229123294</v>
      </c>
      <c r="AK567">
        <v>200.630157282635</v>
      </c>
      <c r="AL567">
        <v>78.770248743439296</v>
      </c>
      <c r="AM567">
        <v>88.836301641235295</v>
      </c>
      <c r="AN567">
        <v>1.0000000348204501</v>
      </c>
    </row>
    <row r="568" spans="1:40" x14ac:dyDescent="0.25">
      <c r="A568" t="str">
        <f>"20190312172907639"</f>
        <v>20190312172907639</v>
      </c>
      <c r="B568" t="str">
        <f>"1552382947627893"</f>
        <v>1552382947627893</v>
      </c>
      <c r="C568" t="s">
        <v>40</v>
      </c>
      <c r="D568">
        <v>3.2181190000000002</v>
      </c>
      <c r="E568">
        <v>0.49820619999999999</v>
      </c>
      <c r="F568" t="s">
        <v>44</v>
      </c>
      <c r="G568">
        <v>-158.19499999999999</v>
      </c>
      <c r="H568">
        <v>2.701524</v>
      </c>
      <c r="I568">
        <v>366.5455</v>
      </c>
      <c r="J568">
        <v>-358.67899999999997</v>
      </c>
      <c r="K568">
        <v>1.10948</v>
      </c>
      <c r="L568">
        <v>367.38959999999997</v>
      </c>
      <c r="M568">
        <v>0.99995089999999998</v>
      </c>
      <c r="N568">
        <v>0</v>
      </c>
      <c r="O568">
        <v>3.7268610000000001E-3</v>
      </c>
      <c r="P568">
        <v>0.98247180000000001</v>
      </c>
      <c r="Q568">
        <v>0.18569830000000001</v>
      </c>
      <c r="R568">
        <v>-1.6287389999999999E-2</v>
      </c>
      <c r="S568">
        <v>3.048737</v>
      </c>
      <c r="T568">
        <v>2.4192809999999999E-2</v>
      </c>
      <c r="U568">
        <v>-1.281738E-2</v>
      </c>
      <c r="V568">
        <v>1.995628E-2</v>
      </c>
      <c r="W568">
        <v>0.1947198</v>
      </c>
      <c r="X568">
        <v>0.98065579999999997</v>
      </c>
      <c r="Y568">
        <v>7.9307149999999996E-3</v>
      </c>
      <c r="Z568" s="1">
        <v>6.1040519999999994E-5</v>
      </c>
      <c r="AA568">
        <v>0.99996850000000004</v>
      </c>
      <c r="AB568">
        <v>31</v>
      </c>
      <c r="AC568">
        <v>200.48400000000001</v>
      </c>
      <c r="AD568">
        <v>1.592044</v>
      </c>
      <c r="AE568">
        <v>-0.84409999999996899</v>
      </c>
      <c r="AF568">
        <v>1.59120129801423</v>
      </c>
      <c r="AG568">
        <v>1.592044</v>
      </c>
      <c r="AH568">
        <v>200.46682047283301</v>
      </c>
      <c r="AI568">
        <v>89.544998963130197</v>
      </c>
      <c r="AJ568">
        <v>89.545225469586697</v>
      </c>
      <c r="AK568">
        <v>200.47945689310899</v>
      </c>
      <c r="AL568">
        <v>78.771643599133498</v>
      </c>
      <c r="AM568">
        <v>88.834195625346197</v>
      </c>
      <c r="AN568">
        <v>0.99999992584855601</v>
      </c>
    </row>
    <row r="569" spans="1:40" x14ac:dyDescent="0.25">
      <c r="A569" t="str">
        <f>"20190312172907650"</f>
        <v>20190312172907650</v>
      </c>
      <c r="B569" t="str">
        <f>"1552382947648175"</f>
        <v>1552382947648175</v>
      </c>
      <c r="C569" t="s">
        <v>40</v>
      </c>
      <c r="D569">
        <v>3.211125</v>
      </c>
      <c r="E569">
        <v>0.49824489999999999</v>
      </c>
      <c r="F569" t="s">
        <v>44</v>
      </c>
      <c r="G569">
        <v>-158.19499999999999</v>
      </c>
      <c r="H569">
        <v>2.3857330000000001</v>
      </c>
      <c r="I569">
        <v>366.46469999999999</v>
      </c>
      <c r="J569">
        <v>-358.52769999999998</v>
      </c>
      <c r="K569">
        <v>1.1094809999999999</v>
      </c>
      <c r="L569">
        <v>367.39019999999999</v>
      </c>
      <c r="M569">
        <v>0.99995089999999998</v>
      </c>
      <c r="N569">
        <v>0</v>
      </c>
      <c r="O569">
        <v>3.7270229999999999E-3</v>
      </c>
      <c r="P569">
        <v>0.98245119999999997</v>
      </c>
      <c r="Q569">
        <v>0.18581110000000001</v>
      </c>
      <c r="R569">
        <v>-1.625207E-2</v>
      </c>
      <c r="S569">
        <v>3.0496219999999998</v>
      </c>
      <c r="T569">
        <v>1.941478E-2</v>
      </c>
      <c r="U569">
        <v>-1.4068600000000001E-2</v>
      </c>
      <c r="V569">
        <v>1.9921060000000001E-2</v>
      </c>
      <c r="W569">
        <v>0.19483629999999999</v>
      </c>
      <c r="X569">
        <v>0.98063339999999999</v>
      </c>
      <c r="Y569">
        <v>8.3400460000000003E-3</v>
      </c>
      <c r="Z569" s="1">
        <v>5.0275139999999999E-5</v>
      </c>
      <c r="AA569">
        <v>0.9999652</v>
      </c>
      <c r="AB569">
        <v>31</v>
      </c>
      <c r="AC569">
        <v>200.33269999999999</v>
      </c>
      <c r="AD569">
        <v>1.2762519999999999</v>
      </c>
      <c r="AE569">
        <v>-0.92549999999999899</v>
      </c>
      <c r="AF569">
        <v>1.67210176632775</v>
      </c>
      <c r="AG569">
        <v>1.2762519999999999</v>
      </c>
      <c r="AH569">
        <v>200.31972912120099</v>
      </c>
      <c r="AI569">
        <v>89.634981951412101</v>
      </c>
      <c r="AJ569">
        <v>89.521753800393896</v>
      </c>
      <c r="AK569">
        <v>200.33077301971301</v>
      </c>
      <c r="AL569">
        <v>78.764838562120005</v>
      </c>
      <c r="AM569">
        <v>88.836225962726402</v>
      </c>
      <c r="AN569">
        <v>0.99999994881238496</v>
      </c>
    </row>
    <row r="570" spans="1:40" x14ac:dyDescent="0.25">
      <c r="A570" t="str">
        <f>"20190312172907659"</f>
        <v>20190312172907659</v>
      </c>
      <c r="B570" t="str">
        <f>"1552382947648175"</f>
        <v>1552382947648175</v>
      </c>
      <c r="C570" t="s">
        <v>40</v>
      </c>
      <c r="D570">
        <v>3.211125</v>
      </c>
      <c r="E570">
        <v>0.49824489999999999</v>
      </c>
      <c r="F570" t="s">
        <v>44</v>
      </c>
      <c r="G570">
        <v>-158.19499999999999</v>
      </c>
      <c r="H570">
        <v>1.897602</v>
      </c>
      <c r="I570">
        <v>366.45639999999997</v>
      </c>
      <c r="J570">
        <v>-358.38080000000002</v>
      </c>
      <c r="K570">
        <v>1.1094809999999999</v>
      </c>
      <c r="L570">
        <v>367.39069999999998</v>
      </c>
      <c r="M570">
        <v>0.99995080000000003</v>
      </c>
      <c r="N570">
        <v>0</v>
      </c>
      <c r="O570">
        <v>3.727363E-3</v>
      </c>
      <c r="P570">
        <v>0.98247050000000002</v>
      </c>
      <c r="Q570">
        <v>0.1857145</v>
      </c>
      <c r="R570">
        <v>-1.6192890000000001E-2</v>
      </c>
      <c r="S570">
        <v>3.051056</v>
      </c>
      <c r="T570">
        <v>1.200438E-2</v>
      </c>
      <c r="U570">
        <v>-1.422119E-2</v>
      </c>
      <c r="V570">
        <v>1.9862270000000001E-2</v>
      </c>
      <c r="W570">
        <v>0.19474369999999999</v>
      </c>
      <c r="X570">
        <v>0.980653</v>
      </c>
      <c r="Y570">
        <v>8.3883759999999995E-3</v>
      </c>
      <c r="Z570" s="1">
        <v>3.1167670000000001E-5</v>
      </c>
      <c r="AA570">
        <v>0.99996479999999999</v>
      </c>
      <c r="AB570">
        <v>31</v>
      </c>
      <c r="AC570">
        <v>200.1858</v>
      </c>
      <c r="AD570">
        <v>0.78812099999999996</v>
      </c>
      <c r="AE570">
        <v>-0.93430000000000701</v>
      </c>
      <c r="AF570">
        <v>1.6804641364650901</v>
      </c>
      <c r="AG570">
        <v>0.78812099999999996</v>
      </c>
      <c r="AH570">
        <v>200.177824041214</v>
      </c>
      <c r="AI570">
        <v>89.774429645734799</v>
      </c>
      <c r="AJ570">
        <v>89.519021443140602</v>
      </c>
      <c r="AK570">
        <v>200.186428941374</v>
      </c>
      <c r="AL570">
        <v>78.770247919987398</v>
      </c>
      <c r="AM570">
        <v>88.839682677003793</v>
      </c>
      <c r="AN570">
        <v>0.99999996243412004</v>
      </c>
    </row>
    <row r="571" spans="1:40" x14ac:dyDescent="0.25">
      <c r="A571" t="str">
        <f>"20190312172907671"</f>
        <v>20190312172907671</v>
      </c>
      <c r="B571" t="str">
        <f>"1552382947667695"</f>
        <v>1552382947667695</v>
      </c>
      <c r="C571" t="s">
        <v>40</v>
      </c>
      <c r="D571">
        <v>3.2100919999999999</v>
      </c>
      <c r="E571">
        <v>0.49815130000000002</v>
      </c>
      <c r="F571" t="s">
        <v>44</v>
      </c>
      <c r="G571">
        <v>-158.19499999999999</v>
      </c>
      <c r="H571">
        <v>1.8774230000000001</v>
      </c>
      <c r="I571">
        <v>366.46969999999999</v>
      </c>
      <c r="J571">
        <v>-358.23050000000001</v>
      </c>
      <c r="K571">
        <v>1.109478</v>
      </c>
      <c r="L571">
        <v>367.3913</v>
      </c>
      <c r="M571">
        <v>0.99995069999999997</v>
      </c>
      <c r="N571">
        <v>0</v>
      </c>
      <c r="O571">
        <v>3.7276420000000002E-3</v>
      </c>
      <c r="P571">
        <v>0.98244989999999999</v>
      </c>
      <c r="Q571">
        <v>0.1858243</v>
      </c>
      <c r="R571">
        <v>-1.6175740000000001E-2</v>
      </c>
      <c r="S571">
        <v>3.0510860000000002</v>
      </c>
      <c r="T571">
        <v>1.1705760000000001E-2</v>
      </c>
      <c r="U571">
        <v>-1.403809E-2</v>
      </c>
      <c r="V571">
        <v>1.9845430000000001E-2</v>
      </c>
      <c r="W571">
        <v>0.19485730000000001</v>
      </c>
      <c r="X571">
        <v>0.98063080000000002</v>
      </c>
      <c r="Y571">
        <v>8.3286060000000006E-3</v>
      </c>
      <c r="Z571" s="1">
        <v>3.0278469999999999E-5</v>
      </c>
      <c r="AA571">
        <v>0.99996529999999995</v>
      </c>
      <c r="AB571">
        <v>31</v>
      </c>
      <c r="AC571">
        <v>200.03550000000001</v>
      </c>
      <c r="AD571">
        <v>0.76794499999999999</v>
      </c>
      <c r="AE571">
        <v>-0.92160000000001197</v>
      </c>
      <c r="AF571">
        <v>1.6672613373420699</v>
      </c>
      <c r="AG571">
        <v>0.76794499999999999</v>
      </c>
      <c r="AH571">
        <v>200.027726561772</v>
      </c>
      <c r="AI571">
        <v>89.780039179387899</v>
      </c>
      <c r="AJ571">
        <v>89.522442076054404</v>
      </c>
      <c r="AK571">
        <v>200.03614896653301</v>
      </c>
      <c r="AL571">
        <v>78.763612275675698</v>
      </c>
      <c r="AM571">
        <v>88.840639931854497</v>
      </c>
      <c r="AN571">
        <v>0.99999998718190697</v>
      </c>
    </row>
    <row r="572" spans="1:40" x14ac:dyDescent="0.25">
      <c r="A572" t="str">
        <f>"20190312172907684"</f>
        <v>20190312172907684</v>
      </c>
      <c r="B572" t="str">
        <f>"1552382947678432"</f>
        <v>1552382947678432</v>
      </c>
      <c r="C572" t="s">
        <v>40</v>
      </c>
      <c r="D572">
        <v>3.2188650000000001</v>
      </c>
      <c r="E572">
        <v>0.49809170000000003</v>
      </c>
      <c r="F572" t="s">
        <v>44</v>
      </c>
      <c r="G572">
        <v>-158.19499999999999</v>
      </c>
      <c r="H572">
        <v>1.4952490000000001</v>
      </c>
      <c r="I572">
        <v>366.52330000000001</v>
      </c>
      <c r="J572">
        <v>-358.05439999999999</v>
      </c>
      <c r="K572">
        <v>1.109478</v>
      </c>
      <c r="L572">
        <v>367.39190000000002</v>
      </c>
      <c r="M572">
        <v>0.99995080000000003</v>
      </c>
      <c r="N572">
        <v>0</v>
      </c>
      <c r="O572">
        <v>3.727798E-3</v>
      </c>
      <c r="P572">
        <v>0.98245780000000005</v>
      </c>
      <c r="Q572">
        <v>0.18579799999999999</v>
      </c>
      <c r="R572">
        <v>-1.6006090000000001E-2</v>
      </c>
      <c r="S572">
        <v>3.0522459999999998</v>
      </c>
      <c r="T572">
        <v>5.8876279999999998E-3</v>
      </c>
      <c r="U572">
        <v>-1.324463E-2</v>
      </c>
      <c r="V572">
        <v>1.9675890000000001E-2</v>
      </c>
      <c r="W572">
        <v>0.1948358</v>
      </c>
      <c r="X572">
        <v>0.98063849999999997</v>
      </c>
      <c r="Y572">
        <v>8.0671340000000001E-3</v>
      </c>
      <c r="Z572" s="1">
        <v>1.4971500000000001E-5</v>
      </c>
      <c r="AA572">
        <v>0.99996750000000001</v>
      </c>
      <c r="AB572">
        <v>31</v>
      </c>
      <c r="AC572">
        <v>199.85939999999999</v>
      </c>
      <c r="AD572">
        <v>0.38577099999999998</v>
      </c>
      <c r="AE572">
        <v>-0.86860000000001403</v>
      </c>
      <c r="AF572">
        <v>1.6136549040741399</v>
      </c>
      <c r="AG572">
        <v>0.38577099999999998</v>
      </c>
      <c r="AH572">
        <v>199.85402851907901</v>
      </c>
      <c r="AI572">
        <v>89.889407772083004</v>
      </c>
      <c r="AJ572">
        <v>89.537394331102703</v>
      </c>
      <c r="AK572">
        <v>199.86091518032899</v>
      </c>
      <c r="AL572">
        <v>78.764868336922305</v>
      </c>
      <c r="AM572">
        <v>88.850550728016103</v>
      </c>
      <c r="AN572">
        <v>0.99999999864559097</v>
      </c>
    </row>
    <row r="573" spans="1:40" x14ac:dyDescent="0.25">
      <c r="A573" t="str">
        <f>"20190312172907695"</f>
        <v>20190312172907695</v>
      </c>
      <c r="B573" t="str">
        <f>"1552382947688191"</f>
        <v>1552382947688191</v>
      </c>
      <c r="C573" t="s">
        <v>40</v>
      </c>
      <c r="D573">
        <v>3.2176580000000001</v>
      </c>
      <c r="E573">
        <v>0.49803350000000002</v>
      </c>
      <c r="F573" t="s">
        <v>44</v>
      </c>
      <c r="G573">
        <v>-158.19499999999999</v>
      </c>
      <c r="H573">
        <v>1.302705</v>
      </c>
      <c r="I573">
        <v>366.62470000000002</v>
      </c>
      <c r="J573">
        <v>-357.88040000000001</v>
      </c>
      <c r="K573">
        <v>1.109477</v>
      </c>
      <c r="L573">
        <v>367.39260000000002</v>
      </c>
      <c r="M573">
        <v>0.99995060000000002</v>
      </c>
      <c r="N573">
        <v>0</v>
      </c>
      <c r="O573">
        <v>3.7281300000000001E-3</v>
      </c>
      <c r="P573">
        <v>0.98250059999999995</v>
      </c>
      <c r="Q573">
        <v>0.185559</v>
      </c>
      <c r="R573">
        <v>-1.614676E-2</v>
      </c>
      <c r="S573">
        <v>3.0527950000000001</v>
      </c>
      <c r="T573">
        <v>2.9528139999999998E-3</v>
      </c>
      <c r="U573">
        <v>-1.171875E-2</v>
      </c>
      <c r="V573">
        <v>1.9817009999999999E-2</v>
      </c>
      <c r="W573">
        <v>0.1946029</v>
      </c>
      <c r="X573">
        <v>0.9806819</v>
      </c>
      <c r="Y573">
        <v>7.566896E-3</v>
      </c>
      <c r="Z573" s="1">
        <v>7.265694E-6</v>
      </c>
      <c r="AA573">
        <v>0.99997139999999995</v>
      </c>
      <c r="AB573">
        <v>31</v>
      </c>
      <c r="AC573">
        <v>199.68539999999999</v>
      </c>
      <c r="AD573">
        <v>0.19322800000000001</v>
      </c>
      <c r="AE573">
        <v>-0.76789999999999703</v>
      </c>
      <c r="AF573">
        <v>1.5123779807317601</v>
      </c>
      <c r="AG573">
        <v>0.19322800000000001</v>
      </c>
      <c r="AH573">
        <v>199.68096224326999</v>
      </c>
      <c r="AI573">
        <v>89.944557419149405</v>
      </c>
      <c r="AJ573">
        <v>89.566051678341296</v>
      </c>
      <c r="AK573">
        <v>199.686783004321</v>
      </c>
      <c r="AL573">
        <v>78.778472896988006</v>
      </c>
      <c r="AM573">
        <v>88.842360069227396</v>
      </c>
      <c r="AN573">
        <v>0.99999999578068</v>
      </c>
    </row>
    <row r="574" spans="1:40" x14ac:dyDescent="0.25">
      <c r="A574" t="str">
        <f>"20190312172907707"</f>
        <v>20190312172907707</v>
      </c>
      <c r="B574" t="str">
        <f>"1552382947697952"</f>
        <v>1552382947697952</v>
      </c>
      <c r="C574" t="s">
        <v>40</v>
      </c>
      <c r="D574">
        <v>3.2502740000000001</v>
      </c>
      <c r="E574">
        <v>0.4980271</v>
      </c>
      <c r="F574" t="s">
        <v>44</v>
      </c>
      <c r="G574">
        <v>-158.19499999999999</v>
      </c>
      <c r="H574">
        <v>1.092112</v>
      </c>
      <c r="I574">
        <v>366.64010000000002</v>
      </c>
      <c r="J574">
        <v>-357.7319</v>
      </c>
      <c r="K574">
        <v>1.109478</v>
      </c>
      <c r="L574">
        <v>367.3931</v>
      </c>
      <c r="M574">
        <v>0.99995080000000003</v>
      </c>
      <c r="N574">
        <v>0</v>
      </c>
      <c r="O574">
        <v>3.7282869999999998E-3</v>
      </c>
      <c r="P574">
        <v>0.98250090000000001</v>
      </c>
      <c r="Q574">
        <v>0.18557509999999999</v>
      </c>
      <c r="R574">
        <v>-1.5940760000000002E-2</v>
      </c>
      <c r="S574">
        <v>3.0532840000000001</v>
      </c>
      <c r="T574">
        <v>-2.641678E-4</v>
      </c>
      <c r="U574">
        <v>-1.1505130000000001E-2</v>
      </c>
      <c r="V574">
        <v>1.961106E-2</v>
      </c>
      <c r="W574">
        <v>0.1946235</v>
      </c>
      <c r="X574">
        <v>0.98068200000000005</v>
      </c>
      <c r="Y574">
        <v>7.4964819999999996E-3</v>
      </c>
      <c r="Z574" s="1">
        <v>-6.4687490000000001E-7</v>
      </c>
      <c r="AA574">
        <v>0.99997190000000002</v>
      </c>
      <c r="AB574">
        <v>31</v>
      </c>
      <c r="AC574">
        <v>199.5369</v>
      </c>
      <c r="AD574">
        <v>-1.7365999999999899E-2</v>
      </c>
      <c r="AE574">
        <v>-0.75299999999998501</v>
      </c>
      <c r="AF574">
        <v>1.4969570172177</v>
      </c>
      <c r="AG574">
        <v>-1.7365999999999899E-2</v>
      </c>
      <c r="AH574">
        <v>199.53270405410399</v>
      </c>
      <c r="AI574">
        <v>90.004986503384501</v>
      </c>
      <c r="AJ574">
        <v>89.570157130417698</v>
      </c>
      <c r="AK574">
        <v>199.53832005164301</v>
      </c>
      <c r="AL574">
        <v>78.777270131163604</v>
      </c>
      <c r="AM574">
        <v>88.854387836572997</v>
      </c>
      <c r="AN574">
        <v>1.00000004277528</v>
      </c>
    </row>
    <row r="575" spans="1:40" x14ac:dyDescent="0.25">
      <c r="A575" t="str">
        <f>"20190312172907718"</f>
        <v>20190312172907718</v>
      </c>
      <c r="B575" t="str">
        <f>"1552382947707712"</f>
        <v>1552382947707712</v>
      </c>
      <c r="C575" t="s">
        <v>40</v>
      </c>
      <c r="D575">
        <v>3.2518980000000002</v>
      </c>
      <c r="E575">
        <v>0.49805470000000002</v>
      </c>
      <c r="F575" t="s">
        <v>44</v>
      </c>
      <c r="G575">
        <v>-158.19499999999999</v>
      </c>
      <c r="H575">
        <v>1.0076259999999999</v>
      </c>
      <c r="I575">
        <v>366.67720000000003</v>
      </c>
      <c r="J575">
        <v>-357.5702</v>
      </c>
      <c r="K575">
        <v>1.10948</v>
      </c>
      <c r="L575">
        <v>367.39370000000002</v>
      </c>
      <c r="M575">
        <v>0.99995049999999996</v>
      </c>
      <c r="N575">
        <v>0</v>
      </c>
      <c r="O575">
        <v>3.7285600000000001E-3</v>
      </c>
      <c r="P575">
        <v>0.98252879999999998</v>
      </c>
      <c r="Q575">
        <v>0.1854402</v>
      </c>
      <c r="R575">
        <v>-1.5780659999999998E-2</v>
      </c>
      <c r="S575">
        <v>3.0535890000000001</v>
      </c>
      <c r="T575">
        <v>-1.5573500000000001E-3</v>
      </c>
      <c r="U575">
        <v>-1.095581E-2</v>
      </c>
      <c r="V575">
        <v>1.9451530000000002E-2</v>
      </c>
      <c r="W575">
        <v>0.19449440000000001</v>
      </c>
      <c r="X575">
        <v>0.98071070000000005</v>
      </c>
      <c r="Y575">
        <v>7.3164930000000003E-3</v>
      </c>
      <c r="Z575" s="1">
        <v>-3.7673879999999998E-6</v>
      </c>
      <c r="AA575">
        <v>0.99997320000000001</v>
      </c>
      <c r="AB575">
        <v>31</v>
      </c>
      <c r="AC575">
        <v>199.37520000000001</v>
      </c>
      <c r="AD575">
        <v>-0.101853999999999</v>
      </c>
      <c r="AE575">
        <v>-0.71649999999999603</v>
      </c>
      <c r="AF575">
        <v>1.45990866504046</v>
      </c>
      <c r="AG575">
        <v>-0.101853999999999</v>
      </c>
      <c r="AH575">
        <v>199.37109034539799</v>
      </c>
      <c r="AI575">
        <v>90.029270278639999</v>
      </c>
      <c r="AJ575">
        <v>89.580455171107005</v>
      </c>
      <c r="AK575">
        <v>199.376461431786</v>
      </c>
      <c r="AL575">
        <v>78.784810125044103</v>
      </c>
      <c r="AM575">
        <v>88.863737833589596</v>
      </c>
      <c r="AN575">
        <v>0.99999995537259401</v>
      </c>
    </row>
    <row r="576" spans="1:40" x14ac:dyDescent="0.25">
      <c r="A576" t="str">
        <f>"20190312172907729"</f>
        <v>20190312172907729</v>
      </c>
      <c r="B576" t="str">
        <f>"1552382947718448"</f>
        <v>1552382947718448</v>
      </c>
      <c r="C576" t="s">
        <v>40</v>
      </c>
      <c r="D576">
        <v>3.2204640000000002</v>
      </c>
      <c r="E576">
        <v>0.49808479999999999</v>
      </c>
      <c r="F576" t="s">
        <v>44</v>
      </c>
      <c r="G576">
        <v>-158.19499999999999</v>
      </c>
      <c r="H576">
        <v>0.89001739999999996</v>
      </c>
      <c r="I576">
        <v>366.71429999999998</v>
      </c>
      <c r="J576">
        <v>-357.42329999999998</v>
      </c>
      <c r="K576">
        <v>1.10948</v>
      </c>
      <c r="L576">
        <v>367.39429999999999</v>
      </c>
      <c r="M576">
        <v>0.99995040000000002</v>
      </c>
      <c r="N576">
        <v>0</v>
      </c>
      <c r="O576">
        <v>3.7288949999999999E-3</v>
      </c>
      <c r="P576">
        <v>0.98255320000000002</v>
      </c>
      <c r="Q576">
        <v>0.18531</v>
      </c>
      <c r="R576">
        <v>-1.57898E-2</v>
      </c>
      <c r="S576">
        <v>3.053833</v>
      </c>
      <c r="T576">
        <v>-3.3601519999999999E-3</v>
      </c>
      <c r="U576">
        <v>-1.0406489999999999E-2</v>
      </c>
      <c r="V576">
        <v>1.946088E-2</v>
      </c>
      <c r="W576">
        <v>0.19436899999999999</v>
      </c>
      <c r="X576">
        <v>0.98073540000000003</v>
      </c>
      <c r="Y576">
        <v>7.1366650000000004E-3</v>
      </c>
      <c r="Z576" s="1">
        <v>-8.0293359999999997E-6</v>
      </c>
      <c r="AA576">
        <v>0.99997449999999999</v>
      </c>
      <c r="AB576">
        <v>31</v>
      </c>
      <c r="AC576">
        <v>199.22829999999999</v>
      </c>
      <c r="AD576">
        <v>-0.21946259999999901</v>
      </c>
      <c r="AE576">
        <v>-0.68000000000000604</v>
      </c>
      <c r="AF576">
        <v>1.4229266412344701</v>
      </c>
      <c r="AG576">
        <v>-0.21946259999999901</v>
      </c>
      <c r="AH576">
        <v>199.22413727551501</v>
      </c>
      <c r="AI576">
        <v>90.063114616096399</v>
      </c>
      <c r="AJ576">
        <v>89.590780987022995</v>
      </c>
      <c r="AK576">
        <v>199.229339599448</v>
      </c>
      <c r="AL576">
        <v>78.792135072720896</v>
      </c>
      <c r="AM576">
        <v>88.863220419344501</v>
      </c>
      <c r="AN576">
        <v>0.99999997941226704</v>
      </c>
    </row>
    <row r="577" spans="1:40" x14ac:dyDescent="0.25">
      <c r="A577" t="str">
        <f>"20190312172907741"</f>
        <v>20190312172907741</v>
      </c>
      <c r="B577" t="str">
        <f>"1552382947737967"</f>
        <v>1552382947737967</v>
      </c>
      <c r="C577" t="s">
        <v>40</v>
      </c>
      <c r="D577">
        <v>3.237444</v>
      </c>
      <c r="E577">
        <v>0.49823479999999998</v>
      </c>
      <c r="F577" t="s">
        <v>44</v>
      </c>
      <c r="G577">
        <v>-158.19499999999999</v>
      </c>
      <c r="H577">
        <v>0.78485890000000003</v>
      </c>
      <c r="I577">
        <v>366.6875</v>
      </c>
      <c r="J577">
        <v>-357.24340000000001</v>
      </c>
      <c r="K577">
        <v>1.1094809999999999</v>
      </c>
      <c r="L577">
        <v>367.39490000000001</v>
      </c>
      <c r="M577">
        <v>0.99995049999999996</v>
      </c>
      <c r="N577">
        <v>0</v>
      </c>
      <c r="O577">
        <v>3.7290439999999999E-3</v>
      </c>
      <c r="P577">
        <v>0.9825893</v>
      </c>
      <c r="Q577">
        <v>0.1851199</v>
      </c>
      <c r="R577">
        <v>-1.5779120000000001E-2</v>
      </c>
      <c r="S577">
        <v>3.0540159999999998</v>
      </c>
      <c r="T577">
        <v>-4.9748420000000002E-3</v>
      </c>
      <c r="U577">
        <v>-1.083374E-2</v>
      </c>
      <c r="V577">
        <v>1.9450530000000001E-2</v>
      </c>
      <c r="W577">
        <v>0.19418560000000001</v>
      </c>
      <c r="X577">
        <v>0.98077199999999998</v>
      </c>
      <c r="Y577">
        <v>7.276495E-3</v>
      </c>
      <c r="Z577" s="1">
        <v>-1.2001170000000001E-5</v>
      </c>
      <c r="AA577">
        <v>0.99997349999999996</v>
      </c>
      <c r="AB577">
        <v>31</v>
      </c>
      <c r="AC577">
        <v>199.04839999999999</v>
      </c>
      <c r="AD577">
        <v>-0.32462209999999903</v>
      </c>
      <c r="AE577">
        <v>-0.70740000000000602</v>
      </c>
      <c r="AF577">
        <v>1.44968304923402</v>
      </c>
      <c r="AG577">
        <v>-0.32462209999999903</v>
      </c>
      <c r="AH577">
        <v>199.04384848118701</v>
      </c>
      <c r="AI577">
        <v>90.093441553856493</v>
      </c>
      <c r="AJ577">
        <v>89.582708773130605</v>
      </c>
      <c r="AK577">
        <v>199.04939230917699</v>
      </c>
      <c r="AL577">
        <v>78.802847944420904</v>
      </c>
      <c r="AM577">
        <v>88.863867229477805</v>
      </c>
      <c r="AN577">
        <v>1.0000000431743099</v>
      </c>
    </row>
    <row r="578" spans="1:40" x14ac:dyDescent="0.25">
      <c r="A578" t="str">
        <f>"20190312172907756"</f>
        <v>20190312172907756</v>
      </c>
      <c r="B578" t="str">
        <f>"1552382947748467"</f>
        <v>1552382947748467</v>
      </c>
      <c r="C578" t="s">
        <v>40</v>
      </c>
      <c r="D578">
        <v>3.2690049999999999</v>
      </c>
      <c r="E578">
        <v>0.4983168</v>
      </c>
      <c r="F578" t="s">
        <v>44</v>
      </c>
      <c r="G578">
        <v>-158.19499999999999</v>
      </c>
      <c r="H578">
        <v>0.57809309999999903</v>
      </c>
      <c r="I578">
        <v>366.61540000000002</v>
      </c>
      <c r="J578">
        <v>-357.0573</v>
      </c>
      <c r="K578">
        <v>1.10948</v>
      </c>
      <c r="L578">
        <v>367.3956</v>
      </c>
      <c r="M578">
        <v>0.99995029999999996</v>
      </c>
      <c r="N578">
        <v>0</v>
      </c>
      <c r="O578">
        <v>3.7293700000000001E-3</v>
      </c>
      <c r="P578">
        <v>0.98254450000000004</v>
      </c>
      <c r="Q578">
        <v>0.1853523</v>
      </c>
      <c r="R578">
        <v>-1.5845479999999999E-2</v>
      </c>
      <c r="S578">
        <v>3.0545040000000001</v>
      </c>
      <c r="T578">
        <v>-8.1530809999999995E-3</v>
      </c>
      <c r="U578">
        <v>-1.196289E-2</v>
      </c>
      <c r="V578">
        <v>1.9517079999999999E-2</v>
      </c>
      <c r="W578">
        <v>0.19442419999999999</v>
      </c>
      <c r="X578">
        <v>0.98072340000000002</v>
      </c>
      <c r="Y578">
        <v>7.6458790000000004E-3</v>
      </c>
      <c r="Z578" s="1">
        <v>-2.015894E-5</v>
      </c>
      <c r="AA578">
        <v>0.99997080000000005</v>
      </c>
      <c r="AB578">
        <v>31</v>
      </c>
      <c r="AC578">
        <v>198.8623</v>
      </c>
      <c r="AD578">
        <v>-0.5313869</v>
      </c>
      <c r="AE578">
        <v>-0.78019999999997902</v>
      </c>
      <c r="AF578">
        <v>1.52184650620321</v>
      </c>
      <c r="AG578">
        <v>-0.5313869</v>
      </c>
      <c r="AH578">
        <v>198.856587314866</v>
      </c>
      <c r="AI578">
        <v>90.153101604810402</v>
      </c>
      <c r="AJ578">
        <v>89.561524811334095</v>
      </c>
      <c r="AK578">
        <v>198.86312053103501</v>
      </c>
      <c r="AL578">
        <v>78.788911486741696</v>
      </c>
      <c r="AM578">
        <v>88.859924495637699</v>
      </c>
      <c r="AN578">
        <v>1.00000003663246</v>
      </c>
    </row>
    <row r="579" spans="1:40" x14ac:dyDescent="0.25">
      <c r="A579" t="str">
        <f>"20190312172907773"</f>
        <v>20190312172907773</v>
      </c>
      <c r="B579" t="str">
        <f>"1552382947767987"</f>
        <v>1552382947767987</v>
      </c>
      <c r="C579" t="s">
        <v>40</v>
      </c>
      <c r="D579">
        <v>3.2709969999999999</v>
      </c>
      <c r="E579">
        <v>0.49841960000000002</v>
      </c>
      <c r="F579" t="s">
        <v>44</v>
      </c>
      <c r="G579">
        <v>-158.19499999999999</v>
      </c>
      <c r="H579">
        <v>0.54103469999999998</v>
      </c>
      <c r="I579">
        <v>366.58510000000001</v>
      </c>
      <c r="J579">
        <v>-356.80200000000002</v>
      </c>
      <c r="K579">
        <v>1.1094820000000001</v>
      </c>
      <c r="L579">
        <v>367.3965</v>
      </c>
      <c r="M579">
        <v>0.99995029999999996</v>
      </c>
      <c r="N579">
        <v>0</v>
      </c>
      <c r="O579">
        <v>3.729801E-3</v>
      </c>
      <c r="P579">
        <v>0.98254090000000005</v>
      </c>
      <c r="Q579">
        <v>0.1853563</v>
      </c>
      <c r="R579">
        <v>-1.6016949999999999E-2</v>
      </c>
      <c r="S579">
        <v>3.0547179999999998</v>
      </c>
      <c r="T579">
        <v>-8.7305309999999997E-3</v>
      </c>
      <c r="U579">
        <v>-1.2451169999999999E-2</v>
      </c>
      <c r="V579">
        <v>1.9689000000000002E-2</v>
      </c>
      <c r="W579">
        <v>0.19443779999999999</v>
      </c>
      <c r="X579">
        <v>0.98071719999999896</v>
      </c>
      <c r="Y579">
        <v>7.8058669999999898E-3</v>
      </c>
      <c r="Z579" s="1">
        <v>-2.181505E-5</v>
      </c>
      <c r="AA579">
        <v>0.99996949999999996</v>
      </c>
      <c r="AB579">
        <v>31</v>
      </c>
      <c r="AC579">
        <v>198.607</v>
      </c>
      <c r="AD579">
        <v>-0.56844729999999999</v>
      </c>
      <c r="AE579">
        <v>-0.81139999999999102</v>
      </c>
      <c r="AF579">
        <v>1.5521778921477101</v>
      </c>
      <c r="AG579">
        <v>-0.56844729999999999</v>
      </c>
      <c r="AH579">
        <v>198.60096501786299</v>
      </c>
      <c r="AI579">
        <v>90.163989875623898</v>
      </c>
      <c r="AJ579">
        <v>89.552210476104506</v>
      </c>
      <c r="AK579">
        <v>198.60784399053301</v>
      </c>
      <c r="AL579">
        <v>78.788116354192795</v>
      </c>
      <c r="AM579">
        <v>88.849877335266697</v>
      </c>
      <c r="AN579">
        <v>0.99999997058283896</v>
      </c>
    </row>
    <row r="580" spans="1:40" x14ac:dyDescent="0.25">
      <c r="A580" t="str">
        <f>"20190312172907796"</f>
        <v>20190312172907796</v>
      </c>
      <c r="B580" t="str">
        <f>"1552382947788482"</f>
        <v>1552382947788482</v>
      </c>
      <c r="C580" t="s">
        <v>40</v>
      </c>
      <c r="D580">
        <v>3.225384</v>
      </c>
      <c r="E580">
        <v>0.49096600000000001</v>
      </c>
      <c r="F580" t="s">
        <v>44</v>
      </c>
      <c r="G580">
        <v>-158.19499999999999</v>
      </c>
      <c r="H580">
        <v>0.36328009999999999</v>
      </c>
      <c r="I580">
        <v>366.49790000000002</v>
      </c>
      <c r="J580">
        <v>-356.4907</v>
      </c>
      <c r="K580">
        <v>1.10948</v>
      </c>
      <c r="L580">
        <v>367.39769999999999</v>
      </c>
      <c r="M580">
        <v>0.99995020000000001</v>
      </c>
      <c r="N580">
        <v>0</v>
      </c>
      <c r="O580">
        <v>3.7302199999999998E-3</v>
      </c>
      <c r="P580">
        <v>0.9824503</v>
      </c>
      <c r="Q580">
        <v>0.18582090000000001</v>
      </c>
      <c r="R580">
        <v>-1.6186760000000001E-2</v>
      </c>
      <c r="S580">
        <v>3.055237</v>
      </c>
      <c r="T580">
        <v>-1.147771E-2</v>
      </c>
      <c r="U580">
        <v>-1.382446E-2</v>
      </c>
      <c r="V580">
        <v>1.985897E-2</v>
      </c>
      <c r="W580">
        <v>0.1949139</v>
      </c>
      <c r="X580">
        <v>0.98061929999999997</v>
      </c>
      <c r="Y580">
        <v>8.2550219999999903E-3</v>
      </c>
      <c r="Z580" s="1">
        <v>-2.9519750000000001E-5</v>
      </c>
      <c r="AA580">
        <v>0.99996589999999996</v>
      </c>
      <c r="AB580">
        <v>31</v>
      </c>
      <c r="AC580">
        <v>198.29570000000001</v>
      </c>
      <c r="AD580">
        <v>-0.74619990000000003</v>
      </c>
      <c r="AE580">
        <v>-0.89979999999996996</v>
      </c>
      <c r="AF580">
        <v>1.6394888008745701</v>
      </c>
      <c r="AG580">
        <v>-0.74619990000000003</v>
      </c>
      <c r="AH580">
        <v>198.288155849193</v>
      </c>
      <c r="AI580">
        <v>90.215607642453705</v>
      </c>
      <c r="AJ580">
        <v>89.526277059030207</v>
      </c>
      <c r="AK580">
        <v>198.296337555419</v>
      </c>
      <c r="AL580">
        <v>78.760306190780398</v>
      </c>
      <c r="AM580">
        <v>88.839835546261199</v>
      </c>
      <c r="AN580">
        <v>1.00000000931758</v>
      </c>
    </row>
    <row r="581" spans="1:40" x14ac:dyDescent="0.25">
      <c r="A581" t="str">
        <f>"20190312172907807"</f>
        <v>20190312172907807</v>
      </c>
      <c r="B581" t="str">
        <f>"1552382947798243"</f>
        <v>1552382947798243</v>
      </c>
      <c r="C581" t="s">
        <v>40</v>
      </c>
      <c r="D581">
        <v>3.2292740000000002</v>
      </c>
      <c r="E581">
        <v>0.49111100000000002</v>
      </c>
      <c r="F581" t="s">
        <v>43</v>
      </c>
      <c r="G581">
        <v>-314.91030000000001</v>
      </c>
      <c r="H581">
        <v>-0.05</v>
      </c>
      <c r="I581">
        <v>368.04239999999999</v>
      </c>
      <c r="J581">
        <v>-356.33640000000003</v>
      </c>
      <c r="K581">
        <v>1.1094820000000001</v>
      </c>
      <c r="L581">
        <v>367.39830000000001</v>
      </c>
      <c r="M581">
        <v>0.99995020000000001</v>
      </c>
      <c r="N581">
        <v>0</v>
      </c>
      <c r="O581">
        <v>3.7307270000000001E-3</v>
      </c>
      <c r="P581">
        <v>0.9824891</v>
      </c>
      <c r="Q581">
        <v>0.18562020000000001</v>
      </c>
      <c r="R581">
        <v>-1.613819E-2</v>
      </c>
      <c r="S581">
        <v>3.070557</v>
      </c>
      <c r="T581">
        <v>-8.5623379999999999E-2</v>
      </c>
      <c r="U581">
        <v>4.7607419999999998E-2</v>
      </c>
      <c r="V581">
        <v>1.981101E-2</v>
      </c>
      <c r="W581">
        <v>0.19471939999999999</v>
      </c>
      <c r="X581">
        <v>0.9806589</v>
      </c>
      <c r="Y581">
        <v>-1.176896E-2</v>
      </c>
      <c r="Z581" s="1">
        <v>6.0039220000000001E-5</v>
      </c>
      <c r="AA581">
        <v>0.99993069999999895</v>
      </c>
      <c r="AB581">
        <v>31</v>
      </c>
      <c r="AC581">
        <v>41.426099999999998</v>
      </c>
      <c r="AD581">
        <v>-1.1594819999999999</v>
      </c>
      <c r="AE581">
        <v>0.64409999999998002</v>
      </c>
      <c r="AF581">
        <v>-0.48915631693803402</v>
      </c>
      <c r="AG581">
        <v>-1.1594819999999999</v>
      </c>
      <c r="AH581">
        <v>41.3957933928165</v>
      </c>
      <c r="AI581">
        <v>91.604303735518201</v>
      </c>
      <c r="AJ581">
        <v>90.677008116802497</v>
      </c>
      <c r="AK581">
        <v>41.414917397376001</v>
      </c>
      <c r="AL581">
        <v>78.771667802438998</v>
      </c>
      <c r="AM581">
        <v>88.842683337512995</v>
      </c>
      <c r="AN581">
        <v>0.99999999950139495</v>
      </c>
    </row>
    <row r="582" spans="1:40" x14ac:dyDescent="0.25">
      <c r="A582" t="str">
        <f>"20190312172907817"</f>
        <v>20190312172907817</v>
      </c>
      <c r="B582" t="str">
        <f>"1552382947808004"</f>
        <v>1552382947808004</v>
      </c>
      <c r="C582" t="s">
        <v>40</v>
      </c>
      <c r="D582">
        <v>3.2040769999999998</v>
      </c>
      <c r="E582">
        <v>0.49098269999999999</v>
      </c>
      <c r="F582" t="s">
        <v>43</v>
      </c>
      <c r="G582">
        <v>-314.2826</v>
      </c>
      <c r="H582">
        <v>-0.05</v>
      </c>
      <c r="I582">
        <v>368.03570000000002</v>
      </c>
      <c r="J582">
        <v>-356.17360000000002</v>
      </c>
      <c r="K582">
        <v>1.1094790000000001</v>
      </c>
      <c r="L582">
        <v>367.39890000000003</v>
      </c>
      <c r="M582">
        <v>0.99995000000000001</v>
      </c>
      <c r="N582">
        <v>0</v>
      </c>
      <c r="O582">
        <v>3.7310529999999998E-3</v>
      </c>
      <c r="P582">
        <v>0.98244390000000004</v>
      </c>
      <c r="Q582">
        <v>0.18586829999999999</v>
      </c>
      <c r="R582">
        <v>-1.6031589999999998E-2</v>
      </c>
      <c r="S582">
        <v>3.0702210000000001</v>
      </c>
      <c r="T582">
        <v>-8.4650279999999994E-2</v>
      </c>
      <c r="U582">
        <v>4.653931E-2</v>
      </c>
      <c r="V582">
        <v>1.9704409999999999E-2</v>
      </c>
      <c r="W582">
        <v>0.1949738</v>
      </c>
      <c r="X582">
        <v>0.98061050000000005</v>
      </c>
      <c r="Y582">
        <v>-1.1422740000000001E-2</v>
      </c>
      <c r="Z582" s="1">
        <v>5.4583059999999898E-5</v>
      </c>
      <c r="AA582">
        <v>0.99993469999999995</v>
      </c>
      <c r="AB582">
        <v>32</v>
      </c>
      <c r="AC582">
        <v>41.890999999999998</v>
      </c>
      <c r="AD582">
        <v>-1.1594789999999999</v>
      </c>
      <c r="AE582">
        <v>0.63679999999999304</v>
      </c>
      <c r="AF582">
        <v>-0.48012356206956902</v>
      </c>
      <c r="AG582">
        <v>-1.1594789999999999</v>
      </c>
      <c r="AH582">
        <v>41.8610221977886</v>
      </c>
      <c r="AI582">
        <v>91.586485530956793</v>
      </c>
      <c r="AJ582">
        <v>90.657123169544604</v>
      </c>
      <c r="AK582">
        <v>41.879829149962497</v>
      </c>
      <c r="AL582">
        <v>78.756806929482806</v>
      </c>
      <c r="AM582">
        <v>88.848852201429096</v>
      </c>
      <c r="AN582">
        <v>0.99999999958506902</v>
      </c>
    </row>
    <row r="583" spans="1:40" x14ac:dyDescent="0.25">
      <c r="A583" t="str">
        <f>"20190312172907828"</f>
        <v>20190312172907828</v>
      </c>
      <c r="B583" t="str">
        <f>"1552382947817763"</f>
        <v>1552382947817763</v>
      </c>
      <c r="C583" t="s">
        <v>40</v>
      </c>
      <c r="D583">
        <v>3.2309019999999999</v>
      </c>
      <c r="E583">
        <v>0.4908824</v>
      </c>
      <c r="F583" t="s">
        <v>43</v>
      </c>
      <c r="G583">
        <v>-312.05590000000001</v>
      </c>
      <c r="H583">
        <v>-0.05</v>
      </c>
      <c r="I583">
        <v>368.084</v>
      </c>
      <c r="J583">
        <v>-356.02330000000001</v>
      </c>
      <c r="K583">
        <v>1.1094809999999999</v>
      </c>
      <c r="L583">
        <v>367.39949999999999</v>
      </c>
      <c r="M583">
        <v>0.99995009999999995</v>
      </c>
      <c r="N583">
        <v>0</v>
      </c>
      <c r="O583">
        <v>3.7311430000000001E-3</v>
      </c>
      <c r="P583">
        <v>0.98250749999999998</v>
      </c>
      <c r="Q583">
        <v>0.18553790000000001</v>
      </c>
      <c r="R583">
        <v>-1.5972219999999999E-2</v>
      </c>
      <c r="S583">
        <v>3.0696720000000002</v>
      </c>
      <c r="T583">
        <v>-8.0675479999999994E-2</v>
      </c>
      <c r="U583">
        <v>4.7668460000000003E-2</v>
      </c>
      <c r="V583">
        <v>1.964542E-2</v>
      </c>
      <c r="W583">
        <v>0.19465009999999999</v>
      </c>
      <c r="X583">
        <v>0.98067599999999999</v>
      </c>
      <c r="Y583">
        <v>-1.179323E-2</v>
      </c>
      <c r="Z583" s="1">
        <v>5.6895219999999998E-5</v>
      </c>
      <c r="AA583">
        <v>0.9999304</v>
      </c>
      <c r="AB583">
        <v>32</v>
      </c>
      <c r="AC583">
        <v>43.967399999999998</v>
      </c>
      <c r="AD583">
        <v>-1.159481</v>
      </c>
      <c r="AE583">
        <v>0.68450000000001399</v>
      </c>
      <c r="AF583">
        <v>-0.52007793346210596</v>
      </c>
      <c r="AG583">
        <v>-1.159481</v>
      </c>
      <c r="AH583">
        <v>43.939097978645798</v>
      </c>
      <c r="AI583">
        <v>91.511485376974306</v>
      </c>
      <c r="AJ583">
        <v>90.678140438132303</v>
      </c>
      <c r="AK583">
        <v>43.957470450689797</v>
      </c>
      <c r="AL583">
        <v>78.775715980632896</v>
      </c>
      <c r="AM583">
        <v>88.852374157758405</v>
      </c>
      <c r="AN583">
        <v>1.0000000104664899</v>
      </c>
    </row>
    <row r="584" spans="1:40" x14ac:dyDescent="0.25">
      <c r="A584" t="str">
        <f>"20190312172907839"</f>
        <v>20190312172907839</v>
      </c>
      <c r="B584" t="str">
        <f>"1552382947828499"</f>
        <v>1552382947828499</v>
      </c>
      <c r="C584" t="s">
        <v>40</v>
      </c>
      <c r="D584">
        <v>3.2201650000000002</v>
      </c>
      <c r="E584">
        <v>0.49076209999999998</v>
      </c>
      <c r="F584" t="s">
        <v>43</v>
      </c>
      <c r="G584">
        <v>-310.58179999999999</v>
      </c>
      <c r="H584">
        <v>-0.05</v>
      </c>
      <c r="I584">
        <v>368.11660000000001</v>
      </c>
      <c r="J584">
        <v>-355.87130000000002</v>
      </c>
      <c r="K584">
        <v>1.109477</v>
      </c>
      <c r="L584">
        <v>367.4</v>
      </c>
      <c r="M584">
        <v>0.99994989999999995</v>
      </c>
      <c r="N584">
        <v>0</v>
      </c>
      <c r="O584">
        <v>3.7314700000000002E-3</v>
      </c>
      <c r="P584">
        <v>0.98247949999999995</v>
      </c>
      <c r="Q584">
        <v>0.1856778</v>
      </c>
      <c r="R584">
        <v>-1.6063689999999999E-2</v>
      </c>
      <c r="S584">
        <v>3.069</v>
      </c>
      <c r="T584">
        <v>-7.8308219999999998E-2</v>
      </c>
      <c r="U584">
        <v>4.8431399999999999E-2</v>
      </c>
      <c r="V584">
        <v>1.973714E-2</v>
      </c>
      <c r="W584">
        <v>0.1947961</v>
      </c>
      <c r="X584">
        <v>0.98064519999999999</v>
      </c>
      <c r="Y584">
        <v>-1.2044890000000001E-2</v>
      </c>
      <c r="Z584" s="1">
        <v>5.8439890000000002E-5</v>
      </c>
      <c r="AA584">
        <v>0.99992749999999997</v>
      </c>
      <c r="AB584">
        <v>32</v>
      </c>
      <c r="AC584">
        <v>45.289499999999997</v>
      </c>
      <c r="AD584">
        <v>-1.1594770000000001</v>
      </c>
      <c r="AE584">
        <v>0.71660000000002799</v>
      </c>
      <c r="AF584">
        <v>-0.54723272425492098</v>
      </c>
      <c r="AG584">
        <v>-1.1594770000000001</v>
      </c>
      <c r="AH584">
        <v>45.262199778975997</v>
      </c>
      <c r="AI584">
        <v>91.467311822471601</v>
      </c>
      <c r="AJ584">
        <v>90.6926883375003</v>
      </c>
      <c r="AK584">
        <v>45.280355336502801</v>
      </c>
      <c r="AL584">
        <v>78.767187904090306</v>
      </c>
      <c r="AM584">
        <v>88.846981393619103</v>
      </c>
      <c r="AN584">
        <v>1.00000004177681</v>
      </c>
    </row>
    <row r="585" spans="1:40" x14ac:dyDescent="0.25">
      <c r="A585" t="str">
        <f>"20190312172907850"</f>
        <v>20190312172907850</v>
      </c>
      <c r="B585" t="str">
        <f>"1552382947847773"</f>
        <v>1552382947847773</v>
      </c>
      <c r="C585" t="s">
        <v>40</v>
      </c>
      <c r="D585">
        <v>3.1704859999999999</v>
      </c>
      <c r="E585">
        <v>0.49053469999999999</v>
      </c>
      <c r="F585" t="s">
        <v>43</v>
      </c>
      <c r="G585">
        <v>-309.41000000000003</v>
      </c>
      <c r="H585">
        <v>-0.05</v>
      </c>
      <c r="I585">
        <v>368.15039999999999</v>
      </c>
      <c r="J585">
        <v>-355.71570000000003</v>
      </c>
      <c r="K585">
        <v>1.1094790000000001</v>
      </c>
      <c r="L585">
        <v>367.4006</v>
      </c>
      <c r="M585">
        <v>0.99994989999999995</v>
      </c>
      <c r="N585">
        <v>0</v>
      </c>
      <c r="O585">
        <v>3.7316189999999998E-3</v>
      </c>
      <c r="P585">
        <v>0.98248120000000005</v>
      </c>
      <c r="Q585">
        <v>0.1856717</v>
      </c>
      <c r="R585">
        <v>-1.6026640000000002E-2</v>
      </c>
      <c r="S585">
        <v>3.0688170000000001</v>
      </c>
      <c r="T585">
        <v>-7.6584699999999895E-2</v>
      </c>
      <c r="U585">
        <v>4.9560550000000002E-2</v>
      </c>
      <c r="V585">
        <v>1.9700200000000001E-2</v>
      </c>
      <c r="W585">
        <v>0.194797</v>
      </c>
      <c r="X585">
        <v>0.98064569999999995</v>
      </c>
      <c r="Y585">
        <v>-1.2413510000000001E-2</v>
      </c>
      <c r="Z585" s="1">
        <v>6.1752169999999999E-5</v>
      </c>
      <c r="AA585">
        <v>0.99992289999999995</v>
      </c>
      <c r="AB585">
        <v>32</v>
      </c>
      <c r="AC585">
        <v>46.305700000000002</v>
      </c>
      <c r="AD585">
        <v>-1.1594789999999999</v>
      </c>
      <c r="AE585">
        <v>0.74979999999999303</v>
      </c>
      <c r="AF585">
        <v>-0.57663065114230205</v>
      </c>
      <c r="AG585">
        <v>-1.1594789999999999</v>
      </c>
      <c r="AH585">
        <v>46.279166938089702</v>
      </c>
      <c r="AI585">
        <v>91.435077804257602</v>
      </c>
      <c r="AJ585">
        <v>90.713858854410802</v>
      </c>
      <c r="AK585">
        <v>46.297280556668298</v>
      </c>
      <c r="AL585">
        <v>78.767134616539906</v>
      </c>
      <c r="AM585">
        <v>88.849139387109901</v>
      </c>
      <c r="AN585">
        <v>0.99999997900876403</v>
      </c>
    </row>
    <row r="586" spans="1:40" x14ac:dyDescent="0.25">
      <c r="A586" t="str">
        <f>"20190312172907860"</f>
        <v>20190312172907860</v>
      </c>
      <c r="B586" t="str">
        <f>"1552382947858509"</f>
        <v>1552382947858509</v>
      </c>
      <c r="C586" t="s">
        <v>40</v>
      </c>
      <c r="D586">
        <v>3.191935</v>
      </c>
      <c r="E586">
        <v>0.49053530000000001</v>
      </c>
      <c r="F586" t="s">
        <v>43</v>
      </c>
      <c r="G586">
        <v>-309.1823</v>
      </c>
      <c r="H586">
        <v>-0.05</v>
      </c>
      <c r="I586">
        <v>368.17849999999999</v>
      </c>
      <c r="J586">
        <v>-355.5634</v>
      </c>
      <c r="K586">
        <v>1.1094790000000001</v>
      </c>
      <c r="L586">
        <v>367.40120000000002</v>
      </c>
      <c r="M586">
        <v>0.9999498</v>
      </c>
      <c r="N586">
        <v>0</v>
      </c>
      <c r="O586">
        <v>3.7315899999999999E-3</v>
      </c>
      <c r="P586">
        <v>0.98247669999999998</v>
      </c>
      <c r="Q586">
        <v>0.18569069999999999</v>
      </c>
      <c r="R586">
        <v>-1.608329E-2</v>
      </c>
      <c r="S586">
        <v>3.0687869999999999</v>
      </c>
      <c r="T586">
        <v>-7.6465370000000005E-2</v>
      </c>
      <c r="U586">
        <v>5.130005E-2</v>
      </c>
      <c r="V586">
        <v>1.9756650000000001E-2</v>
      </c>
      <c r="W586">
        <v>0.19482179999999999</v>
      </c>
      <c r="X586">
        <v>0.98063959999999994</v>
      </c>
      <c r="Y586">
        <v>-1.2980169999999999E-2</v>
      </c>
      <c r="Z586" s="1">
        <v>6.8715209999999996E-5</v>
      </c>
      <c r="AA586">
        <v>0.99991580000000002</v>
      </c>
      <c r="AB586">
        <v>32</v>
      </c>
      <c r="AC586">
        <v>46.381100000000004</v>
      </c>
      <c r="AD586">
        <v>-1.1594789999999999</v>
      </c>
      <c r="AE586">
        <v>0.77729999999996802</v>
      </c>
      <c r="AF586">
        <v>-0.60383459598199996</v>
      </c>
      <c r="AG586">
        <v>-1.1594789999999999</v>
      </c>
      <c r="AH586">
        <v>46.354716598162199</v>
      </c>
      <c r="AI586">
        <v>91.432729529211997</v>
      </c>
      <c r="AJ586">
        <v>90.746314932264696</v>
      </c>
      <c r="AK586">
        <v>46.373146956689098</v>
      </c>
      <c r="AL586">
        <v>78.765685505059594</v>
      </c>
      <c r="AM586">
        <v>88.845835363282106</v>
      </c>
      <c r="AN586">
        <v>0.99999994203130904</v>
      </c>
    </row>
    <row r="587" spans="1:40" x14ac:dyDescent="0.25">
      <c r="A587" t="str">
        <f>"20190312172907873"</f>
        <v>20190312172907873</v>
      </c>
      <c r="B587" t="str">
        <f>"1552382947868269"</f>
        <v>1552382947868269</v>
      </c>
      <c r="C587" t="s">
        <v>40</v>
      </c>
      <c r="D587">
        <v>3.1562790000000001</v>
      </c>
      <c r="E587">
        <v>0.49070279999999999</v>
      </c>
      <c r="F587" t="s">
        <v>43</v>
      </c>
      <c r="G587">
        <v>-308.76100000000002</v>
      </c>
      <c r="H587">
        <v>-0.05</v>
      </c>
      <c r="I587">
        <v>368.18029999999999</v>
      </c>
      <c r="J587">
        <v>-355.40300000000002</v>
      </c>
      <c r="K587">
        <v>1.1094790000000001</v>
      </c>
      <c r="L587">
        <v>367.40179999999998</v>
      </c>
      <c r="M587">
        <v>0.99994970000000005</v>
      </c>
      <c r="N587">
        <v>0</v>
      </c>
      <c r="O587">
        <v>3.7320330000000001E-3</v>
      </c>
      <c r="P587">
        <v>0.98250409999999999</v>
      </c>
      <c r="Q587">
        <v>0.18555060000000001</v>
      </c>
      <c r="R587">
        <v>-1.6017389999999999E-2</v>
      </c>
      <c r="S587">
        <v>3.0687259999999998</v>
      </c>
      <c r="T587">
        <v>-7.6024410000000001E-2</v>
      </c>
      <c r="U587">
        <v>5.1086430000000002E-2</v>
      </c>
      <c r="V587">
        <v>1.9691440000000001E-2</v>
      </c>
      <c r="W587">
        <v>0.194689</v>
      </c>
      <c r="X587">
        <v>0.98066739999999997</v>
      </c>
      <c r="Y587">
        <v>-1.291053E-2</v>
      </c>
      <c r="Z587" s="1">
        <v>6.7446980000000005E-5</v>
      </c>
      <c r="AA587">
        <v>0.99991669999999999</v>
      </c>
      <c r="AB587">
        <v>32</v>
      </c>
      <c r="AC587">
        <v>46.642000000000003</v>
      </c>
      <c r="AD587">
        <v>-1.1594789999999999</v>
      </c>
      <c r="AE587">
        <v>0.77850000000000796</v>
      </c>
      <c r="AF587">
        <v>-0.60404437026536695</v>
      </c>
      <c r="AG587">
        <v>-1.1594789999999999</v>
      </c>
      <c r="AH587">
        <v>46.615781267774302</v>
      </c>
      <c r="AI587">
        <v>91.424710325720397</v>
      </c>
      <c r="AJ587">
        <v>90.742393568309197</v>
      </c>
      <c r="AK587">
        <v>46.634111167231097</v>
      </c>
      <c r="AL587">
        <v>78.773444204140304</v>
      </c>
      <c r="AM587">
        <v>88.849676445456794</v>
      </c>
      <c r="AN587">
        <v>1.00000005447651</v>
      </c>
    </row>
    <row r="588" spans="1:40" x14ac:dyDescent="0.25">
      <c r="A588" t="str">
        <f>"20190312172907883"</f>
        <v>20190312172907883</v>
      </c>
      <c r="B588" t="str">
        <f>"1552382947878028"</f>
        <v>1552382947878028</v>
      </c>
      <c r="C588" t="s">
        <v>40</v>
      </c>
      <c r="D588">
        <v>3.1630929999999999</v>
      </c>
      <c r="E588">
        <v>0.49071599999999999</v>
      </c>
      <c r="F588" t="s">
        <v>43</v>
      </c>
      <c r="G588">
        <v>-309.48989999999998</v>
      </c>
      <c r="H588">
        <v>-0.05</v>
      </c>
      <c r="I588">
        <v>368.15010000000001</v>
      </c>
      <c r="J588">
        <v>-355.24099999999999</v>
      </c>
      <c r="K588">
        <v>1.1094790000000001</v>
      </c>
      <c r="L588">
        <v>367.4024</v>
      </c>
      <c r="M588">
        <v>0.9999498</v>
      </c>
      <c r="N588">
        <v>0</v>
      </c>
      <c r="O588">
        <v>3.732534E-3</v>
      </c>
      <c r="P588">
        <v>0.98250899999999997</v>
      </c>
      <c r="Q588">
        <v>0.18551960000000001</v>
      </c>
      <c r="R588">
        <v>-1.60901E-2</v>
      </c>
      <c r="S588">
        <v>3.0688170000000001</v>
      </c>
      <c r="T588">
        <v>-7.7499269999999995E-2</v>
      </c>
      <c r="U588">
        <v>5.0018310000000003E-2</v>
      </c>
      <c r="V588">
        <v>1.976462E-2</v>
      </c>
      <c r="W588">
        <v>0.19466510000000001</v>
      </c>
      <c r="X588">
        <v>0.98067059999999995</v>
      </c>
      <c r="Y588">
        <v>-1.2561599999999999E-2</v>
      </c>
      <c r="Z588" s="1">
        <v>6.4335610000000002E-5</v>
      </c>
      <c r="AA588">
        <v>0.99992110000000001</v>
      </c>
      <c r="AB588">
        <v>32</v>
      </c>
      <c r="AC588">
        <v>45.751100000000001</v>
      </c>
      <c r="AD588">
        <v>-1.1594789999999999</v>
      </c>
      <c r="AE588">
        <v>0.74770000000000802</v>
      </c>
      <c r="AF588">
        <v>-0.57654966560471899</v>
      </c>
      <c r="AG588">
        <v>-1.1594789999999999</v>
      </c>
      <c r="AH588">
        <v>45.724212419574599</v>
      </c>
      <c r="AI588">
        <v>91.452485199715994</v>
      </c>
      <c r="AJ588">
        <v>90.722420577812798</v>
      </c>
      <c r="AK588">
        <v>45.742544774626701</v>
      </c>
      <c r="AL588">
        <v>78.774839477135401</v>
      </c>
      <c r="AM588">
        <v>88.845406378666297</v>
      </c>
      <c r="AN588">
        <v>0.99999998353305597</v>
      </c>
    </row>
    <row r="589" spans="1:40" x14ac:dyDescent="0.25">
      <c r="A589" t="str">
        <f>"20190312172907895"</f>
        <v>20190312172907895</v>
      </c>
      <c r="B589" t="str">
        <f>"1552382947887789"</f>
        <v>1552382947887789</v>
      </c>
      <c r="C589" t="s">
        <v>40</v>
      </c>
      <c r="D589">
        <v>3.1758579999999998</v>
      </c>
      <c r="E589">
        <v>0.49083009999999999</v>
      </c>
      <c r="F589" t="s">
        <v>43</v>
      </c>
      <c r="G589">
        <v>-308.90679999999998</v>
      </c>
      <c r="H589">
        <v>-0.05</v>
      </c>
      <c r="I589">
        <v>368.15480000000002</v>
      </c>
      <c r="J589">
        <v>-355.07819999999998</v>
      </c>
      <c r="K589">
        <v>1.109478</v>
      </c>
      <c r="L589">
        <v>367.40300000000002</v>
      </c>
      <c r="M589">
        <v>0.99994950000000005</v>
      </c>
      <c r="N589">
        <v>0</v>
      </c>
      <c r="O589">
        <v>3.7326809999999998E-3</v>
      </c>
      <c r="P589">
        <v>0.98249450000000005</v>
      </c>
      <c r="Q589">
        <v>0.18557860000000001</v>
      </c>
      <c r="R589">
        <v>-1.6284360000000001E-2</v>
      </c>
      <c r="S589">
        <v>3.0687259999999998</v>
      </c>
      <c r="T589">
        <v>-7.6792600000000003E-2</v>
      </c>
      <c r="U589">
        <v>4.9835209999999998E-2</v>
      </c>
      <c r="V589">
        <v>1.9958900000000002E-2</v>
      </c>
      <c r="W589">
        <v>0.19473109999999999</v>
      </c>
      <c r="X589">
        <v>0.98065360000000001</v>
      </c>
      <c r="Y589">
        <v>-1.2502360000000001E-2</v>
      </c>
      <c r="Z589" s="1">
        <v>6.3006319999999995E-5</v>
      </c>
      <c r="AA589">
        <v>0.99992190000000003</v>
      </c>
      <c r="AB589">
        <v>32</v>
      </c>
      <c r="AC589">
        <v>46.171399999999998</v>
      </c>
      <c r="AD589">
        <v>-1.159478</v>
      </c>
      <c r="AE589">
        <v>0.75180000000000202</v>
      </c>
      <c r="AF589">
        <v>-0.57907906018879096</v>
      </c>
      <c r="AG589">
        <v>-1.159478</v>
      </c>
      <c r="AH589">
        <v>46.1447918061059</v>
      </c>
      <c r="AI589">
        <v>91.439252194464899</v>
      </c>
      <c r="AJ589">
        <v>90.718977014184105</v>
      </c>
      <c r="AK589">
        <v>46.1629887747673</v>
      </c>
      <c r="AL589">
        <v>78.770984604854604</v>
      </c>
      <c r="AM589">
        <v>88.834039997654799</v>
      </c>
      <c r="AN589">
        <v>1.00000002109468</v>
      </c>
    </row>
    <row r="590" spans="1:40" x14ac:dyDescent="0.25">
      <c r="A590" t="str">
        <f>"20190312172907906"</f>
        <v>20190312172907906</v>
      </c>
      <c r="B590" t="str">
        <f>"1552382947898525"</f>
        <v>1552382947898525</v>
      </c>
      <c r="C590" t="s">
        <v>40</v>
      </c>
      <c r="D590">
        <v>3.1493440000000001</v>
      </c>
      <c r="E590">
        <v>0.4909521</v>
      </c>
      <c r="F590" t="s">
        <v>43</v>
      </c>
      <c r="G590">
        <v>-308.36059999999998</v>
      </c>
      <c r="H590">
        <v>-0.05</v>
      </c>
      <c r="I590">
        <v>368.13749999999999</v>
      </c>
      <c r="J590">
        <v>-354.92399999999998</v>
      </c>
      <c r="K590">
        <v>1.109475</v>
      </c>
      <c r="L590">
        <v>367.40359999999998</v>
      </c>
      <c r="M590">
        <v>0.99994950000000005</v>
      </c>
      <c r="N590">
        <v>0</v>
      </c>
      <c r="O590">
        <v>3.7326490000000002E-3</v>
      </c>
      <c r="P590">
        <v>0.98247949999999995</v>
      </c>
      <c r="Q590">
        <v>0.18565100000000001</v>
      </c>
      <c r="R590">
        <v>-1.637626E-2</v>
      </c>
      <c r="S590">
        <v>3.0686339999999999</v>
      </c>
      <c r="T590">
        <v>-7.6159950000000004E-2</v>
      </c>
      <c r="U590">
        <v>4.8248289999999999E-2</v>
      </c>
      <c r="V590">
        <v>2.005061E-2</v>
      </c>
      <c r="W590">
        <v>0.1948096</v>
      </c>
      <c r="X590">
        <v>0.98063610000000001</v>
      </c>
      <c r="Y590">
        <v>-1.1986109999999999E-2</v>
      </c>
      <c r="Z590" s="1">
        <v>5.6085339999999999E-5</v>
      </c>
      <c r="AA590">
        <v>0.99992820000000004</v>
      </c>
      <c r="AB590">
        <v>32</v>
      </c>
      <c r="AC590">
        <v>46.563400000000001</v>
      </c>
      <c r="AD590">
        <v>-1.159475</v>
      </c>
      <c r="AE590">
        <v>0.73390000000000499</v>
      </c>
      <c r="AF590">
        <v>-0.559735508706657</v>
      </c>
      <c r="AG590">
        <v>-1.159475</v>
      </c>
      <c r="AH590">
        <v>46.536966580174898</v>
      </c>
      <c r="AI590">
        <v>91.427133861602599</v>
      </c>
      <c r="AJ590">
        <v>90.689106709558104</v>
      </c>
      <c r="AK590">
        <v>46.554773596266699</v>
      </c>
      <c r="AL590">
        <v>78.766398645001701</v>
      </c>
      <c r="AM590">
        <v>88.828663070568496</v>
      </c>
      <c r="AN590">
        <v>0.99999998391836997</v>
      </c>
    </row>
    <row r="591" spans="1:40" x14ac:dyDescent="0.25">
      <c r="A591" t="str">
        <f>"20190312172907917"</f>
        <v>20190312172907917</v>
      </c>
      <c r="B591" t="str">
        <f>"1552382947908285"</f>
        <v>1552382947908285</v>
      </c>
      <c r="C591" t="s">
        <v>40</v>
      </c>
      <c r="D591">
        <v>3.1725729999999999</v>
      </c>
      <c r="E591">
        <v>0.4911471</v>
      </c>
      <c r="F591" t="s">
        <v>43</v>
      </c>
      <c r="G591">
        <v>-307.56560000000002</v>
      </c>
      <c r="H591">
        <v>-0.05</v>
      </c>
      <c r="I591">
        <v>368.12939999999998</v>
      </c>
      <c r="J591">
        <v>-354.76580000000001</v>
      </c>
      <c r="K591">
        <v>1.1094729999999999</v>
      </c>
      <c r="L591">
        <v>367.4042</v>
      </c>
      <c r="M591">
        <v>0.99994939999999999</v>
      </c>
      <c r="N591">
        <v>0</v>
      </c>
      <c r="O591">
        <v>3.7329139999999999E-3</v>
      </c>
      <c r="P591">
        <v>0.98246630000000001</v>
      </c>
      <c r="Q591">
        <v>0.18571009999999999</v>
      </c>
      <c r="R591">
        <v>-1.648471E-2</v>
      </c>
      <c r="S591">
        <v>3.0684809999999998</v>
      </c>
      <c r="T591">
        <v>-7.5125579999999997E-2</v>
      </c>
      <c r="U591">
        <v>4.7027590000000001E-2</v>
      </c>
      <c r="V591">
        <v>2.0159449999999999E-2</v>
      </c>
      <c r="W591">
        <v>0.19487599999999999</v>
      </c>
      <c r="X591">
        <v>0.98062070000000001</v>
      </c>
      <c r="Y591">
        <v>-1.158912E-2</v>
      </c>
      <c r="Z591" s="1">
        <v>5.0461499999999998E-5</v>
      </c>
      <c r="AA591">
        <v>0.99993279999999995</v>
      </c>
      <c r="AB591">
        <v>32</v>
      </c>
      <c r="AC591">
        <v>47.200200000000002</v>
      </c>
      <c r="AD591">
        <v>-1.159473</v>
      </c>
      <c r="AE591">
        <v>0.72519999999997198</v>
      </c>
      <c r="AF591">
        <v>-0.54866196528716005</v>
      </c>
      <c r="AG591">
        <v>-1.159473</v>
      </c>
      <c r="AH591">
        <v>47.174118339118998</v>
      </c>
      <c r="AI591">
        <v>91.407870438132505</v>
      </c>
      <c r="AJ591">
        <v>90.666352626399402</v>
      </c>
      <c r="AK591">
        <v>47.191554844729197</v>
      </c>
      <c r="AL591">
        <v>78.762520140913097</v>
      </c>
      <c r="AM591">
        <v>88.822288040967905</v>
      </c>
      <c r="AN591">
        <v>1.00000000803439</v>
      </c>
    </row>
    <row r="592" spans="1:40" x14ac:dyDescent="0.25">
      <c r="A592" t="str">
        <f>"20190312172907928"</f>
        <v>20190312172907928</v>
      </c>
      <c r="B592" t="str">
        <f>"1552382947918044"</f>
        <v>1552382947918044</v>
      </c>
      <c r="C592" t="s">
        <v>40</v>
      </c>
      <c r="D592">
        <v>3.1200899999999998</v>
      </c>
      <c r="E592">
        <v>0.49134470000000002</v>
      </c>
      <c r="F592" t="s">
        <v>43</v>
      </c>
      <c r="G592">
        <v>-306.91230000000002</v>
      </c>
      <c r="H592">
        <v>-0.05</v>
      </c>
      <c r="I592">
        <v>368.10379999999998</v>
      </c>
      <c r="J592">
        <v>-354.60980000000001</v>
      </c>
      <c r="K592">
        <v>1.1094740000000001</v>
      </c>
      <c r="L592">
        <v>367.40480000000002</v>
      </c>
      <c r="M592">
        <v>0.99994939999999999</v>
      </c>
      <c r="N592">
        <v>0</v>
      </c>
      <c r="O592">
        <v>3.7332379999999998E-3</v>
      </c>
      <c r="P592">
        <v>0.98245970000000005</v>
      </c>
      <c r="Q592">
        <v>0.1857461</v>
      </c>
      <c r="R592">
        <v>-1.647728E-2</v>
      </c>
      <c r="S592">
        <v>3.0683590000000001</v>
      </c>
      <c r="T592">
        <v>-7.4345229999999998E-2</v>
      </c>
      <c r="U592">
        <v>4.4860839999999999E-2</v>
      </c>
      <c r="V592">
        <v>2.015223E-2</v>
      </c>
      <c r="W592">
        <v>0.1949186</v>
      </c>
      <c r="X592">
        <v>0.98061240000000005</v>
      </c>
      <c r="Y592">
        <v>-1.08837E-2</v>
      </c>
      <c r="Z592" s="1">
        <v>4.1387600000000003E-5</v>
      </c>
      <c r="AA592">
        <v>0.99994079999999996</v>
      </c>
      <c r="AB592">
        <v>32</v>
      </c>
      <c r="AC592">
        <v>47.697499999999899</v>
      </c>
      <c r="AD592">
        <v>-1.1594739999999999</v>
      </c>
      <c r="AE592">
        <v>0.69899999999995499</v>
      </c>
      <c r="AF592">
        <v>-0.52061366302049294</v>
      </c>
      <c r="AG592">
        <v>-1.1594739999999999</v>
      </c>
      <c r="AH592">
        <v>47.6716130379262</v>
      </c>
      <c r="AI592">
        <v>91.393196252763204</v>
      </c>
      <c r="AJ592">
        <v>90.625692691850702</v>
      </c>
      <c r="AK592">
        <v>47.688553219620502</v>
      </c>
      <c r="AL592">
        <v>78.760031824746093</v>
      </c>
      <c r="AM592">
        <v>88.822699751625294</v>
      </c>
      <c r="AN592">
        <v>1.00000002601684</v>
      </c>
    </row>
    <row r="593" spans="1:40" x14ac:dyDescent="0.25">
      <c r="A593" t="str">
        <f>"20190312172907940"</f>
        <v>20190312172907940</v>
      </c>
      <c r="B593" t="str">
        <f>"1552382947927806"</f>
        <v>1552382947927806</v>
      </c>
      <c r="C593" t="s">
        <v>40</v>
      </c>
      <c r="D593">
        <v>3.1526749999999999</v>
      </c>
      <c r="E593">
        <v>0.49150070000000001</v>
      </c>
      <c r="F593" t="s">
        <v>43</v>
      </c>
      <c r="G593">
        <v>-306.8329</v>
      </c>
      <c r="H593">
        <v>-0.05</v>
      </c>
      <c r="I593">
        <v>368.08089999999999</v>
      </c>
      <c r="J593">
        <v>-354.4452</v>
      </c>
      <c r="K593">
        <v>1.109477</v>
      </c>
      <c r="L593">
        <v>367.40539999999999</v>
      </c>
      <c r="M593">
        <v>0.99994930000000004</v>
      </c>
      <c r="N593">
        <v>0</v>
      </c>
      <c r="O593">
        <v>3.7333819999999999E-3</v>
      </c>
      <c r="P593">
        <v>0.98248420000000003</v>
      </c>
      <c r="Q593">
        <v>0.18560009999999999</v>
      </c>
      <c r="R593">
        <v>-1.6658860000000001E-2</v>
      </c>
      <c r="S593">
        <v>3.0683590000000001</v>
      </c>
      <c r="T593">
        <v>-7.4464440000000007E-2</v>
      </c>
      <c r="U593">
        <v>4.3426510000000001E-2</v>
      </c>
      <c r="V593">
        <v>2.0334120000000001E-2</v>
      </c>
      <c r="W593">
        <v>0.19478019999999999</v>
      </c>
      <c r="X593">
        <v>0.98063610000000001</v>
      </c>
      <c r="Y593">
        <v>-1.041635E-2</v>
      </c>
      <c r="Z593" s="1">
        <v>3.5780790000000001E-5</v>
      </c>
      <c r="AA593">
        <v>0.9999458</v>
      </c>
      <c r="AB593">
        <v>32</v>
      </c>
      <c r="AC593">
        <v>47.612299999999998</v>
      </c>
      <c r="AD593">
        <v>-1.1594770000000001</v>
      </c>
      <c r="AE593">
        <v>0.67549999999999899</v>
      </c>
      <c r="AF593">
        <v>-0.49743767209225898</v>
      </c>
      <c r="AG593">
        <v>-1.1594770000000001</v>
      </c>
      <c r="AH593">
        <v>47.5862751530453</v>
      </c>
      <c r="AI593">
        <v>91.395704304387195</v>
      </c>
      <c r="AJ593">
        <v>90.598913048410793</v>
      </c>
      <c r="AK593">
        <v>47.602997952781102</v>
      </c>
      <c r="AL593">
        <v>78.768116013955407</v>
      </c>
      <c r="AM593">
        <v>88.812105407694602</v>
      </c>
      <c r="AN593">
        <v>0.99999998168571103</v>
      </c>
    </row>
    <row r="594" spans="1:40" x14ac:dyDescent="0.25">
      <c r="A594" t="str">
        <f>"20190312172907954"</f>
        <v>20190312172907954</v>
      </c>
      <c r="B594" t="str">
        <f>"1552382947948301"</f>
        <v>1552382947948301</v>
      </c>
      <c r="C594" t="s">
        <v>40</v>
      </c>
      <c r="D594">
        <v>3.2736459999999998</v>
      </c>
      <c r="E594">
        <v>0.49174800000000002</v>
      </c>
      <c r="F594" t="s">
        <v>43</v>
      </c>
      <c r="G594">
        <v>-307.06360000000001</v>
      </c>
      <c r="H594">
        <v>-0.05</v>
      </c>
      <c r="I594">
        <v>368.05099999999999</v>
      </c>
      <c r="J594">
        <v>-354.2457</v>
      </c>
      <c r="K594">
        <v>1.109475</v>
      </c>
      <c r="L594">
        <v>367.40609999999998</v>
      </c>
      <c r="M594">
        <v>0.99994930000000004</v>
      </c>
      <c r="N594">
        <v>0</v>
      </c>
      <c r="O594">
        <v>3.7336370000000002E-3</v>
      </c>
      <c r="P594">
        <v>0.9824427</v>
      </c>
      <c r="Q594">
        <v>0.18581780000000001</v>
      </c>
      <c r="R594">
        <v>-1.6679469999999998E-2</v>
      </c>
      <c r="S594">
        <v>3.06839</v>
      </c>
      <c r="T594">
        <v>-7.5086710000000001E-2</v>
      </c>
      <c r="U594">
        <v>4.1809079999999998E-2</v>
      </c>
      <c r="V594">
        <v>2.0354870000000001E-2</v>
      </c>
      <c r="W594">
        <v>0.19500609999999999</v>
      </c>
      <c r="X594">
        <v>0.98059079999999998</v>
      </c>
      <c r="Y594">
        <v>-9.8890839999999994E-3</v>
      </c>
      <c r="Z594" s="1">
        <v>2.962304E-5</v>
      </c>
      <c r="AA594">
        <v>0.99995109999999998</v>
      </c>
      <c r="AB594">
        <v>32</v>
      </c>
      <c r="AC594">
        <v>47.182099999999899</v>
      </c>
      <c r="AD594">
        <v>-1.159475</v>
      </c>
      <c r="AE594">
        <v>0.64490000000000602</v>
      </c>
      <c r="AF594">
        <v>-0.46844412387855899</v>
      </c>
      <c r="AG594">
        <v>-1.159475</v>
      </c>
      <c r="AH594">
        <v>47.155706814690198</v>
      </c>
      <c r="AI594">
        <v>91.4084480868393</v>
      </c>
      <c r="AJ594">
        <v>90.569156740761002</v>
      </c>
      <c r="AK594">
        <v>47.172285373573402</v>
      </c>
      <c r="AL594">
        <v>78.754920158254507</v>
      </c>
      <c r="AM594">
        <v>88.810838648819598</v>
      </c>
      <c r="AN594">
        <v>1.00000000840728</v>
      </c>
    </row>
    <row r="595" spans="1:40" x14ac:dyDescent="0.25">
      <c r="A595" t="str">
        <f>"20190312172907967"</f>
        <v>20190312172907967</v>
      </c>
      <c r="B595" t="str">
        <f>"1552382947958061"</f>
        <v>1552382947958061</v>
      </c>
      <c r="C595" t="s">
        <v>40</v>
      </c>
      <c r="D595">
        <v>3.1416780000000002</v>
      </c>
      <c r="E595">
        <v>0.491838</v>
      </c>
      <c r="F595" t="s">
        <v>43</v>
      </c>
      <c r="G595">
        <v>-305.58659999999998</v>
      </c>
      <c r="H595">
        <v>-0.05</v>
      </c>
      <c r="I595">
        <v>368.03390000000002</v>
      </c>
      <c r="J595">
        <v>-354.05009999999999</v>
      </c>
      <c r="K595">
        <v>1.1094759999999999</v>
      </c>
      <c r="L595">
        <v>367.40690000000001</v>
      </c>
      <c r="M595">
        <v>0.99994930000000004</v>
      </c>
      <c r="N595">
        <v>0</v>
      </c>
      <c r="O595">
        <v>3.7339529999999999E-3</v>
      </c>
      <c r="P595">
        <v>0.98245079999999996</v>
      </c>
      <c r="Q595">
        <v>0.1857568</v>
      </c>
      <c r="R595">
        <v>-1.6881859999999999E-2</v>
      </c>
      <c r="S595">
        <v>3.068146</v>
      </c>
      <c r="T595">
        <v>-7.3109389999999996E-2</v>
      </c>
      <c r="U595">
        <v>3.95813E-2</v>
      </c>
      <c r="V595">
        <v>2.055763E-2</v>
      </c>
      <c r="W595">
        <v>0.19495409999999999</v>
      </c>
      <c r="X595">
        <v>0.98059689999999999</v>
      </c>
      <c r="Y595">
        <v>-9.1642149999999999E-3</v>
      </c>
      <c r="Z595" s="1">
        <v>2.0203360000000001E-5</v>
      </c>
      <c r="AA595">
        <v>0.99995800000000001</v>
      </c>
      <c r="AB595">
        <v>32</v>
      </c>
      <c r="AC595">
        <v>48.463500000000003</v>
      </c>
      <c r="AD595">
        <v>-1.159476</v>
      </c>
      <c r="AE595">
        <v>0.62700000000000899</v>
      </c>
      <c r="AF595">
        <v>-0.44577217000424302</v>
      </c>
      <c r="AG595">
        <v>-1.159476</v>
      </c>
      <c r="AH595">
        <v>48.437782625076302</v>
      </c>
      <c r="AI595">
        <v>91.3711937622829</v>
      </c>
      <c r="AJ595">
        <v>90.527277293831204</v>
      </c>
      <c r="AK595">
        <v>48.453708661528303</v>
      </c>
      <c r="AL595">
        <v>78.757957730682506</v>
      </c>
      <c r="AM595">
        <v>88.799004033624399</v>
      </c>
      <c r="AN595">
        <v>0.99999999877381796</v>
      </c>
    </row>
    <row r="596" spans="1:40" x14ac:dyDescent="0.25">
      <c r="A596" t="str">
        <f>"20190312172907986"</f>
        <v>20190312172907986</v>
      </c>
      <c r="B596" t="str">
        <f>"1552382947977581"</f>
        <v>1552382947977581</v>
      </c>
      <c r="C596" t="s">
        <v>40</v>
      </c>
      <c r="D596">
        <v>3.0975640000000002</v>
      </c>
      <c r="E596">
        <v>0.49206610000000001</v>
      </c>
      <c r="F596" t="s">
        <v>43</v>
      </c>
      <c r="G596">
        <v>-305.30799999999999</v>
      </c>
      <c r="H596">
        <v>-0.05</v>
      </c>
      <c r="I596">
        <v>368.01580000000001</v>
      </c>
      <c r="J596">
        <v>-353.79500000000002</v>
      </c>
      <c r="K596">
        <v>1.1094809999999999</v>
      </c>
      <c r="L596">
        <v>367.40780000000001</v>
      </c>
      <c r="M596">
        <v>0.99994899999999998</v>
      </c>
      <c r="N596">
        <v>0</v>
      </c>
      <c r="O596">
        <v>3.7345529999999998E-3</v>
      </c>
      <c r="P596">
        <v>0.98241089999999998</v>
      </c>
      <c r="Q596">
        <v>0.1859603</v>
      </c>
      <c r="R596">
        <v>-1.6961339999999998E-2</v>
      </c>
      <c r="S596">
        <v>3.0680540000000001</v>
      </c>
      <c r="T596">
        <v>-7.2982909999999998E-2</v>
      </c>
      <c r="U596">
        <v>3.8330080000000002E-2</v>
      </c>
      <c r="V596">
        <v>2.0637579999999999E-2</v>
      </c>
      <c r="W596">
        <v>0.19516829999999999</v>
      </c>
      <c r="X596">
        <v>0.9805526</v>
      </c>
      <c r="Y596">
        <v>-8.7563769999999992E-3</v>
      </c>
      <c r="Z596" s="1">
        <v>1.5304820000000001E-5</v>
      </c>
      <c r="AA596">
        <v>0.99996169999999995</v>
      </c>
      <c r="AB596">
        <v>32</v>
      </c>
      <c r="AC596">
        <v>48.487000000000002</v>
      </c>
      <c r="AD596">
        <v>-1.159481</v>
      </c>
      <c r="AE596">
        <v>0.60800000000000398</v>
      </c>
      <c r="AF596">
        <v>-0.42666656810772502</v>
      </c>
      <c r="AG596">
        <v>-1.159481</v>
      </c>
      <c r="AH596">
        <v>48.461224711014502</v>
      </c>
      <c r="AI596">
        <v>91.370541554985493</v>
      </c>
      <c r="AJ596">
        <v>90.504435497332494</v>
      </c>
      <c r="AK596">
        <v>48.476971244510899</v>
      </c>
      <c r="AL596">
        <v>78.7454444905039</v>
      </c>
      <c r="AM596">
        <v>88.794280201686206</v>
      </c>
      <c r="AN596">
        <v>0.99999998819995295</v>
      </c>
    </row>
    <row r="597" spans="1:40" x14ac:dyDescent="0.25">
      <c r="A597" t="str">
        <f>"20190312172908006"</f>
        <v>20190312172908006</v>
      </c>
      <c r="B597" t="str">
        <f>"1552382947998080"</f>
        <v>1552382947998080</v>
      </c>
      <c r="C597" t="s">
        <v>40</v>
      </c>
      <c r="D597">
        <v>3.1209020000000001</v>
      </c>
      <c r="E597">
        <v>0.49225940000000001</v>
      </c>
      <c r="F597" t="s">
        <v>43</v>
      </c>
      <c r="G597">
        <v>-304.30079999999998</v>
      </c>
      <c r="H597">
        <v>-0.05</v>
      </c>
      <c r="I597">
        <v>367.9957</v>
      </c>
      <c r="J597">
        <v>-353.49009999999998</v>
      </c>
      <c r="K597">
        <v>1.109478</v>
      </c>
      <c r="L597">
        <v>367.40899999999999</v>
      </c>
      <c r="M597">
        <v>0.99994899999999998</v>
      </c>
      <c r="N597">
        <v>0</v>
      </c>
      <c r="O597">
        <v>3.7350230000000001E-3</v>
      </c>
      <c r="P597">
        <v>0.98241100000000003</v>
      </c>
      <c r="Q597">
        <v>0.18594069999999999</v>
      </c>
      <c r="R597">
        <v>-1.717453E-2</v>
      </c>
      <c r="S597">
        <v>3.0678709999999998</v>
      </c>
      <c r="T597">
        <v>-7.1869730000000007E-2</v>
      </c>
      <c r="U597">
        <v>3.6437990000000003E-2</v>
      </c>
      <c r="V597">
        <v>2.0851209999999998E-2</v>
      </c>
      <c r="W597">
        <v>0.19516230000000001</v>
      </c>
      <c r="X597">
        <v>0.98054929999999996</v>
      </c>
      <c r="Y597">
        <v>-8.1402360000000003E-3</v>
      </c>
      <c r="Z597" s="1">
        <v>7.8455779999999997E-6</v>
      </c>
      <c r="AA597">
        <v>0.99996689999999999</v>
      </c>
      <c r="AB597">
        <v>32</v>
      </c>
      <c r="AC597">
        <v>49.189300000000003</v>
      </c>
      <c r="AD597">
        <v>-1.159478</v>
      </c>
      <c r="AE597">
        <v>0.58670000000000699</v>
      </c>
      <c r="AF597">
        <v>-0.40274090965237802</v>
      </c>
      <c r="AG597">
        <v>-1.159478</v>
      </c>
      <c r="AH597">
        <v>49.1638354040482</v>
      </c>
      <c r="AI597">
        <v>91.350965703552802</v>
      </c>
      <c r="AJ597">
        <v>90.469345770691007</v>
      </c>
      <c r="AK597">
        <v>49.179155148387203</v>
      </c>
      <c r="AL597">
        <v>78.745795288383405</v>
      </c>
      <c r="AM597">
        <v>88.781798831133202</v>
      </c>
      <c r="AN597">
        <v>1.0000000130151201</v>
      </c>
    </row>
    <row r="598" spans="1:40" x14ac:dyDescent="0.25">
      <c r="A598" t="str">
        <f>"20190312172908017"</f>
        <v>20190312172908017</v>
      </c>
      <c r="B598" t="str">
        <f>"1552382948007837"</f>
        <v>1552382948007837</v>
      </c>
      <c r="C598" t="s">
        <v>40</v>
      </c>
      <c r="D598">
        <v>3.111281</v>
      </c>
      <c r="E598">
        <v>0.49234929999999899</v>
      </c>
      <c r="F598" t="s">
        <v>43</v>
      </c>
      <c r="G598">
        <v>-303.74419999999998</v>
      </c>
      <c r="H598">
        <v>-0.05</v>
      </c>
      <c r="I598">
        <v>367.96269999999998</v>
      </c>
      <c r="J598">
        <v>-353.32639999999998</v>
      </c>
      <c r="K598">
        <v>1.10948</v>
      </c>
      <c r="L598">
        <v>367.40960000000001</v>
      </c>
      <c r="M598">
        <v>0.99994879999999997</v>
      </c>
      <c r="N598">
        <v>0</v>
      </c>
      <c r="O598">
        <v>3.7352850000000001E-3</v>
      </c>
      <c r="P598">
        <v>0.982375</v>
      </c>
      <c r="Q598">
        <v>0.18613560000000001</v>
      </c>
      <c r="R598">
        <v>-1.7118290000000001E-2</v>
      </c>
      <c r="S598">
        <v>3.0678709999999998</v>
      </c>
      <c r="T598">
        <v>-7.1506020000000003E-2</v>
      </c>
      <c r="U598">
        <v>3.414917E-2</v>
      </c>
      <c r="V598">
        <v>2.0795049999999999E-2</v>
      </c>
      <c r="W598">
        <v>0.19536480000000001</v>
      </c>
      <c r="X598">
        <v>0.9805102</v>
      </c>
      <c r="Y598">
        <v>-7.3942499999999998E-3</v>
      </c>
      <c r="Z598" s="1">
        <v>-8.9253439999999999E-7</v>
      </c>
      <c r="AA598">
        <v>0.99997259999999999</v>
      </c>
      <c r="AB598">
        <v>32</v>
      </c>
      <c r="AC598">
        <v>49.5822</v>
      </c>
      <c r="AD598">
        <v>-1.1594799999999901</v>
      </c>
      <c r="AE598">
        <v>0.55309999999997195</v>
      </c>
      <c r="AF598">
        <v>-0.367683256797745</v>
      </c>
      <c r="AG598">
        <v>-1.1594799999999901</v>
      </c>
      <c r="AH598">
        <v>49.556822955373697</v>
      </c>
      <c r="AI598">
        <v>91.340266803622598</v>
      </c>
      <c r="AJ598">
        <v>90.425094084111507</v>
      </c>
      <c r="AK598">
        <v>49.5717488724978</v>
      </c>
      <c r="AL598">
        <v>78.733965546544198</v>
      </c>
      <c r="AM598">
        <v>88.785030478376896</v>
      </c>
      <c r="AN598">
        <v>1.0000000457437901</v>
      </c>
    </row>
    <row r="599" spans="1:40" x14ac:dyDescent="0.25">
      <c r="A599" t="str">
        <f>"20190312172908029"</f>
        <v>20190312172908029</v>
      </c>
      <c r="B599" t="str">
        <f>"1552382948017597"</f>
        <v>1552382948017597</v>
      </c>
      <c r="C599" t="s">
        <v>40</v>
      </c>
      <c r="D599">
        <v>3.1153659999999999</v>
      </c>
      <c r="E599">
        <v>0.49241049999999997</v>
      </c>
      <c r="F599" t="s">
        <v>43</v>
      </c>
      <c r="G599">
        <v>-302.88569999999999</v>
      </c>
      <c r="H599">
        <v>-0.05</v>
      </c>
      <c r="I599">
        <v>367.96499999999997</v>
      </c>
      <c r="J599">
        <v>-353.16239999999999</v>
      </c>
      <c r="K599">
        <v>1.1094809999999999</v>
      </c>
      <c r="L599">
        <v>367.41019999999997</v>
      </c>
      <c r="M599">
        <v>0.99994890000000003</v>
      </c>
      <c r="N599">
        <v>0</v>
      </c>
      <c r="O599">
        <v>3.7356070000000002E-3</v>
      </c>
      <c r="P599">
        <v>0.98241310000000004</v>
      </c>
      <c r="Q599">
        <v>0.18593589999999999</v>
      </c>
      <c r="R599">
        <v>-1.7112760000000001E-2</v>
      </c>
      <c r="S599">
        <v>3.0677490000000001</v>
      </c>
      <c r="T599">
        <v>-7.0518259999999999E-2</v>
      </c>
      <c r="U599">
        <v>3.3782960000000001E-2</v>
      </c>
      <c r="V599">
        <v>2.0790030000000001E-2</v>
      </c>
      <c r="W599">
        <v>0.1951725</v>
      </c>
      <c r="X599">
        <v>0.98054859999999999</v>
      </c>
      <c r="Y599">
        <v>-7.2750719999999996E-3</v>
      </c>
      <c r="Z599" s="1">
        <v>-2.2571910000000001E-6</v>
      </c>
      <c r="AA599">
        <v>0.99997349999999996</v>
      </c>
      <c r="AB599">
        <v>32</v>
      </c>
      <c r="AC599">
        <v>50.276699999999998</v>
      </c>
      <c r="AD599">
        <v>-1.159481</v>
      </c>
      <c r="AE599">
        <v>0.55479999999999996</v>
      </c>
      <c r="AF599">
        <v>-0.36677879937810998</v>
      </c>
      <c r="AG599">
        <v>-1.159481</v>
      </c>
      <c r="AH599">
        <v>50.251698380817103</v>
      </c>
      <c r="AI599">
        <v>91.321742661748402</v>
      </c>
      <c r="AJ599">
        <v>90.418184951618898</v>
      </c>
      <c r="AK599">
        <v>50.266411380101999</v>
      </c>
      <c r="AL599">
        <v>78.745199760676201</v>
      </c>
      <c r="AM599">
        <v>88.785371243114</v>
      </c>
      <c r="AN599">
        <v>1.0000000435328</v>
      </c>
    </row>
    <row r="600" spans="1:40" x14ac:dyDescent="0.25">
      <c r="A600" t="str">
        <f>"20190312172908040"</f>
        <v>20190312172908040</v>
      </c>
      <c r="B600" t="str">
        <f>"1552382948028335"</f>
        <v>1552382948028335</v>
      </c>
      <c r="C600" t="s">
        <v>40</v>
      </c>
      <c r="D600">
        <v>3.1237659999999998</v>
      </c>
      <c r="E600">
        <v>0.49247540000000001</v>
      </c>
      <c r="F600" t="s">
        <v>43</v>
      </c>
      <c r="G600">
        <v>-303.14409999999998</v>
      </c>
      <c r="H600">
        <v>-0.05</v>
      </c>
      <c r="I600">
        <v>367.94959999999998</v>
      </c>
      <c r="J600">
        <v>-353.00839999999999</v>
      </c>
      <c r="K600">
        <v>1.1094809999999999</v>
      </c>
      <c r="L600">
        <v>367.41079999999999</v>
      </c>
      <c r="M600">
        <v>0.99994870000000002</v>
      </c>
      <c r="N600">
        <v>0</v>
      </c>
      <c r="O600">
        <v>3.7359300000000002E-3</v>
      </c>
      <c r="P600">
        <v>0.98239560000000004</v>
      </c>
      <c r="Q600">
        <v>0.18601599999999999</v>
      </c>
      <c r="R600">
        <v>-1.723156E-2</v>
      </c>
      <c r="S600">
        <v>3.0677490000000001</v>
      </c>
      <c r="T600">
        <v>-7.1114060000000007E-2</v>
      </c>
      <c r="U600">
        <v>3.3081050000000001E-2</v>
      </c>
      <c r="V600">
        <v>2.0909290000000001E-2</v>
      </c>
      <c r="W600">
        <v>0.19525909999999999</v>
      </c>
      <c r="X600">
        <v>0.98052879999999998</v>
      </c>
      <c r="Y600">
        <v>-7.046025E-3</v>
      </c>
      <c r="Z600" s="1">
        <v>-4.9381490000000001E-6</v>
      </c>
      <c r="AA600">
        <v>0.99997519999999995</v>
      </c>
      <c r="AB600">
        <v>32</v>
      </c>
      <c r="AC600">
        <v>49.8643</v>
      </c>
      <c r="AD600">
        <v>-1.159481</v>
      </c>
      <c r="AE600">
        <v>0.53879999999997996</v>
      </c>
      <c r="AF600">
        <v>-0.35230798143560899</v>
      </c>
      <c r="AG600">
        <v>-1.159481</v>
      </c>
      <c r="AH600">
        <v>49.839020711831402</v>
      </c>
      <c r="AI600">
        <v>91.332685241044203</v>
      </c>
      <c r="AJ600">
        <v>90.4050124565441</v>
      </c>
      <c r="AK600">
        <v>49.853751138881201</v>
      </c>
      <c r="AL600">
        <v>78.740140353854699</v>
      </c>
      <c r="AM600">
        <v>88.778381087444004</v>
      </c>
      <c r="AN600">
        <v>1.00000002108527</v>
      </c>
    </row>
    <row r="601" spans="1:40" x14ac:dyDescent="0.25">
      <c r="A601" t="str">
        <f>"20190312172908050"</f>
        <v>20190312172908050</v>
      </c>
      <c r="B601" t="str">
        <f>"1552382948047854"</f>
        <v>1552382948047854</v>
      </c>
      <c r="C601" t="s">
        <v>40</v>
      </c>
      <c r="D601">
        <v>3.1156139999999999</v>
      </c>
      <c r="E601">
        <v>0.49258740000000001</v>
      </c>
      <c r="F601" t="s">
        <v>43</v>
      </c>
      <c r="G601">
        <v>-302.78870000000001</v>
      </c>
      <c r="H601">
        <v>-0.05</v>
      </c>
      <c r="I601">
        <v>367.93779999999998</v>
      </c>
      <c r="J601">
        <v>-352.85480000000001</v>
      </c>
      <c r="K601">
        <v>1.1094809999999999</v>
      </c>
      <c r="L601">
        <v>367.41129999999998</v>
      </c>
      <c r="M601">
        <v>0.99994859999999997</v>
      </c>
      <c r="N601">
        <v>0</v>
      </c>
      <c r="O601">
        <v>3.7361949999999999E-3</v>
      </c>
      <c r="P601">
        <v>0.9823655</v>
      </c>
      <c r="Q601">
        <v>0.18617239999999999</v>
      </c>
      <c r="R601">
        <v>-1.7265590000000001E-2</v>
      </c>
      <c r="S601">
        <v>3.0677189999999999</v>
      </c>
      <c r="T601">
        <v>-7.0827959999999995E-2</v>
      </c>
      <c r="U601">
        <v>3.2196040000000002E-2</v>
      </c>
      <c r="V601">
        <v>2.0943199999999999E-2</v>
      </c>
      <c r="W601">
        <v>0.19542219999999999</v>
      </c>
      <c r="X601">
        <v>0.98049560000000002</v>
      </c>
      <c r="Y601">
        <v>-6.7574999999999996E-3</v>
      </c>
      <c r="Z601" s="1">
        <v>-8.2546760000000001E-6</v>
      </c>
      <c r="AA601">
        <v>0.99997720000000001</v>
      </c>
      <c r="AB601">
        <v>32</v>
      </c>
      <c r="AC601">
        <v>50.066099999999999</v>
      </c>
      <c r="AD601">
        <v>-1.159481</v>
      </c>
      <c r="AE601">
        <v>0.52649999999999797</v>
      </c>
      <c r="AF601">
        <v>-0.33924937027583801</v>
      </c>
      <c r="AG601">
        <v>-1.159481</v>
      </c>
      <c r="AH601">
        <v>50.040881789987203</v>
      </c>
      <c r="AI601">
        <v>91.327313877433397</v>
      </c>
      <c r="AJ601">
        <v>90.388427594463295</v>
      </c>
      <c r="AK601">
        <v>50.055462605434698</v>
      </c>
      <c r="AL601">
        <v>78.730612040360995</v>
      </c>
      <c r="AM601">
        <v>88.776359088828301</v>
      </c>
      <c r="AN601">
        <v>1.00000003774921</v>
      </c>
    </row>
    <row r="602" spans="1:40" x14ac:dyDescent="0.25">
      <c r="A602" t="str">
        <f>"20190312172908062"</f>
        <v>20190312172908062</v>
      </c>
      <c r="B602" t="str">
        <f>"1552382948058589"</f>
        <v>1552382948058589</v>
      </c>
      <c r="C602" t="s">
        <v>40</v>
      </c>
      <c r="D602">
        <v>3.0915590000000002</v>
      </c>
      <c r="E602">
        <v>0.49265100000000001</v>
      </c>
      <c r="F602" t="s">
        <v>43</v>
      </c>
      <c r="G602">
        <v>-302.12709999999998</v>
      </c>
      <c r="H602">
        <v>-0.05</v>
      </c>
      <c r="I602">
        <v>367.92649999999998</v>
      </c>
      <c r="J602">
        <v>-352.69459999999998</v>
      </c>
      <c r="K602">
        <v>1.1094809999999999</v>
      </c>
      <c r="L602">
        <v>367.4119</v>
      </c>
      <c r="M602">
        <v>0.99994859999999997</v>
      </c>
      <c r="N602">
        <v>0</v>
      </c>
      <c r="O602">
        <v>3.736517E-3</v>
      </c>
      <c r="P602">
        <v>0.98234239999999995</v>
      </c>
      <c r="Q602">
        <v>0.1862772</v>
      </c>
      <c r="R602">
        <v>-1.7436630000000002E-2</v>
      </c>
      <c r="S602">
        <v>3.0677189999999999</v>
      </c>
      <c r="T602">
        <v>-7.0118669999999994E-2</v>
      </c>
      <c r="U602">
        <v>3.1158450000000001E-2</v>
      </c>
      <c r="V602">
        <v>2.111476E-2</v>
      </c>
      <c r="W602">
        <v>0.1955345</v>
      </c>
      <c r="X602">
        <v>0.98046949999999999</v>
      </c>
      <c r="Y602">
        <v>-6.4190940000000002E-3</v>
      </c>
      <c r="Z602" s="1">
        <v>-1.2046289999999999E-5</v>
      </c>
      <c r="AA602">
        <v>0.99997939999999996</v>
      </c>
      <c r="AB602">
        <v>32</v>
      </c>
      <c r="AC602">
        <v>50.567500000000003</v>
      </c>
      <c r="AD602">
        <v>-1.159481</v>
      </c>
      <c r="AE602">
        <v>0.51459999999997297</v>
      </c>
      <c r="AF602">
        <v>-0.32547059038005199</v>
      </c>
      <c r="AG602">
        <v>-1.159481</v>
      </c>
      <c r="AH602">
        <v>50.542499588907702</v>
      </c>
      <c r="AI602">
        <v>91.314148314563298</v>
      </c>
      <c r="AJ602">
        <v>90.368953525803704</v>
      </c>
      <c r="AK602">
        <v>50.556845154630601</v>
      </c>
      <c r="AL602">
        <v>78.724050801952401</v>
      </c>
      <c r="AM602">
        <v>88.766305668960797</v>
      </c>
      <c r="AN602">
        <v>1.00000000710517</v>
      </c>
    </row>
    <row r="603" spans="1:40" x14ac:dyDescent="0.25">
      <c r="A603" t="str">
        <f>"20190312172908074"</f>
        <v>20190312172908074</v>
      </c>
      <c r="B603" t="str">
        <f>"1552382948068349"</f>
        <v>1552382948068349</v>
      </c>
      <c r="C603" t="s">
        <v>40</v>
      </c>
      <c r="D603">
        <v>3.1210659999999999</v>
      </c>
      <c r="E603">
        <v>0.49270779999999997</v>
      </c>
      <c r="F603" t="s">
        <v>43</v>
      </c>
      <c r="G603">
        <v>-301.73180000000002</v>
      </c>
      <c r="H603">
        <v>-0.05</v>
      </c>
      <c r="I603">
        <v>367.91739999999999</v>
      </c>
      <c r="J603">
        <v>-352.5258</v>
      </c>
      <c r="K603">
        <v>1.1094759999999999</v>
      </c>
      <c r="L603">
        <v>367.4126</v>
      </c>
      <c r="M603">
        <v>0.99994850000000002</v>
      </c>
      <c r="N603">
        <v>0</v>
      </c>
      <c r="O603">
        <v>3.7368380000000001E-3</v>
      </c>
      <c r="P603">
        <v>0.98239270000000001</v>
      </c>
      <c r="Q603">
        <v>0.1860115</v>
      </c>
      <c r="R603">
        <v>-1.7453670000000001E-2</v>
      </c>
      <c r="S603">
        <v>3.067688</v>
      </c>
      <c r="T603">
        <v>-6.9794540000000002E-2</v>
      </c>
      <c r="U603">
        <v>3.042603E-2</v>
      </c>
      <c r="V603">
        <v>2.113197E-2</v>
      </c>
      <c r="W603">
        <v>0.19527639999999999</v>
      </c>
      <c r="X603">
        <v>0.98052050000000002</v>
      </c>
      <c r="Y603">
        <v>-6.1802169999999896E-3</v>
      </c>
      <c r="Z603" s="1">
        <v>-1.4715050000000001E-5</v>
      </c>
      <c r="AA603">
        <v>0.99998089999999995</v>
      </c>
      <c r="AB603">
        <v>32</v>
      </c>
      <c r="AC603">
        <v>50.793999999999897</v>
      </c>
      <c r="AD603">
        <v>-1.159476</v>
      </c>
      <c r="AE603">
        <v>0.50479999999998804</v>
      </c>
      <c r="AF603">
        <v>-0.31481505009702399</v>
      </c>
      <c r="AG603">
        <v>-1.159476</v>
      </c>
      <c r="AH603">
        <v>50.769079972329898</v>
      </c>
      <c r="AI603">
        <v>91.308281698496401</v>
      </c>
      <c r="AJ603">
        <v>90.355282044165705</v>
      </c>
      <c r="AK603">
        <v>50.783294244733398</v>
      </c>
      <c r="AL603">
        <v>78.739128776196793</v>
      </c>
      <c r="AM603">
        <v>88.765364634093402</v>
      </c>
      <c r="AN603">
        <v>0.99999994173664297</v>
      </c>
    </row>
    <row r="604" spans="1:40" x14ac:dyDescent="0.25">
      <c r="A604" t="str">
        <f>"20190312172908085"</f>
        <v>20190312172908085</v>
      </c>
      <c r="B604" t="str">
        <f>"1552382948078109"</f>
        <v>1552382948078109</v>
      </c>
      <c r="C604" t="s">
        <v>40</v>
      </c>
      <c r="D604">
        <v>3.1540309999999998</v>
      </c>
      <c r="E604">
        <v>0.4927627</v>
      </c>
      <c r="F604" t="s">
        <v>43</v>
      </c>
      <c r="G604">
        <v>-302.2097</v>
      </c>
      <c r="H604">
        <v>-0.05</v>
      </c>
      <c r="I604">
        <v>367.89960000000002</v>
      </c>
      <c r="J604">
        <v>-352.36869999999999</v>
      </c>
      <c r="K604">
        <v>1.1094740000000001</v>
      </c>
      <c r="L604">
        <v>367.41309999999999</v>
      </c>
      <c r="M604">
        <v>0.99994839999999996</v>
      </c>
      <c r="N604">
        <v>0</v>
      </c>
      <c r="O604">
        <v>3.737102E-3</v>
      </c>
      <c r="P604">
        <v>0.98236889999999999</v>
      </c>
      <c r="Q604">
        <v>0.18611169999999999</v>
      </c>
      <c r="R604">
        <v>-1.770615E-2</v>
      </c>
      <c r="S604">
        <v>3.067688</v>
      </c>
      <c r="T604">
        <v>-7.069135E-2</v>
      </c>
      <c r="U604">
        <v>2.9693600000000001E-2</v>
      </c>
      <c r="V604">
        <v>2.1384940000000002E-2</v>
      </c>
      <c r="W604">
        <v>0.19538349999999999</v>
      </c>
      <c r="X604">
        <v>0.98049370000000002</v>
      </c>
      <c r="Y604">
        <v>-5.9412739999999999E-3</v>
      </c>
      <c r="Z604" s="1">
        <v>-1.766286E-5</v>
      </c>
      <c r="AA604">
        <v>0.99998240000000005</v>
      </c>
      <c r="AB604">
        <v>32</v>
      </c>
      <c r="AC604">
        <v>50.158999999999899</v>
      </c>
      <c r="AD604">
        <v>-1.1594739999999999</v>
      </c>
      <c r="AE604">
        <v>0.48650000000003402</v>
      </c>
      <c r="AF604">
        <v>-0.29887924896856499</v>
      </c>
      <c r="AG604">
        <v>-1.1594739999999999</v>
      </c>
      <c r="AH604">
        <v>50.133681571325504</v>
      </c>
      <c r="AI604">
        <v>91.324856738023101</v>
      </c>
      <c r="AJ604">
        <v>90.3415730930205</v>
      </c>
      <c r="AK604">
        <v>50.147978390531399</v>
      </c>
      <c r="AL604">
        <v>78.732872103082997</v>
      </c>
      <c r="AM604">
        <v>88.750555379300707</v>
      </c>
      <c r="AN604">
        <v>0.99999996173537098</v>
      </c>
    </row>
    <row r="605" spans="1:40" x14ac:dyDescent="0.25">
      <c r="A605" t="str">
        <f>"20190312172908095"</f>
        <v>20190312172908095</v>
      </c>
      <c r="B605" t="str">
        <f>"1552382948087869"</f>
        <v>1552382948087869</v>
      </c>
      <c r="C605" t="s">
        <v>40</v>
      </c>
      <c r="D605">
        <v>3.0775769999999998</v>
      </c>
      <c r="E605">
        <v>0.49280370000000001</v>
      </c>
      <c r="F605" t="s">
        <v>43</v>
      </c>
      <c r="G605">
        <v>-301.86009999999999</v>
      </c>
      <c r="H605">
        <v>-0.05</v>
      </c>
      <c r="I605">
        <v>367.8845</v>
      </c>
      <c r="J605">
        <v>-352.21</v>
      </c>
      <c r="K605">
        <v>1.1094729999999999</v>
      </c>
      <c r="L605">
        <v>367.41379999999998</v>
      </c>
      <c r="M605">
        <v>0.99994839999999996</v>
      </c>
      <c r="N605">
        <v>0</v>
      </c>
      <c r="O605">
        <v>3.7372460000000001E-3</v>
      </c>
      <c r="P605">
        <v>0.9823866</v>
      </c>
      <c r="Q605">
        <v>0.18602369999999999</v>
      </c>
      <c r="R605">
        <v>-1.7669290000000001E-2</v>
      </c>
      <c r="S605">
        <v>3.067688</v>
      </c>
      <c r="T605">
        <v>-7.0421810000000001E-2</v>
      </c>
      <c r="U605">
        <v>2.862549E-2</v>
      </c>
      <c r="V605">
        <v>2.1347970000000001E-2</v>
      </c>
      <c r="W605">
        <v>0.19530259999999999</v>
      </c>
      <c r="X605">
        <v>0.98051069999999996</v>
      </c>
      <c r="Y605">
        <v>-5.5930800000000003E-3</v>
      </c>
      <c r="Z605" s="1">
        <v>-2.1594840000000001E-5</v>
      </c>
      <c r="AA605">
        <v>0.9999844</v>
      </c>
      <c r="AB605">
        <v>32</v>
      </c>
      <c r="AC605">
        <v>50.349899999999899</v>
      </c>
      <c r="AD605">
        <v>-1.159473</v>
      </c>
      <c r="AE605">
        <v>0.47070000000002199</v>
      </c>
      <c r="AF605">
        <v>-0.28236862655455203</v>
      </c>
      <c r="AG605">
        <v>-1.159473</v>
      </c>
      <c r="AH605">
        <v>50.324622584453699</v>
      </c>
      <c r="AI605">
        <v>91.319833305002007</v>
      </c>
      <c r="AJ605">
        <v>90.321480022295603</v>
      </c>
      <c r="AK605">
        <v>50.338769829493202</v>
      </c>
      <c r="AL605">
        <v>78.737599243657797</v>
      </c>
      <c r="AM605">
        <v>88.752736338083906</v>
      </c>
      <c r="AN605">
        <v>1.00000003710218</v>
      </c>
    </row>
    <row r="606" spans="1:40" x14ac:dyDescent="0.25">
      <c r="A606" t="str">
        <f>"20190312172908108"</f>
        <v>20190312172908108</v>
      </c>
      <c r="B606" t="str">
        <f>"1552382948098605"</f>
        <v>1552382948098605</v>
      </c>
      <c r="C606" t="s">
        <v>40</v>
      </c>
      <c r="D606">
        <v>3.1034359999999999</v>
      </c>
      <c r="E606">
        <v>0.49282910000000002</v>
      </c>
      <c r="F606" t="s">
        <v>43</v>
      </c>
      <c r="G606">
        <v>-302.01100000000002</v>
      </c>
      <c r="H606">
        <v>-0.05</v>
      </c>
      <c r="I606">
        <v>367.87369999999999</v>
      </c>
      <c r="J606">
        <v>-352.04</v>
      </c>
      <c r="K606">
        <v>1.1094759999999999</v>
      </c>
      <c r="L606">
        <v>367.4144</v>
      </c>
      <c r="M606">
        <v>0.99994830000000001</v>
      </c>
      <c r="N606">
        <v>0</v>
      </c>
      <c r="O606">
        <v>3.7375669999999998E-3</v>
      </c>
      <c r="P606">
        <v>0.98242450000000003</v>
      </c>
      <c r="Q606">
        <v>0.18582770000000001</v>
      </c>
      <c r="R606">
        <v>-1.7617480000000001E-2</v>
      </c>
      <c r="S606">
        <v>3.0677189999999999</v>
      </c>
      <c r="T606">
        <v>-7.085669E-2</v>
      </c>
      <c r="U606">
        <v>2.810669E-2</v>
      </c>
      <c r="V606">
        <v>2.1296659999999999E-2</v>
      </c>
      <c r="W606">
        <v>0.19511500000000001</v>
      </c>
      <c r="X606">
        <v>0.98054909999999995</v>
      </c>
      <c r="Y606">
        <v>-5.4236060000000001E-3</v>
      </c>
      <c r="Z606" s="1">
        <v>-2.3692289999999999E-5</v>
      </c>
      <c r="AA606">
        <v>0.99998529999999997</v>
      </c>
      <c r="AB606">
        <v>32</v>
      </c>
      <c r="AC606">
        <v>50.029000000000003</v>
      </c>
      <c r="AD606">
        <v>-1.159476</v>
      </c>
      <c r="AE606">
        <v>0.459299999999984</v>
      </c>
      <c r="AF606">
        <v>-0.27215551997225601</v>
      </c>
      <c r="AG606">
        <v>-1.159476</v>
      </c>
      <c r="AH606">
        <v>50.003511119433497</v>
      </c>
      <c r="AI606">
        <v>91.328310625079794</v>
      </c>
      <c r="AJ606">
        <v>90.3118422755458</v>
      </c>
      <c r="AK606">
        <v>50.017692644632596</v>
      </c>
      <c r="AL606">
        <v>78.748558057544201</v>
      </c>
      <c r="AM606">
        <v>88.755781914048896</v>
      </c>
      <c r="AN606">
        <v>0.99999997423148201</v>
      </c>
    </row>
    <row r="607" spans="1:40" x14ac:dyDescent="0.25">
      <c r="A607" t="str">
        <f>"20190312172908118"</f>
        <v>20190312172908118</v>
      </c>
      <c r="B607" t="str">
        <f>"1552382948108365"</f>
        <v>1552382948108365</v>
      </c>
      <c r="C607" t="s">
        <v>40</v>
      </c>
      <c r="D607">
        <v>3.085915</v>
      </c>
      <c r="E607">
        <v>0.49284790000000001</v>
      </c>
      <c r="F607" t="s">
        <v>43</v>
      </c>
      <c r="G607">
        <v>-302.34559999999999</v>
      </c>
      <c r="H607">
        <v>-0.05</v>
      </c>
      <c r="I607">
        <v>367.8716</v>
      </c>
      <c r="J607">
        <v>-351.88049999999998</v>
      </c>
      <c r="K607">
        <v>1.109475</v>
      </c>
      <c r="L607">
        <v>367.41489999999999</v>
      </c>
      <c r="M607">
        <v>0.99994830000000001</v>
      </c>
      <c r="N607">
        <v>0</v>
      </c>
      <c r="O607">
        <v>3.7378289999999998E-3</v>
      </c>
      <c r="P607">
        <v>0.98241469999999997</v>
      </c>
      <c r="Q607">
        <v>0.18587300000000001</v>
      </c>
      <c r="R607">
        <v>-1.769051E-2</v>
      </c>
      <c r="S607">
        <v>3.0677189999999999</v>
      </c>
      <c r="T607">
        <v>-7.1576479999999998E-2</v>
      </c>
      <c r="U607">
        <v>2.8228759999999999E-2</v>
      </c>
      <c r="V607">
        <v>2.1369920000000001E-2</v>
      </c>
      <c r="W607">
        <v>0.1951669</v>
      </c>
      <c r="X607">
        <v>0.9805372</v>
      </c>
      <c r="Y607">
        <v>-5.4631130000000003E-3</v>
      </c>
      <c r="Z607" s="1">
        <v>-2.3478200000000002E-5</v>
      </c>
      <c r="AA607">
        <v>0.99998509999999996</v>
      </c>
      <c r="AB607">
        <v>32</v>
      </c>
      <c r="AC607">
        <v>49.534899999999901</v>
      </c>
      <c r="AD607">
        <v>-1.159475</v>
      </c>
      <c r="AE607">
        <v>0.45670000000001199</v>
      </c>
      <c r="AF607">
        <v>-0.27138686446608401</v>
      </c>
      <c r="AG607">
        <v>-1.159475</v>
      </c>
      <c r="AH607">
        <v>49.509137393751203</v>
      </c>
      <c r="AI607">
        <v>91.341568212624694</v>
      </c>
      <c r="AJ607">
        <v>90.314066595211003</v>
      </c>
      <c r="AK607">
        <v>49.523456246299702</v>
      </c>
      <c r="AL607">
        <v>78.745526371543505</v>
      </c>
      <c r="AM607">
        <v>88.751488038833202</v>
      </c>
      <c r="AN607">
        <v>0.99999999646012805</v>
      </c>
    </row>
    <row r="608" spans="1:40" x14ac:dyDescent="0.25">
      <c r="A608" t="str">
        <f>"20190312172908129"</f>
        <v>20190312172908129</v>
      </c>
      <c r="B608" t="str">
        <f>"1552382948118125"</f>
        <v>1552382948118125</v>
      </c>
      <c r="C608" t="s">
        <v>40</v>
      </c>
      <c r="D608">
        <v>3.111993</v>
      </c>
      <c r="E608">
        <v>0.49288690000000002</v>
      </c>
      <c r="F608" t="s">
        <v>43</v>
      </c>
      <c r="G608">
        <v>-302.14240000000001</v>
      </c>
      <c r="H608">
        <v>-0.05</v>
      </c>
      <c r="I608">
        <v>367.86959999999999</v>
      </c>
      <c r="J608">
        <v>-351.7244</v>
      </c>
      <c r="K608">
        <v>1.109475</v>
      </c>
      <c r="L608">
        <v>367.41550000000001</v>
      </c>
      <c r="M608">
        <v>0.99994810000000001</v>
      </c>
      <c r="N608">
        <v>0</v>
      </c>
      <c r="O608">
        <v>3.7381530000000001E-3</v>
      </c>
      <c r="P608">
        <v>0.9824117</v>
      </c>
      <c r="Q608">
        <v>0.18586920000000001</v>
      </c>
      <c r="R608">
        <v>-1.788617E-2</v>
      </c>
      <c r="S608">
        <v>3.0677189999999999</v>
      </c>
      <c r="T608">
        <v>-7.1513409999999999E-2</v>
      </c>
      <c r="U608">
        <v>2.8045649999999998E-2</v>
      </c>
      <c r="V608">
        <v>2.156609E-2</v>
      </c>
      <c r="W608">
        <v>0.19517019999999999</v>
      </c>
      <c r="X608">
        <v>0.98053219999999996</v>
      </c>
      <c r="Y608">
        <v>-5.4031249999999999E-3</v>
      </c>
      <c r="Z608" s="1">
        <v>-2.416418E-5</v>
      </c>
      <c r="AA608">
        <v>0.99998540000000002</v>
      </c>
      <c r="AB608">
        <v>32</v>
      </c>
      <c r="AC608">
        <v>49.582000000000001</v>
      </c>
      <c r="AD608">
        <v>-1.159475</v>
      </c>
      <c r="AE608">
        <v>0.45409999999998202</v>
      </c>
      <c r="AF608">
        <v>-0.26859652829047198</v>
      </c>
      <c r="AG608">
        <v>-1.159475</v>
      </c>
      <c r="AH608">
        <v>49.556253146613102</v>
      </c>
      <c r="AI608">
        <v>91.340293627450393</v>
      </c>
      <c r="AJ608">
        <v>90.310541975856793</v>
      </c>
      <c r="AK608">
        <v>49.570543191514801</v>
      </c>
      <c r="AL608">
        <v>78.7453330495904</v>
      </c>
      <c r="AM608">
        <v>88.7400242966403</v>
      </c>
      <c r="AN608">
        <v>0.99999994922138202</v>
      </c>
    </row>
    <row r="609" spans="1:40" x14ac:dyDescent="0.25">
      <c r="A609" t="str">
        <f>"20190312172908140"</f>
        <v>20190312172908140</v>
      </c>
      <c r="B609" t="str">
        <f>"1552382948127886"</f>
        <v>1552382948127886</v>
      </c>
      <c r="C609" t="s">
        <v>40</v>
      </c>
      <c r="D609">
        <v>3.1102129999999999</v>
      </c>
      <c r="E609">
        <v>0.49290600000000001</v>
      </c>
      <c r="F609" t="s">
        <v>43</v>
      </c>
      <c r="G609">
        <v>-302.10660000000001</v>
      </c>
      <c r="H609">
        <v>-0.05</v>
      </c>
      <c r="I609">
        <v>367.8494</v>
      </c>
      <c r="J609">
        <v>-351.56529999999998</v>
      </c>
      <c r="K609">
        <v>1.109475</v>
      </c>
      <c r="L609">
        <v>367.41609999999997</v>
      </c>
      <c r="M609">
        <v>0.99994810000000001</v>
      </c>
      <c r="N609">
        <v>0</v>
      </c>
      <c r="O609">
        <v>3.7382959999999999E-3</v>
      </c>
      <c r="P609">
        <v>0.98241959999999995</v>
      </c>
      <c r="Q609">
        <v>0.18581300000000001</v>
      </c>
      <c r="R609">
        <v>-1.804996E-2</v>
      </c>
      <c r="S609">
        <v>3.06778</v>
      </c>
      <c r="T609">
        <v>-7.1688180000000004E-2</v>
      </c>
      <c r="U609">
        <v>2.682495E-2</v>
      </c>
      <c r="V609">
        <v>2.1729910000000002E-2</v>
      </c>
      <c r="W609">
        <v>0.19512160000000001</v>
      </c>
      <c r="X609">
        <v>0.98053829999999997</v>
      </c>
      <c r="Y609">
        <v>-5.0050310000000001E-3</v>
      </c>
      <c r="Z609" s="1">
        <v>-2.8876760000000002E-5</v>
      </c>
      <c r="AA609">
        <v>0.99998750000000003</v>
      </c>
      <c r="AB609">
        <v>32</v>
      </c>
      <c r="AC609">
        <v>49.458699999999901</v>
      </c>
      <c r="AD609">
        <v>-1.159475</v>
      </c>
      <c r="AE609">
        <v>0.43330000000003099</v>
      </c>
      <c r="AF609">
        <v>-0.248260976610091</v>
      </c>
      <c r="AG609">
        <v>-1.159475</v>
      </c>
      <c r="AH609">
        <v>49.4328086526858</v>
      </c>
      <c r="AI609">
        <v>91.343642197102199</v>
      </c>
      <c r="AJ609">
        <v>90.287747894094693</v>
      </c>
      <c r="AK609">
        <v>49.447028091495802</v>
      </c>
      <c r="AL609">
        <v>78.748172706090102</v>
      </c>
      <c r="AM609">
        <v>88.730464304561195</v>
      </c>
      <c r="AN609">
        <v>0.99999999277102902</v>
      </c>
    </row>
    <row r="610" spans="1:40" x14ac:dyDescent="0.25">
      <c r="A610" t="str">
        <f>"20190312172908154"</f>
        <v>20190312172908154</v>
      </c>
      <c r="B610" t="str">
        <f>"1552382948148383"</f>
        <v>1552382948148383</v>
      </c>
      <c r="C610" t="s">
        <v>40</v>
      </c>
      <c r="D610">
        <v>3.1000450000000002</v>
      </c>
      <c r="E610">
        <v>0.49292429999999898</v>
      </c>
      <c r="F610" t="s">
        <v>43</v>
      </c>
      <c r="G610">
        <v>-302.1379</v>
      </c>
      <c r="H610">
        <v>-0.05</v>
      </c>
      <c r="I610">
        <v>367.8458</v>
      </c>
      <c r="J610">
        <v>-351.38409999999999</v>
      </c>
      <c r="K610">
        <v>1.1094759999999999</v>
      </c>
      <c r="L610">
        <v>367.41680000000002</v>
      </c>
      <c r="M610">
        <v>0.99994810000000001</v>
      </c>
      <c r="N610">
        <v>0</v>
      </c>
      <c r="O610">
        <v>3.738435E-3</v>
      </c>
      <c r="P610">
        <v>0.98242289999999999</v>
      </c>
      <c r="Q610">
        <v>0.1857751</v>
      </c>
      <c r="R610">
        <v>-1.8251969999999999E-2</v>
      </c>
      <c r="S610">
        <v>3.0677490000000001</v>
      </c>
      <c r="T610">
        <v>-7.1963669999999993E-2</v>
      </c>
      <c r="U610">
        <v>2.6672359999999999E-2</v>
      </c>
      <c r="V610">
        <v>2.1932150000000001E-2</v>
      </c>
      <c r="W610">
        <v>0.19509209999999999</v>
      </c>
      <c r="X610">
        <v>0.98053970000000001</v>
      </c>
      <c r="Y610">
        <v>-4.9552559999999999E-3</v>
      </c>
      <c r="Z610" s="1">
        <v>-2.9574969999999998E-5</v>
      </c>
      <c r="AA610">
        <v>0.99998770000000003</v>
      </c>
      <c r="AB610">
        <v>32</v>
      </c>
      <c r="AC610">
        <v>49.246199999999902</v>
      </c>
      <c r="AD610">
        <v>-1.159476</v>
      </c>
      <c r="AE610">
        <v>0.42899999999997301</v>
      </c>
      <c r="AF610">
        <v>-0.24474935076749399</v>
      </c>
      <c r="AG610">
        <v>-1.159476</v>
      </c>
      <c r="AH610">
        <v>49.220176939273998</v>
      </c>
      <c r="AI610">
        <v>91.349446102775104</v>
      </c>
      <c r="AJ610">
        <v>90.284903267969995</v>
      </c>
      <c r="AK610">
        <v>49.234440230114501</v>
      </c>
      <c r="AL610">
        <v>78.7498964179468</v>
      </c>
      <c r="AM610">
        <v>88.718654501680803</v>
      </c>
      <c r="AN610">
        <v>1.0000000249810601</v>
      </c>
    </row>
    <row r="611" spans="1:40" x14ac:dyDescent="0.25">
      <c r="A611" t="str">
        <f>"20190312172908176"</f>
        <v>20190312172908176</v>
      </c>
      <c r="B611" t="str">
        <f>"1552382948167901"</f>
        <v>1552382948167901</v>
      </c>
      <c r="C611" t="s">
        <v>40</v>
      </c>
      <c r="D611">
        <v>3.0988899999999999</v>
      </c>
      <c r="E611">
        <v>0.49294159999999998</v>
      </c>
      <c r="F611" t="s">
        <v>43</v>
      </c>
      <c r="G611">
        <v>-302.0147</v>
      </c>
      <c r="H611">
        <v>-0.05</v>
      </c>
      <c r="I611">
        <v>367.83429999999998</v>
      </c>
      <c r="J611">
        <v>-351.06369999999998</v>
      </c>
      <c r="K611">
        <v>1.109478</v>
      </c>
      <c r="L611">
        <v>367.41800000000001</v>
      </c>
      <c r="M611">
        <v>0.9999479</v>
      </c>
      <c r="N611">
        <v>0</v>
      </c>
      <c r="O611">
        <v>3.7388399999999998E-3</v>
      </c>
      <c r="P611">
        <v>0.98245179999999999</v>
      </c>
      <c r="Q611">
        <v>0.185613</v>
      </c>
      <c r="R611">
        <v>-1.8354700000000002E-2</v>
      </c>
      <c r="S611">
        <v>3.06778</v>
      </c>
      <c r="T611">
        <v>-7.2049139999999998E-2</v>
      </c>
      <c r="U611">
        <v>2.5939940000000002E-2</v>
      </c>
      <c r="V611">
        <v>2.2035289999999999E-2</v>
      </c>
      <c r="W611">
        <v>0.1949448</v>
      </c>
      <c r="X611">
        <v>0.98056670000000001</v>
      </c>
      <c r="Y611">
        <v>-4.7161030000000001E-3</v>
      </c>
      <c r="Z611" s="1">
        <v>-3.2427279999999999E-5</v>
      </c>
      <c r="AA611">
        <v>0.99998889999999996</v>
      </c>
      <c r="AB611">
        <v>32</v>
      </c>
      <c r="AC611">
        <v>49.0489999999999</v>
      </c>
      <c r="AD611">
        <v>-1.159478</v>
      </c>
      <c r="AE611">
        <v>0.41629999999997802</v>
      </c>
      <c r="AF611">
        <v>-0.232772387555337</v>
      </c>
      <c r="AG611">
        <v>-1.159478</v>
      </c>
      <c r="AH611">
        <v>49.022821187460202</v>
      </c>
      <c r="AI611">
        <v>91.354880485749305</v>
      </c>
      <c r="AJ611">
        <v>90.272052379729999</v>
      </c>
      <c r="AK611">
        <v>49.037083614287098</v>
      </c>
      <c r="AL611">
        <v>78.758501487098499</v>
      </c>
      <c r="AM611">
        <v>88.712666196032899</v>
      </c>
      <c r="AN611">
        <v>1.00000004110065</v>
      </c>
    </row>
    <row r="612" spans="1:40" x14ac:dyDescent="0.25">
      <c r="A612" t="str">
        <f>"20190312172908197"</f>
        <v>20190312172908197</v>
      </c>
      <c r="B612" t="str">
        <f>"1552382948188397"</f>
        <v>1552382948188397</v>
      </c>
      <c r="C612" t="s">
        <v>40</v>
      </c>
      <c r="D612">
        <v>3.1041409999999998</v>
      </c>
      <c r="E612">
        <v>0.49297479999999999</v>
      </c>
      <c r="F612" t="s">
        <v>43</v>
      </c>
      <c r="G612">
        <v>-302.2312</v>
      </c>
      <c r="H612">
        <v>-0.05</v>
      </c>
      <c r="I612">
        <v>367.8202</v>
      </c>
      <c r="J612">
        <v>-350.76069999999999</v>
      </c>
      <c r="K612">
        <v>1.109477</v>
      </c>
      <c r="L612">
        <v>367.41910000000001</v>
      </c>
      <c r="M612">
        <v>0.99994780000000005</v>
      </c>
      <c r="N612">
        <v>0</v>
      </c>
      <c r="O612">
        <v>3.7393080000000002E-3</v>
      </c>
      <c r="P612">
        <v>0.98246999999999995</v>
      </c>
      <c r="Q612">
        <v>0.1855163</v>
      </c>
      <c r="R612">
        <v>-1.83456E-2</v>
      </c>
      <c r="S612">
        <v>3.0678100000000001</v>
      </c>
      <c r="T612">
        <v>-7.2841999999999907E-2</v>
      </c>
      <c r="U612">
        <v>2.5268550000000001E-2</v>
      </c>
      <c r="V612">
        <v>2.202691E-2</v>
      </c>
      <c r="W612">
        <v>0.19486200000000001</v>
      </c>
      <c r="X612">
        <v>0.98058330000000005</v>
      </c>
      <c r="Y612">
        <v>-4.4967740000000003E-3</v>
      </c>
      <c r="Z612" s="1">
        <v>-3.5398319999999998E-5</v>
      </c>
      <c r="AA612">
        <v>0.99998989999999999</v>
      </c>
      <c r="AB612">
        <v>32</v>
      </c>
      <c r="AC612">
        <v>48.529499999999899</v>
      </c>
      <c r="AD612">
        <v>-1.1594770000000001</v>
      </c>
      <c r="AE612">
        <v>0.40109999999998502</v>
      </c>
      <c r="AF612">
        <v>-0.219496955197621</v>
      </c>
      <c r="AG612">
        <v>-1.1594770000000001</v>
      </c>
      <c r="AH612">
        <v>48.502975157114797</v>
      </c>
      <c r="AI612">
        <v>91.369396580875303</v>
      </c>
      <c r="AJ612">
        <v>90.259286430516298</v>
      </c>
      <c r="AK612">
        <v>48.517328501459801</v>
      </c>
      <c r="AL612">
        <v>78.763337823282299</v>
      </c>
      <c r="AM612">
        <v>88.713177380487807</v>
      </c>
      <c r="AN612">
        <v>0.99999999602351897</v>
      </c>
    </row>
    <row r="613" spans="1:40" x14ac:dyDescent="0.25">
      <c r="A613" t="str">
        <f>"20190312172908207"</f>
        <v>20190312172908207</v>
      </c>
      <c r="B613" t="str">
        <f>"1552382948198157"</f>
        <v>1552382948198157</v>
      </c>
      <c r="C613" t="s">
        <v>40</v>
      </c>
      <c r="D613">
        <v>3.099151</v>
      </c>
      <c r="E613">
        <v>0.49297479999999999</v>
      </c>
      <c r="F613" t="s">
        <v>43</v>
      </c>
      <c r="G613">
        <v>-302.18509999999998</v>
      </c>
      <c r="H613">
        <v>-0.05</v>
      </c>
      <c r="I613">
        <v>367.82060000000001</v>
      </c>
      <c r="J613">
        <v>-350.59120000000001</v>
      </c>
      <c r="K613">
        <v>1.1094710000000001</v>
      </c>
      <c r="L613">
        <v>367.41969999999998</v>
      </c>
      <c r="M613">
        <v>0.99994760000000005</v>
      </c>
      <c r="N613">
        <v>0</v>
      </c>
      <c r="O613">
        <v>3.739568E-3</v>
      </c>
      <c r="P613">
        <v>0.9824967</v>
      </c>
      <c r="Q613">
        <v>0.18537819999999999</v>
      </c>
      <c r="R613">
        <v>-1.8316470000000001E-2</v>
      </c>
      <c r="S613">
        <v>3.067841</v>
      </c>
      <c r="T613">
        <v>-7.3228000000000001E-2</v>
      </c>
      <c r="U613">
        <v>2.5360110000000002E-2</v>
      </c>
      <c r="V613">
        <v>2.199796E-2</v>
      </c>
      <c r="W613">
        <v>0.1947315</v>
      </c>
      <c r="X613">
        <v>0.98060990000000003</v>
      </c>
      <c r="Y613">
        <v>-4.5262619999999996E-3</v>
      </c>
      <c r="Z613" s="1">
        <v>-3.5239830000000003E-5</v>
      </c>
      <c r="AA613">
        <v>0.99998969999999998</v>
      </c>
      <c r="AB613">
        <v>32</v>
      </c>
      <c r="AC613">
        <v>48.406100000000002</v>
      </c>
      <c r="AD613">
        <v>-1.1594709999999999</v>
      </c>
      <c r="AE613">
        <v>0.40090000000003501</v>
      </c>
      <c r="AF613">
        <v>-0.21974500491715299</v>
      </c>
      <c r="AG613">
        <v>-1.1594709999999999</v>
      </c>
      <c r="AH613">
        <v>48.379505125737197</v>
      </c>
      <c r="AI613">
        <v>91.372882896338496</v>
      </c>
      <c r="AJ613">
        <v>90.260241908956999</v>
      </c>
      <c r="AK613">
        <v>48.3938960725241</v>
      </c>
      <c r="AL613">
        <v>78.770961245645395</v>
      </c>
      <c r="AM613">
        <v>88.714902934539793</v>
      </c>
      <c r="AN613">
        <v>1.00000002165721</v>
      </c>
    </row>
    <row r="614" spans="1:40" x14ac:dyDescent="0.25">
      <c r="A614" t="str">
        <f>"20190312172908219"</f>
        <v>20190312172908219</v>
      </c>
      <c r="B614" t="str">
        <f>"1552382948207918"</f>
        <v>1552382948207918</v>
      </c>
      <c r="C614" t="s">
        <v>40</v>
      </c>
      <c r="D614">
        <v>3.0872269999999999</v>
      </c>
      <c r="E614">
        <v>0.49631520000000001</v>
      </c>
      <c r="F614" t="s">
        <v>43</v>
      </c>
      <c r="G614">
        <v>-302.3023</v>
      </c>
      <c r="H614">
        <v>-0.05</v>
      </c>
      <c r="I614">
        <v>367.81599999999997</v>
      </c>
      <c r="J614">
        <v>-350.42529999999999</v>
      </c>
      <c r="K614">
        <v>1.1094729999999999</v>
      </c>
      <c r="L614">
        <v>367.4203</v>
      </c>
      <c r="M614">
        <v>0.99994749999999999</v>
      </c>
      <c r="N614">
        <v>0</v>
      </c>
      <c r="O614">
        <v>3.7398890000000001E-3</v>
      </c>
      <c r="P614">
        <v>0.98248919999999995</v>
      </c>
      <c r="Q614">
        <v>0.185422</v>
      </c>
      <c r="R614">
        <v>-1.826707E-2</v>
      </c>
      <c r="S614">
        <v>3.067841</v>
      </c>
      <c r="T614">
        <v>-7.3662279999999997E-2</v>
      </c>
      <c r="U614">
        <v>2.5177000000000001E-2</v>
      </c>
      <c r="V614">
        <v>2.194894E-2</v>
      </c>
      <c r="W614">
        <v>0.1947825</v>
      </c>
      <c r="X614">
        <v>0.98060080000000005</v>
      </c>
      <c r="Y614">
        <v>-4.4662770000000003E-3</v>
      </c>
      <c r="Z614" s="1">
        <v>-3.6176539999999998E-5</v>
      </c>
      <c r="AA614">
        <v>0.99999000000000005</v>
      </c>
      <c r="AB614">
        <v>32</v>
      </c>
      <c r="AC614">
        <v>48.122999999999898</v>
      </c>
      <c r="AD614">
        <v>-1.159473</v>
      </c>
      <c r="AE614">
        <v>0.39569999999997602</v>
      </c>
      <c r="AF614">
        <v>-0.215589218740529</v>
      </c>
      <c r="AG614">
        <v>-1.159473</v>
      </c>
      <c r="AH614">
        <v>48.096224517540698</v>
      </c>
      <c r="AI614">
        <v>91.380968631543297</v>
      </c>
      <c r="AJ614">
        <v>90.256824100804906</v>
      </c>
      <c r="AK614">
        <v>48.110681445918502</v>
      </c>
      <c r="AL614">
        <v>78.767981340973506</v>
      </c>
      <c r="AM614">
        <v>88.717753777685004</v>
      </c>
      <c r="AN614">
        <v>0.999999953617005</v>
      </c>
    </row>
    <row r="615" spans="1:40" x14ac:dyDescent="0.25">
      <c r="A615" t="str">
        <f>"20190312172908230"</f>
        <v>20190312172908230</v>
      </c>
      <c r="B615" t="str">
        <f>"1552382948228413"</f>
        <v>1552382948228413</v>
      </c>
      <c r="C615" t="s">
        <v>40</v>
      </c>
      <c r="D615">
        <v>3.0883259999999999</v>
      </c>
      <c r="E615">
        <v>0.496224</v>
      </c>
      <c r="F615" t="s">
        <v>43</v>
      </c>
      <c r="G615">
        <v>-312.88959999999997</v>
      </c>
      <c r="H615">
        <v>-0.05</v>
      </c>
      <c r="I615">
        <v>367.4151</v>
      </c>
      <c r="J615">
        <v>-350.26990000000001</v>
      </c>
      <c r="K615">
        <v>1.10948</v>
      </c>
      <c r="L615">
        <v>367.42090000000002</v>
      </c>
      <c r="M615">
        <v>0.99994740000000004</v>
      </c>
      <c r="N615">
        <v>0</v>
      </c>
      <c r="O615">
        <v>3.7400990000000002E-3</v>
      </c>
      <c r="P615">
        <v>0.98251149999999998</v>
      </c>
      <c r="Q615">
        <v>0.1853022</v>
      </c>
      <c r="R615">
        <v>-1.830126E-2</v>
      </c>
      <c r="S615">
        <v>3.0713810000000001</v>
      </c>
      <c r="T615">
        <v>-9.4874620000000007E-2</v>
      </c>
      <c r="U615">
        <v>-4.2724609999999998E-4</v>
      </c>
      <c r="V615">
        <v>2.1983280000000001E-2</v>
      </c>
      <c r="W615">
        <v>0.19469310000000001</v>
      </c>
      <c r="X615">
        <v>0.98061779999999998</v>
      </c>
      <c r="Y615">
        <v>3.8757420000000002E-3</v>
      </c>
      <c r="Z615">
        <v>-1.7535509999999901E-4</v>
      </c>
      <c r="AA615">
        <v>0.99999249999999995</v>
      </c>
      <c r="AB615">
        <v>32</v>
      </c>
      <c r="AC615">
        <v>37.380299999999998</v>
      </c>
      <c r="AD615">
        <v>-1.1594799999999901</v>
      </c>
      <c r="AE615">
        <v>-5.8000000000220098E-3</v>
      </c>
      <c r="AF615">
        <v>0.14547239262129499</v>
      </c>
      <c r="AG615">
        <v>-1.1594799999999901</v>
      </c>
      <c r="AH615">
        <v>37.3440863766847</v>
      </c>
      <c r="AI615">
        <v>91.778366486669199</v>
      </c>
      <c r="AJ615">
        <v>89.776807714900499</v>
      </c>
      <c r="AK615">
        <v>37.362365334607802</v>
      </c>
      <c r="AL615">
        <v>78.773203733470595</v>
      </c>
      <c r="AM615">
        <v>88.715770579542806</v>
      </c>
      <c r="AN615">
        <v>0.99999996873200303</v>
      </c>
    </row>
    <row r="616" spans="1:40" x14ac:dyDescent="0.25">
      <c r="A616" t="str">
        <f>"20190312172908243"</f>
        <v>20190312172908243</v>
      </c>
      <c r="B616" t="str">
        <f>"1552382948238173"</f>
        <v>1552382948238173</v>
      </c>
      <c r="C616" t="s">
        <v>40</v>
      </c>
      <c r="D616">
        <v>3.0868129999999998</v>
      </c>
      <c r="E616">
        <v>0.49623780000000001</v>
      </c>
      <c r="F616" t="s">
        <v>43</v>
      </c>
      <c r="G616">
        <v>-313.17720000000003</v>
      </c>
      <c r="H616">
        <v>-0.05</v>
      </c>
      <c r="I616">
        <v>367.42680000000001</v>
      </c>
      <c r="J616">
        <v>-350.08920000000001</v>
      </c>
      <c r="K616">
        <v>1.109491</v>
      </c>
      <c r="L616">
        <v>367.42160000000001</v>
      </c>
      <c r="M616">
        <v>0.99994689999999997</v>
      </c>
      <c r="N616">
        <v>0</v>
      </c>
      <c r="O616">
        <v>3.7403340000000001E-3</v>
      </c>
      <c r="P616">
        <v>0.98254779999999997</v>
      </c>
      <c r="Q616">
        <v>0.1850976</v>
      </c>
      <c r="R616">
        <v>-1.8405410000000001E-2</v>
      </c>
      <c r="S616">
        <v>3.071564</v>
      </c>
      <c r="T616">
        <v>-9.6014139999999998E-2</v>
      </c>
      <c r="U616">
        <v>4.8828130000000002E-4</v>
      </c>
      <c r="V616">
        <v>2.2088E-2</v>
      </c>
      <c r="W616">
        <v>0.1945384</v>
      </c>
      <c r="X616">
        <v>0.98064620000000002</v>
      </c>
      <c r="Y616">
        <v>3.5779649999999998E-3</v>
      </c>
      <c r="Z616">
        <v>-1.7280409999999999E-4</v>
      </c>
      <c r="AA616">
        <v>0.99999360000000004</v>
      </c>
      <c r="AB616">
        <v>32</v>
      </c>
      <c r="AC616">
        <v>36.9119999999999</v>
      </c>
      <c r="AD616">
        <v>-1.159491</v>
      </c>
      <c r="AE616">
        <v>5.2000000000020901E-3</v>
      </c>
      <c r="AF616">
        <v>0.132738633054785</v>
      </c>
      <c r="AG616">
        <v>-1.159491</v>
      </c>
      <c r="AH616">
        <v>36.875375079530698</v>
      </c>
      <c r="AI616">
        <v>91.800975020884806</v>
      </c>
      <c r="AJ616">
        <v>89.793755844181803</v>
      </c>
      <c r="AK616">
        <v>36.893838593725398</v>
      </c>
      <c r="AL616">
        <v>78.782240744982403</v>
      </c>
      <c r="AM616">
        <v>88.7096924179219</v>
      </c>
      <c r="AN616">
        <v>1.0000000191964999</v>
      </c>
    </row>
    <row r="617" spans="1:40" x14ac:dyDescent="0.25">
      <c r="A617" t="str">
        <f>"20190312172908255"</f>
        <v>20190312172908255</v>
      </c>
      <c r="B617" t="str">
        <f>"1552382948247933"</f>
        <v>1552382948247933</v>
      </c>
      <c r="C617" t="s">
        <v>40</v>
      </c>
      <c r="D617">
        <v>3.0933449999999998</v>
      </c>
      <c r="E617">
        <v>0.49623780000000001</v>
      </c>
      <c r="F617" t="s">
        <v>43</v>
      </c>
      <c r="G617">
        <v>-313.03750000000002</v>
      </c>
      <c r="H617">
        <v>-0.05</v>
      </c>
      <c r="I617">
        <v>367.42380000000003</v>
      </c>
      <c r="J617">
        <v>-349.9074</v>
      </c>
      <c r="K617">
        <v>1.109521</v>
      </c>
      <c r="L617">
        <v>367.42230000000001</v>
      </c>
      <c r="M617">
        <v>0.99994559999999999</v>
      </c>
      <c r="N617">
        <v>0</v>
      </c>
      <c r="O617">
        <v>3.7405659999999999E-3</v>
      </c>
      <c r="P617">
        <v>0.98256860000000001</v>
      </c>
      <c r="Q617">
        <v>0.18499199999999999</v>
      </c>
      <c r="R617">
        <v>-1.8365389999999999E-2</v>
      </c>
      <c r="S617">
        <v>3.0714109999999999</v>
      </c>
      <c r="T617">
        <v>-9.6116300000000002E-2</v>
      </c>
      <c r="U617">
        <v>1.8310550000000001E-4</v>
      </c>
      <c r="V617">
        <v>2.204834E-2</v>
      </c>
      <c r="W617">
        <v>0.19455330000000001</v>
      </c>
      <c r="X617">
        <v>0.98064410000000002</v>
      </c>
      <c r="Y617">
        <v>3.6774970000000001E-3</v>
      </c>
      <c r="Z617">
        <v>-1.7456089999999999E-4</v>
      </c>
      <c r="AA617">
        <v>0.99999320000000003</v>
      </c>
      <c r="AB617">
        <v>32</v>
      </c>
      <c r="AC617">
        <v>36.869899999999902</v>
      </c>
      <c r="AD617">
        <v>-1.15952099999999</v>
      </c>
      <c r="AE617">
        <v>1.5000000000213701E-3</v>
      </c>
      <c r="AF617">
        <v>0.13628605063162</v>
      </c>
      <c r="AG617">
        <v>-1.15952099999999</v>
      </c>
      <c r="AH617">
        <v>36.833218166139197</v>
      </c>
      <c r="AI617">
        <v>91.803080899730105</v>
      </c>
      <c r="AJ617">
        <v>89.788001693530802</v>
      </c>
      <c r="AK617">
        <v>36.851716694225303</v>
      </c>
      <c r="AL617">
        <v>78.781370001386506</v>
      </c>
      <c r="AM617">
        <v>88.712005684994807</v>
      </c>
      <c r="AN617">
        <v>0.99999998335122697</v>
      </c>
    </row>
    <row r="618" spans="1:40" x14ac:dyDescent="0.25">
      <c r="A618" t="str">
        <f>"20190312172908268"</f>
        <v>20190312172908268</v>
      </c>
      <c r="B618" t="str">
        <f>"1552382948257693"</f>
        <v>1552382948257693</v>
      </c>
      <c r="C618" t="s">
        <v>40</v>
      </c>
      <c r="D618">
        <v>3.0594070000000002</v>
      </c>
      <c r="E618">
        <v>0.49460330000000002</v>
      </c>
      <c r="F618" t="s">
        <v>43</v>
      </c>
      <c r="G618">
        <v>-312.98099999999999</v>
      </c>
      <c r="H618">
        <v>-0.05</v>
      </c>
      <c r="I618">
        <v>367.43150000000003</v>
      </c>
      <c r="J618">
        <v>-349.72230000000002</v>
      </c>
      <c r="K618">
        <v>1.1095410000000001</v>
      </c>
      <c r="L618">
        <v>367.423</v>
      </c>
      <c r="M618">
        <v>0.99994450000000001</v>
      </c>
      <c r="N618">
        <v>0</v>
      </c>
      <c r="O618">
        <v>3.740724E-3</v>
      </c>
      <c r="P618">
        <v>0.98261580000000004</v>
      </c>
      <c r="Q618">
        <v>0.18473580000000001</v>
      </c>
      <c r="R618">
        <v>-1.8405419999999999E-2</v>
      </c>
      <c r="S618">
        <v>3.0713810000000001</v>
      </c>
      <c r="T618">
        <v>-9.6443890000000004E-2</v>
      </c>
      <c r="U618">
        <v>7.6293949999999998E-4</v>
      </c>
      <c r="V618">
        <v>2.2088770000000001E-2</v>
      </c>
      <c r="W618">
        <v>0.1943966</v>
      </c>
      <c r="X618">
        <v>0.9806743</v>
      </c>
      <c r="Y618">
        <v>3.4889410000000002E-3</v>
      </c>
      <c r="Z618">
        <v>-1.7220270000000001E-4</v>
      </c>
      <c r="AA618">
        <v>0.99999389999999999</v>
      </c>
      <c r="AB618">
        <v>32</v>
      </c>
      <c r="AC618">
        <v>36.741300000000003</v>
      </c>
      <c r="AD618">
        <v>-1.1595409999999999</v>
      </c>
      <c r="AE618">
        <v>8.5000000000263701E-3</v>
      </c>
      <c r="AF618">
        <v>0.12881748538138499</v>
      </c>
      <c r="AG618">
        <v>-1.1595409999999999</v>
      </c>
      <c r="AH618">
        <v>36.704516690897002</v>
      </c>
      <c r="AI618">
        <v>91.809431494932795</v>
      </c>
      <c r="AJ618">
        <v>89.798916629276505</v>
      </c>
      <c r="AK618">
        <v>36.7230537236156</v>
      </c>
      <c r="AL618">
        <v>78.790523389137803</v>
      </c>
      <c r="AM618">
        <v>88.709684413231699</v>
      </c>
      <c r="AN618">
        <v>1.0000000172660799</v>
      </c>
    </row>
    <row r="619" spans="1:40" x14ac:dyDescent="0.25">
      <c r="A619" t="str">
        <f>"20190312172908287"</f>
        <v>20190312172908287</v>
      </c>
      <c r="B619" t="str">
        <f>"1552382948278189"</f>
        <v>1552382948278189</v>
      </c>
      <c r="C619" t="s">
        <v>40</v>
      </c>
      <c r="D619">
        <v>3.087701</v>
      </c>
      <c r="E619">
        <v>0.49532959999999898</v>
      </c>
      <c r="F619" t="s">
        <v>43</v>
      </c>
      <c r="G619">
        <v>-305.67500000000001</v>
      </c>
      <c r="H619">
        <v>-0.05</v>
      </c>
      <c r="I619">
        <v>367.60919999999999</v>
      </c>
      <c r="J619">
        <v>-349.44600000000003</v>
      </c>
      <c r="K619">
        <v>1.109548</v>
      </c>
      <c r="L619">
        <v>367.42410000000001</v>
      </c>
      <c r="M619">
        <v>0.9999439</v>
      </c>
      <c r="N619">
        <v>0</v>
      </c>
      <c r="O619">
        <v>3.7408559999999999E-3</v>
      </c>
      <c r="P619">
        <v>0.98272369999999998</v>
      </c>
      <c r="Q619">
        <v>0.18416560000000001</v>
      </c>
      <c r="R619">
        <v>-1.836695E-2</v>
      </c>
      <c r="S619">
        <v>3.0685120000000001</v>
      </c>
      <c r="T619">
        <v>-8.0778359999999994E-2</v>
      </c>
      <c r="U619">
        <v>1.2969970000000001E-2</v>
      </c>
      <c r="V619">
        <v>2.205087E-2</v>
      </c>
      <c r="W619">
        <v>0.19390689999999999</v>
      </c>
      <c r="X619">
        <v>0.98077210000000004</v>
      </c>
      <c r="Y619">
        <v>-4.8684880000000001E-4</v>
      </c>
      <c r="Z619" s="1">
        <v>-9.2057770000000003E-5</v>
      </c>
      <c r="AA619">
        <v>0.99999990000000005</v>
      </c>
      <c r="AB619">
        <v>32</v>
      </c>
      <c r="AC619">
        <v>43.770999999999901</v>
      </c>
      <c r="AD619">
        <v>-1.159548</v>
      </c>
      <c r="AE619">
        <v>0.18509999999997701</v>
      </c>
      <c r="AF619">
        <v>-2.1334684129402301E-2</v>
      </c>
      <c r="AG619">
        <v>-1.159548</v>
      </c>
      <c r="AH619">
        <v>43.740690126893298</v>
      </c>
      <c r="AI619">
        <v>91.5185321014512</v>
      </c>
      <c r="AJ619">
        <v>90.027946227125696</v>
      </c>
      <c r="AK619">
        <v>43.756062202967399</v>
      </c>
      <c r="AL619">
        <v>78.819125409644897</v>
      </c>
      <c r="AM619">
        <v>88.712025998231098</v>
      </c>
      <c r="AN619">
        <v>1.0000000194368801</v>
      </c>
    </row>
    <row r="620" spans="1:40" x14ac:dyDescent="0.25">
      <c r="A620" t="str">
        <f>"20190312172908299"</f>
        <v>20190312172908299</v>
      </c>
      <c r="B620" t="str">
        <f>"1552382948287949"</f>
        <v>1552382948287949</v>
      </c>
      <c r="C620" t="s">
        <v>40</v>
      </c>
      <c r="D620">
        <v>3.0927389999999999</v>
      </c>
      <c r="E620">
        <v>0.49525400000000003</v>
      </c>
      <c r="F620" t="s">
        <v>43</v>
      </c>
      <c r="G620">
        <v>-306.7396</v>
      </c>
      <c r="H620">
        <v>-0.05</v>
      </c>
      <c r="I620">
        <v>367.5247</v>
      </c>
      <c r="J620">
        <v>-349.25869999999998</v>
      </c>
      <c r="K620">
        <v>1.109553</v>
      </c>
      <c r="L620">
        <v>367.4248</v>
      </c>
      <c r="M620">
        <v>0.99994329999999998</v>
      </c>
      <c r="N620">
        <v>0</v>
      </c>
      <c r="O620">
        <v>3.7410379999999999E-3</v>
      </c>
      <c r="P620">
        <v>0.98276339999999995</v>
      </c>
      <c r="Q620">
        <v>0.1839451</v>
      </c>
      <c r="R620">
        <v>-1.8451080000000002E-2</v>
      </c>
      <c r="S620">
        <v>3.0684809999999998</v>
      </c>
      <c r="T620">
        <v>-8.331442E-2</v>
      </c>
      <c r="U620">
        <v>7.2326659999999996E-3</v>
      </c>
      <c r="V620">
        <v>2.2135390000000001E-2</v>
      </c>
      <c r="W620">
        <v>0.1937441</v>
      </c>
      <c r="X620">
        <v>0.98080239999999996</v>
      </c>
      <c r="Y620">
        <v>1.3822660000000001E-3</v>
      </c>
      <c r="Z620">
        <v>-1.203233E-4</v>
      </c>
      <c r="AA620">
        <v>0.99999899999999997</v>
      </c>
      <c r="AB620">
        <v>32</v>
      </c>
      <c r="AC620">
        <v>42.519099999999902</v>
      </c>
      <c r="AD620">
        <v>-1.1595530000000001</v>
      </c>
      <c r="AE620">
        <v>9.9899999999990996E-2</v>
      </c>
      <c r="AF620">
        <v>5.9130197792809203E-2</v>
      </c>
      <c r="AG620">
        <v>-1.1595530000000001</v>
      </c>
      <c r="AH620">
        <v>42.487577232551203</v>
      </c>
      <c r="AI620">
        <v>91.563302629628296</v>
      </c>
      <c r="AJ620">
        <v>89.920261196126106</v>
      </c>
      <c r="AK620">
        <v>42.503438433050398</v>
      </c>
      <c r="AL620">
        <v>78.828633816764594</v>
      </c>
      <c r="AM620">
        <v>88.707130852277501</v>
      </c>
      <c r="AN620">
        <v>1.0000000498104999</v>
      </c>
    </row>
    <row r="621" spans="1:40" x14ac:dyDescent="0.25">
      <c r="A621" t="str">
        <f>"20190312172908320"</f>
        <v>20190312172908320</v>
      </c>
      <c r="B621" t="str">
        <f>"1552382948308446"</f>
        <v>1552382948308446</v>
      </c>
      <c r="C621" t="s">
        <v>40</v>
      </c>
      <c r="D621">
        <v>3.0731660000000001</v>
      </c>
      <c r="E621">
        <v>0.49560510000000002</v>
      </c>
      <c r="F621" t="s">
        <v>43</v>
      </c>
      <c r="G621">
        <v>-306.27519999999998</v>
      </c>
      <c r="H621">
        <v>-0.05</v>
      </c>
      <c r="I621">
        <v>367.52870000000001</v>
      </c>
      <c r="J621">
        <v>-348.97559999999999</v>
      </c>
      <c r="K621">
        <v>1.109572</v>
      </c>
      <c r="L621">
        <v>367.42579999999998</v>
      </c>
      <c r="M621">
        <v>0.999942</v>
      </c>
      <c r="N621">
        <v>0</v>
      </c>
      <c r="O621">
        <v>3.7412360000000002E-3</v>
      </c>
      <c r="P621">
        <v>0.9828424</v>
      </c>
      <c r="Q621">
        <v>0.18351600000000001</v>
      </c>
      <c r="R621">
        <v>-1.8530700000000001E-2</v>
      </c>
      <c r="S621">
        <v>3.0682680000000002</v>
      </c>
      <c r="T621">
        <v>-8.2771780000000003E-2</v>
      </c>
      <c r="U621">
        <v>7.4157709999999998E-3</v>
      </c>
      <c r="V621">
        <v>2.221538E-2</v>
      </c>
      <c r="W621">
        <v>0.19345029999999999</v>
      </c>
      <c r="X621">
        <v>0.98085860000000002</v>
      </c>
      <c r="Y621">
        <v>1.3226729999999999E-3</v>
      </c>
      <c r="Z621">
        <v>-1.1875E-4</v>
      </c>
      <c r="AA621">
        <v>0.99999910000000003</v>
      </c>
      <c r="AB621">
        <v>32</v>
      </c>
      <c r="AC621">
        <v>42.700400000000002</v>
      </c>
      <c r="AD621">
        <v>-1.1595719999999901</v>
      </c>
      <c r="AE621">
        <v>0.10290000000003301</v>
      </c>
      <c r="AF621">
        <v>5.6819240873762202E-2</v>
      </c>
      <c r="AG621">
        <v>-1.1595719999999901</v>
      </c>
      <c r="AH621">
        <v>42.669020114044699</v>
      </c>
      <c r="AI621">
        <v>91.556683845642993</v>
      </c>
      <c r="AJ621">
        <v>89.923703409071706</v>
      </c>
      <c r="AK621">
        <v>42.684811269842498</v>
      </c>
      <c r="AL621">
        <v>78.845792127715498</v>
      </c>
      <c r="AM621">
        <v>88.702534763232507</v>
      </c>
      <c r="AN621">
        <v>1.0000000674362901</v>
      </c>
    </row>
    <row r="622" spans="1:40" x14ac:dyDescent="0.25">
      <c r="A622" t="str">
        <f>"20190312172908330"</f>
        <v>20190312172908330</v>
      </c>
      <c r="B622" t="str">
        <f>"1552382948318205"</f>
        <v>1552382948318205</v>
      </c>
      <c r="C622" t="s">
        <v>40</v>
      </c>
      <c r="D622">
        <v>3.085</v>
      </c>
      <c r="E622">
        <v>0.49560480000000001</v>
      </c>
      <c r="F622" t="s">
        <v>43</v>
      </c>
      <c r="G622">
        <v>-308.20319999999998</v>
      </c>
      <c r="H622">
        <v>-0.05</v>
      </c>
      <c r="I622">
        <v>367.48419999999999</v>
      </c>
      <c r="J622">
        <v>-348.81689999999998</v>
      </c>
      <c r="K622">
        <v>1.109586</v>
      </c>
      <c r="L622">
        <v>367.42649999999998</v>
      </c>
      <c r="M622">
        <v>0.99994099999999997</v>
      </c>
      <c r="N622">
        <v>0</v>
      </c>
      <c r="O622">
        <v>3.7414229999999998E-3</v>
      </c>
      <c r="P622">
        <v>0.9828943</v>
      </c>
      <c r="Q622">
        <v>0.18323120000000001</v>
      </c>
      <c r="R622">
        <v>-1.858394E-2</v>
      </c>
      <c r="S622">
        <v>3.068756</v>
      </c>
      <c r="T622">
        <v>-8.7275740000000004E-2</v>
      </c>
      <c r="U622">
        <v>4.3945310000000001E-3</v>
      </c>
      <c r="V622">
        <v>2.226906E-2</v>
      </c>
      <c r="W622">
        <v>0.19325519999999999</v>
      </c>
      <c r="X622">
        <v>0.98089579999999998</v>
      </c>
      <c r="Y622">
        <v>2.3071559999999999E-3</v>
      </c>
      <c r="Z622">
        <v>-1.3919139999999999E-4</v>
      </c>
      <c r="AA622">
        <v>0.99999729999999998</v>
      </c>
      <c r="AB622">
        <v>32</v>
      </c>
      <c r="AC622">
        <v>40.613700000000001</v>
      </c>
      <c r="AD622">
        <v>-1.159586</v>
      </c>
      <c r="AE622">
        <v>5.7700000000011097E-2</v>
      </c>
      <c r="AF622">
        <v>9.4184558726901194E-2</v>
      </c>
      <c r="AG622">
        <v>-1.159586</v>
      </c>
      <c r="AH622">
        <v>40.580550658095497</v>
      </c>
      <c r="AI622">
        <v>91.636772532612198</v>
      </c>
      <c r="AJ622">
        <v>89.867020828123302</v>
      </c>
      <c r="AK622">
        <v>40.597224069346801</v>
      </c>
      <c r="AL622">
        <v>78.857185077676107</v>
      </c>
      <c r="AM622">
        <v>88.699450024126804</v>
      </c>
      <c r="AN622">
        <v>1.0000000269089799</v>
      </c>
    </row>
    <row r="623" spans="1:40" x14ac:dyDescent="0.25">
      <c r="A623" t="str">
        <f>"20190312172908341"</f>
        <v>20190312172908341</v>
      </c>
      <c r="B623" t="str">
        <f>"1552382948337725"</f>
        <v>1552382948337725</v>
      </c>
      <c r="C623" t="s">
        <v>40</v>
      </c>
      <c r="D623">
        <v>3.0489769999999998</v>
      </c>
      <c r="E623">
        <v>0.49598419999999999</v>
      </c>
      <c r="F623" t="s">
        <v>43</v>
      </c>
      <c r="G623">
        <v>-307.96710000000002</v>
      </c>
      <c r="H623">
        <v>-0.05</v>
      </c>
      <c r="I623">
        <v>367.48579999999998</v>
      </c>
      <c r="J623">
        <v>-348.65780000000001</v>
      </c>
      <c r="K623">
        <v>1.10959599999999</v>
      </c>
      <c r="L623">
        <v>367.4271</v>
      </c>
      <c r="M623">
        <v>0.99994000000000005</v>
      </c>
      <c r="N623">
        <v>0</v>
      </c>
      <c r="O623">
        <v>3.7414010000000001E-3</v>
      </c>
      <c r="P623">
        <v>0.98300659999999895</v>
      </c>
      <c r="Q623">
        <v>0.18261430000000001</v>
      </c>
      <c r="R623">
        <v>-1.8718490000000001E-2</v>
      </c>
      <c r="S623">
        <v>3.0685730000000002</v>
      </c>
      <c r="T623">
        <v>-8.7106230000000007E-2</v>
      </c>
      <c r="U623">
        <v>4.4555659999999898E-3</v>
      </c>
      <c r="V623">
        <v>2.2403960000000001E-2</v>
      </c>
      <c r="W623">
        <v>0.1927345</v>
      </c>
      <c r="X623">
        <v>0.98099519999999996</v>
      </c>
      <c r="Y623">
        <v>2.2871789999999999E-3</v>
      </c>
      <c r="Z623">
        <v>-1.3864540000000001E-4</v>
      </c>
      <c r="AA623">
        <v>0.99999740000000004</v>
      </c>
      <c r="AB623">
        <v>32</v>
      </c>
      <c r="AC623">
        <v>40.6906999999999</v>
      </c>
      <c r="AD623">
        <v>-1.1595959999999901</v>
      </c>
      <c r="AE623">
        <v>5.8699999999987498E-2</v>
      </c>
      <c r="AF623">
        <v>9.34727943321116E-2</v>
      </c>
      <c r="AG623">
        <v>-1.1595959999999901</v>
      </c>
      <c r="AH623">
        <v>40.657615790946899</v>
      </c>
      <c r="AI623">
        <v>91.633685931962503</v>
      </c>
      <c r="AJ623">
        <v>89.868275916462693</v>
      </c>
      <c r="AK623">
        <v>40.674256254426503</v>
      </c>
      <c r="AL623">
        <v>78.887590921990295</v>
      </c>
      <c r="AM623">
        <v>88.6917069023105</v>
      </c>
      <c r="AN623">
        <v>1.0000000536684801</v>
      </c>
    </row>
    <row r="624" spans="1:40" x14ac:dyDescent="0.25">
      <c r="A624" t="str">
        <f>"20190312172908354"</f>
        <v>20190312172908354</v>
      </c>
      <c r="B624" t="str">
        <f>"1552382948348461"</f>
        <v>1552382948348461</v>
      </c>
      <c r="C624" t="s">
        <v>40</v>
      </c>
      <c r="D624">
        <v>3.0752090000000001</v>
      </c>
      <c r="E624">
        <v>0.49614439999999999</v>
      </c>
      <c r="F624" t="s">
        <v>43</v>
      </c>
      <c r="G624">
        <v>-309.52600000000001</v>
      </c>
      <c r="H624">
        <v>-0.05</v>
      </c>
      <c r="I624">
        <v>367.43950000000001</v>
      </c>
      <c r="J624">
        <v>-348.47629999999998</v>
      </c>
      <c r="K624">
        <v>1.1096079999999999</v>
      </c>
      <c r="L624">
        <v>367.42770000000002</v>
      </c>
      <c r="M624">
        <v>0.99993869999999896</v>
      </c>
      <c r="N624">
        <v>0</v>
      </c>
      <c r="O624">
        <v>3.7415579999999999E-3</v>
      </c>
      <c r="P624">
        <v>0.98305480000000001</v>
      </c>
      <c r="Q624">
        <v>0.18234590000000001</v>
      </c>
      <c r="R624">
        <v>-1.8792619999999999E-2</v>
      </c>
      <c r="S624">
        <v>3.0688170000000001</v>
      </c>
      <c r="T624">
        <v>-9.0938450000000004E-2</v>
      </c>
      <c r="U624">
        <v>9.765625E-4</v>
      </c>
      <c r="V624">
        <v>2.2478709999999999E-2</v>
      </c>
      <c r="W624">
        <v>0.1925712</v>
      </c>
      <c r="X624">
        <v>0.98102549999999999</v>
      </c>
      <c r="Y624">
        <v>3.4203979999999998E-3</v>
      </c>
      <c r="Z624">
        <v>-1.615226E-4</v>
      </c>
      <c r="AA624">
        <v>0.99999420000000006</v>
      </c>
      <c r="AB624">
        <v>32</v>
      </c>
      <c r="AC624">
        <v>38.950299999999899</v>
      </c>
      <c r="AD624">
        <v>-1.159608</v>
      </c>
      <c r="AE624">
        <v>1.17999999999938E-2</v>
      </c>
      <c r="AF624">
        <v>0.13382418915545</v>
      </c>
      <c r="AG624">
        <v>-1.159608</v>
      </c>
      <c r="AH624">
        <v>38.915579018318603</v>
      </c>
      <c r="AI624">
        <v>91.706786824385304</v>
      </c>
      <c r="AJ624">
        <v>89.802970141918294</v>
      </c>
      <c r="AK624">
        <v>38.933082204704299</v>
      </c>
      <c r="AL624">
        <v>78.897125288675298</v>
      </c>
      <c r="AM624">
        <v>88.687383883146893</v>
      </c>
      <c r="AN624">
        <v>0.99999999556147701</v>
      </c>
    </row>
    <row r="625" spans="1:40" x14ac:dyDescent="0.25">
      <c r="A625" t="str">
        <f>"20190312172908367"</f>
        <v>20190312172908367</v>
      </c>
      <c r="B625" t="str">
        <f>"1552382948358221"</f>
        <v>1552382948358221</v>
      </c>
      <c r="C625" t="s">
        <v>40</v>
      </c>
      <c r="D625">
        <v>3.0919140000000001</v>
      </c>
      <c r="E625">
        <v>0.49610460000000001</v>
      </c>
      <c r="F625" t="s">
        <v>43</v>
      </c>
      <c r="G625">
        <v>-310.21480000000003</v>
      </c>
      <c r="H625">
        <v>-0.05</v>
      </c>
      <c r="I625">
        <v>367.42239999999998</v>
      </c>
      <c r="J625">
        <v>-348.27670000000001</v>
      </c>
      <c r="K625">
        <v>1.1096239999999999</v>
      </c>
      <c r="L625">
        <v>367.42849999999999</v>
      </c>
      <c r="M625">
        <v>0.99993770000000004</v>
      </c>
      <c r="N625">
        <v>0</v>
      </c>
      <c r="O625">
        <v>3.7414319999999998E-3</v>
      </c>
      <c r="P625">
        <v>0.98307679999999997</v>
      </c>
      <c r="Q625">
        <v>0.18220149999999999</v>
      </c>
      <c r="R625">
        <v>-1.904962E-2</v>
      </c>
      <c r="S625">
        <v>3.0689700000000002</v>
      </c>
      <c r="T625">
        <v>-9.3012689999999995E-2</v>
      </c>
      <c r="U625">
        <v>-4.2724609999999998E-4</v>
      </c>
      <c r="V625">
        <v>2.2735499999999999E-2</v>
      </c>
      <c r="W625">
        <v>0.19253890000000001</v>
      </c>
      <c r="X625">
        <v>0.98102590000000001</v>
      </c>
      <c r="Y625">
        <v>3.8773549999999999E-3</v>
      </c>
      <c r="Z625">
        <v>-1.7211630000000001E-4</v>
      </c>
      <c r="AA625">
        <v>0.99999249999999995</v>
      </c>
      <c r="AB625">
        <v>32</v>
      </c>
      <c r="AC625">
        <v>38.061899999999902</v>
      </c>
      <c r="AD625">
        <v>-1.159624</v>
      </c>
      <c r="AE625">
        <v>-6.1000000000035401E-3</v>
      </c>
      <c r="AF625">
        <v>0.14837611700897399</v>
      </c>
      <c r="AG625">
        <v>-1.159624</v>
      </c>
      <c r="AH625">
        <v>38.026313753868102</v>
      </c>
      <c r="AI625">
        <v>91.746697603826107</v>
      </c>
      <c r="AJ625">
        <v>89.776436859062201</v>
      </c>
      <c r="AK625">
        <v>38.044280529418501</v>
      </c>
      <c r="AL625">
        <v>78.899010990129995</v>
      </c>
      <c r="AM625">
        <v>88.672394830148406</v>
      </c>
      <c r="AN625">
        <v>0.99999997372213401</v>
      </c>
    </row>
    <row r="626" spans="1:40" x14ac:dyDescent="0.25">
      <c r="A626" t="str">
        <f>"20190312172908381"</f>
        <v>20190312172908381</v>
      </c>
      <c r="B626" t="str">
        <f>"1552382948377741"</f>
        <v>1552382948377741</v>
      </c>
      <c r="C626" t="s">
        <v>40</v>
      </c>
      <c r="D626">
        <v>3.0815779999999999</v>
      </c>
      <c r="E626">
        <v>0.49607119999999999</v>
      </c>
      <c r="F626" t="s">
        <v>43</v>
      </c>
      <c r="G626">
        <v>-309.73610000000002</v>
      </c>
      <c r="H626">
        <v>-0.05</v>
      </c>
      <c r="I626">
        <v>367.42</v>
      </c>
      <c r="J626">
        <v>-348.0727</v>
      </c>
      <c r="K626">
        <v>1.109637</v>
      </c>
      <c r="L626">
        <v>367.42930000000001</v>
      </c>
      <c r="M626">
        <v>0.99993650000000001</v>
      </c>
      <c r="N626">
        <v>0</v>
      </c>
      <c r="O626">
        <v>3.7413809999999998E-3</v>
      </c>
      <c r="P626">
        <v>0.98315050000000004</v>
      </c>
      <c r="Q626">
        <v>0.1817955</v>
      </c>
      <c r="R626">
        <v>-1.9128929999999999E-2</v>
      </c>
      <c r="S626">
        <v>3.068756</v>
      </c>
      <c r="T626">
        <v>-9.2333789999999999E-2</v>
      </c>
      <c r="U626">
        <v>-6.7138669999999997E-4</v>
      </c>
      <c r="V626">
        <v>2.2814939999999999E-2</v>
      </c>
      <c r="W626">
        <v>0.19224179999999999</v>
      </c>
      <c r="X626">
        <v>0.98108240000000002</v>
      </c>
      <c r="Y626">
        <v>3.9568880000000004E-3</v>
      </c>
      <c r="Z626">
        <v>-1.720673E-4</v>
      </c>
      <c r="AA626">
        <v>0.99999210000000005</v>
      </c>
      <c r="AB626">
        <v>32</v>
      </c>
      <c r="AC626">
        <v>38.336599999999898</v>
      </c>
      <c r="AD626">
        <v>-1.159637</v>
      </c>
      <c r="AE626">
        <v>-9.2999999999960892E-3</v>
      </c>
      <c r="AF626">
        <v>0.15260023831640401</v>
      </c>
      <c r="AG626">
        <v>-1.159637</v>
      </c>
      <c r="AH626">
        <v>38.301251547444302</v>
      </c>
      <c r="AI626">
        <v>91.734185838583798</v>
      </c>
      <c r="AJ626">
        <v>89.771722776890101</v>
      </c>
      <c r="AK626">
        <v>38.319106394918798</v>
      </c>
      <c r="AL626">
        <v>78.9163585223735</v>
      </c>
      <c r="AM626">
        <v>88.667834415737005</v>
      </c>
      <c r="AN626">
        <v>1.0000000533721001</v>
      </c>
    </row>
    <row r="627" spans="1:40" x14ac:dyDescent="0.25">
      <c r="A627" t="str">
        <f>"20190312172908398"</f>
        <v>20190312172908398</v>
      </c>
      <c r="B627" t="str">
        <f>"1552382948388477"</f>
        <v>1552382948388477</v>
      </c>
      <c r="C627" t="s">
        <v>40</v>
      </c>
      <c r="D627">
        <v>3.0764640000000001</v>
      </c>
      <c r="E627">
        <v>0.49600559999999999</v>
      </c>
      <c r="F627" t="s">
        <v>43</v>
      </c>
      <c r="G627">
        <v>-309.96280000000002</v>
      </c>
      <c r="H627">
        <v>-0.05</v>
      </c>
      <c r="I627">
        <v>367.42290000000003</v>
      </c>
      <c r="J627">
        <v>-347.84120000000001</v>
      </c>
      <c r="K627">
        <v>1.1096509999999999</v>
      </c>
      <c r="L627">
        <v>367.43009999999998</v>
      </c>
      <c r="M627">
        <v>0.99993520000000002</v>
      </c>
      <c r="N627">
        <v>0</v>
      </c>
      <c r="O627">
        <v>3.7414039999999998E-3</v>
      </c>
      <c r="P627">
        <v>0.98327050000000005</v>
      </c>
      <c r="Q627">
        <v>0.18112249999999999</v>
      </c>
      <c r="R627">
        <v>-1.9334939999999998E-2</v>
      </c>
      <c r="S627">
        <v>3.0686650000000002</v>
      </c>
      <c r="T627">
        <v>-9.3375440000000004E-2</v>
      </c>
      <c r="U627">
        <v>-5.1879879999999995E-4</v>
      </c>
      <c r="V627">
        <v>2.3021679999999999E-2</v>
      </c>
      <c r="W627">
        <v>0.1916853</v>
      </c>
      <c r="X627">
        <v>0.98118640000000001</v>
      </c>
      <c r="Y627">
        <v>3.9071430000000001E-3</v>
      </c>
      <c r="Z627">
        <v>-1.73256899999999E-4</v>
      </c>
      <c r="AA627">
        <v>0.9999924</v>
      </c>
      <c r="AB627">
        <v>32</v>
      </c>
      <c r="AC627">
        <v>37.878399999999999</v>
      </c>
      <c r="AD627">
        <v>-1.159651</v>
      </c>
      <c r="AE627">
        <v>-7.1999999999547903E-3</v>
      </c>
      <c r="AF627">
        <v>0.148787082946715</v>
      </c>
      <c r="AG627">
        <v>-1.159651</v>
      </c>
      <c r="AH627">
        <v>37.842638604531899</v>
      </c>
      <c r="AI627">
        <v>91.755210819128806</v>
      </c>
      <c r="AJ627">
        <v>89.774729556753897</v>
      </c>
      <c r="AK627">
        <v>37.8606949829379</v>
      </c>
      <c r="AL627">
        <v>78.948847279721505</v>
      </c>
      <c r="AM627">
        <v>88.655909693784096</v>
      </c>
      <c r="AN627">
        <v>1.0000000017655299</v>
      </c>
    </row>
    <row r="628" spans="1:40" x14ac:dyDescent="0.25">
      <c r="A628" t="str">
        <f>"20190312172908409"</f>
        <v>20190312172908409</v>
      </c>
      <c r="B628" t="str">
        <f>"1552382948398238"</f>
        <v>1552382948398238</v>
      </c>
      <c r="C628" t="s">
        <v>40</v>
      </c>
      <c r="D628">
        <v>3.0889150000000001</v>
      </c>
      <c r="E628">
        <v>0.49598419999999999</v>
      </c>
      <c r="F628" t="s">
        <v>43</v>
      </c>
      <c r="G628">
        <v>-310.22519999999997</v>
      </c>
      <c r="H628">
        <v>-0.05</v>
      </c>
      <c r="I628">
        <v>367.42110000000002</v>
      </c>
      <c r="J628">
        <v>-347.67079999999999</v>
      </c>
      <c r="K628">
        <v>1.109659</v>
      </c>
      <c r="L628">
        <v>367.43079999999998</v>
      </c>
      <c r="M628">
        <v>0.9999344</v>
      </c>
      <c r="N628">
        <v>0</v>
      </c>
      <c r="O628">
        <v>3.741252E-3</v>
      </c>
      <c r="P628">
        <v>0.98327869999999995</v>
      </c>
      <c r="Q628">
        <v>0.1810813</v>
      </c>
      <c r="R628">
        <v>-1.9310339999999999E-2</v>
      </c>
      <c r="S628">
        <v>3.0684200000000001</v>
      </c>
      <c r="T628">
        <v>-9.4595310000000002E-2</v>
      </c>
      <c r="U628">
        <v>-7.3242190000000001E-4</v>
      </c>
      <c r="V628">
        <v>2.2997050000000002E-2</v>
      </c>
      <c r="W628">
        <v>0.19172510000000001</v>
      </c>
      <c r="X628">
        <v>0.98117920000000003</v>
      </c>
      <c r="Y628">
        <v>3.9765010000000003E-3</v>
      </c>
      <c r="Z628">
        <v>-1.76597599999999E-4</v>
      </c>
      <c r="AA628">
        <v>0.99999210000000005</v>
      </c>
      <c r="AB628">
        <v>32</v>
      </c>
      <c r="AC628">
        <v>37.445599999999999</v>
      </c>
      <c r="AD628">
        <v>-1.159659</v>
      </c>
      <c r="AE628">
        <v>-9.6999999999525192E-3</v>
      </c>
      <c r="AF628">
        <v>0.149658032706104</v>
      </c>
      <c r="AG628">
        <v>-1.159659</v>
      </c>
      <c r="AH628">
        <v>37.409422641411602</v>
      </c>
      <c r="AI628">
        <v>91.775535677824294</v>
      </c>
      <c r="AJ628">
        <v>89.770786948989695</v>
      </c>
      <c r="AK628">
        <v>37.427691738695202</v>
      </c>
      <c r="AL628">
        <v>78.946523798001806</v>
      </c>
      <c r="AM628">
        <v>88.657337308136306</v>
      </c>
      <c r="AN628">
        <v>1.0000000003956699</v>
      </c>
    </row>
    <row r="629" spans="1:40" x14ac:dyDescent="0.25">
      <c r="A629" t="str">
        <f>"20190312172908420"</f>
        <v>20190312172908420</v>
      </c>
      <c r="B629" t="str">
        <f>"1552382948407998"</f>
        <v>1552382948407998</v>
      </c>
      <c r="C629" t="s">
        <v>40</v>
      </c>
      <c r="D629">
        <v>3.0657589999999999</v>
      </c>
      <c r="E629">
        <v>0.49593429999999999</v>
      </c>
      <c r="F629" t="s">
        <v>43</v>
      </c>
      <c r="G629">
        <v>-309.95569999999998</v>
      </c>
      <c r="H629">
        <v>-0.05</v>
      </c>
      <c r="I629">
        <v>367.42520000000002</v>
      </c>
      <c r="J629">
        <v>-347.50909999999999</v>
      </c>
      <c r="K629">
        <v>1.109667</v>
      </c>
      <c r="L629">
        <v>367.4314</v>
      </c>
      <c r="M629">
        <v>0.99993359999999998</v>
      </c>
      <c r="N629">
        <v>0</v>
      </c>
      <c r="O629">
        <v>3.7413749999999999E-3</v>
      </c>
      <c r="P629">
        <v>0.98328040000000005</v>
      </c>
      <c r="Q629">
        <v>0.1810454</v>
      </c>
      <c r="R629">
        <v>-1.9553939999999999E-2</v>
      </c>
      <c r="S629">
        <v>3.06839</v>
      </c>
      <c r="T629">
        <v>-9.4346520000000003E-2</v>
      </c>
      <c r="U629">
        <v>-4.577637E-4</v>
      </c>
      <c r="V629">
        <v>2.3240799999999999E-2</v>
      </c>
      <c r="W629">
        <v>0.19176299999999999</v>
      </c>
      <c r="X629">
        <v>0.98116610000000004</v>
      </c>
      <c r="Y629">
        <v>3.8871779999999998E-3</v>
      </c>
      <c r="Z629">
        <v>-1.74765999999999E-4</v>
      </c>
      <c r="AA629">
        <v>0.9999924</v>
      </c>
      <c r="AB629">
        <v>32</v>
      </c>
      <c r="AC629">
        <v>37.553400000000003</v>
      </c>
      <c r="AD629">
        <v>-1.159667</v>
      </c>
      <c r="AE629">
        <v>-6.1999999999784398E-3</v>
      </c>
      <c r="AF629">
        <v>0.14656988526148901</v>
      </c>
      <c r="AG629">
        <v>-1.159667</v>
      </c>
      <c r="AH629">
        <v>37.517337253325998</v>
      </c>
      <c r="AI629">
        <v>91.770444656065706</v>
      </c>
      <c r="AJ629">
        <v>89.776162336657407</v>
      </c>
      <c r="AK629">
        <v>37.535541888481603</v>
      </c>
      <c r="AL629">
        <v>78.944311782034106</v>
      </c>
      <c r="AM629">
        <v>88.643093359961995</v>
      </c>
      <c r="AN629">
        <v>1.0000000493714201</v>
      </c>
    </row>
    <row r="630" spans="1:40" x14ac:dyDescent="0.25">
      <c r="A630" t="str">
        <f>"20190312172908431"</f>
        <v>20190312172908431</v>
      </c>
      <c r="B630" t="str">
        <f>"1552382948428494"</f>
        <v>1552382948428494</v>
      </c>
      <c r="C630" t="s">
        <v>40</v>
      </c>
      <c r="D630">
        <v>3.0795819999999998</v>
      </c>
      <c r="E630">
        <v>0.49583060000000001</v>
      </c>
      <c r="F630" t="s">
        <v>43</v>
      </c>
      <c r="G630">
        <v>-309.60270000000003</v>
      </c>
      <c r="H630">
        <v>-0.05</v>
      </c>
      <c r="I630">
        <v>367.4171</v>
      </c>
      <c r="J630">
        <v>-347.35390000000001</v>
      </c>
      <c r="K630">
        <v>1.1096680000000001</v>
      </c>
      <c r="L630">
        <v>367.43200000000002</v>
      </c>
      <c r="M630">
        <v>0.99993279999999995</v>
      </c>
      <c r="N630">
        <v>0</v>
      </c>
      <c r="O630">
        <v>3.7413569999999998E-3</v>
      </c>
      <c r="P630">
        <v>0.98331299999999999</v>
      </c>
      <c r="Q630">
        <v>0.18087149999999999</v>
      </c>
      <c r="R630">
        <v>-1.952659E-2</v>
      </c>
      <c r="S630">
        <v>3.0682680000000002</v>
      </c>
      <c r="T630">
        <v>-9.3867300000000001E-2</v>
      </c>
      <c r="U630">
        <v>-1.159668E-3</v>
      </c>
      <c r="V630">
        <v>2.321353E-2</v>
      </c>
      <c r="W630">
        <v>0.19165589999999999</v>
      </c>
      <c r="X630">
        <v>0.98118760000000005</v>
      </c>
      <c r="Y630">
        <v>4.1158590000000004E-3</v>
      </c>
      <c r="Z630">
        <v>-1.7738239999999999E-4</v>
      </c>
      <c r="AA630">
        <v>0.99999150000000003</v>
      </c>
      <c r="AB630">
        <v>32</v>
      </c>
      <c r="AC630">
        <v>37.751199999999898</v>
      </c>
      <c r="AD630">
        <v>-1.1596679999999999</v>
      </c>
      <c r="AE630">
        <v>-1.4899999999954601E-2</v>
      </c>
      <c r="AF630">
        <v>0.156001905940792</v>
      </c>
      <c r="AG630">
        <v>-1.1596679999999999</v>
      </c>
      <c r="AH630">
        <v>37.715290393037399</v>
      </c>
      <c r="AI630">
        <v>91.761158029156107</v>
      </c>
      <c r="AJ630">
        <v>89.763008590444201</v>
      </c>
      <c r="AK630">
        <v>37.733437371859203</v>
      </c>
      <c r="AL630">
        <v>78.950563344724102</v>
      </c>
      <c r="AM630">
        <v>88.644714602834696</v>
      </c>
      <c r="AN630">
        <v>0.99999997918681505</v>
      </c>
    </row>
    <row r="631" spans="1:40" x14ac:dyDescent="0.25">
      <c r="A631" t="str">
        <f>"20190312172908442"</f>
        <v>20190312172908442</v>
      </c>
      <c r="B631" t="str">
        <f>"1552382948438254"</f>
        <v>1552382948438254</v>
      </c>
      <c r="C631" t="s">
        <v>40</v>
      </c>
      <c r="D631">
        <v>3.0829089999999999</v>
      </c>
      <c r="E631">
        <v>0.49579309999999899</v>
      </c>
      <c r="F631" t="s">
        <v>43</v>
      </c>
      <c r="G631">
        <v>-309.09539999999998</v>
      </c>
      <c r="H631">
        <v>-0.05</v>
      </c>
      <c r="I631">
        <v>367.42899999999997</v>
      </c>
      <c r="J631">
        <v>-347.19659999999999</v>
      </c>
      <c r="K631">
        <v>1.1096729999999999</v>
      </c>
      <c r="L631">
        <v>367.43259999999998</v>
      </c>
      <c r="M631">
        <v>0.99993200000000004</v>
      </c>
      <c r="N631">
        <v>0</v>
      </c>
      <c r="O631">
        <v>3.7416390000000002E-3</v>
      </c>
      <c r="P631">
        <v>0.98328510000000002</v>
      </c>
      <c r="Q631">
        <v>0.18103030000000001</v>
      </c>
      <c r="R631">
        <v>-1.94614E-2</v>
      </c>
      <c r="S631">
        <v>3.0680239999999999</v>
      </c>
      <c r="T631">
        <v>-9.2996120000000002E-2</v>
      </c>
      <c r="U631">
        <v>-2.4414059999999999E-4</v>
      </c>
      <c r="V631">
        <v>2.314853E-2</v>
      </c>
      <c r="W631">
        <v>0.19188050000000001</v>
      </c>
      <c r="X631">
        <v>0.9811453</v>
      </c>
      <c r="Y631">
        <v>3.8179709999999999E-3</v>
      </c>
      <c r="Z631">
        <v>-1.7124579999999999E-4</v>
      </c>
      <c r="AA631">
        <v>0.99999269999999996</v>
      </c>
      <c r="AB631">
        <v>32</v>
      </c>
      <c r="AC631">
        <v>38.101199999999999</v>
      </c>
      <c r="AD631">
        <v>-1.159673</v>
      </c>
      <c r="AE631">
        <v>-3.59999999994897E-3</v>
      </c>
      <c r="AF631">
        <v>0.14603432264518501</v>
      </c>
      <c r="AG631">
        <v>-1.159673</v>
      </c>
      <c r="AH631">
        <v>38.065656153203399</v>
      </c>
      <c r="AI631">
        <v>91.744967564923201</v>
      </c>
      <c r="AJ631">
        <v>89.780192694706301</v>
      </c>
      <c r="AK631">
        <v>38.083596808392898</v>
      </c>
      <c r="AL631">
        <v>78.937452040740794</v>
      </c>
      <c r="AM631">
        <v>88.6484498709262</v>
      </c>
      <c r="AN631">
        <v>1.0000000402167399</v>
      </c>
    </row>
    <row r="632" spans="1:40" x14ac:dyDescent="0.25">
      <c r="A632" t="str">
        <f>"20190312172908453"</f>
        <v>20190312172908453</v>
      </c>
      <c r="B632" t="str">
        <f>"1552382948448013"</f>
        <v>1552382948448013</v>
      </c>
      <c r="C632" t="s">
        <v>40</v>
      </c>
      <c r="D632">
        <v>3.0614620000000001</v>
      </c>
      <c r="E632">
        <v>0.49584590000000001</v>
      </c>
      <c r="F632" t="s">
        <v>43</v>
      </c>
      <c r="G632">
        <v>-308.54199999999997</v>
      </c>
      <c r="H632">
        <v>-0.05</v>
      </c>
      <c r="I632">
        <v>367.43450000000001</v>
      </c>
      <c r="J632">
        <v>-347.03629999999998</v>
      </c>
      <c r="K632">
        <v>1.1096779999999999</v>
      </c>
      <c r="L632">
        <v>367.4332</v>
      </c>
      <c r="M632">
        <v>0.99993140000000003</v>
      </c>
      <c r="N632">
        <v>0</v>
      </c>
      <c r="O632">
        <v>3.7416459999999999E-3</v>
      </c>
      <c r="P632">
        <v>0.98330519999999999</v>
      </c>
      <c r="Q632">
        <v>0.180922</v>
      </c>
      <c r="R632">
        <v>-1.9452779999999999E-2</v>
      </c>
      <c r="S632">
        <v>3.0679319999999999</v>
      </c>
      <c r="T632">
        <v>-9.2040540000000004E-2</v>
      </c>
      <c r="U632">
        <v>1.5258789999999999E-4</v>
      </c>
      <c r="V632">
        <v>2.3140029999999999E-2</v>
      </c>
      <c r="W632">
        <v>0.1918337</v>
      </c>
      <c r="X632">
        <v>0.98115459999999999</v>
      </c>
      <c r="Y632">
        <v>3.6887970000000002E-3</v>
      </c>
      <c r="Z632">
        <v>-1.67555E-4</v>
      </c>
      <c r="AA632">
        <v>0.99999320000000003</v>
      </c>
      <c r="AB632">
        <v>32</v>
      </c>
      <c r="AC632">
        <v>38.494299999999903</v>
      </c>
      <c r="AD632">
        <v>-1.159678</v>
      </c>
      <c r="AE632">
        <v>1.3000000000147299E-3</v>
      </c>
      <c r="AF632">
        <v>0.142611495113494</v>
      </c>
      <c r="AG632">
        <v>-1.159678</v>
      </c>
      <c r="AH632">
        <v>38.459130869646899</v>
      </c>
      <c r="AI632">
        <v>91.727133977075397</v>
      </c>
      <c r="AJ632">
        <v>89.787540718046003</v>
      </c>
      <c r="AK632">
        <v>38.476875371459798</v>
      </c>
      <c r="AL632">
        <v>78.940183668981007</v>
      </c>
      <c r="AM632">
        <v>88.648958769360902</v>
      </c>
      <c r="AN632">
        <v>0.99999998927262501</v>
      </c>
    </row>
    <row r="633" spans="1:40" x14ac:dyDescent="0.25">
      <c r="A633" t="str">
        <f>"20190312172908464"</f>
        <v>20190312172908464</v>
      </c>
      <c r="B633" t="str">
        <f>"1552382948457774"</f>
        <v>1552382948457774</v>
      </c>
      <c r="C633" t="s">
        <v>40</v>
      </c>
      <c r="D633">
        <v>3.0911379999999999</v>
      </c>
      <c r="E633">
        <v>0.4957877</v>
      </c>
      <c r="F633" t="s">
        <v>43</v>
      </c>
      <c r="G633">
        <v>-308.50009999999997</v>
      </c>
      <c r="H633">
        <v>-0.05</v>
      </c>
      <c r="I633">
        <v>367.43130000000002</v>
      </c>
      <c r="J633">
        <v>-346.8707</v>
      </c>
      <c r="K633">
        <v>1.109688</v>
      </c>
      <c r="L633">
        <v>367.43380000000002</v>
      </c>
      <c r="M633">
        <v>0.99993069999999895</v>
      </c>
      <c r="N633">
        <v>0</v>
      </c>
      <c r="O633">
        <v>3.7417660000000001E-3</v>
      </c>
      <c r="P633">
        <v>0.98327279999999995</v>
      </c>
      <c r="Q633">
        <v>0.18109459999999999</v>
      </c>
      <c r="R633">
        <v>-1.949217E-2</v>
      </c>
      <c r="S633">
        <v>3.0679630000000002</v>
      </c>
      <c r="T633">
        <v>-9.232485E-2</v>
      </c>
      <c r="U633">
        <v>-1.5258789999999999E-4</v>
      </c>
      <c r="V633">
        <v>2.3179370000000001E-2</v>
      </c>
      <c r="W633">
        <v>0.19206860000000001</v>
      </c>
      <c r="X633">
        <v>0.98110770000000003</v>
      </c>
      <c r="Y633">
        <v>3.7883259999999998E-3</v>
      </c>
      <c r="Z633">
        <v>-1.69571699999999E-4</v>
      </c>
      <c r="AA633">
        <v>0.99999280000000002</v>
      </c>
      <c r="AB633">
        <v>32</v>
      </c>
      <c r="AC633">
        <v>38.370600000000003</v>
      </c>
      <c r="AD633">
        <v>-1.1596879999999901</v>
      </c>
      <c r="AE633">
        <v>-2.4999999999977202E-3</v>
      </c>
      <c r="AF633">
        <v>0.14594941645108001</v>
      </c>
      <c r="AG633">
        <v>-1.1596879999999901</v>
      </c>
      <c r="AH633">
        <v>38.3353045874738</v>
      </c>
      <c r="AI633">
        <v>91.732723658567593</v>
      </c>
      <c r="AJ633">
        <v>89.781865690838799</v>
      </c>
      <c r="AK633">
        <v>38.353119238256198</v>
      </c>
      <c r="AL633">
        <v>78.926469711100097</v>
      </c>
      <c r="AM633">
        <v>88.646598069294399</v>
      </c>
      <c r="AN633">
        <v>0.99999997464942303</v>
      </c>
    </row>
    <row r="634" spans="1:40" x14ac:dyDescent="0.25">
      <c r="A634" t="str">
        <f>"20190312172908476"</f>
        <v>20190312172908476</v>
      </c>
      <c r="B634" t="str">
        <f>"1552382948468510"</f>
        <v>1552382948468510</v>
      </c>
      <c r="C634" t="s">
        <v>40</v>
      </c>
      <c r="D634">
        <v>3.0874259999999998</v>
      </c>
      <c r="E634">
        <v>0.4957474</v>
      </c>
      <c r="F634" t="s">
        <v>43</v>
      </c>
      <c r="G634">
        <v>-307.90260000000001</v>
      </c>
      <c r="H634">
        <v>-0.05</v>
      </c>
      <c r="I634">
        <v>367.43619999999999</v>
      </c>
      <c r="J634">
        <v>-346.6979</v>
      </c>
      <c r="K634">
        <v>1.109691</v>
      </c>
      <c r="L634">
        <v>367.43439999999998</v>
      </c>
      <c r="M634">
        <v>0.99992999999999999</v>
      </c>
      <c r="N634">
        <v>0</v>
      </c>
      <c r="O634">
        <v>3.741903E-3</v>
      </c>
      <c r="P634">
        <v>0.98326619999999998</v>
      </c>
      <c r="Q634">
        <v>0.18111720000000001</v>
      </c>
      <c r="R634">
        <v>-1.9602680000000001E-2</v>
      </c>
      <c r="S634">
        <v>3.0678709999999998</v>
      </c>
      <c r="T634">
        <v>-9.1299649999999996E-2</v>
      </c>
      <c r="U634">
        <v>1.8310550000000001E-4</v>
      </c>
      <c r="V634">
        <v>2.3290149999999999E-2</v>
      </c>
      <c r="W634">
        <v>0.19214999999999999</v>
      </c>
      <c r="X634">
        <v>0.98108919999999999</v>
      </c>
      <c r="Y634">
        <v>3.6791699999999998E-3</v>
      </c>
      <c r="Z634">
        <v>-1.660748E-4</v>
      </c>
      <c r="AA634">
        <v>0.99999320000000003</v>
      </c>
      <c r="AB634">
        <v>32</v>
      </c>
      <c r="AC634">
        <v>38.795299999999997</v>
      </c>
      <c r="AD634">
        <v>-1.159691</v>
      </c>
      <c r="AE634">
        <v>1.8000000000029099E-3</v>
      </c>
      <c r="AF634">
        <v>0.143249405322081</v>
      </c>
      <c r="AG634">
        <v>-1.159691</v>
      </c>
      <c r="AH634">
        <v>38.760400145505301</v>
      </c>
      <c r="AI634">
        <v>91.713736961040595</v>
      </c>
      <c r="AJ634">
        <v>89.788249116523303</v>
      </c>
      <c r="AK634">
        <v>38.778009529207303</v>
      </c>
      <c r="AL634">
        <v>78.921718002113707</v>
      </c>
      <c r="AM634">
        <v>88.640106613552803</v>
      </c>
      <c r="AN634">
        <v>1.00000003597183</v>
      </c>
    </row>
    <row r="635" spans="1:40" x14ac:dyDescent="0.25">
      <c r="A635" t="str">
        <f>"20190312172908489"</f>
        <v>20190312172908489</v>
      </c>
      <c r="B635" t="str">
        <f>"1552382948478270"</f>
        <v>1552382948478270</v>
      </c>
      <c r="C635" t="s">
        <v>40</v>
      </c>
      <c r="D635">
        <v>3.064759</v>
      </c>
      <c r="E635">
        <v>0.49580560000000001</v>
      </c>
      <c r="F635" t="s">
        <v>43</v>
      </c>
      <c r="G635">
        <v>-307.51069999999999</v>
      </c>
      <c r="H635">
        <v>-0.05</v>
      </c>
      <c r="I635">
        <v>367.44220000000001</v>
      </c>
      <c r="J635">
        <v>-346.52510000000001</v>
      </c>
      <c r="K635">
        <v>1.1096950000000001</v>
      </c>
      <c r="L635">
        <v>367.43509999999998</v>
      </c>
      <c r="M635">
        <v>0.99992939999999997</v>
      </c>
      <c r="N635">
        <v>0</v>
      </c>
      <c r="O635">
        <v>3.7421139999999999E-3</v>
      </c>
      <c r="P635">
        <v>0.9832805</v>
      </c>
      <c r="Q635">
        <v>0.18102360000000001</v>
      </c>
      <c r="R635">
        <v>-1.9747089999999998E-2</v>
      </c>
      <c r="S635">
        <v>3.06778</v>
      </c>
      <c r="T635">
        <v>-9.0786809999999996E-2</v>
      </c>
      <c r="U635">
        <v>6.1035159999999996E-4</v>
      </c>
      <c r="V635">
        <v>2.3434750000000001E-2</v>
      </c>
      <c r="W635">
        <v>0.19211310000000001</v>
      </c>
      <c r="X635">
        <v>0.98109290000000005</v>
      </c>
      <c r="Y635">
        <v>3.5402099999999998E-3</v>
      </c>
      <c r="Z635">
        <v>-1.630979E-4</v>
      </c>
      <c r="AA635">
        <v>0.99999369999999999</v>
      </c>
      <c r="AB635">
        <v>32</v>
      </c>
      <c r="AC635">
        <v>39.014400000000002</v>
      </c>
      <c r="AD635">
        <v>-1.1596949999999999</v>
      </c>
      <c r="AE635">
        <v>7.1000000000367401E-3</v>
      </c>
      <c r="AF635">
        <v>0.138783044188761</v>
      </c>
      <c r="AG635">
        <v>-1.1596949999999999</v>
      </c>
      <c r="AH635">
        <v>38.979712322548103</v>
      </c>
      <c r="AI635">
        <v>91.704107347492396</v>
      </c>
      <c r="AJ635">
        <v>89.796005444193298</v>
      </c>
      <c r="AK635">
        <v>38.997206643232602</v>
      </c>
      <c r="AL635">
        <v>78.923871440556994</v>
      </c>
      <c r="AM635">
        <v>88.631671892733394</v>
      </c>
      <c r="AN635">
        <v>0.99999995456478996</v>
      </c>
    </row>
    <row r="636" spans="1:40" x14ac:dyDescent="0.25">
      <c r="A636" t="str">
        <f>"20190312172908499"</f>
        <v>20190312172908499</v>
      </c>
      <c r="B636" t="str">
        <f>"1552382948488030"</f>
        <v>1552382948488030</v>
      </c>
      <c r="C636" t="s">
        <v>40</v>
      </c>
      <c r="D636">
        <v>3.0764</v>
      </c>
      <c r="E636">
        <v>0.49577870000000002</v>
      </c>
      <c r="F636" t="s">
        <v>43</v>
      </c>
      <c r="G636">
        <v>-307.64060000000001</v>
      </c>
      <c r="H636">
        <v>-0.05</v>
      </c>
      <c r="I636">
        <v>367.4316</v>
      </c>
      <c r="J636">
        <v>-346.36470000000003</v>
      </c>
      <c r="K636">
        <v>1.1096969999999999</v>
      </c>
      <c r="L636">
        <v>367.4357</v>
      </c>
      <c r="M636">
        <v>0.9999287</v>
      </c>
      <c r="N636">
        <v>0</v>
      </c>
      <c r="O636">
        <v>3.7421860000000002E-3</v>
      </c>
      <c r="P636">
        <v>0.9833018</v>
      </c>
      <c r="Q636">
        <v>0.18090629999999999</v>
      </c>
      <c r="R636">
        <v>-1.9769080000000001E-2</v>
      </c>
      <c r="S636">
        <v>3.067841</v>
      </c>
      <c r="T636">
        <v>-9.1495750000000001E-2</v>
      </c>
      <c r="U636">
        <v>-2.7465820000000001E-4</v>
      </c>
      <c r="V636">
        <v>2.3456919999999999E-2</v>
      </c>
      <c r="W636">
        <v>0.19204470000000001</v>
      </c>
      <c r="X636">
        <v>0.98110580000000003</v>
      </c>
      <c r="Y636">
        <v>3.828588E-3</v>
      </c>
      <c r="Z636">
        <v>-1.6866919999999999E-4</v>
      </c>
      <c r="AA636">
        <v>0.99999269999999996</v>
      </c>
      <c r="AB636">
        <v>32</v>
      </c>
      <c r="AC636">
        <v>38.7241</v>
      </c>
      <c r="AD636">
        <v>-1.159697</v>
      </c>
      <c r="AE636">
        <v>-4.0999999999939904E-3</v>
      </c>
      <c r="AF636">
        <v>0.148888541593517</v>
      </c>
      <c r="AG636">
        <v>-1.159697</v>
      </c>
      <c r="AH636">
        <v>38.689114616440797</v>
      </c>
      <c r="AI636">
        <v>91.716900560365701</v>
      </c>
      <c r="AJ636">
        <v>89.779507930746306</v>
      </c>
      <c r="AK636">
        <v>38.706777891394204</v>
      </c>
      <c r="AL636">
        <v>78.927865254623796</v>
      </c>
      <c r="AM636">
        <v>88.630395906283894</v>
      </c>
      <c r="AN636">
        <v>0.99999999234380799</v>
      </c>
    </row>
    <row r="637" spans="1:40" x14ac:dyDescent="0.25">
      <c r="A637" t="str">
        <f>"20190312172908511"</f>
        <v>20190312172908511</v>
      </c>
      <c r="B637" t="str">
        <f>"1552382948508525"</f>
        <v>1552382948508525</v>
      </c>
      <c r="C637" t="s">
        <v>40</v>
      </c>
      <c r="D637">
        <v>3.1032850000000001</v>
      </c>
      <c r="E637">
        <v>0.49574400000000002</v>
      </c>
      <c r="F637" t="s">
        <v>43</v>
      </c>
      <c r="G637">
        <v>-307.40269999999998</v>
      </c>
      <c r="H637">
        <v>-0.05</v>
      </c>
      <c r="I637">
        <v>367.42950000000002</v>
      </c>
      <c r="J637">
        <v>-346.20310000000001</v>
      </c>
      <c r="K637">
        <v>1.109699</v>
      </c>
      <c r="L637">
        <v>367.43639999999999</v>
      </c>
      <c r="M637">
        <v>0.99992820000000004</v>
      </c>
      <c r="N637">
        <v>0</v>
      </c>
      <c r="O637">
        <v>3.7422150000000001E-3</v>
      </c>
      <c r="P637">
        <v>0.98331460000000004</v>
      </c>
      <c r="Q637">
        <v>0.18081990000000001</v>
      </c>
      <c r="R637">
        <v>-1.9916799999999998E-2</v>
      </c>
      <c r="S637">
        <v>3.0677490000000001</v>
      </c>
      <c r="T637">
        <v>-9.131098E-2</v>
      </c>
      <c r="U637">
        <v>-4.8828130000000002E-4</v>
      </c>
      <c r="V637">
        <v>2.3604799999999999E-2</v>
      </c>
      <c r="W637">
        <v>0.19200449999999999</v>
      </c>
      <c r="X637">
        <v>0.98111020000000004</v>
      </c>
      <c r="Y637">
        <v>3.898239E-3</v>
      </c>
      <c r="Z637">
        <v>-1.6937110000000001E-4</v>
      </c>
      <c r="AA637">
        <v>0.9999924</v>
      </c>
      <c r="AB637">
        <v>32</v>
      </c>
      <c r="AC637">
        <v>38.800400000000003</v>
      </c>
      <c r="AD637">
        <v>-1.159699</v>
      </c>
      <c r="AE637">
        <v>-6.89999999997326E-3</v>
      </c>
      <c r="AF637">
        <v>0.15197303570743401</v>
      </c>
      <c r="AG637">
        <v>-1.159699</v>
      </c>
      <c r="AH637">
        <v>38.765471601822703</v>
      </c>
      <c r="AI637">
        <v>91.713523245764705</v>
      </c>
      <c r="AJ637">
        <v>89.775383386848205</v>
      </c>
      <c r="AK637">
        <v>38.783112124814203</v>
      </c>
      <c r="AL637">
        <v>78.930213087490003</v>
      </c>
      <c r="AM637">
        <v>88.621770978270305</v>
      </c>
      <c r="AN637">
        <v>1.0000000695736599</v>
      </c>
    </row>
    <row r="638" spans="1:40" x14ac:dyDescent="0.25">
      <c r="A638" t="str">
        <f>"20190312172908522"</f>
        <v>20190312172908522</v>
      </c>
      <c r="B638" t="str">
        <f>"1552382948518286"</f>
        <v>1552382948518286</v>
      </c>
      <c r="C638" t="s">
        <v>40</v>
      </c>
      <c r="D638">
        <v>3.0799099999999999</v>
      </c>
      <c r="E638">
        <v>0.49570619999999999</v>
      </c>
      <c r="F638" t="s">
        <v>43</v>
      </c>
      <c r="G638">
        <v>-307.09339999999997</v>
      </c>
      <c r="H638">
        <v>-0.05</v>
      </c>
      <c r="I638">
        <v>367.42860000000002</v>
      </c>
      <c r="J638">
        <v>-346.03030000000001</v>
      </c>
      <c r="K638">
        <v>1.1096999999999999</v>
      </c>
      <c r="L638">
        <v>367.43700000000001</v>
      </c>
      <c r="M638">
        <v>0.99992760000000003</v>
      </c>
      <c r="N638">
        <v>0</v>
      </c>
      <c r="O638">
        <v>3.7422950000000001E-3</v>
      </c>
      <c r="P638">
        <v>0.98332269999999999</v>
      </c>
      <c r="Q638">
        <v>0.18076980000000001</v>
      </c>
      <c r="R638">
        <v>-1.9987189999999998E-2</v>
      </c>
      <c r="S638">
        <v>3.0676269999999999</v>
      </c>
      <c r="T638">
        <v>-9.0962650000000006E-2</v>
      </c>
      <c r="U638">
        <v>-6.1035159999999996E-4</v>
      </c>
      <c r="V638">
        <v>2.3674959999999998E-2</v>
      </c>
      <c r="W638">
        <v>0.19200210000000001</v>
      </c>
      <c r="X638">
        <v>0.98110889999999995</v>
      </c>
      <c r="Y638">
        <v>3.9381279999999999E-3</v>
      </c>
      <c r="Z638">
        <v>-1.693256E-4</v>
      </c>
      <c r="AA638">
        <v>0.99999229999999995</v>
      </c>
      <c r="AB638">
        <v>32</v>
      </c>
      <c r="AC638">
        <v>38.936900000000001</v>
      </c>
      <c r="AD638">
        <v>-1.1597</v>
      </c>
      <c r="AE638">
        <v>-8.3999999999377906E-3</v>
      </c>
      <c r="AF638">
        <v>0.15398623729295799</v>
      </c>
      <c r="AG638">
        <v>-1.1597</v>
      </c>
      <c r="AH638">
        <v>38.9020861543449</v>
      </c>
      <c r="AI638">
        <v>91.707510558538601</v>
      </c>
      <c r="AJ638">
        <v>89.773207138902507</v>
      </c>
      <c r="AK638">
        <v>38.919672699180701</v>
      </c>
      <c r="AL638">
        <v>78.930352333615005</v>
      </c>
      <c r="AM638">
        <v>88.6176742562605</v>
      </c>
      <c r="AN638">
        <v>0.99999999189731004</v>
      </c>
    </row>
    <row r="639" spans="1:40" x14ac:dyDescent="0.25">
      <c r="A639" t="str">
        <f>"20190312172908533"</f>
        <v>20190312172908533</v>
      </c>
      <c r="B639" t="str">
        <f>"1552382948528046"</f>
        <v>1552382948528046</v>
      </c>
      <c r="C639" t="s">
        <v>40</v>
      </c>
      <c r="D639">
        <v>3.0899209999999999</v>
      </c>
      <c r="E639">
        <v>0.49575989999999998</v>
      </c>
      <c r="F639" t="s">
        <v>43</v>
      </c>
      <c r="G639">
        <v>-306.8535</v>
      </c>
      <c r="H639">
        <v>-0.05</v>
      </c>
      <c r="I639">
        <v>367.43389999999999</v>
      </c>
      <c r="J639">
        <v>-345.87310000000002</v>
      </c>
      <c r="K639">
        <v>1.109699</v>
      </c>
      <c r="L639">
        <v>367.43759999999997</v>
      </c>
      <c r="M639">
        <v>0.99992720000000002</v>
      </c>
      <c r="N639">
        <v>0</v>
      </c>
      <c r="O639">
        <v>3.742544E-3</v>
      </c>
      <c r="P639">
        <v>0.98334149999999998</v>
      </c>
      <c r="Q639">
        <v>0.18066499999999999</v>
      </c>
      <c r="R639">
        <v>-1.9996949999999999E-2</v>
      </c>
      <c r="S639">
        <v>3.067596</v>
      </c>
      <c r="T639">
        <v>-9.0806250000000005E-2</v>
      </c>
      <c r="U639">
        <v>-2.4414059999999999E-4</v>
      </c>
      <c r="V639">
        <v>2.3685189999999998E-2</v>
      </c>
      <c r="W639">
        <v>0.1919362</v>
      </c>
      <c r="X639">
        <v>0.98112149999999998</v>
      </c>
      <c r="Y639">
        <v>3.819065E-3</v>
      </c>
      <c r="Z639">
        <v>-1.6728189999999901E-4</v>
      </c>
      <c r="AA639">
        <v>0.99999269999999996</v>
      </c>
      <c r="AB639">
        <v>32</v>
      </c>
      <c r="AC639">
        <v>39.019599999999997</v>
      </c>
      <c r="AD639">
        <v>-1.159699</v>
      </c>
      <c r="AE639">
        <v>-3.69999999998071E-3</v>
      </c>
      <c r="AF639">
        <v>0.14960999737265801</v>
      </c>
      <c r="AG639">
        <v>-1.159699</v>
      </c>
      <c r="AH639">
        <v>38.984876182396697</v>
      </c>
      <c r="AI639">
        <v>91.703885885021407</v>
      </c>
      <c r="AJ639">
        <v>89.780120390758299</v>
      </c>
      <c r="AK639">
        <v>39.002408334341602</v>
      </c>
      <c r="AL639">
        <v>78.934199161811904</v>
      </c>
      <c r="AM639">
        <v>88.617094935520697</v>
      </c>
      <c r="AN639">
        <v>0.99999994542901105</v>
      </c>
    </row>
    <row r="640" spans="1:40" x14ac:dyDescent="0.25">
      <c r="A640" t="str">
        <f>"20190312172908545"</f>
        <v>20190312172908545</v>
      </c>
      <c r="B640" t="str">
        <f>"1552382948537806"</f>
        <v>1552382948537806</v>
      </c>
      <c r="C640" t="s">
        <v>40</v>
      </c>
      <c r="D640">
        <v>3.0594030000000001</v>
      </c>
      <c r="E640">
        <v>0.49575710000000001</v>
      </c>
      <c r="F640" t="s">
        <v>43</v>
      </c>
      <c r="G640">
        <v>-306.96809999999999</v>
      </c>
      <c r="H640">
        <v>-0.05</v>
      </c>
      <c r="I640">
        <v>367.42989999999998</v>
      </c>
      <c r="J640">
        <v>-345.70960000000002</v>
      </c>
      <c r="K640">
        <v>1.109701</v>
      </c>
      <c r="L640">
        <v>367.43819999999999</v>
      </c>
      <c r="M640">
        <v>0.9999268</v>
      </c>
      <c r="N640">
        <v>0</v>
      </c>
      <c r="O640">
        <v>3.7426690000000001E-3</v>
      </c>
      <c r="P640">
        <v>0.98341290000000003</v>
      </c>
      <c r="Q640">
        <v>0.18025550000000001</v>
      </c>
      <c r="R640">
        <v>-2.0183199999999998E-2</v>
      </c>
      <c r="S640">
        <v>3.0676570000000001</v>
      </c>
      <c r="T640">
        <v>-9.1442109999999993E-2</v>
      </c>
      <c r="U640">
        <v>-6.1035159999999996E-4</v>
      </c>
      <c r="V640">
        <v>2.3871759999999999E-2</v>
      </c>
      <c r="W640">
        <v>0.19156690000000001</v>
      </c>
      <c r="X640">
        <v>0.98118919999999998</v>
      </c>
      <c r="Y640">
        <v>3.9384679999999997E-3</v>
      </c>
      <c r="Z640">
        <v>-1.7023240000000001E-4</v>
      </c>
      <c r="AA640">
        <v>0.99999229999999995</v>
      </c>
      <c r="AB640">
        <v>32</v>
      </c>
      <c r="AC640">
        <v>38.741500000000002</v>
      </c>
      <c r="AD640">
        <v>-1.1597010000000001</v>
      </c>
      <c r="AE640">
        <v>-8.3000000000197308E-3</v>
      </c>
      <c r="AF640">
        <v>0.153168902528624</v>
      </c>
      <c r="AG640">
        <v>-1.1597010000000001</v>
      </c>
      <c r="AH640">
        <v>38.706514033967999</v>
      </c>
      <c r="AI640">
        <v>91.716134425007397</v>
      </c>
      <c r="AJ640">
        <v>89.773271086828501</v>
      </c>
      <c r="AK640">
        <v>38.724186186204903</v>
      </c>
      <c r="AL640">
        <v>78.9557590840042</v>
      </c>
      <c r="AM640">
        <v>88.606302100830803</v>
      </c>
      <c r="AN640">
        <v>0.99999999214887303</v>
      </c>
    </row>
    <row r="641" spans="1:40" x14ac:dyDescent="0.25">
      <c r="A641" t="str">
        <f>"20190312172908556"</f>
        <v>20190312172908556</v>
      </c>
      <c r="B641" t="str">
        <f>"1552382948548542"</f>
        <v>1552382948548542</v>
      </c>
      <c r="C641" t="s">
        <v>40</v>
      </c>
      <c r="D641">
        <v>3.1047259999999999</v>
      </c>
      <c r="E641">
        <v>0.49579689999999998</v>
      </c>
      <c r="F641" t="s">
        <v>43</v>
      </c>
      <c r="G641">
        <v>-307.14069999999998</v>
      </c>
      <c r="H641">
        <v>-0.05</v>
      </c>
      <c r="I641">
        <v>367.42169999999999</v>
      </c>
      <c r="J641">
        <v>-345.5453</v>
      </c>
      <c r="K641">
        <v>1.1096999999999999</v>
      </c>
      <c r="L641">
        <v>367.43880000000001</v>
      </c>
      <c r="M641">
        <v>0.99992630000000005</v>
      </c>
      <c r="N641">
        <v>0</v>
      </c>
      <c r="O641">
        <v>3.7431109999999999E-3</v>
      </c>
      <c r="P641">
        <v>0.98346069999999997</v>
      </c>
      <c r="Q641">
        <v>0.18000479999999899</v>
      </c>
      <c r="R641">
        <v>-2.009091E-2</v>
      </c>
      <c r="S641">
        <v>3.0674739999999998</v>
      </c>
      <c r="T641">
        <v>-9.2233659999999995E-2</v>
      </c>
      <c r="U641">
        <v>-1.3122559999999999E-3</v>
      </c>
      <c r="V641">
        <v>2.378017E-2</v>
      </c>
      <c r="W641">
        <v>0.19135260000000001</v>
      </c>
      <c r="X641">
        <v>0.98123320000000003</v>
      </c>
      <c r="Y641">
        <v>4.1675799999999997E-3</v>
      </c>
      <c r="Z641">
        <v>-1.7517259999999901E-4</v>
      </c>
      <c r="AA641">
        <v>0.99999130000000003</v>
      </c>
      <c r="AB641">
        <v>32</v>
      </c>
      <c r="AC641">
        <v>38.404600000000002</v>
      </c>
      <c r="AD641">
        <v>-1.1597</v>
      </c>
      <c r="AE641">
        <v>-1.71000000000276E-2</v>
      </c>
      <c r="AF641">
        <v>0.160715600021889</v>
      </c>
      <c r="AG641">
        <v>-1.1597</v>
      </c>
      <c r="AH641">
        <v>38.369279775383603</v>
      </c>
      <c r="AI641">
        <v>91.731205566548297</v>
      </c>
      <c r="AJ641">
        <v>89.760009263013202</v>
      </c>
      <c r="AK641">
        <v>38.387138003187403</v>
      </c>
      <c r="AL641">
        <v>78.968268564389305</v>
      </c>
      <c r="AM641">
        <v>88.6117095072849</v>
      </c>
      <c r="AN641">
        <v>0.99999995339711301</v>
      </c>
    </row>
    <row r="642" spans="1:40" x14ac:dyDescent="0.25">
      <c r="A642" t="str">
        <f>"20190312172908570"</f>
        <v>20190312172908570</v>
      </c>
      <c r="B642" t="str">
        <f>"1552382948558301"</f>
        <v>1552382948558301</v>
      </c>
      <c r="C642" t="s">
        <v>40</v>
      </c>
      <c r="D642">
        <v>3.0954090000000001</v>
      </c>
      <c r="E642">
        <v>0.49575849999999999</v>
      </c>
      <c r="F642" t="s">
        <v>43</v>
      </c>
      <c r="G642">
        <v>-307.40190000000001</v>
      </c>
      <c r="H642">
        <v>-0.05</v>
      </c>
      <c r="I642">
        <v>367.42290000000003</v>
      </c>
      <c r="J642">
        <v>-345.35480000000001</v>
      </c>
      <c r="K642">
        <v>1.109701</v>
      </c>
      <c r="L642">
        <v>367.43950000000001</v>
      </c>
      <c r="M642">
        <v>0.99992590000000003</v>
      </c>
      <c r="N642">
        <v>0</v>
      </c>
      <c r="O642">
        <v>3.7433840000000002E-3</v>
      </c>
      <c r="P642">
        <v>0.98348440000000004</v>
      </c>
      <c r="Q642">
        <v>0.1798641</v>
      </c>
      <c r="R642">
        <v>-2.0189740000000001E-2</v>
      </c>
      <c r="S642">
        <v>3.0675050000000001</v>
      </c>
      <c r="T642">
        <v>-9.326363E-2</v>
      </c>
      <c r="U642">
        <v>-1.2817379999999999E-3</v>
      </c>
      <c r="V642">
        <v>2.387949E-2</v>
      </c>
      <c r="W642">
        <v>0.1912566</v>
      </c>
      <c r="X642">
        <v>0.98124960000000006</v>
      </c>
      <c r="Y642">
        <v>4.1578259999999999E-3</v>
      </c>
      <c r="Z642">
        <v>-1.769862E-4</v>
      </c>
      <c r="AA642">
        <v>0.99999139999999997</v>
      </c>
      <c r="AB642">
        <v>32</v>
      </c>
      <c r="AC642">
        <v>37.9529</v>
      </c>
      <c r="AD642">
        <v>-1.1597010000000001</v>
      </c>
      <c r="AE642">
        <v>-1.6599999999982601E-2</v>
      </c>
      <c r="AF642">
        <v>0.15853367391024101</v>
      </c>
      <c r="AG642">
        <v>-1.1597010000000001</v>
      </c>
      <c r="AH642">
        <v>37.917169075662201</v>
      </c>
      <c r="AI642">
        <v>91.751836618188307</v>
      </c>
      <c r="AJ642">
        <v>89.760444734702205</v>
      </c>
      <c r="AK642">
        <v>37.935230987137999</v>
      </c>
      <c r="AL642">
        <v>78.973873507692304</v>
      </c>
      <c r="AM642">
        <v>88.605936762425799</v>
      </c>
      <c r="AN642">
        <v>1.00000004729318</v>
      </c>
    </row>
    <row r="643" spans="1:40" x14ac:dyDescent="0.25">
      <c r="A643" t="str">
        <f>"20190312172908582"</f>
        <v>20190312172908582</v>
      </c>
      <c r="B643" t="str">
        <f>"1552382948577821"</f>
        <v>1552382948577821</v>
      </c>
      <c r="C643" t="s">
        <v>40</v>
      </c>
      <c r="D643">
        <v>3.0817060000000001</v>
      </c>
      <c r="E643">
        <v>0.49572100000000002</v>
      </c>
      <c r="F643" t="s">
        <v>43</v>
      </c>
      <c r="G643">
        <v>-307.26389999999998</v>
      </c>
      <c r="H643">
        <v>-0.05</v>
      </c>
      <c r="I643">
        <v>367.42399999999998</v>
      </c>
      <c r="J643">
        <v>-345.16410000000002</v>
      </c>
      <c r="K643">
        <v>1.109704</v>
      </c>
      <c r="L643">
        <v>367.4402</v>
      </c>
      <c r="M643">
        <v>0.99992519999999996</v>
      </c>
      <c r="N643">
        <v>0</v>
      </c>
      <c r="O643">
        <v>3.743578E-3</v>
      </c>
      <c r="P643">
        <v>0.98348639999999998</v>
      </c>
      <c r="Q643">
        <v>0.1798535</v>
      </c>
      <c r="R643">
        <v>-2.0187119999999999E-2</v>
      </c>
      <c r="S643">
        <v>3.0674130000000002</v>
      </c>
      <c r="T643">
        <v>-9.3389269999999996E-2</v>
      </c>
      <c r="U643">
        <v>-1.2512210000000001E-3</v>
      </c>
      <c r="V643">
        <v>2.3876870000000001E-2</v>
      </c>
      <c r="W643">
        <v>0.19129309999999999</v>
      </c>
      <c r="X643">
        <v>0.98124250000000002</v>
      </c>
      <c r="Y643">
        <v>4.1480809999999996E-3</v>
      </c>
      <c r="Z643">
        <v>-1.7708749999999999E-4</v>
      </c>
      <c r="AA643">
        <v>0.99999139999999997</v>
      </c>
      <c r="AB643">
        <v>32</v>
      </c>
      <c r="AC643">
        <v>37.900199999999998</v>
      </c>
      <c r="AD643">
        <v>-1.1597040000000001</v>
      </c>
      <c r="AE643">
        <v>-1.6199999999969301E-2</v>
      </c>
      <c r="AF643">
        <v>0.157943978913475</v>
      </c>
      <c r="AG643">
        <v>-1.1597040000000001</v>
      </c>
      <c r="AH643">
        <v>37.864421591091499</v>
      </c>
      <c r="AI643">
        <v>91.754280117896897</v>
      </c>
      <c r="AJ643">
        <v>89.761003323833094</v>
      </c>
      <c r="AK643">
        <v>37.882506280551198</v>
      </c>
      <c r="AL643">
        <v>78.971742338296096</v>
      </c>
      <c r="AM643">
        <v>88.606079573359494</v>
      </c>
      <c r="AN643">
        <v>0.99999999941742801</v>
      </c>
    </row>
    <row r="644" spans="1:40" x14ac:dyDescent="0.25">
      <c r="A644" t="str">
        <f>"20190312172908600"</f>
        <v>20190312172908600</v>
      </c>
      <c r="B644" t="str">
        <f>"1552382948588557"</f>
        <v>1552382948588557</v>
      </c>
      <c r="C644" t="s">
        <v>40</v>
      </c>
      <c r="D644">
        <v>3.0362390000000001</v>
      </c>
      <c r="E644">
        <v>0.4957124</v>
      </c>
      <c r="F644" t="s">
        <v>43</v>
      </c>
      <c r="G644">
        <v>-306.90100000000001</v>
      </c>
      <c r="H644">
        <v>-0.05</v>
      </c>
      <c r="I644">
        <v>367.42959999999999</v>
      </c>
      <c r="J644">
        <v>-344.91379999999998</v>
      </c>
      <c r="K644">
        <v>1.1094999999999999</v>
      </c>
      <c r="L644">
        <v>367.44119999999998</v>
      </c>
      <c r="M644">
        <v>0.99993319999999997</v>
      </c>
      <c r="N644">
        <v>0</v>
      </c>
      <c r="O644">
        <v>3.7435720000000001E-3</v>
      </c>
      <c r="P644">
        <v>0.98338720000000002</v>
      </c>
      <c r="Q644">
        <v>0.18038969999999999</v>
      </c>
      <c r="R644">
        <v>-2.0241470000000001E-2</v>
      </c>
      <c r="S644">
        <v>3.067383</v>
      </c>
      <c r="T644">
        <v>-9.2968460000000003E-2</v>
      </c>
      <c r="U644">
        <v>-8.5449219999999995E-4</v>
      </c>
      <c r="V644">
        <v>2.3930750000000001E-2</v>
      </c>
      <c r="W644">
        <v>0.19113069999999999</v>
      </c>
      <c r="X644">
        <v>0.98127279999999995</v>
      </c>
      <c r="Y644">
        <v>4.0188029999999996E-3</v>
      </c>
      <c r="Z644">
        <v>-1.7433180000000001E-4</v>
      </c>
      <c r="AA644">
        <v>0.99999190000000004</v>
      </c>
      <c r="AB644">
        <v>32</v>
      </c>
      <c r="AC644">
        <v>38.012799999999899</v>
      </c>
      <c r="AD644">
        <v>-1.1595</v>
      </c>
      <c r="AE644">
        <v>-1.15999999999871E-2</v>
      </c>
      <c r="AF644">
        <v>0.153769010957994</v>
      </c>
      <c r="AG644">
        <v>-1.1595</v>
      </c>
      <c r="AH644">
        <v>37.977155252162703</v>
      </c>
      <c r="AI644">
        <v>91.748769242323903</v>
      </c>
      <c r="AJ644">
        <v>89.7680113967604</v>
      </c>
      <c r="AK644">
        <v>37.995162931689102</v>
      </c>
      <c r="AL644">
        <v>78.981221720217903</v>
      </c>
      <c r="AM644">
        <v>88.602978451381702</v>
      </c>
      <c r="AN644">
        <v>0.99999996664894497</v>
      </c>
    </row>
    <row r="645" spans="1:40" x14ac:dyDescent="0.25">
      <c r="A645" t="str">
        <f>"20190312172908611"</f>
        <v>20190312172908611</v>
      </c>
      <c r="B645" t="str">
        <f>"1552382948608078"</f>
        <v>1552382948608078</v>
      </c>
      <c r="C645" t="s">
        <v>40</v>
      </c>
      <c r="D645">
        <v>3.0332309999999998</v>
      </c>
      <c r="E645">
        <v>0.49571959999999998</v>
      </c>
      <c r="F645" t="s">
        <v>43</v>
      </c>
      <c r="G645">
        <v>-305.98930000000001</v>
      </c>
      <c r="H645">
        <v>-0.05</v>
      </c>
      <c r="I645">
        <v>367.42919999999998</v>
      </c>
      <c r="J645">
        <v>-344.74369999999999</v>
      </c>
      <c r="K645">
        <v>1.1093409999999999</v>
      </c>
      <c r="L645">
        <v>367.4418</v>
      </c>
      <c r="M645">
        <v>0.99993969999999999</v>
      </c>
      <c r="N645">
        <v>0</v>
      </c>
      <c r="O645">
        <v>3.7436850000000001E-3</v>
      </c>
      <c r="P645">
        <v>0.98325090000000004</v>
      </c>
      <c r="Q645">
        <v>0.1811286</v>
      </c>
      <c r="R645">
        <v>-2.025248E-2</v>
      </c>
      <c r="S645">
        <v>3.067383</v>
      </c>
      <c r="T645">
        <v>-9.1372490000000001E-2</v>
      </c>
      <c r="U645">
        <v>-9.4604490000000003E-4</v>
      </c>
      <c r="V645">
        <v>2.394131E-2</v>
      </c>
      <c r="W645">
        <v>0.19126879999999999</v>
      </c>
      <c r="X645">
        <v>0.98124560000000005</v>
      </c>
      <c r="Y645">
        <v>4.048846E-3</v>
      </c>
      <c r="Z645">
        <v>-1.7179049999999999E-4</v>
      </c>
      <c r="AA645">
        <v>0.99999179999999999</v>
      </c>
      <c r="AB645">
        <v>32</v>
      </c>
      <c r="AC645">
        <v>38.754399999999897</v>
      </c>
      <c r="AD645">
        <v>-1.159341</v>
      </c>
      <c r="AE645">
        <v>-1.26000000000203E-2</v>
      </c>
      <c r="AF645">
        <v>0.15755091570565599</v>
      </c>
      <c r="AG645">
        <v>-1.159341</v>
      </c>
      <c r="AH645">
        <v>38.719430740864603</v>
      </c>
      <c r="AI645">
        <v>91.715029264534493</v>
      </c>
      <c r="AJ645">
        <v>89.766862463217095</v>
      </c>
      <c r="AK645">
        <v>38.737103799095898</v>
      </c>
      <c r="AL645">
        <v>78.973160085416495</v>
      </c>
      <c r="AM645">
        <v>88.602323500628103</v>
      </c>
      <c r="AN645">
        <v>0.99999993384865504</v>
      </c>
    </row>
    <row r="646" spans="1:40" x14ac:dyDescent="0.25">
      <c r="A646" t="str">
        <f>"20190312172908621"</f>
        <v>20190312172908621</v>
      </c>
      <c r="B646" t="str">
        <f>"1552382948617837"</f>
        <v>1552382948617837</v>
      </c>
      <c r="C646" t="s">
        <v>40</v>
      </c>
      <c r="D646">
        <v>3.0598879999999999</v>
      </c>
      <c r="E646">
        <v>0.49572529999999998</v>
      </c>
      <c r="F646" t="s">
        <v>43</v>
      </c>
      <c r="G646">
        <v>-304.91239999999999</v>
      </c>
      <c r="H646">
        <v>-0.05</v>
      </c>
      <c r="I646">
        <v>367.42759999999998</v>
      </c>
      <c r="J646">
        <v>-344.58280000000002</v>
      </c>
      <c r="K646">
        <v>1.109186</v>
      </c>
      <c r="L646">
        <v>367.44240000000002</v>
      </c>
      <c r="M646">
        <v>0.999946</v>
      </c>
      <c r="N646">
        <v>0</v>
      </c>
      <c r="O646">
        <v>3.7437870000000002E-3</v>
      </c>
      <c r="P646">
        <v>0.98318890000000003</v>
      </c>
      <c r="Q646">
        <v>0.1814443</v>
      </c>
      <c r="R646">
        <v>-2.0438890000000001E-2</v>
      </c>
      <c r="S646">
        <v>3.0675349999999999</v>
      </c>
      <c r="T646">
        <v>-8.9284539999999996E-2</v>
      </c>
      <c r="U646">
        <v>-1.0986329999999999E-3</v>
      </c>
      <c r="V646">
        <v>2.4127679999999999E-2</v>
      </c>
      <c r="W646">
        <v>0.190973</v>
      </c>
      <c r="X646">
        <v>0.98129869999999997</v>
      </c>
      <c r="Y646">
        <v>4.0987869999999996E-3</v>
      </c>
      <c r="Z646">
        <v>-1.685872E-4</v>
      </c>
      <c r="AA646">
        <v>0.99999159999999998</v>
      </c>
      <c r="AB646">
        <v>33</v>
      </c>
      <c r="AC646">
        <v>39.670400000000001</v>
      </c>
      <c r="AD646">
        <v>-1.159186</v>
      </c>
      <c r="AE646">
        <v>-1.4800000000036499E-2</v>
      </c>
      <c r="AF646">
        <v>0.16318507066194601</v>
      </c>
      <c r="AG646">
        <v>-1.159186</v>
      </c>
      <c r="AH646">
        <v>39.636223829616597</v>
      </c>
      <c r="AI646">
        <v>91.675159005865495</v>
      </c>
      <c r="AJ646">
        <v>89.764110651863803</v>
      </c>
      <c r="AK646">
        <v>39.653506541305397</v>
      </c>
      <c r="AL646">
        <v>78.990427029662101</v>
      </c>
      <c r="AM646">
        <v>88.591523908865696</v>
      </c>
      <c r="AN646">
        <v>0.99999998514643595</v>
      </c>
    </row>
    <row r="647" spans="1:40" x14ac:dyDescent="0.25">
      <c r="A647" t="str">
        <f>"20190312172908632"</f>
        <v>20190312172908632</v>
      </c>
      <c r="B647" t="str">
        <f>"1552382948628573"</f>
        <v>1552382948628573</v>
      </c>
      <c r="C647" t="s">
        <v>40</v>
      </c>
      <c r="D647">
        <v>3.0960450000000002</v>
      </c>
      <c r="E647">
        <v>0.49572319999999997</v>
      </c>
      <c r="F647" t="s">
        <v>43</v>
      </c>
      <c r="G647">
        <v>-304.1515</v>
      </c>
      <c r="H647">
        <v>-0.05</v>
      </c>
      <c r="I647">
        <v>367.42149999999998</v>
      </c>
      <c r="J647">
        <v>-344.42809999999997</v>
      </c>
      <c r="K647">
        <v>1.109056</v>
      </c>
      <c r="L647">
        <v>367.44299999999998</v>
      </c>
      <c r="M647">
        <v>0.9999517</v>
      </c>
      <c r="N647">
        <v>0</v>
      </c>
      <c r="O647">
        <v>3.7436050000000001E-3</v>
      </c>
      <c r="P647">
        <v>0.98309250000000004</v>
      </c>
      <c r="Q647">
        <v>0.18198829999999999</v>
      </c>
      <c r="R647">
        <v>-2.0238010000000001E-2</v>
      </c>
      <c r="S647">
        <v>3.0675050000000001</v>
      </c>
      <c r="T647">
        <v>-8.794689E-2</v>
      </c>
      <c r="U647">
        <v>-1.586914E-3</v>
      </c>
      <c r="V647">
        <v>2.392617E-2</v>
      </c>
      <c r="W647">
        <v>0.19092480000000001</v>
      </c>
      <c r="X647">
        <v>0.98131299999999999</v>
      </c>
      <c r="Y647">
        <v>4.2577989999999996E-3</v>
      </c>
      <c r="Z647">
        <v>-1.6833730000000001E-4</v>
      </c>
      <c r="AA647">
        <v>0.99999090000000002</v>
      </c>
      <c r="AB647">
        <v>33</v>
      </c>
      <c r="AC647">
        <v>40.276599999999902</v>
      </c>
      <c r="AD647">
        <v>-1.1590559999999901</v>
      </c>
      <c r="AE647">
        <v>-2.1500000000059999E-2</v>
      </c>
      <c r="AF647">
        <v>0.172143198330208</v>
      </c>
      <c r="AG647">
        <v>-1.1590559999999901</v>
      </c>
      <c r="AH647">
        <v>40.242910541077499</v>
      </c>
      <c r="AI647">
        <v>91.649732972304406</v>
      </c>
      <c r="AJ647">
        <v>89.754912891577206</v>
      </c>
      <c r="AK647">
        <v>40.2599663798796</v>
      </c>
      <c r="AL647">
        <v>78.993240311479695</v>
      </c>
      <c r="AM647">
        <v>88.603302911310905</v>
      </c>
      <c r="AN647">
        <v>0.99999997241745398</v>
      </c>
    </row>
    <row r="648" spans="1:40" x14ac:dyDescent="0.25">
      <c r="A648" t="str">
        <f>"20190312172908644"</f>
        <v>20190312172908644</v>
      </c>
      <c r="B648" t="str">
        <f>"1552382948638334"</f>
        <v>1552382948638334</v>
      </c>
      <c r="C648" t="s">
        <v>40</v>
      </c>
      <c r="D648">
        <v>3.134096</v>
      </c>
      <c r="E648">
        <v>0.49572319999999997</v>
      </c>
      <c r="F648" t="s">
        <v>43</v>
      </c>
      <c r="G648">
        <v>-303.33749999999998</v>
      </c>
      <c r="H648">
        <v>-0.05</v>
      </c>
      <c r="I648">
        <v>367.42910000000001</v>
      </c>
      <c r="J648">
        <v>-344.25740000000002</v>
      </c>
      <c r="K648">
        <v>1.1089150000000001</v>
      </c>
      <c r="L648">
        <v>367.4436</v>
      </c>
      <c r="M648">
        <v>0.9999574</v>
      </c>
      <c r="N648">
        <v>0</v>
      </c>
      <c r="O648">
        <v>3.743508E-3</v>
      </c>
      <c r="P648">
        <v>0.98301799999999995</v>
      </c>
      <c r="Q648">
        <v>0.1824105</v>
      </c>
      <c r="R648">
        <v>-2.0054760000000001E-2</v>
      </c>
      <c r="S648">
        <v>3.067596</v>
      </c>
      <c r="T648">
        <v>-8.6528540000000001E-2</v>
      </c>
      <c r="U648">
        <v>-1.037598E-3</v>
      </c>
      <c r="V648">
        <v>2.3742360000000001E-2</v>
      </c>
      <c r="W648">
        <v>0.1906931</v>
      </c>
      <c r="X648">
        <v>0.98136250000000003</v>
      </c>
      <c r="Y648">
        <v>4.0787719999999996E-3</v>
      </c>
      <c r="Z648">
        <v>-1.6309089999999999E-4</v>
      </c>
      <c r="AA648">
        <v>0.99999170000000004</v>
      </c>
      <c r="AB648">
        <v>33</v>
      </c>
      <c r="AC648">
        <v>40.919899999999998</v>
      </c>
      <c r="AD648">
        <v>-1.1589149999999999</v>
      </c>
      <c r="AE648">
        <v>-1.4499999999998099E-2</v>
      </c>
      <c r="AF648">
        <v>0.167554926342665</v>
      </c>
      <c r="AG648">
        <v>-1.1589149999999999</v>
      </c>
      <c r="AH648">
        <v>40.886763287192203</v>
      </c>
      <c r="AI648">
        <v>91.623572081161498</v>
      </c>
      <c r="AJ648">
        <v>89.765201850096304</v>
      </c>
      <c r="AK648">
        <v>40.9035276074504</v>
      </c>
      <c r="AL648">
        <v>79.006764047024703</v>
      </c>
      <c r="AM648">
        <v>88.6140985529983</v>
      </c>
      <c r="AN648">
        <v>0.99999995722611301</v>
      </c>
    </row>
    <row r="649" spans="1:40" x14ac:dyDescent="0.25">
      <c r="A649" t="str">
        <f>"20190312172908654"</f>
        <v>20190312172908654</v>
      </c>
      <c r="B649" t="str">
        <f>"1552382948648093"</f>
        <v>1552382948648093</v>
      </c>
      <c r="C649" t="s">
        <v>40</v>
      </c>
      <c r="D649">
        <v>3.110023</v>
      </c>
      <c r="E649">
        <v>0.51216499999999998</v>
      </c>
      <c r="F649" t="s">
        <v>43</v>
      </c>
      <c r="G649">
        <v>-302.53879999999998</v>
      </c>
      <c r="H649">
        <v>-0.05</v>
      </c>
      <c r="I649">
        <v>367.43700000000001</v>
      </c>
      <c r="J649">
        <v>-344.08620000000002</v>
      </c>
      <c r="K649">
        <v>1.108795</v>
      </c>
      <c r="L649">
        <v>367.44420000000002</v>
      </c>
      <c r="M649">
        <v>0.99996269999999998</v>
      </c>
      <c r="N649">
        <v>0</v>
      </c>
      <c r="O649">
        <v>3.7434949999999999E-3</v>
      </c>
      <c r="P649">
        <v>0.98293319999999995</v>
      </c>
      <c r="Q649">
        <v>0.18285999999999999</v>
      </c>
      <c r="R649">
        <v>-2.0112850000000002E-2</v>
      </c>
      <c r="S649">
        <v>3.0676570000000001</v>
      </c>
      <c r="T649">
        <v>-8.5217479999999998E-2</v>
      </c>
      <c r="U649">
        <v>-4.8828130000000002E-4</v>
      </c>
      <c r="V649">
        <v>2.3800109999999999E-2</v>
      </c>
      <c r="W649">
        <v>0.19050159999999999</v>
      </c>
      <c r="X649">
        <v>0.98139829999999995</v>
      </c>
      <c r="Y649">
        <v>3.89983E-3</v>
      </c>
      <c r="Z649">
        <v>-1.5813160000000001E-4</v>
      </c>
      <c r="AA649">
        <v>0.9999924</v>
      </c>
      <c r="AB649">
        <v>33</v>
      </c>
      <c r="AC649">
        <v>41.547400000000003</v>
      </c>
      <c r="AD649">
        <v>-1.158795</v>
      </c>
      <c r="AE649">
        <v>-7.2000000000684797E-3</v>
      </c>
      <c r="AF649">
        <v>0.16261065004983599</v>
      </c>
      <c r="AG649">
        <v>-1.158795</v>
      </c>
      <c r="AH649">
        <v>41.514787427419797</v>
      </c>
      <c r="AI649">
        <v>91.598859658508999</v>
      </c>
      <c r="AJ649">
        <v>89.775577405504507</v>
      </c>
      <c r="AK649">
        <v>41.531275241911203</v>
      </c>
      <c r="AL649">
        <v>79.017941159160102</v>
      </c>
      <c r="AM649">
        <v>88.610779518102007</v>
      </c>
      <c r="AN649">
        <v>0.99999996404072999</v>
      </c>
    </row>
    <row r="650" spans="1:40" x14ac:dyDescent="0.25">
      <c r="A650" t="str">
        <f>"20190312172908665"</f>
        <v>20190312172908665</v>
      </c>
      <c r="B650" t="str">
        <f>"1552382948657853"</f>
        <v>1552382948657853</v>
      </c>
      <c r="C650" t="s">
        <v>40</v>
      </c>
      <c r="D650">
        <v>3.1550579999999999</v>
      </c>
      <c r="E650">
        <v>0.51890760000000002</v>
      </c>
      <c r="F650" t="s">
        <v>42</v>
      </c>
      <c r="G650">
        <v>-343.2432</v>
      </c>
      <c r="H650">
        <v>1.0363960000000001</v>
      </c>
      <c r="I650">
        <v>367.4101</v>
      </c>
      <c r="J650">
        <v>-343.93169999999998</v>
      </c>
      <c r="K650">
        <v>1.108695</v>
      </c>
      <c r="L650">
        <v>367.44490000000002</v>
      </c>
      <c r="M650">
        <v>0.99996719999999895</v>
      </c>
      <c r="N650">
        <v>0</v>
      </c>
      <c r="O650">
        <v>3.7435599999999999E-3</v>
      </c>
      <c r="P650">
        <v>0.98281569999999996</v>
      </c>
      <c r="Q650">
        <v>0.18348729999999999</v>
      </c>
      <c r="R650">
        <v>-2.0150729999999999E-2</v>
      </c>
      <c r="S650">
        <v>3.0991209999999998</v>
      </c>
      <c r="T650">
        <v>-0.26642739999999998</v>
      </c>
      <c r="U650">
        <v>-0.1243591</v>
      </c>
      <c r="V650">
        <v>2.3837500000000001E-2</v>
      </c>
      <c r="W650">
        <v>0.1905541</v>
      </c>
      <c r="X650">
        <v>0.98138729999999996</v>
      </c>
      <c r="Y650">
        <v>4.3660749999999998E-2</v>
      </c>
      <c r="Z650">
        <v>-2.193647E-3</v>
      </c>
      <c r="AA650">
        <v>0.99904400000000004</v>
      </c>
      <c r="AB650">
        <v>33</v>
      </c>
      <c r="AC650">
        <v>0.68849999999997602</v>
      </c>
      <c r="AD650">
        <v>-7.2299000000000099E-2</v>
      </c>
      <c r="AE650">
        <v>-3.4800000000018302E-2</v>
      </c>
      <c r="AF650">
        <v>3.6970628062604302E-2</v>
      </c>
      <c r="AG650">
        <v>-7.2299000000000099E-2</v>
      </c>
      <c r="AH650">
        <v>0.68087602031561301</v>
      </c>
      <c r="AI650">
        <v>96.052405342338801</v>
      </c>
      <c r="AJ650">
        <v>86.891970371738196</v>
      </c>
      <c r="AK650">
        <v>0.685701194239277</v>
      </c>
      <c r="AL650">
        <v>79.014878090395598</v>
      </c>
      <c r="AM650">
        <v>88.608582318851703</v>
      </c>
      <c r="AN650">
        <v>1.0000000620171701</v>
      </c>
    </row>
    <row r="651" spans="1:40" x14ac:dyDescent="0.25">
      <c r="A651" t="str">
        <f>"20190312172908677"</f>
        <v>20190312172908677</v>
      </c>
      <c r="B651" t="str">
        <f>"1552382948668590"</f>
        <v>1552382948668590</v>
      </c>
      <c r="C651" t="s">
        <v>40</v>
      </c>
      <c r="D651">
        <v>3.1109719999999998</v>
      </c>
      <c r="E651">
        <v>0.52422530000000001</v>
      </c>
      <c r="F651" t="s">
        <v>42</v>
      </c>
      <c r="G651">
        <v>-342.95769999999999</v>
      </c>
      <c r="H651">
        <v>1.002329</v>
      </c>
      <c r="I651">
        <v>367.38979999999998</v>
      </c>
      <c r="J651">
        <v>-343.74869999999999</v>
      </c>
      <c r="K651">
        <v>1.108589</v>
      </c>
      <c r="L651">
        <v>367.44560000000001</v>
      </c>
      <c r="M651">
        <v>0.99997170000000002</v>
      </c>
      <c r="N651">
        <v>0</v>
      </c>
      <c r="O651">
        <v>3.743513E-3</v>
      </c>
      <c r="P651">
        <v>0.9827226</v>
      </c>
      <c r="Q651">
        <v>0.18397240000000001</v>
      </c>
      <c r="R651">
        <v>-2.0260500000000001E-2</v>
      </c>
      <c r="S651">
        <v>3.1123660000000002</v>
      </c>
      <c r="T651">
        <v>-0.34010000000000001</v>
      </c>
      <c r="U651">
        <v>-0.175293</v>
      </c>
      <c r="V651">
        <v>2.394694E-2</v>
      </c>
      <c r="W651">
        <v>0.19037570000000001</v>
      </c>
      <c r="X651">
        <v>0.98141920000000005</v>
      </c>
      <c r="Y651">
        <v>5.9593769999999997E-2</v>
      </c>
      <c r="Z651">
        <v>-3.651362E-3</v>
      </c>
      <c r="AA651">
        <v>0.99821599999999999</v>
      </c>
      <c r="AB651">
        <v>34</v>
      </c>
      <c r="AC651">
        <v>0.79099999999999604</v>
      </c>
      <c r="AD651">
        <v>-0.10625999999999999</v>
      </c>
      <c r="AE651">
        <v>-5.5800000000033302E-2</v>
      </c>
      <c r="AF651">
        <v>5.7724243722663798E-2</v>
      </c>
      <c r="AG651">
        <v>-0.10625999999999999</v>
      </c>
      <c r="AH651">
        <v>0.77683601648565404</v>
      </c>
      <c r="AI651">
        <v>97.767748639961795</v>
      </c>
      <c r="AJ651">
        <v>85.7503406639714</v>
      </c>
      <c r="AK651">
        <v>0.78619175296021304</v>
      </c>
      <c r="AL651">
        <v>79.025289624088998</v>
      </c>
      <c r="AM651">
        <v>88.602242146070793</v>
      </c>
      <c r="AN651">
        <v>1.0000000046072399</v>
      </c>
    </row>
    <row r="652" spans="1:40" x14ac:dyDescent="0.25">
      <c r="A652" t="str">
        <f>"20190312172908689"</f>
        <v>20190312172908689</v>
      </c>
      <c r="B652" t="str">
        <f>"1552382948678350"</f>
        <v>1552382948678350</v>
      </c>
      <c r="C652" t="s">
        <v>40</v>
      </c>
      <c r="D652">
        <v>3.0882649999999998</v>
      </c>
      <c r="E652">
        <v>0.52886840000000002</v>
      </c>
      <c r="F652" t="s">
        <v>42</v>
      </c>
      <c r="G652">
        <v>-342.9556</v>
      </c>
      <c r="H652">
        <v>1.006699</v>
      </c>
      <c r="I652">
        <v>367.39069999999998</v>
      </c>
      <c r="J652">
        <v>-343.57679999999999</v>
      </c>
      <c r="K652">
        <v>1.108498</v>
      </c>
      <c r="L652">
        <v>367.44619999999998</v>
      </c>
      <c r="M652">
        <v>0.99997570000000002</v>
      </c>
      <c r="N652">
        <v>0</v>
      </c>
      <c r="O652">
        <v>3.7430559999999998E-3</v>
      </c>
      <c r="P652">
        <v>0.98256779999999999</v>
      </c>
      <c r="Q652">
        <v>0.18480779999999999</v>
      </c>
      <c r="R652">
        <v>-2.0184879999999999E-2</v>
      </c>
      <c r="S652">
        <v>3.1234440000000001</v>
      </c>
      <c r="T652">
        <v>-0.40148089999999997</v>
      </c>
      <c r="U652">
        <v>-0.215332</v>
      </c>
      <c r="V652">
        <v>2.3869990000000001E-2</v>
      </c>
      <c r="W652">
        <v>0.1906079</v>
      </c>
      <c r="X652">
        <v>0.98137600000000003</v>
      </c>
      <c r="Y652">
        <v>7.1891750000000004E-2</v>
      </c>
      <c r="Z652">
        <v>-5.0747070000000003E-3</v>
      </c>
      <c r="AA652">
        <v>0.99739949999999999</v>
      </c>
      <c r="AB652">
        <v>34</v>
      </c>
      <c r="AC652">
        <v>0.62119999999998698</v>
      </c>
      <c r="AD652">
        <v>-0.101798999999999</v>
      </c>
      <c r="AE652">
        <v>-5.5499999999994998E-2</v>
      </c>
      <c r="AF652">
        <v>5.6324232262265302E-2</v>
      </c>
      <c r="AG652">
        <v>-0.101798999999999</v>
      </c>
      <c r="AH652">
        <v>0.60487272123052804</v>
      </c>
      <c r="AI652">
        <v>99.512856036922599</v>
      </c>
      <c r="AJ652">
        <v>84.680101223054606</v>
      </c>
      <c r="AK652">
        <v>0.61595979124432898</v>
      </c>
      <c r="AL652">
        <v>79.011737342401602</v>
      </c>
      <c r="AM652">
        <v>88.606670556630206</v>
      </c>
      <c r="AN652">
        <v>1.0000000006705001</v>
      </c>
    </row>
    <row r="653" spans="1:40" x14ac:dyDescent="0.25">
      <c r="A653" t="str">
        <f>"20190312172908699"</f>
        <v>20190312172908699</v>
      </c>
      <c r="B653" t="str">
        <f>"1552382948697869"</f>
        <v>1552382948697869</v>
      </c>
      <c r="C653" t="s">
        <v>40</v>
      </c>
      <c r="D653">
        <v>3.073134</v>
      </c>
      <c r="E653">
        <v>0.53529019999999905</v>
      </c>
      <c r="F653" t="s">
        <v>42</v>
      </c>
      <c r="G653">
        <v>-342.66539999999998</v>
      </c>
      <c r="H653">
        <v>0.97681899999999999</v>
      </c>
      <c r="I653">
        <v>367.3732</v>
      </c>
      <c r="J653">
        <v>-343.40519999999998</v>
      </c>
      <c r="K653">
        <v>1.108422</v>
      </c>
      <c r="L653">
        <v>367.4468</v>
      </c>
      <c r="M653">
        <v>0.99997899999999995</v>
      </c>
      <c r="N653">
        <v>0</v>
      </c>
      <c r="O653">
        <v>3.742895E-3</v>
      </c>
      <c r="P653">
        <v>0.98244219999999904</v>
      </c>
      <c r="Q653">
        <v>0.18545719999999999</v>
      </c>
      <c r="R653">
        <v>-2.032403E-2</v>
      </c>
      <c r="S653">
        <v>3.1333009999999999</v>
      </c>
      <c r="T653">
        <v>-0.45287290000000002</v>
      </c>
      <c r="U653">
        <v>-0.2497559</v>
      </c>
      <c r="V653">
        <v>2.4008910000000001E-2</v>
      </c>
      <c r="W653">
        <v>0.19067290000000001</v>
      </c>
      <c r="X653">
        <v>0.98136000000000001</v>
      </c>
      <c r="Y653">
        <v>8.2300129999999999E-2</v>
      </c>
      <c r="Z653">
        <v>-6.4450469999999998E-3</v>
      </c>
      <c r="AA653">
        <v>0.99658670000000005</v>
      </c>
      <c r="AB653">
        <v>34</v>
      </c>
      <c r="AC653">
        <v>0.73980000000000201</v>
      </c>
      <c r="AD653">
        <v>-0.131602999999999</v>
      </c>
      <c r="AE653">
        <v>-7.3599999999999E-2</v>
      </c>
      <c r="AF653">
        <v>7.4048237230804906E-2</v>
      </c>
      <c r="AG653">
        <v>-0.131602999999999</v>
      </c>
      <c r="AH653">
        <v>0.71705076260246503</v>
      </c>
      <c r="AI653">
        <v>100.346142821079</v>
      </c>
      <c r="AJ653">
        <v>84.104091477098294</v>
      </c>
      <c r="AK653">
        <v>0.73277847075003999</v>
      </c>
      <c r="AL653">
        <v>79.007943709594002</v>
      </c>
      <c r="AM653">
        <v>88.598541959112296</v>
      </c>
      <c r="AN653">
        <v>1.00000001607689</v>
      </c>
    </row>
    <row r="654" spans="1:40" x14ac:dyDescent="0.25">
      <c r="A654" t="str">
        <f>"20190312172908710"</f>
        <v>20190312172908710</v>
      </c>
      <c r="B654" t="str">
        <f>"1552382948708606"</f>
        <v>1552382948708606</v>
      </c>
      <c r="C654" t="s">
        <v>40</v>
      </c>
      <c r="D654">
        <v>3.0902949999999998</v>
      </c>
      <c r="E654">
        <v>0.53756789999999999</v>
      </c>
      <c r="F654" t="s">
        <v>42</v>
      </c>
      <c r="G654">
        <v>-342.66109999999998</v>
      </c>
      <c r="H654">
        <v>0.98573230000000001</v>
      </c>
      <c r="I654">
        <v>367.3759</v>
      </c>
      <c r="J654">
        <v>-343.24630000000002</v>
      </c>
      <c r="K654">
        <v>1.1083639999999999</v>
      </c>
      <c r="L654">
        <v>367.44740000000002</v>
      </c>
      <c r="M654">
        <v>0.99998149999999997</v>
      </c>
      <c r="N654">
        <v>0</v>
      </c>
      <c r="O654">
        <v>3.7428750000000001E-3</v>
      </c>
      <c r="P654">
        <v>0.98230649999999997</v>
      </c>
      <c r="Q654">
        <v>0.1861468</v>
      </c>
      <c r="R654">
        <v>-2.0589090000000001E-2</v>
      </c>
      <c r="S654">
        <v>3.1453859999999998</v>
      </c>
      <c r="T654">
        <v>-0.51883919999999994</v>
      </c>
      <c r="U654">
        <v>-0.29821779999999998</v>
      </c>
      <c r="V654">
        <v>2.427325E-2</v>
      </c>
      <c r="W654">
        <v>0.1908668</v>
      </c>
      <c r="X654">
        <v>0.98131579999999996</v>
      </c>
      <c r="Y654">
        <v>9.6767130000000007E-2</v>
      </c>
      <c r="Z654">
        <v>-8.5219839999999998E-3</v>
      </c>
      <c r="AA654">
        <v>0.99527060000000001</v>
      </c>
      <c r="AB654">
        <v>34</v>
      </c>
      <c r="AC654">
        <v>0.58520000000004302</v>
      </c>
      <c r="AD654">
        <v>-0.122631699999999</v>
      </c>
      <c r="AE654">
        <v>-7.1500000000014496E-2</v>
      </c>
      <c r="AF654">
        <v>7.0633712064482199E-2</v>
      </c>
      <c r="AG654">
        <v>-0.122631699999999</v>
      </c>
      <c r="AH654">
        <v>0.56066952472818599</v>
      </c>
      <c r="AI654">
        <v>102.243821256678</v>
      </c>
      <c r="AJ654">
        <v>82.819647445539005</v>
      </c>
      <c r="AK654">
        <v>0.57825424432841599</v>
      </c>
      <c r="AL654">
        <v>78.996626171902804</v>
      </c>
      <c r="AM654">
        <v>88.583054258295306</v>
      </c>
      <c r="AN654">
        <v>1.0000000126687201</v>
      </c>
    </row>
    <row r="655" spans="1:40" x14ac:dyDescent="0.25">
      <c r="A655" t="str">
        <f>"20190312172908721"</f>
        <v>20190312172908721</v>
      </c>
      <c r="B655" t="str">
        <f>"1552382948718366"</f>
        <v>1552382948718366</v>
      </c>
      <c r="C655" t="s">
        <v>40</v>
      </c>
      <c r="D655">
        <v>3.0691440000000001</v>
      </c>
      <c r="E655">
        <v>0.53920880000000004</v>
      </c>
      <c r="F655" t="s">
        <v>42</v>
      </c>
      <c r="G655">
        <v>-342.36720000000003</v>
      </c>
      <c r="H655">
        <v>0.95797929999999998</v>
      </c>
      <c r="I655">
        <v>367.35890000000001</v>
      </c>
      <c r="J655">
        <v>-343.08300000000003</v>
      </c>
      <c r="K655">
        <v>1.1083069999999999</v>
      </c>
      <c r="L655">
        <v>367.44799999999998</v>
      </c>
      <c r="M655">
        <v>0.99998370000000003</v>
      </c>
      <c r="N655">
        <v>0</v>
      </c>
      <c r="O655">
        <v>3.742839E-3</v>
      </c>
      <c r="P655">
        <v>0.98221809999999998</v>
      </c>
      <c r="Q655">
        <v>0.1866082</v>
      </c>
      <c r="R655">
        <v>-2.0615999999999999E-2</v>
      </c>
      <c r="S655">
        <v>3.1495359999999999</v>
      </c>
      <c r="T655">
        <v>-0.53884580000000004</v>
      </c>
      <c r="U655">
        <v>-0.31674190000000002</v>
      </c>
      <c r="V655">
        <v>2.429982E-2</v>
      </c>
      <c r="W655">
        <v>0.19083629999999999</v>
      </c>
      <c r="X655">
        <v>0.981321</v>
      </c>
      <c r="Y655">
        <v>0.1022614</v>
      </c>
      <c r="Z655">
        <v>-9.2975420000000007E-3</v>
      </c>
      <c r="AA655">
        <v>0.99471410000000005</v>
      </c>
      <c r="AB655">
        <v>34</v>
      </c>
      <c r="AC655">
        <v>0.71580000000000099</v>
      </c>
      <c r="AD655">
        <v>-0.15032769999999901</v>
      </c>
      <c r="AE655">
        <v>-8.9100000000030294E-2</v>
      </c>
      <c r="AF655">
        <v>8.7958257538913398E-2</v>
      </c>
      <c r="AG655">
        <v>-0.15032769999999901</v>
      </c>
      <c r="AH655">
        <v>0.68568051799735796</v>
      </c>
      <c r="AI655">
        <v>102.268357964486</v>
      </c>
      <c r="AJ655">
        <v>82.690089036367993</v>
      </c>
      <c r="AK655">
        <v>0.70745518954750597</v>
      </c>
      <c r="AL655">
        <v>78.998405604813598</v>
      </c>
      <c r="AM655">
        <v>88.5815113871313</v>
      </c>
      <c r="AN655">
        <v>0.99999993984535895</v>
      </c>
    </row>
    <row r="656" spans="1:40" x14ac:dyDescent="0.25">
      <c r="A656" t="str">
        <f>"20190312172908733"</f>
        <v>20190312172908733</v>
      </c>
      <c r="B656" t="str">
        <f>"1552382948728126"</f>
        <v>1552382948728126</v>
      </c>
      <c r="C656" t="s">
        <v>40</v>
      </c>
      <c r="D656">
        <v>3.237841</v>
      </c>
      <c r="E656">
        <v>0.54041740000000005</v>
      </c>
      <c r="F656" t="s">
        <v>42</v>
      </c>
      <c r="G656">
        <v>-342.35649999999998</v>
      </c>
      <c r="H656">
        <v>0.98065950000000002</v>
      </c>
      <c r="I656">
        <v>367.37220000000002</v>
      </c>
      <c r="J656">
        <v>-342.90550000000002</v>
      </c>
      <c r="K656">
        <v>1.108274</v>
      </c>
      <c r="L656">
        <v>367.44869999999997</v>
      </c>
      <c r="M656">
        <v>0.99998569999999998</v>
      </c>
      <c r="N656">
        <v>0</v>
      </c>
      <c r="O656">
        <v>3.7431090000000001E-3</v>
      </c>
      <c r="P656">
        <v>0.98216999999999999</v>
      </c>
      <c r="Q656">
        <v>0.18686330000000001</v>
      </c>
      <c r="R656">
        <v>-2.0600790000000001E-2</v>
      </c>
      <c r="S656">
        <v>3.152679</v>
      </c>
      <c r="T656">
        <v>-0.55407489999999904</v>
      </c>
      <c r="U656">
        <v>-0.3286133</v>
      </c>
      <c r="V656">
        <v>2.428483E-2</v>
      </c>
      <c r="W656">
        <v>0.1906524</v>
      </c>
      <c r="X656">
        <v>0.98135720000000004</v>
      </c>
      <c r="Y656">
        <v>0.10573349999999999</v>
      </c>
      <c r="Z656">
        <v>-9.8473310000000008E-3</v>
      </c>
      <c r="AA656">
        <v>0.9943457</v>
      </c>
      <c r="AB656">
        <v>34</v>
      </c>
      <c r="AC656">
        <v>0.54900000000003402</v>
      </c>
      <c r="AD656">
        <v>-0.12761449999999999</v>
      </c>
      <c r="AE656">
        <v>-7.6499999999953106E-2</v>
      </c>
      <c r="AF656">
        <v>7.46003739736643E-2</v>
      </c>
      <c r="AG656">
        <v>-0.12761449999999999</v>
      </c>
      <c r="AH656">
        <v>0.52109025925905506</v>
      </c>
      <c r="AI656">
        <v>103.627160954008</v>
      </c>
      <c r="AJ656">
        <v>81.852775272636606</v>
      </c>
      <c r="AK656">
        <v>0.54165093436818601</v>
      </c>
      <c r="AL656">
        <v>79.009140291509695</v>
      </c>
      <c r="AM656">
        <v>88.582438334115594</v>
      </c>
      <c r="AN656">
        <v>1.00000002229286</v>
      </c>
    </row>
    <row r="657" spans="1:40" x14ac:dyDescent="0.25">
      <c r="A657" t="str">
        <f>"20190312172908744"</f>
        <v>20190312172908744</v>
      </c>
      <c r="B657" t="str">
        <f>"1552382948737885"</f>
        <v>1552382948737885</v>
      </c>
      <c r="C657" t="s">
        <v>40</v>
      </c>
      <c r="D657">
        <v>3.2023860000000002</v>
      </c>
      <c r="E657">
        <v>0.54143319999999995</v>
      </c>
      <c r="F657" t="s">
        <v>42</v>
      </c>
      <c r="G657">
        <v>-342.0591</v>
      </c>
      <c r="H657">
        <v>0.95614790000000005</v>
      </c>
      <c r="I657">
        <v>367.35770000000002</v>
      </c>
      <c r="J657">
        <v>-342.73289999999997</v>
      </c>
      <c r="K657">
        <v>1.1082510000000001</v>
      </c>
      <c r="L657">
        <v>367.44929999999999</v>
      </c>
      <c r="M657">
        <v>0.99998719999999996</v>
      </c>
      <c r="N657">
        <v>0</v>
      </c>
      <c r="O657">
        <v>3.7433259999999999E-3</v>
      </c>
      <c r="P657">
        <v>0.98214389999999996</v>
      </c>
      <c r="Q657">
        <v>0.18701300000000001</v>
      </c>
      <c r="R657">
        <v>-2.048935E-2</v>
      </c>
      <c r="S657">
        <v>3.1552730000000002</v>
      </c>
      <c r="T657">
        <v>-0.56715309999999997</v>
      </c>
      <c r="U657">
        <v>-0.33834839999999999</v>
      </c>
      <c r="V657">
        <v>2.417333E-2</v>
      </c>
      <c r="W657">
        <v>0.1904033</v>
      </c>
      <c r="X657">
        <v>0.98140830000000001</v>
      </c>
      <c r="Y657">
        <v>0.10856300000000001</v>
      </c>
      <c r="Z657">
        <v>-1.031807E-2</v>
      </c>
      <c r="AA657">
        <v>0.99403600000000003</v>
      </c>
      <c r="AB657">
        <v>34</v>
      </c>
      <c r="AC657">
        <v>0.67379999999997098</v>
      </c>
      <c r="AD657">
        <v>-0.15210309999999999</v>
      </c>
      <c r="AE657">
        <v>-9.1599999999971204E-2</v>
      </c>
      <c r="AF657">
        <v>8.9636781514627201E-2</v>
      </c>
      <c r="AG657">
        <v>-0.15210309999999999</v>
      </c>
      <c r="AH657">
        <v>0.64136274777484503</v>
      </c>
      <c r="AI657">
        <v>103.21767383628701</v>
      </c>
      <c r="AJ657">
        <v>82.043883368015898</v>
      </c>
      <c r="AK657">
        <v>0.66521897136447505</v>
      </c>
      <c r="AL657">
        <v>79.023678844281804</v>
      </c>
      <c r="AM657">
        <v>88.589017650637601</v>
      </c>
      <c r="AN657">
        <v>1.00000000892153</v>
      </c>
    </row>
    <row r="658" spans="1:40" x14ac:dyDescent="0.25">
      <c r="A658" t="str">
        <f>"20190312172908754"</f>
        <v>20190312172908754</v>
      </c>
      <c r="B658" t="str">
        <f>"1552382948747738"</f>
        <v>1552382948747738</v>
      </c>
      <c r="C658" t="s">
        <v>40</v>
      </c>
      <c r="D658">
        <v>3.0666039999999999</v>
      </c>
      <c r="E658">
        <v>0.5424291</v>
      </c>
      <c r="F658" t="s">
        <v>42</v>
      </c>
      <c r="G658">
        <v>-341.7602</v>
      </c>
      <c r="H658">
        <v>0.93005859999999996</v>
      </c>
      <c r="I658">
        <v>367.34269999999998</v>
      </c>
      <c r="J658">
        <v>-342.5609</v>
      </c>
      <c r="K658">
        <v>1.1082650000000001</v>
      </c>
      <c r="L658">
        <v>367.45</v>
      </c>
      <c r="M658">
        <v>0.99998790000000004</v>
      </c>
      <c r="N658">
        <v>0</v>
      </c>
      <c r="O658">
        <v>3.7442980000000001E-3</v>
      </c>
      <c r="P658">
        <v>0.98210819999999999</v>
      </c>
      <c r="Q658">
        <v>0.18721769999999999</v>
      </c>
      <c r="R658">
        <v>-2.0327520000000002E-2</v>
      </c>
      <c r="S658">
        <v>3.1574710000000001</v>
      </c>
      <c r="T658">
        <v>-0.5784899</v>
      </c>
      <c r="U658">
        <v>-0.34579470000000001</v>
      </c>
      <c r="V658">
        <v>2.4012329999999998E-2</v>
      </c>
      <c r="W658">
        <v>0.19035460000000001</v>
      </c>
      <c r="X658">
        <v>0.98142169999999895</v>
      </c>
      <c r="Y658">
        <v>0.110704</v>
      </c>
      <c r="Z658">
        <v>-1.070665E-2</v>
      </c>
      <c r="AA658">
        <v>0.99379580000000001</v>
      </c>
      <c r="AB658">
        <v>35</v>
      </c>
      <c r="AC658">
        <v>0.80070000000000596</v>
      </c>
      <c r="AD658">
        <v>-0.17820639999999999</v>
      </c>
      <c r="AE658">
        <v>-0.107300000000009</v>
      </c>
      <c r="AF658">
        <v>0.10517924234362799</v>
      </c>
      <c r="AG658">
        <v>-0.17820639999999999</v>
      </c>
      <c r="AH658">
        <v>0.76315698075873994</v>
      </c>
      <c r="AI658">
        <v>103.024871883679</v>
      </c>
      <c r="AJ658">
        <v>82.152860033799101</v>
      </c>
      <c r="AK658">
        <v>0.790714089479716</v>
      </c>
      <c r="AL658">
        <v>79.0265211384651</v>
      </c>
      <c r="AM658">
        <v>88.598430489321302</v>
      </c>
      <c r="AN658">
        <v>1.0000000094820301</v>
      </c>
    </row>
    <row r="659" spans="1:40" x14ac:dyDescent="0.25">
      <c r="A659" t="str">
        <f>"20190312172908768"</f>
        <v>20190312172908768</v>
      </c>
      <c r="B659" t="str">
        <f>"1552382948758461"</f>
        <v>1552382948758461</v>
      </c>
      <c r="C659" t="s">
        <v>40</v>
      </c>
      <c r="D659">
        <v>3.076419</v>
      </c>
      <c r="E659">
        <v>0.543188</v>
      </c>
      <c r="F659" t="s">
        <v>42</v>
      </c>
      <c r="G659">
        <v>-341.74810000000002</v>
      </c>
      <c r="H659">
        <v>0.95712390000000003</v>
      </c>
      <c r="I659">
        <v>367.35890000000001</v>
      </c>
      <c r="J659">
        <v>-342.3673</v>
      </c>
      <c r="K659">
        <v>1.1082909999999999</v>
      </c>
      <c r="L659">
        <v>367.45069999999998</v>
      </c>
      <c r="M659">
        <v>0.99998860000000001</v>
      </c>
      <c r="N659">
        <v>0</v>
      </c>
      <c r="O659">
        <v>3.745665E-3</v>
      </c>
      <c r="P659">
        <v>0.98206559999999998</v>
      </c>
      <c r="Q659">
        <v>0.1874516</v>
      </c>
      <c r="R659">
        <v>-2.0228409999999999E-2</v>
      </c>
      <c r="S659">
        <v>3.1593019999999998</v>
      </c>
      <c r="T659">
        <v>-0.58750249999999904</v>
      </c>
      <c r="U659">
        <v>-0.35333249999999999</v>
      </c>
      <c r="V659">
        <v>2.3914379999999999E-2</v>
      </c>
      <c r="W659">
        <v>0.19036729999999999</v>
      </c>
      <c r="X659">
        <v>0.98142160000000001</v>
      </c>
      <c r="Y659">
        <v>0.1128922</v>
      </c>
      <c r="Z659">
        <v>-1.106452E-2</v>
      </c>
      <c r="AA659">
        <v>0.99354569999999998</v>
      </c>
      <c r="AB659">
        <v>35</v>
      </c>
      <c r="AC659">
        <v>0.61919999999997799</v>
      </c>
      <c r="AD659">
        <v>-0.1511671</v>
      </c>
      <c r="AE659">
        <v>-9.1799999999977899E-2</v>
      </c>
      <c r="AF659">
        <v>8.8932239191901005E-2</v>
      </c>
      <c r="AG659">
        <v>-0.1511671</v>
      </c>
      <c r="AH659">
        <v>0.58474975849930999</v>
      </c>
      <c r="AI659">
        <v>104.336589467444</v>
      </c>
      <c r="AJ659">
        <v>81.352382521855603</v>
      </c>
      <c r="AK659">
        <v>0.61048563894255303</v>
      </c>
      <c r="AL659">
        <v>79.025779619908505</v>
      </c>
      <c r="AM659">
        <v>88.604145298945994</v>
      </c>
      <c r="AN659">
        <v>0.99999998171331606</v>
      </c>
    </row>
    <row r="660" spans="1:40" x14ac:dyDescent="0.25">
      <c r="A660" t="str">
        <f>"20190312172908780"</f>
        <v>20190312172908780</v>
      </c>
      <c r="B660" t="str">
        <f>"1552382948768221"</f>
        <v>1552382948768221</v>
      </c>
      <c r="C660" t="s">
        <v>40</v>
      </c>
      <c r="D660">
        <v>3.0861100000000001</v>
      </c>
      <c r="E660">
        <v>0.54392390000000002</v>
      </c>
      <c r="F660" t="s">
        <v>42</v>
      </c>
      <c r="G660">
        <v>-341.44639999999998</v>
      </c>
      <c r="H660">
        <v>0.93506160000000005</v>
      </c>
      <c r="I660">
        <v>367.34570000000002</v>
      </c>
      <c r="J660">
        <v>-342.16660000000002</v>
      </c>
      <c r="K660">
        <v>1.1083459999999901</v>
      </c>
      <c r="L660">
        <v>367.45139999999998</v>
      </c>
      <c r="M660">
        <v>0.99998889999999996</v>
      </c>
      <c r="N660">
        <v>0</v>
      </c>
      <c r="O660">
        <v>3.7471359999999999E-3</v>
      </c>
      <c r="P660">
        <v>0.9820333</v>
      </c>
      <c r="Q660">
        <v>0.18761800000000001</v>
      </c>
      <c r="R660">
        <v>-2.024925E-2</v>
      </c>
      <c r="S660">
        <v>3.1608890000000001</v>
      </c>
      <c r="T660">
        <v>-0.59467389999999998</v>
      </c>
      <c r="U660">
        <v>-0.35906979999999999</v>
      </c>
      <c r="V660">
        <v>2.3936570000000001E-2</v>
      </c>
      <c r="W660">
        <v>0.1904286</v>
      </c>
      <c r="X660">
        <v>0.98140919999999998</v>
      </c>
      <c r="Y660">
        <v>0.11454489999999901</v>
      </c>
      <c r="Z660">
        <v>-1.134459E-2</v>
      </c>
      <c r="AA660">
        <v>0.99335329999999999</v>
      </c>
      <c r="AB660">
        <v>35</v>
      </c>
      <c r="AC660">
        <v>0.72020000000003304</v>
      </c>
      <c r="AD660">
        <v>-0.17328439999999901</v>
      </c>
      <c r="AE660">
        <v>-0.105699999999956</v>
      </c>
      <c r="AF660">
        <v>0.10258444046382199</v>
      </c>
      <c r="AG660">
        <v>-0.17328439999999901</v>
      </c>
      <c r="AH660">
        <v>0.68119517052918299</v>
      </c>
      <c r="AI660">
        <v>104.11960887103901</v>
      </c>
      <c r="AJ660">
        <v>81.435908511135494</v>
      </c>
      <c r="AK660">
        <v>0.71033647735486505</v>
      </c>
      <c r="AL660">
        <v>79.022202306056499</v>
      </c>
      <c r="AM660">
        <v>88.602832961614098</v>
      </c>
      <c r="AN660">
        <v>1.0000000144629799</v>
      </c>
    </row>
    <row r="661" spans="1:40" x14ac:dyDescent="0.25">
      <c r="A661" t="str">
        <f>"20190312172908800"</f>
        <v>20190312172908800</v>
      </c>
      <c r="B661" t="str">
        <f>"1552382948787741"</f>
        <v>1552382948787741</v>
      </c>
      <c r="C661" t="s">
        <v>40</v>
      </c>
      <c r="D661">
        <v>3.1232549999999999</v>
      </c>
      <c r="E661">
        <v>0.54501009999999905</v>
      </c>
      <c r="F661" t="s">
        <v>42</v>
      </c>
      <c r="G661">
        <v>-341.43119999999999</v>
      </c>
      <c r="H661">
        <v>0.96850740000000002</v>
      </c>
      <c r="I661">
        <v>367.3664</v>
      </c>
      <c r="J661">
        <v>-341.86160000000001</v>
      </c>
      <c r="K661">
        <v>1.1084540000000001</v>
      </c>
      <c r="L661">
        <v>367.45260000000002</v>
      </c>
      <c r="M661">
        <v>0.99998889999999996</v>
      </c>
      <c r="N661">
        <v>0</v>
      </c>
      <c r="O661">
        <v>3.7494920000000001E-3</v>
      </c>
      <c r="P661">
        <v>0.98202239999999996</v>
      </c>
      <c r="Q661">
        <v>0.18769859999999999</v>
      </c>
      <c r="R661">
        <v>-2.0035689999999998E-2</v>
      </c>
      <c r="S661">
        <v>3.1622919999999999</v>
      </c>
      <c r="T661">
        <v>-0.60156969999999899</v>
      </c>
      <c r="U661">
        <v>-0.3641663</v>
      </c>
      <c r="V661">
        <v>2.3725019999999999E-2</v>
      </c>
      <c r="W661">
        <v>0.19052830000000001</v>
      </c>
      <c r="X661">
        <v>0.98139489999999996</v>
      </c>
      <c r="Y661">
        <v>0.1160069</v>
      </c>
      <c r="Z661">
        <v>-1.160569E-2</v>
      </c>
      <c r="AA661">
        <v>0.99318059999999997</v>
      </c>
      <c r="AB661">
        <v>35</v>
      </c>
      <c r="AC661">
        <v>0.43040000000001999</v>
      </c>
      <c r="AD661">
        <v>-0.1399466</v>
      </c>
      <c r="AE661">
        <v>-8.6200000000019303E-2</v>
      </c>
      <c r="AF661">
        <v>7.9710720556809403E-2</v>
      </c>
      <c r="AG661">
        <v>-0.1399466</v>
      </c>
      <c r="AH661">
        <v>0.39039115864191498</v>
      </c>
      <c r="AI661">
        <v>109.35286667446501</v>
      </c>
      <c r="AJ661">
        <v>78.459876655361398</v>
      </c>
      <c r="AK661">
        <v>0.42230807068894899</v>
      </c>
      <c r="AL661">
        <v>79.0163824379446</v>
      </c>
      <c r="AM661">
        <v>88.615156041476993</v>
      </c>
      <c r="AN661">
        <v>0.99999992971044704</v>
      </c>
    </row>
    <row r="662" spans="1:40" x14ac:dyDescent="0.25">
      <c r="A662" t="str">
        <f>"20190312172908812"</f>
        <v>20190312172908812</v>
      </c>
      <c r="B662" t="str">
        <f>"1552382948808237"</f>
        <v>1552382948808237</v>
      </c>
      <c r="C662" t="s">
        <v>40</v>
      </c>
      <c r="D662">
        <v>3.1224289999999999</v>
      </c>
      <c r="E662">
        <v>0.54604180000000002</v>
      </c>
      <c r="F662" t="s">
        <v>42</v>
      </c>
      <c r="G662">
        <v>-341.12060000000002</v>
      </c>
      <c r="H662">
        <v>0.96473249999999999</v>
      </c>
      <c r="I662">
        <v>367.36520000000002</v>
      </c>
      <c r="J662">
        <v>-341.67320000000001</v>
      </c>
      <c r="K662">
        <v>1.1085229999999999</v>
      </c>
      <c r="L662">
        <v>367.45330000000001</v>
      </c>
      <c r="M662">
        <v>0.99998869999999895</v>
      </c>
      <c r="N662">
        <v>0</v>
      </c>
      <c r="O662">
        <v>3.7508609999999999E-3</v>
      </c>
      <c r="P662">
        <v>0.98204040000000004</v>
      </c>
      <c r="Q662">
        <v>0.1876138</v>
      </c>
      <c r="R662">
        <v>-1.9945850000000001E-2</v>
      </c>
      <c r="S662">
        <v>3.1647029999999998</v>
      </c>
      <c r="T662">
        <v>-0.61398509999999995</v>
      </c>
      <c r="U662">
        <v>-0.3714905</v>
      </c>
      <c r="V662">
        <v>2.3636649999999999E-2</v>
      </c>
      <c r="W662">
        <v>0.1905241</v>
      </c>
      <c r="X662">
        <v>0.98139790000000005</v>
      </c>
      <c r="Y662">
        <v>0.1180684</v>
      </c>
      <c r="Z662">
        <v>-1.202831E-2</v>
      </c>
      <c r="AA662">
        <v>0.99293260000000005</v>
      </c>
      <c r="AB662">
        <v>35</v>
      </c>
      <c r="AC662">
        <v>0.55259999999998399</v>
      </c>
      <c r="AD662">
        <v>-0.14379049999999899</v>
      </c>
      <c r="AE662">
        <v>-8.8099999999997097E-2</v>
      </c>
      <c r="AF662">
        <v>8.4586885611930396E-2</v>
      </c>
      <c r="AG662">
        <v>-0.14379049999999899</v>
      </c>
      <c r="AH662">
        <v>0.51805851849498696</v>
      </c>
      <c r="AI662">
        <v>105.31919273939199</v>
      </c>
      <c r="AJ662">
        <v>80.726762319493503</v>
      </c>
      <c r="AK662">
        <v>0.54425662852462997</v>
      </c>
      <c r="AL662">
        <v>79.016628141041593</v>
      </c>
      <c r="AM662">
        <v>88.620316470937894</v>
      </c>
      <c r="AN662">
        <v>0.99999998101422105</v>
      </c>
    </row>
    <row r="663" spans="1:40" x14ac:dyDescent="0.25">
      <c r="A663" t="str">
        <f>"20190312172908824"</f>
        <v>20190312172908824</v>
      </c>
      <c r="B663" t="str">
        <f>"1552382948817998"</f>
        <v>1552382948817998</v>
      </c>
      <c r="C663" t="s">
        <v>40</v>
      </c>
      <c r="D663">
        <v>3.0463429999999998</v>
      </c>
      <c r="E663">
        <v>0.54646340000000004</v>
      </c>
      <c r="F663" t="s">
        <v>42</v>
      </c>
      <c r="G663">
        <v>-340.8184</v>
      </c>
      <c r="H663">
        <v>0.93993009999999999</v>
      </c>
      <c r="I663">
        <v>367.35059999999999</v>
      </c>
      <c r="J663">
        <v>-341.48349999999999</v>
      </c>
      <c r="K663">
        <v>1.108592</v>
      </c>
      <c r="L663">
        <v>367.45389999999998</v>
      </c>
      <c r="M663">
        <v>0.99998830000000005</v>
      </c>
      <c r="N663">
        <v>0</v>
      </c>
      <c r="O663">
        <v>3.7522520000000002E-3</v>
      </c>
      <c r="P663">
        <v>0.98204919999999996</v>
      </c>
      <c r="Q663">
        <v>0.187582</v>
      </c>
      <c r="R663">
        <v>-1.9812710000000001E-2</v>
      </c>
      <c r="S663">
        <v>3.166534</v>
      </c>
      <c r="T663">
        <v>-0.62461279999999997</v>
      </c>
      <c r="U663">
        <v>-0.3789978</v>
      </c>
      <c r="V663">
        <v>2.3504580000000001E-2</v>
      </c>
      <c r="W663">
        <v>0.19059480000000001</v>
      </c>
      <c r="X663">
        <v>0.98138740000000002</v>
      </c>
      <c r="Y663">
        <v>0.1202097</v>
      </c>
      <c r="Z663">
        <v>-1.2432820000000001E-2</v>
      </c>
      <c r="AA663">
        <v>0.99267070000000002</v>
      </c>
      <c r="AB663">
        <v>35</v>
      </c>
      <c r="AC663">
        <v>0.66509999999999503</v>
      </c>
      <c r="AD663">
        <v>-0.1686619</v>
      </c>
      <c r="AE663">
        <v>-0.10329999999999</v>
      </c>
      <c r="AF663">
        <v>9.9544269443686204E-2</v>
      </c>
      <c r="AG663">
        <v>-0.1686619</v>
      </c>
      <c r="AH663">
        <v>0.62543505128486998</v>
      </c>
      <c r="AI663">
        <v>104.912830731048</v>
      </c>
      <c r="AJ663">
        <v>80.9566539557064</v>
      </c>
      <c r="AK663">
        <v>0.65538149307589999</v>
      </c>
      <c r="AL663">
        <v>79.012502326686402</v>
      </c>
      <c r="AM663">
        <v>88.628007837255893</v>
      </c>
      <c r="AN663">
        <v>1.0000000359733801</v>
      </c>
    </row>
    <row r="664" spans="1:40" x14ac:dyDescent="0.25">
      <c r="A664" t="str">
        <f>"20190312172908834"</f>
        <v>20190312172908834</v>
      </c>
      <c r="B664" t="str">
        <f>"1552382948827757"</f>
        <v>1552382948827757</v>
      </c>
      <c r="C664" t="s">
        <v>40</v>
      </c>
      <c r="D664">
        <v>3.0541299999999998</v>
      </c>
      <c r="E664">
        <v>0.54678609999999905</v>
      </c>
      <c r="F664" t="s">
        <v>42</v>
      </c>
      <c r="G664">
        <v>-340.51409999999998</v>
      </c>
      <c r="H664">
        <v>0.91616359999999997</v>
      </c>
      <c r="I664">
        <v>367.33679999999998</v>
      </c>
      <c r="J664">
        <v>-341.31599999999997</v>
      </c>
      <c r="K664">
        <v>1.1086480000000001</v>
      </c>
      <c r="L664">
        <v>367.45460000000003</v>
      </c>
      <c r="M664">
        <v>0.99998799999999999</v>
      </c>
      <c r="N664">
        <v>0</v>
      </c>
      <c r="O664">
        <v>3.7528990000000001E-3</v>
      </c>
      <c r="P664">
        <v>0.98208949999999995</v>
      </c>
      <c r="Q664">
        <v>0.18738479999999999</v>
      </c>
      <c r="R664">
        <v>-1.967679E-2</v>
      </c>
      <c r="S664">
        <v>3.1672359999999999</v>
      </c>
      <c r="T664">
        <v>-0.62880119999999995</v>
      </c>
      <c r="U664">
        <v>-0.38171389999999999</v>
      </c>
      <c r="V664">
        <v>2.336968E-2</v>
      </c>
      <c r="W664">
        <v>0.1905143</v>
      </c>
      <c r="X664">
        <v>0.98140620000000001</v>
      </c>
      <c r="Y664">
        <v>0.12097860000000001</v>
      </c>
      <c r="Z664">
        <v>-1.2586750000000001E-2</v>
      </c>
      <c r="AA664">
        <v>0.99257530000000005</v>
      </c>
      <c r="AB664">
        <v>35</v>
      </c>
      <c r="AC664">
        <v>0.80189999999998895</v>
      </c>
      <c r="AD664">
        <v>-0.192484399999999</v>
      </c>
      <c r="AE664">
        <v>-0.11780000000004499</v>
      </c>
      <c r="AF664">
        <v>0.11435881019549</v>
      </c>
      <c r="AG664">
        <v>-0.192484399999999</v>
      </c>
      <c r="AH664">
        <v>0.75866370597704602</v>
      </c>
      <c r="AI664">
        <v>104.083733328085</v>
      </c>
      <c r="AJ664">
        <v>81.427932274132701</v>
      </c>
      <c r="AK664">
        <v>0.79101125180335696</v>
      </c>
      <c r="AL664">
        <v>79.017200159758303</v>
      </c>
      <c r="AM664">
        <v>88.635905259044705</v>
      </c>
      <c r="AN664">
        <v>0.99999998492311604</v>
      </c>
    </row>
    <row r="665" spans="1:40" x14ac:dyDescent="0.25">
      <c r="A665" t="str">
        <f>"20190312172908845"</f>
        <v>20190312172908845</v>
      </c>
      <c r="B665" t="str">
        <f>"1552382948838493"</f>
        <v>1552382948838493</v>
      </c>
      <c r="C665" t="s">
        <v>40</v>
      </c>
      <c r="D665">
        <v>3.0224289999999998</v>
      </c>
      <c r="E665">
        <v>0.54708469999999998</v>
      </c>
      <c r="F665" t="s">
        <v>42</v>
      </c>
      <c r="G665">
        <v>-340.50150000000002</v>
      </c>
      <c r="H665">
        <v>0.94596740000000001</v>
      </c>
      <c r="I665">
        <v>367.35570000000001</v>
      </c>
      <c r="J665">
        <v>-341.15820000000002</v>
      </c>
      <c r="K665">
        <v>1.1086959999999999</v>
      </c>
      <c r="L665">
        <v>367.45519999999999</v>
      </c>
      <c r="M665">
        <v>0.99998750000000003</v>
      </c>
      <c r="N665">
        <v>0</v>
      </c>
      <c r="O665">
        <v>3.7537249999999999E-3</v>
      </c>
      <c r="P665">
        <v>0.98209299999999999</v>
      </c>
      <c r="Q665">
        <v>0.18734980000000001</v>
      </c>
      <c r="R665">
        <v>-1.9845209999999999E-2</v>
      </c>
      <c r="S665">
        <v>3.167786</v>
      </c>
      <c r="T665">
        <v>-0.63282499999999997</v>
      </c>
      <c r="U665">
        <v>-0.38388060000000002</v>
      </c>
      <c r="V665">
        <v>2.3538630000000001E-2</v>
      </c>
      <c r="W665">
        <v>0.1905906</v>
      </c>
      <c r="X665">
        <v>0.98138740000000002</v>
      </c>
      <c r="Y665">
        <v>0.12158679999999999</v>
      </c>
      <c r="Z665">
        <v>-1.272321E-2</v>
      </c>
      <c r="AA665">
        <v>0.99249920000000003</v>
      </c>
      <c r="AB665">
        <v>35</v>
      </c>
      <c r="AC665">
        <v>0.65669999999999995</v>
      </c>
      <c r="AD665">
        <v>-0.162728599999999</v>
      </c>
      <c r="AE665">
        <v>-9.9499999999977704E-2</v>
      </c>
      <c r="AF665">
        <v>9.6190492636686206E-2</v>
      </c>
      <c r="AG665">
        <v>-0.162728599999999</v>
      </c>
      <c r="AH665">
        <v>0.61915663383433295</v>
      </c>
      <c r="AI665">
        <v>104.558519614113</v>
      </c>
      <c r="AJ665">
        <v>81.169277537629895</v>
      </c>
      <c r="AK665">
        <v>0.64737017644676098</v>
      </c>
      <c r="AL665">
        <v>79.012747467172701</v>
      </c>
      <c r="AM665">
        <v>88.626021056880404</v>
      </c>
      <c r="AN665">
        <v>1.0000000363946899</v>
      </c>
    </row>
    <row r="666" spans="1:40" x14ac:dyDescent="0.25">
      <c r="A666" t="str">
        <f>"20190312172908855"</f>
        <v>20190312172908855</v>
      </c>
      <c r="B666" t="str">
        <f>"1552382948848253"</f>
        <v>1552382948848253</v>
      </c>
      <c r="C666" t="s">
        <v>40</v>
      </c>
      <c r="D666">
        <v>3.0740940000000001</v>
      </c>
      <c r="E666">
        <v>0.54743459999999999</v>
      </c>
      <c r="F666" t="s">
        <v>42</v>
      </c>
      <c r="G666">
        <v>-340.19889999999998</v>
      </c>
      <c r="H666">
        <v>0.91623089999999996</v>
      </c>
      <c r="I666">
        <v>367.33760000000001</v>
      </c>
      <c r="J666">
        <v>-340.99259999999998</v>
      </c>
      <c r="K666">
        <v>1.108741</v>
      </c>
      <c r="L666">
        <v>367.45580000000001</v>
      </c>
      <c r="M666">
        <v>0.99998710000000002</v>
      </c>
      <c r="N666">
        <v>0</v>
      </c>
      <c r="O666">
        <v>3.7541580000000001E-3</v>
      </c>
      <c r="P666">
        <v>0.98217209999999999</v>
      </c>
      <c r="Q666">
        <v>0.18695290000000001</v>
      </c>
      <c r="R666">
        <v>-1.96636E-2</v>
      </c>
      <c r="S666">
        <v>3.1681819999999998</v>
      </c>
      <c r="T666">
        <v>-0.63580639999999999</v>
      </c>
      <c r="U666">
        <v>-0.38656620000000003</v>
      </c>
      <c r="V666">
        <v>2.3357639999999999E-2</v>
      </c>
      <c r="W666">
        <v>0.19032279999999999</v>
      </c>
      <c r="X666">
        <v>0.98144359999999997</v>
      </c>
      <c r="Y666">
        <v>0.12236420000000001</v>
      </c>
      <c r="Z666">
        <v>-1.285685E-2</v>
      </c>
      <c r="AA666">
        <v>0.99240200000000001</v>
      </c>
      <c r="AB666">
        <v>35</v>
      </c>
      <c r="AC666">
        <v>0.79370000000000096</v>
      </c>
      <c r="AD666">
        <v>-0.19251009999999899</v>
      </c>
      <c r="AE666">
        <v>-0.118200000000001</v>
      </c>
      <c r="AF666">
        <v>0.114584198555798</v>
      </c>
      <c r="AG666">
        <v>-0.19251009999999899</v>
      </c>
      <c r="AH666">
        <v>0.75008125736556197</v>
      </c>
      <c r="AI666">
        <v>104.23608189713801</v>
      </c>
      <c r="AJ666">
        <v>81.314507489614797</v>
      </c>
      <c r="AK666">
        <v>0.78282282146842497</v>
      </c>
      <c r="AL666">
        <v>79.028376343562499</v>
      </c>
      <c r="AM666">
        <v>88.636659707231004</v>
      </c>
      <c r="AN666">
        <v>0.99999994376358303</v>
      </c>
    </row>
    <row r="667" spans="1:40" x14ac:dyDescent="0.25">
      <c r="A667" t="str">
        <f>"20190312172908866"</f>
        <v>20190312172908866</v>
      </c>
      <c r="B667" t="str">
        <f>"1552382948858013"</f>
        <v>1552382948858013</v>
      </c>
      <c r="C667" t="s">
        <v>40</v>
      </c>
      <c r="D667">
        <v>3.0931570000000002</v>
      </c>
      <c r="E667">
        <v>0.54743459999999999</v>
      </c>
      <c r="F667" t="s">
        <v>42</v>
      </c>
      <c r="G667">
        <v>-340.18630000000002</v>
      </c>
      <c r="H667">
        <v>0.94596579999999997</v>
      </c>
      <c r="I667">
        <v>367.35640000000001</v>
      </c>
      <c r="J667">
        <v>-340.81689999999998</v>
      </c>
      <c r="K667">
        <v>1.108781</v>
      </c>
      <c r="L667">
        <v>367.45650000000001</v>
      </c>
      <c r="M667">
        <v>0.99998659999999995</v>
      </c>
      <c r="N667">
        <v>0</v>
      </c>
      <c r="O667">
        <v>3.754744E-3</v>
      </c>
      <c r="P667">
        <v>0.98220940000000001</v>
      </c>
      <c r="Q667">
        <v>0.186747</v>
      </c>
      <c r="R667">
        <v>-1.9757299999999998E-2</v>
      </c>
      <c r="S667">
        <v>3.1684269999999999</v>
      </c>
      <c r="T667">
        <v>-0.63989110000000005</v>
      </c>
      <c r="U667">
        <v>-0.38879390000000003</v>
      </c>
      <c r="V667">
        <v>2.345189E-2</v>
      </c>
      <c r="W667">
        <v>0.1902549</v>
      </c>
      <c r="X667">
        <v>0.98145459999999995</v>
      </c>
      <c r="Y667">
        <v>0.12299939999999999</v>
      </c>
      <c r="Z667">
        <v>-1.2999719999999999E-2</v>
      </c>
      <c r="AA667">
        <v>0.99232160000000003</v>
      </c>
      <c r="AB667">
        <v>35</v>
      </c>
      <c r="AC667">
        <v>0.63059999999995797</v>
      </c>
      <c r="AD667">
        <v>-0.16281519999999899</v>
      </c>
      <c r="AE667">
        <v>-0.100099999999997</v>
      </c>
      <c r="AF667">
        <v>9.6211016174497496E-2</v>
      </c>
      <c r="AG667">
        <v>-0.16281519999999899</v>
      </c>
      <c r="AH667">
        <v>0.59174219822678498</v>
      </c>
      <c r="AI667">
        <v>105.19387875286201</v>
      </c>
      <c r="AJ667">
        <v>80.765122683505297</v>
      </c>
      <c r="AK667">
        <v>0.62122795988802404</v>
      </c>
      <c r="AL667">
        <v>79.032340036664905</v>
      </c>
      <c r="AM667">
        <v>88.631175941673803</v>
      </c>
      <c r="AN667">
        <v>1.00000002498987</v>
      </c>
    </row>
    <row r="668" spans="1:40" x14ac:dyDescent="0.25">
      <c r="A668" t="str">
        <f>"20190312172908877"</f>
        <v>20190312172908877</v>
      </c>
      <c r="B668" t="str">
        <f>"1552382948867773"</f>
        <v>1552382948867773</v>
      </c>
      <c r="C668" t="s">
        <v>40</v>
      </c>
      <c r="D668">
        <v>3.0797569999999999</v>
      </c>
      <c r="E668">
        <v>0.57185839999999999</v>
      </c>
      <c r="F668" t="s">
        <v>42</v>
      </c>
      <c r="G668">
        <v>-339.88159999999999</v>
      </c>
      <c r="H668">
        <v>0.91971760000000002</v>
      </c>
      <c r="I668">
        <v>367.34140000000002</v>
      </c>
      <c r="J668">
        <v>-340.6309</v>
      </c>
      <c r="K668">
        <v>1.108819</v>
      </c>
      <c r="L668">
        <v>367.4572</v>
      </c>
      <c r="M668">
        <v>0.99998609999999999</v>
      </c>
      <c r="N668">
        <v>0</v>
      </c>
      <c r="O668">
        <v>3.7551170000000001E-3</v>
      </c>
      <c r="P668">
        <v>0.98227489999999995</v>
      </c>
      <c r="Q668">
        <v>0.1864044</v>
      </c>
      <c r="R668">
        <v>-1.974031E-2</v>
      </c>
      <c r="S668">
        <v>3.1682739999999998</v>
      </c>
      <c r="T668">
        <v>-0.64049400000000001</v>
      </c>
      <c r="U668">
        <v>-0.38952639999999999</v>
      </c>
      <c r="V668">
        <v>2.3435339999999999E-2</v>
      </c>
      <c r="W668">
        <v>0.19006300000000001</v>
      </c>
      <c r="X668">
        <v>0.98149219999999904</v>
      </c>
      <c r="Y668">
        <v>0.12322230000000001</v>
      </c>
      <c r="Z668">
        <v>-1.303445E-2</v>
      </c>
      <c r="AA668">
        <v>0.99229350000000005</v>
      </c>
      <c r="AB668">
        <v>35</v>
      </c>
      <c r="AC668">
        <v>0.74930000000000496</v>
      </c>
      <c r="AD668">
        <v>-0.1891014</v>
      </c>
      <c r="AE668">
        <v>-0.115799999999978</v>
      </c>
      <c r="AF668">
        <v>0.111666655602703</v>
      </c>
      <c r="AG668">
        <v>-0.1891014</v>
      </c>
      <c r="AH668">
        <v>0.70500484276249198</v>
      </c>
      <c r="AI668">
        <v>104.83818451630199</v>
      </c>
      <c r="AJ668">
        <v>80.999614839846103</v>
      </c>
      <c r="AK668">
        <v>0.73841763912708502</v>
      </c>
      <c r="AL668">
        <v>79.043539713776994</v>
      </c>
      <c r="AM668">
        <v>88.632193935158796</v>
      </c>
      <c r="AN668">
        <v>1.00000004889537</v>
      </c>
    </row>
    <row r="669" spans="1:40" x14ac:dyDescent="0.25">
      <c r="A669" t="str">
        <f>"20190312172908890"</f>
        <v>20190312172908890</v>
      </c>
      <c r="B669" t="str">
        <f>"1552382948878510"</f>
        <v>1552382948878510</v>
      </c>
      <c r="C669" t="s">
        <v>40</v>
      </c>
      <c r="D669">
        <v>3.226607</v>
      </c>
      <c r="E669">
        <v>0.57179419999999903</v>
      </c>
      <c r="F669" t="s">
        <v>42</v>
      </c>
      <c r="G669">
        <v>-339.87029999999999</v>
      </c>
      <c r="H669">
        <v>0.94253600000000004</v>
      </c>
      <c r="I669">
        <v>367.3175</v>
      </c>
      <c r="J669">
        <v>-340.44990000000001</v>
      </c>
      <c r="K669">
        <v>1.1088499999999999</v>
      </c>
      <c r="L669">
        <v>367.4579</v>
      </c>
      <c r="M669">
        <v>0.99998549999999997</v>
      </c>
      <c r="N669">
        <v>0</v>
      </c>
      <c r="O669">
        <v>3.7555459999999998E-3</v>
      </c>
      <c r="P669">
        <v>0.982321</v>
      </c>
      <c r="Q669">
        <v>0.1861487</v>
      </c>
      <c r="R669">
        <v>-1.9852229999999998E-2</v>
      </c>
      <c r="S669">
        <v>3.1741329999999999</v>
      </c>
      <c r="T669">
        <v>-0.69399</v>
      </c>
      <c r="U669">
        <v>-0.58218380000000003</v>
      </c>
      <c r="V669">
        <v>2.3547769999999999E-2</v>
      </c>
      <c r="W669">
        <v>0.1899535</v>
      </c>
      <c r="X669">
        <v>0.98151060000000001</v>
      </c>
      <c r="Y669">
        <v>0.179898799999999</v>
      </c>
      <c r="Z669">
        <v>-2.0086670000000001E-2</v>
      </c>
      <c r="AA669">
        <v>0.98348000000000002</v>
      </c>
      <c r="AB669">
        <v>35</v>
      </c>
      <c r="AC669">
        <v>0.57960000000002698</v>
      </c>
      <c r="AD669">
        <v>-0.16631399999999899</v>
      </c>
      <c r="AE669">
        <v>-0.140399999999999</v>
      </c>
      <c r="AF669">
        <v>0.132287180063382</v>
      </c>
      <c r="AG669">
        <v>-0.16631399999999899</v>
      </c>
      <c r="AH669">
        <v>0.53728183930759998</v>
      </c>
      <c r="AI669">
        <v>106.729226055967</v>
      </c>
      <c r="AJ669">
        <v>76.168012012344604</v>
      </c>
      <c r="AK669">
        <v>0.57778198263261804</v>
      </c>
      <c r="AL669">
        <v>79.049928851386298</v>
      </c>
      <c r="AM669">
        <v>88.6256602121166</v>
      </c>
      <c r="AN669">
        <v>0.99999994377328905</v>
      </c>
    </row>
    <row r="670" spans="1:40" x14ac:dyDescent="0.25">
      <c r="A670" t="str">
        <f>"20190312172908900"</f>
        <v>20190312172908900</v>
      </c>
      <c r="B670" t="str">
        <f>"1552382948898029"</f>
        <v>1552382948898029</v>
      </c>
      <c r="C670" t="s">
        <v>40</v>
      </c>
      <c r="D670">
        <v>3.069985</v>
      </c>
      <c r="E670">
        <v>0.57234249999999998</v>
      </c>
      <c r="F670" t="s">
        <v>42</v>
      </c>
      <c r="G670">
        <v>-339.5634</v>
      </c>
      <c r="H670">
        <v>0.91611310000000001</v>
      </c>
      <c r="I670">
        <v>367.29480000000001</v>
      </c>
      <c r="J670">
        <v>-340.2765</v>
      </c>
      <c r="K670">
        <v>1.108878</v>
      </c>
      <c r="L670">
        <v>367.45850000000002</v>
      </c>
      <c r="M670">
        <v>0.99998489999999995</v>
      </c>
      <c r="N670">
        <v>0</v>
      </c>
      <c r="O670">
        <v>3.7557379999999998E-3</v>
      </c>
      <c r="P670">
        <v>0.98230870000000003</v>
      </c>
      <c r="Q670">
        <v>0.18621869999999999</v>
      </c>
      <c r="R670">
        <v>-1.9808019999999999E-2</v>
      </c>
      <c r="S670">
        <v>3.172974</v>
      </c>
      <c r="T670">
        <v>-0.69001650000000003</v>
      </c>
      <c r="U670">
        <v>-0.58248900000000003</v>
      </c>
      <c r="V670">
        <v>2.3503880000000001E-2</v>
      </c>
      <c r="W670">
        <v>0.1901632</v>
      </c>
      <c r="X670">
        <v>0.98147110000000004</v>
      </c>
      <c r="Y670">
        <v>0.18009439999999999</v>
      </c>
      <c r="Z670">
        <v>-2.0001979999999999E-2</v>
      </c>
      <c r="AA670">
        <v>0.98344589999999998</v>
      </c>
      <c r="AB670">
        <v>35</v>
      </c>
      <c r="AC670">
        <v>0.71309999999999696</v>
      </c>
      <c r="AD670">
        <v>-0.19276489999999999</v>
      </c>
      <c r="AE670">
        <v>-0.16370000000000501</v>
      </c>
      <c r="AF670">
        <v>0.15557771165346301</v>
      </c>
      <c r="AG670">
        <v>-0.19276489999999999</v>
      </c>
      <c r="AH670">
        <v>0.66623376871066897</v>
      </c>
      <c r="AI670">
        <v>105.73544974603</v>
      </c>
      <c r="AJ670">
        <v>76.855932830596899</v>
      </c>
      <c r="AK670">
        <v>0.71079544568445296</v>
      </c>
      <c r="AL670">
        <v>79.037691458423396</v>
      </c>
      <c r="AM670">
        <v>88.6281656370261</v>
      </c>
      <c r="AN670">
        <v>0.999999997572252</v>
      </c>
    </row>
    <row r="671" spans="1:40" x14ac:dyDescent="0.25">
      <c r="A671" t="str">
        <f>"20190312172908912"</f>
        <v>20190312172908912</v>
      </c>
      <c r="B671" t="str">
        <f>"1552382948907789"</f>
        <v>1552382948907789</v>
      </c>
      <c r="C671" t="s">
        <v>40</v>
      </c>
      <c r="D671">
        <v>3.063774</v>
      </c>
      <c r="E671">
        <v>0.57252320000000001</v>
      </c>
      <c r="F671" t="s">
        <v>42</v>
      </c>
      <c r="G671">
        <v>-339.54930000000002</v>
      </c>
      <c r="H671">
        <v>0.9519455</v>
      </c>
      <c r="I671">
        <v>367.3236</v>
      </c>
      <c r="J671">
        <v>-340.09699999999998</v>
      </c>
      <c r="K671">
        <v>1.1088990000000001</v>
      </c>
      <c r="L671">
        <v>367.45920000000001</v>
      </c>
      <c r="M671">
        <v>0.99998430000000005</v>
      </c>
      <c r="N671">
        <v>0</v>
      </c>
      <c r="O671">
        <v>3.7559780000000001E-3</v>
      </c>
      <c r="P671">
        <v>0.98231179999999996</v>
      </c>
      <c r="Q671">
        <v>0.18620120000000001</v>
      </c>
      <c r="R671">
        <v>-1.981921E-2</v>
      </c>
      <c r="S671">
        <v>3.1719970000000002</v>
      </c>
      <c r="T671">
        <v>-0.68475149999999996</v>
      </c>
      <c r="U671">
        <v>-0.58703609999999995</v>
      </c>
      <c r="V671">
        <v>2.35152E-2</v>
      </c>
      <c r="W671">
        <v>0.19028680000000001</v>
      </c>
      <c r="X671">
        <v>0.98144690000000001</v>
      </c>
      <c r="Y671">
        <v>0.18154090000000001</v>
      </c>
      <c r="Z671">
        <v>-2.0009280000000001E-2</v>
      </c>
      <c r="AA671">
        <v>0.98317980000000005</v>
      </c>
      <c r="AB671">
        <v>35</v>
      </c>
      <c r="AC671">
        <v>0.54769999999996299</v>
      </c>
      <c r="AD671">
        <v>-0.1569535</v>
      </c>
      <c r="AE671">
        <v>-0.13560000000000999</v>
      </c>
      <c r="AF671">
        <v>0.12776959975429</v>
      </c>
      <c r="AG671">
        <v>-0.1569535</v>
      </c>
      <c r="AH671">
        <v>0.50788730100727997</v>
      </c>
      <c r="AI671">
        <v>106.683164402258</v>
      </c>
      <c r="AJ671">
        <v>75.879083386748405</v>
      </c>
      <c r="AK671">
        <v>0.54672569201390298</v>
      </c>
      <c r="AL671">
        <v>79.030478281539004</v>
      </c>
      <c r="AM671">
        <v>88.627471353934993</v>
      </c>
      <c r="AN671">
        <v>1.0000000242024401</v>
      </c>
    </row>
    <row r="672" spans="1:40" x14ac:dyDescent="0.25">
      <c r="A672" t="str">
        <f>"20190312172908923"</f>
        <v>20190312172908923</v>
      </c>
      <c r="B672" t="str">
        <f>"1552382948918526"</f>
        <v>1552382948918526</v>
      </c>
      <c r="C672" t="s">
        <v>40</v>
      </c>
      <c r="D672">
        <v>3.0570849999999998</v>
      </c>
      <c r="E672">
        <v>0.57277210000000001</v>
      </c>
      <c r="F672" t="s">
        <v>42</v>
      </c>
      <c r="G672">
        <v>-339.2423</v>
      </c>
      <c r="H672">
        <v>0.92472350000000003</v>
      </c>
      <c r="I672">
        <v>367.30040000000002</v>
      </c>
      <c r="J672">
        <v>-339.91730000000001</v>
      </c>
      <c r="K672">
        <v>1.1089169999999999</v>
      </c>
      <c r="L672">
        <v>367.4599</v>
      </c>
      <c r="M672">
        <v>0.99998379999999998</v>
      </c>
      <c r="N672">
        <v>0</v>
      </c>
      <c r="O672">
        <v>3.7561489999999999E-3</v>
      </c>
      <c r="P672">
        <v>0.98233150000000002</v>
      </c>
      <c r="Q672">
        <v>0.1860821</v>
      </c>
      <c r="R672">
        <v>-1.996216E-2</v>
      </c>
      <c r="S672">
        <v>3.1717219999999999</v>
      </c>
      <c r="T672">
        <v>-0.68358540000000001</v>
      </c>
      <c r="U672">
        <v>-0.58825680000000002</v>
      </c>
      <c r="V672">
        <v>2.3658390000000001E-2</v>
      </c>
      <c r="W672">
        <v>0.19030830000000001</v>
      </c>
      <c r="X672">
        <v>0.98143930000000001</v>
      </c>
      <c r="Y672">
        <v>0.18192710000000001</v>
      </c>
      <c r="Z672">
        <v>-2.0017790000000001E-2</v>
      </c>
      <c r="AA672">
        <v>0.98310830000000005</v>
      </c>
      <c r="AB672">
        <v>35</v>
      </c>
      <c r="AC672">
        <v>0.67500000000001104</v>
      </c>
      <c r="AD672">
        <v>-0.18419349999999901</v>
      </c>
      <c r="AE672">
        <v>-0.15949999999997999</v>
      </c>
      <c r="AF672">
        <v>0.15135962376442599</v>
      </c>
      <c r="AG672">
        <v>-0.18419349999999901</v>
      </c>
      <c r="AH672">
        <v>0.62996751272302098</v>
      </c>
      <c r="AI672">
        <v>105.870185931564</v>
      </c>
      <c r="AJ672">
        <v>76.489869917653607</v>
      </c>
      <c r="AK672">
        <v>0.67356963131868397</v>
      </c>
      <c r="AL672">
        <v>79.029223601981698</v>
      </c>
      <c r="AM672">
        <v>88.619106217081693</v>
      </c>
      <c r="AN672">
        <v>1.0000000340253801</v>
      </c>
    </row>
    <row r="673" spans="1:40" x14ac:dyDescent="0.25">
      <c r="A673" t="str">
        <f>"20190312172908934"</f>
        <v>20190312172908934</v>
      </c>
      <c r="B673" t="str">
        <f>"1552382948928285"</f>
        <v>1552382948928285</v>
      </c>
      <c r="C673" t="s">
        <v>40</v>
      </c>
      <c r="D673">
        <v>3.0873780000000002</v>
      </c>
      <c r="E673">
        <v>0.57293340000000004</v>
      </c>
      <c r="F673" t="s">
        <v>42</v>
      </c>
      <c r="G673">
        <v>-338.93400000000003</v>
      </c>
      <c r="H673">
        <v>0.89730359999999998</v>
      </c>
      <c r="I673">
        <v>367.2765</v>
      </c>
      <c r="J673">
        <v>-339.74299999999999</v>
      </c>
      <c r="K673">
        <v>1.108932</v>
      </c>
      <c r="L673">
        <v>367.46050000000002</v>
      </c>
      <c r="M673">
        <v>0.99998310000000001</v>
      </c>
      <c r="N673">
        <v>0</v>
      </c>
      <c r="O673">
        <v>3.7565150000000002E-3</v>
      </c>
      <c r="P673">
        <v>0.98238449999999999</v>
      </c>
      <c r="Q673">
        <v>0.18580530000000001</v>
      </c>
      <c r="R673">
        <v>-1.992857E-2</v>
      </c>
      <c r="S673">
        <v>3.1712039999999999</v>
      </c>
      <c r="T673">
        <v>-0.68247800000000003</v>
      </c>
      <c r="U673">
        <v>-0.59088130000000005</v>
      </c>
      <c r="V673">
        <v>2.3625420000000001E-2</v>
      </c>
      <c r="W673">
        <v>0.19016040000000001</v>
      </c>
      <c r="X673">
        <v>0.98146869999999997</v>
      </c>
      <c r="Y673">
        <v>0.18273739999999999</v>
      </c>
      <c r="Z673">
        <v>-2.007333E-2</v>
      </c>
      <c r="AA673">
        <v>0.98295679999999996</v>
      </c>
      <c r="AB673">
        <v>36</v>
      </c>
      <c r="AC673">
        <v>0.80900000000002503</v>
      </c>
      <c r="AD673">
        <v>-0.21162839999999999</v>
      </c>
      <c r="AE673">
        <v>-0.184000000000025</v>
      </c>
      <c r="AF673">
        <v>0.17561160062693701</v>
      </c>
      <c r="AG673">
        <v>-0.21162839999999999</v>
      </c>
      <c r="AH673">
        <v>0.758923784324259</v>
      </c>
      <c r="AI673">
        <v>105.19897986933699</v>
      </c>
      <c r="AJ673">
        <v>76.971315857539395</v>
      </c>
      <c r="AK673">
        <v>0.80721206902174703</v>
      </c>
      <c r="AL673">
        <v>79.037854602778097</v>
      </c>
      <c r="AM673">
        <v>88.621071158944503</v>
      </c>
      <c r="AN673">
        <v>0.99999997363901205</v>
      </c>
    </row>
    <row r="674" spans="1:40" x14ac:dyDescent="0.25">
      <c r="A674" t="str">
        <f>"20190312172908944"</f>
        <v>20190312172908944</v>
      </c>
      <c r="B674" t="str">
        <f>"1552382948938045"</f>
        <v>1552382948938045</v>
      </c>
      <c r="C674" t="s">
        <v>40</v>
      </c>
      <c r="D674">
        <v>3.0618889999999999</v>
      </c>
      <c r="E674">
        <v>0.57308950000000003</v>
      </c>
      <c r="F674" t="s">
        <v>42</v>
      </c>
      <c r="G674">
        <v>-338.92110000000002</v>
      </c>
      <c r="H674">
        <v>0.93202969999999896</v>
      </c>
      <c r="I674">
        <v>367.30700000000002</v>
      </c>
      <c r="J674">
        <v>-339.57279999999997</v>
      </c>
      <c r="K674">
        <v>1.1089420000000001</v>
      </c>
      <c r="L674">
        <v>367.46120000000002</v>
      </c>
      <c r="M674">
        <v>0.99998260000000005</v>
      </c>
      <c r="N674">
        <v>0</v>
      </c>
      <c r="O674">
        <v>3.7569410000000002E-3</v>
      </c>
      <c r="P674">
        <v>0.98242600000000002</v>
      </c>
      <c r="Q674">
        <v>0.18558340000000001</v>
      </c>
      <c r="R674">
        <v>-1.9952580000000001E-2</v>
      </c>
      <c r="S674">
        <v>3.170868</v>
      </c>
      <c r="T674">
        <v>-0.68250269999999902</v>
      </c>
      <c r="U674">
        <v>-0.59161379999999997</v>
      </c>
      <c r="V674">
        <v>2.3649980000000001E-2</v>
      </c>
      <c r="W674">
        <v>0.1900625</v>
      </c>
      <c r="X674">
        <v>0.98148709999999995</v>
      </c>
      <c r="Y674">
        <v>0.18296989999999999</v>
      </c>
      <c r="Z674">
        <v>-2.0100300000000001E-2</v>
      </c>
      <c r="AA674">
        <v>0.98291300000000004</v>
      </c>
      <c r="AB674">
        <v>36</v>
      </c>
      <c r="AC674">
        <v>0.65169999999994799</v>
      </c>
      <c r="AD674">
        <v>-0.17691229999999999</v>
      </c>
      <c r="AE674">
        <v>-0.15420000000005901</v>
      </c>
      <c r="AF674">
        <v>0.14642878625370301</v>
      </c>
      <c r="AG674">
        <v>-0.17691229999999999</v>
      </c>
      <c r="AH674">
        <v>0.60864192912547999</v>
      </c>
      <c r="AI674">
        <v>105.780491568849</v>
      </c>
      <c r="AJ674">
        <v>76.4726969420865</v>
      </c>
      <c r="AK674">
        <v>0.65052620948322104</v>
      </c>
      <c r="AL674">
        <v>79.043568367441495</v>
      </c>
      <c r="AM674">
        <v>88.619664104148498</v>
      </c>
      <c r="AN674">
        <v>1.0000000014633299</v>
      </c>
    </row>
    <row r="675" spans="1:40" x14ac:dyDescent="0.25">
      <c r="A675" t="str">
        <f>"20190312172908956"</f>
        <v>20190312172908956</v>
      </c>
      <c r="B675" t="str">
        <f>"1552382948947805"</f>
        <v>1552382948947805</v>
      </c>
      <c r="C675" t="s">
        <v>40</v>
      </c>
      <c r="D675">
        <v>3.06311</v>
      </c>
      <c r="E675">
        <v>0.5730634</v>
      </c>
      <c r="F675" t="s">
        <v>42</v>
      </c>
      <c r="G675">
        <v>-338.61259999999999</v>
      </c>
      <c r="H675">
        <v>0.90247379999999999</v>
      </c>
      <c r="I675">
        <v>367.28140000000002</v>
      </c>
      <c r="J675">
        <v>-339.38920000000002</v>
      </c>
      <c r="K675">
        <v>1.1089519999999999</v>
      </c>
      <c r="L675">
        <v>367.46179999999998</v>
      </c>
      <c r="M675">
        <v>0.99998200000000004</v>
      </c>
      <c r="N675">
        <v>0</v>
      </c>
      <c r="O675">
        <v>3.7572959999999998E-3</v>
      </c>
      <c r="P675">
        <v>0.98246469999999997</v>
      </c>
      <c r="Q675">
        <v>0.1853902</v>
      </c>
      <c r="R675">
        <v>-1.984381E-2</v>
      </c>
      <c r="S675">
        <v>3.1703800000000002</v>
      </c>
      <c r="T675">
        <v>-0.68182279999999995</v>
      </c>
      <c r="U675">
        <v>-0.59320069999999903</v>
      </c>
      <c r="V675">
        <v>2.3541739999999999E-2</v>
      </c>
      <c r="W675">
        <v>0.189996</v>
      </c>
      <c r="X675">
        <v>0.9815026</v>
      </c>
      <c r="Y675">
        <v>0.1834692</v>
      </c>
      <c r="Z675">
        <v>-2.0135520000000001E-2</v>
      </c>
      <c r="AA675">
        <v>0.9828192</v>
      </c>
      <c r="AB675">
        <v>36</v>
      </c>
      <c r="AC675">
        <v>0.77660000000003004</v>
      </c>
      <c r="AD675">
        <v>-0.206478199999999</v>
      </c>
      <c r="AE675">
        <v>-0.18039999999996301</v>
      </c>
      <c r="AF675">
        <v>0.17179440082500499</v>
      </c>
      <c r="AG675">
        <v>-0.206478199999999</v>
      </c>
      <c r="AH675">
        <v>0.72714685623657405</v>
      </c>
      <c r="AI675">
        <v>105.448072692976</v>
      </c>
      <c r="AJ675">
        <v>76.707151710386199</v>
      </c>
      <c r="AK675">
        <v>0.77517037724928295</v>
      </c>
      <c r="AL675">
        <v>79.047449498851293</v>
      </c>
      <c r="AM675">
        <v>88.626000816767203</v>
      </c>
      <c r="AN675">
        <v>1.00000002367249</v>
      </c>
    </row>
    <row r="676" spans="1:40" x14ac:dyDescent="0.25">
      <c r="A676" t="str">
        <f>"20190312172908969"</f>
        <v>20190312172908969</v>
      </c>
      <c r="B676" t="str">
        <f>"1552382948958541"</f>
        <v>1552382948958541</v>
      </c>
      <c r="C676" t="s">
        <v>40</v>
      </c>
      <c r="D676">
        <v>3.0888089999999999</v>
      </c>
      <c r="E676">
        <v>0.5730634</v>
      </c>
      <c r="F676" t="s">
        <v>42</v>
      </c>
      <c r="G676">
        <v>-338.59910000000002</v>
      </c>
      <c r="H676">
        <v>0.93899639999999995</v>
      </c>
      <c r="I676">
        <v>367.31400000000002</v>
      </c>
      <c r="J676">
        <v>-339.18599999999998</v>
      </c>
      <c r="K676">
        <v>1.1089580000000001</v>
      </c>
      <c r="L676">
        <v>367.46260000000001</v>
      </c>
      <c r="M676">
        <v>0.99998129999999996</v>
      </c>
      <c r="N676">
        <v>0</v>
      </c>
      <c r="O676">
        <v>3.7577999999999999E-3</v>
      </c>
      <c r="P676">
        <v>0.98254399999999997</v>
      </c>
      <c r="Q676">
        <v>0.1849759</v>
      </c>
      <c r="R676">
        <v>-1.9786140000000001E-2</v>
      </c>
      <c r="S676">
        <v>3.170258</v>
      </c>
      <c r="T676">
        <v>-0.68203559999999996</v>
      </c>
      <c r="U676">
        <v>-0.592804</v>
      </c>
      <c r="V676">
        <v>2.3484950000000001E-2</v>
      </c>
      <c r="W676">
        <v>0.1897161</v>
      </c>
      <c r="X676">
        <v>0.98155809999999999</v>
      </c>
      <c r="Y676">
        <v>0.1833571</v>
      </c>
      <c r="Z676">
        <v>-2.0130929999999998E-2</v>
      </c>
      <c r="AA676">
        <v>0.98284020000000005</v>
      </c>
      <c r="AB676">
        <v>36</v>
      </c>
      <c r="AC676">
        <v>0.58689999999995701</v>
      </c>
      <c r="AD676">
        <v>-0.16996159999999899</v>
      </c>
      <c r="AE676">
        <v>-0.14859999999998699</v>
      </c>
      <c r="AF676">
        <v>0.13978760248404201</v>
      </c>
      <c r="AG676">
        <v>-0.16996159999999899</v>
      </c>
      <c r="AH676">
        <v>0.54350330059966701</v>
      </c>
      <c r="AI676">
        <v>106.84936823258499</v>
      </c>
      <c r="AJ676">
        <v>75.576298952009594</v>
      </c>
      <c r="AK676">
        <v>0.58636452573934705</v>
      </c>
      <c r="AL676">
        <v>79.063783662065703</v>
      </c>
      <c r="AM676">
        <v>88.629391537001794</v>
      </c>
      <c r="AN676">
        <v>1.00000002257566</v>
      </c>
    </row>
    <row r="677" spans="1:40" x14ac:dyDescent="0.25">
      <c r="A677" t="str">
        <f>"20190312172908982"</f>
        <v>20190312172908982</v>
      </c>
      <c r="B677" t="str">
        <f>"1552382948978061"</f>
        <v>1552382948978061</v>
      </c>
      <c r="C677" t="s">
        <v>40</v>
      </c>
      <c r="D677">
        <v>3.0586389999999999</v>
      </c>
      <c r="E677">
        <v>0.57337919999999998</v>
      </c>
      <c r="F677" t="s">
        <v>42</v>
      </c>
      <c r="G677">
        <v>-338.28769999999997</v>
      </c>
      <c r="H677">
        <v>0.91537880000000005</v>
      </c>
      <c r="I677">
        <v>367.29430000000002</v>
      </c>
      <c r="J677">
        <v>-338.9658</v>
      </c>
      <c r="K677">
        <v>1.1089610000000001</v>
      </c>
      <c r="L677">
        <v>367.46339999999998</v>
      </c>
      <c r="M677">
        <v>0.99998069999999895</v>
      </c>
      <c r="N677">
        <v>0</v>
      </c>
      <c r="O677">
        <v>3.7582819999999999E-3</v>
      </c>
      <c r="P677">
        <v>0.98255349999999997</v>
      </c>
      <c r="Q677">
        <v>0.1849556</v>
      </c>
      <c r="R677">
        <v>-1.950435E-2</v>
      </c>
      <c r="S677">
        <v>3.170013</v>
      </c>
      <c r="T677">
        <v>-0.68330859999999904</v>
      </c>
      <c r="U677">
        <v>-0.59259030000000001</v>
      </c>
      <c r="V677">
        <v>2.3203709999999999E-2</v>
      </c>
      <c r="W677">
        <v>0.18983549999999999</v>
      </c>
      <c r="X677">
        <v>0.98154169999999996</v>
      </c>
      <c r="Y677">
        <v>0.18329280000000001</v>
      </c>
      <c r="Z677">
        <v>-2.0162599999999999E-2</v>
      </c>
      <c r="AA677">
        <v>0.98285160000000005</v>
      </c>
      <c r="AB677">
        <v>36</v>
      </c>
      <c r="AC677">
        <v>0.67810000000002801</v>
      </c>
      <c r="AD677">
        <v>-0.19358220000000001</v>
      </c>
      <c r="AE677">
        <v>-0.16909999999995701</v>
      </c>
      <c r="AF677">
        <v>0.15941598267804399</v>
      </c>
      <c r="AG677">
        <v>-0.19358220000000001</v>
      </c>
      <c r="AH677">
        <v>0.62918486137989804</v>
      </c>
      <c r="AI677">
        <v>106.60706379771401</v>
      </c>
      <c r="AJ677">
        <v>75.782222508977</v>
      </c>
      <c r="AK677">
        <v>0.67731906327792701</v>
      </c>
      <c r="AL677">
        <v>79.056815885307998</v>
      </c>
      <c r="AM677">
        <v>88.645776256991894</v>
      </c>
      <c r="AN677">
        <v>1.0000000190284499</v>
      </c>
    </row>
    <row r="678" spans="1:40" x14ac:dyDescent="0.25">
      <c r="A678" t="str">
        <f>"20190312172908998"</f>
        <v>20190312172908998</v>
      </c>
      <c r="B678" t="str">
        <f>"1552382948987821"</f>
        <v>1552382948987821</v>
      </c>
      <c r="C678" t="s">
        <v>40</v>
      </c>
      <c r="D678">
        <v>3.0758030000000001</v>
      </c>
      <c r="E678">
        <v>0.57345789999999996</v>
      </c>
      <c r="F678" t="s">
        <v>42</v>
      </c>
      <c r="G678">
        <v>-338.2704</v>
      </c>
      <c r="H678">
        <v>0.95917929999999996</v>
      </c>
      <c r="I678">
        <v>367.33260000000001</v>
      </c>
      <c r="J678">
        <v>-338.72829999999999</v>
      </c>
      <c r="K678">
        <v>1.1089610000000001</v>
      </c>
      <c r="L678">
        <v>367.46440000000001</v>
      </c>
      <c r="M678">
        <v>0.99997990000000003</v>
      </c>
      <c r="N678">
        <v>0</v>
      </c>
      <c r="O678">
        <v>3.7589379999999999E-3</v>
      </c>
      <c r="P678">
        <v>0.9825817</v>
      </c>
      <c r="Q678">
        <v>0.18481110000000001</v>
      </c>
      <c r="R678">
        <v>-1.9444199999999998E-2</v>
      </c>
      <c r="S678">
        <v>3.170013</v>
      </c>
      <c r="T678">
        <v>-0.68298979999999998</v>
      </c>
      <c r="U678">
        <v>-0.59463500000000002</v>
      </c>
      <c r="V678">
        <v>2.314449E-2</v>
      </c>
      <c r="W678">
        <v>0.18982850000000001</v>
      </c>
      <c r="X678">
        <v>0.98154439999999998</v>
      </c>
      <c r="Y678">
        <v>0.1838969</v>
      </c>
      <c r="Z678">
        <v>-2.0216189999999998E-2</v>
      </c>
      <c r="AA678">
        <v>0.98273759999999999</v>
      </c>
      <c r="AB678">
        <v>36</v>
      </c>
      <c r="AC678">
        <v>0.45789999999999498</v>
      </c>
      <c r="AD678">
        <v>-0.14978169999999999</v>
      </c>
      <c r="AE678">
        <v>-0.131799999999998</v>
      </c>
      <c r="AF678">
        <v>0.121513372187267</v>
      </c>
      <c r="AG678">
        <v>-0.14978169999999999</v>
      </c>
      <c r="AH678">
        <v>0.41626909442196203</v>
      </c>
      <c r="AI678">
        <v>109.055115891778</v>
      </c>
      <c r="AJ678">
        <v>73.726914127377398</v>
      </c>
      <c r="AK678">
        <v>0.45878101120915199</v>
      </c>
      <c r="AL678">
        <v>79.057223818373004</v>
      </c>
      <c r="AM678">
        <v>88.649234909281304</v>
      </c>
      <c r="AN678">
        <v>0.99999996800048396</v>
      </c>
    </row>
    <row r="679" spans="1:40" x14ac:dyDescent="0.25">
      <c r="A679" t="str">
        <f>"20190312172909013"</f>
        <v>20190312172909013</v>
      </c>
      <c r="B679" t="str">
        <f>"1552382949008317"</f>
        <v>1552382949008317</v>
      </c>
      <c r="C679" t="s">
        <v>40</v>
      </c>
      <c r="D679">
        <v>3.1725989999999999</v>
      </c>
      <c r="E679">
        <v>0.57345789999999996</v>
      </c>
      <c r="F679" t="s">
        <v>42</v>
      </c>
      <c r="G679">
        <v>-337.95650000000001</v>
      </c>
      <c r="H679">
        <v>0.94259749999999998</v>
      </c>
      <c r="I679">
        <v>367.31939999999997</v>
      </c>
      <c r="J679">
        <v>-338.495</v>
      </c>
      <c r="K679">
        <v>1.108957</v>
      </c>
      <c r="L679">
        <v>367.46519999999998</v>
      </c>
      <c r="M679">
        <v>0.99997919999999996</v>
      </c>
      <c r="N679">
        <v>0</v>
      </c>
      <c r="O679">
        <v>3.7597889999999999E-3</v>
      </c>
      <c r="P679">
        <v>0.98261399999999999</v>
      </c>
      <c r="Q679">
        <v>0.1846402</v>
      </c>
      <c r="R679">
        <v>-1.944164E-2</v>
      </c>
      <c r="S679">
        <v>3.1698909999999998</v>
      </c>
      <c r="T679">
        <v>-0.68328140000000004</v>
      </c>
      <c r="U679">
        <v>-0.594696</v>
      </c>
      <c r="V679">
        <v>2.314281E-2</v>
      </c>
      <c r="W679">
        <v>0.18978539999999999</v>
      </c>
      <c r="X679">
        <v>0.9815528</v>
      </c>
      <c r="Y679">
        <v>0.18391850000000001</v>
      </c>
      <c r="Z679">
        <v>-2.0227809999999999E-2</v>
      </c>
      <c r="AA679">
        <v>0.98273339999999998</v>
      </c>
      <c r="AB679">
        <v>36</v>
      </c>
      <c r="AC679">
        <v>0.53849999999999898</v>
      </c>
      <c r="AD679">
        <v>-0.16635949999999899</v>
      </c>
      <c r="AE679">
        <v>-0.14580000000000801</v>
      </c>
      <c r="AF679">
        <v>0.13575251586694101</v>
      </c>
      <c r="AG679">
        <v>-0.16635949999999899</v>
      </c>
      <c r="AH679">
        <v>0.49401972399505201</v>
      </c>
      <c r="AI679">
        <v>107.98914478717801</v>
      </c>
      <c r="AJ679">
        <v>74.634845370717102</v>
      </c>
      <c r="AK679">
        <v>0.53866475334905795</v>
      </c>
      <c r="AL679">
        <v>79.059739270585595</v>
      </c>
      <c r="AM679">
        <v>88.649344476131205</v>
      </c>
      <c r="AN679">
        <v>0.99999999344784796</v>
      </c>
    </row>
    <row r="680" spans="1:40" x14ac:dyDescent="0.25">
      <c r="A680" t="str">
        <f>"20190312172909025"</f>
        <v>20190312172909025</v>
      </c>
      <c r="B680" t="str">
        <f>"1552382949018077"</f>
        <v>1552382949018077</v>
      </c>
      <c r="C680" t="s">
        <v>40</v>
      </c>
      <c r="D680">
        <v>3.05809</v>
      </c>
      <c r="E680">
        <v>0.57383660000000003</v>
      </c>
      <c r="F680" t="s">
        <v>42</v>
      </c>
      <c r="G680">
        <v>-337.64150000000001</v>
      </c>
      <c r="H680">
        <v>0.92479230000000001</v>
      </c>
      <c r="I680">
        <v>367.3048</v>
      </c>
      <c r="J680">
        <v>-338.27980000000002</v>
      </c>
      <c r="K680">
        <v>1.1089560000000001</v>
      </c>
      <c r="L680">
        <v>367.46609999999998</v>
      </c>
      <c r="M680">
        <v>0.9999787</v>
      </c>
      <c r="N680">
        <v>0</v>
      </c>
      <c r="O680">
        <v>3.7604969999999998E-3</v>
      </c>
      <c r="P680">
        <v>0.98263739999999999</v>
      </c>
      <c r="Q680">
        <v>0.18451600000000001</v>
      </c>
      <c r="R680">
        <v>-1.9441E-2</v>
      </c>
      <c r="S680">
        <v>3.1698300000000001</v>
      </c>
      <c r="T680">
        <v>-0.68403159999999996</v>
      </c>
      <c r="U680">
        <v>-0.59466549999999996</v>
      </c>
      <c r="V680">
        <v>2.314304E-2</v>
      </c>
      <c r="W680">
        <v>0.18977269999999999</v>
      </c>
      <c r="X680">
        <v>0.98155519999999996</v>
      </c>
      <c r="Y680">
        <v>0.1839046</v>
      </c>
      <c r="Z680">
        <v>-2.024861E-2</v>
      </c>
      <c r="AA680">
        <v>0.98273549999999998</v>
      </c>
      <c r="AB680">
        <v>36</v>
      </c>
      <c r="AC680">
        <v>0.63830000000001497</v>
      </c>
      <c r="AD680">
        <v>-0.18416370000000001</v>
      </c>
      <c r="AE680">
        <v>-0.16129999999998201</v>
      </c>
      <c r="AF680">
        <v>0.15181960450080301</v>
      </c>
      <c r="AG680">
        <v>-0.18416370000000001</v>
      </c>
      <c r="AH680">
        <v>0.59141197352843899</v>
      </c>
      <c r="AI680">
        <v>106.784210378938</v>
      </c>
      <c r="AJ680">
        <v>75.602652260327901</v>
      </c>
      <c r="AK680">
        <v>0.63775668020121401</v>
      </c>
      <c r="AL680">
        <v>79.060479851372307</v>
      </c>
      <c r="AM680">
        <v>88.6493343591913</v>
      </c>
      <c r="AN680">
        <v>0.99999994430638395</v>
      </c>
    </row>
    <row r="681" spans="1:40" x14ac:dyDescent="0.25">
      <c r="A681" t="str">
        <f>"20190312172909037"</f>
        <v>20190312172909037</v>
      </c>
      <c r="B681" t="str">
        <f>"1552382949027837"</f>
        <v>1552382949027837</v>
      </c>
      <c r="C681" t="s">
        <v>40</v>
      </c>
      <c r="D681">
        <v>3.2222559999999998</v>
      </c>
      <c r="E681">
        <v>0.57387829999999995</v>
      </c>
      <c r="F681" t="s">
        <v>42</v>
      </c>
      <c r="G681">
        <v>-337.327</v>
      </c>
      <c r="H681">
        <v>0.90300449999999999</v>
      </c>
      <c r="I681">
        <v>367.28649999999999</v>
      </c>
      <c r="J681">
        <v>-338.09070000000003</v>
      </c>
      <c r="K681">
        <v>1.1089519999999999</v>
      </c>
      <c r="L681">
        <v>367.46679999999998</v>
      </c>
      <c r="M681">
        <v>0.99997820000000004</v>
      </c>
      <c r="N681">
        <v>0</v>
      </c>
      <c r="O681">
        <v>3.760902E-3</v>
      </c>
      <c r="P681">
        <v>0.98264490000000004</v>
      </c>
      <c r="Q681">
        <v>0.18449260000000001</v>
      </c>
      <c r="R681">
        <v>-1.9278719999999999E-2</v>
      </c>
      <c r="S681">
        <v>3.1698</v>
      </c>
      <c r="T681">
        <v>-0.68511160000000004</v>
      </c>
      <c r="U681">
        <v>-0.59771730000000001</v>
      </c>
      <c r="V681">
        <v>2.2981359999999999E-2</v>
      </c>
      <c r="W681">
        <v>0.18983920000000001</v>
      </c>
      <c r="X681">
        <v>0.98154620000000004</v>
      </c>
      <c r="Y681">
        <v>0.18478849999999999</v>
      </c>
      <c r="Z681">
        <v>-2.0372049999999999E-2</v>
      </c>
      <c r="AA681">
        <v>0.98256710000000003</v>
      </c>
      <c r="AB681">
        <v>36</v>
      </c>
      <c r="AC681">
        <v>0.76370000000002802</v>
      </c>
      <c r="AD681">
        <v>-0.20594749999999901</v>
      </c>
      <c r="AE681">
        <v>-0.180299999999988</v>
      </c>
      <c r="AF681">
        <v>0.171366726005136</v>
      </c>
      <c r="AG681">
        <v>-0.20594749999999901</v>
      </c>
      <c r="AH681">
        <v>0.71384477904335697</v>
      </c>
      <c r="AI681">
        <v>105.670629203163</v>
      </c>
      <c r="AJ681">
        <v>76.500929098171099</v>
      </c>
      <c r="AK681">
        <v>0.76246658687802704</v>
      </c>
      <c r="AL681">
        <v>79.056599795258407</v>
      </c>
      <c r="AM681">
        <v>88.658754515844194</v>
      </c>
      <c r="AN681">
        <v>1.00000000374926</v>
      </c>
    </row>
    <row r="682" spans="1:40" x14ac:dyDescent="0.25">
      <c r="A682" t="str">
        <f>"20190312172909049"</f>
        <v>20190312172909049</v>
      </c>
      <c r="B682" t="str">
        <f>"1552382949038573"</f>
        <v>1552382949038573</v>
      </c>
      <c r="C682" t="s">
        <v>40</v>
      </c>
      <c r="D682">
        <v>3.069642</v>
      </c>
      <c r="E682">
        <v>0.57399</v>
      </c>
      <c r="F682" t="s">
        <v>42</v>
      </c>
      <c r="G682">
        <v>-337.31290000000001</v>
      </c>
      <c r="H682">
        <v>0.94078170000000005</v>
      </c>
      <c r="I682">
        <v>367.3202</v>
      </c>
      <c r="J682">
        <v>-337.89890000000003</v>
      </c>
      <c r="K682">
        <v>1.108949</v>
      </c>
      <c r="L682">
        <v>367.46749999999997</v>
      </c>
      <c r="M682">
        <v>0.99997780000000003</v>
      </c>
      <c r="N682">
        <v>0</v>
      </c>
      <c r="O682">
        <v>3.7614910000000001E-3</v>
      </c>
      <c r="P682">
        <v>0.98266520000000002</v>
      </c>
      <c r="Q682">
        <v>0.18437580000000001</v>
      </c>
      <c r="R682">
        <v>-1.936276E-2</v>
      </c>
      <c r="S682">
        <v>3.1699830000000002</v>
      </c>
      <c r="T682">
        <v>-0.68538859999999902</v>
      </c>
      <c r="U682">
        <v>-0.59756469999999995</v>
      </c>
      <c r="V682">
        <v>2.306623E-2</v>
      </c>
      <c r="W682">
        <v>0.18980920000000001</v>
      </c>
      <c r="X682">
        <v>0.98155000000000003</v>
      </c>
      <c r="Y682">
        <v>0.18473139999999999</v>
      </c>
      <c r="Z682">
        <v>-2.037313E-2</v>
      </c>
      <c r="AA682">
        <v>0.9825779</v>
      </c>
      <c r="AB682">
        <v>36</v>
      </c>
      <c r="AC682">
        <v>0.58600000000001196</v>
      </c>
      <c r="AD682">
        <v>-0.16816729999999999</v>
      </c>
      <c r="AE682">
        <v>-0.14729999999997201</v>
      </c>
      <c r="AF682">
        <v>0.13875520338341099</v>
      </c>
      <c r="AG682">
        <v>-0.16816729999999999</v>
      </c>
      <c r="AH682">
        <v>0.54335344957431897</v>
      </c>
      <c r="AI682">
        <v>106.692696896705</v>
      </c>
      <c r="AJ682">
        <v>75.674640538117501</v>
      </c>
      <c r="AK682">
        <v>0.58546239710127801</v>
      </c>
      <c r="AL682">
        <v>79.058350379999396</v>
      </c>
      <c r="AM682">
        <v>88.653808334906699</v>
      </c>
      <c r="AN682">
        <v>0.99999999293552599</v>
      </c>
    </row>
    <row r="683" spans="1:40" x14ac:dyDescent="0.25">
      <c r="A683" t="str">
        <f>"20190312172909060"</f>
        <v>20190312172909060</v>
      </c>
      <c r="B683" t="str">
        <f>"1552382949048333"</f>
        <v>1552382949048333</v>
      </c>
      <c r="C683" t="s">
        <v>40</v>
      </c>
      <c r="D683">
        <v>3.0793469999999998</v>
      </c>
      <c r="E683">
        <v>0.57405109999999904</v>
      </c>
      <c r="F683" t="s">
        <v>42</v>
      </c>
      <c r="G683">
        <v>-336.99919999999997</v>
      </c>
      <c r="H683">
        <v>0.91454089999999999</v>
      </c>
      <c r="I683">
        <v>367.29719999999998</v>
      </c>
      <c r="J683">
        <v>-337.71969999999999</v>
      </c>
      <c r="K683">
        <v>1.1089469999999999</v>
      </c>
      <c r="L683">
        <v>367.46820000000002</v>
      </c>
      <c r="M683">
        <v>0.99997740000000002</v>
      </c>
      <c r="N683">
        <v>0</v>
      </c>
      <c r="O683">
        <v>3.7618069999999998E-3</v>
      </c>
      <c r="P683">
        <v>0.98273339999999998</v>
      </c>
      <c r="Q683">
        <v>0.18401219999999999</v>
      </c>
      <c r="R683">
        <v>-1.9367639999999998E-2</v>
      </c>
      <c r="S683">
        <v>3.1696780000000002</v>
      </c>
      <c r="T683">
        <v>-0.68509109999999995</v>
      </c>
      <c r="U683">
        <v>-0.59866330000000001</v>
      </c>
      <c r="V683">
        <v>2.307147E-2</v>
      </c>
      <c r="W683">
        <v>0.18952269999999999</v>
      </c>
      <c r="X683">
        <v>0.98160519999999996</v>
      </c>
      <c r="Y683">
        <v>0.1850733</v>
      </c>
      <c r="Z683">
        <v>-2.0402030000000002E-2</v>
      </c>
      <c r="AA683">
        <v>0.98251299999999997</v>
      </c>
      <c r="AB683">
        <v>36</v>
      </c>
      <c r="AC683">
        <v>0.72050000000001502</v>
      </c>
      <c r="AD683">
        <v>-0.194406099999999</v>
      </c>
      <c r="AE683">
        <v>-0.171000000000049</v>
      </c>
      <c r="AF683">
        <v>0.16250890076049501</v>
      </c>
      <c r="AG683">
        <v>-0.194406099999999</v>
      </c>
      <c r="AH683">
        <v>0.67343748333749198</v>
      </c>
      <c r="AI683">
        <v>105.675305229605</v>
      </c>
      <c r="AJ683">
        <v>76.433181416199901</v>
      </c>
      <c r="AK683">
        <v>0.71952826109022905</v>
      </c>
      <c r="AL683">
        <v>79.075068696924404</v>
      </c>
      <c r="AM683">
        <v>88.653578322147297</v>
      </c>
      <c r="AN683">
        <v>0.99999995760514404</v>
      </c>
    </row>
    <row r="684" spans="1:40" x14ac:dyDescent="0.25">
      <c r="A684" t="str">
        <f>"20190312172909070"</f>
        <v>20190312172909070</v>
      </c>
      <c r="B684" t="str">
        <f>"1552382949067854"</f>
        <v>1552382949067854</v>
      </c>
      <c r="C684" t="s">
        <v>40</v>
      </c>
      <c r="D684">
        <v>3.0736289999999999</v>
      </c>
      <c r="E684">
        <v>0.57450959999999995</v>
      </c>
      <c r="F684" t="s">
        <v>42</v>
      </c>
      <c r="G684">
        <v>-336.98540000000003</v>
      </c>
      <c r="H684">
        <v>0.95015050000000001</v>
      </c>
      <c r="I684">
        <v>367.32889999999998</v>
      </c>
      <c r="J684">
        <v>-337.5557</v>
      </c>
      <c r="K684">
        <v>1.108943</v>
      </c>
      <c r="L684">
        <v>367.46879999999999</v>
      </c>
      <c r="M684">
        <v>0.9999768</v>
      </c>
      <c r="N684">
        <v>0</v>
      </c>
      <c r="O684">
        <v>3.7620930000000002E-3</v>
      </c>
      <c r="P684">
        <v>0.98275480000000004</v>
      </c>
      <c r="Q684">
        <v>0.18390480000000001</v>
      </c>
      <c r="R684">
        <v>-1.928887E-2</v>
      </c>
      <c r="S684">
        <v>3.1692200000000001</v>
      </c>
      <c r="T684">
        <v>-0.68557009999999996</v>
      </c>
      <c r="U684">
        <v>-0.5993347</v>
      </c>
      <c r="V684">
        <v>2.2993070000000001E-2</v>
      </c>
      <c r="W684">
        <v>0.18948100000000001</v>
      </c>
      <c r="X684">
        <v>0.98161509999999996</v>
      </c>
      <c r="Y684">
        <v>0.1852888</v>
      </c>
      <c r="Z684">
        <v>-2.0441339999999999E-2</v>
      </c>
      <c r="AA684">
        <v>0.98247150000000005</v>
      </c>
      <c r="AB684">
        <v>36</v>
      </c>
      <c r="AC684">
        <v>0.57029999999997405</v>
      </c>
      <c r="AD684">
        <v>-0.1587925</v>
      </c>
      <c r="AE684">
        <v>-0.13990000000001099</v>
      </c>
      <c r="AF684">
        <v>0.132365161439819</v>
      </c>
      <c r="AG684">
        <v>-0.1587925</v>
      </c>
      <c r="AH684">
        <v>0.53094357811965298</v>
      </c>
      <c r="AI684">
        <v>106.182410879915</v>
      </c>
      <c r="AJ684">
        <v>76.001416328508597</v>
      </c>
      <c r="AK684">
        <v>0.56976896823689804</v>
      </c>
      <c r="AL684">
        <v>79.077502132384197</v>
      </c>
      <c r="AM684">
        <v>88.658165499044102</v>
      </c>
      <c r="AN684">
        <v>0.99999996758851595</v>
      </c>
    </row>
    <row r="685" spans="1:40" x14ac:dyDescent="0.25">
      <c r="A685" t="str">
        <f>"20190312172909081"</f>
        <v>20190312172909081</v>
      </c>
      <c r="B685" t="str">
        <f>"1552382949078591"</f>
        <v>1552382949078591</v>
      </c>
      <c r="C685" t="s">
        <v>40</v>
      </c>
      <c r="D685">
        <v>3.0738819999999998</v>
      </c>
      <c r="E685">
        <v>0.57471989999999995</v>
      </c>
      <c r="F685" t="s">
        <v>42</v>
      </c>
      <c r="G685">
        <v>-336.67380000000003</v>
      </c>
      <c r="H685">
        <v>0.91778369999999998</v>
      </c>
      <c r="I685">
        <v>367.30099999999999</v>
      </c>
      <c r="J685">
        <v>-337.38049999999998</v>
      </c>
      <c r="K685">
        <v>1.108938</v>
      </c>
      <c r="L685">
        <v>367.46949999999998</v>
      </c>
      <c r="M685">
        <v>0.99997639999999999</v>
      </c>
      <c r="N685">
        <v>0</v>
      </c>
      <c r="O685">
        <v>3.7624310000000001E-3</v>
      </c>
      <c r="P685">
        <v>0.98277610000000004</v>
      </c>
      <c r="Q685">
        <v>0.18378549999999999</v>
      </c>
      <c r="R685">
        <v>-1.9341730000000001E-2</v>
      </c>
      <c r="S685">
        <v>3.1693419999999999</v>
      </c>
      <c r="T685">
        <v>-0.68702700000000005</v>
      </c>
      <c r="U685">
        <v>-0.60296629999999996</v>
      </c>
      <c r="V685">
        <v>2.304637E-2</v>
      </c>
      <c r="W685">
        <v>0.1894295</v>
      </c>
      <c r="X685">
        <v>0.98162380000000005</v>
      </c>
      <c r="Y685">
        <v>0.18632899999999999</v>
      </c>
      <c r="Z685">
        <v>-2.059153E-2</v>
      </c>
      <c r="AA685">
        <v>0.98227160000000002</v>
      </c>
      <c r="AB685">
        <v>36</v>
      </c>
      <c r="AC685">
        <v>0.70669999999995503</v>
      </c>
      <c r="AD685">
        <v>-0.1911543</v>
      </c>
      <c r="AE685">
        <v>-0.16849999999999399</v>
      </c>
      <c r="AF685">
        <v>0.16007595014130799</v>
      </c>
      <c r="AG685">
        <v>-0.1911543</v>
      </c>
      <c r="AH685">
        <v>0.66034626447544198</v>
      </c>
      <c r="AI685">
        <v>105.71277500608301</v>
      </c>
      <c r="AJ685">
        <v>76.373660149542204</v>
      </c>
      <c r="AK685">
        <v>0.70584804684068003</v>
      </c>
      <c r="AL685">
        <v>79.0805074020614</v>
      </c>
      <c r="AM685">
        <v>88.655068063084897</v>
      </c>
      <c r="AN685">
        <v>0.99999997768343296</v>
      </c>
    </row>
    <row r="686" spans="1:40" x14ac:dyDescent="0.25">
      <c r="A686" t="str">
        <f>"20190312172909092"</f>
        <v>20190312172909092</v>
      </c>
      <c r="B686" t="str">
        <f>"1552382949088350"</f>
        <v>1552382949088350</v>
      </c>
      <c r="C686" t="s">
        <v>40</v>
      </c>
      <c r="D686">
        <v>3.0610949999999999</v>
      </c>
      <c r="E686">
        <v>0.57493490000000003</v>
      </c>
      <c r="F686" t="s">
        <v>42</v>
      </c>
      <c r="G686">
        <v>-336.66019999999997</v>
      </c>
      <c r="H686">
        <v>0.95261240000000003</v>
      </c>
      <c r="I686">
        <v>367.33190000000002</v>
      </c>
      <c r="J686">
        <v>-337.20979999999997</v>
      </c>
      <c r="K686">
        <v>1.108935</v>
      </c>
      <c r="L686">
        <v>367.4701</v>
      </c>
      <c r="M686">
        <v>0.99997619999999998</v>
      </c>
      <c r="N686">
        <v>0</v>
      </c>
      <c r="O686">
        <v>3.762549E-3</v>
      </c>
      <c r="P686">
        <v>0.98283259999999995</v>
      </c>
      <c r="Q686">
        <v>0.1835029</v>
      </c>
      <c r="R686">
        <v>-1.916429E-2</v>
      </c>
      <c r="S686">
        <v>3.1692809999999998</v>
      </c>
      <c r="T686">
        <v>-0.68772200000000006</v>
      </c>
      <c r="U686">
        <v>-0.60534670000000002</v>
      </c>
      <c r="V686">
        <v>2.2869130000000001E-2</v>
      </c>
      <c r="W686">
        <v>0.1892076</v>
      </c>
      <c r="X686">
        <v>0.98167070000000001</v>
      </c>
      <c r="Y686">
        <v>0.18702099999999999</v>
      </c>
      <c r="Z686">
        <v>-2.0684480000000002E-2</v>
      </c>
      <c r="AA686">
        <v>0.98213819999999996</v>
      </c>
      <c r="AB686">
        <v>36</v>
      </c>
      <c r="AC686">
        <v>0.54959999999999798</v>
      </c>
      <c r="AD686">
        <v>-0.15632259999999901</v>
      </c>
      <c r="AE686">
        <v>-0.138199999999983</v>
      </c>
      <c r="AF686">
        <v>0.130348818571385</v>
      </c>
      <c r="AG686">
        <v>-0.15632259999999901</v>
      </c>
      <c r="AH686">
        <v>0.51025149867724295</v>
      </c>
      <c r="AI686">
        <v>106.532537565601</v>
      </c>
      <c r="AJ686">
        <v>75.669707074753404</v>
      </c>
      <c r="AK686">
        <v>0.54934885243903797</v>
      </c>
      <c r="AL686">
        <v>79.093455055949605</v>
      </c>
      <c r="AM686">
        <v>88.665471355187506</v>
      </c>
      <c r="AN686">
        <v>0.99999993812160104</v>
      </c>
    </row>
    <row r="687" spans="1:40" x14ac:dyDescent="0.25">
      <c r="A687" t="str">
        <f>"20190312172909103"</f>
        <v>20190312172909103</v>
      </c>
      <c r="B687" t="str">
        <f>"1552382949098109"</f>
        <v>1552382949098109</v>
      </c>
      <c r="C687" t="s">
        <v>40</v>
      </c>
      <c r="D687">
        <v>3.0817869999999998</v>
      </c>
      <c r="E687">
        <v>0.57508530000000002</v>
      </c>
      <c r="F687" t="s">
        <v>42</v>
      </c>
      <c r="G687">
        <v>-336.34739999999999</v>
      </c>
      <c r="H687">
        <v>0.92141249999999997</v>
      </c>
      <c r="I687">
        <v>367.30470000000003</v>
      </c>
      <c r="J687">
        <v>-337.01350000000002</v>
      </c>
      <c r="K687">
        <v>1.1089260000000001</v>
      </c>
      <c r="L687">
        <v>367.4708</v>
      </c>
      <c r="M687">
        <v>0.99997559999999996</v>
      </c>
      <c r="N687">
        <v>0</v>
      </c>
      <c r="O687">
        <v>3.762881E-3</v>
      </c>
      <c r="P687">
        <v>0.98281609999999997</v>
      </c>
      <c r="Q687">
        <v>0.18360309999999999</v>
      </c>
      <c r="R687">
        <v>-1.9042320000000001E-2</v>
      </c>
      <c r="S687">
        <v>3.1692499999999999</v>
      </c>
      <c r="T687">
        <v>-0.68920109999999901</v>
      </c>
      <c r="U687">
        <v>-0.60650630000000005</v>
      </c>
      <c r="V687">
        <v>2.2747460000000001E-2</v>
      </c>
      <c r="W687">
        <v>0.18937619999999999</v>
      </c>
      <c r="X687">
        <v>0.98164110000000004</v>
      </c>
      <c r="Y687">
        <v>0.18734439999999999</v>
      </c>
      <c r="Z687">
        <v>-2.0762030000000001E-2</v>
      </c>
      <c r="AA687">
        <v>0.98207489999999997</v>
      </c>
      <c r="AB687">
        <v>36</v>
      </c>
      <c r="AC687">
        <v>0.666100000000028</v>
      </c>
      <c r="AD687">
        <v>-0.1875135</v>
      </c>
      <c r="AE687">
        <v>-0.16609999999997099</v>
      </c>
      <c r="AF687">
        <v>0.15689932059355099</v>
      </c>
      <c r="AG687">
        <v>-0.1875135</v>
      </c>
      <c r="AH687">
        <v>0.61926770718172397</v>
      </c>
      <c r="AI687">
        <v>106.358242865934</v>
      </c>
      <c r="AJ687">
        <v>75.782566964348504</v>
      </c>
      <c r="AK687">
        <v>0.66578615383851003</v>
      </c>
      <c r="AL687">
        <v>79.083618037395794</v>
      </c>
      <c r="AM687">
        <v>88.672528851355693</v>
      </c>
      <c r="AN687">
        <v>1.00000002063605</v>
      </c>
    </row>
    <row r="688" spans="1:40" x14ac:dyDescent="0.25">
      <c r="A688" t="str">
        <f>"20190312172909113"</f>
        <v>20190312172909113</v>
      </c>
      <c r="B688" t="str">
        <f>"1552382949107870"</f>
        <v>1552382949107870</v>
      </c>
      <c r="C688" t="s">
        <v>40</v>
      </c>
      <c r="D688">
        <v>3.0885570000000002</v>
      </c>
      <c r="E688">
        <v>0.57521109999999998</v>
      </c>
      <c r="F688" t="s">
        <v>42</v>
      </c>
      <c r="G688">
        <v>-336.03129999999999</v>
      </c>
      <c r="H688">
        <v>0.89537500000000003</v>
      </c>
      <c r="I688">
        <v>367.28219999999999</v>
      </c>
      <c r="J688">
        <v>-336.8442</v>
      </c>
      <c r="K688">
        <v>1.1089230000000001</v>
      </c>
      <c r="L688">
        <v>367.47140000000002</v>
      </c>
      <c r="M688">
        <v>0.99997539999999996</v>
      </c>
      <c r="N688">
        <v>0</v>
      </c>
      <c r="O688">
        <v>3.7631969999999998E-3</v>
      </c>
      <c r="P688">
        <v>0.98283480000000001</v>
      </c>
      <c r="Q688">
        <v>0.18351219999999999</v>
      </c>
      <c r="R688">
        <v>-1.8956359999999998E-2</v>
      </c>
      <c r="S688">
        <v>3.169403</v>
      </c>
      <c r="T688">
        <v>-0.68910539999999998</v>
      </c>
      <c r="U688">
        <v>-0.60751339999999998</v>
      </c>
      <c r="V688">
        <v>2.2661939999999998E-2</v>
      </c>
      <c r="W688">
        <v>0.18933829999999999</v>
      </c>
      <c r="X688">
        <v>0.98165040000000003</v>
      </c>
      <c r="Y688">
        <v>0.1876324</v>
      </c>
      <c r="Z688">
        <v>-2.078839E-2</v>
      </c>
      <c r="AA688">
        <v>0.98201930000000004</v>
      </c>
      <c r="AB688">
        <v>36</v>
      </c>
      <c r="AC688">
        <v>0.81290000000001295</v>
      </c>
      <c r="AD688">
        <v>-0.21354799999999899</v>
      </c>
      <c r="AE688">
        <v>-0.18920000000002801</v>
      </c>
      <c r="AF688">
        <v>0.180445075744774</v>
      </c>
      <c r="AG688">
        <v>-0.21354799999999899</v>
      </c>
      <c r="AH688">
        <v>0.76227998077022696</v>
      </c>
      <c r="AI688">
        <v>105.24886482988001</v>
      </c>
      <c r="AJ688">
        <v>76.682224494087095</v>
      </c>
      <c r="AK688">
        <v>0.81193222792767406</v>
      </c>
      <c r="AL688">
        <v>79.0858296787261</v>
      </c>
      <c r="AM688">
        <v>88.677530281883605</v>
      </c>
      <c r="AN688">
        <v>1.0000000315958</v>
      </c>
    </row>
    <row r="689" spans="1:40" x14ac:dyDescent="0.25">
      <c r="A689" t="str">
        <f>"20190312172909125"</f>
        <v>20190312172909125</v>
      </c>
      <c r="B689" t="str">
        <f>"1552382949118606"</f>
        <v>1552382949118606</v>
      </c>
      <c r="C689" t="s">
        <v>40</v>
      </c>
      <c r="D689">
        <v>3.097073</v>
      </c>
      <c r="E689">
        <v>0.57521109999999998</v>
      </c>
      <c r="F689" t="s">
        <v>42</v>
      </c>
      <c r="G689">
        <v>-336.01859999999999</v>
      </c>
      <c r="H689">
        <v>0.92930880000000005</v>
      </c>
      <c r="I689">
        <v>367.31259999999997</v>
      </c>
      <c r="J689">
        <v>-336.65949999999998</v>
      </c>
      <c r="K689">
        <v>1.1089180000000001</v>
      </c>
      <c r="L689">
        <v>367.47219999999999</v>
      </c>
      <c r="M689">
        <v>0.99997510000000001</v>
      </c>
      <c r="N689">
        <v>0</v>
      </c>
      <c r="O689">
        <v>3.76356E-3</v>
      </c>
      <c r="P689">
        <v>0.98284729999999998</v>
      </c>
      <c r="Q689">
        <v>0.1834548</v>
      </c>
      <c r="R689">
        <v>-1.8863009999999999E-2</v>
      </c>
      <c r="S689">
        <v>3.169403</v>
      </c>
      <c r="T689">
        <v>-0.68960269999999901</v>
      </c>
      <c r="U689">
        <v>-0.60839840000000001</v>
      </c>
      <c r="V689">
        <v>2.2568970000000001E-2</v>
      </c>
      <c r="W689">
        <v>0.18933729999999999</v>
      </c>
      <c r="X689">
        <v>0.98165270000000004</v>
      </c>
      <c r="Y689">
        <v>0.18788560000000001</v>
      </c>
      <c r="Z689">
        <v>-2.0829609999999998E-2</v>
      </c>
      <c r="AA689">
        <v>0.98197000000000001</v>
      </c>
      <c r="AB689">
        <v>36</v>
      </c>
      <c r="AC689">
        <v>0.64089999999998704</v>
      </c>
      <c r="AD689">
        <v>-0.1796092</v>
      </c>
      <c r="AE689">
        <v>-0.15960000000001101</v>
      </c>
      <c r="AF689">
        <v>0.150855031406192</v>
      </c>
      <c r="AG689">
        <v>-0.1796092</v>
      </c>
      <c r="AH689">
        <v>0.59620459741349496</v>
      </c>
      <c r="AI689">
        <v>106.28047076729899</v>
      </c>
      <c r="AJ689">
        <v>75.800715742139303</v>
      </c>
      <c r="AK689">
        <v>0.64068449895575796</v>
      </c>
      <c r="AL689">
        <v>79.085887653242395</v>
      </c>
      <c r="AM689">
        <v>88.682956848216307</v>
      </c>
      <c r="AN689">
        <v>0.99999999749771995</v>
      </c>
    </row>
    <row r="690" spans="1:40" x14ac:dyDescent="0.25">
      <c r="A690" t="str">
        <f>"20190312172909136"</f>
        <v>20190312172909136</v>
      </c>
      <c r="B690" t="str">
        <f>"1552382949128365"</f>
        <v>1552382949128365</v>
      </c>
      <c r="C690" t="s">
        <v>40</v>
      </c>
      <c r="D690">
        <v>3.0962260000000001</v>
      </c>
      <c r="E690">
        <v>0.58282880000000004</v>
      </c>
      <c r="F690" t="s">
        <v>42</v>
      </c>
      <c r="G690">
        <v>-335.70269999999999</v>
      </c>
      <c r="H690">
        <v>0.9007018</v>
      </c>
      <c r="I690">
        <v>367.28840000000002</v>
      </c>
      <c r="J690">
        <v>-336.47919999999999</v>
      </c>
      <c r="K690">
        <v>1.1089150000000001</v>
      </c>
      <c r="L690">
        <v>367.47280000000001</v>
      </c>
      <c r="M690">
        <v>0.99997469999999999</v>
      </c>
      <c r="N690">
        <v>0</v>
      </c>
      <c r="O690">
        <v>3.7638799999999998E-3</v>
      </c>
      <c r="P690">
        <v>0.98282740000000002</v>
      </c>
      <c r="Q690">
        <v>0.1835685</v>
      </c>
      <c r="R690">
        <v>-1.878063E-2</v>
      </c>
      <c r="S690">
        <v>3.1694339999999999</v>
      </c>
      <c r="T690">
        <v>-0.68978980000000001</v>
      </c>
      <c r="U690">
        <v>-0.60787959999999996</v>
      </c>
      <c r="V690">
        <v>2.248698E-2</v>
      </c>
      <c r="W690">
        <v>0.18950159999999999</v>
      </c>
      <c r="X690">
        <v>0.98162289999999996</v>
      </c>
      <c r="Y690">
        <v>0.18773029999999999</v>
      </c>
      <c r="Z690">
        <v>-2.081875E-2</v>
      </c>
      <c r="AA690">
        <v>0.98199990000000004</v>
      </c>
      <c r="AB690">
        <v>36</v>
      </c>
      <c r="AC690">
        <v>0.77649999999999797</v>
      </c>
      <c r="AD690">
        <v>-0.20821319999999899</v>
      </c>
      <c r="AE690">
        <v>-0.18439999999998199</v>
      </c>
      <c r="AF690">
        <v>0.175384319598726</v>
      </c>
      <c r="AG690">
        <v>-0.20821319999999899</v>
      </c>
      <c r="AH690">
        <v>0.72636244565826502</v>
      </c>
      <c r="AI690">
        <v>105.570197220805</v>
      </c>
      <c r="AJ690">
        <v>76.425432324649805</v>
      </c>
      <c r="AK690">
        <v>0.77570277727877401</v>
      </c>
      <c r="AL690">
        <v>79.076300631774401</v>
      </c>
      <c r="AM690">
        <v>88.687699987338107</v>
      </c>
      <c r="AN690">
        <v>1.0000000192382399</v>
      </c>
    </row>
    <row r="691" spans="1:40" x14ac:dyDescent="0.25">
      <c r="A691" t="str">
        <f>"20190312172909146"</f>
        <v>20190312172909146</v>
      </c>
      <c r="B691" t="str">
        <f>"1552382949138125"</f>
        <v>1552382949138125</v>
      </c>
      <c r="C691" t="s">
        <v>40</v>
      </c>
      <c r="D691">
        <v>3.0803189999999998</v>
      </c>
      <c r="E691">
        <v>0.58282880000000004</v>
      </c>
      <c r="F691" t="s">
        <v>42</v>
      </c>
      <c r="G691">
        <v>-335.69099999999997</v>
      </c>
      <c r="H691">
        <v>0.93077949999999998</v>
      </c>
      <c r="I691">
        <v>367.30680000000001</v>
      </c>
      <c r="J691">
        <v>-336.30900000000003</v>
      </c>
      <c r="K691">
        <v>1.1089150000000001</v>
      </c>
      <c r="L691">
        <v>367.47340000000003</v>
      </c>
      <c r="M691">
        <v>0.99997449999999999</v>
      </c>
      <c r="N691">
        <v>0</v>
      </c>
      <c r="O691">
        <v>3.7637339999999999E-3</v>
      </c>
      <c r="P691">
        <v>0.98284439999999995</v>
      </c>
      <c r="Q691">
        <v>0.18350730000000001</v>
      </c>
      <c r="R691">
        <v>-1.850798E-2</v>
      </c>
      <c r="S691">
        <v>3.1737060000000001</v>
      </c>
      <c r="T691">
        <v>-0.71734049999999905</v>
      </c>
      <c r="U691">
        <v>-0.66738889999999995</v>
      </c>
      <c r="V691">
        <v>2.2214069999999999E-2</v>
      </c>
      <c r="W691">
        <v>0.18948719999999999</v>
      </c>
      <c r="X691">
        <v>0.9816319</v>
      </c>
      <c r="Y691">
        <v>0.2044347</v>
      </c>
      <c r="Z691">
        <v>-2.34095E-2</v>
      </c>
      <c r="AA691">
        <v>0.97860029999999998</v>
      </c>
      <c r="AB691">
        <v>36</v>
      </c>
      <c r="AC691">
        <v>0.61800000000005095</v>
      </c>
      <c r="AD691">
        <v>-0.178135499999999</v>
      </c>
      <c r="AE691">
        <v>-0.16660000000001601</v>
      </c>
      <c r="AF691">
        <v>0.15678116402914799</v>
      </c>
      <c r="AG691">
        <v>-0.178135499999999</v>
      </c>
      <c r="AH691">
        <v>0.57298711988818296</v>
      </c>
      <c r="AI691">
        <v>106.692227888772</v>
      </c>
      <c r="AJ691">
        <v>74.697243865485603</v>
      </c>
      <c r="AK691">
        <v>0.62018289988707398</v>
      </c>
      <c r="AL691">
        <v>79.077140984465402</v>
      </c>
      <c r="AM691">
        <v>88.703632941027493</v>
      </c>
      <c r="AN691">
        <v>1.0000000254837</v>
      </c>
    </row>
    <row r="692" spans="1:40" x14ac:dyDescent="0.25">
      <c r="A692" t="str">
        <f>"20190312172909157"</f>
        <v>20190312172909157</v>
      </c>
      <c r="B692" t="str">
        <f>"1552382949147885"</f>
        <v>1552382949147885</v>
      </c>
      <c r="C692" t="s">
        <v>40</v>
      </c>
      <c r="D692">
        <v>3.0797599999999998</v>
      </c>
      <c r="E692">
        <v>0.57879019999999903</v>
      </c>
      <c r="F692" t="s">
        <v>42</v>
      </c>
      <c r="G692">
        <v>-335.37569999999999</v>
      </c>
      <c r="H692">
        <v>0.89796330000000002</v>
      </c>
      <c r="I692">
        <v>367.27730000000003</v>
      </c>
      <c r="J692">
        <v>-336.12599999999998</v>
      </c>
      <c r="K692">
        <v>1.1089089999999999</v>
      </c>
      <c r="L692">
        <v>367.4742</v>
      </c>
      <c r="M692">
        <v>0.99997420000000004</v>
      </c>
      <c r="N692">
        <v>0</v>
      </c>
      <c r="O692">
        <v>3.7641189999999998E-3</v>
      </c>
      <c r="P692">
        <v>0.98279669999999997</v>
      </c>
      <c r="Q692">
        <v>0.18376790000000001</v>
      </c>
      <c r="R692">
        <v>-1.8447000000000002E-2</v>
      </c>
      <c r="S692">
        <v>3.1737980000000001</v>
      </c>
      <c r="T692">
        <v>-0.71747469999999902</v>
      </c>
      <c r="U692">
        <v>-0.66662600000000005</v>
      </c>
      <c r="V692">
        <v>2.215346E-2</v>
      </c>
      <c r="W692">
        <v>0.18979570000000001</v>
      </c>
      <c r="X692">
        <v>0.98157360000000005</v>
      </c>
      <c r="Y692">
        <v>0.20420779999999999</v>
      </c>
      <c r="Z692">
        <v>-2.3388699999999998E-2</v>
      </c>
      <c r="AA692">
        <v>0.97864810000000002</v>
      </c>
      <c r="AB692">
        <v>37</v>
      </c>
      <c r="AC692">
        <v>0.75029999999998098</v>
      </c>
      <c r="AD692">
        <v>-0.21094569999999899</v>
      </c>
      <c r="AE692">
        <v>-0.19689999999997099</v>
      </c>
      <c r="AF692">
        <v>0.18597010393464</v>
      </c>
      <c r="AG692">
        <v>-0.21094569999999899</v>
      </c>
      <c r="AH692">
        <v>0.697939803936377</v>
      </c>
      <c r="AI692">
        <v>106.280480625864</v>
      </c>
      <c r="AJ692">
        <v>75.079863448409398</v>
      </c>
      <c r="AK692">
        <v>0.75246457579390402</v>
      </c>
      <c r="AL692">
        <v>79.059137805319395</v>
      </c>
      <c r="AM692">
        <v>88.7070920519363</v>
      </c>
      <c r="AN692">
        <v>0.99999995787270901</v>
      </c>
    </row>
    <row r="693" spans="1:40" x14ac:dyDescent="0.25">
      <c r="A693" t="str">
        <f>"20190312172909168"</f>
        <v>20190312172909168</v>
      </c>
      <c r="B693" t="str">
        <f>"1552382949157645"</f>
        <v>1552382949157645</v>
      </c>
      <c r="C693" t="s">
        <v>40</v>
      </c>
      <c r="D693">
        <v>3.0745830000000001</v>
      </c>
      <c r="E693">
        <v>0.57878980000000002</v>
      </c>
      <c r="F693" t="s">
        <v>42</v>
      </c>
      <c r="G693">
        <v>-335.36</v>
      </c>
      <c r="H693">
        <v>0.94093300000000002</v>
      </c>
      <c r="I693">
        <v>367.32049999999998</v>
      </c>
      <c r="J693">
        <v>-335.95479999999998</v>
      </c>
      <c r="K693">
        <v>1.1089059999999999</v>
      </c>
      <c r="L693">
        <v>367.47480000000002</v>
      </c>
      <c r="M693">
        <v>0.99997389999999997</v>
      </c>
      <c r="N693">
        <v>0</v>
      </c>
      <c r="O693">
        <v>3.7644570000000001E-3</v>
      </c>
      <c r="P693">
        <v>0.98282559999999997</v>
      </c>
      <c r="Q693">
        <v>0.18361130000000001</v>
      </c>
      <c r="R693">
        <v>-1.8475519999999999E-2</v>
      </c>
      <c r="S693">
        <v>3.1706240000000001</v>
      </c>
      <c r="T693">
        <v>-0.69534609999999997</v>
      </c>
      <c r="U693">
        <v>-0.63522339999999999</v>
      </c>
      <c r="V693">
        <v>2.218227E-2</v>
      </c>
      <c r="W693">
        <v>0.18968289999999999</v>
      </c>
      <c r="X693">
        <v>0.98159479999999999</v>
      </c>
      <c r="Y693">
        <v>0.1955751</v>
      </c>
      <c r="Z693">
        <v>-2.180062E-2</v>
      </c>
      <c r="AA693">
        <v>0.98044640000000005</v>
      </c>
      <c r="AB693">
        <v>37</v>
      </c>
      <c r="AC693">
        <v>0.59479999999996302</v>
      </c>
      <c r="AD693">
        <v>-0.16797299999999901</v>
      </c>
      <c r="AE693">
        <v>-0.15430000000003399</v>
      </c>
      <c r="AF693">
        <v>0.145654371450887</v>
      </c>
      <c r="AG693">
        <v>-0.16797299999999901</v>
      </c>
      <c r="AH693">
        <v>0.55290072565814596</v>
      </c>
      <c r="AI693">
        <v>106.371741117832</v>
      </c>
      <c r="AJ693">
        <v>75.241495636957595</v>
      </c>
      <c r="AK693">
        <v>0.59592729177732595</v>
      </c>
      <c r="AL693">
        <v>79.065720849889004</v>
      </c>
      <c r="AM693">
        <v>88.705439180900498</v>
      </c>
      <c r="AN693">
        <v>1.0000000035209</v>
      </c>
    </row>
    <row r="694" spans="1:40" x14ac:dyDescent="0.25">
      <c r="A694" t="str">
        <f>"20190312172909181"</f>
        <v>20190312172909181</v>
      </c>
      <c r="B694" t="str">
        <f>"1552382949178141"</f>
        <v>1552382949178141</v>
      </c>
      <c r="C694" t="s">
        <v>40</v>
      </c>
      <c r="D694">
        <v>3.2278600000000002</v>
      </c>
      <c r="E694">
        <v>0.57889060000000003</v>
      </c>
      <c r="F694" t="s">
        <v>42</v>
      </c>
      <c r="G694">
        <v>-335.04399999999998</v>
      </c>
      <c r="H694">
        <v>0.90812499999999996</v>
      </c>
      <c r="I694">
        <v>367.2921</v>
      </c>
      <c r="J694">
        <v>-335.75150000000002</v>
      </c>
      <c r="K694">
        <v>1.1089070000000001</v>
      </c>
      <c r="L694">
        <v>367.47559999999999</v>
      </c>
      <c r="M694">
        <v>0.99997369999999997</v>
      </c>
      <c r="N694">
        <v>0</v>
      </c>
      <c r="O694">
        <v>3.764833E-3</v>
      </c>
      <c r="P694">
        <v>0.98284720000000003</v>
      </c>
      <c r="Q694">
        <v>0.1834992</v>
      </c>
      <c r="R694">
        <v>-1.8429959999999999E-2</v>
      </c>
      <c r="S694">
        <v>3.1710820000000002</v>
      </c>
      <c r="T694">
        <v>-0.69907859999999999</v>
      </c>
      <c r="U694">
        <v>-0.63516240000000002</v>
      </c>
      <c r="V694">
        <v>2.213729E-2</v>
      </c>
      <c r="W694">
        <v>0.18962100000000001</v>
      </c>
      <c r="X694">
        <v>0.98160769999999997</v>
      </c>
      <c r="Y694">
        <v>0.19548479999999999</v>
      </c>
      <c r="Z694">
        <v>-2.1902330000000001E-2</v>
      </c>
      <c r="AA694">
        <v>0.9804621</v>
      </c>
      <c r="AB694">
        <v>37</v>
      </c>
      <c r="AC694">
        <v>0.70749999999998103</v>
      </c>
      <c r="AD694">
        <v>-0.20078199999999899</v>
      </c>
      <c r="AE694">
        <v>-0.18349999999998001</v>
      </c>
      <c r="AF694">
        <v>0.17310006753391499</v>
      </c>
      <c r="AG694">
        <v>-0.20078199999999899</v>
      </c>
      <c r="AH694">
        <v>0.657210379695362</v>
      </c>
      <c r="AI694">
        <v>106.458768568536</v>
      </c>
      <c r="AJ694">
        <v>75.244210408755507</v>
      </c>
      <c r="AK694">
        <v>0.70866249236400802</v>
      </c>
      <c r="AL694">
        <v>79.069332200610802</v>
      </c>
      <c r="AM694">
        <v>88.708080302789199</v>
      </c>
      <c r="AN694">
        <v>0.999999929974414</v>
      </c>
    </row>
    <row r="695" spans="1:40" x14ac:dyDescent="0.25">
      <c r="A695" t="str">
        <f>"20190312172909193"</f>
        <v>20190312172909193</v>
      </c>
      <c r="B695" t="str">
        <f>"1552382949187901"</f>
        <v>1552382949187901</v>
      </c>
      <c r="C695" t="s">
        <v>40</v>
      </c>
      <c r="D695">
        <v>3.083942</v>
      </c>
      <c r="E695">
        <v>0.5761406</v>
      </c>
      <c r="F695" t="s">
        <v>42</v>
      </c>
      <c r="G695">
        <v>-335.02839999999998</v>
      </c>
      <c r="H695">
        <v>0.94915150000000004</v>
      </c>
      <c r="I695">
        <v>367.3304</v>
      </c>
      <c r="J695">
        <v>-335.5428</v>
      </c>
      <c r="K695">
        <v>1.1089059999999999</v>
      </c>
      <c r="L695">
        <v>367.47629999999998</v>
      </c>
      <c r="M695">
        <v>0.99997329999999995</v>
      </c>
      <c r="N695">
        <v>0</v>
      </c>
      <c r="O695">
        <v>3.7651529999999998E-3</v>
      </c>
      <c r="P695">
        <v>0.98284210000000005</v>
      </c>
      <c r="Q695">
        <v>0.18354500000000001</v>
      </c>
      <c r="R695">
        <v>-1.825005E-2</v>
      </c>
      <c r="S695">
        <v>3.171265</v>
      </c>
      <c r="T695">
        <v>-0.70071289999999997</v>
      </c>
      <c r="U695">
        <v>-0.63565059999999995</v>
      </c>
      <c r="V695">
        <v>2.1957689999999998E-2</v>
      </c>
      <c r="W695">
        <v>0.1897152</v>
      </c>
      <c r="X695">
        <v>0.98159359999999996</v>
      </c>
      <c r="Y695">
        <v>0.1955962</v>
      </c>
      <c r="Z695">
        <v>-2.196294E-2</v>
      </c>
      <c r="AA695">
        <v>0.98043849999999999</v>
      </c>
      <c r="AB695">
        <v>37</v>
      </c>
      <c r="AC695">
        <v>0.51440000000002295</v>
      </c>
      <c r="AD695">
        <v>-0.15975449999999999</v>
      </c>
      <c r="AE695">
        <v>-0.14589999999998299</v>
      </c>
      <c r="AF695">
        <v>0.13572018667240299</v>
      </c>
      <c r="AG695">
        <v>-0.15975449999999999</v>
      </c>
      <c r="AH695">
        <v>0.47173561776664202</v>
      </c>
      <c r="AI695">
        <v>108.027530392259</v>
      </c>
      <c r="AJ695">
        <v>73.949265502020694</v>
      </c>
      <c r="AK695">
        <v>0.51621309786784597</v>
      </c>
      <c r="AL695">
        <v>79.063835892411404</v>
      </c>
      <c r="AM695">
        <v>88.718539746803103</v>
      </c>
      <c r="AN695">
        <v>0.99999999641106796</v>
      </c>
    </row>
    <row r="696" spans="1:40" x14ac:dyDescent="0.25">
      <c r="A696" t="str">
        <f>"20190312172909207"</f>
        <v>20190312172909207</v>
      </c>
      <c r="B696" t="str">
        <f>"1552382949198637"</f>
        <v>1552382949198637</v>
      </c>
      <c r="C696" t="s">
        <v>40</v>
      </c>
      <c r="D696">
        <v>3.0969009999999999</v>
      </c>
      <c r="E696">
        <v>0.57655559999999995</v>
      </c>
      <c r="F696" t="s">
        <v>42</v>
      </c>
      <c r="G696">
        <v>-334.70760000000001</v>
      </c>
      <c r="H696">
        <v>0.92852990000000002</v>
      </c>
      <c r="I696">
        <v>367.31450000000001</v>
      </c>
      <c r="J696">
        <v>-335.32170000000002</v>
      </c>
      <c r="K696">
        <v>1.1089059999999999</v>
      </c>
      <c r="L696">
        <v>367.47719999999998</v>
      </c>
      <c r="M696">
        <v>0.99997290000000005</v>
      </c>
      <c r="N696">
        <v>0</v>
      </c>
      <c r="O696">
        <v>3.7656479999999999E-3</v>
      </c>
      <c r="P696">
        <v>0.98287329999999995</v>
      </c>
      <c r="Q696">
        <v>0.1833748</v>
      </c>
      <c r="R696">
        <v>-1.8275349999999999E-2</v>
      </c>
      <c r="S696">
        <v>3.1687319999999999</v>
      </c>
      <c r="T696">
        <v>-0.68426880000000001</v>
      </c>
      <c r="U696">
        <v>-0.61404419999999904</v>
      </c>
      <c r="V696">
        <v>2.1983619999999999E-2</v>
      </c>
      <c r="W696">
        <v>0.18959480000000001</v>
      </c>
      <c r="X696">
        <v>0.9816163</v>
      </c>
      <c r="Y696">
        <v>0.18963959999999999</v>
      </c>
      <c r="Z696">
        <v>-2.0858910000000001E-2</v>
      </c>
      <c r="AA696">
        <v>0.98163219999999995</v>
      </c>
      <c r="AB696">
        <v>37</v>
      </c>
      <c r="AC696">
        <v>0.61410000000000697</v>
      </c>
      <c r="AD696">
        <v>-0.18037609999999901</v>
      </c>
      <c r="AE696">
        <v>-0.16269999999997201</v>
      </c>
      <c r="AF696">
        <v>0.15270131464283301</v>
      </c>
      <c r="AG696">
        <v>-0.18037609999999901</v>
      </c>
      <c r="AH696">
        <v>0.56771633898671503</v>
      </c>
      <c r="AI696">
        <v>107.05691974076301</v>
      </c>
      <c r="AJ696">
        <v>74.945194432432899</v>
      </c>
      <c r="AK696">
        <v>0.61494314411768103</v>
      </c>
      <c r="AL696">
        <v>79.070862014780701</v>
      </c>
      <c r="AM696">
        <v>88.717056625320694</v>
      </c>
      <c r="AN696">
        <v>1.0000000140805101</v>
      </c>
    </row>
    <row r="697" spans="1:40" x14ac:dyDescent="0.25">
      <c r="A697" t="str">
        <f>"20190312172909224"</f>
        <v>20190312172909224</v>
      </c>
      <c r="B697" t="str">
        <f>"1552382949218161"</f>
        <v>1552382949218161</v>
      </c>
      <c r="C697" t="s">
        <v>40</v>
      </c>
      <c r="D697">
        <v>3.1323479999999999</v>
      </c>
      <c r="E697">
        <v>0.5838489</v>
      </c>
      <c r="F697" t="s">
        <v>42</v>
      </c>
      <c r="G697">
        <v>-334.38600000000002</v>
      </c>
      <c r="H697">
        <v>0.90641280000000002</v>
      </c>
      <c r="I697">
        <v>367.2946</v>
      </c>
      <c r="J697">
        <v>-335.04070000000002</v>
      </c>
      <c r="K697">
        <v>1.1089070000000001</v>
      </c>
      <c r="L697">
        <v>367.47820000000002</v>
      </c>
      <c r="M697">
        <v>0.99997250000000004</v>
      </c>
      <c r="N697">
        <v>0</v>
      </c>
      <c r="O697">
        <v>3.7661719999999999E-3</v>
      </c>
      <c r="P697">
        <v>0.98282550000000002</v>
      </c>
      <c r="Q697">
        <v>0.18362319999999999</v>
      </c>
      <c r="R697">
        <v>-1.8346399999999999E-2</v>
      </c>
      <c r="S697">
        <v>3.168793</v>
      </c>
      <c r="T697">
        <v>-0.68583609999999995</v>
      </c>
      <c r="U697">
        <v>-0.61758419999999903</v>
      </c>
      <c r="V697">
        <v>2.2055060000000001E-2</v>
      </c>
      <c r="W697">
        <v>0.1899015</v>
      </c>
      <c r="X697">
        <v>0.98155539999999997</v>
      </c>
      <c r="Y697">
        <v>0.1906524</v>
      </c>
      <c r="Z697">
        <v>-2.1010589999999999E-2</v>
      </c>
      <c r="AA697">
        <v>0.98143270000000005</v>
      </c>
      <c r="AB697">
        <v>37</v>
      </c>
      <c r="AC697">
        <v>0.65470000000004802</v>
      </c>
      <c r="AD697">
        <v>-0.20249419999999901</v>
      </c>
      <c r="AE697">
        <v>-0.183600000000012</v>
      </c>
      <c r="AF697">
        <v>0.170907124584153</v>
      </c>
      <c r="AG697">
        <v>-0.20249419999999901</v>
      </c>
      <c r="AH697">
        <v>0.60072687108432199</v>
      </c>
      <c r="AI697">
        <v>107.963530674369</v>
      </c>
      <c r="AJ697">
        <v>74.118918234200606</v>
      </c>
      <c r="AK697">
        <v>0.65657133649743105</v>
      </c>
      <c r="AL697">
        <v>79.052964138833502</v>
      </c>
      <c r="AM697">
        <v>88.712809023225802</v>
      </c>
      <c r="AN697">
        <v>1.0000000043215</v>
      </c>
    </row>
    <row r="698" spans="1:40" x14ac:dyDescent="0.25">
      <c r="A698" t="str">
        <f>"20190312172909235"</f>
        <v>20190312172909235</v>
      </c>
      <c r="B698" t="str">
        <f>"1552382949227917"</f>
        <v>1552382949227917</v>
      </c>
      <c r="C698" t="s">
        <v>40</v>
      </c>
      <c r="D698">
        <v>3.1002730000000001</v>
      </c>
      <c r="E698">
        <v>0.5838489</v>
      </c>
      <c r="F698" t="s">
        <v>42</v>
      </c>
      <c r="G698">
        <v>-334.06279999999998</v>
      </c>
      <c r="H698">
        <v>0.88540629999999998</v>
      </c>
      <c r="I698">
        <v>367.27080000000001</v>
      </c>
      <c r="J698">
        <v>-334.8451</v>
      </c>
      <c r="K698">
        <v>1.108905</v>
      </c>
      <c r="L698">
        <v>367.47899999999998</v>
      </c>
      <c r="M698">
        <v>0.99997219999999998</v>
      </c>
      <c r="N698">
        <v>0</v>
      </c>
      <c r="O698">
        <v>3.7665200000000002E-3</v>
      </c>
      <c r="P698">
        <v>0.98281280000000004</v>
      </c>
      <c r="Q698">
        <v>0.18367810000000001</v>
      </c>
      <c r="R698">
        <v>-1.8474250000000001E-2</v>
      </c>
      <c r="S698">
        <v>3.175446</v>
      </c>
      <c r="T698">
        <v>-0.72571859999999999</v>
      </c>
      <c r="U698">
        <v>-0.67352290000000004</v>
      </c>
      <c r="V698">
        <v>2.218324E-2</v>
      </c>
      <c r="W698">
        <v>0.18999559999999999</v>
      </c>
      <c r="X698">
        <v>0.98153429999999997</v>
      </c>
      <c r="Y698">
        <v>0.20599149999999999</v>
      </c>
      <c r="Z698">
        <v>-2.3833790000000001E-2</v>
      </c>
      <c r="AA698">
        <v>0.97826349999999995</v>
      </c>
      <c r="AB698">
        <v>37</v>
      </c>
      <c r="AC698">
        <v>0.78230000000001998</v>
      </c>
      <c r="AD698">
        <v>-0.22349869999999999</v>
      </c>
      <c r="AE698">
        <v>-0.208200000000033</v>
      </c>
      <c r="AF698">
        <v>0.19619097360382001</v>
      </c>
      <c r="AG698">
        <v>-0.22349869999999999</v>
      </c>
      <c r="AH698">
        <v>0.72616050327968795</v>
      </c>
      <c r="AI698">
        <v>106.54815721657501</v>
      </c>
      <c r="AJ698">
        <v>74.881038660844894</v>
      </c>
      <c r="AK698">
        <v>0.78469844115348797</v>
      </c>
      <c r="AL698">
        <v>79.047472614442498</v>
      </c>
      <c r="AM698">
        <v>88.705302820094502</v>
      </c>
      <c r="AN698">
        <v>1.0000000031163701</v>
      </c>
    </row>
    <row r="699" spans="1:40" x14ac:dyDescent="0.25">
      <c r="A699" t="str">
        <f>"20190312172909248"</f>
        <v>20190312172909248</v>
      </c>
      <c r="B699" t="str">
        <f>"1552382949237678"</f>
        <v>1552382949237678</v>
      </c>
      <c r="C699" t="s">
        <v>40</v>
      </c>
      <c r="D699">
        <v>3.104368</v>
      </c>
      <c r="E699">
        <v>0.57929379999999997</v>
      </c>
      <c r="F699" t="s">
        <v>42</v>
      </c>
      <c r="G699">
        <v>-334.04770000000002</v>
      </c>
      <c r="H699">
        <v>0.92665790000000003</v>
      </c>
      <c r="I699">
        <v>367.3098</v>
      </c>
      <c r="J699">
        <v>-334.65190000000001</v>
      </c>
      <c r="K699">
        <v>1.1089070000000001</v>
      </c>
      <c r="L699">
        <v>367.47969999999998</v>
      </c>
      <c r="M699">
        <v>0.99997210000000003</v>
      </c>
      <c r="N699">
        <v>0</v>
      </c>
      <c r="O699">
        <v>3.7667500000000001E-3</v>
      </c>
      <c r="P699">
        <v>0.98288770000000003</v>
      </c>
      <c r="Q699">
        <v>0.1832935</v>
      </c>
      <c r="R699">
        <v>-1.83223E-2</v>
      </c>
      <c r="S699">
        <v>3.1754150000000001</v>
      </c>
      <c r="T699">
        <v>-0.7256958</v>
      </c>
      <c r="U699">
        <v>-0.67385859999999997</v>
      </c>
      <c r="V699">
        <v>2.2031769999999999E-2</v>
      </c>
      <c r="W699">
        <v>0.18964909999999999</v>
      </c>
      <c r="X699">
        <v>0.9816047</v>
      </c>
      <c r="Y699">
        <v>0.20609050000000001</v>
      </c>
      <c r="Z699">
        <v>-2.3844130000000002E-2</v>
      </c>
      <c r="AA699">
        <v>0.97824239999999996</v>
      </c>
      <c r="AB699">
        <v>37</v>
      </c>
      <c r="AC699">
        <v>0.60419999999999097</v>
      </c>
      <c r="AD699">
        <v>-0.182249099999999</v>
      </c>
      <c r="AE699">
        <v>-0.16989999999998401</v>
      </c>
      <c r="AF699">
        <v>0.158786223838949</v>
      </c>
      <c r="AG699">
        <v>-0.182249099999999</v>
      </c>
      <c r="AH699">
        <v>0.55662259478083298</v>
      </c>
      <c r="AI699">
        <v>107.477069946059</v>
      </c>
      <c r="AJ699">
        <v>74.078284513661799</v>
      </c>
      <c r="AK699">
        <v>0.60684142273941</v>
      </c>
      <c r="AL699">
        <v>79.067693027782198</v>
      </c>
      <c r="AM699">
        <v>88.714232389750507</v>
      </c>
      <c r="AN699">
        <v>0.99999998354111597</v>
      </c>
    </row>
    <row r="700" spans="1:40" x14ac:dyDescent="0.25">
      <c r="A700" t="str">
        <f>"20190312172909260"</f>
        <v>20190312172909260</v>
      </c>
      <c r="B700" t="str">
        <f>"1552382949248414"</f>
        <v>1552382949248414</v>
      </c>
      <c r="C700" t="s">
        <v>40</v>
      </c>
      <c r="D700">
        <v>3.1195339999999998</v>
      </c>
      <c r="E700">
        <v>0.57929379999999997</v>
      </c>
      <c r="F700" t="s">
        <v>42</v>
      </c>
      <c r="G700">
        <v>-333.72559999999999</v>
      </c>
      <c r="H700">
        <v>0.90240319999999996</v>
      </c>
      <c r="I700">
        <v>367.29309999999998</v>
      </c>
      <c r="J700">
        <v>-334.44069999999999</v>
      </c>
      <c r="K700">
        <v>1.108908</v>
      </c>
      <c r="L700">
        <v>367.48050000000001</v>
      </c>
      <c r="M700">
        <v>0.99997170000000002</v>
      </c>
      <c r="N700">
        <v>0</v>
      </c>
      <c r="O700">
        <v>3.7672700000000001E-3</v>
      </c>
      <c r="P700">
        <v>0.98292800000000002</v>
      </c>
      <c r="Q700">
        <v>0.1830861</v>
      </c>
      <c r="R700">
        <v>-1.8226139999999998E-2</v>
      </c>
      <c r="S700">
        <v>3.1722410000000001</v>
      </c>
      <c r="T700">
        <v>-0.70740459999999905</v>
      </c>
      <c r="U700">
        <v>-0.63769529999999996</v>
      </c>
      <c r="V700">
        <v>2.1936190000000001E-2</v>
      </c>
      <c r="W700">
        <v>0.18948290000000001</v>
      </c>
      <c r="X700">
        <v>0.98163900000000004</v>
      </c>
      <c r="Y700">
        <v>0.19605249999999999</v>
      </c>
      <c r="Z700">
        <v>-2.221018E-2</v>
      </c>
      <c r="AA700">
        <v>0.98034189999999999</v>
      </c>
      <c r="AB700">
        <v>37</v>
      </c>
      <c r="AC700">
        <v>0.71510000000000595</v>
      </c>
      <c r="AD700">
        <v>-0.20650479999999999</v>
      </c>
      <c r="AE700">
        <v>-0.18740000000002499</v>
      </c>
      <c r="AF700">
        <v>0.17633284668339799</v>
      </c>
      <c r="AG700">
        <v>-0.20650479999999999</v>
      </c>
      <c r="AH700">
        <v>0.66267790009126404</v>
      </c>
      <c r="AI700">
        <v>106.759298922645</v>
      </c>
      <c r="AJ700">
        <v>75.099362852102104</v>
      </c>
      <c r="AK700">
        <v>0.71615606156191802</v>
      </c>
      <c r="AL700">
        <v>79.077392129680703</v>
      </c>
      <c r="AM700">
        <v>88.719853267061495</v>
      </c>
      <c r="AN700">
        <v>1.00000004607256</v>
      </c>
    </row>
    <row r="701" spans="1:40" x14ac:dyDescent="0.25">
      <c r="A701" t="str">
        <f>"20190312172909272"</f>
        <v>20190312172909272</v>
      </c>
      <c r="B701" t="str">
        <f>"1552382949268624"</f>
        <v>1552382949268624</v>
      </c>
      <c r="C701" t="s">
        <v>40</v>
      </c>
      <c r="D701">
        <v>3.13828</v>
      </c>
      <c r="E701">
        <v>0.58450459999999904</v>
      </c>
      <c r="F701" t="s">
        <v>42</v>
      </c>
      <c r="G701">
        <v>-333.70929999999998</v>
      </c>
      <c r="H701">
        <v>0.94575690000000001</v>
      </c>
      <c r="I701">
        <v>367.33300000000003</v>
      </c>
      <c r="J701">
        <v>-334.24299999999999</v>
      </c>
      <c r="K701">
        <v>1.1089089999999999</v>
      </c>
      <c r="L701">
        <v>367.48129999999998</v>
      </c>
      <c r="M701">
        <v>0.99997150000000001</v>
      </c>
      <c r="N701">
        <v>0</v>
      </c>
      <c r="O701">
        <v>3.767505E-3</v>
      </c>
      <c r="P701">
        <v>0.98295980000000005</v>
      </c>
      <c r="Q701">
        <v>0.18292349999999999</v>
      </c>
      <c r="R701">
        <v>-1.815104E-2</v>
      </c>
      <c r="S701">
        <v>3.1721189999999999</v>
      </c>
      <c r="T701">
        <v>-0.70771609999999996</v>
      </c>
      <c r="U701">
        <v>-0.63797000000000004</v>
      </c>
      <c r="V701">
        <v>2.186128E-2</v>
      </c>
      <c r="W701">
        <v>0.18935740000000001</v>
      </c>
      <c r="X701">
        <v>0.9816648</v>
      </c>
      <c r="Y701">
        <v>0.19613520000000001</v>
      </c>
      <c r="Z701">
        <v>-2.2229450000000001E-2</v>
      </c>
      <c r="AA701">
        <v>0.98032490000000005</v>
      </c>
      <c r="AB701">
        <v>37</v>
      </c>
      <c r="AC701">
        <v>0.53370000000006701</v>
      </c>
      <c r="AD701">
        <v>-0.16315209999999999</v>
      </c>
      <c r="AE701">
        <v>-0.148299999999949</v>
      </c>
      <c r="AF701">
        <v>0.138310700871868</v>
      </c>
      <c r="AG701">
        <v>-0.16315209999999999</v>
      </c>
      <c r="AH701">
        <v>0.49057788369189498</v>
      </c>
      <c r="AI701">
        <v>107.749498728335</v>
      </c>
      <c r="AJ701">
        <v>74.255038580146504</v>
      </c>
      <c r="AK701">
        <v>0.53517765057754096</v>
      </c>
      <c r="AL701">
        <v>79.084714377187794</v>
      </c>
      <c r="AM701">
        <v>88.724256917709894</v>
      </c>
      <c r="AN701">
        <v>0.99999996002851799</v>
      </c>
    </row>
    <row r="702" spans="1:40" x14ac:dyDescent="0.25">
      <c r="A702" t="str">
        <f>"20190312172909285"</f>
        <v>20190312172909285</v>
      </c>
      <c r="B702" t="str">
        <f>"1552382949278384"</f>
        <v>1552382949278384</v>
      </c>
      <c r="C702" t="s">
        <v>40</v>
      </c>
      <c r="D702">
        <v>3.0894539999999999</v>
      </c>
      <c r="E702">
        <v>0.58450459999999904</v>
      </c>
      <c r="F702" t="s">
        <v>42</v>
      </c>
      <c r="G702">
        <v>-333.38920000000002</v>
      </c>
      <c r="H702">
        <v>0.91311759999999997</v>
      </c>
      <c r="I702">
        <v>367.29840000000002</v>
      </c>
      <c r="J702">
        <v>-334.03250000000003</v>
      </c>
      <c r="K702">
        <v>1.108908</v>
      </c>
      <c r="L702">
        <v>367.4821</v>
      </c>
      <c r="M702">
        <v>0.99997130000000001</v>
      </c>
      <c r="N702">
        <v>0</v>
      </c>
      <c r="O702">
        <v>3.7678540000000002E-3</v>
      </c>
      <c r="P702">
        <v>0.98292239999999997</v>
      </c>
      <c r="Q702">
        <v>0.1831267</v>
      </c>
      <c r="R702">
        <v>-1.8123500000000001E-2</v>
      </c>
      <c r="S702">
        <v>3.174957</v>
      </c>
      <c r="T702">
        <v>-0.72816369999999997</v>
      </c>
      <c r="U702">
        <v>-0.67898559999999997</v>
      </c>
      <c r="V702">
        <v>2.1833979999999999E-2</v>
      </c>
      <c r="W702">
        <v>0.18959809999999999</v>
      </c>
      <c r="X702">
        <v>0.98161900000000002</v>
      </c>
      <c r="Y702">
        <v>0.2075603</v>
      </c>
      <c r="Z702">
        <v>-2.4087540000000001E-2</v>
      </c>
      <c r="AA702">
        <v>0.97792559999999995</v>
      </c>
      <c r="AB702">
        <v>37</v>
      </c>
      <c r="AC702">
        <v>0.64330000000000997</v>
      </c>
      <c r="AD702">
        <v>-0.1957904</v>
      </c>
      <c r="AE702">
        <v>-0.18369999999998701</v>
      </c>
      <c r="AF702">
        <v>0.17143936213786601</v>
      </c>
      <c r="AG702">
        <v>-0.1957904</v>
      </c>
      <c r="AH702">
        <v>0.59190817460712597</v>
      </c>
      <c r="AI702">
        <v>107.62608615800499</v>
      </c>
      <c r="AJ702">
        <v>73.846951480229905</v>
      </c>
      <c r="AK702">
        <v>0.64659154246644601</v>
      </c>
      <c r="AL702">
        <v>79.070669419397603</v>
      </c>
      <c r="AM702">
        <v>88.725790089550699</v>
      </c>
      <c r="AN702">
        <v>1.0000000116836201</v>
      </c>
    </row>
    <row r="703" spans="1:40" x14ac:dyDescent="0.25">
      <c r="A703" t="str">
        <f>"20190312172909301"</f>
        <v>20190312172909301</v>
      </c>
      <c r="B703" t="str">
        <f>"1552382949297904"</f>
        <v>1552382949297904</v>
      </c>
      <c r="C703" t="s">
        <v>40</v>
      </c>
      <c r="D703">
        <v>3.1115020000000002</v>
      </c>
      <c r="E703">
        <v>0.56580079999999999</v>
      </c>
      <c r="F703" t="s">
        <v>42</v>
      </c>
      <c r="G703">
        <v>-333.06580000000002</v>
      </c>
      <c r="H703">
        <v>0.88743039999999995</v>
      </c>
      <c r="I703">
        <v>367.27499999999998</v>
      </c>
      <c r="J703">
        <v>-333.74470000000002</v>
      </c>
      <c r="K703">
        <v>1.1089119999999999</v>
      </c>
      <c r="L703">
        <v>367.48309999999998</v>
      </c>
      <c r="M703">
        <v>0.99997100000000005</v>
      </c>
      <c r="N703">
        <v>0</v>
      </c>
      <c r="O703">
        <v>3.7683439999999999E-3</v>
      </c>
      <c r="P703">
        <v>0.98294139999999997</v>
      </c>
      <c r="Q703">
        <v>0.1830251</v>
      </c>
      <c r="R703">
        <v>-1.812194E-2</v>
      </c>
      <c r="S703">
        <v>3.1751399999999999</v>
      </c>
      <c r="T703">
        <v>-0.72745899999999997</v>
      </c>
      <c r="U703">
        <v>-0.67904659999999994</v>
      </c>
      <c r="V703">
        <v>2.1833140000000001E-2</v>
      </c>
      <c r="W703">
        <v>0.1895452</v>
      </c>
      <c r="X703">
        <v>0.98162930000000004</v>
      </c>
      <c r="Y703">
        <v>0.2075775</v>
      </c>
      <c r="Z703">
        <v>-2.4065449999999999E-2</v>
      </c>
      <c r="AA703">
        <v>0.97792250000000003</v>
      </c>
      <c r="AB703">
        <v>37</v>
      </c>
      <c r="AC703">
        <v>0.67889999999999795</v>
      </c>
      <c r="AD703">
        <v>-0.2214816</v>
      </c>
      <c r="AE703">
        <v>-0.20810000000000101</v>
      </c>
      <c r="AF703">
        <v>0.19197944459607699</v>
      </c>
      <c r="AG703">
        <v>-0.2214816</v>
      </c>
      <c r="AH703">
        <v>0.61798765175025305</v>
      </c>
      <c r="AI703">
        <v>108.893878287989</v>
      </c>
      <c r="AJ703">
        <v>72.742459352867201</v>
      </c>
      <c r="AK703">
        <v>0.68397291174561203</v>
      </c>
      <c r="AL703">
        <v>79.073757050012901</v>
      </c>
      <c r="AM703">
        <v>88.725852460032101</v>
      </c>
      <c r="AN703">
        <v>1.0000000757318901</v>
      </c>
    </row>
    <row r="704" spans="1:40" x14ac:dyDescent="0.25">
      <c r="A704" t="str">
        <f>"20190312172909315"</f>
        <v>20190312172909315</v>
      </c>
      <c r="B704" t="str">
        <f>"1552382949308640"</f>
        <v>1552382949308640</v>
      </c>
      <c r="C704" t="s">
        <v>40</v>
      </c>
      <c r="D704">
        <v>3.1297570000000001</v>
      </c>
      <c r="E704">
        <v>0.55947150000000001</v>
      </c>
      <c r="F704" t="s">
        <v>42</v>
      </c>
      <c r="G704">
        <v>-333.02910000000003</v>
      </c>
      <c r="H704">
        <v>0.98031000000000001</v>
      </c>
      <c r="I704">
        <v>367.36099999999999</v>
      </c>
      <c r="J704">
        <v>-333.5292</v>
      </c>
      <c r="K704">
        <v>1.1089150000000001</v>
      </c>
      <c r="L704">
        <v>367.48390000000001</v>
      </c>
      <c r="M704">
        <v>0.99997069999999999</v>
      </c>
      <c r="N704">
        <v>0</v>
      </c>
      <c r="O704">
        <v>3.7687649999999999E-3</v>
      </c>
      <c r="P704">
        <v>0.9829698</v>
      </c>
      <c r="Q704">
        <v>0.18287400000000001</v>
      </c>
      <c r="R704">
        <v>-1.809848E-2</v>
      </c>
      <c r="S704">
        <v>3.1475219999999999</v>
      </c>
      <c r="T704">
        <v>-0.56575679999999995</v>
      </c>
      <c r="U704">
        <v>-0.53591919999999904</v>
      </c>
      <c r="V704">
        <v>2.1810079999999999E-2</v>
      </c>
      <c r="W704">
        <v>0.1894286</v>
      </c>
      <c r="X704">
        <v>0.98165230000000003</v>
      </c>
      <c r="Y704">
        <v>0.16887559999999999</v>
      </c>
      <c r="Z704">
        <v>-1.561911E-2</v>
      </c>
      <c r="AA704">
        <v>0.98551359999999999</v>
      </c>
      <c r="AB704">
        <v>37</v>
      </c>
      <c r="AC704">
        <v>0.50009999999997401</v>
      </c>
      <c r="AD704">
        <v>-0.128604999999999</v>
      </c>
      <c r="AE704">
        <v>-0.122900000000015</v>
      </c>
      <c r="AF704">
        <v>0.117458716335007</v>
      </c>
      <c r="AG704">
        <v>-0.128604999999999</v>
      </c>
      <c r="AH704">
        <v>0.47030320124329</v>
      </c>
      <c r="AI704">
        <v>104.858405363521</v>
      </c>
      <c r="AJ704">
        <v>75.977182285067002</v>
      </c>
      <c r="AK704">
        <v>0.50151859104898</v>
      </c>
      <c r="AL704">
        <v>79.080560785806199</v>
      </c>
      <c r="AM704">
        <v>88.727227574052506</v>
      </c>
      <c r="AN704">
        <v>1.00000005609142</v>
      </c>
    </row>
    <row r="705" spans="1:40" x14ac:dyDescent="0.25">
      <c r="A705" t="str">
        <f>"20190312172909326"</f>
        <v>20190312172909326</v>
      </c>
      <c r="B705" t="str">
        <f>"1552382949318399"</f>
        <v>1552382949318399</v>
      </c>
      <c r="C705" t="s">
        <v>40</v>
      </c>
      <c r="D705">
        <v>3.1055609999999998</v>
      </c>
      <c r="E705">
        <v>0.55320340000000001</v>
      </c>
      <c r="F705" t="s">
        <v>42</v>
      </c>
      <c r="G705">
        <v>-332.6968</v>
      </c>
      <c r="H705">
        <v>0.97701910000000003</v>
      </c>
      <c r="I705">
        <v>367.35410000000002</v>
      </c>
      <c r="J705">
        <v>-333.34629999999999</v>
      </c>
      <c r="K705">
        <v>1.1089169999999999</v>
      </c>
      <c r="L705">
        <v>367.4846</v>
      </c>
      <c r="M705">
        <v>0.99997040000000004</v>
      </c>
      <c r="N705">
        <v>0</v>
      </c>
      <c r="O705">
        <v>3.7690269999999999E-3</v>
      </c>
      <c r="P705">
        <v>0.98301019999999995</v>
      </c>
      <c r="Q705">
        <v>0.18266289999999999</v>
      </c>
      <c r="R705">
        <v>-1.8042869999999999E-2</v>
      </c>
      <c r="S705">
        <v>3.1354060000000001</v>
      </c>
      <c r="T705">
        <v>-0.4969594</v>
      </c>
      <c r="U705">
        <v>-0.48800660000000001</v>
      </c>
      <c r="V705">
        <v>2.1754740000000002E-2</v>
      </c>
      <c r="W705">
        <v>0.18924550000000001</v>
      </c>
      <c r="X705">
        <v>0.98168880000000003</v>
      </c>
      <c r="Y705">
        <v>0.15557270000000001</v>
      </c>
      <c r="Z705">
        <v>-1.277087E-2</v>
      </c>
      <c r="AA705">
        <v>0.98774189999999995</v>
      </c>
      <c r="AB705">
        <v>37</v>
      </c>
      <c r="AC705">
        <v>0.64949999999998898</v>
      </c>
      <c r="AD705">
        <v>-0.13189790000000001</v>
      </c>
      <c r="AE705">
        <v>-0.13049999999998299</v>
      </c>
      <c r="AF705">
        <v>0.127878072996473</v>
      </c>
      <c r="AG705">
        <v>-0.13189790000000001</v>
      </c>
      <c r="AH705">
        <v>0.62425816144271096</v>
      </c>
      <c r="AI705">
        <v>101.694456237408</v>
      </c>
      <c r="AJ705">
        <v>78.423228478486195</v>
      </c>
      <c r="AK705">
        <v>0.65072890646223502</v>
      </c>
      <c r="AL705">
        <v>79.091244430304798</v>
      </c>
      <c r="AM705">
        <v>88.730503183426507</v>
      </c>
      <c r="AN705">
        <v>1.0000000140140699</v>
      </c>
    </row>
    <row r="706" spans="1:40" x14ac:dyDescent="0.25">
      <c r="A706" t="str">
        <f>"20190312172909335"</f>
        <v>20190312172909335</v>
      </c>
      <c r="B706" t="str">
        <f>"1552382949328160"</f>
        <v>1552382949328160</v>
      </c>
      <c r="C706" t="s">
        <v>40</v>
      </c>
      <c r="D706">
        <v>3.114957</v>
      </c>
      <c r="E706">
        <v>0.55320340000000001</v>
      </c>
      <c r="F706" t="s">
        <v>42</v>
      </c>
      <c r="G706">
        <v>-332.36430000000001</v>
      </c>
      <c r="H706">
        <v>0.97234430000000005</v>
      </c>
      <c r="I706">
        <v>367.34570000000002</v>
      </c>
      <c r="J706">
        <v>-333.1773</v>
      </c>
      <c r="K706">
        <v>1.1089199999999999</v>
      </c>
      <c r="L706">
        <v>367.48520000000002</v>
      </c>
      <c r="M706">
        <v>0.99997029999999998</v>
      </c>
      <c r="N706">
        <v>0</v>
      </c>
      <c r="O706">
        <v>3.769241E-3</v>
      </c>
      <c r="P706">
        <v>0.98299619999999999</v>
      </c>
      <c r="Q706">
        <v>0.1827356</v>
      </c>
      <c r="R706">
        <v>-1.8059499999999999E-2</v>
      </c>
      <c r="S706">
        <v>3.1245729999999998</v>
      </c>
      <c r="T706">
        <v>-0.43482569999999998</v>
      </c>
      <c r="U706">
        <v>-0.44030760000000002</v>
      </c>
      <c r="V706">
        <v>2.1771809999999999E-2</v>
      </c>
      <c r="W706">
        <v>0.1893425</v>
      </c>
      <c r="X706">
        <v>0.98166969999999998</v>
      </c>
      <c r="Y706">
        <v>0.14189379999999999</v>
      </c>
      <c r="Z706">
        <v>-1.0297779999999999E-2</v>
      </c>
      <c r="AA706">
        <v>0.98982829999999999</v>
      </c>
      <c r="AB706">
        <v>37</v>
      </c>
      <c r="AC706">
        <v>0.81299999999998795</v>
      </c>
      <c r="AD706">
        <v>-0.136575699999999</v>
      </c>
      <c r="AE706">
        <v>-0.13949999999999799</v>
      </c>
      <c r="AF706">
        <v>0.138759590332488</v>
      </c>
      <c r="AG706">
        <v>-0.136575699999999</v>
      </c>
      <c r="AH706">
        <v>0.79079010839946795</v>
      </c>
      <c r="AI706">
        <v>99.654113031720001</v>
      </c>
      <c r="AJ706">
        <v>80.047652359565205</v>
      </c>
      <c r="AK706">
        <v>0.81440539124085598</v>
      </c>
      <c r="AL706">
        <v>79.085584220720605</v>
      </c>
      <c r="AM706">
        <v>88.729482679333699</v>
      </c>
      <c r="AN706">
        <v>0.99999999695750796</v>
      </c>
    </row>
    <row r="707" spans="1:40" x14ac:dyDescent="0.25">
      <c r="A707" t="str">
        <f>"20190312172909346"</f>
        <v>20190312172909346</v>
      </c>
      <c r="B707" t="str">
        <f>"1552382949337919"</f>
        <v>1552382949337919</v>
      </c>
      <c r="C707" t="s">
        <v>40</v>
      </c>
      <c r="D707">
        <v>3.1042179999999999</v>
      </c>
      <c r="E707">
        <v>0.52318229999999999</v>
      </c>
      <c r="F707" t="s">
        <v>42</v>
      </c>
      <c r="G707">
        <v>-332.35449999999997</v>
      </c>
      <c r="H707">
        <v>0.99455070000000001</v>
      </c>
      <c r="I707">
        <v>367.36880000000002</v>
      </c>
      <c r="J707">
        <v>-333.00040000000001</v>
      </c>
      <c r="K707">
        <v>1.1089230000000001</v>
      </c>
      <c r="L707">
        <v>367.48590000000002</v>
      </c>
      <c r="M707">
        <v>0.99997029999999998</v>
      </c>
      <c r="N707">
        <v>0</v>
      </c>
      <c r="O707">
        <v>3.7693330000000001E-3</v>
      </c>
      <c r="P707">
        <v>0.98303189999999996</v>
      </c>
      <c r="Q707">
        <v>0.18257499999999999</v>
      </c>
      <c r="R707">
        <v>-1.7749890000000001E-2</v>
      </c>
      <c r="S707">
        <v>3.1246339999999999</v>
      </c>
      <c r="T707">
        <v>-0.43464659999999999</v>
      </c>
      <c r="U707">
        <v>-0.44015500000000002</v>
      </c>
      <c r="V707">
        <v>2.146226E-2</v>
      </c>
      <c r="W707">
        <v>0.18920709999999999</v>
      </c>
      <c r="X707">
        <v>0.98170259999999998</v>
      </c>
      <c r="Y707">
        <v>0.14184550000000001</v>
      </c>
      <c r="Z707">
        <v>-1.02901E-2</v>
      </c>
      <c r="AA707">
        <v>0.98983529999999997</v>
      </c>
      <c r="AB707">
        <v>37</v>
      </c>
      <c r="AC707">
        <v>0.64590000000004</v>
      </c>
      <c r="AD707">
        <v>-0.114372299999999</v>
      </c>
      <c r="AE707">
        <v>-0.117099999999993</v>
      </c>
      <c r="AF707">
        <v>0.116012000984046</v>
      </c>
      <c r="AG707">
        <v>-0.114372299999999</v>
      </c>
      <c r="AH707">
        <v>0.62643695277522105</v>
      </c>
      <c r="AI707">
        <v>100.177518420556</v>
      </c>
      <c r="AJ707">
        <v>79.508066875318306</v>
      </c>
      <c r="AK707">
        <v>0.64727356131848701</v>
      </c>
      <c r="AL707">
        <v>79.093484638747697</v>
      </c>
      <c r="AM707">
        <v>88.747582966670393</v>
      </c>
      <c r="AN707">
        <v>0.99999997507073801</v>
      </c>
    </row>
    <row r="708" spans="1:40" x14ac:dyDescent="0.25">
      <c r="A708" t="str">
        <f>"20190312172909357"</f>
        <v>20190312172909357</v>
      </c>
      <c r="B708" t="str">
        <f>"1552382949348655"</f>
        <v>1552382949348655</v>
      </c>
      <c r="C708" t="s">
        <v>40</v>
      </c>
      <c r="D708">
        <v>3.1666509999999999</v>
      </c>
      <c r="E708">
        <v>0.52275450000000001</v>
      </c>
      <c r="F708" t="s">
        <v>43</v>
      </c>
      <c r="G708">
        <v>-285.00819999999999</v>
      </c>
      <c r="H708">
        <v>-0.05</v>
      </c>
      <c r="I708">
        <v>364.13299999999998</v>
      </c>
      <c r="J708">
        <v>-332.81060000000002</v>
      </c>
      <c r="K708">
        <v>1.108924</v>
      </c>
      <c r="L708">
        <v>367.48660000000001</v>
      </c>
      <c r="M708">
        <v>0.99997000000000003</v>
      </c>
      <c r="N708">
        <v>0</v>
      </c>
      <c r="O708">
        <v>3.7698950000000001E-3</v>
      </c>
      <c r="P708">
        <v>0.98298229999999998</v>
      </c>
      <c r="Q708">
        <v>0.18282499999999999</v>
      </c>
      <c r="R708">
        <v>-1.791802E-2</v>
      </c>
      <c r="S708">
        <v>3.0616460000000001</v>
      </c>
      <c r="T708">
        <v>-7.3933009999999993E-2</v>
      </c>
      <c r="U708">
        <v>-0.2138977</v>
      </c>
      <c r="V708">
        <v>2.1630799999999999E-2</v>
      </c>
      <c r="W708">
        <v>0.1894834</v>
      </c>
      <c r="X708">
        <v>0.98164560000000001</v>
      </c>
      <c r="Y708">
        <v>7.3431689999999994E-2</v>
      </c>
      <c r="Z708">
        <v>-9.7632790000000001E-4</v>
      </c>
      <c r="AA708">
        <v>0.99729979999999996</v>
      </c>
      <c r="AB708">
        <v>37</v>
      </c>
      <c r="AC708">
        <v>47.802399999999999</v>
      </c>
      <c r="AD708">
        <v>-1.1589240000000001</v>
      </c>
      <c r="AE708">
        <v>-3.3535999999999699</v>
      </c>
      <c r="AF708">
        <v>3.5317246328019301</v>
      </c>
      <c r="AG708">
        <v>-1.1589240000000001</v>
      </c>
      <c r="AH708">
        <v>47.761481813838998</v>
      </c>
      <c r="AI708">
        <v>91.386216131603007</v>
      </c>
      <c r="AJ708">
        <v>85.770958094383104</v>
      </c>
      <c r="AK708">
        <v>47.905900771965399</v>
      </c>
      <c r="AL708">
        <v>79.077362081053494</v>
      </c>
      <c r="AM708">
        <v>88.737677818016493</v>
      </c>
      <c r="AN708">
        <v>0.99999996719177897</v>
      </c>
    </row>
    <row r="709" spans="1:40" x14ac:dyDescent="0.25">
      <c r="A709" t="str">
        <f>"20190312172909369"</f>
        <v>20190312172909369</v>
      </c>
      <c r="B709" t="str">
        <f>"1552382949358357"</f>
        <v>1552382949358357</v>
      </c>
      <c r="C709" t="s">
        <v>40</v>
      </c>
      <c r="D709">
        <v>3.1047210000000001</v>
      </c>
      <c r="E709">
        <v>0.52271429999999997</v>
      </c>
      <c r="F709" t="s">
        <v>43</v>
      </c>
      <c r="G709">
        <v>-282.38709999999998</v>
      </c>
      <c r="H709">
        <v>-0.05</v>
      </c>
      <c r="I709">
        <v>364.01260000000002</v>
      </c>
      <c r="J709">
        <v>-332.62580000000003</v>
      </c>
      <c r="K709">
        <v>1.1089279999999999</v>
      </c>
      <c r="L709">
        <v>367.4873</v>
      </c>
      <c r="M709">
        <v>0.99996980000000002</v>
      </c>
      <c r="N709">
        <v>0</v>
      </c>
      <c r="O709">
        <v>3.7703400000000001E-3</v>
      </c>
      <c r="P709">
        <v>0.98298830000000004</v>
      </c>
      <c r="Q709">
        <v>0.18278140000000001</v>
      </c>
      <c r="R709">
        <v>-1.8030359999999999E-2</v>
      </c>
      <c r="S709">
        <v>3.061188</v>
      </c>
      <c r="T709">
        <v>-7.0357680000000006E-2</v>
      </c>
      <c r="U709">
        <v>-0.21090700000000001</v>
      </c>
      <c r="V709">
        <v>2.1743559999999999E-2</v>
      </c>
      <c r="W709">
        <v>0.1894661</v>
      </c>
      <c r="X709">
        <v>0.98164649999999998</v>
      </c>
      <c r="Y709">
        <v>7.2475150000000002E-2</v>
      </c>
      <c r="Z709">
        <v>-9.183285E-4</v>
      </c>
      <c r="AA709">
        <v>0.99736979999999997</v>
      </c>
      <c r="AB709">
        <v>37</v>
      </c>
      <c r="AC709">
        <v>50.238700000000001</v>
      </c>
      <c r="AD709">
        <v>-1.158928</v>
      </c>
      <c r="AE709">
        <v>-3.4746999999999799</v>
      </c>
      <c r="AF709">
        <v>3.6621571077676398</v>
      </c>
      <c r="AG709">
        <v>-1.158928</v>
      </c>
      <c r="AH709">
        <v>50.198655633294003</v>
      </c>
      <c r="AI709">
        <v>91.319038995544503</v>
      </c>
      <c r="AJ709">
        <v>85.8274761866993</v>
      </c>
      <c r="AK709">
        <v>50.345402334088</v>
      </c>
      <c r="AL709">
        <v>79.078372148642003</v>
      </c>
      <c r="AM709">
        <v>88.731100720714807</v>
      </c>
      <c r="AN709">
        <v>1.0000000182064599</v>
      </c>
    </row>
    <row r="710" spans="1:40" x14ac:dyDescent="0.25">
      <c r="A710" t="str">
        <f>"20190312172909380"</f>
        <v>20190312172909380</v>
      </c>
      <c r="B710" t="str">
        <f>"1552382949368116"</f>
        <v>1552382949368116</v>
      </c>
      <c r="C710" t="s">
        <v>40</v>
      </c>
      <c r="D710">
        <v>3.0904199999999999</v>
      </c>
      <c r="E710">
        <v>0.52298800000000001</v>
      </c>
      <c r="F710" t="s">
        <v>41</v>
      </c>
      <c r="G710">
        <v>-278.84660000000002</v>
      </c>
      <c r="H710" s="1">
        <v>-1.9337990000000002E-6</v>
      </c>
      <c r="I710">
        <v>363.77120000000002</v>
      </c>
      <c r="J710">
        <v>-332.43389999999999</v>
      </c>
      <c r="K710">
        <v>1.1089310000000001</v>
      </c>
      <c r="L710">
        <v>367.488</v>
      </c>
      <c r="M710">
        <v>0.99996969999999996</v>
      </c>
      <c r="N710">
        <v>0</v>
      </c>
      <c r="O710">
        <v>3.7705429999999999E-3</v>
      </c>
      <c r="P710">
        <v>0.98300330000000002</v>
      </c>
      <c r="Q710">
        <v>0.1826979</v>
      </c>
      <c r="R710">
        <v>-1.8060960000000001E-2</v>
      </c>
      <c r="S710">
        <v>3.0597840000000001</v>
      </c>
      <c r="T710">
        <v>-6.3092830000000003E-2</v>
      </c>
      <c r="U710">
        <v>-0.2114258</v>
      </c>
      <c r="V710">
        <v>2.1774539999999998E-2</v>
      </c>
      <c r="W710">
        <v>0.18940989999999999</v>
      </c>
      <c r="X710">
        <v>0.98165670000000005</v>
      </c>
      <c r="Y710">
        <v>7.2678900000000005E-2</v>
      </c>
      <c r="Z710">
        <v>-8.260009E-4</v>
      </c>
      <c r="AA710">
        <v>0.99735499999999999</v>
      </c>
      <c r="AB710">
        <v>37</v>
      </c>
      <c r="AC710">
        <v>53.5872999999999</v>
      </c>
      <c r="AD710">
        <v>-1.1089329337989999</v>
      </c>
      <c r="AE710">
        <v>-3.7168000000000299</v>
      </c>
      <c r="AF710">
        <v>3.9171620302109602</v>
      </c>
      <c r="AG710">
        <v>-1.1089329337989999</v>
      </c>
      <c r="AH710">
        <v>53.550081905249201</v>
      </c>
      <c r="AI710">
        <v>91.183170169189395</v>
      </c>
      <c r="AJ710">
        <v>85.816293551587194</v>
      </c>
      <c r="AK710">
        <v>53.7046102553727</v>
      </c>
      <c r="AL710">
        <v>79.081652000504704</v>
      </c>
      <c r="AM710">
        <v>88.729306597535498</v>
      </c>
      <c r="AN710">
        <v>1.0000000587325499</v>
      </c>
    </row>
    <row r="711" spans="1:40" x14ac:dyDescent="0.25">
      <c r="A711" t="str">
        <f>"20190312172909395"</f>
        <v>20190312172909395</v>
      </c>
      <c r="B711" t="str">
        <f>"1552382949388612"</f>
        <v>1552382949388612</v>
      </c>
      <c r="C711" t="s">
        <v>40</v>
      </c>
      <c r="D711">
        <v>3.0995910000000002</v>
      </c>
      <c r="E711">
        <v>0.52361659999999999</v>
      </c>
      <c r="F711" t="s">
        <v>41</v>
      </c>
      <c r="G711">
        <v>-275.93490000000003</v>
      </c>
      <c r="H711" s="1">
        <v>-2.9856599999999998E-6</v>
      </c>
      <c r="I711">
        <v>363.54199999999997</v>
      </c>
      <c r="J711">
        <v>-332.19749999999999</v>
      </c>
      <c r="K711">
        <v>1.108935</v>
      </c>
      <c r="L711">
        <v>367.4889</v>
      </c>
      <c r="M711">
        <v>0.99996940000000001</v>
      </c>
      <c r="N711">
        <v>0</v>
      </c>
      <c r="O711">
        <v>3.7709660000000002E-3</v>
      </c>
      <c r="P711">
        <v>0.9829869</v>
      </c>
      <c r="Q711">
        <v>0.18279970000000001</v>
      </c>
      <c r="R711">
        <v>-1.7937660000000001E-2</v>
      </c>
      <c r="S711">
        <v>3.0591430000000002</v>
      </c>
      <c r="T711">
        <v>-6.0043220000000001E-2</v>
      </c>
      <c r="U711">
        <v>-0.2136536</v>
      </c>
      <c r="V711">
        <v>2.1651460000000001E-2</v>
      </c>
      <c r="W711">
        <v>0.1895443</v>
      </c>
      <c r="X711">
        <v>0.98163339999999999</v>
      </c>
      <c r="Y711">
        <v>7.3417880000000005E-2</v>
      </c>
      <c r="Z711">
        <v>-7.934792E-4</v>
      </c>
      <c r="AA711">
        <v>0.99730090000000005</v>
      </c>
      <c r="AB711">
        <v>37</v>
      </c>
      <c r="AC711">
        <v>56.2625999999999</v>
      </c>
      <c r="AD711">
        <v>-1.1089379856599999</v>
      </c>
      <c r="AE711">
        <v>-3.9469000000000198</v>
      </c>
      <c r="AF711">
        <v>4.1574340773115601</v>
      </c>
      <c r="AG711">
        <v>-1.1089379856599999</v>
      </c>
      <c r="AH711">
        <v>56.225580110926501</v>
      </c>
      <c r="AI711">
        <v>91.126823634391897</v>
      </c>
      <c r="AJ711">
        <v>85.771129003396098</v>
      </c>
      <c r="AK711">
        <v>56.389980141630097</v>
      </c>
      <c r="AL711">
        <v>79.073808505966497</v>
      </c>
      <c r="AM711">
        <v>88.7364568417279</v>
      </c>
      <c r="AN711">
        <v>0.99999997968909005</v>
      </c>
    </row>
    <row r="712" spans="1:40" x14ac:dyDescent="0.25">
      <c r="A712" t="str">
        <f>"20190312172909409"</f>
        <v>20190312172909409</v>
      </c>
      <c r="B712" t="str">
        <f>"1552382949398372"</f>
        <v>1552382949398372</v>
      </c>
      <c r="C712" t="s">
        <v>40</v>
      </c>
      <c r="D712">
        <v>3.105321</v>
      </c>
      <c r="E712">
        <v>0.52419689999999997</v>
      </c>
      <c r="F712" t="s">
        <v>41</v>
      </c>
      <c r="G712">
        <v>-272.6327</v>
      </c>
      <c r="H712" s="1">
        <v>-4.2755809999999999E-6</v>
      </c>
      <c r="I712">
        <v>363.23050000000001</v>
      </c>
      <c r="J712">
        <v>-331.9597</v>
      </c>
      <c r="K712">
        <v>1.1089370000000001</v>
      </c>
      <c r="L712">
        <v>367.4898</v>
      </c>
      <c r="M712">
        <v>0.9999692</v>
      </c>
      <c r="N712">
        <v>0</v>
      </c>
      <c r="O712">
        <v>3.7715100000000001E-3</v>
      </c>
      <c r="P712">
        <v>0.98298129999999995</v>
      </c>
      <c r="Q712">
        <v>0.18283050000000001</v>
      </c>
      <c r="R712">
        <v>-1.7921940000000001E-2</v>
      </c>
      <c r="S712">
        <v>3.0585330000000002</v>
      </c>
      <c r="T712">
        <v>-5.6941749999999999E-2</v>
      </c>
      <c r="U712">
        <v>-0.2186584</v>
      </c>
      <c r="V712">
        <v>2.16364E-2</v>
      </c>
      <c r="W712">
        <v>0.18960650000000001</v>
      </c>
      <c r="X712">
        <v>0.98162169999999904</v>
      </c>
      <c r="Y712">
        <v>7.5057189999999996E-2</v>
      </c>
      <c r="Z712">
        <v>-7.6785570000000004E-4</v>
      </c>
      <c r="AA712">
        <v>0.99717889999999998</v>
      </c>
      <c r="AB712">
        <v>38</v>
      </c>
      <c r="AC712">
        <v>59.326999999999998</v>
      </c>
      <c r="AD712">
        <v>-1.108941275581</v>
      </c>
      <c r="AE712">
        <v>-4.2592999999999899</v>
      </c>
      <c r="AF712">
        <v>4.4814696216155001</v>
      </c>
      <c r="AG712">
        <v>-1.108941275581</v>
      </c>
      <c r="AH712">
        <v>59.289904501564102</v>
      </c>
      <c r="AI712">
        <v>91.068471659733703</v>
      </c>
      <c r="AJ712">
        <v>85.677477043118003</v>
      </c>
      <c r="AK712">
        <v>59.469371078957501</v>
      </c>
      <c r="AL712">
        <v>79.070178674783193</v>
      </c>
      <c r="AM712">
        <v>88.737320388735299</v>
      </c>
      <c r="AN712">
        <v>0.99999996027904903</v>
      </c>
    </row>
    <row r="713" spans="1:40" x14ac:dyDescent="0.25">
      <c r="A713" t="str">
        <f>"20190312172909425"</f>
        <v>20190312172909425</v>
      </c>
      <c r="B713" t="str">
        <f>"1552382949417892"</f>
        <v>1552382949417892</v>
      </c>
      <c r="C713" t="s">
        <v>40</v>
      </c>
      <c r="D713">
        <v>3.1248559999999999</v>
      </c>
      <c r="E713">
        <v>0.52467109999999995</v>
      </c>
      <c r="F713" t="s">
        <v>41</v>
      </c>
      <c r="G713">
        <v>-274.04790000000003</v>
      </c>
      <c r="H713" s="1">
        <v>-3.70308E-6</v>
      </c>
      <c r="I713">
        <v>363.25909999999999</v>
      </c>
      <c r="J713">
        <v>-331.6712</v>
      </c>
      <c r="K713">
        <v>1.108943</v>
      </c>
      <c r="L713">
        <v>367.49090000000001</v>
      </c>
      <c r="M713">
        <v>0.99996890000000005</v>
      </c>
      <c r="N713">
        <v>0</v>
      </c>
      <c r="O713">
        <v>3.7720359999999999E-3</v>
      </c>
      <c r="P713">
        <v>0.98293850000000005</v>
      </c>
      <c r="Q713">
        <v>0.18306620000000001</v>
      </c>
      <c r="R713">
        <v>-1.7856759999999999E-2</v>
      </c>
      <c r="S713">
        <v>3.058716</v>
      </c>
      <c r="T713">
        <v>-5.8570619999999997E-2</v>
      </c>
      <c r="U713">
        <v>-0.2234497</v>
      </c>
      <c r="V713">
        <v>2.15715E-2</v>
      </c>
      <c r="W713">
        <v>0.18987809999999999</v>
      </c>
      <c r="X713">
        <v>0.98157070000000002</v>
      </c>
      <c r="Y713">
        <v>7.6606209999999994E-2</v>
      </c>
      <c r="Z713">
        <v>-8.045455E-4</v>
      </c>
      <c r="AA713">
        <v>0.99706110000000003</v>
      </c>
      <c r="AB713">
        <v>38</v>
      </c>
      <c r="AC713">
        <v>57.623299999999901</v>
      </c>
      <c r="AD713">
        <v>-1.10894670308</v>
      </c>
      <c r="AE713">
        <v>-4.2318000000000202</v>
      </c>
      <c r="AF713">
        <v>4.4474939268398703</v>
      </c>
      <c r="AG713">
        <v>-1.10894670308</v>
      </c>
      <c r="AH713">
        <v>57.585714067738401</v>
      </c>
      <c r="AI713">
        <v>91.099952126315401</v>
      </c>
      <c r="AJ713">
        <v>85.583665504746307</v>
      </c>
      <c r="AK713">
        <v>57.767849446823597</v>
      </c>
      <c r="AL713">
        <v>79.054329999241006</v>
      </c>
      <c r="AM713">
        <v>88.7410412820267</v>
      </c>
      <c r="AN713">
        <v>1.00000003078517</v>
      </c>
    </row>
    <row r="714" spans="1:40" x14ac:dyDescent="0.25">
      <c r="A714" t="str">
        <f>"20190312172909436"</f>
        <v>20190312172909436</v>
      </c>
      <c r="B714" t="str">
        <f>"1552382949428629"</f>
        <v>1552382949428629</v>
      </c>
      <c r="C714" t="s">
        <v>40</v>
      </c>
      <c r="D714">
        <v>3.111132</v>
      </c>
      <c r="E714">
        <v>0.52472299999999905</v>
      </c>
      <c r="F714" t="s">
        <v>41</v>
      </c>
      <c r="G714">
        <v>-271.62459999999999</v>
      </c>
      <c r="H714" s="1">
        <v>-4.7434619999999998E-6</v>
      </c>
      <c r="I714">
        <v>363.03089999999997</v>
      </c>
      <c r="J714">
        <v>-331.488</v>
      </c>
      <c r="K714">
        <v>1.1089439999999999</v>
      </c>
      <c r="L714">
        <v>367.49160000000001</v>
      </c>
      <c r="M714">
        <v>0.99996870000000004</v>
      </c>
      <c r="N714">
        <v>0</v>
      </c>
      <c r="O714">
        <v>3.7724949999999998E-3</v>
      </c>
      <c r="P714">
        <v>0.98291620000000002</v>
      </c>
      <c r="Q714">
        <v>0.18318950000000001</v>
      </c>
      <c r="R714">
        <v>-1.7817960000000001E-2</v>
      </c>
      <c r="S714">
        <v>3.0585330000000002</v>
      </c>
      <c r="T714">
        <v>-5.6485300000000002E-2</v>
      </c>
      <c r="U714">
        <v>-0.22717290000000001</v>
      </c>
      <c r="V714">
        <v>2.153308E-2</v>
      </c>
      <c r="W714">
        <v>0.1900232</v>
      </c>
      <c r="X714">
        <v>0.98154339999999995</v>
      </c>
      <c r="Y714">
        <v>7.781892E-2</v>
      </c>
      <c r="Z714">
        <v>-7.8710759999999999E-4</v>
      </c>
      <c r="AA714">
        <v>0.99696719999999905</v>
      </c>
      <c r="AB714">
        <v>38</v>
      </c>
      <c r="AC714">
        <v>59.863399999999999</v>
      </c>
      <c r="AD714">
        <v>-1.108948743462</v>
      </c>
      <c r="AE714">
        <v>-4.4607000000000303</v>
      </c>
      <c r="AF714">
        <v>4.6849092862671897</v>
      </c>
      <c r="AG714">
        <v>-1.108948743462</v>
      </c>
      <c r="AH714">
        <v>59.825729020764598</v>
      </c>
      <c r="AI714">
        <v>91.058690756513201</v>
      </c>
      <c r="AJ714">
        <v>85.522347131243905</v>
      </c>
      <c r="AK714">
        <v>60.019130243632603</v>
      </c>
      <c r="AL714">
        <v>79.045861518950304</v>
      </c>
      <c r="AM714">
        <v>88.743247893089901</v>
      </c>
      <c r="AN714">
        <v>0.99999996807804203</v>
      </c>
    </row>
    <row r="715" spans="1:40" x14ac:dyDescent="0.25">
      <c r="A715" t="str">
        <f>"20190312172909447"</f>
        <v>20190312172909447</v>
      </c>
      <c r="B715" t="str">
        <f>"1552382949438388"</f>
        <v>1552382949438388</v>
      </c>
      <c r="C715" t="s">
        <v>40</v>
      </c>
      <c r="D715">
        <v>3.1004849999999999</v>
      </c>
      <c r="E715">
        <v>0.52490609999999904</v>
      </c>
      <c r="F715" t="s">
        <v>41</v>
      </c>
      <c r="G715">
        <v>-270.14890000000003</v>
      </c>
      <c r="H715" s="1">
        <v>-5.3941499999999998E-6</v>
      </c>
      <c r="I715">
        <v>362.93150000000003</v>
      </c>
      <c r="J715">
        <v>-331.30180000000001</v>
      </c>
      <c r="K715">
        <v>1.1089469999999999</v>
      </c>
      <c r="L715">
        <v>367.4923</v>
      </c>
      <c r="M715">
        <v>0.99996859999999999</v>
      </c>
      <c r="N715">
        <v>0</v>
      </c>
      <c r="O715">
        <v>3.7728940000000002E-3</v>
      </c>
      <c r="P715">
        <v>0.98290940000000004</v>
      </c>
      <c r="Q715">
        <v>0.1832213</v>
      </c>
      <c r="R715">
        <v>-1.7864120000000001E-2</v>
      </c>
      <c r="S715">
        <v>3.0582889999999998</v>
      </c>
      <c r="T715">
        <v>-5.5290699999999901E-2</v>
      </c>
      <c r="U715">
        <v>-0.227356</v>
      </c>
      <c r="V715">
        <v>2.1579569999999999E-2</v>
      </c>
      <c r="W715">
        <v>0.19007660000000001</v>
      </c>
      <c r="X715">
        <v>0.98153210000000002</v>
      </c>
      <c r="Y715">
        <v>7.7885129999999997E-2</v>
      </c>
      <c r="Z715">
        <v>-7.7112839999999997E-4</v>
      </c>
      <c r="AA715">
        <v>0.99696209999999996</v>
      </c>
      <c r="AB715">
        <v>38</v>
      </c>
      <c r="AC715">
        <v>61.152899999999903</v>
      </c>
      <c r="AD715">
        <v>-1.1089523941499999</v>
      </c>
      <c r="AE715">
        <v>-4.5607999999999702</v>
      </c>
      <c r="AF715">
        <v>4.7899301162327701</v>
      </c>
      <c r="AG715">
        <v>-1.1089523941499999</v>
      </c>
      <c r="AH715">
        <v>61.115270593261997</v>
      </c>
      <c r="AI715">
        <v>91.036355224605998</v>
      </c>
      <c r="AJ715">
        <v>85.518584800816598</v>
      </c>
      <c r="AK715">
        <v>61.312718954704003</v>
      </c>
      <c r="AL715">
        <v>79.042745785569906</v>
      </c>
      <c r="AM715">
        <v>88.740520938575898</v>
      </c>
      <c r="AN715">
        <v>1.0000000275196701</v>
      </c>
    </row>
    <row r="716" spans="1:40" x14ac:dyDescent="0.25">
      <c r="A716" t="str">
        <f>"20190312172909458"</f>
        <v>20190312172909458</v>
      </c>
      <c r="B716" t="str">
        <f>"1552382949448149"</f>
        <v>1552382949448149</v>
      </c>
      <c r="C716" t="s">
        <v>40</v>
      </c>
      <c r="D716">
        <v>3.1156410000000001</v>
      </c>
      <c r="E716">
        <v>0.52498849999999997</v>
      </c>
      <c r="F716" t="s">
        <v>41</v>
      </c>
      <c r="G716">
        <v>-269.73140000000001</v>
      </c>
      <c r="H716" s="1">
        <v>-1.8695080000000001E-6</v>
      </c>
      <c r="I716">
        <v>362.88130000000001</v>
      </c>
      <c r="J716">
        <v>-331.11430000000001</v>
      </c>
      <c r="K716">
        <v>1.108948</v>
      </c>
      <c r="L716">
        <v>367.49299999999999</v>
      </c>
      <c r="M716">
        <v>0.99996830000000003</v>
      </c>
      <c r="N716">
        <v>0</v>
      </c>
      <c r="O716">
        <v>3.773177E-3</v>
      </c>
      <c r="P716">
        <v>0.98291280000000003</v>
      </c>
      <c r="Q716">
        <v>0.18320690000000001</v>
      </c>
      <c r="R716">
        <v>-1.782363E-2</v>
      </c>
      <c r="S716">
        <v>3.0582579999999999</v>
      </c>
      <c r="T716">
        <v>-5.5082440000000003E-2</v>
      </c>
      <c r="U716">
        <v>-0.2290344</v>
      </c>
      <c r="V716">
        <v>2.153946E-2</v>
      </c>
      <c r="W716">
        <v>0.19008269999999999</v>
      </c>
      <c r="X716">
        <v>0.98153179999999995</v>
      </c>
      <c r="Y716">
        <v>7.843029E-2</v>
      </c>
      <c r="Z716">
        <v>-7.7312379999999997E-4</v>
      </c>
      <c r="AA716">
        <v>0.99691929999999995</v>
      </c>
      <c r="AB716">
        <v>38</v>
      </c>
      <c r="AC716">
        <v>61.382899999999999</v>
      </c>
      <c r="AD716">
        <v>-1.108949869508</v>
      </c>
      <c r="AE716">
        <v>-4.6117000000000399</v>
      </c>
      <c r="AF716">
        <v>4.8417100225214202</v>
      </c>
      <c r="AG716">
        <v>-1.108949869508</v>
      </c>
      <c r="AH716">
        <v>61.345152135984897</v>
      </c>
      <c r="AI716">
        <v>91.032425727164807</v>
      </c>
      <c r="AJ716">
        <v>85.487244482681106</v>
      </c>
      <c r="AK716">
        <v>61.545914700672</v>
      </c>
      <c r="AL716">
        <v>79.042389794113703</v>
      </c>
      <c r="AM716">
        <v>88.742860799343404</v>
      </c>
      <c r="AN716">
        <v>1.0000000277938099</v>
      </c>
    </row>
    <row r="717" spans="1:40" x14ac:dyDescent="0.25">
      <c r="A717" t="str">
        <f>"20190312172909470"</f>
        <v>20190312172909470</v>
      </c>
      <c r="B717" t="str">
        <f>"1552382949458439"</f>
        <v>1552382949458439</v>
      </c>
      <c r="C717" t="s">
        <v>40</v>
      </c>
      <c r="D717">
        <v>3.0884670000000001</v>
      </c>
      <c r="E717">
        <v>0.52502439999999995</v>
      </c>
      <c r="F717" t="s">
        <v>41</v>
      </c>
      <c r="G717">
        <v>-269.44330000000002</v>
      </c>
      <c r="H717" s="1">
        <v>-1.9711519999999998E-6</v>
      </c>
      <c r="I717">
        <v>362.86770000000001</v>
      </c>
      <c r="J717">
        <v>-330.9298</v>
      </c>
      <c r="K717">
        <v>1.108948</v>
      </c>
      <c r="L717">
        <v>367.49369999999999</v>
      </c>
      <c r="M717">
        <v>0.99996819999999997</v>
      </c>
      <c r="N717">
        <v>0</v>
      </c>
      <c r="O717">
        <v>3.7736419999999998E-3</v>
      </c>
      <c r="P717">
        <v>0.98294130000000002</v>
      </c>
      <c r="Q717">
        <v>0.18303630000000001</v>
      </c>
      <c r="R717">
        <v>-1.8011240000000001E-2</v>
      </c>
      <c r="S717">
        <v>3.0582889999999998</v>
      </c>
      <c r="T717">
        <v>-5.4993149999999998E-2</v>
      </c>
      <c r="U717">
        <v>-0.22937009999999999</v>
      </c>
      <c r="V717">
        <v>2.1727449999999999E-2</v>
      </c>
      <c r="W717">
        <v>0.1899324</v>
      </c>
      <c r="X717">
        <v>0.98155669999999995</v>
      </c>
      <c r="Y717">
        <v>7.8538860000000002E-2</v>
      </c>
      <c r="Z717">
        <v>-7.7284309999999998E-4</v>
      </c>
      <c r="AA717">
        <v>0.99691079999999999</v>
      </c>
      <c r="AB717">
        <v>38</v>
      </c>
      <c r="AC717">
        <v>61.4864999999999</v>
      </c>
      <c r="AD717">
        <v>-1.1089499711519999</v>
      </c>
      <c r="AE717">
        <v>-4.6259999999999701</v>
      </c>
      <c r="AF717">
        <v>4.8564299922308001</v>
      </c>
      <c r="AG717">
        <v>-1.1089499711519999</v>
      </c>
      <c r="AH717">
        <v>61.448729024386303</v>
      </c>
      <c r="AI717">
        <v>91.030677344043895</v>
      </c>
      <c r="AJ717">
        <v>85.481179567183105</v>
      </c>
      <c r="AK717">
        <v>61.650312091833101</v>
      </c>
      <c r="AL717">
        <v>79.051160577224096</v>
      </c>
      <c r="AM717">
        <v>88.731924588272605</v>
      </c>
      <c r="AN717">
        <v>0.99999997698407495</v>
      </c>
    </row>
    <row r="718" spans="1:40" x14ac:dyDescent="0.25">
      <c r="A718" t="str">
        <f>"20190312172909481"</f>
        <v>20190312172909481</v>
      </c>
      <c r="B718" t="str">
        <f>"1552382949477959"</f>
        <v>1552382949477959</v>
      </c>
      <c r="C718" t="s">
        <v>40</v>
      </c>
      <c r="D718">
        <v>3.0815579999999998</v>
      </c>
      <c r="E718">
        <v>0.52507199999999998</v>
      </c>
      <c r="F718" t="s">
        <v>41</v>
      </c>
      <c r="G718">
        <v>-269.75720000000001</v>
      </c>
      <c r="H718" s="1">
        <v>-1.85813E-6</v>
      </c>
      <c r="I718">
        <v>362.89100000000002</v>
      </c>
      <c r="J718">
        <v>-330.72300000000001</v>
      </c>
      <c r="K718">
        <v>1.108951</v>
      </c>
      <c r="L718">
        <v>367.49450000000002</v>
      </c>
      <c r="M718">
        <v>0.99996819999999997</v>
      </c>
      <c r="N718">
        <v>0</v>
      </c>
      <c r="O718">
        <v>3.7738619999999998E-3</v>
      </c>
      <c r="P718">
        <v>0.98298249999999998</v>
      </c>
      <c r="Q718">
        <v>0.18281559999999999</v>
      </c>
      <c r="R718">
        <v>-1.800179E-2</v>
      </c>
      <c r="S718">
        <v>3.0581969999999998</v>
      </c>
      <c r="T718">
        <v>-5.5439589999999997E-2</v>
      </c>
      <c r="U718">
        <v>-0.23010249999999999</v>
      </c>
      <c r="V718">
        <v>2.171849E-2</v>
      </c>
      <c r="W718">
        <v>0.1897334</v>
      </c>
      <c r="X718">
        <v>0.98159540000000001</v>
      </c>
      <c r="Y718">
        <v>7.8778470000000003E-2</v>
      </c>
      <c r="Z718">
        <v>-7.8130479999999997E-4</v>
      </c>
      <c r="AA718">
        <v>0.99689190000000005</v>
      </c>
      <c r="AB718">
        <v>38</v>
      </c>
      <c r="AC718">
        <v>60.965800000000002</v>
      </c>
      <c r="AD718">
        <v>-1.1089528581299899</v>
      </c>
      <c r="AE718">
        <v>-4.6035000000000501</v>
      </c>
      <c r="AF718">
        <v>4.8319597379380301</v>
      </c>
      <c r="AG718">
        <v>-1.1089528581299899</v>
      </c>
      <c r="AH718">
        <v>60.927947670366699</v>
      </c>
      <c r="AI718">
        <v>91.039465439377395</v>
      </c>
      <c r="AJ718">
        <v>85.465583916719098</v>
      </c>
      <c r="AK718">
        <v>61.129308998822701</v>
      </c>
      <c r="AL718">
        <v>79.062773776933597</v>
      </c>
      <c r="AM718">
        <v>88.732497306299393</v>
      </c>
      <c r="AN718">
        <v>0.99999999259229999</v>
      </c>
    </row>
    <row r="719" spans="1:40" x14ac:dyDescent="0.25">
      <c r="A719" t="str">
        <f>"20190312172909492"</f>
        <v>20190312172909492</v>
      </c>
      <c r="B719" t="str">
        <f>"1552382949488694"</f>
        <v>1552382949488694</v>
      </c>
      <c r="C719" t="s">
        <v>40</v>
      </c>
      <c r="D719">
        <v>3.096711</v>
      </c>
      <c r="E719">
        <v>0.52510249999999903</v>
      </c>
      <c r="F719" t="s">
        <v>41</v>
      </c>
      <c r="G719">
        <v>-269.45440000000002</v>
      </c>
      <c r="H719" s="1">
        <v>-1.967046E-6</v>
      </c>
      <c r="I719">
        <v>362.8689</v>
      </c>
      <c r="J719">
        <v>-330.54829999999998</v>
      </c>
      <c r="K719">
        <v>1.1089519999999999</v>
      </c>
      <c r="L719">
        <v>367.49509999999998</v>
      </c>
      <c r="M719">
        <v>0.99996799999999997</v>
      </c>
      <c r="N719">
        <v>0</v>
      </c>
      <c r="O719">
        <v>3.7743360000000001E-3</v>
      </c>
      <c r="P719">
        <v>0.9829831</v>
      </c>
      <c r="Q719">
        <v>0.18281210000000001</v>
      </c>
      <c r="R719">
        <v>-1.8003000000000002E-2</v>
      </c>
      <c r="S719">
        <v>3.0579830000000001</v>
      </c>
      <c r="T719">
        <v>-5.5348990000000001E-2</v>
      </c>
      <c r="U719">
        <v>-0.2308655</v>
      </c>
      <c r="V719">
        <v>2.172027E-2</v>
      </c>
      <c r="W719">
        <v>0.189747</v>
      </c>
      <c r="X719">
        <v>0.98159269999999998</v>
      </c>
      <c r="Y719">
        <v>7.9031450000000003E-2</v>
      </c>
      <c r="Z719">
        <v>-7.8236989999999997E-4</v>
      </c>
      <c r="AA719">
        <v>0.99687179999999997</v>
      </c>
      <c r="AB719">
        <v>38</v>
      </c>
      <c r="AC719">
        <v>61.093899999999898</v>
      </c>
      <c r="AD719">
        <v>-1.108953967046</v>
      </c>
      <c r="AE719">
        <v>-4.6261999999999803</v>
      </c>
      <c r="AF719">
        <v>4.8551711194184604</v>
      </c>
      <c r="AG719">
        <v>-1.108953967046</v>
      </c>
      <c r="AH719">
        <v>61.056001403303199</v>
      </c>
      <c r="AI719">
        <v>91.037269365517901</v>
      </c>
      <c r="AJ719">
        <v>85.453408831238306</v>
      </c>
      <c r="AK719">
        <v>61.258777108754103</v>
      </c>
      <c r="AL719">
        <v>79.061979792117498</v>
      </c>
      <c r="AM719">
        <v>88.732389972859295</v>
      </c>
      <c r="AN719">
        <v>0.99999996141558001</v>
      </c>
    </row>
    <row r="720" spans="1:40" x14ac:dyDescent="0.25">
      <c r="A720" t="str">
        <f>"20190312172909504"</f>
        <v>20190312172909504</v>
      </c>
      <c r="B720" t="str">
        <f>"1552382949498455"</f>
        <v>1552382949498455</v>
      </c>
      <c r="C720" t="s">
        <v>40</v>
      </c>
      <c r="D720">
        <v>3.0781299999999998</v>
      </c>
      <c r="E720">
        <v>0.52511200000000002</v>
      </c>
      <c r="F720" t="s">
        <v>41</v>
      </c>
      <c r="G720">
        <v>-268.90640000000002</v>
      </c>
      <c r="H720" s="1">
        <v>-2.161707E-6</v>
      </c>
      <c r="I720">
        <v>362.83819999999997</v>
      </c>
      <c r="J720">
        <v>-330.35379999999998</v>
      </c>
      <c r="K720">
        <v>1.1089469999999999</v>
      </c>
      <c r="L720">
        <v>367.49590000000001</v>
      </c>
      <c r="M720">
        <v>0.99996790000000002</v>
      </c>
      <c r="N720">
        <v>0</v>
      </c>
      <c r="O720">
        <v>3.7749229999999999E-3</v>
      </c>
      <c r="P720">
        <v>0.98299769999999997</v>
      </c>
      <c r="Q720">
        <v>0.182722</v>
      </c>
      <c r="R720">
        <v>-1.8124769999999998E-2</v>
      </c>
      <c r="S720">
        <v>3.057922</v>
      </c>
      <c r="T720">
        <v>-5.5012699999999998E-2</v>
      </c>
      <c r="U720">
        <v>-0.2310181</v>
      </c>
      <c r="V720">
        <v>2.1842449999999999E-2</v>
      </c>
      <c r="W720">
        <v>0.18967629999999999</v>
      </c>
      <c r="X720">
        <v>0.98160369999999997</v>
      </c>
      <c r="Y720">
        <v>7.9083139999999996E-2</v>
      </c>
      <c r="Z720">
        <v>-7.7810599999999998E-4</v>
      </c>
      <c r="AA720">
        <v>0.99686770000000002</v>
      </c>
      <c r="AB720">
        <v>38</v>
      </c>
      <c r="AC720">
        <v>61.447399999999902</v>
      </c>
      <c r="AD720">
        <v>-1.108949161707</v>
      </c>
      <c r="AE720">
        <v>-4.6577000000000304</v>
      </c>
      <c r="AF720">
        <v>4.8880488717787403</v>
      </c>
      <c r="AG720">
        <v>-1.108949161707</v>
      </c>
      <c r="AH720">
        <v>61.409492523654798</v>
      </c>
      <c r="AI720">
        <v>91.031289033820102</v>
      </c>
      <c r="AJ720">
        <v>85.4489880721422</v>
      </c>
      <c r="AK720">
        <v>61.613704336202403</v>
      </c>
      <c r="AL720">
        <v>79.0661060393886</v>
      </c>
      <c r="AM720">
        <v>88.725276089697005</v>
      </c>
      <c r="AN720">
        <v>1.0000000076286899</v>
      </c>
    </row>
    <row r="721" spans="1:40" x14ac:dyDescent="0.25">
      <c r="A721" t="str">
        <f>"20190312172909514"</f>
        <v>20190312172909514</v>
      </c>
      <c r="B721" t="str">
        <f>"1552382949508214"</f>
        <v>1552382949508214</v>
      </c>
      <c r="C721" t="s">
        <v>40</v>
      </c>
      <c r="D721">
        <v>3.1167859999999998</v>
      </c>
      <c r="E721">
        <v>0.52509030000000001</v>
      </c>
      <c r="F721" t="s">
        <v>41</v>
      </c>
      <c r="G721">
        <v>-268.56319999999999</v>
      </c>
      <c r="H721" s="1">
        <v>-2.2841209999999998E-6</v>
      </c>
      <c r="I721">
        <v>362.81709999999998</v>
      </c>
      <c r="J721">
        <v>-330.16199999999998</v>
      </c>
      <c r="K721">
        <v>1.108949</v>
      </c>
      <c r="L721">
        <v>367.4966</v>
      </c>
      <c r="M721">
        <v>0.99996779999999996</v>
      </c>
      <c r="N721">
        <v>0</v>
      </c>
      <c r="O721">
        <v>3.7753359999999998E-3</v>
      </c>
      <c r="P721">
        <v>0.98303160000000001</v>
      </c>
      <c r="Q721">
        <v>0.1825552</v>
      </c>
      <c r="R721">
        <v>-1.7960050000000002E-2</v>
      </c>
      <c r="S721">
        <v>3.0578310000000002</v>
      </c>
      <c r="T721">
        <v>-5.4878469999999999E-2</v>
      </c>
      <c r="U721">
        <v>-0.23153689999999999</v>
      </c>
      <c r="V721">
        <v>2.1678380000000001E-2</v>
      </c>
      <c r="W721">
        <v>0.18952740000000001</v>
      </c>
      <c r="X721">
        <v>0.98163610000000001</v>
      </c>
      <c r="Y721">
        <v>7.9254019999999994E-2</v>
      </c>
      <c r="Z721">
        <v>-7.7776429999999903E-4</v>
      </c>
      <c r="AA721">
        <v>0.99685409999999997</v>
      </c>
      <c r="AB721">
        <v>38</v>
      </c>
      <c r="AC721">
        <v>61.598799999999898</v>
      </c>
      <c r="AD721">
        <v>-1.1089512841210001</v>
      </c>
      <c r="AE721">
        <v>-4.6795000000000098</v>
      </c>
      <c r="AF721">
        <v>4.91044629867101</v>
      </c>
      <c r="AG721">
        <v>-1.1089512841210001</v>
      </c>
      <c r="AH721">
        <v>61.5608564046777</v>
      </c>
      <c r="AI721">
        <v>91.028742156379707</v>
      </c>
      <c r="AJ721">
        <v>85.439416637056993</v>
      </c>
      <c r="AK721">
        <v>61.766344371996297</v>
      </c>
      <c r="AL721">
        <v>79.074795017320994</v>
      </c>
      <c r="AM721">
        <v>88.7348898241802</v>
      </c>
      <c r="AN721">
        <v>1.0000000101666899</v>
      </c>
    </row>
    <row r="722" spans="1:40" x14ac:dyDescent="0.25">
      <c r="A722" t="str">
        <f>"20190312172909525"</f>
        <v>20190312172909525</v>
      </c>
      <c r="B722" t="str">
        <f>"1552382949517975"</f>
        <v>1552382949517975</v>
      </c>
      <c r="C722" t="s">
        <v>40</v>
      </c>
      <c r="D722">
        <v>3.1015280000000001</v>
      </c>
      <c r="E722">
        <v>0.52507530000000002</v>
      </c>
      <c r="F722" t="s">
        <v>41</v>
      </c>
      <c r="G722">
        <v>-268.63560000000001</v>
      </c>
      <c r="H722" s="1">
        <v>-2.2492539999999998E-6</v>
      </c>
      <c r="I722">
        <v>362.85550000000001</v>
      </c>
      <c r="J722">
        <v>-329.97809999999998</v>
      </c>
      <c r="K722">
        <v>1.108949</v>
      </c>
      <c r="L722">
        <v>367.4973</v>
      </c>
      <c r="M722">
        <v>0.99996770000000001</v>
      </c>
      <c r="N722">
        <v>0</v>
      </c>
      <c r="O722">
        <v>3.7758129999999998E-3</v>
      </c>
      <c r="P722">
        <v>0.98304230000000004</v>
      </c>
      <c r="Q722">
        <v>0.18250720000000001</v>
      </c>
      <c r="R722">
        <v>-1.7863919999999998E-2</v>
      </c>
      <c r="S722">
        <v>3.0577390000000002</v>
      </c>
      <c r="T722">
        <v>-5.5112599999999998E-2</v>
      </c>
      <c r="U722">
        <v>-0.23065189999999999</v>
      </c>
      <c r="V722">
        <v>2.158268E-2</v>
      </c>
      <c r="W722">
        <v>0.18949559999999999</v>
      </c>
      <c r="X722">
        <v>0.98164430000000003</v>
      </c>
      <c r="Y722">
        <v>7.8969769999999995E-2</v>
      </c>
      <c r="Z722">
        <v>-7.7856449999999999E-4</v>
      </c>
      <c r="AA722">
        <v>0.99687669999999995</v>
      </c>
      <c r="AB722">
        <v>38</v>
      </c>
      <c r="AC722">
        <v>61.342499999999902</v>
      </c>
      <c r="AD722">
        <v>-1.1089512492539999</v>
      </c>
      <c r="AE722">
        <v>-4.6417999999999804</v>
      </c>
      <c r="AF722">
        <v>4.8718074341356301</v>
      </c>
      <c r="AG722">
        <v>-1.1089512492539999</v>
      </c>
      <c r="AH722">
        <v>61.304614495231903</v>
      </c>
      <c r="AI722">
        <v>91.033065403508004</v>
      </c>
      <c r="AJ722">
        <v>85.456318932202905</v>
      </c>
      <c r="AK722">
        <v>61.507885989989298</v>
      </c>
      <c r="AL722">
        <v>79.076650129586</v>
      </c>
      <c r="AM722">
        <v>88.7404834140346</v>
      </c>
      <c r="AN722">
        <v>0.99999996310891504</v>
      </c>
    </row>
    <row r="723" spans="1:40" x14ac:dyDescent="0.25">
      <c r="A723" t="str">
        <f>"20190312172909536"</f>
        <v>20190312172909536</v>
      </c>
      <c r="B723" t="str">
        <f>"1552382949527735"</f>
        <v>1552382949527735</v>
      </c>
      <c r="C723" t="s">
        <v>40</v>
      </c>
      <c r="D723">
        <v>3.0916450000000002</v>
      </c>
      <c r="E723">
        <v>0.52505609999999903</v>
      </c>
      <c r="F723" t="s">
        <v>41</v>
      </c>
      <c r="G723">
        <v>-268.36989999999997</v>
      </c>
      <c r="H723" s="1">
        <v>-2.3401249999999999E-6</v>
      </c>
      <c r="I723">
        <v>362.85379999999998</v>
      </c>
      <c r="J723">
        <v>-329.7919</v>
      </c>
      <c r="K723">
        <v>1.108951</v>
      </c>
      <c r="L723">
        <v>367.49799999999999</v>
      </c>
      <c r="M723">
        <v>0.99996759999999996</v>
      </c>
      <c r="N723">
        <v>0</v>
      </c>
      <c r="O723">
        <v>3.7761130000000002E-3</v>
      </c>
      <c r="P723">
        <v>0.98309170000000001</v>
      </c>
      <c r="Q723">
        <v>0.18224599999999999</v>
      </c>
      <c r="R723">
        <v>-1.782597E-2</v>
      </c>
      <c r="S723">
        <v>3.0577999999999999</v>
      </c>
      <c r="T723">
        <v>-5.5040480000000003E-2</v>
      </c>
      <c r="U723">
        <v>-0.2304688</v>
      </c>
      <c r="V723">
        <v>2.1544939999999999E-2</v>
      </c>
      <c r="W723">
        <v>0.18925069999999999</v>
      </c>
      <c r="X723">
        <v>0.98169240000000002</v>
      </c>
      <c r="Y723">
        <v>7.8909259999999995E-2</v>
      </c>
      <c r="Z723">
        <v>-7.769939E-4</v>
      </c>
      <c r="AA723">
        <v>0.99688149999999998</v>
      </c>
      <c r="AB723">
        <v>38</v>
      </c>
      <c r="AC723">
        <v>61.421999999999997</v>
      </c>
      <c r="AD723">
        <v>-1.108953340125</v>
      </c>
      <c r="AE723">
        <v>-4.6442000000000601</v>
      </c>
      <c r="AF723">
        <v>4.87452923979854</v>
      </c>
      <c r="AG723">
        <v>-1.108953340125</v>
      </c>
      <c r="AH723">
        <v>61.384128914327697</v>
      </c>
      <c r="AI723">
        <v>91.031734220051803</v>
      </c>
      <c r="AJ723">
        <v>85.459655413379707</v>
      </c>
      <c r="AK723">
        <v>61.587353372190201</v>
      </c>
      <c r="AL723">
        <v>79.090940744637606</v>
      </c>
      <c r="AM723">
        <v>88.742746712720006</v>
      </c>
      <c r="AN723">
        <v>0.99999999005392604</v>
      </c>
    </row>
    <row r="724" spans="1:40" x14ac:dyDescent="0.25">
      <c r="A724" t="str">
        <f>"20190312172909547"</f>
        <v>20190312172909547</v>
      </c>
      <c r="B724" t="str">
        <f>"1552382949538470"</f>
        <v>1552382949538470</v>
      </c>
      <c r="C724" t="s">
        <v>40</v>
      </c>
      <c r="D724">
        <v>3.1135269999999999</v>
      </c>
      <c r="E724">
        <v>0.52503469999999997</v>
      </c>
      <c r="F724" t="s">
        <v>41</v>
      </c>
      <c r="G724">
        <v>-268.9203</v>
      </c>
      <c r="H724" s="1">
        <v>-2.1380440000000001E-6</v>
      </c>
      <c r="I724">
        <v>362.90929999999997</v>
      </c>
      <c r="J724">
        <v>-329.6028</v>
      </c>
      <c r="K724">
        <v>1.108949</v>
      </c>
      <c r="L724">
        <v>367.49869999999999</v>
      </c>
      <c r="M724">
        <v>0.99996739999999995</v>
      </c>
      <c r="N724">
        <v>0</v>
      </c>
      <c r="O724">
        <v>3.7765329999999999E-3</v>
      </c>
      <c r="P724">
        <v>0.98310509999999995</v>
      </c>
      <c r="Q724">
        <v>0.1821883</v>
      </c>
      <c r="R724">
        <v>-1.766125E-2</v>
      </c>
      <c r="S724">
        <v>3.0577390000000002</v>
      </c>
      <c r="T724">
        <v>-5.570555E-2</v>
      </c>
      <c r="U724">
        <v>-0.23049929999999999</v>
      </c>
      <c r="V724">
        <v>2.1380940000000001E-2</v>
      </c>
      <c r="W724">
        <v>0.18920899999999999</v>
      </c>
      <c r="X724">
        <v>0.98170409999999997</v>
      </c>
      <c r="Y724">
        <v>7.8920740000000003E-2</v>
      </c>
      <c r="Z724">
        <v>-7.8650839999999905E-4</v>
      </c>
      <c r="AA724">
        <v>0.99688060000000001</v>
      </c>
      <c r="AB724">
        <v>38</v>
      </c>
      <c r="AC724">
        <v>60.682499999999997</v>
      </c>
      <c r="AD724">
        <v>-1.108951138044</v>
      </c>
      <c r="AE724">
        <v>-4.5894000000000101</v>
      </c>
      <c r="AF724">
        <v>4.8169430413453203</v>
      </c>
      <c r="AG724">
        <v>-1.108951138044</v>
      </c>
      <c r="AH724">
        <v>60.644596936892498</v>
      </c>
      <c r="AI724">
        <v>91.044309335433496</v>
      </c>
      <c r="AJ724">
        <v>85.458584905780995</v>
      </c>
      <c r="AK724">
        <v>60.845705275954202</v>
      </c>
      <c r="AL724">
        <v>79.093374768352902</v>
      </c>
      <c r="AM724">
        <v>88.752328748372094</v>
      </c>
      <c r="AN724">
        <v>1.0000000651165399</v>
      </c>
    </row>
    <row r="725" spans="1:40" x14ac:dyDescent="0.25">
      <c r="A725" t="str">
        <f>"20190312172909558"</f>
        <v>20190312172909558</v>
      </c>
      <c r="B725" t="str">
        <f>"1552382949548231"</f>
        <v>1552382949548231</v>
      </c>
      <c r="C725" t="s">
        <v>40</v>
      </c>
      <c r="D725">
        <v>3.1013289999999998</v>
      </c>
      <c r="E725">
        <v>0.52501249999999999</v>
      </c>
      <c r="F725" t="s">
        <v>41</v>
      </c>
      <c r="G725">
        <v>-268.76729999999998</v>
      </c>
      <c r="H725" s="1">
        <v>-2.1872450000000002E-6</v>
      </c>
      <c r="I725">
        <v>362.92</v>
      </c>
      <c r="J725">
        <v>-329.4076</v>
      </c>
      <c r="K725">
        <v>1.1089500000000001</v>
      </c>
      <c r="L725">
        <v>367.49950000000001</v>
      </c>
      <c r="M725">
        <v>0.99996739999999995</v>
      </c>
      <c r="N725">
        <v>0</v>
      </c>
      <c r="O725">
        <v>3.7768340000000002E-3</v>
      </c>
      <c r="P725">
        <v>0.9831221</v>
      </c>
      <c r="Q725">
        <v>0.18210699999999999</v>
      </c>
      <c r="R725">
        <v>-1.7564509999999998E-2</v>
      </c>
      <c r="S725">
        <v>3.0577390000000002</v>
      </c>
      <c r="T725">
        <v>-5.5738570000000001E-2</v>
      </c>
      <c r="U725">
        <v>-0.23013310000000001</v>
      </c>
      <c r="V725">
        <v>2.1284379999999999E-2</v>
      </c>
      <c r="W725">
        <v>0.18914300000000001</v>
      </c>
      <c r="X725">
        <v>0.9817188</v>
      </c>
      <c r="Y725">
        <v>7.8802330000000004E-2</v>
      </c>
      <c r="Z725">
        <v>-7.8590589999999905E-4</v>
      </c>
      <c r="AA725">
        <v>0.9968899</v>
      </c>
      <c r="AB725">
        <v>38</v>
      </c>
      <c r="AC725">
        <v>60.640300000000003</v>
      </c>
      <c r="AD725">
        <v>-1.1089521872450001</v>
      </c>
      <c r="AE725">
        <v>-4.5794999999999897</v>
      </c>
      <c r="AF725">
        <v>4.8069030678498601</v>
      </c>
      <c r="AG725">
        <v>-1.1089521872450001</v>
      </c>
      <c r="AH725">
        <v>60.602418793338202</v>
      </c>
      <c r="AI725">
        <v>91.045046079728394</v>
      </c>
      <c r="AJ725">
        <v>85.464870096570095</v>
      </c>
      <c r="AK725">
        <v>60.8028721004234</v>
      </c>
      <c r="AL725">
        <v>79.097224565478399</v>
      </c>
      <c r="AM725">
        <v>88.757980269247696</v>
      </c>
      <c r="AN725">
        <v>0.99999995077721004</v>
      </c>
    </row>
    <row r="726" spans="1:40" x14ac:dyDescent="0.25">
      <c r="A726" t="str">
        <f>"20190312172909570"</f>
        <v>20190312172909570</v>
      </c>
      <c r="B726" t="str">
        <f>"1552382949557837"</f>
        <v>1552382949557837</v>
      </c>
      <c r="C726" t="s">
        <v>40</v>
      </c>
      <c r="D726">
        <v>3.1030090000000001</v>
      </c>
      <c r="E726">
        <v>0.52498559999999905</v>
      </c>
      <c r="F726" t="s">
        <v>41</v>
      </c>
      <c r="G726">
        <v>-268.6035</v>
      </c>
      <c r="H726" s="1">
        <v>-2.2379880000000001E-6</v>
      </c>
      <c r="I726">
        <v>362.93889999999999</v>
      </c>
      <c r="J726">
        <v>-329.21980000000002</v>
      </c>
      <c r="K726">
        <v>1.1089500000000001</v>
      </c>
      <c r="L726">
        <v>367.50020000000001</v>
      </c>
      <c r="M726">
        <v>0.9999671</v>
      </c>
      <c r="N726">
        <v>0</v>
      </c>
      <c r="O726">
        <v>3.7774319999999998E-3</v>
      </c>
      <c r="P726">
        <v>0.98313810000000001</v>
      </c>
      <c r="Q726">
        <v>0.1820079</v>
      </c>
      <c r="R726">
        <v>-1.7671050000000001E-2</v>
      </c>
      <c r="S726">
        <v>3.057709</v>
      </c>
      <c r="T726">
        <v>-5.5766820000000002E-2</v>
      </c>
      <c r="U726">
        <v>-0.2293396</v>
      </c>
      <c r="V726">
        <v>2.1391790000000001E-2</v>
      </c>
      <c r="W726">
        <v>0.1890597</v>
      </c>
      <c r="X726">
        <v>0.98173250000000001</v>
      </c>
      <c r="Y726">
        <v>7.8546459999999999E-2</v>
      </c>
      <c r="Z726">
        <v>-7.8400080000000003E-4</v>
      </c>
      <c r="AA726">
        <v>0.99691019999999997</v>
      </c>
      <c r="AB726">
        <v>38</v>
      </c>
      <c r="AC726">
        <v>60.616300000000003</v>
      </c>
      <c r="AD726">
        <v>-1.1089522379879999</v>
      </c>
      <c r="AE726">
        <v>-4.5613000000000099</v>
      </c>
      <c r="AF726">
        <v>4.7886536012547403</v>
      </c>
      <c r="AG726">
        <v>-1.1089522379879999</v>
      </c>
      <c r="AH726">
        <v>60.578476022674202</v>
      </c>
      <c r="AI726">
        <v>91.045481274938098</v>
      </c>
      <c r="AJ726">
        <v>85.480238084105693</v>
      </c>
      <c r="AK726">
        <v>60.7775677006629</v>
      </c>
      <c r="AL726">
        <v>79.102084881466695</v>
      </c>
      <c r="AM726">
        <v>88.751731903842597</v>
      </c>
      <c r="AN726">
        <v>0.99999994019987004</v>
      </c>
    </row>
    <row r="727" spans="1:40" x14ac:dyDescent="0.25">
      <c r="A727" t="str">
        <f>"20190312172909580"</f>
        <v>20190312172909580</v>
      </c>
      <c r="B727" t="str">
        <f>"1552382949568573"</f>
        <v>1552382949568573</v>
      </c>
      <c r="C727" t="s">
        <v>40</v>
      </c>
      <c r="D727">
        <v>3.1395710000000001</v>
      </c>
      <c r="E727">
        <v>0.52501419999999999</v>
      </c>
      <c r="F727" t="s">
        <v>41</v>
      </c>
      <c r="G727">
        <v>-268.76929999999999</v>
      </c>
      <c r="H727" s="1">
        <v>-2.1743320000000001E-6</v>
      </c>
      <c r="I727">
        <v>362.96609999999998</v>
      </c>
      <c r="J727">
        <v>-329.03410000000002</v>
      </c>
      <c r="K727">
        <v>1.1089519999999999</v>
      </c>
      <c r="L727">
        <v>367.5009</v>
      </c>
      <c r="M727">
        <v>0.9999671</v>
      </c>
      <c r="N727">
        <v>0</v>
      </c>
      <c r="O727">
        <v>3.7775539999999998E-3</v>
      </c>
      <c r="P727">
        <v>0.98309360000000001</v>
      </c>
      <c r="Q727">
        <v>0.18225859999999999</v>
      </c>
      <c r="R727">
        <v>-1.757647E-2</v>
      </c>
      <c r="S727">
        <v>3.0577390000000002</v>
      </c>
      <c r="T727">
        <v>-5.6093450000000003E-2</v>
      </c>
      <c r="U727">
        <v>-0.2293396</v>
      </c>
      <c r="V727">
        <v>2.129706E-2</v>
      </c>
      <c r="W727">
        <v>0.18932560000000001</v>
      </c>
      <c r="X727">
        <v>0.98168339999999998</v>
      </c>
      <c r="Y727">
        <v>7.8545699999999996E-2</v>
      </c>
      <c r="Z727">
        <v>-7.885794E-4</v>
      </c>
      <c r="AA727">
        <v>0.99691019999999997</v>
      </c>
      <c r="AB727">
        <v>38</v>
      </c>
      <c r="AC727">
        <v>60.264800000000001</v>
      </c>
      <c r="AD727">
        <v>-1.1089541743319999</v>
      </c>
      <c r="AE727">
        <v>-4.5348000000000104</v>
      </c>
      <c r="AF727">
        <v>4.7608240584589199</v>
      </c>
      <c r="AG727">
        <v>-1.1089541743319999</v>
      </c>
      <c r="AH727">
        <v>60.226960468700497</v>
      </c>
      <c r="AI727">
        <v>91.051583770038803</v>
      </c>
      <c r="AJ727">
        <v>85.480278428195902</v>
      </c>
      <c r="AK727">
        <v>60.425011314643399</v>
      </c>
      <c r="AL727">
        <v>79.086570640358801</v>
      </c>
      <c r="AM727">
        <v>88.757195777381199</v>
      </c>
      <c r="AN727">
        <v>1.0000000227077801</v>
      </c>
    </row>
    <row r="728" spans="1:40" x14ac:dyDescent="0.25">
      <c r="A728" t="str">
        <f>"20190312172909592"</f>
        <v>20190312172909592</v>
      </c>
      <c r="B728" t="str">
        <f>"1552382949588093"</f>
        <v>1552382949588093</v>
      </c>
      <c r="C728" t="s">
        <v>40</v>
      </c>
      <c r="D728">
        <v>3.1231930000000001</v>
      </c>
      <c r="E728">
        <v>0.52505170000000001</v>
      </c>
      <c r="F728" t="s">
        <v>41</v>
      </c>
      <c r="G728">
        <v>-267.57639999999998</v>
      </c>
      <c r="H728" s="1">
        <v>-2.60133E-6</v>
      </c>
      <c r="I728">
        <v>362.887</v>
      </c>
      <c r="J728">
        <v>-328.83109999999999</v>
      </c>
      <c r="K728">
        <v>1.1089549999999999</v>
      </c>
      <c r="L728">
        <v>367.5016</v>
      </c>
      <c r="M728">
        <v>0.99996700000000005</v>
      </c>
      <c r="N728">
        <v>0</v>
      </c>
      <c r="O728">
        <v>3.777964E-3</v>
      </c>
      <c r="P728">
        <v>0.98311300000000001</v>
      </c>
      <c r="Q728">
        <v>0.18215149999999999</v>
      </c>
      <c r="R728">
        <v>-1.761122E-2</v>
      </c>
      <c r="S728">
        <v>3.057709</v>
      </c>
      <c r="T728">
        <v>-5.517387E-2</v>
      </c>
      <c r="U728">
        <v>-0.22955320000000001</v>
      </c>
      <c r="V728">
        <v>2.1332179999999999E-2</v>
      </c>
      <c r="W728">
        <v>0.18923670000000001</v>
      </c>
      <c r="X728">
        <v>0.98169980000000001</v>
      </c>
      <c r="Y728">
        <v>7.8616539999999999E-2</v>
      </c>
      <c r="Z728">
        <v>-7.7630489999999999E-4</v>
      </c>
      <c r="AA728">
        <v>0.99690460000000003</v>
      </c>
      <c r="AB728">
        <v>38</v>
      </c>
      <c r="AC728">
        <v>61.2547</v>
      </c>
      <c r="AD728">
        <v>-1.10895760132999</v>
      </c>
      <c r="AE728">
        <v>-4.61460000000005</v>
      </c>
      <c r="AF728">
        <v>4.8444122765483604</v>
      </c>
      <c r="AG728">
        <v>-1.10895760132999</v>
      </c>
      <c r="AH728">
        <v>61.216877598312799</v>
      </c>
      <c r="AI728">
        <v>91.034578804296302</v>
      </c>
      <c r="AJ728">
        <v>85.475314148420196</v>
      </c>
      <c r="AK728">
        <v>61.418272689432897</v>
      </c>
      <c r="AL728">
        <v>79.091758241704397</v>
      </c>
      <c r="AM728">
        <v>88.755167760217205</v>
      </c>
      <c r="AN728">
        <v>1.0000000439252399</v>
      </c>
    </row>
    <row r="729" spans="1:40" x14ac:dyDescent="0.25">
      <c r="A729" t="str">
        <f>"20190312172909605"</f>
        <v>20190312172909605</v>
      </c>
      <c r="B729" t="str">
        <f>"1552382949597853"</f>
        <v>1552382949597853</v>
      </c>
      <c r="C729" t="s">
        <v>40</v>
      </c>
      <c r="D729">
        <v>3.081582</v>
      </c>
      <c r="E729">
        <v>0.52507309999999996</v>
      </c>
      <c r="F729" t="s">
        <v>41</v>
      </c>
      <c r="G729">
        <v>-267.06009999999998</v>
      </c>
      <c r="H729" s="1">
        <v>-2.7839679999999999E-6</v>
      </c>
      <c r="I729">
        <v>362.86090000000002</v>
      </c>
      <c r="J729">
        <v>-328.60879999999997</v>
      </c>
      <c r="K729">
        <v>1.1089560000000001</v>
      </c>
      <c r="L729">
        <v>367.5025</v>
      </c>
      <c r="M729">
        <v>0.99996689999999999</v>
      </c>
      <c r="N729">
        <v>0</v>
      </c>
      <c r="O729">
        <v>3.778427E-3</v>
      </c>
      <c r="P729">
        <v>0.98309559999999996</v>
      </c>
      <c r="Q729">
        <v>0.18222759999999999</v>
      </c>
      <c r="R729">
        <v>-1.7790650000000002E-2</v>
      </c>
      <c r="S729">
        <v>3.0575869999999998</v>
      </c>
      <c r="T729">
        <v>-5.489194E-2</v>
      </c>
      <c r="U729">
        <v>-0.22970579999999999</v>
      </c>
      <c r="V729">
        <v>2.1512199999999999E-2</v>
      </c>
      <c r="W729">
        <v>0.18933220000000001</v>
      </c>
      <c r="X729">
        <v>0.98167740000000003</v>
      </c>
      <c r="Y729">
        <v>7.8669559999999999E-2</v>
      </c>
      <c r="Z729">
        <v>-7.7285149999999905E-4</v>
      </c>
      <c r="AA729">
        <v>0.99690040000000002</v>
      </c>
      <c r="AB729">
        <v>38</v>
      </c>
      <c r="AC729">
        <v>61.548699999999997</v>
      </c>
      <c r="AD729">
        <v>-1.108958783968</v>
      </c>
      <c r="AE729">
        <v>-4.64159999999998</v>
      </c>
      <c r="AF729">
        <v>4.8725573236479498</v>
      </c>
      <c r="AG729">
        <v>-1.108958783968</v>
      </c>
      <c r="AH729">
        <v>61.510866670981201</v>
      </c>
      <c r="AI729">
        <v>91.029629809281005</v>
      </c>
      <c r="AJ729">
        <v>85.470796731944503</v>
      </c>
      <c r="AK729">
        <v>61.713518155036297</v>
      </c>
      <c r="AL729">
        <v>79.086185130471804</v>
      </c>
      <c r="AM729">
        <v>88.744637465554703</v>
      </c>
      <c r="AN729">
        <v>0.99999998718822003</v>
      </c>
    </row>
    <row r="730" spans="1:40" x14ac:dyDescent="0.25">
      <c r="A730" t="str">
        <f>"20190312172909618"</f>
        <v>20190312172909618</v>
      </c>
      <c r="B730" t="str">
        <f>"1552382949608589"</f>
        <v>1552382949608589</v>
      </c>
      <c r="C730" t="s">
        <v>40</v>
      </c>
      <c r="D730">
        <v>3.1057090000000001</v>
      </c>
      <c r="E730">
        <v>0.52507349999999997</v>
      </c>
      <c r="F730" t="s">
        <v>41</v>
      </c>
      <c r="G730">
        <v>-266.04700000000003</v>
      </c>
      <c r="H730" s="1">
        <v>-3.147343E-6</v>
      </c>
      <c r="I730">
        <v>362.791</v>
      </c>
      <c r="J730">
        <v>-328.37560000000002</v>
      </c>
      <c r="K730">
        <v>1.1089560000000001</v>
      </c>
      <c r="L730">
        <v>367.5034</v>
      </c>
      <c r="M730">
        <v>0.99996660000000004</v>
      </c>
      <c r="N730">
        <v>0</v>
      </c>
      <c r="O730">
        <v>3.7790050000000002E-3</v>
      </c>
      <c r="P730">
        <v>0.98309029999999997</v>
      </c>
      <c r="Q730">
        <v>0.18225430000000001</v>
      </c>
      <c r="R730">
        <v>-1.78005E-2</v>
      </c>
      <c r="S730">
        <v>3.0574949999999999</v>
      </c>
      <c r="T730">
        <v>-5.4196479999999998E-2</v>
      </c>
      <c r="U730">
        <v>-0.23025509999999999</v>
      </c>
      <c r="V730">
        <v>2.152256E-2</v>
      </c>
      <c r="W730">
        <v>0.18937989999999999</v>
      </c>
      <c r="X730">
        <v>0.98166799999999999</v>
      </c>
      <c r="Y730">
        <v>7.8850779999999995E-2</v>
      </c>
      <c r="Z730">
        <v>-7.6469299999999999E-4</v>
      </c>
      <c r="AA730">
        <v>0.9968861</v>
      </c>
      <c r="AB730">
        <v>38</v>
      </c>
      <c r="AC730">
        <v>62.328600000000002</v>
      </c>
      <c r="AD730">
        <v>-1.1089591473430001</v>
      </c>
      <c r="AE730">
        <v>-4.7123999999999997</v>
      </c>
      <c r="AF730">
        <v>4.9463557060554697</v>
      </c>
      <c r="AG730">
        <v>-1.1089591473430001</v>
      </c>
      <c r="AH730">
        <v>62.290739576209397</v>
      </c>
      <c r="AI730">
        <v>91.016726557301496</v>
      </c>
      <c r="AJ730">
        <v>85.459808714150796</v>
      </c>
      <c r="AK730">
        <v>62.496659607633802</v>
      </c>
      <c r="AL730">
        <v>79.083402070174898</v>
      </c>
      <c r="AM730">
        <v>88.744021069934405</v>
      </c>
      <c r="AN730">
        <v>1.00000001466848</v>
      </c>
    </row>
    <row r="731" spans="1:40" x14ac:dyDescent="0.25">
      <c r="A731" t="str">
        <f>"20190312172909631"</f>
        <v>20190312172909631</v>
      </c>
      <c r="B731" t="str">
        <f>"1552382949628111"</f>
        <v>1552382949628111</v>
      </c>
      <c r="C731" t="s">
        <v>40</v>
      </c>
      <c r="D731">
        <v>3.1185999999999998</v>
      </c>
      <c r="E731">
        <v>0.52505400000000002</v>
      </c>
      <c r="F731" t="s">
        <v>41</v>
      </c>
      <c r="G731">
        <v>-265.24880000000002</v>
      </c>
      <c r="H731" s="1">
        <v>-3.4307520000000002E-6</v>
      </c>
      <c r="I731">
        <v>362.74669999999998</v>
      </c>
      <c r="J731">
        <v>-328.16989999999998</v>
      </c>
      <c r="K731">
        <v>1.1089560000000001</v>
      </c>
      <c r="L731">
        <v>367.50420000000003</v>
      </c>
      <c r="M731">
        <v>0.99996640000000003</v>
      </c>
      <c r="N731">
        <v>0</v>
      </c>
      <c r="O731">
        <v>3.7792960000000001E-3</v>
      </c>
      <c r="P731">
        <v>0.98308689999999999</v>
      </c>
      <c r="Q731">
        <v>0.18227309999999999</v>
      </c>
      <c r="R731">
        <v>-1.7799519999999999E-2</v>
      </c>
      <c r="S731">
        <v>3.057404</v>
      </c>
      <c r="T731">
        <v>-5.3709859999999998E-2</v>
      </c>
      <c r="U731">
        <v>-0.2303772</v>
      </c>
      <c r="V731">
        <v>2.152184E-2</v>
      </c>
      <c r="W731">
        <v>0.18941649999999999</v>
      </c>
      <c r="X731">
        <v>0.98166100000000001</v>
      </c>
      <c r="Y731">
        <v>7.8893099999999994E-2</v>
      </c>
      <c r="Z731">
        <v>-7.5822589999999896E-4</v>
      </c>
      <c r="AA731">
        <v>0.99688279999999996</v>
      </c>
      <c r="AB731">
        <v>38</v>
      </c>
      <c r="AC731">
        <v>62.921099999999903</v>
      </c>
      <c r="AD731">
        <v>-1.1089594307520001</v>
      </c>
      <c r="AE731">
        <v>-4.75750000000005</v>
      </c>
      <c r="AF731">
        <v>4.9937274084872696</v>
      </c>
      <c r="AG731">
        <v>-1.1089594307520001</v>
      </c>
      <c r="AH731">
        <v>62.883247968164</v>
      </c>
      <c r="AI731">
        <v>91.007148430063793</v>
      </c>
      <c r="AJ731">
        <v>85.459517113037094</v>
      </c>
      <c r="AK731">
        <v>63.0909659101439</v>
      </c>
      <c r="AL731">
        <v>79.081266885095204</v>
      </c>
      <c r="AM731">
        <v>88.744054120147595</v>
      </c>
      <c r="AN731">
        <v>1.0000000594951099</v>
      </c>
    </row>
    <row r="732" spans="1:40" x14ac:dyDescent="0.25">
      <c r="A732" t="str">
        <f>"20190312172909648"</f>
        <v>20190312172909648</v>
      </c>
      <c r="B732" t="str">
        <f>"1552382949637869"</f>
        <v>1552382949637869</v>
      </c>
      <c r="C732" t="s">
        <v>40</v>
      </c>
      <c r="D732">
        <v>3.1058699999999999</v>
      </c>
      <c r="E732">
        <v>0.52505990000000002</v>
      </c>
      <c r="F732" t="s">
        <v>41</v>
      </c>
      <c r="G732">
        <v>-264.09070000000003</v>
      </c>
      <c r="H732" s="1">
        <v>-3.8436419999999998E-6</v>
      </c>
      <c r="I732">
        <v>362.67610000000002</v>
      </c>
      <c r="J732">
        <v>-327.86579999999998</v>
      </c>
      <c r="K732">
        <v>1.1089549999999999</v>
      </c>
      <c r="L732">
        <v>367.50529999999998</v>
      </c>
      <c r="M732">
        <v>0.99996640000000003</v>
      </c>
      <c r="N732">
        <v>0</v>
      </c>
      <c r="O732">
        <v>3.7796729999999999E-3</v>
      </c>
      <c r="P732">
        <v>0.98313119999999998</v>
      </c>
      <c r="Q732">
        <v>0.18204500000000001</v>
      </c>
      <c r="R732">
        <v>-1.76983E-2</v>
      </c>
      <c r="S732">
        <v>3.0572509999999999</v>
      </c>
      <c r="T732">
        <v>-5.2909020000000001E-2</v>
      </c>
      <c r="U732">
        <v>-0.23034669999999999</v>
      </c>
      <c r="V732">
        <v>2.1421050000000001E-2</v>
      </c>
      <c r="W732">
        <v>0.18921560000000001</v>
      </c>
      <c r="X732">
        <v>0.98170190000000002</v>
      </c>
      <c r="Y732">
        <v>7.8887689999999996E-2</v>
      </c>
      <c r="Z732">
        <v>-7.469191E-4</v>
      </c>
      <c r="AA732">
        <v>0.99688319999999997</v>
      </c>
      <c r="AB732">
        <v>39</v>
      </c>
      <c r="AC732">
        <v>63.775099999999902</v>
      </c>
      <c r="AD732">
        <v>-1.1089588436419999</v>
      </c>
      <c r="AE732">
        <v>-4.8291999999999504</v>
      </c>
      <c r="AF732">
        <v>5.0686970557582098</v>
      </c>
      <c r="AG732">
        <v>-1.1089588436419999</v>
      </c>
      <c r="AH732">
        <v>63.737229247099997</v>
      </c>
      <c r="AI732">
        <v>90.993647577062305</v>
      </c>
      <c r="AJ732">
        <v>85.453127632125302</v>
      </c>
      <c r="AK732">
        <v>63.9480716805231</v>
      </c>
      <c r="AL732">
        <v>79.092989079503695</v>
      </c>
      <c r="AM732">
        <v>88.749986096198697</v>
      </c>
      <c r="AN732">
        <v>1.0000000125650299</v>
      </c>
    </row>
    <row r="733" spans="1:40" x14ac:dyDescent="0.25">
      <c r="A733" t="str">
        <f>"20190312172909658"</f>
        <v>20190312172909658</v>
      </c>
      <c r="B733" t="str">
        <f>"1552382949648606"</f>
        <v>1552382949648606</v>
      </c>
      <c r="C733" t="s">
        <v>40</v>
      </c>
      <c r="D733">
        <v>3.083561</v>
      </c>
      <c r="E733">
        <v>0.52506450000000005</v>
      </c>
      <c r="F733" t="s">
        <v>41</v>
      </c>
      <c r="G733">
        <v>-264.2817</v>
      </c>
      <c r="H733" s="1">
        <v>-3.7662259999999999E-6</v>
      </c>
      <c r="I733">
        <v>362.72269999999997</v>
      </c>
      <c r="J733">
        <v>-327.68490000000003</v>
      </c>
      <c r="K733">
        <v>1.1089549999999999</v>
      </c>
      <c r="L733">
        <v>367.50599999999997</v>
      </c>
      <c r="M733">
        <v>0.99996609999999997</v>
      </c>
      <c r="N733">
        <v>0</v>
      </c>
      <c r="O733">
        <v>3.7801470000000002E-3</v>
      </c>
      <c r="P733">
        <v>0.98312350000000004</v>
      </c>
      <c r="Q733">
        <v>0.18207400000000001</v>
      </c>
      <c r="R733">
        <v>-1.7808839999999999E-2</v>
      </c>
      <c r="S733">
        <v>3.05722</v>
      </c>
      <c r="T733">
        <v>-5.3320409999999999E-2</v>
      </c>
      <c r="U733">
        <v>-0.22994999999999999</v>
      </c>
      <c r="V733">
        <v>2.1532200000000001E-2</v>
      </c>
      <c r="W733">
        <v>0.18926100000000001</v>
      </c>
      <c r="X733">
        <v>0.98169070000000003</v>
      </c>
      <c r="Y733">
        <v>7.8760090000000005E-2</v>
      </c>
      <c r="Z733">
        <v>-7.5163420000000001E-4</v>
      </c>
      <c r="AA733">
        <v>0.99689329999999998</v>
      </c>
      <c r="AB733">
        <v>39</v>
      </c>
      <c r="AC733">
        <v>63.403199999999998</v>
      </c>
      <c r="AD733">
        <v>-1.1089587662260001</v>
      </c>
      <c r="AE733">
        <v>-4.7832999999999899</v>
      </c>
      <c r="AF733">
        <v>5.0214181908427102</v>
      </c>
      <c r="AG733">
        <v>-1.1089587662260001</v>
      </c>
      <c r="AH733">
        <v>63.365389852844402</v>
      </c>
      <c r="AI733">
        <v>90.999499259545402</v>
      </c>
      <c r="AJ733">
        <v>85.469039487890896</v>
      </c>
      <c r="AK733">
        <v>63.573713603937598</v>
      </c>
      <c r="AL733">
        <v>79.090339803474194</v>
      </c>
      <c r="AM733">
        <v>88.743487740801399</v>
      </c>
      <c r="AN733">
        <v>0.99999999611216495</v>
      </c>
    </row>
    <row r="734" spans="1:40" x14ac:dyDescent="0.25">
      <c r="A734" t="str">
        <f>"20190312172909670"</f>
        <v>20190312172909670</v>
      </c>
      <c r="B734" t="str">
        <f>"1552382949657895"</f>
        <v>1552382949657895</v>
      </c>
      <c r="C734" t="s">
        <v>40</v>
      </c>
      <c r="D734">
        <v>3.0983269999999998</v>
      </c>
      <c r="E734">
        <v>0.52504059999999997</v>
      </c>
      <c r="F734" t="s">
        <v>41</v>
      </c>
      <c r="G734">
        <v>-263.6268</v>
      </c>
      <c r="H734" s="1">
        <v>-4.002007E-6</v>
      </c>
      <c r="I734">
        <v>362.67419999999998</v>
      </c>
      <c r="J734">
        <v>-327.4907</v>
      </c>
      <c r="K734">
        <v>1.108959</v>
      </c>
      <c r="L734">
        <v>367.50670000000002</v>
      </c>
      <c r="M734">
        <v>0.99996600000000002</v>
      </c>
      <c r="N734">
        <v>0</v>
      </c>
      <c r="O734">
        <v>3.7805550000000001E-3</v>
      </c>
      <c r="P734">
        <v>0.98316099999999995</v>
      </c>
      <c r="Q734">
        <v>0.18186579999999999</v>
      </c>
      <c r="R734">
        <v>-1.7873110000000001E-2</v>
      </c>
      <c r="S734">
        <v>3.0571290000000002</v>
      </c>
      <c r="T734">
        <v>-5.2924279999999997E-2</v>
      </c>
      <c r="U734">
        <v>-0.23059080000000001</v>
      </c>
      <c r="V734">
        <v>2.159699E-2</v>
      </c>
      <c r="W734">
        <v>0.1890714</v>
      </c>
      <c r="X734">
        <v>0.98172579999999998</v>
      </c>
      <c r="Y734">
        <v>7.8970689999999996E-2</v>
      </c>
      <c r="Z734">
        <v>-7.4789479999999998E-4</v>
      </c>
      <c r="AA734">
        <v>0.99687669999999995</v>
      </c>
      <c r="AB734">
        <v>39</v>
      </c>
      <c r="AC734">
        <v>63.863900000000001</v>
      </c>
      <c r="AD734">
        <v>-1.108963002007</v>
      </c>
      <c r="AE734">
        <v>-4.8325000000000298</v>
      </c>
      <c r="AF734">
        <v>5.0723921883661696</v>
      </c>
      <c r="AG734">
        <v>-1.108963002007</v>
      </c>
      <c r="AH734">
        <v>63.826037984020203</v>
      </c>
      <c r="AI734">
        <v>90.992273128850698</v>
      </c>
      <c r="AJ734">
        <v>85.456131493941101</v>
      </c>
      <c r="AK734">
        <v>64.036880671922304</v>
      </c>
      <c r="AL734">
        <v>79.101402706312001</v>
      </c>
      <c r="AM734">
        <v>88.739753180884705</v>
      </c>
      <c r="AN734">
        <v>0.99999998533032997</v>
      </c>
    </row>
    <row r="735" spans="1:40" x14ac:dyDescent="0.25">
      <c r="A735" t="str">
        <f>"20190312172909680"</f>
        <v>20190312172909680</v>
      </c>
      <c r="B735" t="str">
        <f>"1552382949678390"</f>
        <v>1552382949678390</v>
      </c>
      <c r="C735" t="s">
        <v>40</v>
      </c>
      <c r="D735">
        <v>3.1009699999999998</v>
      </c>
      <c r="E735">
        <v>0.52501089999999995</v>
      </c>
      <c r="F735" t="s">
        <v>41</v>
      </c>
      <c r="G735">
        <v>-263.82440000000003</v>
      </c>
      <c r="H735" s="1">
        <v>-3.926247E-6</v>
      </c>
      <c r="I735">
        <v>362.70620000000002</v>
      </c>
      <c r="J735">
        <v>-327.3048</v>
      </c>
      <c r="K735">
        <v>1.1089599999999999</v>
      </c>
      <c r="L735">
        <v>367.50740000000002</v>
      </c>
      <c r="M735">
        <v>0.99996580000000002</v>
      </c>
      <c r="N735">
        <v>0</v>
      </c>
      <c r="O735">
        <v>3.7808450000000001E-3</v>
      </c>
      <c r="P735">
        <v>0.98315640000000004</v>
      </c>
      <c r="Q735">
        <v>0.1818806</v>
      </c>
      <c r="R735">
        <v>-1.7976860000000001E-2</v>
      </c>
      <c r="S735">
        <v>3.0570369999999998</v>
      </c>
      <c r="T735">
        <v>-5.3248520000000001E-2</v>
      </c>
      <c r="U735">
        <v>-0.23049929999999999</v>
      </c>
      <c r="V735">
        <v>2.1700770000000001E-2</v>
      </c>
      <c r="W735">
        <v>0.1891042</v>
      </c>
      <c r="X735">
        <v>0.98171719999999896</v>
      </c>
      <c r="Y735">
        <v>7.8943379999999994E-2</v>
      </c>
      <c r="Z735">
        <v>-7.5226699999999896E-4</v>
      </c>
      <c r="AA735">
        <v>0.99687879999999995</v>
      </c>
      <c r="AB735">
        <v>39</v>
      </c>
      <c r="AC735">
        <v>63.480399999999896</v>
      </c>
      <c r="AD735">
        <v>-1.1089639262469999</v>
      </c>
      <c r="AE735">
        <v>-4.8011999999999899</v>
      </c>
      <c r="AF735">
        <v>5.03965247647068</v>
      </c>
      <c r="AG735">
        <v>-1.1089639262469999</v>
      </c>
      <c r="AH735">
        <v>63.442541922677798</v>
      </c>
      <c r="AI735">
        <v>90.998273631233104</v>
      </c>
      <c r="AJ735">
        <v>85.458161930016999</v>
      </c>
      <c r="AK735">
        <v>63.652054355566897</v>
      </c>
      <c r="AL735">
        <v>79.099488945791506</v>
      </c>
      <c r="AM735">
        <v>88.733688195519505</v>
      </c>
      <c r="AN735">
        <v>0.99999999132603601</v>
      </c>
    </row>
    <row r="736" spans="1:40" x14ac:dyDescent="0.25">
      <c r="A736" t="str">
        <f>"20190312172909693"</f>
        <v>20190312172909693</v>
      </c>
      <c r="B736" t="str">
        <f>"1552382949688152"</f>
        <v>1552382949688152</v>
      </c>
      <c r="C736" t="s">
        <v>40</v>
      </c>
      <c r="D736">
        <v>3.080803</v>
      </c>
      <c r="E736">
        <v>0.50244889999999998</v>
      </c>
      <c r="F736" t="s">
        <v>41</v>
      </c>
      <c r="G736">
        <v>-263.22919999999999</v>
      </c>
      <c r="H736" s="1">
        <v>-4.1377159999999998E-6</v>
      </c>
      <c r="I736">
        <v>362.67270000000002</v>
      </c>
      <c r="J736">
        <v>-327.10050000000001</v>
      </c>
      <c r="K736">
        <v>1.108962</v>
      </c>
      <c r="L736">
        <v>367.50819999999999</v>
      </c>
      <c r="M736">
        <v>0.99996569999999996</v>
      </c>
      <c r="N736">
        <v>0</v>
      </c>
      <c r="O736">
        <v>3.7812420000000002E-3</v>
      </c>
      <c r="P736">
        <v>0.98315070000000004</v>
      </c>
      <c r="Q736">
        <v>0.18192069999999999</v>
      </c>
      <c r="R736">
        <v>-1.7884460000000001E-2</v>
      </c>
      <c r="S736">
        <v>3.0569459999999999</v>
      </c>
      <c r="T736">
        <v>-5.2906870000000002E-2</v>
      </c>
      <c r="U736">
        <v>-0.23065189999999999</v>
      </c>
      <c r="V736">
        <v>2.1608800000000001E-2</v>
      </c>
      <c r="W736">
        <v>0.18916549999999999</v>
      </c>
      <c r="X736">
        <v>0.98170749999999996</v>
      </c>
      <c r="Y736">
        <v>7.8995650000000001E-2</v>
      </c>
      <c r="Z736">
        <v>-7.4792039999999895E-4</v>
      </c>
      <c r="AA736">
        <v>0.9968747</v>
      </c>
      <c r="AB736">
        <v>39</v>
      </c>
      <c r="AC736">
        <v>63.871299999999998</v>
      </c>
      <c r="AD736">
        <v>-1.1089661377159901</v>
      </c>
      <c r="AE736">
        <v>-4.8354999999999597</v>
      </c>
      <c r="AF736">
        <v>5.0754635157028298</v>
      </c>
      <c r="AG736">
        <v>-1.1089661377159901</v>
      </c>
      <c r="AH736">
        <v>63.833425316768498</v>
      </c>
      <c r="AI736">
        <v>90.992158073131506</v>
      </c>
      <c r="AJ736">
        <v>85.453915684421005</v>
      </c>
      <c r="AK736">
        <v>64.044487065361807</v>
      </c>
      <c r="AL736">
        <v>79.095913037893297</v>
      </c>
      <c r="AM736">
        <v>88.739040758165203</v>
      </c>
      <c r="AN736">
        <v>1.0000000710919601</v>
      </c>
    </row>
    <row r="737" spans="1:40" x14ac:dyDescent="0.25">
      <c r="A737" t="str">
        <f>"20190312172909704"</f>
        <v>20190312172909704</v>
      </c>
      <c r="B737" t="str">
        <f>"1552382949697911"</f>
        <v>1552382949697911</v>
      </c>
      <c r="C737" t="s">
        <v>40</v>
      </c>
      <c r="D737">
        <v>3.046916</v>
      </c>
      <c r="E737">
        <v>0.49913400000000002</v>
      </c>
      <c r="F737" t="s">
        <v>41</v>
      </c>
      <c r="G737">
        <v>-258.56130000000002</v>
      </c>
      <c r="H737" s="1">
        <v>-1.337459E-6</v>
      </c>
      <c r="I737">
        <v>366.37740000000002</v>
      </c>
      <c r="J737">
        <v>-326.8972</v>
      </c>
      <c r="K737">
        <v>1.1089719999999901</v>
      </c>
      <c r="L737">
        <v>367.50900000000001</v>
      </c>
      <c r="M737">
        <v>0.99996560000000001</v>
      </c>
      <c r="N737">
        <v>0</v>
      </c>
      <c r="O737">
        <v>3.7815180000000002E-3</v>
      </c>
      <c r="P737">
        <v>0.98318340000000004</v>
      </c>
      <c r="Q737">
        <v>0.18174709999999999</v>
      </c>
      <c r="R737">
        <v>-1.7848909999999999E-2</v>
      </c>
      <c r="S737">
        <v>3.059631</v>
      </c>
      <c r="T737">
        <v>-4.9504760000000002E-2</v>
      </c>
      <c r="U737">
        <v>-5.0476069999999998E-2</v>
      </c>
      <c r="V737">
        <v>2.1573789999999999E-2</v>
      </c>
      <c r="W737">
        <v>0.1890133</v>
      </c>
      <c r="X737">
        <v>0.98173750000000004</v>
      </c>
      <c r="Y737">
        <v>2.0273039999999999E-2</v>
      </c>
      <c r="Z737">
        <v>-2.251655E-4</v>
      </c>
      <c r="AA737">
        <v>0.99979450000000003</v>
      </c>
      <c r="AB737">
        <v>39</v>
      </c>
      <c r="AC737">
        <v>68.335899999999896</v>
      </c>
      <c r="AD737">
        <v>-1.1089733374589901</v>
      </c>
      <c r="AE737">
        <v>-1.1315999999999899</v>
      </c>
      <c r="AF737">
        <v>1.38964651407812</v>
      </c>
      <c r="AG737">
        <v>-1.1089733374589901</v>
      </c>
      <c r="AH737">
        <v>68.313146298847499</v>
      </c>
      <c r="AI737">
        <v>90.929846969648295</v>
      </c>
      <c r="AJ737">
        <v>88.834632794795397</v>
      </c>
      <c r="AK737">
        <v>68.336278041352401</v>
      </c>
      <c r="AL737">
        <v>79.104792740014901</v>
      </c>
      <c r="AM737">
        <v>88.741121530295104</v>
      </c>
      <c r="AN737">
        <v>0.99999998744905205</v>
      </c>
    </row>
    <row r="738" spans="1:40" x14ac:dyDescent="0.25">
      <c r="A738" t="str">
        <f>"20190312172909715"</f>
        <v>20190312172909715</v>
      </c>
      <c r="B738" t="str">
        <f>"1552382949708647"</f>
        <v>1552382949708647</v>
      </c>
      <c r="C738" t="s">
        <v>40</v>
      </c>
      <c r="D738">
        <v>3.0450740000000001</v>
      </c>
      <c r="E738">
        <v>0.49773129999999999</v>
      </c>
      <c r="F738" t="s">
        <v>41</v>
      </c>
      <c r="G738">
        <v>-247.29830000000001</v>
      </c>
      <c r="H738" s="1">
        <v>-1.749172E-6</v>
      </c>
      <c r="I738">
        <v>366.88240000000002</v>
      </c>
      <c r="J738">
        <v>-326.70339999999999</v>
      </c>
      <c r="K738">
        <v>1.1089719999999901</v>
      </c>
      <c r="L738">
        <v>367.50970000000001</v>
      </c>
      <c r="M738">
        <v>0.9999654</v>
      </c>
      <c r="N738">
        <v>0</v>
      </c>
      <c r="O738">
        <v>3.7819139999999999E-3</v>
      </c>
      <c r="P738">
        <v>0.98313110000000004</v>
      </c>
      <c r="Q738">
        <v>0.1820185</v>
      </c>
      <c r="R738">
        <v>-1.796799E-2</v>
      </c>
      <c r="S738">
        <v>3.0587770000000001</v>
      </c>
      <c r="T738">
        <v>-4.2614939999999997E-2</v>
      </c>
      <c r="U738">
        <v>-2.4078370000000002E-2</v>
      </c>
      <c r="V738">
        <v>2.1692920000000001E-2</v>
      </c>
      <c r="W738">
        <v>0.18930549999999999</v>
      </c>
      <c r="X738">
        <v>0.98167859999999996</v>
      </c>
      <c r="Y738">
        <v>1.1651999999999999E-2</v>
      </c>
      <c r="Z738">
        <v>-1.3385059999999999E-4</v>
      </c>
      <c r="AA738">
        <v>0.99993209999999999</v>
      </c>
      <c r="AB738">
        <v>39</v>
      </c>
      <c r="AC738">
        <v>79.405099999999905</v>
      </c>
      <c r="AD738">
        <v>-1.10897374917199</v>
      </c>
      <c r="AE738">
        <v>-0.62729999999999098</v>
      </c>
      <c r="AF738">
        <v>0.92742613296738197</v>
      </c>
      <c r="AG738">
        <v>-1.10897374917199</v>
      </c>
      <c r="AH738">
        <v>79.3866762493154</v>
      </c>
      <c r="AI738">
        <v>90.800273437175093</v>
      </c>
      <c r="AJ738">
        <v>89.330678791933906</v>
      </c>
      <c r="AK738">
        <v>79.399838210931406</v>
      </c>
      <c r="AL738">
        <v>79.087743403317006</v>
      </c>
      <c r="AM738">
        <v>88.734096362254704</v>
      </c>
      <c r="AN738">
        <v>1.00000001440316</v>
      </c>
    </row>
    <row r="739" spans="1:40" x14ac:dyDescent="0.25">
      <c r="A739" t="str">
        <f>"20190312172909727"</f>
        <v>20190312172909727</v>
      </c>
      <c r="B739" t="str">
        <f>"1552382949718407"</f>
        <v>1552382949718407</v>
      </c>
      <c r="C739" t="s">
        <v>40</v>
      </c>
      <c r="D739">
        <v>3.0656949999999998</v>
      </c>
      <c r="E739">
        <v>0.49682579999999998</v>
      </c>
      <c r="F739" t="s">
        <v>41</v>
      </c>
      <c r="G739">
        <v>-235.3158</v>
      </c>
      <c r="H739" s="1">
        <v>-2.4370160000000001E-6</v>
      </c>
      <c r="I739">
        <v>367.10660000000001</v>
      </c>
      <c r="J739">
        <v>-326.50619999999998</v>
      </c>
      <c r="K739">
        <v>1.108975</v>
      </c>
      <c r="L739">
        <v>367.5104</v>
      </c>
      <c r="M739">
        <v>0.9999652</v>
      </c>
      <c r="N739">
        <v>0</v>
      </c>
      <c r="O739">
        <v>3.782367E-3</v>
      </c>
      <c r="P739">
        <v>0.98314610000000002</v>
      </c>
      <c r="Q739">
        <v>0.18193329999999999</v>
      </c>
      <c r="R739">
        <v>-1.7996939999999999E-2</v>
      </c>
      <c r="S739">
        <v>3.0581049999999999</v>
      </c>
      <c r="T739">
        <v>-3.7109610000000001E-2</v>
      </c>
      <c r="U739">
        <v>-1.3488770000000001E-2</v>
      </c>
      <c r="V739">
        <v>2.1722470000000001E-2</v>
      </c>
      <c r="W739">
        <v>0.1892423</v>
      </c>
      <c r="X739">
        <v>0.98169010000000001</v>
      </c>
      <c r="Y739">
        <v>8.1923050000000004E-3</v>
      </c>
      <c r="Z739" s="1">
        <v>-9.5601860000000001E-5</v>
      </c>
      <c r="AA739">
        <v>0.99996640000000003</v>
      </c>
      <c r="AB739">
        <v>39</v>
      </c>
      <c r="AC739">
        <v>91.190399999999897</v>
      </c>
      <c r="AD739">
        <v>-1.1089774370159999</v>
      </c>
      <c r="AE739">
        <v>-0.403799999999989</v>
      </c>
      <c r="AF739">
        <v>0.74861149496318602</v>
      </c>
      <c r="AG739">
        <v>-1.1089774370159999</v>
      </c>
      <c r="AH739">
        <v>91.174736473703803</v>
      </c>
      <c r="AI739">
        <v>90.696842729042999</v>
      </c>
      <c r="AJ739">
        <v>89.529570175063995</v>
      </c>
      <c r="AK739">
        <v>91.1845536325946</v>
      </c>
      <c r="AL739">
        <v>79.091430809729303</v>
      </c>
      <c r="AM739">
        <v>88.732387360940606</v>
      </c>
      <c r="AN739">
        <v>0.99999998312509997</v>
      </c>
    </row>
    <row r="740" spans="1:40" x14ac:dyDescent="0.25">
      <c r="A740" t="str">
        <f>"20190312172909737"</f>
        <v>20190312172909737</v>
      </c>
      <c r="B740" t="str">
        <f>"1552382949728167"</f>
        <v>1552382949728167</v>
      </c>
      <c r="C740" t="s">
        <v>40</v>
      </c>
      <c r="D740">
        <v>3.0665300000000002</v>
      </c>
      <c r="E740">
        <v>0.49614770000000002</v>
      </c>
      <c r="F740" t="s">
        <v>41</v>
      </c>
      <c r="G740">
        <v>-228.0719</v>
      </c>
      <c r="H740" s="1">
        <v>-1.25562E-6</v>
      </c>
      <c r="I740">
        <v>367.3109</v>
      </c>
      <c r="J740">
        <v>-326.31299999999999</v>
      </c>
      <c r="K740">
        <v>1.108975</v>
      </c>
      <c r="L740">
        <v>367.51119999999997</v>
      </c>
      <c r="M740">
        <v>0.99996510000000005</v>
      </c>
      <c r="N740">
        <v>0</v>
      </c>
      <c r="O740">
        <v>3.782583E-3</v>
      </c>
      <c r="P740">
        <v>0.98315469999999905</v>
      </c>
      <c r="Q740">
        <v>0.1819018</v>
      </c>
      <c r="R740">
        <v>-1.7857250000000002E-2</v>
      </c>
      <c r="S740">
        <v>3.0576780000000001</v>
      </c>
      <c r="T740">
        <v>-3.4448270000000003E-2</v>
      </c>
      <c r="U740">
        <v>-6.1950679999999998E-3</v>
      </c>
      <c r="V740">
        <v>2.158322E-2</v>
      </c>
      <c r="W740">
        <v>0.18923200000000001</v>
      </c>
      <c r="X740">
        <v>0.98169519999999999</v>
      </c>
      <c r="Y740">
        <v>5.8081230000000001E-3</v>
      </c>
      <c r="Z740" s="1">
        <v>-7.5331450000000005E-5</v>
      </c>
      <c r="AA740">
        <v>0.99998310000000001</v>
      </c>
      <c r="AB740">
        <v>39</v>
      </c>
      <c r="AC740">
        <v>98.241100000000003</v>
      </c>
      <c r="AD740">
        <v>-1.10897625562</v>
      </c>
      <c r="AE740">
        <v>-0.20029999999997</v>
      </c>
      <c r="AF740">
        <v>0.57184112538132603</v>
      </c>
      <c r="AG740">
        <v>-1.10897625562</v>
      </c>
      <c r="AH740">
        <v>98.227122834840202</v>
      </c>
      <c r="AI740">
        <v>90.646826265578795</v>
      </c>
      <c r="AJ740">
        <v>89.666449429042999</v>
      </c>
      <c r="AK740">
        <v>98.235047162501999</v>
      </c>
      <c r="AL740">
        <v>79.092032283003107</v>
      </c>
      <c r="AM740">
        <v>88.7405171963849</v>
      </c>
      <c r="AN740">
        <v>1.0000000254563</v>
      </c>
    </row>
    <row r="741" spans="1:40" x14ac:dyDescent="0.25">
      <c r="A741" t="str">
        <f>"20190312172909748"</f>
        <v>20190312172909748</v>
      </c>
      <c r="B741" t="str">
        <f>"1552382949737927"</f>
        <v>1552382949737927</v>
      </c>
      <c r="C741" t="s">
        <v>40</v>
      </c>
      <c r="D741">
        <v>3.0557530000000002</v>
      </c>
      <c r="E741">
        <v>0.4958765</v>
      </c>
      <c r="F741" t="s">
        <v>41</v>
      </c>
      <c r="G741">
        <v>-224.70400000000001</v>
      </c>
      <c r="H741" s="1">
        <v>-2.6318719999999998E-6</v>
      </c>
      <c r="I741">
        <v>367.48779999999999</v>
      </c>
      <c r="J741">
        <v>-326.12180000000001</v>
      </c>
      <c r="K741">
        <v>1.108978</v>
      </c>
      <c r="L741">
        <v>367.51190000000003</v>
      </c>
      <c r="M741">
        <v>0.99996499999999999</v>
      </c>
      <c r="N741">
        <v>0</v>
      </c>
      <c r="O741">
        <v>3.7828580000000001E-3</v>
      </c>
      <c r="P741">
        <v>0.9831917</v>
      </c>
      <c r="Q741">
        <v>0.18172089999999999</v>
      </c>
      <c r="R741">
        <v>-1.7668679999999999E-2</v>
      </c>
      <c r="S741">
        <v>3.0575869999999998</v>
      </c>
      <c r="T741">
        <v>-3.337097E-2</v>
      </c>
      <c r="U741">
        <v>-7.0190429999999896E-4</v>
      </c>
      <c r="V741">
        <v>2.1394650000000001E-2</v>
      </c>
      <c r="W741">
        <v>0.18907280000000001</v>
      </c>
      <c r="X741">
        <v>0.98172999999999999</v>
      </c>
      <c r="Y741">
        <v>4.0120599999999996E-3</v>
      </c>
      <c r="Z741" s="1">
        <v>-6.3180019999999895E-5</v>
      </c>
      <c r="AA741">
        <v>0.99999199999999999</v>
      </c>
      <c r="AB741">
        <v>39</v>
      </c>
      <c r="AC741">
        <v>101.4178</v>
      </c>
      <c r="AD741">
        <v>-1.1089806318719999</v>
      </c>
      <c r="AE741">
        <v>-2.4100000000032599E-2</v>
      </c>
      <c r="AF741">
        <v>0.40771089685647599</v>
      </c>
      <c r="AG741">
        <v>-1.1089806318719999</v>
      </c>
      <c r="AH741">
        <v>101.404858239006</v>
      </c>
      <c r="AI741">
        <v>90.626566265424998</v>
      </c>
      <c r="AJ741">
        <v>89.769636404183402</v>
      </c>
      <c r="AK741">
        <v>101.41174163128299</v>
      </c>
      <c r="AL741">
        <v>79.101321443506393</v>
      </c>
      <c r="AM741">
        <v>88.751561889851601</v>
      </c>
      <c r="AN741">
        <v>1.0000000238242299</v>
      </c>
    </row>
    <row r="742" spans="1:40" x14ac:dyDescent="0.25">
      <c r="A742" t="str">
        <f>"20190312172909758"</f>
        <v>20190312172909758</v>
      </c>
      <c r="B742" t="str">
        <f>"1552382949748663"</f>
        <v>1552382949748663</v>
      </c>
      <c r="C742" t="s">
        <v>40</v>
      </c>
      <c r="D742">
        <v>3.070344</v>
      </c>
      <c r="E742">
        <v>0.49571110000000002</v>
      </c>
      <c r="F742" t="s">
        <v>41</v>
      </c>
      <c r="G742">
        <v>-227.00980000000001</v>
      </c>
      <c r="H742" s="1">
        <v>-1.6264720000000001E-6</v>
      </c>
      <c r="I742">
        <v>367.57909999999998</v>
      </c>
      <c r="J742">
        <v>-325.93509999999998</v>
      </c>
      <c r="K742">
        <v>1.1089789999999999</v>
      </c>
      <c r="L742">
        <v>367.51260000000002</v>
      </c>
      <c r="M742">
        <v>0.99996470000000004</v>
      </c>
      <c r="N742">
        <v>0</v>
      </c>
      <c r="O742">
        <v>3.783312E-3</v>
      </c>
      <c r="P742">
        <v>0.98314679999999999</v>
      </c>
      <c r="Q742">
        <v>0.18195169999999999</v>
      </c>
      <c r="R742">
        <v>-1.7775550000000001E-2</v>
      </c>
      <c r="S742">
        <v>3.0576479999999999</v>
      </c>
      <c r="T742">
        <v>-3.4212470000000002E-2</v>
      </c>
      <c r="U742">
        <v>2.0751950000000002E-3</v>
      </c>
      <c r="V742">
        <v>2.1502009999999998E-2</v>
      </c>
      <c r="W742">
        <v>0.1893252</v>
      </c>
      <c r="X742">
        <v>0.98167899999999997</v>
      </c>
      <c r="Y742">
        <v>3.1043020000000002E-3</v>
      </c>
      <c r="Z742" s="1">
        <v>-5.9698509999999998E-5</v>
      </c>
      <c r="AA742">
        <v>0.99999519999999997</v>
      </c>
      <c r="AB742">
        <v>39</v>
      </c>
      <c r="AC742">
        <v>98.925299999999893</v>
      </c>
      <c r="AD742">
        <v>-1.1089806264719999</v>
      </c>
      <c r="AE742">
        <v>6.64999999999622E-2</v>
      </c>
      <c r="AF742">
        <v>0.30773761030024099</v>
      </c>
      <c r="AG742">
        <v>-1.1089806264719999</v>
      </c>
      <c r="AH742">
        <v>98.912413212035304</v>
      </c>
      <c r="AI742">
        <v>90.642355572219103</v>
      </c>
      <c r="AJ742">
        <v>89.821741186928193</v>
      </c>
      <c r="AK742">
        <v>98.919108507381395</v>
      </c>
      <c r="AL742">
        <v>79.086593878135901</v>
      </c>
      <c r="AM742">
        <v>88.745233965867399</v>
      </c>
      <c r="AN742">
        <v>1.00000001341504</v>
      </c>
    </row>
    <row r="743" spans="1:40" x14ac:dyDescent="0.25">
      <c r="A743" t="str">
        <f>"20190312172909770"</f>
        <v>20190312172909770</v>
      </c>
      <c r="B743" t="str">
        <f>"1552382949757955"</f>
        <v>1552382949757955</v>
      </c>
      <c r="C743" t="s">
        <v>40</v>
      </c>
      <c r="D743">
        <v>3.0751300000000001</v>
      </c>
      <c r="E743">
        <v>0.4955331</v>
      </c>
      <c r="F743" t="s">
        <v>41</v>
      </c>
      <c r="G743">
        <v>-223.11879999999999</v>
      </c>
      <c r="H743" s="1">
        <v>-3.2895180000000001E-6</v>
      </c>
      <c r="I743">
        <v>367.61410000000001</v>
      </c>
      <c r="J743">
        <v>-325.74790000000002</v>
      </c>
      <c r="K743">
        <v>1.1089800000000001</v>
      </c>
      <c r="L743">
        <v>367.51319999999998</v>
      </c>
      <c r="M743">
        <v>0.99996459999999998</v>
      </c>
      <c r="N743">
        <v>0</v>
      </c>
      <c r="O743">
        <v>3.7833459999999999E-3</v>
      </c>
      <c r="P743">
        <v>0.98321539999999996</v>
      </c>
      <c r="Q743">
        <v>0.1815889</v>
      </c>
      <c r="R743">
        <v>-1.7696380000000001E-2</v>
      </c>
      <c r="S743">
        <v>3.0575869999999998</v>
      </c>
      <c r="T743">
        <v>-3.2979250000000002E-2</v>
      </c>
      <c r="U743">
        <v>3.0212400000000001E-3</v>
      </c>
      <c r="V743">
        <v>2.1423210000000002E-2</v>
      </c>
      <c r="W743">
        <v>0.18898519999999999</v>
      </c>
      <c r="X743">
        <v>0.98174620000000001</v>
      </c>
      <c r="Y743">
        <v>2.794964E-3</v>
      </c>
      <c r="Z743" s="1">
        <v>-5.5880030000000002E-5</v>
      </c>
      <c r="AA743">
        <v>0.99999610000000005</v>
      </c>
      <c r="AB743">
        <v>39</v>
      </c>
      <c r="AC743">
        <v>102.62909999999999</v>
      </c>
      <c r="AD743">
        <v>-1.1089832895179901</v>
      </c>
      <c r="AE743">
        <v>0.100900000000024</v>
      </c>
      <c r="AF743">
        <v>0.287359530432376</v>
      </c>
      <c r="AG743">
        <v>-1.1089832895179901</v>
      </c>
      <c r="AH743">
        <v>102.616765272466</v>
      </c>
      <c r="AI743">
        <v>90.619171139170604</v>
      </c>
      <c r="AJ743">
        <v>89.839554041523598</v>
      </c>
      <c r="AK743">
        <v>102.62315983451499</v>
      </c>
      <c r="AL743">
        <v>79.106432224020594</v>
      </c>
      <c r="AM743">
        <v>88.749916483564505</v>
      </c>
      <c r="AN743">
        <v>0.99999998048009098</v>
      </c>
    </row>
    <row r="744" spans="1:40" x14ac:dyDescent="0.25">
      <c r="A744" t="str">
        <f>"20190312172909781"</f>
        <v>20190312172909781</v>
      </c>
      <c r="B744" t="str">
        <f>"1552382949778451"</f>
        <v>1552382949778451</v>
      </c>
      <c r="C744" t="s">
        <v>40</v>
      </c>
      <c r="D744">
        <v>3.0489060000000001</v>
      </c>
      <c r="E744">
        <v>0.49527690000000002</v>
      </c>
      <c r="F744" t="s">
        <v>41</v>
      </c>
      <c r="G744">
        <v>-225.56800000000001</v>
      </c>
      <c r="H744" s="1">
        <v>-2.2299259999999999E-6</v>
      </c>
      <c r="I744">
        <v>367.66419999999999</v>
      </c>
      <c r="J744">
        <v>-325.55110000000002</v>
      </c>
      <c r="K744">
        <v>1.1089819999999999</v>
      </c>
      <c r="L744">
        <v>367.51400000000001</v>
      </c>
      <c r="M744">
        <v>0.99996450000000003</v>
      </c>
      <c r="N744">
        <v>0</v>
      </c>
      <c r="O744">
        <v>3.7836139999999998E-3</v>
      </c>
      <c r="P744">
        <v>0.98320700000000005</v>
      </c>
      <c r="Q744">
        <v>0.181648</v>
      </c>
      <c r="R744">
        <v>-1.7557389999999999E-2</v>
      </c>
      <c r="S744">
        <v>3.0575559999999999</v>
      </c>
      <c r="T744">
        <v>-3.3846859999999999E-2</v>
      </c>
      <c r="U744">
        <v>4.6081539999999997E-3</v>
      </c>
      <c r="V744">
        <v>2.128445E-2</v>
      </c>
      <c r="W744">
        <v>0.18906719999999999</v>
      </c>
      <c r="X744">
        <v>0.98173339999999998</v>
      </c>
      <c r="Y744">
        <v>2.2762210000000001E-3</v>
      </c>
      <c r="Z744" s="1">
        <v>-5.4482399999999999E-5</v>
      </c>
      <c r="AA744">
        <v>0.99999740000000004</v>
      </c>
      <c r="AB744">
        <v>39</v>
      </c>
      <c r="AC744">
        <v>99.983099999999993</v>
      </c>
      <c r="AD744">
        <v>-1.108984229926</v>
      </c>
      <c r="AE744">
        <v>0.15019999999998301</v>
      </c>
      <c r="AF744">
        <v>0.228081194178929</v>
      </c>
      <c r="AG744">
        <v>-1.108984229926</v>
      </c>
      <c r="AH744">
        <v>99.970653625995297</v>
      </c>
      <c r="AI744">
        <v>90.635559957986601</v>
      </c>
      <c r="AJ744">
        <v>89.869280967313699</v>
      </c>
      <c r="AK744">
        <v>99.977064637156005</v>
      </c>
      <c r="AL744">
        <v>79.101647393199698</v>
      </c>
      <c r="AM744">
        <v>88.757994650940105</v>
      </c>
      <c r="AN744">
        <v>0.99999995130160002</v>
      </c>
    </row>
    <row r="745" spans="1:40" x14ac:dyDescent="0.25">
      <c r="A745" t="str">
        <f>"20190312172909794"</f>
        <v>20190312172909794</v>
      </c>
      <c r="B745" t="str">
        <f>"1552382949788214"</f>
        <v>1552382949788214</v>
      </c>
      <c r="C745" t="s">
        <v>40</v>
      </c>
      <c r="D745">
        <v>3.0454490000000001</v>
      </c>
      <c r="E745">
        <v>0.49513489999999999</v>
      </c>
      <c r="F745" t="s">
        <v>41</v>
      </c>
      <c r="G745">
        <v>-222.29429999999999</v>
      </c>
      <c r="H745" s="1">
        <v>-3.6178330000000002E-6</v>
      </c>
      <c r="I745">
        <v>367.75720000000001</v>
      </c>
      <c r="J745">
        <v>-325.3372</v>
      </c>
      <c r="K745">
        <v>1.108984</v>
      </c>
      <c r="L745">
        <v>367.51479999999998</v>
      </c>
      <c r="M745">
        <v>0.99996419999999997</v>
      </c>
      <c r="N745">
        <v>0</v>
      </c>
      <c r="O745">
        <v>3.7839929999999998E-3</v>
      </c>
      <c r="P745">
        <v>0.98324429999999996</v>
      </c>
      <c r="Q745">
        <v>0.181447</v>
      </c>
      <c r="R745">
        <v>-1.7542309999999998E-2</v>
      </c>
      <c r="S745">
        <v>3.0574340000000002</v>
      </c>
      <c r="T745">
        <v>-3.2837030000000003E-2</v>
      </c>
      <c r="U745">
        <v>7.2021480000000002E-3</v>
      </c>
      <c r="V745">
        <v>2.1269900000000001E-2</v>
      </c>
      <c r="W745">
        <v>0.18889159999999999</v>
      </c>
      <c r="X745">
        <v>0.98176759999999996</v>
      </c>
      <c r="Y745">
        <v>1.4281960000000001E-3</v>
      </c>
      <c r="Z745" s="1">
        <v>-4.830937E-5</v>
      </c>
      <c r="AA745">
        <v>0.99999899999999997</v>
      </c>
      <c r="AB745">
        <v>39</v>
      </c>
      <c r="AC745">
        <v>103.0429</v>
      </c>
      <c r="AD745">
        <v>-1.108987617833</v>
      </c>
      <c r="AE745">
        <v>0.24240000000003101</v>
      </c>
      <c r="AF745">
        <v>0.14750942967519501</v>
      </c>
      <c r="AG745">
        <v>-1.108987617833</v>
      </c>
      <c r="AH745">
        <v>103.031145579163</v>
      </c>
      <c r="AI745">
        <v>90.616685283894995</v>
      </c>
      <c r="AJ745">
        <v>89.9179698339114</v>
      </c>
      <c r="AK745">
        <v>103.03721935263501</v>
      </c>
      <c r="AL745">
        <v>79.111894048607795</v>
      </c>
      <c r="AM745">
        <v>88.758886639529095</v>
      </c>
      <c r="AN745">
        <v>1.00000003280316</v>
      </c>
    </row>
    <row r="746" spans="1:40" x14ac:dyDescent="0.25">
      <c r="A746" t="str">
        <f>"20190312172909807"</f>
        <v>20190312172909807</v>
      </c>
      <c r="B746" t="str">
        <f>"1552382949797972"</f>
        <v>1552382949797972</v>
      </c>
      <c r="C746" t="s">
        <v>40</v>
      </c>
      <c r="D746">
        <v>3.0593469999999998</v>
      </c>
      <c r="E746">
        <v>0.4950793</v>
      </c>
      <c r="F746" t="s">
        <v>41</v>
      </c>
      <c r="G746">
        <v>-221.87780000000001</v>
      </c>
      <c r="H746" s="1">
        <v>-3.7896800000000002E-6</v>
      </c>
      <c r="I746">
        <v>367.79570000000001</v>
      </c>
      <c r="J746">
        <v>-325.10879999999997</v>
      </c>
      <c r="K746">
        <v>1.1089899999999999</v>
      </c>
      <c r="L746">
        <v>367.51569999999998</v>
      </c>
      <c r="M746">
        <v>0.99996410000000002</v>
      </c>
      <c r="N746">
        <v>0</v>
      </c>
      <c r="O746">
        <v>3.7844269999999999E-3</v>
      </c>
      <c r="P746">
        <v>0.98323459999999996</v>
      </c>
      <c r="Q746">
        <v>0.18150330000000001</v>
      </c>
      <c r="R746">
        <v>-1.7509770000000001E-2</v>
      </c>
      <c r="S746">
        <v>3.0573429999999999</v>
      </c>
      <c r="T746">
        <v>-3.2771830000000002E-2</v>
      </c>
      <c r="U746">
        <v>8.3007810000000001E-3</v>
      </c>
      <c r="V746">
        <v>2.1237760000000001E-2</v>
      </c>
      <c r="W746">
        <v>0.188974</v>
      </c>
      <c r="X746">
        <v>0.98175239999999997</v>
      </c>
      <c r="Y746">
        <v>1.0692410000000001E-3</v>
      </c>
      <c r="Z746" s="1">
        <v>-4.6295750000000001E-5</v>
      </c>
      <c r="AA746">
        <v>0.99999939999999998</v>
      </c>
      <c r="AB746">
        <v>39</v>
      </c>
      <c r="AC746">
        <v>103.230999999999</v>
      </c>
      <c r="AD746">
        <v>-1.10899378968</v>
      </c>
      <c r="AE746">
        <v>0.280000000000029</v>
      </c>
      <c r="AF746">
        <v>0.110670644304389</v>
      </c>
      <c r="AG746">
        <v>-1.10899378968</v>
      </c>
      <c r="AH746">
        <v>103.219408079586</v>
      </c>
      <c r="AI746">
        <v>90.615564297066499</v>
      </c>
      <c r="AJ746">
        <v>89.938568157648007</v>
      </c>
      <c r="AK746">
        <v>103.22542477276301</v>
      </c>
      <c r="AL746">
        <v>79.107085872226094</v>
      </c>
      <c r="AM746">
        <v>88.760742264918306</v>
      </c>
      <c r="AN746">
        <v>0.99999999501578796</v>
      </c>
    </row>
    <row r="747" spans="1:40" x14ac:dyDescent="0.25">
      <c r="A747" t="str">
        <f>"20190312172909820"</f>
        <v>20190312172909820</v>
      </c>
      <c r="B747" t="str">
        <f>"1552382949808707"</f>
        <v>1552382949808707</v>
      </c>
      <c r="C747" t="s">
        <v>40</v>
      </c>
      <c r="D747">
        <v>3.061877</v>
      </c>
      <c r="E747">
        <v>0.49501899999999999</v>
      </c>
      <c r="F747" t="s">
        <v>41</v>
      </c>
      <c r="G747">
        <v>-220.2482</v>
      </c>
      <c r="H747" s="1">
        <v>-4.4829419999999998E-6</v>
      </c>
      <c r="I747">
        <v>367.82859999999999</v>
      </c>
      <c r="J747">
        <v>-324.863</v>
      </c>
      <c r="K747">
        <v>1.1089929999999999</v>
      </c>
      <c r="L747">
        <v>367.51659999999998</v>
      </c>
      <c r="M747">
        <v>0.99996379999999996</v>
      </c>
      <c r="N747">
        <v>0</v>
      </c>
      <c r="O747">
        <v>3.7849749999999999E-3</v>
      </c>
      <c r="P747">
        <v>0.98324630000000002</v>
      </c>
      <c r="Q747">
        <v>0.18143419999999999</v>
      </c>
      <c r="R747">
        <v>-1.7573180000000001E-2</v>
      </c>
      <c r="S747">
        <v>3.0572509999999999</v>
      </c>
      <c r="T747">
        <v>-3.2333140000000003E-2</v>
      </c>
      <c r="U747">
        <v>9.1247559999999995E-3</v>
      </c>
      <c r="V747">
        <v>2.1301589999999999E-2</v>
      </c>
      <c r="W747">
        <v>0.1889323</v>
      </c>
      <c r="X747">
        <v>0.9817591</v>
      </c>
      <c r="Y747">
        <v>8.0021839999999905E-4</v>
      </c>
      <c r="Z747" s="1">
        <v>-4.4260669999999999E-5</v>
      </c>
      <c r="AA747">
        <v>0.99999970000000005</v>
      </c>
      <c r="AB747">
        <v>39</v>
      </c>
      <c r="AC747">
        <v>104.6148</v>
      </c>
      <c r="AD747">
        <v>-1.108997482942</v>
      </c>
      <c r="AE747">
        <v>0.31200000000001099</v>
      </c>
      <c r="AF747">
        <v>8.3968699471243496E-2</v>
      </c>
      <c r="AG747">
        <v>-1.108997482942</v>
      </c>
      <c r="AH747">
        <v>104.603476691857</v>
      </c>
      <c r="AI747">
        <v>90.607422203203399</v>
      </c>
      <c r="AJ747">
        <v>89.954006776737501</v>
      </c>
      <c r="AK747">
        <v>104.609388977202</v>
      </c>
      <c r="AL747">
        <v>79.109519553175502</v>
      </c>
      <c r="AM747">
        <v>88.757027327708698</v>
      </c>
      <c r="AN747">
        <v>1.0000000510763101</v>
      </c>
    </row>
    <row r="748" spans="1:40" x14ac:dyDescent="0.25">
      <c r="A748" t="str">
        <f>"20190312172909834"</f>
        <v>20190312172909834</v>
      </c>
      <c r="B748" t="str">
        <f>"1552382949828227"</f>
        <v>1552382949828227</v>
      </c>
      <c r="C748" t="s">
        <v>40</v>
      </c>
      <c r="D748">
        <v>3.0408230000000001</v>
      </c>
      <c r="E748">
        <v>0.49493720000000002</v>
      </c>
      <c r="F748" t="s">
        <v>41</v>
      </c>
      <c r="G748">
        <v>-220.8032</v>
      </c>
      <c r="H748" s="1">
        <v>-4.2419699999999998E-6</v>
      </c>
      <c r="I748">
        <v>367.84480000000002</v>
      </c>
      <c r="J748">
        <v>-324.63670000000002</v>
      </c>
      <c r="K748">
        <v>1.108994</v>
      </c>
      <c r="L748">
        <v>367.51749999999998</v>
      </c>
      <c r="M748">
        <v>0.99996359999999995</v>
      </c>
      <c r="N748">
        <v>0</v>
      </c>
      <c r="O748">
        <v>3.7854160000000002E-3</v>
      </c>
      <c r="P748">
        <v>0.98324429999999996</v>
      </c>
      <c r="Q748">
        <v>0.18143860000000001</v>
      </c>
      <c r="R748">
        <v>-1.7638979999999999E-2</v>
      </c>
      <c r="S748">
        <v>3.0573429999999999</v>
      </c>
      <c r="T748">
        <v>-3.2583000000000001E-2</v>
      </c>
      <c r="U748">
        <v>9.6435549999999998E-3</v>
      </c>
      <c r="V748">
        <v>2.136776E-2</v>
      </c>
      <c r="W748">
        <v>0.18896089999999999</v>
      </c>
      <c r="X748">
        <v>0.98175210000000002</v>
      </c>
      <c r="Y748">
        <v>6.3106769999999896E-4</v>
      </c>
      <c r="Z748" s="1">
        <v>-4.3704729999999997E-5</v>
      </c>
      <c r="AA748">
        <v>0.99999979999999999</v>
      </c>
      <c r="AB748">
        <v>39</v>
      </c>
      <c r="AC748">
        <v>103.8335</v>
      </c>
      <c r="AD748">
        <v>-1.10899824197</v>
      </c>
      <c r="AE748">
        <v>0.32730000000003601</v>
      </c>
      <c r="AF748">
        <v>6.5759327298335904E-2</v>
      </c>
      <c r="AG748">
        <v>-1.10899824197</v>
      </c>
      <c r="AH748">
        <v>103.82215173012101</v>
      </c>
      <c r="AI748">
        <v>90.611993572316095</v>
      </c>
      <c r="AJ748">
        <v>89.963709754120998</v>
      </c>
      <c r="AK748">
        <v>103.82809538492999</v>
      </c>
      <c r="AL748">
        <v>79.107850210827294</v>
      </c>
      <c r="AM748">
        <v>88.753158560588602</v>
      </c>
      <c r="AN748">
        <v>0.99999999437531795</v>
      </c>
    </row>
    <row r="749" spans="1:40" x14ac:dyDescent="0.25">
      <c r="A749" t="str">
        <f>"20190312172909849"</f>
        <v>20190312172909849</v>
      </c>
      <c r="B749" t="str">
        <f>"1552382949837987"</f>
        <v>1552382949837987</v>
      </c>
      <c r="C749" t="s">
        <v>40</v>
      </c>
      <c r="D749">
        <v>3.0611920000000001</v>
      </c>
      <c r="E749">
        <v>0.49493579999999998</v>
      </c>
      <c r="F749" t="s">
        <v>41</v>
      </c>
      <c r="G749">
        <v>-221.45509999999999</v>
      </c>
      <c r="H749" s="1">
        <v>-3.9608269999999999E-6</v>
      </c>
      <c r="I749">
        <v>367.85309999999998</v>
      </c>
      <c r="J749">
        <v>-324.35910000000001</v>
      </c>
      <c r="K749">
        <v>1.109</v>
      </c>
      <c r="L749">
        <v>367.51859999999999</v>
      </c>
      <c r="M749">
        <v>0.99996339999999995</v>
      </c>
      <c r="N749">
        <v>0</v>
      </c>
      <c r="O749">
        <v>3.785779E-3</v>
      </c>
      <c r="P749">
        <v>0.98327430000000005</v>
      </c>
      <c r="Q749">
        <v>0.18127879999999999</v>
      </c>
      <c r="R749">
        <v>-1.7605679999999999E-2</v>
      </c>
      <c r="S749">
        <v>3.057404</v>
      </c>
      <c r="T749">
        <v>-3.286099E-2</v>
      </c>
      <c r="U749">
        <v>9.9487299999999994E-3</v>
      </c>
      <c r="V749">
        <v>2.1335130000000001E-2</v>
      </c>
      <c r="W749">
        <v>0.1888302</v>
      </c>
      <c r="X749">
        <v>0.98177800000000004</v>
      </c>
      <c r="Y749">
        <v>5.3168140000000002E-4</v>
      </c>
      <c r="Z749" s="1">
        <v>-4.3546530000000003E-5</v>
      </c>
      <c r="AA749">
        <v>0.99999990000000005</v>
      </c>
      <c r="AB749">
        <v>39</v>
      </c>
      <c r="AC749">
        <v>102.904</v>
      </c>
      <c r="AD749">
        <v>-1.1090039608269999</v>
      </c>
      <c r="AE749">
        <v>0.33449999999999103</v>
      </c>
      <c r="AF749">
        <v>5.5079269159847198E-2</v>
      </c>
      <c r="AG749">
        <v>-1.1090039608269999</v>
      </c>
      <c r="AH749">
        <v>102.892578553658</v>
      </c>
      <c r="AI749">
        <v>90.617525363133396</v>
      </c>
      <c r="AJ749">
        <v>89.969329086660593</v>
      </c>
      <c r="AK749">
        <v>102.898569693323</v>
      </c>
      <c r="AL749">
        <v>79.115476522731498</v>
      </c>
      <c r="AM749">
        <v>88.755094803270694</v>
      </c>
      <c r="AN749">
        <v>1.00000003674407</v>
      </c>
    </row>
    <row r="750" spans="1:40" x14ac:dyDescent="0.25">
      <c r="A750" t="str">
        <f>"20190312172909860"</f>
        <v>20190312172909860</v>
      </c>
      <c r="B750" t="str">
        <f>"1552382949858483"</f>
        <v>1552382949858483</v>
      </c>
      <c r="C750" t="s">
        <v>40</v>
      </c>
      <c r="D750">
        <v>3.043145</v>
      </c>
      <c r="E750">
        <v>0.49494919999999998</v>
      </c>
      <c r="F750" t="s">
        <v>41</v>
      </c>
      <c r="G750">
        <v>-221.65700000000001</v>
      </c>
      <c r="H750" s="1">
        <v>-3.8746530000000001E-6</v>
      </c>
      <c r="I750">
        <v>367.85070000000002</v>
      </c>
      <c r="J750">
        <v>-324.16050000000001</v>
      </c>
      <c r="K750">
        <v>1.109</v>
      </c>
      <c r="L750">
        <v>367.51929999999999</v>
      </c>
      <c r="M750">
        <v>0.99996320000000005</v>
      </c>
      <c r="N750">
        <v>0</v>
      </c>
      <c r="O750">
        <v>3.7860580000000001E-3</v>
      </c>
      <c r="P750">
        <v>0.98325459999999998</v>
      </c>
      <c r="Q750">
        <v>0.18136859999999999</v>
      </c>
      <c r="R750">
        <v>-1.778136E-2</v>
      </c>
      <c r="S750">
        <v>3.05722</v>
      </c>
      <c r="T750">
        <v>-3.3012630000000001E-2</v>
      </c>
      <c r="U750">
        <v>9.8876950000000002E-3</v>
      </c>
      <c r="V750">
        <v>2.1510930000000001E-2</v>
      </c>
      <c r="W750">
        <v>0.1889393</v>
      </c>
      <c r="X750">
        <v>0.98175310000000005</v>
      </c>
      <c r="Y750">
        <v>5.5172659999999998E-4</v>
      </c>
      <c r="Z750" s="1">
        <v>-4.3861320000000001E-5</v>
      </c>
      <c r="AA750">
        <v>0.99999979999999999</v>
      </c>
      <c r="AB750">
        <v>39</v>
      </c>
      <c r="AC750">
        <v>102.5035</v>
      </c>
      <c r="AD750">
        <v>-1.109003874653</v>
      </c>
      <c r="AE750">
        <v>0.33140000000003</v>
      </c>
      <c r="AF750">
        <v>5.6691435908920403E-2</v>
      </c>
      <c r="AG750">
        <v>-1.109003874653</v>
      </c>
      <c r="AH750">
        <v>102.492022991665</v>
      </c>
      <c r="AI750">
        <v>90.619938510920505</v>
      </c>
      <c r="AJ750">
        <v>89.968307975722894</v>
      </c>
      <c r="AK750">
        <v>102.498038422386</v>
      </c>
      <c r="AL750">
        <v>79.109110169876004</v>
      </c>
      <c r="AM750">
        <v>88.744808314272305</v>
      </c>
      <c r="AN750">
        <v>0.99999996427678095</v>
      </c>
    </row>
    <row r="751" spans="1:40" x14ac:dyDescent="0.25">
      <c r="A751" t="str">
        <f>"20190312172909871"</f>
        <v>20190312172909871</v>
      </c>
      <c r="B751" t="str">
        <f>"1552382949868243"</f>
        <v>1552382949868243</v>
      </c>
      <c r="C751" t="s">
        <v>40</v>
      </c>
      <c r="D751">
        <v>3.0789179999999998</v>
      </c>
      <c r="E751">
        <v>0.4949113</v>
      </c>
      <c r="F751" t="s">
        <v>41</v>
      </c>
      <c r="G751">
        <v>-221.22749999999999</v>
      </c>
      <c r="H751" s="1">
        <v>-4.0619120000000004E-6</v>
      </c>
      <c r="I751">
        <v>367.83359999999999</v>
      </c>
      <c r="J751">
        <v>-323.98289999999997</v>
      </c>
      <c r="K751">
        <v>1.1089990000000001</v>
      </c>
      <c r="L751">
        <v>367.52</v>
      </c>
      <c r="M751">
        <v>0.99996300000000005</v>
      </c>
      <c r="N751">
        <v>0</v>
      </c>
      <c r="O751">
        <v>3.7862880000000001E-3</v>
      </c>
      <c r="P751">
        <v>0.98330859999999998</v>
      </c>
      <c r="Q751">
        <v>0.18109210000000001</v>
      </c>
      <c r="R751">
        <v>-1.7604720000000001E-2</v>
      </c>
      <c r="S751">
        <v>3.0573429999999999</v>
      </c>
      <c r="T751">
        <v>-3.2939910000000003E-2</v>
      </c>
      <c r="U751">
        <v>9.3383790000000008E-3</v>
      </c>
      <c r="V751">
        <v>2.1334970000000002E-2</v>
      </c>
      <c r="W751">
        <v>0.18868080000000001</v>
      </c>
      <c r="X751">
        <v>0.98180670000000003</v>
      </c>
      <c r="Y751">
        <v>7.3174729999999895E-4</v>
      </c>
      <c r="Z751" s="1">
        <v>-4.473522E-5</v>
      </c>
      <c r="AA751">
        <v>0.99999970000000005</v>
      </c>
      <c r="AB751">
        <v>39</v>
      </c>
      <c r="AC751">
        <v>102.755399999999</v>
      </c>
      <c r="AD751">
        <v>-1.1090030619119999</v>
      </c>
      <c r="AE751">
        <v>0.31360000000000798</v>
      </c>
      <c r="AF751">
        <v>7.5466602354373802E-2</v>
      </c>
      <c r="AG751">
        <v>-1.1090030619119999</v>
      </c>
      <c r="AH751">
        <v>102.743883190364</v>
      </c>
      <c r="AI751">
        <v>90.618418423582696</v>
      </c>
      <c r="AJ751">
        <v>89.957915577090901</v>
      </c>
      <c r="AK751">
        <v>102.74989594172099</v>
      </c>
      <c r="AL751">
        <v>79.124192915190903</v>
      </c>
      <c r="AM751">
        <v>88.7551405154599</v>
      </c>
      <c r="AN751">
        <v>1.00000001069921</v>
      </c>
    </row>
    <row r="752" spans="1:40" x14ac:dyDescent="0.25">
      <c r="A752" t="str">
        <f>"20190312172909881"</f>
        <v>20190312172909881</v>
      </c>
      <c r="B752" t="str">
        <f>"1552382949878003"</f>
        <v>1552382949878003</v>
      </c>
      <c r="C752" t="s">
        <v>40</v>
      </c>
      <c r="D752">
        <v>3.046135</v>
      </c>
      <c r="E752">
        <v>0.49493160000000003</v>
      </c>
      <c r="F752" t="s">
        <v>41</v>
      </c>
      <c r="G752">
        <v>-223.1232</v>
      </c>
      <c r="H752" s="1">
        <v>-3.246271E-6</v>
      </c>
      <c r="I752">
        <v>367.84710000000001</v>
      </c>
      <c r="J752">
        <v>-323.77820000000003</v>
      </c>
      <c r="K752">
        <v>1.109</v>
      </c>
      <c r="L752">
        <v>367.52080000000001</v>
      </c>
      <c r="M752">
        <v>0.99996300000000005</v>
      </c>
      <c r="N752">
        <v>0</v>
      </c>
      <c r="O752">
        <v>3.786569E-3</v>
      </c>
      <c r="P752">
        <v>0.98332240000000004</v>
      </c>
      <c r="Q752">
        <v>0.18100649999999999</v>
      </c>
      <c r="R752">
        <v>-1.7723539999999999E-2</v>
      </c>
      <c r="S752">
        <v>3.0572810000000001</v>
      </c>
      <c r="T752">
        <v>-3.3616300000000002E-2</v>
      </c>
      <c r="U752">
        <v>9.9182130000000004E-3</v>
      </c>
      <c r="V752">
        <v>2.1453920000000001E-2</v>
      </c>
      <c r="W752">
        <v>0.18861439999999999</v>
      </c>
      <c r="X752">
        <v>0.98181689999999999</v>
      </c>
      <c r="Y752">
        <v>5.4231310000000003E-4</v>
      </c>
      <c r="Z752" s="1">
        <v>-4.4616320000000003E-5</v>
      </c>
      <c r="AA752">
        <v>0.99999990000000005</v>
      </c>
      <c r="AB752">
        <v>39</v>
      </c>
      <c r="AC752">
        <v>100.655</v>
      </c>
      <c r="AD752">
        <v>-1.109003246271</v>
      </c>
      <c r="AE752">
        <v>0.32630000000000298</v>
      </c>
      <c r="AF752">
        <v>5.4844154387402401E-2</v>
      </c>
      <c r="AG752">
        <v>-1.109003246271</v>
      </c>
      <c r="AH752">
        <v>100.64329664827</v>
      </c>
      <c r="AI752">
        <v>90.631324952476405</v>
      </c>
      <c r="AJ752">
        <v>89.968777470820498</v>
      </c>
      <c r="AK752">
        <v>100.649421539884</v>
      </c>
      <c r="AL752">
        <v>79.128067277913701</v>
      </c>
      <c r="AM752">
        <v>88.748215186731798</v>
      </c>
      <c r="AN752">
        <v>1.00000004384816</v>
      </c>
    </row>
    <row r="753" spans="1:40" x14ac:dyDescent="0.25">
      <c r="A753" t="str">
        <f>"20190312172909893"</f>
        <v>20190312172909893</v>
      </c>
      <c r="B753" t="str">
        <f>"1552382949887763"</f>
        <v>1552382949887763</v>
      </c>
      <c r="C753" t="s">
        <v>40</v>
      </c>
      <c r="D753">
        <v>3.0610490000000001</v>
      </c>
      <c r="E753">
        <v>0.49490010000000001</v>
      </c>
      <c r="F753" t="s">
        <v>41</v>
      </c>
      <c r="G753">
        <v>-223.60120000000001</v>
      </c>
      <c r="H753" s="1">
        <v>-3.043616E-6</v>
      </c>
      <c r="I753">
        <v>367.83370000000002</v>
      </c>
      <c r="J753">
        <v>-323.57659999999998</v>
      </c>
      <c r="K753">
        <v>1.109</v>
      </c>
      <c r="L753">
        <v>367.5215</v>
      </c>
      <c r="M753">
        <v>0.99996289999999999</v>
      </c>
      <c r="N753">
        <v>0</v>
      </c>
      <c r="O753">
        <v>3.7870339999999999E-3</v>
      </c>
      <c r="P753">
        <v>0.98329</v>
      </c>
      <c r="Q753">
        <v>0.1811748</v>
      </c>
      <c r="R753">
        <v>-1.7805290000000001E-2</v>
      </c>
      <c r="S753">
        <v>3.0572810000000001</v>
      </c>
      <c r="T753">
        <v>-3.3845420000000001E-2</v>
      </c>
      <c r="U753">
        <v>9.5520020000000004E-3</v>
      </c>
      <c r="V753">
        <v>2.1536039999999999E-2</v>
      </c>
      <c r="W753">
        <v>0.18879979999999999</v>
      </c>
      <c r="X753">
        <v>0.98177939999999997</v>
      </c>
      <c r="Y753">
        <v>6.6254949999999997E-4</v>
      </c>
      <c r="Z753" s="1">
        <v>-4.5591070000000003E-5</v>
      </c>
      <c r="AA753">
        <v>0.99999979999999999</v>
      </c>
      <c r="AB753">
        <v>39</v>
      </c>
      <c r="AC753">
        <v>99.975399999999894</v>
      </c>
      <c r="AD753">
        <v>-1.1090030436160001</v>
      </c>
      <c r="AE753">
        <v>0.31220000000001802</v>
      </c>
      <c r="AF753">
        <v>6.6415637259714499E-2</v>
      </c>
      <c r="AG753">
        <v>-1.1090030436160001</v>
      </c>
      <c r="AH753">
        <v>99.963565069445295</v>
      </c>
      <c r="AI753">
        <v>90.635617318586299</v>
      </c>
      <c r="AJ753">
        <v>89.961932778746998</v>
      </c>
      <c r="AK753">
        <v>99.969738622149293</v>
      </c>
      <c r="AL753">
        <v>79.1172495699997</v>
      </c>
      <c r="AM753">
        <v>88.743377234219594</v>
      </c>
      <c r="AN753">
        <v>0.99999997788163997</v>
      </c>
    </row>
    <row r="754" spans="1:40" x14ac:dyDescent="0.25">
      <c r="A754" t="str">
        <f>"20190312172909905"</f>
        <v>20190312172909905</v>
      </c>
      <c r="B754" t="str">
        <f>"1552382949898499"</f>
        <v>1552382949898499</v>
      </c>
      <c r="C754" t="s">
        <v>40</v>
      </c>
      <c r="D754">
        <v>3.0800540000000001</v>
      </c>
      <c r="E754">
        <v>0.4949209</v>
      </c>
      <c r="F754" t="s">
        <v>41</v>
      </c>
      <c r="G754">
        <v>-221.6285</v>
      </c>
      <c r="H754" s="1">
        <v>-3.8878859999999997E-6</v>
      </c>
      <c r="I754">
        <v>367.8451</v>
      </c>
      <c r="J754">
        <v>-323.37520000000001</v>
      </c>
      <c r="K754">
        <v>1.1089990000000001</v>
      </c>
      <c r="L754">
        <v>367.52229999999997</v>
      </c>
      <c r="M754">
        <v>0.99996269999999998</v>
      </c>
      <c r="N754">
        <v>0</v>
      </c>
      <c r="O754">
        <v>3.787262E-3</v>
      </c>
      <c r="P754">
        <v>0.98330209999999996</v>
      </c>
      <c r="Q754">
        <v>0.18111930000000001</v>
      </c>
      <c r="R754">
        <v>-1.769973E-2</v>
      </c>
      <c r="S754">
        <v>3.0572509999999999</v>
      </c>
      <c r="T754">
        <v>-3.3257130000000003E-2</v>
      </c>
      <c r="U754">
        <v>9.7045900000000008E-3</v>
      </c>
      <c r="V754">
        <v>2.1430709999999999E-2</v>
      </c>
      <c r="W754">
        <v>0.18876229999999999</v>
      </c>
      <c r="X754">
        <v>0.98178889999999996</v>
      </c>
      <c r="Y754">
        <v>6.1284960000000004E-4</v>
      </c>
      <c r="Z754" s="1">
        <v>-4.4531279999999997E-5</v>
      </c>
      <c r="AA754">
        <v>0.99999979999999999</v>
      </c>
      <c r="AB754">
        <v>39</v>
      </c>
      <c r="AC754">
        <v>101.7467</v>
      </c>
      <c r="AD754">
        <v>-1.1090028878859901</v>
      </c>
      <c r="AE754">
        <v>0.32280000000002901</v>
      </c>
      <c r="AF754">
        <v>6.2547904890178294E-2</v>
      </c>
      <c r="AG754">
        <v>-1.1090028878859901</v>
      </c>
      <c r="AH754">
        <v>101.735106585412</v>
      </c>
      <c r="AI754">
        <v>90.624549955229995</v>
      </c>
      <c r="AJ754">
        <v>89.964773905131295</v>
      </c>
      <c r="AK754">
        <v>101.741170189805</v>
      </c>
      <c r="AL754">
        <v>79.119437335328001</v>
      </c>
      <c r="AM754">
        <v>88.749533354219807</v>
      </c>
      <c r="AN754">
        <v>0.999999962697801</v>
      </c>
    </row>
    <row r="755" spans="1:40" x14ac:dyDescent="0.25">
      <c r="A755" t="str">
        <f>"20190312172909916"</f>
        <v>20190312172909916</v>
      </c>
      <c r="B755" t="str">
        <f>"1552382949908259"</f>
        <v>1552382949908259</v>
      </c>
      <c r="C755" t="s">
        <v>40</v>
      </c>
      <c r="D755">
        <v>3.0642719999999999</v>
      </c>
      <c r="E755">
        <v>0.4949151</v>
      </c>
      <c r="F755" t="s">
        <v>41</v>
      </c>
      <c r="G755">
        <v>-221.9024</v>
      </c>
      <c r="H755" s="1">
        <v>-3.7694229999999999E-6</v>
      </c>
      <c r="I755">
        <v>367.85039999999998</v>
      </c>
      <c r="J755">
        <v>-323.17090000000002</v>
      </c>
      <c r="K755">
        <v>1.1089990000000001</v>
      </c>
      <c r="L755">
        <v>367.5231</v>
      </c>
      <c r="M755">
        <v>0.99996240000000003</v>
      </c>
      <c r="N755">
        <v>0</v>
      </c>
      <c r="O755">
        <v>3.7877309999999999E-3</v>
      </c>
      <c r="P755">
        <v>0.98333000000000004</v>
      </c>
      <c r="Q755">
        <v>0.1809713</v>
      </c>
      <c r="R755">
        <v>-1.7656410000000001E-2</v>
      </c>
      <c r="S755">
        <v>3.0572810000000001</v>
      </c>
      <c r="T755">
        <v>-3.3413169999999999E-2</v>
      </c>
      <c r="U755">
        <v>9.8876950000000002E-3</v>
      </c>
      <c r="V755">
        <v>2.138808E-2</v>
      </c>
      <c r="W755">
        <v>0.18863170000000001</v>
      </c>
      <c r="X755">
        <v>0.98181499999999999</v>
      </c>
      <c r="Y755">
        <v>5.5346099999999999E-4</v>
      </c>
      <c r="Z755" s="1">
        <v>-4.4420369999999997E-5</v>
      </c>
      <c r="AA755">
        <v>0.99999979999999999</v>
      </c>
      <c r="AB755">
        <v>40</v>
      </c>
      <c r="AC755">
        <v>101.2685</v>
      </c>
      <c r="AD755">
        <v>-1.109002769423</v>
      </c>
      <c r="AE755">
        <v>0.327299999999979</v>
      </c>
      <c r="AF755">
        <v>5.6285105980383603E-2</v>
      </c>
      <c r="AG755">
        <v>-1.109002769423</v>
      </c>
      <c r="AH755">
        <v>101.256869977576</v>
      </c>
      <c r="AI755">
        <v>90.627499426517204</v>
      </c>
      <c r="AJ755">
        <v>89.968151309726494</v>
      </c>
      <c r="AK755">
        <v>101.262958542655</v>
      </c>
      <c r="AL755">
        <v>79.127057803970501</v>
      </c>
      <c r="AM755">
        <v>88.752053161957804</v>
      </c>
      <c r="AN755">
        <v>1.00000003121798</v>
      </c>
    </row>
    <row r="756" spans="1:40" x14ac:dyDescent="0.25">
      <c r="A756" t="str">
        <f>"20190312172909927"</f>
        <v>20190312172909927</v>
      </c>
      <c r="B756" t="str">
        <f>"1552382949918019"</f>
        <v>1552382949918019</v>
      </c>
      <c r="C756" t="s">
        <v>40</v>
      </c>
      <c r="D756">
        <v>3.0810249999999999</v>
      </c>
      <c r="E756">
        <v>0.49492510000000001</v>
      </c>
      <c r="F756" t="s">
        <v>41</v>
      </c>
      <c r="G756">
        <v>-223.3246</v>
      </c>
      <c r="H756" s="1">
        <v>-3.1607850000000001E-6</v>
      </c>
      <c r="I756">
        <v>367.84199999999998</v>
      </c>
      <c r="J756">
        <v>-322.98110000000003</v>
      </c>
      <c r="K756">
        <v>1.1089990000000001</v>
      </c>
      <c r="L756">
        <v>367.52379999999999</v>
      </c>
      <c r="M756">
        <v>0.99996240000000003</v>
      </c>
      <c r="N756">
        <v>0</v>
      </c>
      <c r="O756">
        <v>3.7878489999999998E-3</v>
      </c>
      <c r="P756">
        <v>0.98334270000000001</v>
      </c>
      <c r="Q756">
        <v>0.18090529999999999</v>
      </c>
      <c r="R756">
        <v>-1.7624150000000002E-2</v>
      </c>
      <c r="S756">
        <v>3.057312</v>
      </c>
      <c r="T756">
        <v>-3.3957840000000003E-2</v>
      </c>
      <c r="U756">
        <v>9.765625E-3</v>
      </c>
      <c r="V756">
        <v>2.1355869999999999E-2</v>
      </c>
      <c r="W756">
        <v>0.18858059999999999</v>
      </c>
      <c r="X756">
        <v>0.98182550000000002</v>
      </c>
      <c r="Y756">
        <v>5.9352720000000001E-4</v>
      </c>
      <c r="Z756" s="1">
        <v>-4.5367790000000002E-5</v>
      </c>
      <c r="AA756">
        <v>0.99999979999999999</v>
      </c>
      <c r="AB756">
        <v>40</v>
      </c>
      <c r="AC756">
        <v>99.656499999999994</v>
      </c>
      <c r="AD756">
        <v>-1.109002160785</v>
      </c>
      <c r="AE756">
        <v>0.31819999999998999</v>
      </c>
      <c r="AF756">
        <v>5.9290200068909303E-2</v>
      </c>
      <c r="AG756">
        <v>-1.109002160785</v>
      </c>
      <c r="AH756">
        <v>99.644650701461103</v>
      </c>
      <c r="AI756">
        <v>90.637650975012804</v>
      </c>
      <c r="AJ756">
        <v>89.965908076292905</v>
      </c>
      <c r="AK756">
        <v>99.650839507435407</v>
      </c>
      <c r="AL756">
        <v>79.130038936916804</v>
      </c>
      <c r="AM756">
        <v>88.753945272441797</v>
      </c>
      <c r="AN756">
        <v>1.00000001416503</v>
      </c>
    </row>
    <row r="757" spans="1:40" x14ac:dyDescent="0.25">
      <c r="A757" t="str">
        <f>"20190312172909938"</f>
        <v>20190312172909938</v>
      </c>
      <c r="B757" t="str">
        <f>"1552382949927779"</f>
        <v>1552382949927779</v>
      </c>
      <c r="C757" t="s">
        <v>40</v>
      </c>
      <c r="D757">
        <v>3.2884000000000002</v>
      </c>
      <c r="E757">
        <v>0.49493900000000002</v>
      </c>
      <c r="F757" t="s">
        <v>41</v>
      </c>
      <c r="G757">
        <v>-224.92840000000001</v>
      </c>
      <c r="H757" s="1">
        <v>-2.4731449999999998E-6</v>
      </c>
      <c r="I757">
        <v>367.8399</v>
      </c>
      <c r="J757">
        <v>-322.78269999999998</v>
      </c>
      <c r="K757">
        <v>1.1090070000000001</v>
      </c>
      <c r="L757">
        <v>367.52449999999999</v>
      </c>
      <c r="M757">
        <v>0.99996229999999997</v>
      </c>
      <c r="N757">
        <v>0</v>
      </c>
      <c r="O757">
        <v>3.788264E-3</v>
      </c>
      <c r="P757">
        <v>0.98332830000000004</v>
      </c>
      <c r="Q757">
        <v>0.18100469999999999</v>
      </c>
      <c r="R757">
        <v>-1.740943E-2</v>
      </c>
      <c r="S757">
        <v>3.057404</v>
      </c>
      <c r="T757">
        <v>-3.4579989999999998E-2</v>
      </c>
      <c r="U757">
        <v>9.8571779999999994E-3</v>
      </c>
      <c r="V757">
        <v>2.114152E-2</v>
      </c>
      <c r="W757">
        <v>0.18869540000000001</v>
      </c>
      <c r="X757">
        <v>0.98180809999999996</v>
      </c>
      <c r="Y757">
        <v>5.640857E-4</v>
      </c>
      <c r="Z757" s="1">
        <v>-4.6035760000000001E-5</v>
      </c>
      <c r="AA757">
        <v>0.99999979999999999</v>
      </c>
      <c r="AB757">
        <v>40</v>
      </c>
      <c r="AC757">
        <v>97.854299999999895</v>
      </c>
      <c r="AD757">
        <v>-1.109009473145</v>
      </c>
      <c r="AE757">
        <v>0.315400000000011</v>
      </c>
      <c r="AF757">
        <v>5.5304397466216203E-2</v>
      </c>
      <c r="AG757">
        <v>-1.109009473145</v>
      </c>
      <c r="AH757">
        <v>97.842225633320794</v>
      </c>
      <c r="AI757">
        <v>90.649400918036093</v>
      </c>
      <c r="AJ757">
        <v>89.967614103160898</v>
      </c>
      <c r="AK757">
        <v>97.848526189562804</v>
      </c>
      <c r="AL757">
        <v>79.123341325053303</v>
      </c>
      <c r="AM757">
        <v>88.766426251113899</v>
      </c>
      <c r="AN757">
        <v>1.0000000315373301</v>
      </c>
    </row>
    <row r="758" spans="1:40" x14ac:dyDescent="0.25">
      <c r="A758" t="str">
        <f>"20190312172909950"</f>
        <v>20190312172909950</v>
      </c>
      <c r="B758" t="str">
        <f>"1552382949938515"</f>
        <v>1552382949938515</v>
      </c>
      <c r="C758" t="s">
        <v>40</v>
      </c>
      <c r="D758">
        <v>3.0673010000000001</v>
      </c>
      <c r="E758">
        <v>0.49495850000000002</v>
      </c>
      <c r="F758" t="s">
        <v>41</v>
      </c>
      <c r="G758">
        <v>-224.07320000000001</v>
      </c>
      <c r="H758" s="1">
        <v>-2.8356750000000002E-6</v>
      </c>
      <c r="I758">
        <v>367.86439999999999</v>
      </c>
      <c r="J758">
        <v>-322.58620000000002</v>
      </c>
      <c r="K758">
        <v>1.1090059999999999</v>
      </c>
      <c r="L758">
        <v>367.52530000000002</v>
      </c>
      <c r="M758">
        <v>0.99996209999999996</v>
      </c>
      <c r="N758">
        <v>0</v>
      </c>
      <c r="O758">
        <v>3.7886809999999999E-3</v>
      </c>
      <c r="P758">
        <v>0.9833501</v>
      </c>
      <c r="Q758">
        <v>0.1808942</v>
      </c>
      <c r="R758">
        <v>-1.7328059999999999E-2</v>
      </c>
      <c r="S758">
        <v>3.0573730000000001</v>
      </c>
      <c r="T758">
        <v>-3.43498E-2</v>
      </c>
      <c r="U758">
        <v>1.0528559999999999E-2</v>
      </c>
      <c r="V758">
        <v>2.1060720000000002E-2</v>
      </c>
      <c r="W758">
        <v>0.1885994</v>
      </c>
      <c r="X758">
        <v>0.98182829999999999</v>
      </c>
      <c r="Y758">
        <v>3.4489580000000001E-4</v>
      </c>
      <c r="Z758" s="1">
        <v>-4.4503189999999997E-5</v>
      </c>
      <c r="AA758">
        <v>0.99999990000000005</v>
      </c>
      <c r="AB758">
        <v>40</v>
      </c>
      <c r="AC758">
        <v>98.512999999999906</v>
      </c>
      <c r="AD758">
        <v>-1.1090088356750001</v>
      </c>
      <c r="AE758">
        <v>0.33909999999997298</v>
      </c>
      <c r="AF758">
        <v>3.4143905328382497E-2</v>
      </c>
      <c r="AG758">
        <v>-1.1090088356750001</v>
      </c>
      <c r="AH758">
        <v>98.501094706219604</v>
      </c>
      <c r="AI758">
        <v>90.645057168423605</v>
      </c>
      <c r="AJ758">
        <v>89.980139290848498</v>
      </c>
      <c r="AK758">
        <v>98.507343506601103</v>
      </c>
      <c r="AL758">
        <v>79.128942479327407</v>
      </c>
      <c r="AM758">
        <v>88.771164627603596</v>
      </c>
      <c r="AN758">
        <v>1.0000000491440799</v>
      </c>
    </row>
    <row r="759" spans="1:40" x14ac:dyDescent="0.25">
      <c r="A759" t="str">
        <f>"20190312172909960"</f>
        <v>20190312172909960</v>
      </c>
      <c r="B759" t="str">
        <f>"1552382949958035"</f>
        <v>1552382949958035</v>
      </c>
      <c r="C759" t="s">
        <v>40</v>
      </c>
      <c r="D759">
        <v>3.0841349999999998</v>
      </c>
      <c r="E759">
        <v>0.4949558</v>
      </c>
      <c r="F759" t="s">
        <v>41</v>
      </c>
      <c r="G759">
        <v>-225.22460000000001</v>
      </c>
      <c r="H759" s="1">
        <v>-2.3431029999999999E-6</v>
      </c>
      <c r="I759">
        <v>367.85660000000001</v>
      </c>
      <c r="J759">
        <v>-322.38380000000001</v>
      </c>
      <c r="K759">
        <v>1.1090070000000001</v>
      </c>
      <c r="L759">
        <v>367.52600000000001</v>
      </c>
      <c r="M759">
        <v>0.99996200000000002</v>
      </c>
      <c r="N759">
        <v>0</v>
      </c>
      <c r="O759">
        <v>3.78898E-3</v>
      </c>
      <c r="P759">
        <v>0.98338879999999995</v>
      </c>
      <c r="Q759">
        <v>0.18069370000000001</v>
      </c>
      <c r="R759">
        <v>-1.72129E-2</v>
      </c>
      <c r="S759">
        <v>3.057404</v>
      </c>
      <c r="T759">
        <v>-3.4825679999999998E-2</v>
      </c>
      <c r="U759">
        <v>1.0406489999999999E-2</v>
      </c>
      <c r="V759">
        <v>2.0946200000000002E-2</v>
      </c>
      <c r="W759">
        <v>0.18841440000000001</v>
      </c>
      <c r="X759">
        <v>0.98186620000000002</v>
      </c>
      <c r="Y759">
        <v>3.8514499999999999E-4</v>
      </c>
      <c r="Z759" s="1">
        <v>-4.5351880000000001E-5</v>
      </c>
      <c r="AA759">
        <v>0.99999990000000005</v>
      </c>
      <c r="AB759">
        <v>40</v>
      </c>
      <c r="AC759">
        <v>97.159199999999998</v>
      </c>
      <c r="AD759">
        <v>-1.1090093431029999</v>
      </c>
      <c r="AE759">
        <v>0.330600000000003</v>
      </c>
      <c r="AF759">
        <v>3.75430943667922E-2</v>
      </c>
      <c r="AG759">
        <v>-1.1090093431029999</v>
      </c>
      <c r="AH759">
        <v>97.147098303053099</v>
      </c>
      <c r="AI759">
        <v>90.654047224659493</v>
      </c>
      <c r="AJ759">
        <v>89.977857694284495</v>
      </c>
      <c r="AK759">
        <v>97.153435450889205</v>
      </c>
      <c r="AL759">
        <v>79.139734962954506</v>
      </c>
      <c r="AM759">
        <v>88.777891684844505</v>
      </c>
      <c r="AN759">
        <v>0.99999998206211904</v>
      </c>
    </row>
    <row r="760" spans="1:40" x14ac:dyDescent="0.25">
      <c r="A760" t="str">
        <f>"20190312172909971"</f>
        <v>20190312172909971</v>
      </c>
      <c r="B760" t="str">
        <f>"1552382949967795"</f>
        <v>1552382949967795</v>
      </c>
      <c r="C760" t="s">
        <v>40</v>
      </c>
      <c r="D760">
        <v>3.076114</v>
      </c>
      <c r="E760">
        <v>0.49494569999999999</v>
      </c>
      <c r="F760" t="s">
        <v>41</v>
      </c>
      <c r="G760">
        <v>-227.8793</v>
      </c>
      <c r="H760" s="1">
        <v>-1.202825E-6</v>
      </c>
      <c r="I760">
        <v>367.8646</v>
      </c>
      <c r="J760">
        <v>-322.19170000000003</v>
      </c>
      <c r="K760">
        <v>1.109008</v>
      </c>
      <c r="L760">
        <v>367.52679999999998</v>
      </c>
      <c r="M760">
        <v>0.99996189999999996</v>
      </c>
      <c r="N760">
        <v>0</v>
      </c>
      <c r="O760">
        <v>3.789284E-3</v>
      </c>
      <c r="P760">
        <v>0.98339030000000005</v>
      </c>
      <c r="Q760">
        <v>0.1807192</v>
      </c>
      <c r="R760">
        <v>-1.6862950000000002E-2</v>
      </c>
      <c r="S760">
        <v>3.0574650000000001</v>
      </c>
      <c r="T760">
        <v>-3.5879250000000001E-2</v>
      </c>
      <c r="U760">
        <v>1.095581E-2</v>
      </c>
      <c r="V760">
        <v>2.059631E-2</v>
      </c>
      <c r="W760">
        <v>0.18845329999999999</v>
      </c>
      <c r="X760">
        <v>0.98186620000000002</v>
      </c>
      <c r="Y760">
        <v>2.0585079999999999E-4</v>
      </c>
      <c r="Z760" s="1">
        <v>-4.5674460000000002E-5</v>
      </c>
      <c r="AA760">
        <v>1</v>
      </c>
      <c r="AB760">
        <v>40</v>
      </c>
      <c r="AC760">
        <v>94.312399999999997</v>
      </c>
      <c r="AD760">
        <v>-1.109009202825</v>
      </c>
      <c r="AE760">
        <v>0.33780000000001498</v>
      </c>
      <c r="AF760">
        <v>1.9587235908852699E-2</v>
      </c>
      <c r="AG760">
        <v>-1.109009202825</v>
      </c>
      <c r="AH760">
        <v>94.299964083750694</v>
      </c>
      <c r="AI760">
        <v>90.673792581137903</v>
      </c>
      <c r="AJ760">
        <v>89.988098978142006</v>
      </c>
      <c r="AK760">
        <v>94.306487111271593</v>
      </c>
      <c r="AL760">
        <v>79.137466188005703</v>
      </c>
      <c r="AM760">
        <v>88.798300017863696</v>
      </c>
      <c r="AN760">
        <v>1.0000000444844701</v>
      </c>
    </row>
    <row r="761" spans="1:40" x14ac:dyDescent="0.25">
      <c r="A761" t="str">
        <f>"20190312172909983"</f>
        <v>20190312172909983</v>
      </c>
      <c r="B761" t="str">
        <f>"1552382949978531"</f>
        <v>1552382949978531</v>
      </c>
      <c r="C761" t="s">
        <v>40</v>
      </c>
      <c r="D761">
        <v>3.0782590000000001</v>
      </c>
      <c r="E761">
        <v>0.49490909999999999</v>
      </c>
      <c r="F761" t="s">
        <v>41</v>
      </c>
      <c r="G761">
        <v>-228.30690000000001</v>
      </c>
      <c r="H761" s="1">
        <v>-1.0187540000000001E-6</v>
      </c>
      <c r="I761">
        <v>367.9006</v>
      </c>
      <c r="J761">
        <v>-321.99</v>
      </c>
      <c r="K761">
        <v>1.109008</v>
      </c>
      <c r="L761">
        <v>367.52749999999997</v>
      </c>
      <c r="M761">
        <v>0.99996180000000001</v>
      </c>
      <c r="N761">
        <v>0</v>
      </c>
      <c r="O761">
        <v>3.7895260000000001E-3</v>
      </c>
      <c r="P761">
        <v>0.98339299999999996</v>
      </c>
      <c r="Q761">
        <v>0.1807076</v>
      </c>
      <c r="R761">
        <v>-1.683583E-2</v>
      </c>
      <c r="S761">
        <v>3.0575260000000002</v>
      </c>
      <c r="T761">
        <v>-3.6116839999999997E-2</v>
      </c>
      <c r="U761">
        <v>1.217651E-2</v>
      </c>
      <c r="V761">
        <v>2.0569529999999999E-2</v>
      </c>
      <c r="W761">
        <v>0.18845509999999999</v>
      </c>
      <c r="X761">
        <v>0.98186640000000003</v>
      </c>
      <c r="Y761">
        <v>-1.930507E-4</v>
      </c>
      <c r="Z761" s="1">
        <v>-4.3622889999999998E-5</v>
      </c>
      <c r="AA761">
        <v>1</v>
      </c>
      <c r="AB761">
        <v>40</v>
      </c>
      <c r="AC761">
        <v>93.683099999999996</v>
      </c>
      <c r="AD761">
        <v>-1.109009018754</v>
      </c>
      <c r="AE761">
        <v>0.37310000000002203</v>
      </c>
      <c r="AF761">
        <v>-1.80692328486971E-2</v>
      </c>
      <c r="AG761">
        <v>-1.109009018754</v>
      </c>
      <c r="AH761">
        <v>93.670714834831998</v>
      </c>
      <c r="AI761">
        <v>90.678318367412203</v>
      </c>
      <c r="AJ761">
        <v>90.011052448678896</v>
      </c>
      <c r="AK761">
        <v>93.677281371575205</v>
      </c>
      <c r="AL761">
        <v>79.137361002229099</v>
      </c>
      <c r="AM761">
        <v>88.799862294826895</v>
      </c>
      <c r="AN761">
        <v>1.00000002886469</v>
      </c>
    </row>
    <row r="762" spans="1:40" x14ac:dyDescent="0.25">
      <c r="A762" t="str">
        <f>"20190312172909997"</f>
        <v>20190312172909997</v>
      </c>
      <c r="B762" t="str">
        <f>"1552382949988291"</f>
        <v>1552382949988291</v>
      </c>
      <c r="C762" t="s">
        <v>40</v>
      </c>
      <c r="D762">
        <v>3.0706790000000002</v>
      </c>
      <c r="E762">
        <v>0.49491020000000002</v>
      </c>
      <c r="F762" t="s">
        <v>41</v>
      </c>
      <c r="G762">
        <v>-228.83269999999999</v>
      </c>
      <c r="H762" s="1">
        <v>-8.3717409999999997E-7</v>
      </c>
      <c r="I762">
        <v>367.91059999999999</v>
      </c>
      <c r="J762">
        <v>-321.74279999999999</v>
      </c>
      <c r="K762">
        <v>1.109008</v>
      </c>
      <c r="L762">
        <v>367.52839999999998</v>
      </c>
      <c r="M762">
        <v>0.99996169999999995</v>
      </c>
      <c r="N762">
        <v>0</v>
      </c>
      <c r="O762">
        <v>3.7898189999999998E-3</v>
      </c>
      <c r="P762">
        <v>0.98341199999999995</v>
      </c>
      <c r="Q762">
        <v>0.1806169</v>
      </c>
      <c r="R762">
        <v>-1.6687400000000002E-2</v>
      </c>
      <c r="S762">
        <v>3.0575260000000002</v>
      </c>
      <c r="T762">
        <v>-3.6398890000000003E-2</v>
      </c>
      <c r="U762">
        <v>1.2573239999999999E-2</v>
      </c>
      <c r="V762">
        <v>2.0421499999999999E-2</v>
      </c>
      <c r="W762">
        <v>0.1883802</v>
      </c>
      <c r="X762">
        <v>0.98188379999999997</v>
      </c>
      <c r="Y762">
        <v>-3.2250479999999999E-4</v>
      </c>
      <c r="Z762" s="1">
        <v>-4.3196469999999997E-5</v>
      </c>
      <c r="AA762">
        <v>0.99999990000000005</v>
      </c>
      <c r="AB762">
        <v>40</v>
      </c>
      <c r="AC762">
        <v>92.9101</v>
      </c>
      <c r="AD762">
        <v>-1.1090088371741</v>
      </c>
      <c r="AE762">
        <v>0.38220000000001098</v>
      </c>
      <c r="AF762">
        <v>-3.0069551176354601E-2</v>
      </c>
      <c r="AG762">
        <v>-1.1090088371741</v>
      </c>
      <c r="AH762">
        <v>92.897645713217003</v>
      </c>
      <c r="AI762">
        <v>90.683962480583006</v>
      </c>
      <c r="AJ762">
        <v>90.018545769387998</v>
      </c>
      <c r="AK762">
        <v>92.9042699978706</v>
      </c>
      <c r="AL762">
        <v>79.141730042811005</v>
      </c>
      <c r="AM762">
        <v>88.808517775905202</v>
      </c>
      <c r="AN762">
        <v>0.99999996705836403</v>
      </c>
    </row>
    <row r="763" spans="1:40" x14ac:dyDescent="0.25">
      <c r="A763" t="str">
        <f>"20190312172910010"</f>
        <v>20190312172910010</v>
      </c>
      <c r="B763" t="str">
        <f>"1552382949998051"</f>
        <v>1552382949998051</v>
      </c>
      <c r="C763" t="s">
        <v>40</v>
      </c>
      <c r="D763">
        <v>3.0924290000000001</v>
      </c>
      <c r="E763">
        <v>0.49491420000000003</v>
      </c>
      <c r="F763" t="s">
        <v>41</v>
      </c>
      <c r="G763">
        <v>-229.58070000000001</v>
      </c>
      <c r="H763" s="1">
        <v>-5.8128609999999897E-7</v>
      </c>
      <c r="I763">
        <v>367.91559999999998</v>
      </c>
      <c r="J763">
        <v>-321.50760000000002</v>
      </c>
      <c r="K763">
        <v>1.109002</v>
      </c>
      <c r="L763">
        <v>367.52929999999998</v>
      </c>
      <c r="M763">
        <v>0.99996160000000001</v>
      </c>
      <c r="N763">
        <v>0</v>
      </c>
      <c r="O763">
        <v>3.7902309999999998E-3</v>
      </c>
      <c r="P763">
        <v>0.98342589999999996</v>
      </c>
      <c r="Q763">
        <v>0.180532</v>
      </c>
      <c r="R763">
        <v>-1.6794989999999999E-2</v>
      </c>
      <c r="S763">
        <v>3.0575559999999999</v>
      </c>
      <c r="T763">
        <v>-3.6792279999999997E-2</v>
      </c>
      <c r="U763">
        <v>1.2847900000000001E-2</v>
      </c>
      <c r="V763">
        <v>2.0529519999999999E-2</v>
      </c>
      <c r="W763">
        <v>0.18831139999999999</v>
      </c>
      <c r="X763">
        <v>0.98189479999999996</v>
      </c>
      <c r="Y763">
        <v>-4.1187709999999998E-4</v>
      </c>
      <c r="Z763" s="1">
        <v>-4.3130119999999997E-5</v>
      </c>
      <c r="AA763">
        <v>0.99999990000000005</v>
      </c>
      <c r="AB763">
        <v>40</v>
      </c>
      <c r="AC763">
        <v>91.926900000000003</v>
      </c>
      <c r="AD763">
        <v>-1.1090025812861</v>
      </c>
      <c r="AE763">
        <v>0.38630000000000497</v>
      </c>
      <c r="AF763">
        <v>-3.7856652374215698E-2</v>
      </c>
      <c r="AG763">
        <v>-1.1090025812861</v>
      </c>
      <c r="AH763">
        <v>91.914326965928794</v>
      </c>
      <c r="AI763">
        <v>90.691275026813003</v>
      </c>
      <c r="AJ763">
        <v>90.023598348119194</v>
      </c>
      <c r="AK763">
        <v>91.9210249151471</v>
      </c>
      <c r="AL763">
        <v>79.145744425352504</v>
      </c>
      <c r="AM763">
        <v>88.802230648797504</v>
      </c>
      <c r="AN763">
        <v>1.00000002141421</v>
      </c>
    </row>
    <row r="764" spans="1:40" x14ac:dyDescent="0.25">
      <c r="A764" t="str">
        <f>"20190312172910023"</f>
        <v>20190312172910023</v>
      </c>
      <c r="B764" t="str">
        <f>"1552382950018549"</f>
        <v>1552382950018549</v>
      </c>
      <c r="C764" t="s">
        <v>40</v>
      </c>
      <c r="D764">
        <v>3.054818</v>
      </c>
      <c r="E764">
        <v>0.49490309999999998</v>
      </c>
      <c r="F764" t="s">
        <v>41</v>
      </c>
      <c r="G764">
        <v>-230.5659</v>
      </c>
      <c r="H764" s="1">
        <v>-4.3348630000000002E-6</v>
      </c>
      <c r="I764">
        <v>367.89510000000001</v>
      </c>
      <c r="J764">
        <v>-321.27440000000001</v>
      </c>
      <c r="K764">
        <v>1.1090009999999999</v>
      </c>
      <c r="L764">
        <v>367.53019999999998</v>
      </c>
      <c r="M764">
        <v>0.99996130000000005</v>
      </c>
      <c r="N764">
        <v>0</v>
      </c>
      <c r="O764">
        <v>3.790702E-3</v>
      </c>
      <c r="P764">
        <v>0.9834117</v>
      </c>
      <c r="Q764">
        <v>0.1806266</v>
      </c>
      <c r="R764">
        <v>-1.659503E-2</v>
      </c>
      <c r="S764">
        <v>3.057617</v>
      </c>
      <c r="T764">
        <v>-3.7286640000000003E-2</v>
      </c>
      <c r="U764">
        <v>1.229858E-2</v>
      </c>
      <c r="V764">
        <v>2.0329920000000001E-2</v>
      </c>
      <c r="W764">
        <v>0.18842239999999999</v>
      </c>
      <c r="X764">
        <v>0.98187760000000002</v>
      </c>
      <c r="Y764">
        <v>-2.3169010000000001E-4</v>
      </c>
      <c r="Z764" s="1">
        <v>-4.48131E-5</v>
      </c>
      <c r="AA764">
        <v>1</v>
      </c>
      <c r="AB764">
        <v>40</v>
      </c>
      <c r="AC764">
        <v>90.708500000000001</v>
      </c>
      <c r="AD764">
        <v>-1.109005334863</v>
      </c>
      <c r="AE764">
        <v>0.36490000000003397</v>
      </c>
      <c r="AF764">
        <v>-2.10345049037572E-2</v>
      </c>
      <c r="AG764">
        <v>-1.109005334863</v>
      </c>
      <c r="AH764">
        <v>90.695674910898802</v>
      </c>
      <c r="AI764">
        <v>90.700564353493704</v>
      </c>
      <c r="AJ764">
        <v>90.013288266884899</v>
      </c>
      <c r="AK764">
        <v>90.702457424408294</v>
      </c>
      <c r="AL764">
        <v>79.139268037740493</v>
      </c>
      <c r="AM764">
        <v>88.813851947683204</v>
      </c>
      <c r="AN764">
        <v>0.99999996392536195</v>
      </c>
    </row>
    <row r="765" spans="1:40" x14ac:dyDescent="0.25">
      <c r="A765" t="str">
        <f>"20190312172910040"</f>
        <v>20190312172910040</v>
      </c>
      <c r="B765" t="str">
        <f>"1552382950028307"</f>
        <v>1552382950028307</v>
      </c>
      <c r="C765" t="s">
        <v>40</v>
      </c>
      <c r="D765">
        <v>3.0757340000000002</v>
      </c>
      <c r="E765">
        <v>0.49491239999999997</v>
      </c>
      <c r="F765" t="s">
        <v>41</v>
      </c>
      <c r="G765">
        <v>-229.75290000000001</v>
      </c>
      <c r="H765" s="1">
        <v>-5.2026399999999998E-7</v>
      </c>
      <c r="I765">
        <v>367.9248</v>
      </c>
      <c r="J765">
        <v>-320.97320000000002</v>
      </c>
      <c r="K765">
        <v>1.10887</v>
      </c>
      <c r="L765">
        <v>367.53140000000002</v>
      </c>
      <c r="M765">
        <v>0.99996479999999999</v>
      </c>
      <c r="N765">
        <v>0</v>
      </c>
      <c r="O765">
        <v>3.7907879999999998E-3</v>
      </c>
      <c r="P765">
        <v>0.983348</v>
      </c>
      <c r="Q765">
        <v>0.180955</v>
      </c>
      <c r="R765">
        <v>-1.679427E-2</v>
      </c>
      <c r="S765">
        <v>3.0575559999999999</v>
      </c>
      <c r="T765">
        <v>-3.7049529999999997E-2</v>
      </c>
      <c r="U765">
        <v>1.318359E-2</v>
      </c>
      <c r="V765">
        <v>2.052903E-2</v>
      </c>
      <c r="W765">
        <v>0.18830710000000001</v>
      </c>
      <c r="X765">
        <v>0.98189559999999998</v>
      </c>
      <c r="Y765">
        <v>-5.2111799999999999E-4</v>
      </c>
      <c r="Z765" s="1">
        <v>-4.2776430000000001E-5</v>
      </c>
      <c r="AA765">
        <v>0.99999990000000005</v>
      </c>
      <c r="AB765">
        <v>40</v>
      </c>
      <c r="AC765">
        <v>91.220299999999995</v>
      </c>
      <c r="AD765">
        <v>-1.1088705202639999</v>
      </c>
      <c r="AE765">
        <v>0.39339999999998498</v>
      </c>
      <c r="AF765">
        <v>-4.7583635783359703E-2</v>
      </c>
      <c r="AG765">
        <v>-1.1088705202639999</v>
      </c>
      <c r="AH765">
        <v>91.207658607983007</v>
      </c>
      <c r="AI765">
        <v>90.696547451975107</v>
      </c>
      <c r="AJ765">
        <v>90.029891582554896</v>
      </c>
      <c r="AK765">
        <v>91.214411398547597</v>
      </c>
      <c r="AL765">
        <v>79.145994908621105</v>
      </c>
      <c r="AM765">
        <v>88.802260204486601</v>
      </c>
      <c r="AN765">
        <v>0.99999998714125504</v>
      </c>
    </row>
    <row r="766" spans="1:40" x14ac:dyDescent="0.25">
      <c r="A766" t="str">
        <f>"20190312172910051"</f>
        <v>20190312172910051</v>
      </c>
      <c r="B766" t="str">
        <f>"1552382950047827"</f>
        <v>1552382950047827</v>
      </c>
      <c r="C766" t="s">
        <v>40</v>
      </c>
      <c r="D766">
        <v>3.0716209999999999</v>
      </c>
      <c r="E766">
        <v>0.49491400000000002</v>
      </c>
      <c r="F766" t="s">
        <v>41</v>
      </c>
      <c r="G766">
        <v>-227.66079999999999</v>
      </c>
      <c r="H766" s="1">
        <v>-1.2889310000000001E-6</v>
      </c>
      <c r="I766">
        <v>367.9076</v>
      </c>
      <c r="J766">
        <v>-320.76029999999997</v>
      </c>
      <c r="K766">
        <v>1.1087469999999999</v>
      </c>
      <c r="L766">
        <v>367.53219999999999</v>
      </c>
      <c r="M766">
        <v>0.99996719999999895</v>
      </c>
      <c r="N766">
        <v>0</v>
      </c>
      <c r="O766">
        <v>3.790706E-3</v>
      </c>
      <c r="P766">
        <v>0.98329789999999995</v>
      </c>
      <c r="Q766">
        <v>0.18123120000000001</v>
      </c>
      <c r="R766">
        <v>-1.6761519999999999E-2</v>
      </c>
      <c r="S766">
        <v>3.0577700000000001</v>
      </c>
      <c r="T766">
        <v>-3.6336779999999999E-2</v>
      </c>
      <c r="U766">
        <v>1.2329100000000001E-2</v>
      </c>
      <c r="V766">
        <v>2.0495920000000001E-2</v>
      </c>
      <c r="W766">
        <v>0.18828790000000001</v>
      </c>
      <c r="X766">
        <v>0.9819</v>
      </c>
      <c r="Y766">
        <v>-2.4147320000000001E-4</v>
      </c>
      <c r="Z766" s="1">
        <v>-4.3611089999999999E-5</v>
      </c>
      <c r="AA766">
        <v>0.99999990000000005</v>
      </c>
      <c r="AB766">
        <v>40</v>
      </c>
      <c r="AC766">
        <v>93.099499999999907</v>
      </c>
      <c r="AD766">
        <v>-1.1087482889310001</v>
      </c>
      <c r="AE766">
        <v>0.375400000000013</v>
      </c>
      <c r="AF766">
        <v>-2.2472242133361301E-2</v>
      </c>
      <c r="AG766">
        <v>-1.1087482889310001</v>
      </c>
      <c r="AH766">
        <v>93.087051719521199</v>
      </c>
      <c r="AI766">
        <v>90.682410610055697</v>
      </c>
      <c r="AJ766">
        <v>90.013831833554093</v>
      </c>
      <c r="AK766">
        <v>93.093657279122397</v>
      </c>
      <c r="AL766">
        <v>79.147115308363198</v>
      </c>
      <c r="AM766">
        <v>88.804196760378204</v>
      </c>
      <c r="AN766">
        <v>1.0000000130115201</v>
      </c>
    </row>
    <row r="767" spans="1:40" x14ac:dyDescent="0.25">
      <c r="A767" t="str">
        <f>"20190312172910062"</f>
        <v>20190312172910062</v>
      </c>
      <c r="B767" t="str">
        <f>"1552382950058563"</f>
        <v>1552382950058563</v>
      </c>
      <c r="C767" t="s">
        <v>40</v>
      </c>
      <c r="D767">
        <v>3.0850499999999998</v>
      </c>
      <c r="E767">
        <v>0.49489820000000001</v>
      </c>
      <c r="F767" t="s">
        <v>41</v>
      </c>
      <c r="G767">
        <v>-226.27350000000001</v>
      </c>
      <c r="H767" s="1">
        <v>-1.8805930000000001E-6</v>
      </c>
      <c r="I767">
        <v>367.92720000000003</v>
      </c>
      <c r="J767">
        <v>-320.5659</v>
      </c>
      <c r="K767">
        <v>1.108622</v>
      </c>
      <c r="L767">
        <v>367.53289999999998</v>
      </c>
      <c r="M767">
        <v>0.99996890000000005</v>
      </c>
      <c r="N767">
        <v>0</v>
      </c>
      <c r="O767">
        <v>3.7908180000000001E-3</v>
      </c>
      <c r="P767">
        <v>0.98328709999999997</v>
      </c>
      <c r="Q767">
        <v>0.18129890000000001</v>
      </c>
      <c r="R767">
        <v>-1.6648059999999999E-2</v>
      </c>
      <c r="S767">
        <v>3.0577999999999999</v>
      </c>
      <c r="T767">
        <v>-3.588152E-2</v>
      </c>
      <c r="U767">
        <v>1.2786870000000001E-2</v>
      </c>
      <c r="V767">
        <v>2.0382709999999998E-2</v>
      </c>
      <c r="W767">
        <v>0.18809409999999999</v>
      </c>
      <c r="X767">
        <v>0.98193949999999997</v>
      </c>
      <c r="Y767">
        <v>-3.9101210000000002E-4</v>
      </c>
      <c r="Z767" s="1">
        <v>-4.2188170000000002E-5</v>
      </c>
      <c r="AA767">
        <v>0.99999990000000005</v>
      </c>
      <c r="AB767">
        <v>40</v>
      </c>
      <c r="AC767">
        <v>94.292400000000001</v>
      </c>
      <c r="AD767">
        <v>-1.108623880593</v>
      </c>
      <c r="AE767">
        <v>0.394300000000043</v>
      </c>
      <c r="AF767">
        <v>-3.6838198976379501E-2</v>
      </c>
      <c r="AG767">
        <v>-1.108623880593</v>
      </c>
      <c r="AH767">
        <v>94.280184710072902</v>
      </c>
      <c r="AI767">
        <v>90.673699753617299</v>
      </c>
      <c r="AJ767">
        <v>90.022387241022997</v>
      </c>
      <c r="AK767">
        <v>94.286709736457496</v>
      </c>
      <c r="AL767">
        <v>79.158421244866503</v>
      </c>
      <c r="AM767">
        <v>88.810847747028703</v>
      </c>
      <c r="AN767">
        <v>1.0000000134910001</v>
      </c>
    </row>
    <row r="768" spans="1:40" x14ac:dyDescent="0.25">
      <c r="A768" t="str">
        <f>"20190312172910073"</f>
        <v>20190312172910073</v>
      </c>
      <c r="B768" t="str">
        <f>"1552382950068324"</f>
        <v>1552382950068324</v>
      </c>
      <c r="C768" t="s">
        <v>40</v>
      </c>
      <c r="D768">
        <v>3.0585369999999998</v>
      </c>
      <c r="E768">
        <v>0.49489830000000001</v>
      </c>
      <c r="F768" t="s">
        <v>41</v>
      </c>
      <c r="G768">
        <v>-226.60079999999999</v>
      </c>
      <c r="H768" s="1">
        <v>-1.7419499999999999E-6</v>
      </c>
      <c r="I768">
        <v>367.91739999999999</v>
      </c>
      <c r="J768">
        <v>-320.37979999999999</v>
      </c>
      <c r="K768">
        <v>1.1084799999999999</v>
      </c>
      <c r="L768">
        <v>367.53359999999998</v>
      </c>
      <c r="M768">
        <v>0.99996940000000001</v>
      </c>
      <c r="N768">
        <v>0</v>
      </c>
      <c r="O768">
        <v>3.790908E-3</v>
      </c>
      <c r="P768">
        <v>0.98322279999999995</v>
      </c>
      <c r="Q768">
        <v>0.18166170000000001</v>
      </c>
      <c r="R768">
        <v>-1.6494669999999999E-2</v>
      </c>
      <c r="S768">
        <v>3.0578310000000002</v>
      </c>
      <c r="T768">
        <v>-3.6077020000000001E-2</v>
      </c>
      <c r="U768">
        <v>1.2512209999999999E-2</v>
      </c>
      <c r="V768">
        <v>2.0229069999999998E-2</v>
      </c>
      <c r="W768">
        <v>0.1883802</v>
      </c>
      <c r="X768">
        <v>0.98188779999999998</v>
      </c>
      <c r="Y768">
        <v>-3.0107099999999998E-4</v>
      </c>
      <c r="Z768" s="1">
        <v>-4.2949199999999999E-5</v>
      </c>
      <c r="AA768">
        <v>0.99999990000000005</v>
      </c>
      <c r="AB768">
        <v>40</v>
      </c>
      <c r="AC768">
        <v>93.778999999999996</v>
      </c>
      <c r="AD768">
        <v>-1.1084817419499999</v>
      </c>
      <c r="AE768">
        <v>0.38380000000000702</v>
      </c>
      <c r="AF768">
        <v>-2.8277405838989099E-2</v>
      </c>
      <c r="AG768">
        <v>-1.1084817419499999</v>
      </c>
      <c r="AH768">
        <v>93.766680623766604</v>
      </c>
      <c r="AI768">
        <v>90.677302041556402</v>
      </c>
      <c r="AJ768">
        <v>90.017278802558195</v>
      </c>
      <c r="AK768">
        <v>93.773236728735</v>
      </c>
      <c r="AL768">
        <v>79.141730222484796</v>
      </c>
      <c r="AM768">
        <v>88.819746624062205</v>
      </c>
      <c r="AN768">
        <v>0.99999998340697205</v>
      </c>
    </row>
    <row r="769" spans="1:40" x14ac:dyDescent="0.25">
      <c r="A769" t="str">
        <f>"20190312172910082"</f>
        <v>20190312172910082</v>
      </c>
      <c r="B769" t="str">
        <f>"1552382950078083"</f>
        <v>1552382950078083</v>
      </c>
      <c r="C769" t="s">
        <v>40</v>
      </c>
      <c r="D769">
        <v>3.0826850000000001</v>
      </c>
      <c r="E769">
        <v>0.49487750000000003</v>
      </c>
      <c r="F769" t="s">
        <v>41</v>
      </c>
      <c r="G769">
        <v>-223.51990000000001</v>
      </c>
      <c r="H769" s="1">
        <v>-3.0583410000000001E-6</v>
      </c>
      <c r="I769">
        <v>367.94729999999998</v>
      </c>
      <c r="J769">
        <v>-320.18799999999999</v>
      </c>
      <c r="K769">
        <v>1.108328</v>
      </c>
      <c r="L769">
        <v>367.53429999999997</v>
      </c>
      <c r="M769">
        <v>0.99996980000000002</v>
      </c>
      <c r="N769">
        <v>0</v>
      </c>
      <c r="O769">
        <v>3.790645E-3</v>
      </c>
      <c r="P769">
        <v>0.98323269999999996</v>
      </c>
      <c r="Q769">
        <v>0.1816064</v>
      </c>
      <c r="R769">
        <v>-1.6517750000000001E-2</v>
      </c>
      <c r="S769">
        <v>3.0578919999999998</v>
      </c>
      <c r="T769">
        <v>-3.4995079999999998E-2</v>
      </c>
      <c r="U769">
        <v>1.306152E-2</v>
      </c>
      <c r="V769">
        <v>2.0251930000000001E-2</v>
      </c>
      <c r="W769">
        <v>0.18826409999999999</v>
      </c>
      <c r="X769">
        <v>0.98190960000000005</v>
      </c>
      <c r="Y769">
        <v>-4.808635E-4</v>
      </c>
      <c r="Z769" s="1">
        <v>-4.0628620000000001E-5</v>
      </c>
      <c r="AA769">
        <v>0.99999990000000005</v>
      </c>
      <c r="AB769">
        <v>41</v>
      </c>
      <c r="AC769">
        <v>96.668099999999896</v>
      </c>
      <c r="AD769">
        <v>-1.108331058341</v>
      </c>
      <c r="AE769">
        <v>0.41300000000001003</v>
      </c>
      <c r="AF769">
        <v>-4.6548030137204703E-2</v>
      </c>
      <c r="AG769">
        <v>-1.108331058341</v>
      </c>
      <c r="AH769">
        <v>96.6562654397503</v>
      </c>
      <c r="AI769">
        <v>90.656966222303893</v>
      </c>
      <c r="AJ769">
        <v>90.027592680652305</v>
      </c>
      <c r="AK769">
        <v>96.662630903640604</v>
      </c>
      <c r="AL769">
        <v>79.148503496638597</v>
      </c>
      <c r="AM769">
        <v>88.818439474231297</v>
      </c>
      <c r="AN769">
        <v>0.99999998729484696</v>
      </c>
    </row>
    <row r="770" spans="1:40" x14ac:dyDescent="0.25">
      <c r="A770" t="str">
        <f>"20190312172910095"</f>
        <v>20190312172910095</v>
      </c>
      <c r="B770" t="str">
        <f>"1552382950087843"</f>
        <v>1552382950087843</v>
      </c>
      <c r="C770" t="s">
        <v>40</v>
      </c>
      <c r="D770">
        <v>3.0552540000000001</v>
      </c>
      <c r="E770">
        <v>0.4948535</v>
      </c>
      <c r="F770" t="s">
        <v>41</v>
      </c>
      <c r="G770">
        <v>-224.0684</v>
      </c>
      <c r="H770" s="1">
        <v>-2.8236419999999998E-6</v>
      </c>
      <c r="I770">
        <v>367.94389999999999</v>
      </c>
      <c r="J770">
        <v>-319.97030000000001</v>
      </c>
      <c r="K770">
        <v>1.1080890000000001</v>
      </c>
      <c r="L770">
        <v>367.53519999999997</v>
      </c>
      <c r="M770">
        <v>0.99996870000000004</v>
      </c>
      <c r="N770">
        <v>0</v>
      </c>
      <c r="O770">
        <v>3.7906910000000001E-3</v>
      </c>
      <c r="P770">
        <v>0.98325700000000005</v>
      </c>
      <c r="Q770">
        <v>0.1814817</v>
      </c>
      <c r="R770">
        <v>-1.6436070000000001E-2</v>
      </c>
      <c r="S770">
        <v>3.0578609999999999</v>
      </c>
      <c r="T770">
        <v>-3.5259369999999998E-2</v>
      </c>
      <c r="U770">
        <v>1.3031010000000001E-2</v>
      </c>
      <c r="V770">
        <v>2.0170440000000001E-2</v>
      </c>
      <c r="W770">
        <v>0.18831229999999999</v>
      </c>
      <c r="X770">
        <v>0.9819021</v>
      </c>
      <c r="Y770">
        <v>-4.7088030000000001E-4</v>
      </c>
      <c r="Z770" s="1">
        <v>-4.0993969999999999E-5</v>
      </c>
      <c r="AA770">
        <v>0.99999990000000005</v>
      </c>
      <c r="AB770">
        <v>41</v>
      </c>
      <c r="AC770">
        <v>95.901899999999998</v>
      </c>
      <c r="AD770">
        <v>-1.1080918236420001</v>
      </c>
      <c r="AE770">
        <v>0.40870000000001</v>
      </c>
      <c r="AF770">
        <v>-4.5147800026324299E-2</v>
      </c>
      <c r="AG770">
        <v>-1.1080918236420001</v>
      </c>
      <c r="AH770">
        <v>95.889958690570296</v>
      </c>
      <c r="AI770">
        <v>90.662072992817798</v>
      </c>
      <c r="AJ770">
        <v>90.026976528512293</v>
      </c>
      <c r="AK770">
        <v>95.896371586691203</v>
      </c>
      <c r="AL770">
        <v>79.145692250124299</v>
      </c>
      <c r="AM770">
        <v>88.823183528142593</v>
      </c>
      <c r="AN770">
        <v>1.0000000514827401</v>
      </c>
    </row>
    <row r="771" spans="1:40" x14ac:dyDescent="0.25">
      <c r="A771" t="str">
        <f>"20190312172910107"</f>
        <v>20190312172910107</v>
      </c>
      <c r="B771" t="str">
        <f>"1552382950098580"</f>
        <v>1552382950098580</v>
      </c>
      <c r="C771" t="s">
        <v>40</v>
      </c>
      <c r="D771">
        <v>3.0972240000000002</v>
      </c>
      <c r="E771">
        <v>0.49483870000000002</v>
      </c>
      <c r="F771" t="s">
        <v>41</v>
      </c>
      <c r="G771">
        <v>-225.28</v>
      </c>
      <c r="H771" s="1">
        <v>-2.3000929999999998E-6</v>
      </c>
      <c r="I771">
        <v>367.96510000000001</v>
      </c>
      <c r="J771">
        <v>-319.76089999999999</v>
      </c>
      <c r="K771">
        <v>1.107826</v>
      </c>
      <c r="L771">
        <v>367.53590000000003</v>
      </c>
      <c r="M771">
        <v>0.99996719999999895</v>
      </c>
      <c r="N771">
        <v>0</v>
      </c>
      <c r="O771">
        <v>3.7907180000000002E-3</v>
      </c>
      <c r="P771">
        <v>0.98333280000000001</v>
      </c>
      <c r="Q771">
        <v>0.18107570000000001</v>
      </c>
      <c r="R771">
        <v>-1.6386959999999999E-2</v>
      </c>
      <c r="S771">
        <v>3.0578919999999998</v>
      </c>
      <c r="T771">
        <v>-3.5784240000000002E-2</v>
      </c>
      <c r="U771">
        <v>1.38855E-2</v>
      </c>
      <c r="V771">
        <v>2.0121690000000001E-2</v>
      </c>
      <c r="W771">
        <v>0.18812870000000001</v>
      </c>
      <c r="X771">
        <v>0.98193819999999998</v>
      </c>
      <c r="Y771">
        <v>-7.5022499999999998E-4</v>
      </c>
      <c r="Z771" s="1">
        <v>-3.9969689999999997E-5</v>
      </c>
      <c r="AA771">
        <v>0.99999970000000005</v>
      </c>
      <c r="AB771">
        <v>41</v>
      </c>
      <c r="AC771">
        <v>94.480900000000005</v>
      </c>
      <c r="AD771">
        <v>-1.107828300093</v>
      </c>
      <c r="AE771">
        <v>0.42919999999997999</v>
      </c>
      <c r="AF771">
        <v>-7.1027528522300196E-2</v>
      </c>
      <c r="AG771">
        <v>-1.107828300093</v>
      </c>
      <c r="AH771">
        <v>94.468860327374699</v>
      </c>
      <c r="AI771">
        <v>90.671871751686197</v>
      </c>
      <c r="AJ771">
        <v>90.043078500498794</v>
      </c>
      <c r="AK771">
        <v>94.475382507853993</v>
      </c>
      <c r="AL771">
        <v>79.156402182925703</v>
      </c>
      <c r="AM771">
        <v>88.826070130516101</v>
      </c>
      <c r="AN771">
        <v>0.99999995939569197</v>
      </c>
    </row>
    <row r="772" spans="1:40" x14ac:dyDescent="0.25">
      <c r="A772" t="str">
        <f>"20190312172910117"</f>
        <v>20190312172910117</v>
      </c>
      <c r="B772" t="str">
        <f>"1552382950108339"</f>
        <v>1552382950108339</v>
      </c>
      <c r="C772" t="s">
        <v>40</v>
      </c>
      <c r="D772">
        <v>3.0823149999999999</v>
      </c>
      <c r="E772">
        <v>0.49483909999999998</v>
      </c>
      <c r="F772" t="s">
        <v>41</v>
      </c>
      <c r="G772">
        <v>-228.8835</v>
      </c>
      <c r="H772" s="1">
        <v>-8.0811290000000004E-7</v>
      </c>
      <c r="I772">
        <v>367.95490000000001</v>
      </c>
      <c r="J772">
        <v>-319.55250000000001</v>
      </c>
      <c r="K772">
        <v>1.107504</v>
      </c>
      <c r="L772">
        <v>367.5367</v>
      </c>
      <c r="M772">
        <v>0.99996459999999998</v>
      </c>
      <c r="N772">
        <v>0</v>
      </c>
      <c r="O772">
        <v>3.7907610000000001E-3</v>
      </c>
      <c r="P772">
        <v>0.98336990000000002</v>
      </c>
      <c r="Q772">
        <v>0.18087349999999999</v>
      </c>
      <c r="R772">
        <v>-1.6396330000000001E-2</v>
      </c>
      <c r="S772">
        <v>3.0579529999999999</v>
      </c>
      <c r="T772">
        <v>-3.7277459999999998E-2</v>
      </c>
      <c r="U772">
        <v>1.409912E-2</v>
      </c>
      <c r="V772">
        <v>2.0131240000000002E-2</v>
      </c>
      <c r="W772">
        <v>0.18827759999999999</v>
      </c>
      <c r="X772">
        <v>0.98190949999999999</v>
      </c>
      <c r="Y772">
        <v>-8.1995099999999997E-4</v>
      </c>
      <c r="Z772" s="1">
        <v>-4.1212270000000003E-5</v>
      </c>
      <c r="AA772">
        <v>0.99999959999999999</v>
      </c>
      <c r="AB772">
        <v>41</v>
      </c>
      <c r="AC772">
        <v>90.668999999999997</v>
      </c>
      <c r="AD772">
        <v>-1.1075048081129</v>
      </c>
      <c r="AE772">
        <v>0.41820000000001201</v>
      </c>
      <c r="AF772">
        <v>-7.4471677070964901E-2</v>
      </c>
      <c r="AG772">
        <v>-1.1075048081129</v>
      </c>
      <c r="AH772">
        <v>90.6564080542894</v>
      </c>
      <c r="AI772">
        <v>90.699919341336695</v>
      </c>
      <c r="AJ772">
        <v>90.047066852980507</v>
      </c>
      <c r="AK772">
        <v>90.663203308930704</v>
      </c>
      <c r="AL772">
        <v>79.147715991346402</v>
      </c>
      <c r="AM772">
        <v>88.825478805897703</v>
      </c>
      <c r="AN772">
        <v>0.999999993837973</v>
      </c>
    </row>
    <row r="773" spans="1:40" x14ac:dyDescent="0.25">
      <c r="A773" t="str">
        <f>"20190312172910128"</f>
        <v>20190312172910128</v>
      </c>
      <c r="B773" t="str">
        <f>"1552382950118099"</f>
        <v>1552382950118099</v>
      </c>
      <c r="C773" t="s">
        <v>40</v>
      </c>
      <c r="D773">
        <v>3.0616469999999998</v>
      </c>
      <c r="E773">
        <v>0.49484669999999997</v>
      </c>
      <c r="F773" t="s">
        <v>41</v>
      </c>
      <c r="G773">
        <v>-230.392</v>
      </c>
      <c r="H773" s="1">
        <v>-4.400721E-6</v>
      </c>
      <c r="I773">
        <v>367.94420000000002</v>
      </c>
      <c r="J773">
        <v>-319.36169999999998</v>
      </c>
      <c r="K773">
        <v>1.107156</v>
      </c>
      <c r="L773">
        <v>367.53739999999999</v>
      </c>
      <c r="M773">
        <v>0.99996149999999995</v>
      </c>
      <c r="N773">
        <v>0</v>
      </c>
      <c r="O773">
        <v>3.7911809999999998E-3</v>
      </c>
      <c r="P773">
        <v>0.98343210000000003</v>
      </c>
      <c r="Q773">
        <v>0.18053959999999999</v>
      </c>
      <c r="R773">
        <v>-1.6344919999999999E-2</v>
      </c>
      <c r="S773">
        <v>3.057922</v>
      </c>
      <c r="T773">
        <v>-3.7984009999999999E-2</v>
      </c>
      <c r="U773">
        <v>1.397705E-2</v>
      </c>
      <c r="V773">
        <v>2.008091E-2</v>
      </c>
      <c r="W773">
        <v>0.18833340000000001</v>
      </c>
      <c r="X773">
        <v>0.98189990000000005</v>
      </c>
      <c r="Y773">
        <v>-7.7965860000000001E-4</v>
      </c>
      <c r="Z773" s="1">
        <v>-4.224936E-5</v>
      </c>
      <c r="AA773">
        <v>0.99999970000000005</v>
      </c>
      <c r="AB773">
        <v>41</v>
      </c>
      <c r="AC773">
        <v>88.969699999999904</v>
      </c>
      <c r="AD773">
        <v>-1.1071604007210001</v>
      </c>
      <c r="AE773">
        <v>0.40680000000003202</v>
      </c>
      <c r="AF773">
        <v>-6.9475519129563096E-2</v>
      </c>
      <c r="AG773">
        <v>-1.1071604007210001</v>
      </c>
      <c r="AH773">
        <v>88.956827385692193</v>
      </c>
      <c r="AI773">
        <v>90.713068637383003</v>
      </c>
      <c r="AJ773">
        <v>90.044748147311793</v>
      </c>
      <c r="AK773">
        <v>88.9637441294403</v>
      </c>
      <c r="AL773">
        <v>79.144461410990303</v>
      </c>
      <c r="AM773">
        <v>88.828402948901697</v>
      </c>
      <c r="AN773">
        <v>1.00000006306099</v>
      </c>
    </row>
    <row r="774" spans="1:40" x14ac:dyDescent="0.25">
      <c r="A774" t="str">
        <f>"20190312172910138"</f>
        <v>20190312172910138</v>
      </c>
      <c r="B774" t="str">
        <f>"1552382950127859"</f>
        <v>1552382950127859</v>
      </c>
      <c r="C774" t="s">
        <v>40</v>
      </c>
      <c r="D774">
        <v>3.061064</v>
      </c>
      <c r="E774">
        <v>0.49483300000000002</v>
      </c>
      <c r="F774" t="s">
        <v>41</v>
      </c>
      <c r="G774">
        <v>-233.01570000000001</v>
      </c>
      <c r="H774" s="1">
        <v>-3.276421E-6</v>
      </c>
      <c r="I774">
        <v>367.93720000000002</v>
      </c>
      <c r="J774">
        <v>-319.16579999999999</v>
      </c>
      <c r="K774">
        <v>1.106749</v>
      </c>
      <c r="L774">
        <v>367.53820000000002</v>
      </c>
      <c r="M774">
        <v>0.99995769999999995</v>
      </c>
      <c r="N774">
        <v>0</v>
      </c>
      <c r="O774">
        <v>3.7922580000000002E-3</v>
      </c>
      <c r="P774">
        <v>0.9834695</v>
      </c>
      <c r="Q774">
        <v>0.18032500000000001</v>
      </c>
      <c r="R774">
        <v>-1.6464220000000002E-2</v>
      </c>
      <c r="S774">
        <v>3.058014</v>
      </c>
      <c r="T774">
        <v>-3.9210920000000003E-2</v>
      </c>
      <c r="U774">
        <v>1.416016E-2</v>
      </c>
      <c r="V774">
        <v>2.0201469999999999E-2</v>
      </c>
      <c r="W774">
        <v>0.1885858</v>
      </c>
      <c r="X774">
        <v>0.98184890000000002</v>
      </c>
      <c r="Y774">
        <v>-8.3831689999999996E-4</v>
      </c>
      <c r="Z774" s="1">
        <v>-4.3250559999999898E-5</v>
      </c>
      <c r="AA774">
        <v>0.99999959999999999</v>
      </c>
      <c r="AB774">
        <v>41</v>
      </c>
      <c r="AC774">
        <v>86.150099999999895</v>
      </c>
      <c r="AD774">
        <v>-1.106752276421</v>
      </c>
      <c r="AE774">
        <v>0.39900000000000002</v>
      </c>
      <c r="AF774">
        <v>-7.2270326899321197E-2</v>
      </c>
      <c r="AG774">
        <v>-1.106752276421</v>
      </c>
      <c r="AH774">
        <v>86.136777935638804</v>
      </c>
      <c r="AI774">
        <v>90.736139943433898</v>
      </c>
      <c r="AJ774">
        <v>90.048072192191995</v>
      </c>
      <c r="AK774">
        <v>86.143918164517302</v>
      </c>
      <c r="AL774">
        <v>79.129735211268198</v>
      </c>
      <c r="AM774">
        <v>88.821309791857104</v>
      </c>
      <c r="AN774">
        <v>0.99999998289150505</v>
      </c>
    </row>
    <row r="775" spans="1:40" x14ac:dyDescent="0.25">
      <c r="A775" t="str">
        <f>"20190312172910150"</f>
        <v>20190312172910150</v>
      </c>
      <c r="B775" t="str">
        <f>"1552382950138595"</f>
        <v>1552382950138595</v>
      </c>
      <c r="C775" t="s">
        <v>40</v>
      </c>
      <c r="D775">
        <v>3.0346549999999999</v>
      </c>
      <c r="E775">
        <v>0.49484040000000001</v>
      </c>
      <c r="F775" t="s">
        <v>41</v>
      </c>
      <c r="G775">
        <v>-234.38939999999999</v>
      </c>
      <c r="H775" s="1">
        <v>-2.6887210000000001E-6</v>
      </c>
      <c r="I775">
        <v>367.9282</v>
      </c>
      <c r="J775">
        <v>-318.96730000000002</v>
      </c>
      <c r="K775">
        <v>1.1062879999999999</v>
      </c>
      <c r="L775">
        <v>367.53890000000001</v>
      </c>
      <c r="M775">
        <v>0.99995179999999995</v>
      </c>
      <c r="N775">
        <v>0</v>
      </c>
      <c r="O775">
        <v>3.7933839999999999E-3</v>
      </c>
      <c r="P775">
        <v>0.98363230000000001</v>
      </c>
      <c r="Q775">
        <v>0.17943919999999999</v>
      </c>
      <c r="R775">
        <v>-1.6420049999999999E-2</v>
      </c>
      <c r="S775">
        <v>3.0579830000000001</v>
      </c>
      <c r="T775">
        <v>-3.9921760000000001E-2</v>
      </c>
      <c r="U775">
        <v>1.4068600000000001E-2</v>
      </c>
      <c r="V775">
        <v>2.0158829999999999E-2</v>
      </c>
      <c r="W775">
        <v>0.18835350000000001</v>
      </c>
      <c r="X775">
        <v>0.98189439999999995</v>
      </c>
      <c r="Y775">
        <v>-8.0728729999999995E-4</v>
      </c>
      <c r="Z775" s="1">
        <v>-4.4252560000000001E-5</v>
      </c>
      <c r="AA775">
        <v>0.99999970000000005</v>
      </c>
      <c r="AB775">
        <v>41</v>
      </c>
      <c r="AC775">
        <v>84.5779</v>
      </c>
      <c r="AD775">
        <v>-1.106290688721</v>
      </c>
      <c r="AE775">
        <v>0.38929999999999099</v>
      </c>
      <c r="AF775">
        <v>-6.8435881356611897E-2</v>
      </c>
      <c r="AG775">
        <v>-1.106290688721</v>
      </c>
      <c r="AH775">
        <v>84.564300442197293</v>
      </c>
      <c r="AI775">
        <v>90.749514282151793</v>
      </c>
      <c r="AJ775">
        <v>90.046368104418505</v>
      </c>
      <c r="AK775">
        <v>84.571564203554999</v>
      </c>
      <c r="AL775">
        <v>79.143288263217599</v>
      </c>
      <c r="AM775">
        <v>88.8238514865632</v>
      </c>
      <c r="AN775">
        <v>1.00000001607028</v>
      </c>
    </row>
    <row r="776" spans="1:40" x14ac:dyDescent="0.25">
      <c r="A776" t="str">
        <f>"20190312172910162"</f>
        <v>20190312172910162</v>
      </c>
      <c r="B776" t="str">
        <f>"1552382950158115"</f>
        <v>1552382950158115</v>
      </c>
      <c r="C776" t="s">
        <v>40</v>
      </c>
      <c r="D776">
        <v>3.0223390000000001</v>
      </c>
      <c r="E776">
        <v>0.49484329999999999</v>
      </c>
      <c r="F776" t="s">
        <v>41</v>
      </c>
      <c r="G776">
        <v>-239.7439</v>
      </c>
      <c r="H776" s="1">
        <v>-5.2775819999999899E-7</v>
      </c>
      <c r="I776">
        <v>367.90809999999999</v>
      </c>
      <c r="J776">
        <v>-318.74509999999998</v>
      </c>
      <c r="K776">
        <v>1.105742</v>
      </c>
      <c r="L776">
        <v>367.53980000000001</v>
      </c>
      <c r="M776">
        <v>0.99994360000000004</v>
      </c>
      <c r="N776">
        <v>0</v>
      </c>
      <c r="O776">
        <v>3.7948040000000001E-3</v>
      </c>
      <c r="P776">
        <v>0.98378989999999999</v>
      </c>
      <c r="Q776">
        <v>0.1785649</v>
      </c>
      <c r="R776">
        <v>-1.6497999999999999E-2</v>
      </c>
      <c r="S776">
        <v>3.0579529999999999</v>
      </c>
      <c r="T776">
        <v>-4.2701719999999999E-2</v>
      </c>
      <c r="U776">
        <v>1.4251710000000001E-2</v>
      </c>
      <c r="V776">
        <v>2.023902E-2</v>
      </c>
      <c r="W776">
        <v>0.18832589999999999</v>
      </c>
      <c r="X776">
        <v>0.98189800000000005</v>
      </c>
      <c r="Y776">
        <v>-8.6579069999999998E-4</v>
      </c>
      <c r="Z776" s="1">
        <v>-4.6946069999999999E-5</v>
      </c>
      <c r="AA776">
        <v>0.99999959999999999</v>
      </c>
      <c r="AB776">
        <v>41</v>
      </c>
      <c r="AC776">
        <v>79.001199999999898</v>
      </c>
      <c r="AD776">
        <v>-1.1057425277582</v>
      </c>
      <c r="AE776">
        <v>0.36829999999997598</v>
      </c>
      <c r="AF776">
        <v>-6.8475113531154999E-2</v>
      </c>
      <c r="AG776">
        <v>-1.1057425277582</v>
      </c>
      <c r="AH776">
        <v>78.986555455859602</v>
      </c>
      <c r="AI776">
        <v>90.802037989285694</v>
      </c>
      <c r="AJ776">
        <v>90.049670909200998</v>
      </c>
      <c r="AK776">
        <v>78.9943244680303</v>
      </c>
      <c r="AL776">
        <v>79.144897963563906</v>
      </c>
      <c r="AM776">
        <v>88.819178524484798</v>
      </c>
      <c r="AN776">
        <v>0.99999997247268402</v>
      </c>
    </row>
    <row r="777" spans="1:40" x14ac:dyDescent="0.25">
      <c r="A777" t="str">
        <f>"20190312172910173"</f>
        <v>20190312172910173</v>
      </c>
      <c r="B777" t="str">
        <f>"1552382950167875"</f>
        <v>1552382950167875</v>
      </c>
      <c r="C777" t="s">
        <v>40</v>
      </c>
      <c r="D777">
        <v>3.0462229999999999</v>
      </c>
      <c r="E777">
        <v>0.4948495</v>
      </c>
      <c r="F777" t="s">
        <v>41</v>
      </c>
      <c r="G777">
        <v>-244.5078</v>
      </c>
      <c r="H777" s="1">
        <v>-2.8861830000000002E-6</v>
      </c>
      <c r="I777">
        <v>367.87169999999998</v>
      </c>
      <c r="J777">
        <v>-318.53789999999998</v>
      </c>
      <c r="K777">
        <v>1.1051070000000001</v>
      </c>
      <c r="L777">
        <v>367.54050000000001</v>
      </c>
      <c r="M777">
        <v>0.99993549999999998</v>
      </c>
      <c r="N777">
        <v>0</v>
      </c>
      <c r="O777">
        <v>3.796149E-3</v>
      </c>
      <c r="P777">
        <v>0.98396240000000001</v>
      </c>
      <c r="Q777">
        <v>0.1776208</v>
      </c>
      <c r="R777">
        <v>-1.6394180000000001E-2</v>
      </c>
      <c r="S777">
        <v>3.0578919999999998</v>
      </c>
      <c r="T777">
        <v>-4.5546410000000002E-2</v>
      </c>
      <c r="U777">
        <v>1.3671880000000001E-2</v>
      </c>
      <c r="V777">
        <v>2.0137289999999999E-2</v>
      </c>
      <c r="W777">
        <v>0.18814320000000001</v>
      </c>
      <c r="X777">
        <v>0.98193509999999995</v>
      </c>
      <c r="Y777">
        <v>-6.7495469999999998E-4</v>
      </c>
      <c r="Z777" s="1">
        <v>-5.151581E-5</v>
      </c>
      <c r="AA777">
        <v>0.99999979999999999</v>
      </c>
      <c r="AB777">
        <v>41</v>
      </c>
      <c r="AC777">
        <v>74.030099999999905</v>
      </c>
      <c r="AD777">
        <v>-1.105109886183</v>
      </c>
      <c r="AE777">
        <v>0.33119999999996702</v>
      </c>
      <c r="AF777">
        <v>-5.0141047709923198E-2</v>
      </c>
      <c r="AG777">
        <v>-1.105109886183</v>
      </c>
      <c r="AH777">
        <v>74.014330813630096</v>
      </c>
      <c r="AI777">
        <v>90.855421004232795</v>
      </c>
      <c r="AJ777">
        <v>90.038815050316202</v>
      </c>
      <c r="AK777">
        <v>74.0225975481452</v>
      </c>
      <c r="AL777">
        <v>79.155556266869098</v>
      </c>
      <c r="AM777">
        <v>88.825156549910204</v>
      </c>
      <c r="AN777">
        <v>0.99999995738339598</v>
      </c>
    </row>
    <row r="778" spans="1:40" x14ac:dyDescent="0.25">
      <c r="A778" t="str">
        <f>"20190312172910185"</f>
        <v>20190312172910185</v>
      </c>
      <c r="B778" t="str">
        <f>"1552382950178611"</f>
        <v>1552382950178611</v>
      </c>
      <c r="C778" t="s">
        <v>40</v>
      </c>
      <c r="D778">
        <v>3.0423689999999999</v>
      </c>
      <c r="E778">
        <v>0.49486639999999998</v>
      </c>
      <c r="F778" t="s">
        <v>41</v>
      </c>
      <c r="G778">
        <v>-248.9742</v>
      </c>
      <c r="H778" s="1">
        <v>-8.454918E-7</v>
      </c>
      <c r="I778">
        <v>367.85989999999998</v>
      </c>
      <c r="J778">
        <v>-318.32990000000001</v>
      </c>
      <c r="K778">
        <v>1.1044320000000001</v>
      </c>
      <c r="L778">
        <v>367.54129999999998</v>
      </c>
      <c r="M778">
        <v>0.99992709999999996</v>
      </c>
      <c r="N778">
        <v>0</v>
      </c>
      <c r="O778">
        <v>3.7971400000000001E-3</v>
      </c>
      <c r="P778">
        <v>0.98412809999999995</v>
      </c>
      <c r="Q778">
        <v>0.1767051</v>
      </c>
      <c r="R778">
        <v>-1.636234E-2</v>
      </c>
      <c r="S778">
        <v>3.0578919999999998</v>
      </c>
      <c r="T778">
        <v>-4.8578499999999997E-2</v>
      </c>
      <c r="U778">
        <v>1.403809E-2</v>
      </c>
      <c r="V778">
        <v>2.010692E-2</v>
      </c>
      <c r="W778">
        <v>0.18797700000000001</v>
      </c>
      <c r="X778">
        <v>0.98196760000000005</v>
      </c>
      <c r="Y778">
        <v>-7.9372060000000003E-4</v>
      </c>
      <c r="Z778" s="1">
        <v>-5.4017800000000003E-5</v>
      </c>
      <c r="AA778">
        <v>0.99999970000000005</v>
      </c>
      <c r="AB778">
        <v>41</v>
      </c>
      <c r="AC778">
        <v>69.355699999999999</v>
      </c>
      <c r="AD778">
        <v>-1.1044328454918</v>
      </c>
      <c r="AE778">
        <v>0.31860000000000299</v>
      </c>
      <c r="AF778">
        <v>-5.5213098630358302E-2</v>
      </c>
      <c r="AG778">
        <v>-1.1044328454918</v>
      </c>
      <c r="AH778">
        <v>69.338827245187403</v>
      </c>
      <c r="AI778">
        <v>90.912533030734807</v>
      </c>
      <c r="AJ778">
        <v>90.045623454887107</v>
      </c>
      <c r="AK778">
        <v>69.347644402203002</v>
      </c>
      <c r="AL778">
        <v>79.1652523308627</v>
      </c>
      <c r="AM778">
        <v>88.826966705534105</v>
      </c>
      <c r="AN778">
        <v>1.0000000041053201</v>
      </c>
    </row>
    <row r="779" spans="1:40" x14ac:dyDescent="0.25">
      <c r="A779" t="str">
        <f>"20190312172910195"</f>
        <v>20190312172910195</v>
      </c>
      <c r="B779" t="str">
        <f>"1552382950188371"</f>
        <v>1552382950188371</v>
      </c>
      <c r="C779" t="s">
        <v>40</v>
      </c>
      <c r="D779">
        <v>3.0286050000000002</v>
      </c>
      <c r="E779">
        <v>0.49489260000000002</v>
      </c>
      <c r="F779" t="s">
        <v>41</v>
      </c>
      <c r="G779">
        <v>-252.65880000000001</v>
      </c>
      <c r="H779" s="1">
        <v>-3.4470749999999999E-6</v>
      </c>
      <c r="I779">
        <v>367.83819999999997</v>
      </c>
      <c r="J779">
        <v>-318.13029999999998</v>
      </c>
      <c r="K779">
        <v>1.1036539999999999</v>
      </c>
      <c r="L779">
        <v>367.5421</v>
      </c>
      <c r="M779">
        <v>0.99991909999999895</v>
      </c>
      <c r="N779">
        <v>0</v>
      </c>
      <c r="O779">
        <v>3.7976860000000002E-3</v>
      </c>
      <c r="P779">
        <v>0.98426539999999996</v>
      </c>
      <c r="Q779">
        <v>0.1759435</v>
      </c>
      <c r="R779">
        <v>-1.6286120000000001E-2</v>
      </c>
      <c r="S779">
        <v>3.0578609999999999</v>
      </c>
      <c r="T779">
        <v>-5.1426050000000001E-2</v>
      </c>
      <c r="U779">
        <v>1.382446E-2</v>
      </c>
      <c r="V779">
        <v>2.0031879999999998E-2</v>
      </c>
      <c r="W779">
        <v>0.1878763</v>
      </c>
      <c r="X779">
        <v>0.98198839999999998</v>
      </c>
      <c r="Y779">
        <v>-7.2338619999999998E-4</v>
      </c>
      <c r="Z779" s="1">
        <v>-5.7785419999999897E-5</v>
      </c>
      <c r="AA779">
        <v>0.99999979999999999</v>
      </c>
      <c r="AB779">
        <v>41</v>
      </c>
      <c r="AC779">
        <v>65.471499999999907</v>
      </c>
      <c r="AD779">
        <v>-1.103657447075</v>
      </c>
      <c r="AE779">
        <v>0.296099999999967</v>
      </c>
      <c r="AF779">
        <v>-4.74258659906363E-2</v>
      </c>
      <c r="AG779">
        <v>-1.103657447075</v>
      </c>
      <c r="AH779">
        <v>65.453553430550201</v>
      </c>
      <c r="AI779">
        <v>90.966011804528904</v>
      </c>
      <c r="AJ779">
        <v>90.041514957447902</v>
      </c>
      <c r="AK779">
        <v>65.462874712764801</v>
      </c>
      <c r="AL779">
        <v>79.171126623043904</v>
      </c>
      <c r="AM779">
        <v>88.831368053311294</v>
      </c>
      <c r="AN779">
        <v>0.999999999026292</v>
      </c>
    </row>
    <row r="780" spans="1:40" x14ac:dyDescent="0.25">
      <c r="A780" t="str">
        <f>"20190312172910207"</f>
        <v>20190312172910207</v>
      </c>
      <c r="B780" t="str">
        <f>"1552382950198131"</f>
        <v>1552382950198131</v>
      </c>
      <c r="C780" t="s">
        <v>40</v>
      </c>
      <c r="D780">
        <v>3.0113439999999998</v>
      </c>
      <c r="E780">
        <v>0.49491190000000002</v>
      </c>
      <c r="F780" t="s">
        <v>41</v>
      </c>
      <c r="G780">
        <v>-255.44669999999999</v>
      </c>
      <c r="H780" s="1">
        <v>-2.253894E-6</v>
      </c>
      <c r="I780">
        <v>367.82229999999998</v>
      </c>
      <c r="J780">
        <v>-317.92959999999999</v>
      </c>
      <c r="K780">
        <v>1.102822</v>
      </c>
      <c r="L780">
        <v>367.5428</v>
      </c>
      <c r="M780">
        <v>0.99991110000000005</v>
      </c>
      <c r="N780">
        <v>0</v>
      </c>
      <c r="O780">
        <v>3.797683E-3</v>
      </c>
      <c r="P780">
        <v>0.98441789999999996</v>
      </c>
      <c r="Q780">
        <v>0.17509079999999999</v>
      </c>
      <c r="R780">
        <v>-1.6278649999999999E-2</v>
      </c>
      <c r="S780">
        <v>3.0577999999999999</v>
      </c>
      <c r="T780">
        <v>-5.3837900000000001E-2</v>
      </c>
      <c r="U780">
        <v>1.3671880000000001E-2</v>
      </c>
      <c r="V780">
        <v>2.0024770000000001E-2</v>
      </c>
      <c r="W780">
        <v>0.1876604</v>
      </c>
      <c r="X780">
        <v>0.98202990000000001</v>
      </c>
      <c r="Y780">
        <v>-6.7359929999999998E-4</v>
      </c>
      <c r="Z780" s="1">
        <v>-6.0935040000000001E-5</v>
      </c>
      <c r="AA780">
        <v>0.99999979999999999</v>
      </c>
      <c r="AB780">
        <v>41</v>
      </c>
      <c r="AC780">
        <v>62.482900000000001</v>
      </c>
      <c r="AD780">
        <v>-1.1028242538940001</v>
      </c>
      <c r="AE780">
        <v>0.27949999999998398</v>
      </c>
      <c r="AF780">
        <v>-4.2175213328762701E-2</v>
      </c>
      <c r="AG780">
        <v>-1.1028242538940001</v>
      </c>
      <c r="AH780">
        <v>62.464052281211302</v>
      </c>
      <c r="AI780">
        <v>91.011471309219004</v>
      </c>
      <c r="AJ780">
        <v>90.038685632269093</v>
      </c>
      <c r="AK780">
        <v>62.473801128741101</v>
      </c>
      <c r="AL780">
        <v>79.183721575913296</v>
      </c>
      <c r="AM780">
        <v>88.831832080316602</v>
      </c>
      <c r="AN780">
        <v>1.00000007081785</v>
      </c>
    </row>
    <row r="781" spans="1:40" x14ac:dyDescent="0.25">
      <c r="A781" t="str">
        <f>"20190312172910220"</f>
        <v>20190312172910220</v>
      </c>
      <c r="B781" t="str">
        <f>"1552382950207891"</f>
        <v>1552382950207891</v>
      </c>
      <c r="C781" t="s">
        <v>40</v>
      </c>
      <c r="D781">
        <v>3.0348769999999998</v>
      </c>
      <c r="E781">
        <v>0.49492249999999999</v>
      </c>
      <c r="F781" t="s">
        <v>41</v>
      </c>
      <c r="G781">
        <v>-258.34070000000003</v>
      </c>
      <c r="H781" s="1">
        <v>-1.0317110000000001E-6</v>
      </c>
      <c r="I781">
        <v>367.80869999999999</v>
      </c>
      <c r="J781">
        <v>-317.67590000000001</v>
      </c>
      <c r="K781">
        <v>1.1016429999999999</v>
      </c>
      <c r="L781">
        <v>367.54379999999998</v>
      </c>
      <c r="M781">
        <v>0.99990129999999999</v>
      </c>
      <c r="N781">
        <v>0</v>
      </c>
      <c r="O781">
        <v>3.7978170000000002E-3</v>
      </c>
      <c r="P781">
        <v>0.98452839999999997</v>
      </c>
      <c r="Q781">
        <v>0.1744782</v>
      </c>
      <c r="R781">
        <v>-1.6164410000000001E-2</v>
      </c>
      <c r="S781">
        <v>3.0577390000000002</v>
      </c>
      <c r="T781">
        <v>-5.6590080000000001E-2</v>
      </c>
      <c r="U781">
        <v>1.364136E-2</v>
      </c>
      <c r="V781">
        <v>1.9910890000000001E-2</v>
      </c>
      <c r="W781">
        <v>0.18778120000000001</v>
      </c>
      <c r="X781">
        <v>0.98200909999999997</v>
      </c>
      <c r="Y781">
        <v>-6.6358929999999904E-4</v>
      </c>
      <c r="Z781" s="1">
        <v>-6.4146599999999993E-5</v>
      </c>
      <c r="AA781">
        <v>0.99999979999999999</v>
      </c>
      <c r="AB781">
        <v>41</v>
      </c>
      <c r="AC781">
        <v>59.335199999999901</v>
      </c>
      <c r="AD781">
        <v>-1.1016440317109999</v>
      </c>
      <c r="AE781">
        <v>0.26490000000001102</v>
      </c>
      <c r="AF781">
        <v>-3.9519617256048398E-2</v>
      </c>
      <c r="AG781">
        <v>-1.1016440317109999</v>
      </c>
      <c r="AH781">
        <v>59.315331783229801</v>
      </c>
      <c r="AI781">
        <v>91.064012989072793</v>
      </c>
      <c r="AJ781">
        <v>90.038174058436894</v>
      </c>
      <c r="AK781">
        <v>59.325574299178797</v>
      </c>
      <c r="AL781">
        <v>79.176674719912398</v>
      </c>
      <c r="AM781">
        <v>88.838448979869298</v>
      </c>
      <c r="AN781">
        <v>1.0000000475484101</v>
      </c>
    </row>
    <row r="782" spans="1:40" x14ac:dyDescent="0.25">
      <c r="A782" t="str">
        <f>"20190312172910242"</f>
        <v>20190312172910242</v>
      </c>
      <c r="B782" t="str">
        <f>"1552382950238148"</f>
        <v>1552382950238148</v>
      </c>
      <c r="C782" t="s">
        <v>40</v>
      </c>
      <c r="D782">
        <v>3.0198200000000002</v>
      </c>
      <c r="E782">
        <v>0.49497429999999898</v>
      </c>
      <c r="F782" t="s">
        <v>41</v>
      </c>
      <c r="G782">
        <v>-260.10860000000002</v>
      </c>
      <c r="H782" s="1">
        <v>-4.5468729999999999E-6</v>
      </c>
      <c r="I782">
        <v>367.80579999999998</v>
      </c>
      <c r="J782">
        <v>-317.28840000000002</v>
      </c>
      <c r="K782">
        <v>1.099621</v>
      </c>
      <c r="L782">
        <v>367.5453</v>
      </c>
      <c r="M782">
        <v>0.99988759999999999</v>
      </c>
      <c r="N782">
        <v>0</v>
      </c>
      <c r="O782">
        <v>3.797305E-3</v>
      </c>
      <c r="P782">
        <v>0.98471379999999997</v>
      </c>
      <c r="Q782">
        <v>0.17343939999999999</v>
      </c>
      <c r="R782">
        <v>-1.6056540000000001E-2</v>
      </c>
      <c r="S782">
        <v>3.057709</v>
      </c>
      <c r="T782">
        <v>-5.8514360000000001E-2</v>
      </c>
      <c r="U782">
        <v>1.3916019999999999E-2</v>
      </c>
      <c r="V782">
        <v>1.980312E-2</v>
      </c>
      <c r="W782">
        <v>0.18770490000000001</v>
      </c>
      <c r="X782">
        <v>0.98202579999999995</v>
      </c>
      <c r="Y782">
        <v>-7.5393849999999996E-4</v>
      </c>
      <c r="Z782" s="1">
        <v>-6.5454849999999897E-5</v>
      </c>
      <c r="AA782">
        <v>0.99999970000000005</v>
      </c>
      <c r="AB782">
        <v>41</v>
      </c>
      <c r="AC782">
        <v>57.1798</v>
      </c>
      <c r="AD782">
        <v>-1.0996255468730001</v>
      </c>
      <c r="AE782">
        <v>0.26049999999997903</v>
      </c>
      <c r="AF782">
        <v>-4.3330114391336397E-2</v>
      </c>
      <c r="AG782">
        <v>-1.0996255468730001</v>
      </c>
      <c r="AH782">
        <v>57.159238089668698</v>
      </c>
      <c r="AI782">
        <v>91.102116054643901</v>
      </c>
      <c r="AJ782">
        <v>90.043433612620802</v>
      </c>
      <c r="AK782">
        <v>57.169830792417002</v>
      </c>
      <c r="AL782">
        <v>79.181124818492904</v>
      </c>
      <c r="AM782">
        <v>88.844753941628497</v>
      </c>
      <c r="AN782">
        <v>0.99999998245569199</v>
      </c>
    </row>
    <row r="783" spans="1:40" x14ac:dyDescent="0.25">
      <c r="A783" t="str">
        <f>"20190312172910255"</f>
        <v>20190312172910255</v>
      </c>
      <c r="B783" t="str">
        <f>"1552382950247907"</f>
        <v>1552382950247907</v>
      </c>
      <c r="C783" t="s">
        <v>40</v>
      </c>
      <c r="D783">
        <v>2.9912899999999998</v>
      </c>
      <c r="E783">
        <v>0.49499110000000002</v>
      </c>
      <c r="F783" t="s">
        <v>41</v>
      </c>
      <c r="G783">
        <v>-262.71820000000002</v>
      </c>
      <c r="H783" s="1">
        <v>-3.4294079999999999E-6</v>
      </c>
      <c r="I783">
        <v>367.79419999999999</v>
      </c>
      <c r="J783">
        <v>-317.04050000000001</v>
      </c>
      <c r="K783">
        <v>1.0981730000000001</v>
      </c>
      <c r="L783">
        <v>367.5462</v>
      </c>
      <c r="M783">
        <v>0.99988049999999995</v>
      </c>
      <c r="N783">
        <v>0</v>
      </c>
      <c r="O783">
        <v>3.7970550000000001E-3</v>
      </c>
      <c r="P783">
        <v>0.98483220000000005</v>
      </c>
      <c r="Q783">
        <v>0.17274890000000001</v>
      </c>
      <c r="R783">
        <v>-1.6233239999999999E-2</v>
      </c>
      <c r="S783">
        <v>3.057617</v>
      </c>
      <c r="T783">
        <v>-6.1612840000000002E-2</v>
      </c>
      <c r="U783">
        <v>1.394653E-2</v>
      </c>
      <c r="V783">
        <v>1.9980250000000001E-2</v>
      </c>
      <c r="W783">
        <v>0.18749080000000001</v>
      </c>
      <c r="X783">
        <v>0.98206309999999997</v>
      </c>
      <c r="Y783">
        <v>-7.6433549999999995E-4</v>
      </c>
      <c r="Z783" s="1">
        <v>-6.8813009999999994E-5</v>
      </c>
      <c r="AA783">
        <v>0.99999970000000005</v>
      </c>
      <c r="AB783">
        <v>41</v>
      </c>
      <c r="AC783">
        <v>54.322299999999899</v>
      </c>
      <c r="AD783">
        <v>-1.0981764294079901</v>
      </c>
      <c r="AE783">
        <v>0.24799999999999001</v>
      </c>
      <c r="AF783">
        <v>-4.16932478162612E-2</v>
      </c>
      <c r="AG783">
        <v>-1.0981764294079901</v>
      </c>
      <c r="AH783">
        <v>54.300658723408297</v>
      </c>
      <c r="AI783">
        <v>91.1585914643574</v>
      </c>
      <c r="AJ783">
        <v>90.043992959215899</v>
      </c>
      <c r="AK783">
        <v>54.311778350493</v>
      </c>
      <c r="AL783">
        <v>79.193613450859004</v>
      </c>
      <c r="AM783">
        <v>88.8344678811835</v>
      </c>
      <c r="AN783">
        <v>0.999999971428155</v>
      </c>
    </row>
    <row r="784" spans="1:40" x14ac:dyDescent="0.25">
      <c r="A784" t="str">
        <f>"20190312172910267"</f>
        <v>20190312172910267</v>
      </c>
      <c r="B784" t="str">
        <f>"1552382950258644"</f>
        <v>1552382950258644</v>
      </c>
      <c r="C784" t="s">
        <v>40</v>
      </c>
      <c r="D784">
        <v>2.9897140000000002</v>
      </c>
      <c r="E784">
        <v>0.49499789999999999</v>
      </c>
      <c r="F784" t="s">
        <v>41</v>
      </c>
      <c r="G784">
        <v>-264.36399999999998</v>
      </c>
      <c r="H784" s="1">
        <v>-2.7261559999999999E-6</v>
      </c>
      <c r="I784">
        <v>367.77859999999998</v>
      </c>
      <c r="J784">
        <v>-316.82369999999997</v>
      </c>
      <c r="K784">
        <v>1.0968549999999999</v>
      </c>
      <c r="L784">
        <v>367.5471</v>
      </c>
      <c r="M784">
        <v>0.99987490000000001</v>
      </c>
      <c r="N784">
        <v>0</v>
      </c>
      <c r="O784">
        <v>3.7971419999999999E-3</v>
      </c>
      <c r="P784">
        <v>0.98491949999999995</v>
      </c>
      <c r="Q784">
        <v>0.17224679999999901</v>
      </c>
      <c r="R784">
        <v>-1.6269680000000002E-2</v>
      </c>
      <c r="S784">
        <v>3.0576479999999999</v>
      </c>
      <c r="T784">
        <v>-6.3744309999999998E-2</v>
      </c>
      <c r="U784">
        <v>1.3488770000000001E-2</v>
      </c>
      <c r="V784">
        <v>2.0017070000000001E-2</v>
      </c>
      <c r="W784">
        <v>0.1873465</v>
      </c>
      <c r="X784">
        <v>0.98208989999999996</v>
      </c>
      <c r="Y784">
        <v>-6.1455039999999998E-4</v>
      </c>
      <c r="Z784" s="1">
        <v>-7.2755769999999895E-5</v>
      </c>
      <c r="AA784">
        <v>0.99999979999999999</v>
      </c>
      <c r="AB784">
        <v>41</v>
      </c>
      <c r="AC784">
        <v>52.459699999999899</v>
      </c>
      <c r="AD784">
        <v>-1.096857726156</v>
      </c>
      <c r="AE784">
        <v>0.231499999999982</v>
      </c>
      <c r="AF784">
        <v>-3.22638099642975E-2</v>
      </c>
      <c r="AG784">
        <v>-1.096857726156</v>
      </c>
      <c r="AH784">
        <v>52.4372773755696</v>
      </c>
      <c r="AI784">
        <v>91.198310558070105</v>
      </c>
      <c r="AJ784">
        <v>90.035253163421302</v>
      </c>
      <c r="AK784">
        <v>52.448757815483901</v>
      </c>
      <c r="AL784">
        <v>79.2020305045409</v>
      </c>
      <c r="AM784">
        <v>88.832352465348706</v>
      </c>
      <c r="AN784">
        <v>0.99999998291782199</v>
      </c>
    </row>
    <row r="785" spans="1:40" x14ac:dyDescent="0.25">
      <c r="A785" t="str">
        <f>"20190312172910279"</f>
        <v>20190312172910279</v>
      </c>
      <c r="B785" t="str">
        <f>"1552382950268404"</f>
        <v>1552382950268404</v>
      </c>
      <c r="C785" t="s">
        <v>40</v>
      </c>
      <c r="D785">
        <v>2.9688349999999999</v>
      </c>
      <c r="E785">
        <v>0.49500929999999999</v>
      </c>
      <c r="F785" t="s">
        <v>41</v>
      </c>
      <c r="G785">
        <v>-265.48599999999999</v>
      </c>
      <c r="H785" s="1">
        <v>-2.2473469999999999E-6</v>
      </c>
      <c r="I785">
        <v>367.76429999999999</v>
      </c>
      <c r="J785">
        <v>-316.59109999999998</v>
      </c>
      <c r="K785">
        <v>1.095356</v>
      </c>
      <c r="L785">
        <v>367.54790000000003</v>
      </c>
      <c r="M785">
        <v>0.9998707</v>
      </c>
      <c r="N785">
        <v>0</v>
      </c>
      <c r="O785">
        <v>3.7971400000000001E-3</v>
      </c>
      <c r="P785">
        <v>0.98498140000000001</v>
      </c>
      <c r="Q785">
        <v>0.17190250000000001</v>
      </c>
      <c r="R785">
        <v>-1.6171040000000001E-2</v>
      </c>
      <c r="S785">
        <v>3.0575559999999999</v>
      </c>
      <c r="T785">
        <v>-6.5326209999999996E-2</v>
      </c>
      <c r="U785">
        <v>1.293945E-2</v>
      </c>
      <c r="V785">
        <v>1.991884E-2</v>
      </c>
      <c r="W785">
        <v>0.18728049999999999</v>
      </c>
      <c r="X785">
        <v>0.98210450000000005</v>
      </c>
      <c r="Y785">
        <v>-4.3508799999999998E-4</v>
      </c>
      <c r="Z785" s="1">
        <v>-7.6480410000000001E-5</v>
      </c>
      <c r="AA785">
        <v>0.99999990000000005</v>
      </c>
      <c r="AB785">
        <v>41</v>
      </c>
      <c r="AC785">
        <v>51.105099999999901</v>
      </c>
      <c r="AD785">
        <v>-1.095358247347</v>
      </c>
      <c r="AE785">
        <v>0.21639999999996401</v>
      </c>
      <c r="AF785">
        <v>-2.23112758515083E-2</v>
      </c>
      <c r="AG785">
        <v>-1.095358247347</v>
      </c>
      <c r="AH785">
        <v>51.082086980718401</v>
      </c>
      <c r="AI785">
        <v>91.228410700216898</v>
      </c>
      <c r="AJ785">
        <v>90.025025247324606</v>
      </c>
      <c r="AK785">
        <v>51.093834440064697</v>
      </c>
      <c r="AL785">
        <v>79.205880322453794</v>
      </c>
      <c r="AM785">
        <v>88.838098169323899</v>
      </c>
      <c r="AN785">
        <v>0.99999999739372203</v>
      </c>
    </row>
    <row r="786" spans="1:40" x14ac:dyDescent="0.25">
      <c r="A786" t="str">
        <f>"20190312172910290"</f>
        <v>20190312172910290</v>
      </c>
      <c r="B786" t="str">
        <f>"1552382950287923"</f>
        <v>1552382950287923</v>
      </c>
      <c r="C786" t="s">
        <v>40</v>
      </c>
      <c r="D786">
        <v>2.9626079999999999</v>
      </c>
      <c r="E786">
        <v>0.49496299999999999</v>
      </c>
      <c r="F786" t="s">
        <v>41</v>
      </c>
      <c r="G786">
        <v>-266.0428</v>
      </c>
      <c r="H786" s="1">
        <v>-2.0072859999999999E-6</v>
      </c>
      <c r="I786">
        <v>367.77089999999998</v>
      </c>
      <c r="J786">
        <v>-316.38049999999998</v>
      </c>
      <c r="K786">
        <v>1.093934</v>
      </c>
      <c r="L786">
        <v>367.54880000000003</v>
      </c>
      <c r="M786">
        <v>0.99986810000000004</v>
      </c>
      <c r="N786">
        <v>0</v>
      </c>
      <c r="O786">
        <v>3.7980760000000001E-3</v>
      </c>
      <c r="P786">
        <v>0.98498960000000002</v>
      </c>
      <c r="Q786">
        <v>0.17184150000000001</v>
      </c>
      <c r="R786">
        <v>-1.632138E-2</v>
      </c>
      <c r="S786">
        <v>3.0575260000000002</v>
      </c>
      <c r="T786">
        <v>-6.6255090000000003E-2</v>
      </c>
      <c r="U786">
        <v>1.3488770000000001E-2</v>
      </c>
      <c r="V786">
        <v>2.007018E-2</v>
      </c>
      <c r="W786">
        <v>0.18737699999999999</v>
      </c>
      <c r="X786">
        <v>0.98208300000000004</v>
      </c>
      <c r="Y786">
        <v>-6.138227E-4</v>
      </c>
      <c r="Z786" s="1">
        <v>-7.5652539999999997E-5</v>
      </c>
      <c r="AA786">
        <v>0.99999979999999999</v>
      </c>
      <c r="AB786">
        <v>41</v>
      </c>
      <c r="AC786">
        <v>50.337699999999899</v>
      </c>
      <c r="AD786">
        <v>-1.093936007286</v>
      </c>
      <c r="AE786">
        <v>0.222099999999954</v>
      </c>
      <c r="AF786">
        <v>-3.0873565474790601E-2</v>
      </c>
      <c r="AG786">
        <v>-1.093936007286</v>
      </c>
      <c r="AH786">
        <v>50.314418599085698</v>
      </c>
      <c r="AI786">
        <v>91.245528275446205</v>
      </c>
      <c r="AJ786">
        <v>90.035157412675403</v>
      </c>
      <c r="AK786">
        <v>50.326318841428296</v>
      </c>
      <c r="AL786">
        <v>79.200251507435198</v>
      </c>
      <c r="AM786">
        <v>88.829247059396707</v>
      </c>
      <c r="AN786">
        <v>0.99999998557161596</v>
      </c>
    </row>
    <row r="787" spans="1:40" x14ac:dyDescent="0.25">
      <c r="A787" t="str">
        <f>"20190312172910302"</f>
        <v>20190312172910302</v>
      </c>
      <c r="B787" t="str">
        <f>"1552382950298660"</f>
        <v>1552382950298660</v>
      </c>
      <c r="C787" t="s">
        <v>40</v>
      </c>
      <c r="D787">
        <v>2.9930110000000001</v>
      </c>
      <c r="E787">
        <v>0.48333330000000002</v>
      </c>
      <c r="F787" t="s">
        <v>41</v>
      </c>
      <c r="G787">
        <v>-266.10829999999999</v>
      </c>
      <c r="H787" s="1">
        <v>-1.9794390000000001E-6</v>
      </c>
      <c r="I787">
        <v>367.76949999999999</v>
      </c>
      <c r="J787">
        <v>-316.15679999999998</v>
      </c>
      <c r="K787">
        <v>1.0923909999999999</v>
      </c>
      <c r="L787">
        <v>367.5496</v>
      </c>
      <c r="M787">
        <v>0.99986609999999998</v>
      </c>
      <c r="N787">
        <v>0</v>
      </c>
      <c r="O787">
        <v>3.7994349999999999E-3</v>
      </c>
      <c r="P787">
        <v>0.98499879999999995</v>
      </c>
      <c r="Q787">
        <v>0.17177100000000001</v>
      </c>
      <c r="R787">
        <v>-1.6507359999999999E-2</v>
      </c>
      <c r="S787">
        <v>3.0575559999999999</v>
      </c>
      <c r="T787">
        <v>-6.6533090000000003E-2</v>
      </c>
      <c r="U787">
        <v>1.3427730000000001E-2</v>
      </c>
      <c r="V787">
        <v>2.0257710000000002E-2</v>
      </c>
      <c r="W787">
        <v>0.1874248</v>
      </c>
      <c r="X787">
        <v>0.98207</v>
      </c>
      <c r="Y787">
        <v>-5.924608E-4</v>
      </c>
      <c r="Z787" s="1">
        <v>-7.6231270000000001E-5</v>
      </c>
      <c r="AA787">
        <v>0.99999979999999999</v>
      </c>
      <c r="AB787">
        <v>41</v>
      </c>
      <c r="AC787">
        <v>50.048499999999898</v>
      </c>
      <c r="AD787">
        <v>-1.0923929794389999</v>
      </c>
      <c r="AE787">
        <v>0.21989999999999499</v>
      </c>
      <c r="AF787">
        <v>-2.97041466323942E-2</v>
      </c>
      <c r="AG787">
        <v>-1.0923929794389999</v>
      </c>
      <c r="AH787">
        <v>50.0251425332983</v>
      </c>
      <c r="AI787">
        <v>91.250961963367402</v>
      </c>
      <c r="AJ787">
        <v>90.034021333070996</v>
      </c>
      <c r="AK787">
        <v>50.0370771551923</v>
      </c>
      <c r="AL787">
        <v>79.197463068323003</v>
      </c>
      <c r="AM787">
        <v>88.818295329516005</v>
      </c>
      <c r="AN787">
        <v>0.99999995768474104</v>
      </c>
    </row>
    <row r="788" spans="1:40" x14ac:dyDescent="0.25">
      <c r="A788" t="str">
        <f>"20190312172910319"</f>
        <v>20190312172910319</v>
      </c>
      <c r="B788" t="str">
        <f>"1552382950308420"</f>
        <v>1552382950308420</v>
      </c>
      <c r="C788" t="s">
        <v>40</v>
      </c>
      <c r="D788">
        <v>3.0163570000000002</v>
      </c>
      <c r="E788">
        <v>0.48276940000000002</v>
      </c>
      <c r="F788" t="s">
        <v>41</v>
      </c>
      <c r="G788">
        <v>-266.94920000000002</v>
      </c>
      <c r="H788" s="1">
        <v>-1.356192E-6</v>
      </c>
      <c r="I788">
        <v>369.24939999999998</v>
      </c>
      <c r="J788">
        <v>-315.86430000000001</v>
      </c>
      <c r="K788">
        <v>1.0903069999999999</v>
      </c>
      <c r="L788">
        <v>367.55070000000001</v>
      </c>
      <c r="M788">
        <v>0.99986419999999998</v>
      </c>
      <c r="N788">
        <v>0</v>
      </c>
      <c r="O788">
        <v>3.8013270000000002E-3</v>
      </c>
      <c r="P788">
        <v>0.98499199999999998</v>
      </c>
      <c r="Q788">
        <v>0.17180529999999999</v>
      </c>
      <c r="R788">
        <v>-1.6547929999999999E-2</v>
      </c>
      <c r="S788">
        <v>3.0592959999999998</v>
      </c>
      <c r="T788">
        <v>-6.7915320000000001E-2</v>
      </c>
      <c r="U788">
        <v>0.105682399999999</v>
      </c>
      <c r="V788">
        <v>2.0300479999999999E-2</v>
      </c>
      <c r="W788">
        <v>0.18757660000000001</v>
      </c>
      <c r="X788">
        <v>0.98204020000000003</v>
      </c>
      <c r="Y788">
        <v>-3.0717660000000001E-2</v>
      </c>
      <c r="Z788">
        <v>2.5645520000000001E-4</v>
      </c>
      <c r="AA788">
        <v>0.99952810000000003</v>
      </c>
      <c r="AB788">
        <v>41</v>
      </c>
      <c r="AC788">
        <v>48.915100000000002</v>
      </c>
      <c r="AD788">
        <v>-1.090308356192</v>
      </c>
      <c r="AE788">
        <v>1.6986999999999699</v>
      </c>
      <c r="AF788">
        <v>-1.51197122644471</v>
      </c>
      <c r="AG788">
        <v>-1.090308356192</v>
      </c>
      <c r="AH788">
        <v>48.896940156376402</v>
      </c>
      <c r="AI788">
        <v>91.276764713710094</v>
      </c>
      <c r="AJ788">
        <v>91.771112372950796</v>
      </c>
      <c r="AK788">
        <v>48.932459430907798</v>
      </c>
      <c r="AL788">
        <v>79.188609236572702</v>
      </c>
      <c r="AM788">
        <v>88.815765187892495</v>
      </c>
      <c r="AN788">
        <v>1.00000002238591</v>
      </c>
    </row>
    <row r="789" spans="1:40" x14ac:dyDescent="0.25">
      <c r="A789" t="str">
        <f>"20190312172910329"</f>
        <v>20190312172910329</v>
      </c>
      <c r="B789" t="str">
        <f>"1552382950318179"</f>
        <v>1552382950318179</v>
      </c>
      <c r="C789" t="s">
        <v>40</v>
      </c>
      <c r="D789">
        <v>3.0100419999999999</v>
      </c>
      <c r="E789">
        <v>0.48268119999999998</v>
      </c>
      <c r="F789" t="s">
        <v>41</v>
      </c>
      <c r="G789">
        <v>-260.42869999999999</v>
      </c>
      <c r="H789" s="1">
        <v>-4.1021839999999999E-6</v>
      </c>
      <c r="I789">
        <v>369.53840000000002</v>
      </c>
      <c r="J789">
        <v>-315.66320000000002</v>
      </c>
      <c r="K789">
        <v>1.0888629999999999</v>
      </c>
      <c r="L789">
        <v>367.55149999999998</v>
      </c>
      <c r="M789">
        <v>0.9998631</v>
      </c>
      <c r="N789">
        <v>0</v>
      </c>
      <c r="O789">
        <v>3.8026230000000002E-3</v>
      </c>
      <c r="P789">
        <v>0.98499130000000001</v>
      </c>
      <c r="Q789">
        <v>0.17181769999999999</v>
      </c>
      <c r="R789">
        <v>-1.6463129999999999E-2</v>
      </c>
      <c r="S789">
        <v>3.0580750000000001</v>
      </c>
      <c r="T789">
        <v>-6.0146449999999997E-2</v>
      </c>
      <c r="U789">
        <v>0.1096497</v>
      </c>
      <c r="V789">
        <v>2.0216899999999999E-2</v>
      </c>
      <c r="W789">
        <v>0.18765519999999999</v>
      </c>
      <c r="X789">
        <v>0.98202690000000004</v>
      </c>
      <c r="Y789">
        <v>-3.2026369999999998E-2</v>
      </c>
      <c r="Z789">
        <v>2.4004960000000001E-4</v>
      </c>
      <c r="AA789">
        <v>0.99948700000000001</v>
      </c>
      <c r="AB789">
        <v>41</v>
      </c>
      <c r="AC789">
        <v>55.234499999999997</v>
      </c>
      <c r="AD789">
        <v>-1.088867102184</v>
      </c>
      <c r="AE789">
        <v>1.9869000000000401</v>
      </c>
      <c r="AF789">
        <v>-1.77613305742477</v>
      </c>
      <c r="AG789">
        <v>-1.088867102184</v>
      </c>
      <c r="AH789">
        <v>55.220224826433103</v>
      </c>
      <c r="AI789">
        <v>91.129064059137093</v>
      </c>
      <c r="AJ789">
        <v>91.842257184578102</v>
      </c>
      <c r="AK789">
        <v>55.259510584927497</v>
      </c>
      <c r="AL789">
        <v>79.184024288731095</v>
      </c>
      <c r="AM789">
        <v>88.820623505208701</v>
      </c>
      <c r="AN789">
        <v>1.00000001472813</v>
      </c>
    </row>
    <row r="790" spans="1:40" x14ac:dyDescent="0.25">
      <c r="A790" t="str">
        <f>"20190312172910340"</f>
        <v>20190312172910340</v>
      </c>
      <c r="B790" t="str">
        <f>"1552382950327940"</f>
        <v>1552382950327940</v>
      </c>
      <c r="C790" t="s">
        <v>40</v>
      </c>
      <c r="D790">
        <v>2.9655300000000002</v>
      </c>
      <c r="E790">
        <v>0.48297289999999998</v>
      </c>
      <c r="F790" t="s">
        <v>41</v>
      </c>
      <c r="G790">
        <v>-261.02539999999999</v>
      </c>
      <c r="H790" s="1">
        <v>-3.8478839999999996E-6</v>
      </c>
      <c r="I790">
        <v>369.529</v>
      </c>
      <c r="J790">
        <v>-315.46510000000001</v>
      </c>
      <c r="K790">
        <v>1.0874330000000001</v>
      </c>
      <c r="L790">
        <v>367.55220000000003</v>
      </c>
      <c r="M790">
        <v>0.99986209999999998</v>
      </c>
      <c r="N790">
        <v>0</v>
      </c>
      <c r="O790">
        <v>3.8037040000000002E-3</v>
      </c>
      <c r="P790">
        <v>0.98495630000000001</v>
      </c>
      <c r="Q790">
        <v>0.17201379999999999</v>
      </c>
      <c r="R790">
        <v>-1.650248E-2</v>
      </c>
      <c r="S790">
        <v>3.0581969999999998</v>
      </c>
      <c r="T790">
        <v>-6.0946229999999997E-2</v>
      </c>
      <c r="U790">
        <v>0.1106873</v>
      </c>
      <c r="V790">
        <v>2.025712E-2</v>
      </c>
      <c r="W790">
        <v>0.18790770000000001</v>
      </c>
      <c r="X790">
        <v>0.98197780000000001</v>
      </c>
      <c r="Y790">
        <v>-3.236232E-2</v>
      </c>
      <c r="Z790">
        <v>2.4655430000000001E-4</v>
      </c>
      <c r="AA790">
        <v>0.99947620000000004</v>
      </c>
      <c r="AB790">
        <v>41</v>
      </c>
      <c r="AC790">
        <v>54.439700000000002</v>
      </c>
      <c r="AD790">
        <v>-1.087436847884</v>
      </c>
      <c r="AE790">
        <v>1.9767999999999599</v>
      </c>
      <c r="AF790">
        <v>-1.76898123041319</v>
      </c>
      <c r="AG790">
        <v>-1.087436847884</v>
      </c>
      <c r="AH790">
        <v>54.425138996725501</v>
      </c>
      <c r="AI790">
        <v>91.144037145450895</v>
      </c>
      <c r="AJ790">
        <v>91.8616303224386</v>
      </c>
      <c r="AK790">
        <v>54.464736924955297</v>
      </c>
      <c r="AL790">
        <v>79.169295220641899</v>
      </c>
      <c r="AM790">
        <v>88.818218818477305</v>
      </c>
      <c r="AN790">
        <v>1.00000002716141</v>
      </c>
    </row>
    <row r="791" spans="1:40" x14ac:dyDescent="0.25">
      <c r="A791" t="str">
        <f>"20190312172910351"</f>
        <v>20190312172910351</v>
      </c>
      <c r="B791" t="str">
        <f>"1552382950348436"</f>
        <v>1552382950348436</v>
      </c>
      <c r="C791" t="s">
        <v>40</v>
      </c>
      <c r="D791">
        <v>2.975705</v>
      </c>
      <c r="E791">
        <v>0.4830989</v>
      </c>
      <c r="F791" t="s">
        <v>41</v>
      </c>
      <c r="G791">
        <v>-264.27670000000001</v>
      </c>
      <c r="H791" s="1">
        <v>-2.4823349999999998E-6</v>
      </c>
      <c r="I791">
        <v>369.36399999999998</v>
      </c>
      <c r="J791">
        <v>-315.27089999999998</v>
      </c>
      <c r="K791">
        <v>1.0860350000000001</v>
      </c>
      <c r="L791">
        <v>367.553</v>
      </c>
      <c r="M791">
        <v>0.99986200000000003</v>
      </c>
      <c r="N791">
        <v>0</v>
      </c>
      <c r="O791">
        <v>3.804212E-3</v>
      </c>
      <c r="P791">
        <v>0.98497100000000004</v>
      </c>
      <c r="Q791">
        <v>0.17193720000000001</v>
      </c>
      <c r="R791">
        <v>-1.643358E-2</v>
      </c>
      <c r="S791">
        <v>3.059021</v>
      </c>
      <c r="T791">
        <v>-6.498516E-2</v>
      </c>
      <c r="U791">
        <v>0.10827639999999999</v>
      </c>
      <c r="V791">
        <v>2.018876E-2</v>
      </c>
      <c r="W791">
        <v>0.18784960000000001</v>
      </c>
      <c r="X791">
        <v>0.98199029999999998</v>
      </c>
      <c r="Y791">
        <v>-3.1564769999999999E-2</v>
      </c>
      <c r="Z791">
        <v>2.543442E-4</v>
      </c>
      <c r="AA791">
        <v>0.99950170000000005</v>
      </c>
      <c r="AB791">
        <v>41</v>
      </c>
      <c r="AC791">
        <v>50.9941999999999</v>
      </c>
      <c r="AD791">
        <v>-1.0860374823350001</v>
      </c>
      <c r="AE791">
        <v>1.81099999999997</v>
      </c>
      <c r="AF791">
        <v>-1.6162366148059499</v>
      </c>
      <c r="AG791">
        <v>-1.0860374823350001</v>
      </c>
      <c r="AH791">
        <v>50.977628239946</v>
      </c>
      <c r="AI791">
        <v>91.219843256392593</v>
      </c>
      <c r="AJ791">
        <v>91.815944177731097</v>
      </c>
      <c r="AK791">
        <v>51.014804509850002</v>
      </c>
      <c r="AL791">
        <v>79.172684203772704</v>
      </c>
      <c r="AM791">
        <v>88.8222207390194</v>
      </c>
      <c r="AN791">
        <v>1.00000000377229</v>
      </c>
    </row>
    <row r="792" spans="1:40" x14ac:dyDescent="0.25">
      <c r="A792" t="str">
        <f>"20190312172910363"</f>
        <v>20190312172910363</v>
      </c>
      <c r="B792" t="str">
        <f>"1552382950358195"</f>
        <v>1552382950358195</v>
      </c>
      <c r="C792" t="s">
        <v>40</v>
      </c>
      <c r="D792">
        <v>3.0211730000000001</v>
      </c>
      <c r="E792">
        <v>0.48302499999999998</v>
      </c>
      <c r="F792" t="s">
        <v>41</v>
      </c>
      <c r="G792">
        <v>-268.52449999999999</v>
      </c>
      <c r="H792" s="1">
        <v>-6.8891009999999998E-7</v>
      </c>
      <c r="I792">
        <v>369.20139999999998</v>
      </c>
      <c r="J792">
        <v>-315.0564</v>
      </c>
      <c r="K792">
        <v>1.0844910000000001</v>
      </c>
      <c r="L792">
        <v>367.55380000000002</v>
      </c>
      <c r="M792">
        <v>0.99986189999999997</v>
      </c>
      <c r="N792">
        <v>0</v>
      </c>
      <c r="O792">
        <v>3.8047020000000001E-3</v>
      </c>
      <c r="P792">
        <v>0.98498209999999997</v>
      </c>
      <c r="Q792">
        <v>0.1718594</v>
      </c>
      <c r="R792">
        <v>-1.6577459999999999E-2</v>
      </c>
      <c r="S792">
        <v>3.060028</v>
      </c>
      <c r="T792">
        <v>-7.1092009999999997E-2</v>
      </c>
      <c r="U792">
        <v>0.107910199999999</v>
      </c>
      <c r="V792">
        <v>2.033306E-2</v>
      </c>
      <c r="W792">
        <v>0.1877779</v>
      </c>
      <c r="X792">
        <v>0.98200100000000001</v>
      </c>
      <c r="Y792">
        <v>-3.143199E-2</v>
      </c>
      <c r="Z792">
        <v>2.7659560000000002E-4</v>
      </c>
      <c r="AA792">
        <v>0.99950589999999995</v>
      </c>
      <c r="AB792">
        <v>41</v>
      </c>
      <c r="AC792">
        <v>46.5319</v>
      </c>
      <c r="AD792">
        <v>-1.0844916889100999</v>
      </c>
      <c r="AE792">
        <v>1.64759999999995</v>
      </c>
      <c r="AF792">
        <v>-1.46972754798007</v>
      </c>
      <c r="AG792">
        <v>-1.0844916889100999</v>
      </c>
      <c r="AH792">
        <v>46.5125990742741</v>
      </c>
      <c r="AI792">
        <v>91.3350051588409</v>
      </c>
      <c r="AJ792">
        <v>91.809857487452007</v>
      </c>
      <c r="AK792">
        <v>46.548448888580303</v>
      </c>
      <c r="AL792">
        <v>79.176866354771406</v>
      </c>
      <c r="AM792">
        <v>88.813817830812994</v>
      </c>
      <c r="AN792">
        <v>0.99999996852918605</v>
      </c>
    </row>
    <row r="793" spans="1:40" x14ac:dyDescent="0.25">
      <c r="A793" t="str">
        <f>"20190312172910374"</f>
        <v>20190312172910374</v>
      </c>
      <c r="B793" t="str">
        <f>"1552382950367955"</f>
        <v>1552382950367955</v>
      </c>
      <c r="C793" t="s">
        <v>40</v>
      </c>
      <c r="D793">
        <v>3.002888</v>
      </c>
      <c r="E793">
        <v>0.48289749999999998</v>
      </c>
      <c r="F793" t="s">
        <v>41</v>
      </c>
      <c r="G793">
        <v>-267.35149999999999</v>
      </c>
      <c r="H793" s="1">
        <v>-1.1860979999999999E-6</v>
      </c>
      <c r="I793">
        <v>369.2353</v>
      </c>
      <c r="J793">
        <v>-314.84559999999999</v>
      </c>
      <c r="K793">
        <v>1.08301</v>
      </c>
      <c r="L793">
        <v>367.55459999999999</v>
      </c>
      <c r="M793">
        <v>0.99986280000000005</v>
      </c>
      <c r="N793">
        <v>0</v>
      </c>
      <c r="O793">
        <v>3.8046669999999999E-3</v>
      </c>
      <c r="P793">
        <v>0.98497500000000004</v>
      </c>
      <c r="Q793">
        <v>0.17190859999999999</v>
      </c>
      <c r="R793">
        <v>-1.649546E-2</v>
      </c>
      <c r="S793">
        <v>3.0596920000000001</v>
      </c>
      <c r="T793">
        <v>-6.9556950000000006E-2</v>
      </c>
      <c r="U793">
        <v>0.1078491</v>
      </c>
      <c r="V793">
        <v>2.025074E-2</v>
      </c>
      <c r="W793">
        <v>0.18776709999999999</v>
      </c>
      <c r="X793">
        <v>0.98200480000000001</v>
      </c>
      <c r="Y793">
        <v>-3.1416300000000001E-2</v>
      </c>
      <c r="Z793">
        <v>2.7047710000000001E-4</v>
      </c>
      <c r="AA793">
        <v>0.99950640000000002</v>
      </c>
      <c r="AB793">
        <v>41</v>
      </c>
      <c r="AC793">
        <v>47.494100000000003</v>
      </c>
      <c r="AD793">
        <v>-1.0830111860980001</v>
      </c>
      <c r="AE793">
        <v>1.6807000000000001</v>
      </c>
      <c r="AF793">
        <v>-1.49918653850817</v>
      </c>
      <c r="AG793">
        <v>-1.0830111860980001</v>
      </c>
      <c r="AH793">
        <v>47.4754960657108</v>
      </c>
      <c r="AI793">
        <v>91.306154031530994</v>
      </c>
      <c r="AJ793">
        <v>91.808691514912994</v>
      </c>
      <c r="AK793">
        <v>47.511505976887101</v>
      </c>
      <c r="AL793">
        <v>79.177496719382503</v>
      </c>
      <c r="AM793">
        <v>88.818623389494803</v>
      </c>
      <c r="AN793">
        <v>1.00000000176799</v>
      </c>
    </row>
    <row r="794" spans="1:40" x14ac:dyDescent="0.25">
      <c r="A794" t="str">
        <f>"20190312172910385"</f>
        <v>20190312172910385</v>
      </c>
      <c r="B794" t="str">
        <f>"1552382950378691"</f>
        <v>1552382950378691</v>
      </c>
      <c r="C794" t="s">
        <v>40</v>
      </c>
      <c r="D794">
        <v>2.9855499999999999</v>
      </c>
      <c r="E794">
        <v>0.48298000000000002</v>
      </c>
      <c r="F794" t="s">
        <v>41</v>
      </c>
      <c r="G794">
        <v>-267.24959999999999</v>
      </c>
      <c r="H794" s="1">
        <v>-1.227076E-6</v>
      </c>
      <c r="I794">
        <v>369.25069999999999</v>
      </c>
      <c r="J794">
        <v>-314.64479999999998</v>
      </c>
      <c r="K794">
        <v>1.0816110000000001</v>
      </c>
      <c r="L794">
        <v>367.55540000000002</v>
      </c>
      <c r="M794">
        <v>0.99986399999999998</v>
      </c>
      <c r="N794">
        <v>0</v>
      </c>
      <c r="O794">
        <v>3.8044189999999999E-3</v>
      </c>
      <c r="P794">
        <v>0.98498430000000003</v>
      </c>
      <c r="Q794">
        <v>0.1718546</v>
      </c>
      <c r="R794">
        <v>-1.6498369999999998E-2</v>
      </c>
      <c r="S794">
        <v>3.0597530000000002</v>
      </c>
      <c r="T794">
        <v>-6.9622279999999995E-2</v>
      </c>
      <c r="U794">
        <v>0.10903930000000001</v>
      </c>
      <c r="V794">
        <v>2.0253480000000001E-2</v>
      </c>
      <c r="W794">
        <v>0.18764259999999999</v>
      </c>
      <c r="X794">
        <v>0.98202849999999997</v>
      </c>
      <c r="Y794">
        <v>-3.1804029999999997E-2</v>
      </c>
      <c r="Z794">
        <v>2.7513880000000002E-4</v>
      </c>
      <c r="AA794">
        <v>0.99949410000000005</v>
      </c>
      <c r="AB794">
        <v>41</v>
      </c>
      <c r="AC794">
        <v>47.395199999999903</v>
      </c>
      <c r="AD794">
        <v>-1.081612227076</v>
      </c>
      <c r="AE794">
        <v>1.6952999999999701</v>
      </c>
      <c r="AF794">
        <v>-1.5141657324267801</v>
      </c>
      <c r="AG794">
        <v>-1.081612227076</v>
      </c>
      <c r="AH794">
        <v>47.376664946863301</v>
      </c>
      <c r="AI794">
        <v>91.307171840554403</v>
      </c>
      <c r="AJ794">
        <v>91.830559102306097</v>
      </c>
      <c r="AK794">
        <v>47.4131939903058</v>
      </c>
      <c r="AL794">
        <v>79.184758692322504</v>
      </c>
      <c r="AM794">
        <v>88.8184920969655</v>
      </c>
      <c r="AN794">
        <v>0.99999996179955897</v>
      </c>
    </row>
    <row r="795" spans="1:40" x14ac:dyDescent="0.25">
      <c r="A795" t="str">
        <f>"20190312172910396"</f>
        <v>20190312172910396</v>
      </c>
      <c r="B795" t="str">
        <f>"1552382950388451"</f>
        <v>1552382950388451</v>
      </c>
      <c r="C795" t="s">
        <v>40</v>
      </c>
      <c r="D795">
        <v>2.980718</v>
      </c>
      <c r="E795">
        <v>0.48308050000000002</v>
      </c>
      <c r="F795" t="s">
        <v>41</v>
      </c>
      <c r="G795">
        <v>-268.4984</v>
      </c>
      <c r="H795" s="1">
        <v>-7.0107189999999997E-7</v>
      </c>
      <c r="I795">
        <v>369.19600000000003</v>
      </c>
      <c r="J795">
        <v>-314.43779999999998</v>
      </c>
      <c r="K795">
        <v>1.08022</v>
      </c>
      <c r="L795">
        <v>367.55619999999999</v>
      </c>
      <c r="M795">
        <v>0.99986600000000003</v>
      </c>
      <c r="N795">
        <v>0</v>
      </c>
      <c r="O795">
        <v>3.8042599999999998E-3</v>
      </c>
      <c r="P795">
        <v>0.9850006</v>
      </c>
      <c r="Q795">
        <v>0.17177149999999999</v>
      </c>
      <c r="R795">
        <v>-1.639268E-2</v>
      </c>
      <c r="S795">
        <v>3.0600589999999999</v>
      </c>
      <c r="T795">
        <v>-7.1723700000000001E-2</v>
      </c>
      <c r="U795">
        <v>0.10879519999999999</v>
      </c>
      <c r="V795">
        <v>2.0147539999999999E-2</v>
      </c>
      <c r="W795">
        <v>0.18743409999999999</v>
      </c>
      <c r="X795">
        <v>0.98207049999999996</v>
      </c>
      <c r="Y795">
        <v>-3.172059E-2</v>
      </c>
      <c r="Z795">
        <v>2.824398E-4</v>
      </c>
      <c r="AA795">
        <v>0.99949679999999996</v>
      </c>
      <c r="AB795">
        <v>41</v>
      </c>
      <c r="AC795">
        <v>45.9393999999999</v>
      </c>
      <c r="AD795">
        <v>-1.0802207010719</v>
      </c>
      <c r="AE795">
        <v>1.6397999999999699</v>
      </c>
      <c r="AF795">
        <v>-1.46419201654996</v>
      </c>
      <c r="AG795">
        <v>-1.0802207010719</v>
      </c>
      <c r="AH795">
        <v>45.919949218835697</v>
      </c>
      <c r="AI795">
        <v>91.346892883146495</v>
      </c>
      <c r="AJ795">
        <v>91.826300130265295</v>
      </c>
      <c r="AK795">
        <v>45.955984063936697</v>
      </c>
      <c r="AL795">
        <v>79.196920695934807</v>
      </c>
      <c r="AM795">
        <v>88.824720730316201</v>
      </c>
      <c r="AN795">
        <v>0.99999996609055497</v>
      </c>
    </row>
    <row r="796" spans="1:40" x14ac:dyDescent="0.25">
      <c r="A796" t="str">
        <f>"20190312172910406"</f>
        <v>20190312172910406</v>
      </c>
      <c r="B796" t="str">
        <f>"1552382950398212"</f>
        <v>1552382950398212</v>
      </c>
      <c r="C796" t="s">
        <v>40</v>
      </c>
      <c r="D796">
        <v>2.9907180000000002</v>
      </c>
      <c r="E796">
        <v>0.48314560000000001</v>
      </c>
      <c r="F796" t="s">
        <v>41</v>
      </c>
      <c r="G796">
        <v>-269.26960000000003</v>
      </c>
      <c r="H796" s="1">
        <v>-3.7771849999999998E-7</v>
      </c>
      <c r="I796">
        <v>369.15379999999999</v>
      </c>
      <c r="J796">
        <v>-314.24180000000001</v>
      </c>
      <c r="K796">
        <v>1.0789260000000001</v>
      </c>
      <c r="L796">
        <v>367.55689999999998</v>
      </c>
      <c r="M796">
        <v>0.99986830000000004</v>
      </c>
      <c r="N796">
        <v>0</v>
      </c>
      <c r="O796">
        <v>3.8040510000000001E-3</v>
      </c>
      <c r="P796">
        <v>0.9849407</v>
      </c>
      <c r="Q796">
        <v>0.17212249999999901</v>
      </c>
      <c r="R796">
        <v>-1.6307240000000001E-2</v>
      </c>
      <c r="S796">
        <v>3.0602420000000001</v>
      </c>
      <c r="T796">
        <v>-7.318711E-2</v>
      </c>
      <c r="U796">
        <v>0.1082458</v>
      </c>
      <c r="V796">
        <v>2.0061579999999999E-2</v>
      </c>
      <c r="W796">
        <v>0.1876487</v>
      </c>
      <c r="X796">
        <v>0.98203130000000005</v>
      </c>
      <c r="Y796">
        <v>-3.1539240000000003E-2</v>
      </c>
      <c r="Z796">
        <v>2.8602210000000001E-4</v>
      </c>
      <c r="AA796">
        <v>0.99950249999999996</v>
      </c>
      <c r="AB796">
        <v>41</v>
      </c>
      <c r="AC796">
        <v>44.972200000000001</v>
      </c>
      <c r="AD796">
        <v>-1.0789263777185001</v>
      </c>
      <c r="AE796">
        <v>1.5969</v>
      </c>
      <c r="AF796">
        <v>-1.4249714722801901</v>
      </c>
      <c r="AG796">
        <v>-1.0789263777185001</v>
      </c>
      <c r="AH796">
        <v>44.952109632882902</v>
      </c>
      <c r="AI796">
        <v>91.374241238937799</v>
      </c>
      <c r="AJ796">
        <v>91.815654944768497</v>
      </c>
      <c r="AK796">
        <v>44.9876292581868</v>
      </c>
      <c r="AL796">
        <v>79.184403153064494</v>
      </c>
      <c r="AM796">
        <v>88.8296869913884</v>
      </c>
      <c r="AN796">
        <v>0.99999998789173805</v>
      </c>
    </row>
    <row r="797" spans="1:40" x14ac:dyDescent="0.25">
      <c r="A797" t="str">
        <f>"20190312172910419"</f>
        <v>20190312172910419</v>
      </c>
      <c r="B797" t="str">
        <f>"1552382950407972"</f>
        <v>1552382950407972</v>
      </c>
      <c r="C797" t="s">
        <v>40</v>
      </c>
      <c r="D797">
        <v>2.974809</v>
      </c>
      <c r="E797">
        <v>0.48318879999999997</v>
      </c>
      <c r="F797" t="s">
        <v>41</v>
      </c>
      <c r="G797">
        <v>-269.16449999999998</v>
      </c>
      <c r="H797" s="1">
        <v>-4.2492220000000001E-7</v>
      </c>
      <c r="I797">
        <v>369.14170000000001</v>
      </c>
      <c r="J797">
        <v>-314.01350000000002</v>
      </c>
      <c r="K797">
        <v>1.077483</v>
      </c>
      <c r="L797">
        <v>367.55779999999999</v>
      </c>
      <c r="M797">
        <v>0.99987110000000001</v>
      </c>
      <c r="N797">
        <v>0</v>
      </c>
      <c r="O797">
        <v>3.8040489999999999E-3</v>
      </c>
      <c r="P797">
        <v>0.98495509999999997</v>
      </c>
      <c r="Q797">
        <v>0.1720315</v>
      </c>
      <c r="R797">
        <v>-1.638293E-2</v>
      </c>
      <c r="S797">
        <v>3.0604550000000001</v>
      </c>
      <c r="T797">
        <v>-7.3252079999999997E-2</v>
      </c>
      <c r="U797">
        <v>0.10760500000000001</v>
      </c>
      <c r="V797">
        <v>2.0137390000000002E-2</v>
      </c>
      <c r="W797">
        <v>0.18736530000000001</v>
      </c>
      <c r="X797">
        <v>0.98208390000000001</v>
      </c>
      <c r="Y797">
        <v>-3.1327800000000003E-2</v>
      </c>
      <c r="Z797">
        <v>2.8372819999999998E-4</v>
      </c>
      <c r="AA797">
        <v>0.99950910000000004</v>
      </c>
      <c r="AB797">
        <v>41</v>
      </c>
      <c r="AC797">
        <v>44.848999999999997</v>
      </c>
      <c r="AD797">
        <v>-1.0774834249222001</v>
      </c>
      <c r="AE797">
        <v>1.5839000000000201</v>
      </c>
      <c r="AF797">
        <v>-1.41244575597399</v>
      </c>
      <c r="AG797">
        <v>-1.0774834249222001</v>
      </c>
      <c r="AH797">
        <v>44.82885903495</v>
      </c>
      <c r="AI797">
        <v>91.376184167985301</v>
      </c>
      <c r="AJ797">
        <v>91.804650371630103</v>
      </c>
      <c r="AK797">
        <v>44.864045469841102</v>
      </c>
      <c r="AL797">
        <v>79.200934422600596</v>
      </c>
      <c r="AM797">
        <v>88.825328674256596</v>
      </c>
      <c r="AN797">
        <v>1.00000002837965</v>
      </c>
    </row>
    <row r="798" spans="1:40" x14ac:dyDescent="0.25">
      <c r="A798" t="str">
        <f>"20190312172910433"</f>
        <v>20190312172910433</v>
      </c>
      <c r="B798" t="str">
        <f>"1552382950428468"</f>
        <v>1552382950428468</v>
      </c>
      <c r="C798" t="s">
        <v>40</v>
      </c>
      <c r="D798">
        <v>2.9878710000000002</v>
      </c>
      <c r="E798">
        <v>0.48333130000000002</v>
      </c>
      <c r="F798" t="s">
        <v>41</v>
      </c>
      <c r="G798">
        <v>-270.11610000000002</v>
      </c>
      <c r="H798" s="1">
        <v>-4.3138619999999997E-6</v>
      </c>
      <c r="I798">
        <v>369.101</v>
      </c>
      <c r="J798">
        <v>-313.76690000000002</v>
      </c>
      <c r="K798">
        <v>1.0760069999999999</v>
      </c>
      <c r="L798">
        <v>367.55869999999999</v>
      </c>
      <c r="M798">
        <v>0.99987479999999995</v>
      </c>
      <c r="N798">
        <v>0</v>
      </c>
      <c r="O798">
        <v>3.8040579999999999E-3</v>
      </c>
      <c r="P798">
        <v>0.98491410000000001</v>
      </c>
      <c r="Q798">
        <v>0.17225309999999999</v>
      </c>
      <c r="R798">
        <v>-1.6526280000000001E-2</v>
      </c>
      <c r="S798">
        <v>3.0607600000000001</v>
      </c>
      <c r="T798">
        <v>-7.512808E-2</v>
      </c>
      <c r="U798">
        <v>0.10760500000000001</v>
      </c>
      <c r="V798">
        <v>2.0280670000000001E-2</v>
      </c>
      <c r="W798">
        <v>0.18735170000000001</v>
      </c>
      <c r="X798">
        <v>0.9820835</v>
      </c>
      <c r="Y798">
        <v>-3.132389E-2</v>
      </c>
      <c r="Z798">
        <v>2.9091559999999998E-4</v>
      </c>
      <c r="AA798">
        <v>0.99950919999999999</v>
      </c>
      <c r="AB798">
        <v>41</v>
      </c>
      <c r="AC798">
        <v>43.650799999999997</v>
      </c>
      <c r="AD798">
        <v>-1.076011313862</v>
      </c>
      <c r="AE798">
        <v>1.54230000000001</v>
      </c>
      <c r="AF798">
        <v>-1.37538437086662</v>
      </c>
      <c r="AG798">
        <v>-1.076011313862</v>
      </c>
      <c r="AH798">
        <v>43.629873404844801</v>
      </c>
      <c r="AI798">
        <v>91.412055912349402</v>
      </c>
      <c r="AJ798">
        <v>91.805589270490003</v>
      </c>
      <c r="AK798">
        <v>43.664806604838702</v>
      </c>
      <c r="AL798">
        <v>79.201727197037201</v>
      </c>
      <c r="AM798">
        <v>88.816972628867504</v>
      </c>
      <c r="AN798">
        <v>0.99999998302039395</v>
      </c>
    </row>
    <row r="799" spans="1:40" x14ac:dyDescent="0.25">
      <c r="A799" t="str">
        <f>"20190312172910447"</f>
        <v>20190312172910447</v>
      </c>
      <c r="B799" t="str">
        <f>"1552382950438227"</f>
        <v>1552382950438227</v>
      </c>
      <c r="C799" t="s">
        <v>40</v>
      </c>
      <c r="D799">
        <v>2.981741</v>
      </c>
      <c r="E799">
        <v>0.48338100000000001</v>
      </c>
      <c r="F799" t="s">
        <v>41</v>
      </c>
      <c r="G799">
        <v>-270.44510000000002</v>
      </c>
      <c r="H799" s="1">
        <v>-4.1799499999999997E-6</v>
      </c>
      <c r="I799">
        <v>369.06040000000002</v>
      </c>
      <c r="J799">
        <v>-313.52260000000001</v>
      </c>
      <c r="K799">
        <v>1.074608</v>
      </c>
      <c r="L799">
        <v>367.55959999999999</v>
      </c>
      <c r="M799">
        <v>0.99987879999999996</v>
      </c>
      <c r="N799">
        <v>0</v>
      </c>
      <c r="O799">
        <v>3.8039530000000001E-3</v>
      </c>
      <c r="P799">
        <v>0.98487369999999996</v>
      </c>
      <c r="Q799">
        <v>0.17249229999999999</v>
      </c>
      <c r="R799">
        <v>-1.6448770000000001E-2</v>
      </c>
      <c r="S799">
        <v>3.0610659999999998</v>
      </c>
      <c r="T799">
        <v>-7.602942E-2</v>
      </c>
      <c r="U799">
        <v>0.1061096</v>
      </c>
      <c r="V799">
        <v>2.020282E-2</v>
      </c>
      <c r="W799">
        <v>0.18734419999999999</v>
      </c>
      <c r="X799">
        <v>0.98208649999999997</v>
      </c>
      <c r="Y799">
        <v>-3.0832789999999999E-2</v>
      </c>
      <c r="Z799">
        <v>2.882847E-4</v>
      </c>
      <c r="AA799">
        <v>0.99952450000000004</v>
      </c>
      <c r="AB799">
        <v>41</v>
      </c>
      <c r="AC799">
        <v>43.077499999999901</v>
      </c>
      <c r="AD799">
        <v>-1.0746121799499999</v>
      </c>
      <c r="AE799">
        <v>1.5008000000000199</v>
      </c>
      <c r="AF799">
        <v>-1.3360752400836799</v>
      </c>
      <c r="AG799">
        <v>-1.0746121799499999</v>
      </c>
      <c r="AH799">
        <v>43.0561363648088</v>
      </c>
      <c r="AI799">
        <v>91.429026470646804</v>
      </c>
      <c r="AJ799">
        <v>91.777375351094094</v>
      </c>
      <c r="AK799">
        <v>43.090263019033401</v>
      </c>
      <c r="AL799">
        <v>79.202164282396197</v>
      </c>
      <c r="AM799">
        <v>88.8215161496761</v>
      </c>
      <c r="AN799">
        <v>0.99999994834591899</v>
      </c>
    </row>
    <row r="800" spans="1:40" x14ac:dyDescent="0.25">
      <c r="A800" t="str">
        <f>"20190312172910463"</f>
        <v>20190312172910463</v>
      </c>
      <c r="B800" t="str">
        <f>"1552382950458724"</f>
        <v>1552382950458724</v>
      </c>
      <c r="C800" t="s">
        <v>40</v>
      </c>
      <c r="D800">
        <v>2.997293</v>
      </c>
      <c r="E800">
        <v>0.48340080000000002</v>
      </c>
      <c r="F800" t="s">
        <v>41</v>
      </c>
      <c r="G800">
        <v>-270.2903</v>
      </c>
      <c r="H800" s="1">
        <v>-4.2468359999999999E-6</v>
      </c>
      <c r="I800">
        <v>369.05770000000001</v>
      </c>
      <c r="J800">
        <v>-313.2029</v>
      </c>
      <c r="K800">
        <v>1.072899</v>
      </c>
      <c r="L800">
        <v>367.5609</v>
      </c>
      <c r="M800">
        <v>0.999884</v>
      </c>
      <c r="N800">
        <v>0</v>
      </c>
      <c r="O800">
        <v>3.8042390000000001E-3</v>
      </c>
      <c r="P800">
        <v>0.98488710000000002</v>
      </c>
      <c r="Q800">
        <v>0.17241909999999999</v>
      </c>
      <c r="R800">
        <v>-1.640527E-2</v>
      </c>
      <c r="S800">
        <v>3.061188</v>
      </c>
      <c r="T800">
        <v>-7.6090809999999995E-2</v>
      </c>
      <c r="U800">
        <v>0.1060791</v>
      </c>
      <c r="V800">
        <v>2.0159699999999999E-2</v>
      </c>
      <c r="W800">
        <v>0.18692919999999999</v>
      </c>
      <c r="X800">
        <v>0.98216650000000005</v>
      </c>
      <c r="Y800">
        <v>-3.082118E-2</v>
      </c>
      <c r="Z800">
        <v>2.8835519999999997E-4</v>
      </c>
      <c r="AA800">
        <v>0.99952490000000005</v>
      </c>
      <c r="AB800">
        <v>41</v>
      </c>
      <c r="AC800">
        <v>42.912599999999998</v>
      </c>
      <c r="AD800">
        <v>-1.072903246836</v>
      </c>
      <c r="AE800">
        <v>1.4967999999999999</v>
      </c>
      <c r="AF800">
        <v>-1.3326895668818199</v>
      </c>
      <c r="AG800">
        <v>-1.072903246836</v>
      </c>
      <c r="AH800">
        <v>42.891205381234698</v>
      </c>
      <c r="AI800">
        <v>91.432237133599401</v>
      </c>
      <c r="AJ800">
        <v>91.779687198954903</v>
      </c>
      <c r="AK800">
        <v>42.925315163828401</v>
      </c>
      <c r="AL800">
        <v>79.226370063380998</v>
      </c>
      <c r="AM800">
        <v>88.824126504917601</v>
      </c>
      <c r="AN800">
        <v>0.99999998651948996</v>
      </c>
    </row>
    <row r="801" spans="1:40" x14ac:dyDescent="0.25">
      <c r="A801" t="str">
        <f>"20190312172910475"</f>
        <v>20190312172910475</v>
      </c>
      <c r="B801" t="str">
        <f>"1552382950468484"</f>
        <v>1552382950468484</v>
      </c>
      <c r="C801" t="s">
        <v>40</v>
      </c>
      <c r="D801">
        <v>3.0086819999999999</v>
      </c>
      <c r="E801">
        <v>0.4834116</v>
      </c>
      <c r="F801" t="s">
        <v>41</v>
      </c>
      <c r="G801">
        <v>-270.96510000000001</v>
      </c>
      <c r="H801" s="1">
        <v>-3.9634540000000003E-6</v>
      </c>
      <c r="I801">
        <v>369.0231</v>
      </c>
      <c r="J801">
        <v>-312.98599999999999</v>
      </c>
      <c r="K801">
        <v>1.0718529999999999</v>
      </c>
      <c r="L801">
        <v>367.56169999999997</v>
      </c>
      <c r="M801">
        <v>0.99988739999999998</v>
      </c>
      <c r="N801">
        <v>0</v>
      </c>
      <c r="O801">
        <v>3.8046320000000001E-3</v>
      </c>
      <c r="P801">
        <v>0.98485560000000005</v>
      </c>
      <c r="Q801">
        <v>0.17259150000000001</v>
      </c>
      <c r="R801">
        <v>-1.6484579999999999E-2</v>
      </c>
      <c r="S801">
        <v>3.0613709999999998</v>
      </c>
      <c r="T801">
        <v>-7.7763319999999997E-2</v>
      </c>
      <c r="U801">
        <v>0.1059875</v>
      </c>
      <c r="V801">
        <v>2.0239489999999999E-2</v>
      </c>
      <c r="W801">
        <v>0.18686510000000001</v>
      </c>
      <c r="X801">
        <v>0.98217710000000003</v>
      </c>
      <c r="Y801">
        <v>-3.078852E-2</v>
      </c>
      <c r="Z801">
        <v>2.9424950000000002E-4</v>
      </c>
      <c r="AA801">
        <v>0.99952589999999997</v>
      </c>
      <c r="AB801">
        <v>41</v>
      </c>
      <c r="AC801">
        <v>42.020899999999898</v>
      </c>
      <c r="AD801">
        <v>-1.0718569634540001</v>
      </c>
      <c r="AE801">
        <v>1.46140000000002</v>
      </c>
      <c r="AF801">
        <v>-1.30065327448597</v>
      </c>
      <c r="AG801">
        <v>-1.0718569634540001</v>
      </c>
      <c r="AH801">
        <v>41.998863210915502</v>
      </c>
      <c r="AI801">
        <v>91.461233431860407</v>
      </c>
      <c r="AJ801">
        <v>91.773813085599002</v>
      </c>
      <c r="AK801">
        <v>42.032666906820502</v>
      </c>
      <c r="AL801">
        <v>79.230109062504596</v>
      </c>
      <c r="AM801">
        <v>88.819486571185195</v>
      </c>
      <c r="AN801">
        <v>1.0000000291589299</v>
      </c>
    </row>
    <row r="802" spans="1:40" x14ac:dyDescent="0.25">
      <c r="A802" t="str">
        <f>"20190312172910487"</f>
        <v>20190312172910487</v>
      </c>
      <c r="B802" t="str">
        <f>"1552382950478243"</f>
        <v>1552382950478243</v>
      </c>
      <c r="C802" t="s">
        <v>40</v>
      </c>
      <c r="D802">
        <v>2.996238</v>
      </c>
      <c r="E802">
        <v>0.48341010000000001</v>
      </c>
      <c r="F802" t="s">
        <v>41</v>
      </c>
      <c r="G802">
        <v>-270.99689999999998</v>
      </c>
      <c r="H802" s="1">
        <v>-3.9518890000000001E-6</v>
      </c>
      <c r="I802">
        <v>369.01139999999998</v>
      </c>
      <c r="J802">
        <v>-312.77879999999999</v>
      </c>
      <c r="K802">
        <v>1.070883</v>
      </c>
      <c r="L802">
        <v>367.5625</v>
      </c>
      <c r="M802">
        <v>0.99989079999999997</v>
      </c>
      <c r="N802">
        <v>0</v>
      </c>
      <c r="O802">
        <v>3.8047900000000002E-3</v>
      </c>
      <c r="P802">
        <v>0.98484879999999997</v>
      </c>
      <c r="Q802">
        <v>0.1726348</v>
      </c>
      <c r="R802">
        <v>-1.6441569999999999E-2</v>
      </c>
      <c r="S802">
        <v>3.0615839999999999</v>
      </c>
      <c r="T802">
        <v>-7.8153009999999995E-2</v>
      </c>
      <c r="U802">
        <v>0.105712899999999</v>
      </c>
      <c r="V802">
        <v>2.019644E-2</v>
      </c>
      <c r="W802">
        <v>0.18668509999999999</v>
      </c>
      <c r="X802">
        <v>0.98221219999999998</v>
      </c>
      <c r="Y802">
        <v>-3.0696339999999999E-2</v>
      </c>
      <c r="Z802">
        <v>2.9452379999999999E-4</v>
      </c>
      <c r="AA802">
        <v>0.99952870000000005</v>
      </c>
      <c r="AB802">
        <v>41</v>
      </c>
      <c r="AC802">
        <v>41.7819</v>
      </c>
      <c r="AD802">
        <v>-1.0708869518889901</v>
      </c>
      <c r="AE802">
        <v>1.4488999999999801</v>
      </c>
      <c r="AF802">
        <v>-1.2890561579842501</v>
      </c>
      <c r="AG802">
        <v>-1.0708869518889901</v>
      </c>
      <c r="AH802">
        <v>41.759711094347402</v>
      </c>
      <c r="AI802">
        <v>91.468273226999898</v>
      </c>
      <c r="AJ802">
        <v>91.768068559016299</v>
      </c>
      <c r="AK802">
        <v>41.793324052120198</v>
      </c>
      <c r="AL802">
        <v>79.240606876680502</v>
      </c>
      <c r="AM802">
        <v>88.822038935064498</v>
      </c>
      <c r="AN802">
        <v>1.00000001428976</v>
      </c>
    </row>
    <row r="803" spans="1:40" x14ac:dyDescent="0.25">
      <c r="A803" t="str">
        <f>"20190312172910496"</f>
        <v>20190312172910496</v>
      </c>
      <c r="B803" t="str">
        <f>"1552382950488003"</f>
        <v>1552382950488003</v>
      </c>
      <c r="C803" t="s">
        <v>40</v>
      </c>
      <c r="D803">
        <v>3.008505</v>
      </c>
      <c r="E803">
        <v>0.4834003</v>
      </c>
      <c r="F803" t="s">
        <v>41</v>
      </c>
      <c r="G803">
        <v>-271.21800000000002</v>
      </c>
      <c r="H803" s="1">
        <v>-3.8595400000000003E-6</v>
      </c>
      <c r="I803">
        <v>368.99740000000003</v>
      </c>
      <c r="J803">
        <v>-312.57589999999999</v>
      </c>
      <c r="K803">
        <v>1.0700080000000001</v>
      </c>
      <c r="L803">
        <v>367.56319999999999</v>
      </c>
      <c r="M803">
        <v>0.99989380000000005</v>
      </c>
      <c r="N803">
        <v>0</v>
      </c>
      <c r="O803">
        <v>3.8053399999999999E-3</v>
      </c>
      <c r="P803">
        <v>0.98481110000000005</v>
      </c>
      <c r="Q803">
        <v>0.17286290000000001</v>
      </c>
      <c r="R803">
        <v>-1.629102E-2</v>
      </c>
      <c r="S803">
        <v>3.0617369999999999</v>
      </c>
      <c r="T803">
        <v>-7.8890920000000003E-2</v>
      </c>
      <c r="U803">
        <v>0.105712899999999</v>
      </c>
      <c r="V803">
        <v>2.004649E-2</v>
      </c>
      <c r="W803">
        <v>0.18669730000000001</v>
      </c>
      <c r="X803">
        <v>0.982213</v>
      </c>
      <c r="Y803">
        <v>-3.069392E-2</v>
      </c>
      <c r="Z803">
        <v>2.9724390000000002E-4</v>
      </c>
      <c r="AA803">
        <v>0.9995288</v>
      </c>
      <c r="AB803">
        <v>41</v>
      </c>
      <c r="AC803">
        <v>41.357899999999901</v>
      </c>
      <c r="AD803">
        <v>-1.0700118595399899</v>
      </c>
      <c r="AE803">
        <v>1.4342000000000299</v>
      </c>
      <c r="AF803">
        <v>-1.2759401284995899</v>
      </c>
      <c r="AG803">
        <v>-1.0700118595399899</v>
      </c>
      <c r="AH803">
        <v>41.335423578050701</v>
      </c>
      <c r="AI803">
        <v>91.482126049387603</v>
      </c>
      <c r="AJ803">
        <v>91.768042323057401</v>
      </c>
      <c r="AK803">
        <v>41.368952016795703</v>
      </c>
      <c r="AL803">
        <v>79.239895861657104</v>
      </c>
      <c r="AM803">
        <v>88.830783311429101</v>
      </c>
      <c r="AN803">
        <v>1.0000000604788</v>
      </c>
    </row>
    <row r="804" spans="1:40" x14ac:dyDescent="0.25">
      <c r="A804" t="str">
        <f>"20190312172910508"</f>
        <v>20190312172910508</v>
      </c>
      <c r="B804" t="str">
        <f>"1552382950498741"</f>
        <v>1552382950498741</v>
      </c>
      <c r="C804" t="s">
        <v>40</v>
      </c>
      <c r="D804">
        <v>3.0116969999999998</v>
      </c>
      <c r="E804">
        <v>0.4833752</v>
      </c>
      <c r="F804" t="s">
        <v>41</v>
      </c>
      <c r="G804">
        <v>-270.91609999999997</v>
      </c>
      <c r="H804" s="1">
        <v>-3.9879569999999996E-6</v>
      </c>
      <c r="I804">
        <v>369.00360000000001</v>
      </c>
      <c r="J804">
        <v>-312.37380000000002</v>
      </c>
      <c r="K804">
        <v>1.0691820000000001</v>
      </c>
      <c r="L804">
        <v>367.56400000000002</v>
      </c>
      <c r="M804">
        <v>0.99989689999999998</v>
      </c>
      <c r="N804">
        <v>0</v>
      </c>
      <c r="O804">
        <v>3.8054629999999998E-3</v>
      </c>
      <c r="P804">
        <v>0.98479320000000004</v>
      </c>
      <c r="Q804">
        <v>0.1729474</v>
      </c>
      <c r="R804">
        <v>-1.6487580000000002E-2</v>
      </c>
      <c r="S804">
        <v>3.0618289999999999</v>
      </c>
      <c r="T804">
        <v>-7.8641409999999995E-2</v>
      </c>
      <c r="U804">
        <v>0.1058655</v>
      </c>
      <c r="V804">
        <v>2.0243069999999998E-2</v>
      </c>
      <c r="W804">
        <v>0.18657270000000001</v>
      </c>
      <c r="X804">
        <v>0.98223260000000001</v>
      </c>
      <c r="Y804">
        <v>-3.074257E-2</v>
      </c>
      <c r="Z804">
        <v>2.9691670000000001E-4</v>
      </c>
      <c r="AA804">
        <v>0.99952730000000001</v>
      </c>
      <c r="AB804">
        <v>41</v>
      </c>
      <c r="AC804">
        <v>41.457700000000003</v>
      </c>
      <c r="AD804">
        <v>-1.069185987957</v>
      </c>
      <c r="AE804">
        <v>1.43959999999998</v>
      </c>
      <c r="AF804">
        <v>-1.2809577492016599</v>
      </c>
      <c r="AG804">
        <v>-1.069185987957</v>
      </c>
      <c r="AH804">
        <v>41.435352581706297</v>
      </c>
      <c r="AI804">
        <v>91.477410399447905</v>
      </c>
      <c r="AJ804">
        <v>91.770712701990206</v>
      </c>
      <c r="AK804">
        <v>41.4689336130361</v>
      </c>
      <c r="AL804">
        <v>79.247162127897795</v>
      </c>
      <c r="AM804">
        <v>88.819344515357699</v>
      </c>
      <c r="AN804">
        <v>1.0000000173855299</v>
      </c>
    </row>
    <row r="805" spans="1:40" x14ac:dyDescent="0.25">
      <c r="A805" t="str">
        <f>"20190312172910519"</f>
        <v>20190312172910519</v>
      </c>
      <c r="B805" t="str">
        <f>"1552382950508500"</f>
        <v>1552382950508500</v>
      </c>
      <c r="C805" t="s">
        <v>40</v>
      </c>
      <c r="D805">
        <v>3.0050340000000002</v>
      </c>
      <c r="E805">
        <v>0.48341709999999899</v>
      </c>
      <c r="F805" t="s">
        <v>41</v>
      </c>
      <c r="G805">
        <v>-271.06200000000001</v>
      </c>
      <c r="H805" s="1">
        <v>-3.9272960000000004E-6</v>
      </c>
      <c r="I805">
        <v>368.99270000000001</v>
      </c>
      <c r="J805">
        <v>-312.17180000000002</v>
      </c>
      <c r="K805">
        <v>1.0684089999999999</v>
      </c>
      <c r="L805">
        <v>367.56479999999999</v>
      </c>
      <c r="M805">
        <v>0.9998996</v>
      </c>
      <c r="N805">
        <v>0</v>
      </c>
      <c r="O805">
        <v>3.8060519999999999E-3</v>
      </c>
      <c r="P805">
        <v>0.98474969999999995</v>
      </c>
      <c r="Q805">
        <v>0.17318649999999999</v>
      </c>
      <c r="R805">
        <v>-1.6567040000000002E-2</v>
      </c>
      <c r="S805">
        <v>3.0620120000000002</v>
      </c>
      <c r="T805">
        <v>-7.9247360000000003E-2</v>
      </c>
      <c r="U805">
        <v>0.105896</v>
      </c>
      <c r="V805">
        <v>2.032283E-2</v>
      </c>
      <c r="W805">
        <v>0.18660879999999999</v>
      </c>
      <c r="X805">
        <v>0.98222410000000004</v>
      </c>
      <c r="Y805">
        <v>-3.0749740000000001E-2</v>
      </c>
      <c r="Z805">
        <v>2.9926360000000001E-4</v>
      </c>
      <c r="AA805">
        <v>0.9995271</v>
      </c>
      <c r="AB805">
        <v>41</v>
      </c>
      <c r="AC805">
        <v>41.1098</v>
      </c>
      <c r="AD805">
        <v>-1.0684129272959999</v>
      </c>
      <c r="AE805">
        <v>1.4279000000000199</v>
      </c>
      <c r="AF805">
        <v>-1.27055189308712</v>
      </c>
      <c r="AG805">
        <v>-1.0684129272959999</v>
      </c>
      <c r="AH805">
        <v>41.087218793292301</v>
      </c>
      <c r="AI805">
        <v>91.488845760283994</v>
      </c>
      <c r="AJ805">
        <v>91.771209452657203</v>
      </c>
      <c r="AK805">
        <v>41.120741195461399</v>
      </c>
      <c r="AL805">
        <v>79.245056827255596</v>
      </c>
      <c r="AM805">
        <v>88.814683668392405</v>
      </c>
      <c r="AN805">
        <v>1.00000002213872</v>
      </c>
    </row>
    <row r="806" spans="1:40" x14ac:dyDescent="0.25">
      <c r="A806" t="str">
        <f>"20190312172910529"</f>
        <v>20190312172910529</v>
      </c>
      <c r="B806" t="str">
        <f>"1552382950518260"</f>
        <v>1552382950518260</v>
      </c>
      <c r="C806" t="s">
        <v>40</v>
      </c>
      <c r="D806">
        <v>3.0106280000000001</v>
      </c>
      <c r="E806">
        <v>0.4834174</v>
      </c>
      <c r="F806" t="s">
        <v>41</v>
      </c>
      <c r="G806">
        <v>-271.03199999999998</v>
      </c>
      <c r="H806" s="1">
        <v>-3.9424529999999997E-6</v>
      </c>
      <c r="I806">
        <v>368.98</v>
      </c>
      <c r="J806">
        <v>-311.97039999999998</v>
      </c>
      <c r="K806">
        <v>1.067698</v>
      </c>
      <c r="L806">
        <v>367.56560000000002</v>
      </c>
      <c r="M806">
        <v>0.99990230000000002</v>
      </c>
      <c r="N806">
        <v>0</v>
      </c>
      <c r="O806">
        <v>3.80636E-3</v>
      </c>
      <c r="P806">
        <v>0.98473409999999995</v>
      </c>
      <c r="Q806">
        <v>0.17326900000000001</v>
      </c>
      <c r="R806">
        <v>-1.6633439999999999E-2</v>
      </c>
      <c r="S806">
        <v>3.0622250000000002</v>
      </c>
      <c r="T806">
        <v>-7.9526659999999999E-2</v>
      </c>
      <c r="U806">
        <v>0.1053467</v>
      </c>
      <c r="V806">
        <v>2.038976E-2</v>
      </c>
      <c r="W806">
        <v>0.186501</v>
      </c>
      <c r="X806">
        <v>0.98224319999999998</v>
      </c>
      <c r="Y806">
        <v>-3.056795E-2</v>
      </c>
      <c r="Z806">
        <v>2.9793069999999998E-4</v>
      </c>
      <c r="AA806">
        <v>0.99953259999999999</v>
      </c>
      <c r="AB806">
        <v>41</v>
      </c>
      <c r="AC806">
        <v>40.938400000000001</v>
      </c>
      <c r="AD806">
        <v>-1.0677019424529901</v>
      </c>
      <c r="AE806">
        <v>1.4144000000000001</v>
      </c>
      <c r="AF806">
        <v>-1.2576948996564801</v>
      </c>
      <c r="AG806">
        <v>-1.0677019424529901</v>
      </c>
      <c r="AH806">
        <v>40.915689802013802</v>
      </c>
      <c r="AI806">
        <v>91.494098578965804</v>
      </c>
      <c r="AJ806">
        <v>91.760643092325395</v>
      </c>
      <c r="AK806">
        <v>40.948937176355997</v>
      </c>
      <c r="AL806">
        <v>79.251343816632399</v>
      </c>
      <c r="AM806">
        <v>88.810804255320306</v>
      </c>
      <c r="AN806">
        <v>1.0000000346300399</v>
      </c>
    </row>
    <row r="807" spans="1:40" x14ac:dyDescent="0.25">
      <c r="A807" t="str">
        <f>"20190312172910540"</f>
        <v>20190312172910540</v>
      </c>
      <c r="B807" t="str">
        <f>"1552382950528020"</f>
        <v>1552382950528020</v>
      </c>
      <c r="C807" t="s">
        <v>40</v>
      </c>
      <c r="D807">
        <v>3.0211899999999998</v>
      </c>
      <c r="E807">
        <v>0.48342350000000001</v>
      </c>
      <c r="F807" t="s">
        <v>41</v>
      </c>
      <c r="G807">
        <v>-271.15660000000003</v>
      </c>
      <c r="H807" s="1">
        <v>-3.8908309999999999E-6</v>
      </c>
      <c r="I807">
        <v>368.96949999999998</v>
      </c>
      <c r="J807">
        <v>-311.77080000000001</v>
      </c>
      <c r="K807">
        <v>1.0670329999999999</v>
      </c>
      <c r="L807">
        <v>367.56630000000001</v>
      </c>
      <c r="M807">
        <v>0.99990480000000004</v>
      </c>
      <c r="N807">
        <v>0</v>
      </c>
      <c r="O807">
        <v>3.8065949999999999E-3</v>
      </c>
      <c r="P807">
        <v>0.98469739999999994</v>
      </c>
      <c r="Q807">
        <v>0.17348469999999999</v>
      </c>
      <c r="R807">
        <v>-1.655935E-2</v>
      </c>
      <c r="S807">
        <v>3.0623779999999998</v>
      </c>
      <c r="T807">
        <v>-8.0112580000000003E-2</v>
      </c>
      <c r="U807">
        <v>0.1053467</v>
      </c>
      <c r="V807">
        <v>2.0315630000000001E-2</v>
      </c>
      <c r="W807">
        <v>0.1865338</v>
      </c>
      <c r="X807">
        <v>0.98223850000000001</v>
      </c>
      <c r="Y807">
        <v>-3.056588E-2</v>
      </c>
      <c r="Z807">
        <v>3.0007709999999997E-4</v>
      </c>
      <c r="AA807">
        <v>0.99953270000000005</v>
      </c>
      <c r="AB807">
        <v>41</v>
      </c>
      <c r="AC807">
        <v>40.614199999999897</v>
      </c>
      <c r="AD807">
        <v>-1.067036890831</v>
      </c>
      <c r="AE807">
        <v>1.40319999999996</v>
      </c>
      <c r="AF807">
        <v>-1.24771422084366</v>
      </c>
      <c r="AG807">
        <v>-1.067036890831</v>
      </c>
      <c r="AH807">
        <v>40.591263078986799</v>
      </c>
      <c r="AI807">
        <v>91.505097082783095</v>
      </c>
      <c r="AJ807">
        <v>91.7606314937306</v>
      </c>
      <c r="AK807">
        <v>40.624450726758198</v>
      </c>
      <c r="AL807">
        <v>79.249430865788</v>
      </c>
      <c r="AM807">
        <v>88.815120850234393</v>
      </c>
      <c r="AN807">
        <v>1.0000000271234899</v>
      </c>
    </row>
    <row r="808" spans="1:40" x14ac:dyDescent="0.25">
      <c r="A808" t="str">
        <f>"20190312172910553"</f>
        <v>20190312172910553</v>
      </c>
      <c r="B808" t="str">
        <f>"1552382950548516"</f>
        <v>1552382950548516</v>
      </c>
      <c r="C808" t="s">
        <v>40</v>
      </c>
      <c r="D808">
        <v>3.0299420000000001</v>
      </c>
      <c r="E808">
        <v>0.48340539999999999</v>
      </c>
      <c r="F808" t="s">
        <v>41</v>
      </c>
      <c r="G808">
        <v>-270.90519999999998</v>
      </c>
      <c r="H808" s="1">
        <v>-3.9975210000000002E-6</v>
      </c>
      <c r="I808">
        <v>368.976</v>
      </c>
      <c r="J808">
        <v>-311.5548</v>
      </c>
      <c r="K808">
        <v>1.066381</v>
      </c>
      <c r="L808">
        <v>367.56709999999998</v>
      </c>
      <c r="M808">
        <v>0.9999072</v>
      </c>
      <c r="N808">
        <v>0</v>
      </c>
      <c r="O808">
        <v>3.8069950000000001E-3</v>
      </c>
      <c r="P808">
        <v>0.98466699999999996</v>
      </c>
      <c r="Q808">
        <v>0.1736422</v>
      </c>
      <c r="R808">
        <v>-1.6716620000000001E-2</v>
      </c>
      <c r="S808">
        <v>3.0625309999999999</v>
      </c>
      <c r="T808">
        <v>-7.9965350000000004E-2</v>
      </c>
      <c r="U808">
        <v>0.10565190000000001</v>
      </c>
      <c r="V808">
        <v>2.047303E-2</v>
      </c>
      <c r="W808">
        <v>0.18650849999999999</v>
      </c>
      <c r="X808">
        <v>0.98224</v>
      </c>
      <c r="Y808">
        <v>-3.0663260000000001E-2</v>
      </c>
      <c r="Z808">
        <v>3.0077089999999999E-4</v>
      </c>
      <c r="AA808">
        <v>0.99952969999999997</v>
      </c>
      <c r="AB808">
        <v>41</v>
      </c>
      <c r="AC808">
        <v>40.6496</v>
      </c>
      <c r="AD808">
        <v>-1.066384997521</v>
      </c>
      <c r="AE808">
        <v>1.40890000000001</v>
      </c>
      <c r="AF808">
        <v>-1.2532622619835301</v>
      </c>
      <c r="AG808">
        <v>-1.066384997521</v>
      </c>
      <c r="AH808">
        <v>40.626743679533099</v>
      </c>
      <c r="AI808">
        <v>91.502859871348804</v>
      </c>
      <c r="AJ808">
        <v>91.766911826480893</v>
      </c>
      <c r="AK808">
        <v>40.660055893502303</v>
      </c>
      <c r="AL808">
        <v>79.250905955412506</v>
      </c>
      <c r="AM808">
        <v>88.805945197974395</v>
      </c>
      <c r="AN808">
        <v>0.99999999156481501</v>
      </c>
    </row>
    <row r="809" spans="1:40" x14ac:dyDescent="0.25">
      <c r="A809" t="str">
        <f>"20190312172910565"</f>
        <v>20190312172910565</v>
      </c>
      <c r="B809" t="str">
        <f>"1552382950558275"</f>
        <v>1552382950558275</v>
      </c>
      <c r="C809" t="s">
        <v>40</v>
      </c>
      <c r="D809">
        <v>3.0646369999999998</v>
      </c>
      <c r="E809">
        <v>0.48331990000000002</v>
      </c>
      <c r="F809" t="s">
        <v>41</v>
      </c>
      <c r="G809">
        <v>-270.64830000000001</v>
      </c>
      <c r="H809" s="1">
        <v>-4.1083129999999998E-6</v>
      </c>
      <c r="I809">
        <v>368.97289999999998</v>
      </c>
      <c r="J809">
        <v>-311.33479999999997</v>
      </c>
      <c r="K809">
        <v>1.0657369999999999</v>
      </c>
      <c r="L809">
        <v>367.56799999999998</v>
      </c>
      <c r="M809">
        <v>0.99990959999999995</v>
      </c>
      <c r="N809">
        <v>0</v>
      </c>
      <c r="O809">
        <v>3.8073640000000001E-3</v>
      </c>
      <c r="P809">
        <v>0.98465449999999999</v>
      </c>
      <c r="Q809">
        <v>0.1737051</v>
      </c>
      <c r="R809">
        <v>-1.679077E-2</v>
      </c>
      <c r="S809">
        <v>3.062592</v>
      </c>
      <c r="T809">
        <v>-7.9837920000000007E-2</v>
      </c>
      <c r="U809">
        <v>0.1052551</v>
      </c>
      <c r="V809">
        <v>2.0547470000000002E-2</v>
      </c>
      <c r="W809">
        <v>0.18639040000000001</v>
      </c>
      <c r="X809">
        <v>0.98226089999999999</v>
      </c>
      <c r="Y809">
        <v>-3.0532960000000001E-2</v>
      </c>
      <c r="Z809">
        <v>2.985795E-4</v>
      </c>
      <c r="AA809">
        <v>0.99953369999999997</v>
      </c>
      <c r="AB809">
        <v>41</v>
      </c>
      <c r="AC809">
        <v>40.686499999999903</v>
      </c>
      <c r="AD809">
        <v>-1.065741108313</v>
      </c>
      <c r="AE809">
        <v>1.4048999999999401</v>
      </c>
      <c r="AF809">
        <v>-1.24911259244909</v>
      </c>
      <c r="AG809">
        <v>-1.065741108313</v>
      </c>
      <c r="AH809">
        <v>40.663687348341298</v>
      </c>
      <c r="AI809">
        <v>91.500594925898895</v>
      </c>
      <c r="AJ809">
        <v>91.759466152677405</v>
      </c>
      <c r="AK809">
        <v>40.696824877897001</v>
      </c>
      <c r="AL809">
        <v>79.257793753559994</v>
      </c>
      <c r="AM809">
        <v>88.801630366217495</v>
      </c>
      <c r="AN809">
        <v>1.0000000277021801</v>
      </c>
    </row>
    <row r="810" spans="1:40" x14ac:dyDescent="0.25">
      <c r="A810" t="str">
        <f>"20190312172910575"</f>
        <v>20190312172910575</v>
      </c>
      <c r="B810" t="str">
        <f>"1552382950568036"</f>
        <v>1552382950568036</v>
      </c>
      <c r="C810" t="s">
        <v>40</v>
      </c>
      <c r="D810">
        <v>3.0500959999999999</v>
      </c>
      <c r="E810">
        <v>0.48339910000000003</v>
      </c>
      <c r="F810" t="s">
        <v>41</v>
      </c>
      <c r="G810">
        <v>-270.053</v>
      </c>
      <c r="H810" s="1">
        <v>-4.3604260000000001E-6</v>
      </c>
      <c r="I810">
        <v>368.99119999999999</v>
      </c>
      <c r="J810">
        <v>-311.1216</v>
      </c>
      <c r="K810">
        <v>1.0651919999999999</v>
      </c>
      <c r="L810">
        <v>367.56880000000001</v>
      </c>
      <c r="M810">
        <v>0.99991169999999996</v>
      </c>
      <c r="N810">
        <v>0</v>
      </c>
      <c r="O810">
        <v>3.8075779999999998E-3</v>
      </c>
      <c r="P810">
        <v>0.98461500000000002</v>
      </c>
      <c r="Q810">
        <v>0.1739241</v>
      </c>
      <c r="R810">
        <v>-1.6851629999999999E-2</v>
      </c>
      <c r="S810">
        <v>3.0625</v>
      </c>
      <c r="T810">
        <v>-7.9062099999999996E-2</v>
      </c>
      <c r="U810">
        <v>0.1055908</v>
      </c>
      <c r="V810">
        <v>2.06083E-2</v>
      </c>
      <c r="W810">
        <v>0.18645</v>
      </c>
      <c r="X810">
        <v>0.98224829999999996</v>
      </c>
      <c r="Y810">
        <v>-3.0643360000000001E-2</v>
      </c>
      <c r="Z810">
        <v>2.9710629999999999E-4</v>
      </c>
      <c r="AA810">
        <v>0.99953029999999998</v>
      </c>
      <c r="AB810">
        <v>42</v>
      </c>
      <c r="AC810">
        <v>41.068600000000004</v>
      </c>
      <c r="AD810">
        <v>-1.065196360426</v>
      </c>
      <c r="AE810">
        <v>1.4223999999999799</v>
      </c>
      <c r="AF810">
        <v>-1.2651550290820901</v>
      </c>
      <c r="AG810">
        <v>-1.065196360426</v>
      </c>
      <c r="AH810">
        <v>41.046138783423501</v>
      </c>
      <c r="AI810">
        <v>91.485854975574597</v>
      </c>
      <c r="AJ810">
        <v>91.765454760295199</v>
      </c>
      <c r="AK810">
        <v>41.079444611166998</v>
      </c>
      <c r="AL810">
        <v>79.254317843176906</v>
      </c>
      <c r="AM810">
        <v>88.798068264540902</v>
      </c>
      <c r="AN810">
        <v>1.00000001369089</v>
      </c>
    </row>
    <row r="811" spans="1:40" x14ac:dyDescent="0.25">
      <c r="A811" t="str">
        <f>"20190312172910587"</f>
        <v>20190312172910587</v>
      </c>
      <c r="B811" t="str">
        <f>"1552382950577796"</f>
        <v>1552382950577796</v>
      </c>
      <c r="C811" t="s">
        <v>40</v>
      </c>
      <c r="D811">
        <v>3.092174</v>
      </c>
      <c r="E811">
        <v>0.48339910000000003</v>
      </c>
      <c r="F811" t="s">
        <v>41</v>
      </c>
      <c r="G811">
        <v>-270.1841</v>
      </c>
      <c r="H811" s="1">
        <v>-4.3087869999999996E-6</v>
      </c>
      <c r="I811">
        <v>368.96539999999999</v>
      </c>
      <c r="J811">
        <v>-310.90179999999998</v>
      </c>
      <c r="K811">
        <v>1.0646580000000001</v>
      </c>
      <c r="L811">
        <v>367.56959999999998</v>
      </c>
      <c r="M811">
        <v>0.99991379999999996</v>
      </c>
      <c r="N811">
        <v>0</v>
      </c>
      <c r="O811">
        <v>3.8075919999999998E-3</v>
      </c>
      <c r="P811">
        <v>0.98458820000000002</v>
      </c>
      <c r="Q811">
        <v>0.17405770000000001</v>
      </c>
      <c r="R811">
        <v>-1.7033400000000001E-2</v>
      </c>
      <c r="S811">
        <v>3.0627439999999999</v>
      </c>
      <c r="T811">
        <v>-7.9692479999999996E-2</v>
      </c>
      <c r="U811">
        <v>0.10449219999999999</v>
      </c>
      <c r="V811">
        <v>2.0790099999999999E-2</v>
      </c>
      <c r="W811">
        <v>0.1864247</v>
      </c>
      <c r="X811">
        <v>0.98224929999999999</v>
      </c>
      <c r="Y811">
        <v>-3.0282469999999999E-2</v>
      </c>
      <c r="Z811">
        <v>2.9475919999999997E-4</v>
      </c>
      <c r="AA811">
        <v>0.99954129999999997</v>
      </c>
      <c r="AB811">
        <v>42</v>
      </c>
      <c r="AC811">
        <v>40.717699999999901</v>
      </c>
      <c r="AD811">
        <v>-1.064662308787</v>
      </c>
      <c r="AE811">
        <v>1.3957999999999999</v>
      </c>
      <c r="AF811">
        <v>-1.23989454570178</v>
      </c>
      <c r="AG811">
        <v>-1.064662308787</v>
      </c>
      <c r="AH811">
        <v>40.6949299155321</v>
      </c>
      <c r="AI811">
        <v>91.497937727003603</v>
      </c>
      <c r="AJ811">
        <v>91.745149936309105</v>
      </c>
      <c r="AK811">
        <v>40.727732138510703</v>
      </c>
      <c r="AL811">
        <v>79.255793605539196</v>
      </c>
      <c r="AM811">
        <v>88.787469583095103</v>
      </c>
      <c r="AN811">
        <v>1.0000000421892901</v>
      </c>
    </row>
    <row r="812" spans="1:40" x14ac:dyDescent="0.25">
      <c r="A812" t="str">
        <f>"20190312172910597"</f>
        <v>20190312172910597</v>
      </c>
      <c r="B812" t="str">
        <f>"1552382950588532"</f>
        <v>1552382950588532</v>
      </c>
      <c r="C812" t="s">
        <v>40</v>
      </c>
      <c r="D812">
        <v>3.1230030000000002</v>
      </c>
      <c r="E812">
        <v>0.5075307</v>
      </c>
      <c r="F812" t="s">
        <v>41</v>
      </c>
      <c r="G812">
        <v>-269.7561</v>
      </c>
      <c r="H812" s="1">
        <v>-2.4102020000000001E-7</v>
      </c>
      <c r="I812">
        <v>368.97</v>
      </c>
      <c r="J812">
        <v>-310.70819999999998</v>
      </c>
      <c r="K812">
        <v>1.0642290000000001</v>
      </c>
      <c r="L812">
        <v>367.57029999999997</v>
      </c>
      <c r="M812">
        <v>0.99991540000000001</v>
      </c>
      <c r="N812">
        <v>0</v>
      </c>
      <c r="O812">
        <v>3.8077749999999998E-3</v>
      </c>
      <c r="P812">
        <v>0.98454450000000004</v>
      </c>
      <c r="Q812">
        <v>0.17429510000000001</v>
      </c>
      <c r="R812">
        <v>-1.7132149999999999E-2</v>
      </c>
      <c r="S812">
        <v>3.062805</v>
      </c>
      <c r="T812">
        <v>-7.9250929999999997E-2</v>
      </c>
      <c r="U812">
        <v>0.10424799999999999</v>
      </c>
      <c r="V812">
        <v>2.0888759999999999E-2</v>
      </c>
      <c r="W812">
        <v>0.18653110000000001</v>
      </c>
      <c r="X812">
        <v>0.98222699999999996</v>
      </c>
      <c r="Y812">
        <v>-3.0202150000000001E-2</v>
      </c>
      <c r="Z812">
        <v>2.9207799999999998E-4</v>
      </c>
      <c r="AA812">
        <v>0.99954379999999998</v>
      </c>
      <c r="AB812">
        <v>42</v>
      </c>
      <c r="AC812">
        <v>40.952099999999902</v>
      </c>
      <c r="AD812">
        <v>-1.0642292410201999</v>
      </c>
      <c r="AE812">
        <v>1.3997000000000499</v>
      </c>
      <c r="AF812">
        <v>-1.2429030118967299</v>
      </c>
      <c r="AG812">
        <v>-1.0642292410201999</v>
      </c>
      <c r="AH812">
        <v>40.9295244136202</v>
      </c>
      <c r="AI812">
        <v>91.488754949017206</v>
      </c>
      <c r="AJ812">
        <v>91.739361020057601</v>
      </c>
      <c r="AK812">
        <v>40.962218696007596</v>
      </c>
      <c r="AL812">
        <v>79.249588419654998</v>
      </c>
      <c r="AM812">
        <v>88.781689565290307</v>
      </c>
      <c r="AN812">
        <v>1.0000000355452701</v>
      </c>
    </row>
    <row r="813" spans="1:40" x14ac:dyDescent="0.25">
      <c r="A813" t="str">
        <f>"20190312172910609"</f>
        <v>20190312172910609</v>
      </c>
      <c r="B813" t="str">
        <f>"1552382950598292"</f>
        <v>1552382950598292</v>
      </c>
      <c r="C813" t="s">
        <v>40</v>
      </c>
      <c r="D813">
        <v>3.140155</v>
      </c>
      <c r="E813">
        <v>0.51653640000000001</v>
      </c>
      <c r="F813" t="s">
        <v>43</v>
      </c>
      <c r="G813">
        <v>-294.25920000000002</v>
      </c>
      <c r="H813">
        <v>-0.05</v>
      </c>
      <c r="I813">
        <v>367.12450000000001</v>
      </c>
      <c r="J813">
        <v>-310.51249999999999</v>
      </c>
      <c r="K813">
        <v>1.063825</v>
      </c>
      <c r="L813">
        <v>367.57100000000003</v>
      </c>
      <c r="M813">
        <v>0.9999169</v>
      </c>
      <c r="N813">
        <v>0</v>
      </c>
      <c r="O813">
        <v>3.8071950000000002E-3</v>
      </c>
      <c r="P813">
        <v>0.98448380000000002</v>
      </c>
      <c r="Q813">
        <v>0.1746182</v>
      </c>
      <c r="R813">
        <v>-1.73197E-2</v>
      </c>
      <c r="S813">
        <v>3.0825809999999998</v>
      </c>
      <c r="T813">
        <v>-0.20880889999999999</v>
      </c>
      <c r="U813">
        <v>-8.3557129999999993E-2</v>
      </c>
      <c r="V813">
        <v>2.1075679999999999E-2</v>
      </c>
      <c r="W813">
        <v>0.18672830000000001</v>
      </c>
      <c r="X813">
        <v>0.98218550000000004</v>
      </c>
      <c r="Y813">
        <v>3.0822869999999999E-2</v>
      </c>
      <c r="Z813">
        <v>-1.300133E-3</v>
      </c>
      <c r="AA813">
        <v>0.99952399999999997</v>
      </c>
      <c r="AB813">
        <v>42</v>
      </c>
      <c r="AC813">
        <v>16.2532999999999</v>
      </c>
      <c r="AD813">
        <v>-1.1138250000000001</v>
      </c>
      <c r="AE813">
        <v>-0.44649999999995699</v>
      </c>
      <c r="AF813">
        <v>0.50600640164817501</v>
      </c>
      <c r="AG813">
        <v>-1.1138250000000001</v>
      </c>
      <c r="AH813">
        <v>16.175574955811499</v>
      </c>
      <c r="AI813">
        <v>93.9371607898983</v>
      </c>
      <c r="AJ813">
        <v>88.208250406949603</v>
      </c>
      <c r="AK813">
        <v>16.221771597461501</v>
      </c>
      <c r="AL813">
        <v>79.238087233136895</v>
      </c>
      <c r="AM813">
        <v>88.770739101896993</v>
      </c>
      <c r="AN813">
        <v>0.99999999935930095</v>
      </c>
    </row>
    <row r="814" spans="1:40" x14ac:dyDescent="0.25">
      <c r="A814" t="str">
        <f>"20190312172910620"</f>
        <v>20190312172910620</v>
      </c>
      <c r="B814" t="str">
        <f>"1552382950617811"</f>
        <v>1552382950617811</v>
      </c>
      <c r="C814" t="s">
        <v>40</v>
      </c>
      <c r="D814">
        <v>3.1262829999999999</v>
      </c>
      <c r="E814">
        <v>0.52426949999999894</v>
      </c>
      <c r="F814" t="s">
        <v>42</v>
      </c>
      <c r="G814">
        <v>-309.51780000000002</v>
      </c>
      <c r="H814">
        <v>0.98073770000000005</v>
      </c>
      <c r="I814">
        <v>367.52120000000002</v>
      </c>
      <c r="J814">
        <v>-310.27890000000002</v>
      </c>
      <c r="K814">
        <v>1.063377</v>
      </c>
      <c r="L814">
        <v>367.57190000000003</v>
      </c>
      <c r="M814">
        <v>0.9999188</v>
      </c>
      <c r="N814">
        <v>0</v>
      </c>
      <c r="O814">
        <v>3.805573E-3</v>
      </c>
      <c r="P814">
        <v>0.98445830000000001</v>
      </c>
      <c r="Q814">
        <v>0.17475299999999999</v>
      </c>
      <c r="R814">
        <v>-1.7429980000000001E-2</v>
      </c>
      <c r="S814">
        <v>3.0903930000000002</v>
      </c>
      <c r="T814">
        <v>-0.25835409999999998</v>
      </c>
      <c r="U814">
        <v>-0.1542664</v>
      </c>
      <c r="V814">
        <v>2.1184439999999999E-2</v>
      </c>
      <c r="W814">
        <v>0.18672030000000001</v>
      </c>
      <c r="X814">
        <v>0.98218470000000002</v>
      </c>
      <c r="Y814">
        <v>5.345747E-2</v>
      </c>
      <c r="Z814">
        <v>-2.5466489999999998E-3</v>
      </c>
      <c r="AA814">
        <v>0.99856690000000004</v>
      </c>
      <c r="AB814">
        <v>42</v>
      </c>
      <c r="AC814">
        <v>0.761099999999999</v>
      </c>
      <c r="AD814">
        <v>-8.2639299999999902E-2</v>
      </c>
      <c r="AE814">
        <v>-5.0700000000006101E-2</v>
      </c>
      <c r="AF814">
        <v>5.2974492974971199E-2</v>
      </c>
      <c r="AG814">
        <v>-8.2639299999999902E-2</v>
      </c>
      <c r="AH814">
        <v>0.75207423619094804</v>
      </c>
      <c r="AI814">
        <v>96.255234073303001</v>
      </c>
      <c r="AJ814">
        <v>85.9708631360065</v>
      </c>
      <c r="AK814">
        <v>0.75845316767262805</v>
      </c>
      <c r="AL814">
        <v>79.238554007424099</v>
      </c>
      <c r="AM814">
        <v>88.764396517516502</v>
      </c>
      <c r="AN814">
        <v>1.00000001792214</v>
      </c>
    </row>
    <row r="815" spans="1:40" x14ac:dyDescent="0.25">
      <c r="A815" t="str">
        <f>"20190312172910635"</f>
        <v>20190312172910635</v>
      </c>
      <c r="B815" t="str">
        <f>"1552382950628547"</f>
        <v>1552382950628547</v>
      </c>
      <c r="C815" t="s">
        <v>40</v>
      </c>
      <c r="D815">
        <v>3.1245959999999999</v>
      </c>
      <c r="E815">
        <v>0.56818519999999995</v>
      </c>
      <c r="F815" t="s">
        <v>42</v>
      </c>
      <c r="G815">
        <v>-309.51710000000003</v>
      </c>
      <c r="H815">
        <v>0.98229239999999995</v>
      </c>
      <c r="I815">
        <v>367.51920000000001</v>
      </c>
      <c r="J815">
        <v>-310.02289999999999</v>
      </c>
      <c r="K815">
        <v>1.0629409999999999</v>
      </c>
      <c r="L815">
        <v>367.5729</v>
      </c>
      <c r="M815">
        <v>0.99992060000000005</v>
      </c>
      <c r="N815">
        <v>0</v>
      </c>
      <c r="O815">
        <v>3.7981289999999999E-3</v>
      </c>
      <c r="P815">
        <v>0.98442110000000005</v>
      </c>
      <c r="Q815">
        <v>0.17494199999999999</v>
      </c>
      <c r="R815">
        <v>-1.7620540000000001E-2</v>
      </c>
      <c r="S815">
        <v>3.1022340000000002</v>
      </c>
      <c r="T815">
        <v>-0.33039000000000002</v>
      </c>
      <c r="U815">
        <v>-0.21377560000000001</v>
      </c>
      <c r="V815">
        <v>2.1369309999999999E-2</v>
      </c>
      <c r="W815">
        <v>0.1867653</v>
      </c>
      <c r="X815">
        <v>0.98217209999999999</v>
      </c>
      <c r="Y815">
        <v>7.2108829999999999E-2</v>
      </c>
      <c r="Z815">
        <v>-4.2274259999999899E-3</v>
      </c>
      <c r="AA815">
        <v>0.99738780000000005</v>
      </c>
      <c r="AB815">
        <v>42</v>
      </c>
      <c r="AC815">
        <v>0.50579999999996506</v>
      </c>
      <c r="AD815">
        <v>-8.0648599999999807E-2</v>
      </c>
      <c r="AE815">
        <v>-5.3699999999991997E-2</v>
      </c>
      <c r="AF815">
        <v>5.4256819484935999E-2</v>
      </c>
      <c r="AG815">
        <v>-8.0648599999999807E-2</v>
      </c>
      <c r="AH815">
        <v>0.49319341255419602</v>
      </c>
      <c r="AI815">
        <v>99.232266743383093</v>
      </c>
      <c r="AJ815">
        <v>83.722065135891597</v>
      </c>
      <c r="AK815">
        <v>0.502680555949237</v>
      </c>
      <c r="AL815">
        <v>79.235929109704003</v>
      </c>
      <c r="AM815">
        <v>88.753601193561806</v>
      </c>
      <c r="AN815">
        <v>0.99999997935618701</v>
      </c>
    </row>
    <row r="816" spans="1:40" x14ac:dyDescent="0.25">
      <c r="A816" t="str">
        <f>"20190312172910650"</f>
        <v>20190312172910650</v>
      </c>
      <c r="B816" t="str">
        <f>"1552382950638308"</f>
        <v>1552382950638308</v>
      </c>
      <c r="C816" t="s">
        <v>40</v>
      </c>
      <c r="D816">
        <v>3.2532749999999999</v>
      </c>
      <c r="E816">
        <v>0.57004589999999999</v>
      </c>
      <c r="F816" t="s">
        <v>42</v>
      </c>
      <c r="G816">
        <v>-309.1884</v>
      </c>
      <c r="H816">
        <v>0.88763590000000003</v>
      </c>
      <c r="I816">
        <v>367.42689999999999</v>
      </c>
      <c r="J816">
        <v>-309.7509</v>
      </c>
      <c r="K816">
        <v>1.0625169999999999</v>
      </c>
      <c r="L816">
        <v>367.57389999999998</v>
      </c>
      <c r="M816">
        <v>0.99992230000000004</v>
      </c>
      <c r="N816">
        <v>0</v>
      </c>
      <c r="O816">
        <v>3.7841379999999998E-3</v>
      </c>
      <c r="P816">
        <v>0.98439509999999997</v>
      </c>
      <c r="Q816">
        <v>0.1750968</v>
      </c>
      <c r="R816">
        <v>-1.7531749999999999E-2</v>
      </c>
      <c r="S816">
        <v>3.1553650000000002</v>
      </c>
      <c r="T816">
        <v>-0.66275890000000004</v>
      </c>
      <c r="U816">
        <v>-0.55224609999999996</v>
      </c>
      <c r="V816">
        <v>2.1269070000000001E-2</v>
      </c>
      <c r="W816">
        <v>0.186777</v>
      </c>
      <c r="X816">
        <v>0.98217209999999999</v>
      </c>
      <c r="Y816">
        <v>0.172392299999999</v>
      </c>
      <c r="Z816">
        <v>-1.8559180000000002E-2</v>
      </c>
      <c r="AA816">
        <v>0.98485350000000005</v>
      </c>
      <c r="AB816">
        <v>42</v>
      </c>
      <c r="AC816">
        <v>0.5625</v>
      </c>
      <c r="AD816">
        <v>-0.17488109999999901</v>
      </c>
      <c r="AE816">
        <v>-0.146999999999991</v>
      </c>
      <c r="AF816">
        <v>0.13675424071807901</v>
      </c>
      <c r="AG816">
        <v>-0.17488109999999901</v>
      </c>
      <c r="AH816">
        <v>0.51531435781617896</v>
      </c>
      <c r="AI816">
        <v>108.16020662455099</v>
      </c>
      <c r="AJ816">
        <v>75.137419006200503</v>
      </c>
      <c r="AK816">
        <v>0.56110071187184296</v>
      </c>
      <c r="AL816">
        <v>79.235247266657495</v>
      </c>
      <c r="AM816">
        <v>88.759446018714698</v>
      </c>
      <c r="AN816">
        <v>1.0000000275430301</v>
      </c>
    </row>
    <row r="817" spans="1:40" x14ac:dyDescent="0.25">
      <c r="A817" t="str">
        <f>"20190312172910665"</f>
        <v>20190312172910665</v>
      </c>
      <c r="B817" t="str">
        <f>"1552382950657828"</f>
        <v>1552382950657828</v>
      </c>
      <c r="C817" t="s">
        <v>40</v>
      </c>
      <c r="D817">
        <v>3.104876</v>
      </c>
      <c r="E817">
        <v>0.57175669999999901</v>
      </c>
      <c r="F817" t="s">
        <v>42</v>
      </c>
      <c r="G817">
        <v>-308.82619999999997</v>
      </c>
      <c r="H817">
        <v>0.859857599999999</v>
      </c>
      <c r="I817">
        <v>367.40789999999998</v>
      </c>
      <c r="J817">
        <v>-309.4579</v>
      </c>
      <c r="K817">
        <v>1.062109</v>
      </c>
      <c r="L817">
        <v>367.57499999999999</v>
      </c>
      <c r="M817">
        <v>0.99992420000000004</v>
      </c>
      <c r="N817">
        <v>0</v>
      </c>
      <c r="O817">
        <v>3.7594669999999998E-3</v>
      </c>
      <c r="P817">
        <v>0.98434029999999995</v>
      </c>
      <c r="Q817">
        <v>0.1753662</v>
      </c>
      <c r="R817">
        <v>-1.792858E-2</v>
      </c>
      <c r="S817">
        <v>3.1607059999999998</v>
      </c>
      <c r="T817">
        <v>-0.69281139999999997</v>
      </c>
      <c r="U817">
        <v>-0.56582639999999995</v>
      </c>
      <c r="V817">
        <v>2.1645560000000001E-2</v>
      </c>
      <c r="W817">
        <v>0.18690390000000001</v>
      </c>
      <c r="X817">
        <v>0.98213969999999995</v>
      </c>
      <c r="Y817">
        <v>0.17578479999999999</v>
      </c>
      <c r="Z817">
        <v>-1.9702850000000001E-2</v>
      </c>
      <c r="AA817">
        <v>0.98423139999999998</v>
      </c>
      <c r="AB817">
        <v>42</v>
      </c>
      <c r="AC817">
        <v>0.63170000000002302</v>
      </c>
      <c r="AD817">
        <v>-0.2022514</v>
      </c>
      <c r="AE817">
        <v>-0.167100000000004</v>
      </c>
      <c r="AF817">
        <v>0.15465692150780599</v>
      </c>
      <c r="AG817">
        <v>-0.2022514</v>
      </c>
      <c r="AH817">
        <v>0.57589374865600695</v>
      </c>
      <c r="AI817">
        <v>108.735800027056</v>
      </c>
      <c r="AJ817">
        <v>74.967826231095898</v>
      </c>
      <c r="AK817">
        <v>0.62966499181175695</v>
      </c>
      <c r="AL817">
        <v>79.227845736539393</v>
      </c>
      <c r="AM817">
        <v>88.737452021540506</v>
      </c>
      <c r="AN817">
        <v>0.99999999420950603</v>
      </c>
    </row>
    <row r="818" spans="1:40" x14ac:dyDescent="0.25">
      <c r="A818" t="str">
        <f>"20190312172910677"</f>
        <v>20190312172910677</v>
      </c>
      <c r="B818" t="str">
        <f>"1552382950668564"</f>
        <v>1552382950668564</v>
      </c>
      <c r="C818" t="s">
        <v>40</v>
      </c>
      <c r="D818">
        <v>3.2466659999999998</v>
      </c>
      <c r="E818">
        <v>0.57247329999999996</v>
      </c>
      <c r="F818" t="s">
        <v>42</v>
      </c>
      <c r="G818">
        <v>-308.46190000000001</v>
      </c>
      <c r="H818">
        <v>0.83672239999999998</v>
      </c>
      <c r="I818">
        <v>367.39249999999998</v>
      </c>
      <c r="J818">
        <v>-309.23070000000001</v>
      </c>
      <c r="K818">
        <v>1.0618240000000001</v>
      </c>
      <c r="L818">
        <v>367.57589999999999</v>
      </c>
      <c r="M818">
        <v>0.99992539999999996</v>
      </c>
      <c r="N818">
        <v>0</v>
      </c>
      <c r="O818">
        <v>3.7301080000000002E-3</v>
      </c>
      <c r="P818">
        <v>0.98428700000000002</v>
      </c>
      <c r="Q818">
        <v>0.17565229999999901</v>
      </c>
      <c r="R818">
        <v>-1.8052849999999999E-2</v>
      </c>
      <c r="S818">
        <v>3.164825</v>
      </c>
      <c r="T818">
        <v>-0.71615980000000001</v>
      </c>
      <c r="U818">
        <v>-0.5800476</v>
      </c>
      <c r="V818">
        <v>2.1745500000000001E-2</v>
      </c>
      <c r="W818">
        <v>0.18709129999999999</v>
      </c>
      <c r="X818">
        <v>0.98210180000000002</v>
      </c>
      <c r="Y818">
        <v>0.17946089999999901</v>
      </c>
      <c r="Z818">
        <v>-2.0718779999999999E-2</v>
      </c>
      <c r="AA818">
        <v>0.9835469</v>
      </c>
      <c r="AB818">
        <v>42</v>
      </c>
      <c r="AC818">
        <v>0.76879999999999804</v>
      </c>
      <c r="AD818">
        <v>-0.22510159999999901</v>
      </c>
      <c r="AE818">
        <v>-0.183400000000006</v>
      </c>
      <c r="AF818">
        <v>0.17229145661885001</v>
      </c>
      <c r="AG818">
        <v>-0.22510159999999901</v>
      </c>
      <c r="AH818">
        <v>0.71048088937695697</v>
      </c>
      <c r="AI818">
        <v>107.11390576321899</v>
      </c>
      <c r="AJ818">
        <v>76.368917670960101</v>
      </c>
      <c r="AK818">
        <v>0.76494324659825397</v>
      </c>
      <c r="AL818">
        <v>79.216915588103404</v>
      </c>
      <c r="AM818">
        <v>88.731575663065399</v>
      </c>
      <c r="AN818">
        <v>0.99999998343458896</v>
      </c>
    </row>
    <row r="819" spans="1:40" x14ac:dyDescent="0.25">
      <c r="A819" t="str">
        <f>"20190312172910687"</f>
        <v>20190312172910687</v>
      </c>
      <c r="B819" t="str">
        <f>"1552382950678323"</f>
        <v>1552382950678323</v>
      </c>
      <c r="C819" t="s">
        <v>40</v>
      </c>
      <c r="D819">
        <v>3.1059580000000002</v>
      </c>
      <c r="E819">
        <v>0.57313789999999998</v>
      </c>
      <c r="F819" t="s">
        <v>42</v>
      </c>
      <c r="G819">
        <v>-308.44420000000002</v>
      </c>
      <c r="H819">
        <v>0.88293770000000005</v>
      </c>
      <c r="I819">
        <v>367.43049999999999</v>
      </c>
      <c r="J819">
        <v>-309.04520000000002</v>
      </c>
      <c r="K819">
        <v>1.0616049999999999</v>
      </c>
      <c r="L819">
        <v>367.57650000000001</v>
      </c>
      <c r="M819">
        <v>0.99992639999999999</v>
      </c>
      <c r="N819">
        <v>0</v>
      </c>
      <c r="O819">
        <v>3.7016420000000002E-3</v>
      </c>
      <c r="P819">
        <v>0.98430229999999996</v>
      </c>
      <c r="Q819">
        <v>0.17551220000000001</v>
      </c>
      <c r="R819">
        <v>-1.8558069999999999E-2</v>
      </c>
      <c r="S819">
        <v>3.1655880000000001</v>
      </c>
      <c r="T819">
        <v>-0.72000710000000001</v>
      </c>
      <c r="U819">
        <v>-0.58541869999999996</v>
      </c>
      <c r="V819">
        <v>2.2226989999999999E-2</v>
      </c>
      <c r="W819">
        <v>0.1868754</v>
      </c>
      <c r="X819">
        <v>0.98213209999999995</v>
      </c>
      <c r="Y819">
        <v>0.18092539999999999</v>
      </c>
      <c r="Z819">
        <v>-2.0976270000000002E-2</v>
      </c>
      <c r="AA819">
        <v>0.98327310000000001</v>
      </c>
      <c r="AB819">
        <v>42</v>
      </c>
      <c r="AC819">
        <v>0.60099999999999898</v>
      </c>
      <c r="AD819">
        <v>-0.178667299999999</v>
      </c>
      <c r="AE819">
        <v>-0.14600000000001501</v>
      </c>
      <c r="AF819">
        <v>0.13680695136061299</v>
      </c>
      <c r="AG819">
        <v>-0.178667299999999</v>
      </c>
      <c r="AH819">
        <v>0.55420556057887804</v>
      </c>
      <c r="AI819">
        <v>107.379565216751</v>
      </c>
      <c r="AJ819">
        <v>76.133619630968397</v>
      </c>
      <c r="AK819">
        <v>0.598148768624014</v>
      </c>
      <c r="AL819">
        <v>79.229507558674698</v>
      </c>
      <c r="AM819">
        <v>88.703539612390898</v>
      </c>
      <c r="AN819">
        <v>0.99999995803001396</v>
      </c>
    </row>
    <row r="820" spans="1:40" x14ac:dyDescent="0.25">
      <c r="A820" t="str">
        <f>"20190312172910697"</f>
        <v>20190312172910697</v>
      </c>
      <c r="B820" t="str">
        <f>"1552382950688084"</f>
        <v>1552382950688084</v>
      </c>
      <c r="C820" t="s">
        <v>40</v>
      </c>
      <c r="D820">
        <v>3.127961</v>
      </c>
      <c r="E820">
        <v>0.57368619999999904</v>
      </c>
      <c r="F820" t="s">
        <v>42</v>
      </c>
      <c r="G820">
        <v>-308.08600000000001</v>
      </c>
      <c r="H820">
        <v>0.84262060000000005</v>
      </c>
      <c r="I820">
        <v>367.39710000000002</v>
      </c>
      <c r="J820">
        <v>-308.83769999999998</v>
      </c>
      <c r="K820">
        <v>1.061382</v>
      </c>
      <c r="L820">
        <v>367.57729999999998</v>
      </c>
      <c r="M820">
        <v>0.99992749999999997</v>
      </c>
      <c r="N820">
        <v>0</v>
      </c>
      <c r="O820">
        <v>3.6624259999999999E-3</v>
      </c>
      <c r="P820">
        <v>0.98429219999999895</v>
      </c>
      <c r="Q820">
        <v>0.17556229999999901</v>
      </c>
      <c r="R820">
        <v>-1.8628889999999999E-2</v>
      </c>
      <c r="S820">
        <v>3.1655880000000001</v>
      </c>
      <c r="T820">
        <v>-0.72270999999999996</v>
      </c>
      <c r="U820">
        <v>-0.59173580000000003</v>
      </c>
      <c r="V820">
        <v>2.226436E-2</v>
      </c>
      <c r="W820">
        <v>0.1868467</v>
      </c>
      <c r="X820">
        <v>0.98213669999999997</v>
      </c>
      <c r="Y820">
        <v>0.18270790000000001</v>
      </c>
      <c r="Z820">
        <v>-2.1239890000000001E-2</v>
      </c>
      <c r="AA820">
        <v>0.98293779999999997</v>
      </c>
      <c r="AB820">
        <v>42</v>
      </c>
      <c r="AC820">
        <v>0.75169999999997095</v>
      </c>
      <c r="AD820">
        <v>-0.21876139999999999</v>
      </c>
      <c r="AE820">
        <v>-0.18019999999995601</v>
      </c>
      <c r="AF820">
        <v>0.169385696909682</v>
      </c>
      <c r="AG820">
        <v>-0.21876139999999999</v>
      </c>
      <c r="AH820">
        <v>0.69534394299313396</v>
      </c>
      <c r="AI820">
        <v>106.996832573557</v>
      </c>
      <c r="AJ820">
        <v>76.309402464559795</v>
      </c>
      <c r="AK820">
        <v>0.74836572844083205</v>
      </c>
      <c r="AL820">
        <v>79.231181280515699</v>
      </c>
      <c r="AM820">
        <v>88.701366713568504</v>
      </c>
      <c r="AN820">
        <v>0.99999994425699301</v>
      </c>
    </row>
    <row r="821" spans="1:40" x14ac:dyDescent="0.25">
      <c r="A821" t="str">
        <f>"20190312172910709"</f>
        <v>20190312172910709</v>
      </c>
      <c r="B821" t="str">
        <f>"1552382950697844"</f>
        <v>1552382950697844</v>
      </c>
      <c r="C821" t="s">
        <v>40</v>
      </c>
      <c r="D821">
        <v>3.1638769999999998</v>
      </c>
      <c r="E821">
        <v>0.57400319999999905</v>
      </c>
      <c r="F821" t="s">
        <v>42</v>
      </c>
      <c r="G821">
        <v>-308.06950000000001</v>
      </c>
      <c r="H821">
        <v>0.88581030000000005</v>
      </c>
      <c r="I821">
        <v>367.43259999999998</v>
      </c>
      <c r="J821">
        <v>-308.62799999999999</v>
      </c>
      <c r="K821">
        <v>1.061172</v>
      </c>
      <c r="L821">
        <v>367.57799999999997</v>
      </c>
      <c r="M821">
        <v>0.9999285</v>
      </c>
      <c r="N821">
        <v>0</v>
      </c>
      <c r="O821">
        <v>3.6146939999999999E-3</v>
      </c>
      <c r="P821">
        <v>0.98424940000000005</v>
      </c>
      <c r="Q821">
        <v>0.17576339999999999</v>
      </c>
      <c r="R821">
        <v>-1.8992539999999999E-2</v>
      </c>
      <c r="S821">
        <v>3.16568</v>
      </c>
      <c r="T821">
        <v>-0.72352349999999999</v>
      </c>
      <c r="U821">
        <v>-0.59582519999999894</v>
      </c>
      <c r="V821">
        <v>2.2586459999999999E-2</v>
      </c>
      <c r="W821">
        <v>0.18697510000000001</v>
      </c>
      <c r="X821">
        <v>0.98210500000000001</v>
      </c>
      <c r="Y821">
        <v>0.18384639999999999</v>
      </c>
      <c r="Z821">
        <v>-2.1376900000000001E-2</v>
      </c>
      <c r="AA821">
        <v>0.98272250000000005</v>
      </c>
      <c r="AB821">
        <v>42</v>
      </c>
      <c r="AC821">
        <v>0.55849999999998001</v>
      </c>
      <c r="AD821">
        <v>-0.17536169999999901</v>
      </c>
      <c r="AE821">
        <v>-0.14540000000005099</v>
      </c>
      <c r="AF821">
        <v>0.134957380427187</v>
      </c>
      <c r="AG821">
        <v>-0.17536169999999901</v>
      </c>
      <c r="AH821">
        <v>0.51080787768926394</v>
      </c>
      <c r="AI821">
        <v>108.361710411606</v>
      </c>
      <c r="AJ821">
        <v>75.200407063940503</v>
      </c>
      <c r="AK821">
        <v>0.55667756220999998</v>
      </c>
      <c r="AL821">
        <v>79.223693501130995</v>
      </c>
      <c r="AM821">
        <v>88.682543364007202</v>
      </c>
      <c r="AN821">
        <v>1.00000003361017</v>
      </c>
    </row>
    <row r="822" spans="1:40" x14ac:dyDescent="0.25">
      <c r="A822" t="str">
        <f>"20190312172910720"</f>
        <v>20190312172910720</v>
      </c>
      <c r="B822" t="str">
        <f>"1552382950718340"</f>
        <v>1552382950718340</v>
      </c>
      <c r="C822" t="s">
        <v>40</v>
      </c>
      <c r="D822">
        <v>3.1367959999999999</v>
      </c>
      <c r="E822">
        <v>0.57476780000000005</v>
      </c>
      <c r="F822" t="s">
        <v>42</v>
      </c>
      <c r="G822">
        <v>-307.70890000000003</v>
      </c>
      <c r="H822">
        <v>0.85107250000000001</v>
      </c>
      <c r="I822">
        <v>367.40390000000002</v>
      </c>
      <c r="J822">
        <v>-308.423</v>
      </c>
      <c r="K822">
        <v>1.060983</v>
      </c>
      <c r="L822">
        <v>367.57870000000003</v>
      </c>
      <c r="M822">
        <v>0.99992939999999997</v>
      </c>
      <c r="N822">
        <v>0</v>
      </c>
      <c r="O822">
        <v>3.5619079999999999E-3</v>
      </c>
      <c r="P822">
        <v>0.98427240000000005</v>
      </c>
      <c r="Q822">
        <v>0.17559569999999999</v>
      </c>
      <c r="R822">
        <v>-1.934572E-2</v>
      </c>
      <c r="S822">
        <v>3.16568</v>
      </c>
      <c r="T822">
        <v>-0.72378439999999999</v>
      </c>
      <c r="U822">
        <v>-0.59912109999999996</v>
      </c>
      <c r="V822">
        <v>2.289356E-2</v>
      </c>
      <c r="W822">
        <v>0.1867423</v>
      </c>
      <c r="X822">
        <v>0.98214219999999997</v>
      </c>
      <c r="Y822">
        <v>0.1847588</v>
      </c>
      <c r="Z822">
        <v>-2.1472729999999999E-2</v>
      </c>
      <c r="AA822">
        <v>0.98254929999999996</v>
      </c>
      <c r="AB822">
        <v>42</v>
      </c>
      <c r="AC822">
        <v>0.71409999999997298</v>
      </c>
      <c r="AD822">
        <v>-0.2099105</v>
      </c>
      <c r="AE822">
        <v>-0.17480000000000401</v>
      </c>
      <c r="AF822">
        <v>0.163974961668651</v>
      </c>
      <c r="AG822">
        <v>-0.2099105</v>
      </c>
      <c r="AH822">
        <v>0.65969297726065201</v>
      </c>
      <c r="AI822">
        <v>107.160578619524</v>
      </c>
      <c r="AJ822">
        <v>76.0412984047653</v>
      </c>
      <c r="AK822">
        <v>0.71143870453575198</v>
      </c>
      <c r="AL822">
        <v>79.237271296495905</v>
      </c>
      <c r="AM822">
        <v>88.664687381434703</v>
      </c>
      <c r="AN822">
        <v>1.0000000513598</v>
      </c>
    </row>
    <row r="823" spans="1:40" x14ac:dyDescent="0.25">
      <c r="A823" t="str">
        <f>"20190312172910731"</f>
        <v>20190312172910731</v>
      </c>
      <c r="B823" t="str">
        <f>"1552382950728099"</f>
        <v>1552382950728099</v>
      </c>
      <c r="C823" t="s">
        <v>40</v>
      </c>
      <c r="D823">
        <v>3.1326589999999999</v>
      </c>
      <c r="E823">
        <v>0.57500119999999999</v>
      </c>
      <c r="F823" t="s">
        <v>42</v>
      </c>
      <c r="G823">
        <v>-307.69229999999999</v>
      </c>
      <c r="H823">
        <v>0.89353549999999904</v>
      </c>
      <c r="I823">
        <v>367.43869999999998</v>
      </c>
      <c r="J823">
        <v>-308.23309999999998</v>
      </c>
      <c r="K823">
        <v>1.060827</v>
      </c>
      <c r="L823">
        <v>367.57929999999999</v>
      </c>
      <c r="M823">
        <v>0.99993030000000005</v>
      </c>
      <c r="N823">
        <v>0</v>
      </c>
      <c r="O823">
        <v>3.5039939999999999E-3</v>
      </c>
      <c r="P823">
        <v>0.98428640000000001</v>
      </c>
      <c r="Q823">
        <v>0.17550739999999901</v>
      </c>
      <c r="R823">
        <v>-1.9432609999999999E-2</v>
      </c>
      <c r="S823">
        <v>3.1654659999999999</v>
      </c>
      <c r="T823">
        <v>-0.7255163</v>
      </c>
      <c r="U823">
        <v>-0.60586549999999995</v>
      </c>
      <c r="V823">
        <v>2.2928919999999998E-2</v>
      </c>
      <c r="W823">
        <v>0.18660180000000001</v>
      </c>
      <c r="X823">
        <v>0.98216800000000004</v>
      </c>
      <c r="Y823">
        <v>0.1866671</v>
      </c>
      <c r="Z823">
        <v>-2.172116E-2</v>
      </c>
      <c r="AA823">
        <v>0.98218309999999998</v>
      </c>
      <c r="AB823">
        <v>42</v>
      </c>
      <c r="AC823">
        <v>0.54079999999998996</v>
      </c>
      <c r="AD823">
        <v>-0.16729150000000001</v>
      </c>
      <c r="AE823">
        <v>-0.140600000000006</v>
      </c>
      <c r="AF823">
        <v>0.13077264521847001</v>
      </c>
      <c r="AG823">
        <v>-0.16729150000000001</v>
      </c>
      <c r="AH823">
        <v>0.49585858976101899</v>
      </c>
      <c r="AI823">
        <v>108.067526075641</v>
      </c>
      <c r="AJ823">
        <v>75.225800467643694</v>
      </c>
      <c r="AK823">
        <v>0.53941048539073899</v>
      </c>
      <c r="AL823">
        <v>79.245464541112796</v>
      </c>
      <c r="AM823">
        <v>88.662660805211303</v>
      </c>
      <c r="AN823">
        <v>0.99999997367980198</v>
      </c>
    </row>
    <row r="824" spans="1:40" x14ac:dyDescent="0.25">
      <c r="A824" t="str">
        <f>"20190312172910742"</f>
        <v>20190312172910742</v>
      </c>
      <c r="B824" t="str">
        <f>"1552382950737860"</f>
        <v>1552382950737860</v>
      </c>
      <c r="C824" t="s">
        <v>40</v>
      </c>
      <c r="D824">
        <v>3.1266189999999998</v>
      </c>
      <c r="E824">
        <v>0.57513110000000001</v>
      </c>
      <c r="F824" t="s">
        <v>42</v>
      </c>
      <c r="G824">
        <v>-307.33339999999998</v>
      </c>
      <c r="H824">
        <v>0.85446350000000004</v>
      </c>
      <c r="I824">
        <v>367.40600000000001</v>
      </c>
      <c r="J824">
        <v>-308.00799999999998</v>
      </c>
      <c r="K824">
        <v>1.060646</v>
      </c>
      <c r="L824">
        <v>367.58</v>
      </c>
      <c r="M824">
        <v>0.99993109999999996</v>
      </c>
      <c r="N824">
        <v>0</v>
      </c>
      <c r="O824">
        <v>3.4314229999999999E-3</v>
      </c>
      <c r="P824">
        <v>0.9842611</v>
      </c>
      <c r="Q824">
        <v>0.17558599999999999</v>
      </c>
      <c r="R824">
        <v>-1.9999739999999998E-2</v>
      </c>
      <c r="S824">
        <v>3.165375</v>
      </c>
      <c r="T824">
        <v>-0.7261415</v>
      </c>
      <c r="U824">
        <v>-0.60787959999999996</v>
      </c>
      <c r="V824">
        <v>2.3430980000000001E-2</v>
      </c>
      <c r="W824">
        <v>0.18662049999999999</v>
      </c>
      <c r="X824">
        <v>0.98215260000000004</v>
      </c>
      <c r="Y824">
        <v>0.18718499999999999</v>
      </c>
      <c r="Z824">
        <v>-2.1780609999999999E-2</v>
      </c>
      <c r="AA824">
        <v>0.98208320000000005</v>
      </c>
      <c r="AB824">
        <v>42</v>
      </c>
      <c r="AC824">
        <v>0.67459999999999798</v>
      </c>
      <c r="AD824">
        <v>-0.20618249999999999</v>
      </c>
      <c r="AE824">
        <v>-0.17399999999997801</v>
      </c>
      <c r="AF824">
        <v>0.162114841610387</v>
      </c>
      <c r="AG824">
        <v>-0.20618249999999999</v>
      </c>
      <c r="AH824">
        <v>0.61971966954455704</v>
      </c>
      <c r="AI824">
        <v>107.841913965896</v>
      </c>
      <c r="AJ824">
        <v>75.340279674225101</v>
      </c>
      <c r="AK824">
        <v>0.67293752607283397</v>
      </c>
      <c r="AL824">
        <v>79.2443739752688</v>
      </c>
      <c r="AM824">
        <v>88.633367504101102</v>
      </c>
      <c r="AN824">
        <v>0.99999997576538502</v>
      </c>
    </row>
    <row r="825" spans="1:40" x14ac:dyDescent="0.25">
      <c r="A825" t="str">
        <f>"20190312172910753"</f>
        <v>20190312172910753</v>
      </c>
      <c r="B825" t="str">
        <f>"1552382950748596"</f>
        <v>1552382950748596</v>
      </c>
      <c r="C825" t="s">
        <v>40</v>
      </c>
      <c r="D825">
        <v>3.1396480000000002</v>
      </c>
      <c r="E825">
        <v>0.57543049999999996</v>
      </c>
      <c r="F825" t="s">
        <v>42</v>
      </c>
      <c r="G825">
        <v>-307.31470000000002</v>
      </c>
      <c r="H825">
        <v>0.90140430000000005</v>
      </c>
      <c r="I825">
        <v>367.44589999999999</v>
      </c>
      <c r="J825">
        <v>-307.8091</v>
      </c>
      <c r="K825">
        <v>1.0605100000000001</v>
      </c>
      <c r="L825">
        <v>367.5806</v>
      </c>
      <c r="M825">
        <v>0.99993169999999998</v>
      </c>
      <c r="N825">
        <v>0</v>
      </c>
      <c r="O825">
        <v>3.357648E-3</v>
      </c>
      <c r="P825">
        <v>0.9842649</v>
      </c>
      <c r="Q825">
        <v>0.17552409999999999</v>
      </c>
      <c r="R825">
        <v>-2.0350650000000001E-2</v>
      </c>
      <c r="S825">
        <v>3.1652529999999999</v>
      </c>
      <c r="T825">
        <v>-0.72706780000000004</v>
      </c>
      <c r="U825">
        <v>-0.61029049999999996</v>
      </c>
      <c r="V825">
        <v>2.3714409999999998E-2</v>
      </c>
      <c r="W825">
        <v>0.18651789999999999</v>
      </c>
      <c r="X825">
        <v>0.98216530000000002</v>
      </c>
      <c r="Y825">
        <v>0.18781539999999999</v>
      </c>
      <c r="Z825">
        <v>-2.1861269999999999E-2</v>
      </c>
      <c r="AA825">
        <v>0.98196099999999997</v>
      </c>
      <c r="AB825">
        <v>42</v>
      </c>
      <c r="AC825">
        <v>0.49439999999998402</v>
      </c>
      <c r="AD825">
        <v>-0.15910569999999999</v>
      </c>
      <c r="AE825">
        <v>-0.13470000000000901</v>
      </c>
      <c r="AF825">
        <v>0.124369073829025</v>
      </c>
      <c r="AG825">
        <v>-0.15910569999999999</v>
      </c>
      <c r="AH825">
        <v>0.45051156198982101</v>
      </c>
      <c r="AI825">
        <v>108.800252510371</v>
      </c>
      <c r="AJ825">
        <v>74.5671999044297</v>
      </c>
      <c r="AK825">
        <v>0.49370330947248903</v>
      </c>
      <c r="AL825">
        <v>79.250357721017195</v>
      </c>
      <c r="AM825">
        <v>88.616860461986207</v>
      </c>
      <c r="AN825">
        <v>0.99999998839307402</v>
      </c>
    </row>
    <row r="826" spans="1:40" x14ac:dyDescent="0.25">
      <c r="A826" t="str">
        <f>"20190312172910765"</f>
        <v>20190312172910765</v>
      </c>
      <c r="B826" t="str">
        <f>"1552382950758356"</f>
        <v>1552382950758356</v>
      </c>
      <c r="C826" t="s">
        <v>40</v>
      </c>
      <c r="D826">
        <v>3.147113</v>
      </c>
      <c r="E826">
        <v>0.57575339999999997</v>
      </c>
      <c r="F826" t="s">
        <v>42</v>
      </c>
      <c r="G826">
        <v>-306.9554</v>
      </c>
      <c r="H826">
        <v>0.86375009999999997</v>
      </c>
      <c r="I826">
        <v>367.4151</v>
      </c>
      <c r="J826">
        <v>-307.59190000000001</v>
      </c>
      <c r="K826">
        <v>1.0603640000000001</v>
      </c>
      <c r="L826">
        <v>367.5813</v>
      </c>
      <c r="M826">
        <v>0.9999325</v>
      </c>
      <c r="N826">
        <v>0</v>
      </c>
      <c r="O826">
        <v>3.2750499999999998E-3</v>
      </c>
      <c r="P826">
        <v>0.98427120000000001</v>
      </c>
      <c r="Q826">
        <v>0.1754571</v>
      </c>
      <c r="R826">
        <v>-2.061615E-2</v>
      </c>
      <c r="S826">
        <v>3.1654049999999998</v>
      </c>
      <c r="T826">
        <v>-0.72969439999999997</v>
      </c>
      <c r="U826">
        <v>-0.61331179999999996</v>
      </c>
      <c r="V826">
        <v>2.3904229999999999E-2</v>
      </c>
      <c r="W826">
        <v>0.18640880000000001</v>
      </c>
      <c r="X826">
        <v>0.98218139999999998</v>
      </c>
      <c r="Y826">
        <v>0.18857889999999999</v>
      </c>
      <c r="Z826">
        <v>-2.2002839999999999E-2</v>
      </c>
      <c r="AA826">
        <v>0.98181149999999995</v>
      </c>
      <c r="AB826">
        <v>42</v>
      </c>
      <c r="AC826">
        <v>0.63650000000001195</v>
      </c>
      <c r="AD826">
        <v>-0.19661389999999901</v>
      </c>
      <c r="AE826">
        <v>-0.16620000000000301</v>
      </c>
      <c r="AF826">
        <v>0.154484083639467</v>
      </c>
      <c r="AG826">
        <v>-0.19661389999999901</v>
      </c>
      <c r="AH826">
        <v>0.58380244879196297</v>
      </c>
      <c r="AI826">
        <v>108.033987864255</v>
      </c>
      <c r="AJ826">
        <v>75.178276402811406</v>
      </c>
      <c r="AK826">
        <v>0.63509657296085897</v>
      </c>
      <c r="AL826">
        <v>79.256720161632899</v>
      </c>
      <c r="AM826">
        <v>88.605816435295296</v>
      </c>
      <c r="AN826">
        <v>0.99999997771764604</v>
      </c>
    </row>
    <row r="827" spans="1:40" x14ac:dyDescent="0.25">
      <c r="A827" t="str">
        <f>"20190312172910775"</f>
        <v>20190312172910775</v>
      </c>
      <c r="B827" t="str">
        <f>"1552382950768116"</f>
        <v>1552382950768116</v>
      </c>
      <c r="C827" t="s">
        <v>40</v>
      </c>
      <c r="D827">
        <v>3.2579739999999999</v>
      </c>
      <c r="E827">
        <v>0.57582880000000003</v>
      </c>
      <c r="F827" t="s">
        <v>42</v>
      </c>
      <c r="G827">
        <v>-306.59390000000002</v>
      </c>
      <c r="H827">
        <v>0.82963539999999902</v>
      </c>
      <c r="I827">
        <v>367.38679999999999</v>
      </c>
      <c r="J827">
        <v>-307.38869999999997</v>
      </c>
      <c r="K827">
        <v>1.060249</v>
      </c>
      <c r="L827">
        <v>367.58190000000002</v>
      </c>
      <c r="M827">
        <v>0.99993319999999997</v>
      </c>
      <c r="N827">
        <v>0</v>
      </c>
      <c r="O827">
        <v>3.1909210000000002E-3</v>
      </c>
      <c r="P827">
        <v>0.98425589999999996</v>
      </c>
      <c r="Q827">
        <v>0.17549229999999999</v>
      </c>
      <c r="R827">
        <v>-2.1042419999999999E-2</v>
      </c>
      <c r="S827">
        <v>3.165527</v>
      </c>
      <c r="T827">
        <v>-0.73184839999999995</v>
      </c>
      <c r="U827">
        <v>-0.61630249999999998</v>
      </c>
      <c r="V827">
        <v>2.425225E-2</v>
      </c>
      <c r="W827">
        <v>0.18641479999999999</v>
      </c>
      <c r="X827">
        <v>0.98217180000000004</v>
      </c>
      <c r="Y827">
        <v>0.18933900000000001</v>
      </c>
      <c r="Z827">
        <v>-2.2130380000000002E-2</v>
      </c>
      <c r="AA827">
        <v>0.98166229999999999</v>
      </c>
      <c r="AB827">
        <v>42</v>
      </c>
      <c r="AC827">
        <v>0.79479999999995199</v>
      </c>
      <c r="AD827">
        <v>-0.2306136</v>
      </c>
      <c r="AE827">
        <v>-0.195100000000024</v>
      </c>
      <c r="AF827">
        <v>0.183096663572346</v>
      </c>
      <c r="AG827">
        <v>-0.2306136</v>
      </c>
      <c r="AH827">
        <v>0.73575160089005698</v>
      </c>
      <c r="AI827">
        <v>106.91780031666801</v>
      </c>
      <c r="AJ827">
        <v>76.025429855026701</v>
      </c>
      <c r="AK827">
        <v>0.79248813172726296</v>
      </c>
      <c r="AL827">
        <v>79.256371006871703</v>
      </c>
      <c r="AM827">
        <v>88.585512982205699</v>
      </c>
      <c r="AN827">
        <v>1.0000000470021699</v>
      </c>
    </row>
    <row r="828" spans="1:40" x14ac:dyDescent="0.25">
      <c r="A828" t="str">
        <f>"20190312172910786"</f>
        <v>20190312172910786</v>
      </c>
      <c r="B828" t="str">
        <f>"1552382950777876"</f>
        <v>1552382950777876</v>
      </c>
      <c r="C828" t="s">
        <v>40</v>
      </c>
      <c r="D828">
        <v>3.229187</v>
      </c>
      <c r="E828">
        <v>0.57594749999999995</v>
      </c>
      <c r="F828" t="s">
        <v>42</v>
      </c>
      <c r="G828">
        <v>-306.57749999999999</v>
      </c>
      <c r="H828">
        <v>0.87270559999999997</v>
      </c>
      <c r="I828">
        <v>367.42340000000002</v>
      </c>
      <c r="J828">
        <v>-307.18639999999999</v>
      </c>
      <c r="K828">
        <v>1.060144</v>
      </c>
      <c r="L828">
        <v>367.58249999999998</v>
      </c>
      <c r="M828">
        <v>0.99993379999999998</v>
      </c>
      <c r="N828">
        <v>0</v>
      </c>
      <c r="O828">
        <v>3.1051130000000001E-3</v>
      </c>
      <c r="P828">
        <v>0.98426599999999997</v>
      </c>
      <c r="Q828">
        <v>0.17540910000000001</v>
      </c>
      <c r="R828">
        <v>-2.127414E-2</v>
      </c>
      <c r="S828">
        <v>3.1652529999999999</v>
      </c>
      <c r="T828">
        <v>-0.73177409999999998</v>
      </c>
      <c r="U828">
        <v>-0.61770630000000004</v>
      </c>
      <c r="V828">
        <v>2.4403669999999999E-2</v>
      </c>
      <c r="W828">
        <v>0.1863052</v>
      </c>
      <c r="X828">
        <v>0.98218879999999997</v>
      </c>
      <c r="Y828">
        <v>0.1896843</v>
      </c>
      <c r="Z828">
        <v>-2.214876E-2</v>
      </c>
      <c r="AA828">
        <v>0.98159529999999995</v>
      </c>
      <c r="AB828">
        <v>42</v>
      </c>
      <c r="AC828">
        <v>0.60890000000000499</v>
      </c>
      <c r="AD828">
        <v>-0.18743839999999901</v>
      </c>
      <c r="AE828">
        <v>-0.15909999999996599</v>
      </c>
      <c r="AF828">
        <v>0.14787312183667001</v>
      </c>
      <c r="AG828">
        <v>-0.18743839999999901</v>
      </c>
      <c r="AH828">
        <v>0.55883237018030496</v>
      </c>
      <c r="AI828">
        <v>107.96533687509201</v>
      </c>
      <c r="AJ828">
        <v>75.178607281303002</v>
      </c>
      <c r="AK828">
        <v>0.60769501554449201</v>
      </c>
      <c r="AL828">
        <v>79.262762114090606</v>
      </c>
      <c r="AM828">
        <v>88.5767098162286</v>
      </c>
      <c r="AN828">
        <v>1.0000000027509699</v>
      </c>
    </row>
    <row r="829" spans="1:40" x14ac:dyDescent="0.25">
      <c r="A829" t="str">
        <f>"20190312172910798"</f>
        <v>20190312172910798</v>
      </c>
      <c r="B829" t="str">
        <f>"1552382950788612"</f>
        <v>1552382950788612</v>
      </c>
      <c r="C829" t="s">
        <v>40</v>
      </c>
      <c r="D829">
        <v>3.1261079999999999</v>
      </c>
      <c r="E829">
        <v>0.57630309999999996</v>
      </c>
      <c r="F829" t="s">
        <v>42</v>
      </c>
      <c r="G829">
        <v>-306.21660000000003</v>
      </c>
      <c r="H829">
        <v>0.83579219999999899</v>
      </c>
      <c r="I829">
        <v>367.39260000000002</v>
      </c>
      <c r="J829">
        <v>-306.95909999999998</v>
      </c>
      <c r="K829">
        <v>1.060036</v>
      </c>
      <c r="L829">
        <v>367.58319999999998</v>
      </c>
      <c r="M829">
        <v>0.99993430000000005</v>
      </c>
      <c r="N829">
        <v>0</v>
      </c>
      <c r="O829">
        <v>3.0044410000000001E-3</v>
      </c>
      <c r="P829">
        <v>0.98424970000000001</v>
      </c>
      <c r="Q829">
        <v>0.17549029999999999</v>
      </c>
      <c r="R829">
        <v>-2.135826E-2</v>
      </c>
      <c r="S829">
        <v>3.1650999999999998</v>
      </c>
      <c r="T829">
        <v>-0.73221579999999997</v>
      </c>
      <c r="U829">
        <v>-0.61968990000000002</v>
      </c>
      <c r="V829">
        <v>2.4392779999999999E-2</v>
      </c>
      <c r="W829">
        <v>0.18636469999999999</v>
      </c>
      <c r="X829">
        <v>0.98217779999999999</v>
      </c>
      <c r="Y829">
        <v>0.1901716</v>
      </c>
      <c r="Z829">
        <v>-2.2193890000000001E-2</v>
      </c>
      <c r="AA829">
        <v>0.98150000000000004</v>
      </c>
      <c r="AB829">
        <v>42</v>
      </c>
      <c r="AC829">
        <v>0.74249999999994998</v>
      </c>
      <c r="AD829">
        <v>-0.22424379999999999</v>
      </c>
      <c r="AE829">
        <v>-0.19059999999996</v>
      </c>
      <c r="AF829">
        <v>0.177629866295195</v>
      </c>
      <c r="AG829">
        <v>-0.22424379999999999</v>
      </c>
      <c r="AH829">
        <v>0.68344036067698</v>
      </c>
      <c r="AI829">
        <v>107.617756508916</v>
      </c>
      <c r="AJ829">
        <v>75.430858856020294</v>
      </c>
      <c r="AK829">
        <v>0.74089700892956001</v>
      </c>
      <c r="AL829">
        <v>79.259292432009104</v>
      </c>
      <c r="AM829">
        <v>88.577328763736205</v>
      </c>
      <c r="AN829">
        <v>1.0000000199675201</v>
      </c>
    </row>
    <row r="830" spans="1:40" x14ac:dyDescent="0.25">
      <c r="A830" t="str">
        <f>"20190312172910810"</f>
        <v>20190312172910810</v>
      </c>
      <c r="B830" t="str">
        <f>"1552382950798374"</f>
        <v>1552382950798374</v>
      </c>
      <c r="C830" t="s">
        <v>40</v>
      </c>
      <c r="D830">
        <v>3.1638039999999998</v>
      </c>
      <c r="E830">
        <v>0.57679380000000002</v>
      </c>
      <c r="F830" t="s">
        <v>42</v>
      </c>
      <c r="G830">
        <v>-306.19839999999999</v>
      </c>
      <c r="H830">
        <v>0.88364979999999904</v>
      </c>
      <c r="I830">
        <v>367.43349999999998</v>
      </c>
      <c r="J830">
        <v>-306.75850000000003</v>
      </c>
      <c r="K830">
        <v>1.0599510000000001</v>
      </c>
      <c r="L830">
        <v>367.58370000000002</v>
      </c>
      <c r="M830">
        <v>0.99993469999999995</v>
      </c>
      <c r="N830">
        <v>0</v>
      </c>
      <c r="O830">
        <v>2.9130530000000001E-3</v>
      </c>
      <c r="P830">
        <v>0.98422799999999999</v>
      </c>
      <c r="Q830">
        <v>0.1755901</v>
      </c>
      <c r="R830">
        <v>-2.15289E-2</v>
      </c>
      <c r="S830">
        <v>3.1653440000000002</v>
      </c>
      <c r="T830">
        <v>-0.73399530000000002</v>
      </c>
      <c r="U830">
        <v>-0.62240600000000001</v>
      </c>
      <c r="V830">
        <v>2.4476709999999999E-2</v>
      </c>
      <c r="W830">
        <v>0.18644910000000001</v>
      </c>
      <c r="X830">
        <v>0.98215969999999997</v>
      </c>
      <c r="Y830">
        <v>0.19084190000000001</v>
      </c>
      <c r="Z830">
        <v>-2.2298350000000002E-2</v>
      </c>
      <c r="AA830">
        <v>0.98136749999999995</v>
      </c>
      <c r="AB830">
        <v>42</v>
      </c>
      <c r="AC830">
        <v>0.56010000000003302</v>
      </c>
      <c r="AD830">
        <v>-0.17630119999999999</v>
      </c>
      <c r="AE830">
        <v>-0.15020000000004</v>
      </c>
      <c r="AF830">
        <v>0.13898452233839001</v>
      </c>
      <c r="AG830">
        <v>-0.17630119999999999</v>
      </c>
      <c r="AH830">
        <v>0.51230679603807106</v>
      </c>
      <c r="AI830">
        <v>108.37271613342099</v>
      </c>
      <c r="AJ830">
        <v>74.821473206982304</v>
      </c>
      <c r="AK830">
        <v>0.55933627080483905</v>
      </c>
      <c r="AL830">
        <v>79.2543704664632</v>
      </c>
      <c r="AM830">
        <v>88.572409400847306</v>
      </c>
      <c r="AN830">
        <v>1.0000000262636599</v>
      </c>
    </row>
    <row r="831" spans="1:40" x14ac:dyDescent="0.25">
      <c r="A831" t="str">
        <f>"20190312172910819"</f>
        <v>20190312172910819</v>
      </c>
      <c r="B831" t="str">
        <f>"1552382950808132"</f>
        <v>1552382950808132</v>
      </c>
      <c r="C831" t="s">
        <v>40</v>
      </c>
      <c r="D831">
        <v>3.22437</v>
      </c>
      <c r="E831">
        <v>0.57693399999999995</v>
      </c>
      <c r="F831" t="s">
        <v>42</v>
      </c>
      <c r="G831">
        <v>-305.83769999999998</v>
      </c>
      <c r="H831">
        <v>0.84598819999999997</v>
      </c>
      <c r="I831">
        <v>367.40100000000001</v>
      </c>
      <c r="J831">
        <v>-306.55990000000003</v>
      </c>
      <c r="K831">
        <v>1.0598730000000001</v>
      </c>
      <c r="L831">
        <v>367.58420000000001</v>
      </c>
      <c r="M831">
        <v>0.99993500000000002</v>
      </c>
      <c r="N831">
        <v>0</v>
      </c>
      <c r="O831">
        <v>2.8209390000000002E-3</v>
      </c>
      <c r="P831">
        <v>0.98423700000000003</v>
      </c>
      <c r="Q831">
        <v>0.1755196</v>
      </c>
      <c r="R831">
        <v>-2.1688800000000001E-2</v>
      </c>
      <c r="S831">
        <v>3.1655880000000001</v>
      </c>
      <c r="T831">
        <v>-0.73565919999999996</v>
      </c>
      <c r="U831">
        <v>-0.62695310000000004</v>
      </c>
      <c r="V831">
        <v>2.454895E-2</v>
      </c>
      <c r="W831">
        <v>0.18636800000000001</v>
      </c>
      <c r="X831">
        <v>0.98217330000000003</v>
      </c>
      <c r="Y831">
        <v>0.19204560000000001</v>
      </c>
      <c r="Z831">
        <v>-2.2458829999999999E-2</v>
      </c>
      <c r="AA831">
        <v>0.98112900000000003</v>
      </c>
      <c r="AB831">
        <v>42</v>
      </c>
      <c r="AC831">
        <v>0.72220000000004303</v>
      </c>
      <c r="AD831">
        <v>-0.21388480000000001</v>
      </c>
      <c r="AE831">
        <v>-0.183199999999999</v>
      </c>
      <c r="AF831">
        <v>0.17113412299668801</v>
      </c>
      <c r="AG831">
        <v>-0.21388480000000001</v>
      </c>
      <c r="AH831">
        <v>0.66673688318425595</v>
      </c>
      <c r="AI831">
        <v>107.261129949966</v>
      </c>
      <c r="AJ831">
        <v>75.604419059159497</v>
      </c>
      <c r="AK831">
        <v>0.72081319849399395</v>
      </c>
      <c r="AL831">
        <v>79.2591001672793</v>
      </c>
      <c r="AM831">
        <v>88.568217611729807</v>
      </c>
      <c r="AN831">
        <v>1.0000000368014901</v>
      </c>
    </row>
    <row r="832" spans="1:40" x14ac:dyDescent="0.25">
      <c r="A832" t="str">
        <f>"20190312172910832"</f>
        <v>20190312172910832</v>
      </c>
      <c r="B832" t="str">
        <f>"1552382950828628"</f>
        <v>1552382950828628</v>
      </c>
      <c r="C832" t="s">
        <v>40</v>
      </c>
      <c r="D832">
        <v>3.2247330000000001</v>
      </c>
      <c r="E832">
        <v>0.5770556</v>
      </c>
      <c r="F832" t="s">
        <v>42</v>
      </c>
      <c r="G832">
        <v>-305.82150000000001</v>
      </c>
      <c r="H832">
        <v>0.88821519999999998</v>
      </c>
      <c r="I832">
        <v>367.43720000000002</v>
      </c>
      <c r="J832">
        <v>-306.3408</v>
      </c>
      <c r="K832">
        <v>1.0598030000000001</v>
      </c>
      <c r="L832">
        <v>367.5847</v>
      </c>
      <c r="M832">
        <v>0.99993540000000003</v>
      </c>
      <c r="N832">
        <v>0</v>
      </c>
      <c r="O832">
        <v>2.71718E-3</v>
      </c>
      <c r="P832">
        <v>0.9842265</v>
      </c>
      <c r="Q832">
        <v>0.1755765</v>
      </c>
      <c r="R832">
        <v>-2.1712249999999999E-2</v>
      </c>
      <c r="S832">
        <v>3.1654049999999998</v>
      </c>
      <c r="T832">
        <v>-0.7359405</v>
      </c>
      <c r="U832">
        <v>-0.62857059999999998</v>
      </c>
      <c r="V832">
        <v>2.4472919999999999E-2</v>
      </c>
      <c r="W832">
        <v>0.18641859999999999</v>
      </c>
      <c r="X832">
        <v>0.98216559999999997</v>
      </c>
      <c r="Y832">
        <v>0.19242619999999999</v>
      </c>
      <c r="Z832">
        <v>-2.2487050000000001E-2</v>
      </c>
      <c r="AA832">
        <v>0.98105379999999998</v>
      </c>
      <c r="AB832">
        <v>42</v>
      </c>
      <c r="AC832">
        <v>0.51929999999998699</v>
      </c>
      <c r="AD832">
        <v>-0.17158780000000001</v>
      </c>
      <c r="AE832">
        <v>-0.14749999999997901</v>
      </c>
      <c r="AF832">
        <v>0.135246891589069</v>
      </c>
      <c r="AG832">
        <v>-0.17158780000000001</v>
      </c>
      <c r="AH832">
        <v>0.47128448980570398</v>
      </c>
      <c r="AI832">
        <v>109.28800657391101</v>
      </c>
      <c r="AJ832">
        <v>73.987841524493703</v>
      </c>
      <c r="AK832">
        <v>0.51946430591982795</v>
      </c>
      <c r="AL832">
        <v>79.256149344251398</v>
      </c>
      <c r="AM832">
        <v>88.572638929903405</v>
      </c>
      <c r="AN832">
        <v>1.00000004203132</v>
      </c>
    </row>
    <row r="833" spans="1:40" x14ac:dyDescent="0.25">
      <c r="A833" t="str">
        <f>"20190312172910845"</f>
        <v>20190312172910845</v>
      </c>
      <c r="B833" t="str">
        <f>"1552382950838389"</f>
        <v>1552382950838389</v>
      </c>
      <c r="C833" t="s">
        <v>40</v>
      </c>
      <c r="D833">
        <v>3.1294379999999999</v>
      </c>
      <c r="E833">
        <v>0.57726089999999997</v>
      </c>
      <c r="F833" t="s">
        <v>42</v>
      </c>
      <c r="G833">
        <v>-305.45890000000003</v>
      </c>
      <c r="H833">
        <v>0.85501360000000004</v>
      </c>
      <c r="I833">
        <v>367.40910000000002</v>
      </c>
      <c r="J833">
        <v>-306.08839999999998</v>
      </c>
      <c r="K833">
        <v>1.0597240000000001</v>
      </c>
      <c r="L833">
        <v>367.58539999999999</v>
      </c>
      <c r="M833">
        <v>0.99993569999999998</v>
      </c>
      <c r="N833">
        <v>0</v>
      </c>
      <c r="O833">
        <v>2.596891E-3</v>
      </c>
      <c r="P833">
        <v>0.98420379999999996</v>
      </c>
      <c r="Q833">
        <v>0.1756885</v>
      </c>
      <c r="R833">
        <v>-2.1827880000000001E-2</v>
      </c>
      <c r="S833">
        <v>3.165314</v>
      </c>
      <c r="T833">
        <v>-0.73517119999999903</v>
      </c>
      <c r="U833">
        <v>-0.62960819999999995</v>
      </c>
      <c r="V833">
        <v>2.4473120000000001E-2</v>
      </c>
      <c r="W833">
        <v>0.18652679999999999</v>
      </c>
      <c r="X833">
        <v>0.98214500000000005</v>
      </c>
      <c r="Y833">
        <v>0.19263140000000001</v>
      </c>
      <c r="Z833">
        <v>-2.2460049999999999E-2</v>
      </c>
      <c r="AA833">
        <v>0.9810141</v>
      </c>
      <c r="AB833">
        <v>42</v>
      </c>
      <c r="AC833">
        <v>0.62949999999994999</v>
      </c>
      <c r="AD833">
        <v>-0.20471039999999899</v>
      </c>
      <c r="AE833">
        <v>-0.17629999999996901</v>
      </c>
      <c r="AF833">
        <v>0.162044119452392</v>
      </c>
      <c r="AG833">
        <v>-0.20471039999999899</v>
      </c>
      <c r="AH833">
        <v>0.57286462209613098</v>
      </c>
      <c r="AI833">
        <v>108.975706598662</v>
      </c>
      <c r="AJ833">
        <v>74.205577435465102</v>
      </c>
      <c r="AK833">
        <v>0.62955422305517506</v>
      </c>
      <c r="AL833">
        <v>79.249838706747795</v>
      </c>
      <c r="AM833">
        <v>88.572597343865795</v>
      </c>
      <c r="AN833">
        <v>0.99999999087288705</v>
      </c>
    </row>
    <row r="834" spans="1:40" x14ac:dyDescent="0.25">
      <c r="A834" t="str">
        <f>"20190312172910857"</f>
        <v>20190312172910857</v>
      </c>
      <c r="B834" t="str">
        <f>"1552382950848148"</f>
        <v>1552382950848148</v>
      </c>
      <c r="C834" t="s">
        <v>40</v>
      </c>
      <c r="D834">
        <v>3.1309909999999999</v>
      </c>
      <c r="E834">
        <v>0.57734049999999904</v>
      </c>
      <c r="F834" t="s">
        <v>42</v>
      </c>
      <c r="G834">
        <v>-305.09359999999998</v>
      </c>
      <c r="H834">
        <v>0.82850610000000002</v>
      </c>
      <c r="I834">
        <v>367.38670000000002</v>
      </c>
      <c r="J834">
        <v>-305.85379999999998</v>
      </c>
      <c r="K834">
        <v>1.0596620000000001</v>
      </c>
      <c r="L834">
        <v>367.58589999999998</v>
      </c>
      <c r="M834">
        <v>0.99993620000000005</v>
      </c>
      <c r="N834">
        <v>0</v>
      </c>
      <c r="O834">
        <v>2.4836720000000001E-3</v>
      </c>
      <c r="P834">
        <v>0.98421170000000002</v>
      </c>
      <c r="Q834">
        <v>0.17563719999999999</v>
      </c>
      <c r="R834">
        <v>-2.1890650000000001E-2</v>
      </c>
      <c r="S834">
        <v>3.1654969999999998</v>
      </c>
      <c r="T834">
        <v>-0.73578299999999996</v>
      </c>
      <c r="U834">
        <v>-0.63156129999999999</v>
      </c>
      <c r="V834">
        <v>2.442691E-2</v>
      </c>
      <c r="W834">
        <v>0.18647810000000001</v>
      </c>
      <c r="X834">
        <v>0.98215540000000001</v>
      </c>
      <c r="Y834">
        <v>0.19307630000000001</v>
      </c>
      <c r="Z834">
        <v>-2.2500550000000001E-2</v>
      </c>
      <c r="AA834">
        <v>0.98092570000000001</v>
      </c>
      <c r="AB834">
        <v>42</v>
      </c>
      <c r="AC834">
        <v>0.76019999999999699</v>
      </c>
      <c r="AD834">
        <v>-0.2311559</v>
      </c>
      <c r="AE834">
        <v>-0.19919999999996199</v>
      </c>
      <c r="AF834">
        <v>0.185075010517261</v>
      </c>
      <c r="AG834">
        <v>-0.2311559</v>
      </c>
      <c r="AH834">
        <v>0.69920784124591195</v>
      </c>
      <c r="AI834">
        <v>107.72339910626</v>
      </c>
      <c r="AJ834">
        <v>75.174241248073599</v>
      </c>
      <c r="AK834">
        <v>0.75932694860813599</v>
      </c>
      <c r="AL834">
        <v>79.252678863058506</v>
      </c>
      <c r="AM834">
        <v>88.5753065251523</v>
      </c>
      <c r="AN834">
        <v>0.99999999273045903</v>
      </c>
    </row>
    <row r="835" spans="1:40" x14ac:dyDescent="0.25">
      <c r="A835" t="str">
        <f>"20190312172910870"</f>
        <v>20190312172910870</v>
      </c>
      <c r="B835" t="str">
        <f>"1552382950868644"</f>
        <v>1552382950868644</v>
      </c>
      <c r="C835" t="s">
        <v>40</v>
      </c>
      <c r="D835">
        <v>3.1344789999999998</v>
      </c>
      <c r="E835">
        <v>0.57724279999999994</v>
      </c>
      <c r="F835" t="s">
        <v>42</v>
      </c>
      <c r="G835">
        <v>-305.07470000000001</v>
      </c>
      <c r="H835">
        <v>0.87835370000000002</v>
      </c>
      <c r="I835">
        <v>367.43009999999998</v>
      </c>
      <c r="J835">
        <v>-305.61509999999998</v>
      </c>
      <c r="K835">
        <v>1.059607</v>
      </c>
      <c r="L835">
        <v>367.58640000000003</v>
      </c>
      <c r="M835">
        <v>0.99993620000000005</v>
      </c>
      <c r="N835">
        <v>0</v>
      </c>
      <c r="O835">
        <v>2.3687019999999999E-3</v>
      </c>
      <c r="P835">
        <v>0.98417949999999998</v>
      </c>
      <c r="Q835">
        <v>0.17579220000000001</v>
      </c>
      <c r="R835">
        <v>-2.2080969999999998E-2</v>
      </c>
      <c r="S835">
        <v>3.165527</v>
      </c>
      <c r="T835">
        <v>-0.73668909999999999</v>
      </c>
      <c r="U835">
        <v>-0.63204959999999999</v>
      </c>
      <c r="V835">
        <v>2.4506549999999998E-2</v>
      </c>
      <c r="W835">
        <v>0.18663969999999999</v>
      </c>
      <c r="X835">
        <v>0.98212270000000002</v>
      </c>
      <c r="Y835">
        <v>0.19309779999999999</v>
      </c>
      <c r="Z835">
        <v>-2.2503309999999999E-2</v>
      </c>
      <c r="AA835">
        <v>0.98092140000000005</v>
      </c>
      <c r="AB835">
        <v>42</v>
      </c>
      <c r="AC835">
        <v>0.54039999999997601</v>
      </c>
      <c r="AD835">
        <v>-0.18125329999999901</v>
      </c>
      <c r="AE835">
        <v>-0.15630000000004399</v>
      </c>
      <c r="AF835">
        <v>0.142759443027</v>
      </c>
      <c r="AG835">
        <v>-0.18125329999999901</v>
      </c>
      <c r="AH835">
        <v>0.48923901092994998</v>
      </c>
      <c r="AI835">
        <v>109.577838595846</v>
      </c>
      <c r="AJ835">
        <v>73.732809039141202</v>
      </c>
      <c r="AK835">
        <v>0.54091388145432595</v>
      </c>
      <c r="AL835">
        <v>79.243254194929605</v>
      </c>
      <c r="AM835">
        <v>88.570615895322703</v>
      </c>
      <c r="AN835">
        <v>0.99999997323213996</v>
      </c>
    </row>
    <row r="836" spans="1:40" x14ac:dyDescent="0.25">
      <c r="A836" t="str">
        <f>"20190312172910882"</f>
        <v>20190312172910882</v>
      </c>
      <c r="B836" t="str">
        <f>"1552382950878404"</f>
        <v>1552382950878404</v>
      </c>
      <c r="C836" t="s">
        <v>40</v>
      </c>
      <c r="D836">
        <v>3.1488849999999999</v>
      </c>
      <c r="E836">
        <v>0.57724929999999997</v>
      </c>
      <c r="F836" t="s">
        <v>42</v>
      </c>
      <c r="G836">
        <v>-304.71010000000001</v>
      </c>
      <c r="H836">
        <v>0.84929959999999904</v>
      </c>
      <c r="I836">
        <v>367.40530000000001</v>
      </c>
      <c r="J836">
        <v>-305.39350000000002</v>
      </c>
      <c r="K836">
        <v>1.0595600000000001</v>
      </c>
      <c r="L836">
        <v>367.58679999999998</v>
      </c>
      <c r="M836">
        <v>0.9999363</v>
      </c>
      <c r="N836">
        <v>0</v>
      </c>
      <c r="O836">
        <v>2.261833E-3</v>
      </c>
      <c r="P836">
        <v>0.98419520000000005</v>
      </c>
      <c r="Q836">
        <v>0.17570729999999901</v>
      </c>
      <c r="R836">
        <v>-2.2068250000000001E-2</v>
      </c>
      <c r="S836">
        <v>3.1654659999999999</v>
      </c>
      <c r="T836">
        <v>-0.73573679999999997</v>
      </c>
      <c r="U836">
        <v>-0.63235469999999905</v>
      </c>
      <c r="V836">
        <v>2.4390519999999999E-2</v>
      </c>
      <c r="W836">
        <v>0.18656429999999999</v>
      </c>
      <c r="X836">
        <v>0.98213989999999995</v>
      </c>
      <c r="Y836">
        <v>0.193103</v>
      </c>
      <c r="Z836">
        <v>-2.2451479999999999E-2</v>
      </c>
      <c r="AA836">
        <v>0.98092159999999995</v>
      </c>
      <c r="AB836">
        <v>42</v>
      </c>
      <c r="AC836">
        <v>0.683400000000006</v>
      </c>
      <c r="AD836">
        <v>-0.21026039999999999</v>
      </c>
      <c r="AE836">
        <v>-0.18149999999997099</v>
      </c>
      <c r="AF836">
        <v>0.16817487429144001</v>
      </c>
      <c r="AG836">
        <v>-0.21026039999999999</v>
      </c>
      <c r="AH836">
        <v>0.62750220458140704</v>
      </c>
      <c r="AI836">
        <v>107.93433404154599</v>
      </c>
      <c r="AJ836">
        <v>74.996919075553294</v>
      </c>
      <c r="AK836">
        <v>0.68282592284243804</v>
      </c>
      <c r="AL836">
        <v>79.247651382278306</v>
      </c>
      <c r="AM836">
        <v>88.577405648470403</v>
      </c>
      <c r="AN836">
        <v>0.99999995933618402</v>
      </c>
    </row>
    <row r="837" spans="1:40" x14ac:dyDescent="0.25">
      <c r="A837" t="str">
        <f>"20190312172910894"</f>
        <v>20190312172910894</v>
      </c>
      <c r="B837" t="str">
        <f>"1552382950888164"</f>
        <v>1552382950888164</v>
      </c>
      <c r="C837" t="s">
        <v>40</v>
      </c>
      <c r="D837">
        <v>3.3311869999999999</v>
      </c>
      <c r="E837">
        <v>0.57752029999999999</v>
      </c>
      <c r="F837" t="s">
        <v>42</v>
      </c>
      <c r="G837">
        <v>-304.69159999999999</v>
      </c>
      <c r="H837">
        <v>0.89645609999999998</v>
      </c>
      <c r="I837">
        <v>367.44630000000001</v>
      </c>
      <c r="J837">
        <v>-305.17660000000001</v>
      </c>
      <c r="K837">
        <v>1.05952</v>
      </c>
      <c r="L837">
        <v>367.58730000000003</v>
      </c>
      <c r="M837">
        <v>0.99993650000000001</v>
      </c>
      <c r="N837">
        <v>0</v>
      </c>
      <c r="O837">
        <v>2.1567940000000001E-3</v>
      </c>
      <c r="P837">
        <v>0.98417239999999995</v>
      </c>
      <c r="Q837">
        <v>0.17581469999999999</v>
      </c>
      <c r="R837">
        <v>-2.223203E-2</v>
      </c>
      <c r="S837">
        <v>3.165314</v>
      </c>
      <c r="T837">
        <v>-0.7357361</v>
      </c>
      <c r="U837">
        <v>-0.63211059999999997</v>
      </c>
      <c r="V837">
        <v>2.4452439999999999E-2</v>
      </c>
      <c r="W837">
        <v>0.18668560000000001</v>
      </c>
      <c r="X837">
        <v>0.98211530000000002</v>
      </c>
      <c r="Y837">
        <v>0.19294259999999999</v>
      </c>
      <c r="Z837">
        <v>-2.2410550000000001E-2</v>
      </c>
      <c r="AA837">
        <v>0.98095410000000005</v>
      </c>
      <c r="AB837">
        <v>42</v>
      </c>
      <c r="AC837">
        <v>0.48500000000001298</v>
      </c>
      <c r="AD837">
        <v>-0.16306390000000001</v>
      </c>
      <c r="AE837">
        <v>-0.141000000000019</v>
      </c>
      <c r="AF837">
        <v>0.128637794626521</v>
      </c>
      <c r="AG837">
        <v>-0.16306390000000001</v>
      </c>
      <c r="AH837">
        <v>0.43894343510505002</v>
      </c>
      <c r="AI837">
        <v>109.62105538220899</v>
      </c>
      <c r="AJ837">
        <v>73.666125597890499</v>
      </c>
      <c r="AK837">
        <v>0.48560154129842498</v>
      </c>
      <c r="AL837">
        <v>79.240577002909305</v>
      </c>
      <c r="AM837">
        <v>88.573759901596404</v>
      </c>
      <c r="AN837">
        <v>0.99999994878169995</v>
      </c>
    </row>
    <row r="838" spans="1:40" x14ac:dyDescent="0.25">
      <c r="A838" t="str">
        <f>"20190312172910904"</f>
        <v>20190312172910904</v>
      </c>
      <c r="B838" t="str">
        <f>"1552382950897924"</f>
        <v>1552382950897924</v>
      </c>
      <c r="C838" t="s">
        <v>40</v>
      </c>
      <c r="D838">
        <v>3.3394330000000001</v>
      </c>
      <c r="E838">
        <v>0.57744719999999905</v>
      </c>
      <c r="F838" t="s">
        <v>42</v>
      </c>
      <c r="G838">
        <v>-304.32940000000002</v>
      </c>
      <c r="H838">
        <v>0.86236409999999997</v>
      </c>
      <c r="I838">
        <v>367.41719999999998</v>
      </c>
      <c r="J838">
        <v>-304.96780000000001</v>
      </c>
      <c r="K838">
        <v>1.059482</v>
      </c>
      <c r="L838">
        <v>367.58769999999998</v>
      </c>
      <c r="M838">
        <v>0.99993639999999995</v>
      </c>
      <c r="N838">
        <v>0</v>
      </c>
      <c r="O838">
        <v>2.0562829999999999E-3</v>
      </c>
      <c r="P838">
        <v>0.98415779999999997</v>
      </c>
      <c r="Q838">
        <v>0.17589939999999901</v>
      </c>
      <c r="R838">
        <v>-2.2199819999999999E-2</v>
      </c>
      <c r="S838">
        <v>3.1654969999999998</v>
      </c>
      <c r="T838">
        <v>-0.73673869999999997</v>
      </c>
      <c r="U838">
        <v>-0.63497919999999997</v>
      </c>
      <c r="V838">
        <v>2.4323150000000002E-2</v>
      </c>
      <c r="W838">
        <v>0.18678539999999999</v>
      </c>
      <c r="X838">
        <v>0.98209959999999996</v>
      </c>
      <c r="Y838">
        <v>0.1936602</v>
      </c>
      <c r="Z838">
        <v>-2.2495939999999999E-2</v>
      </c>
      <c r="AA838">
        <v>0.98081070000000004</v>
      </c>
      <c r="AB838">
        <v>42</v>
      </c>
      <c r="AC838">
        <v>0.63839999999998998</v>
      </c>
      <c r="AD838">
        <v>-0.19711790000000001</v>
      </c>
      <c r="AE838">
        <v>-0.17050000000000401</v>
      </c>
      <c r="AF838">
        <v>0.15777222022228601</v>
      </c>
      <c r="AG838">
        <v>-0.19711790000000001</v>
      </c>
      <c r="AH838">
        <v>0.58590779610469101</v>
      </c>
      <c r="AI838">
        <v>107.99689520205401</v>
      </c>
      <c r="AJ838">
        <v>74.928975814275205</v>
      </c>
      <c r="AK838">
        <v>0.63799332716771895</v>
      </c>
      <c r="AL838">
        <v>79.234757199918405</v>
      </c>
      <c r="AM838">
        <v>88.581275252854795</v>
      </c>
      <c r="AN838">
        <v>1.00000001279962</v>
      </c>
    </row>
    <row r="839" spans="1:40" x14ac:dyDescent="0.25">
      <c r="A839" t="str">
        <f>"20190312172910915"</f>
        <v>20190312172910915</v>
      </c>
      <c r="B839" t="str">
        <f>"1552382950908660"</f>
        <v>1552382950908660</v>
      </c>
      <c r="C839" t="s">
        <v>40</v>
      </c>
      <c r="D839">
        <v>3.1502539999999999</v>
      </c>
      <c r="E839">
        <v>0.57743849999999997</v>
      </c>
      <c r="F839" t="s">
        <v>42</v>
      </c>
      <c r="G839">
        <v>-303.96719999999999</v>
      </c>
      <c r="H839">
        <v>0.82665089999999997</v>
      </c>
      <c r="I839">
        <v>367.38690000000003</v>
      </c>
      <c r="J839">
        <v>-304.75880000000001</v>
      </c>
      <c r="K839">
        <v>1.059453</v>
      </c>
      <c r="L839">
        <v>367.58800000000002</v>
      </c>
      <c r="M839">
        <v>0.99993650000000001</v>
      </c>
      <c r="N839">
        <v>0</v>
      </c>
      <c r="O839">
        <v>1.955741E-3</v>
      </c>
      <c r="P839">
        <v>0.98418249999999996</v>
      </c>
      <c r="Q839">
        <v>0.17576910000000001</v>
      </c>
      <c r="R839">
        <v>-2.213683E-2</v>
      </c>
      <c r="S839">
        <v>3.1656490000000002</v>
      </c>
      <c r="T839">
        <v>-0.73666160000000003</v>
      </c>
      <c r="U839">
        <v>-0.634552</v>
      </c>
      <c r="V839">
        <v>2.4162739999999999E-2</v>
      </c>
      <c r="W839">
        <v>0.1866758</v>
      </c>
      <c r="X839">
        <v>0.98212440000000001</v>
      </c>
      <c r="Y839">
        <v>0.193435</v>
      </c>
      <c r="Z839">
        <v>-2.2444410000000001E-2</v>
      </c>
      <c r="AA839">
        <v>0.98085639999999996</v>
      </c>
      <c r="AB839">
        <v>42</v>
      </c>
      <c r="AC839">
        <v>0.79160000000001596</v>
      </c>
      <c r="AD839">
        <v>-0.23280210000000001</v>
      </c>
      <c r="AE839">
        <v>-0.201099999999996</v>
      </c>
      <c r="AF839">
        <v>0.18742071836544</v>
      </c>
      <c r="AG839">
        <v>-0.23280210000000001</v>
      </c>
      <c r="AH839">
        <v>0.73175324270938102</v>
      </c>
      <c r="AI839">
        <v>107.129017105766</v>
      </c>
      <c r="AJ839">
        <v>75.633911390359401</v>
      </c>
      <c r="AK839">
        <v>0.79043415390070404</v>
      </c>
      <c r="AL839">
        <v>79.241149266572094</v>
      </c>
      <c r="AM839">
        <v>88.590663462053996</v>
      </c>
      <c r="AN839">
        <v>1.00000001469265</v>
      </c>
    </row>
    <row r="840" spans="1:40" x14ac:dyDescent="0.25">
      <c r="A840" t="str">
        <f>"20190312172910932"</f>
        <v>20190312172910932</v>
      </c>
      <c r="B840" t="str">
        <f>"1552382950928180"</f>
        <v>1552382950928180</v>
      </c>
      <c r="C840" t="s">
        <v>40</v>
      </c>
      <c r="D840">
        <v>3.122976</v>
      </c>
      <c r="E840">
        <v>0.57765559999999905</v>
      </c>
      <c r="F840" t="s">
        <v>42</v>
      </c>
      <c r="G840">
        <v>-303.9502</v>
      </c>
      <c r="H840">
        <v>0.87127339999999998</v>
      </c>
      <c r="I840">
        <v>367.42579999999998</v>
      </c>
      <c r="J840">
        <v>-304.46080000000001</v>
      </c>
      <c r="K840">
        <v>1.059415</v>
      </c>
      <c r="L840">
        <v>367.58850000000001</v>
      </c>
      <c r="M840">
        <v>0.99993639999999995</v>
      </c>
      <c r="N840">
        <v>0</v>
      </c>
      <c r="O840">
        <v>1.8124969999999999E-3</v>
      </c>
      <c r="P840">
        <v>0.98416300000000001</v>
      </c>
      <c r="Q840">
        <v>0.17588989999999999</v>
      </c>
      <c r="R840">
        <v>-2.2051049999999999E-2</v>
      </c>
      <c r="S840">
        <v>3.165527</v>
      </c>
      <c r="T840">
        <v>-0.73675570000000001</v>
      </c>
      <c r="U840">
        <v>-0.63412480000000004</v>
      </c>
      <c r="V840">
        <v>2.3937960000000001E-2</v>
      </c>
      <c r="W840">
        <v>0.18682850000000001</v>
      </c>
      <c r="X840">
        <v>0.9821008</v>
      </c>
      <c r="Y840">
        <v>0.19318299999999999</v>
      </c>
      <c r="Z840">
        <v>-2.238706E-2</v>
      </c>
      <c r="AA840">
        <v>0.98090730000000004</v>
      </c>
      <c r="AB840">
        <v>42</v>
      </c>
      <c r="AC840">
        <v>0.51060000000001005</v>
      </c>
      <c r="AD840">
        <v>-0.18814159999999899</v>
      </c>
      <c r="AE840">
        <v>-0.16270000000002899</v>
      </c>
      <c r="AF840">
        <v>0.145670419811258</v>
      </c>
      <c r="AG840">
        <v>-0.18814159999999899</v>
      </c>
      <c r="AH840">
        <v>0.45430783947859998</v>
      </c>
      <c r="AI840">
        <v>111.52189091904999</v>
      </c>
      <c r="AJ840">
        <v>72.221939415936404</v>
      </c>
      <c r="AK840">
        <v>0.51284768291400296</v>
      </c>
      <c r="AL840">
        <v>79.232242794633905</v>
      </c>
      <c r="AM840">
        <v>88.603735419149302</v>
      </c>
      <c r="AN840">
        <v>0.99999994785092405</v>
      </c>
    </row>
    <row r="841" spans="1:40" x14ac:dyDescent="0.25">
      <c r="A841" t="str">
        <f>"20190312172910943"</f>
        <v>20190312172910943</v>
      </c>
      <c r="B841" t="str">
        <f>"1552382950937940"</f>
        <v>1552382950937940</v>
      </c>
      <c r="C841" t="s">
        <v>40</v>
      </c>
      <c r="D841">
        <v>3.1318589999999999</v>
      </c>
      <c r="E841">
        <v>0.57790129999999995</v>
      </c>
      <c r="F841" t="s">
        <v>42</v>
      </c>
      <c r="G841">
        <v>-303.5806</v>
      </c>
      <c r="H841">
        <v>0.85447879999999998</v>
      </c>
      <c r="I841">
        <v>367.411</v>
      </c>
      <c r="J841">
        <v>-304.24079999999998</v>
      </c>
      <c r="K841">
        <v>1.0593889999999999</v>
      </c>
      <c r="L841">
        <v>367.58879999999999</v>
      </c>
      <c r="M841">
        <v>0.99993620000000005</v>
      </c>
      <c r="N841">
        <v>0</v>
      </c>
      <c r="O841">
        <v>1.707039E-3</v>
      </c>
      <c r="P841">
        <v>0.98412980000000005</v>
      </c>
      <c r="Q841">
        <v>0.17609710000000001</v>
      </c>
      <c r="R841">
        <v>-2.1872880000000001E-2</v>
      </c>
      <c r="S841">
        <v>3.1657099999999998</v>
      </c>
      <c r="T841">
        <v>-0.73718009999999901</v>
      </c>
      <c r="U841">
        <v>-0.6369629</v>
      </c>
      <c r="V841">
        <v>2.3657580000000001E-2</v>
      </c>
      <c r="W841">
        <v>0.18706130000000001</v>
      </c>
      <c r="X841">
        <v>0.98206340000000003</v>
      </c>
      <c r="Y841">
        <v>0.19389439999999999</v>
      </c>
      <c r="Z841">
        <v>-2.245345E-2</v>
      </c>
      <c r="AA841">
        <v>0.98076540000000001</v>
      </c>
      <c r="AB841">
        <v>42</v>
      </c>
      <c r="AC841">
        <v>0.66019999999997403</v>
      </c>
      <c r="AD841">
        <v>-0.20491019999999899</v>
      </c>
      <c r="AE841">
        <v>-0.17779999999998999</v>
      </c>
      <c r="AF841">
        <v>0.16418032627726201</v>
      </c>
      <c r="AG841">
        <v>-0.20491019999999899</v>
      </c>
      <c r="AH841">
        <v>0.60550940801715603</v>
      </c>
      <c r="AI841">
        <v>108.087879081316</v>
      </c>
      <c r="AJ841">
        <v>74.8293424241091</v>
      </c>
      <c r="AK841">
        <v>0.65998864596130402</v>
      </c>
      <c r="AL841">
        <v>79.218666257411101</v>
      </c>
      <c r="AM841">
        <v>88.620030663607395</v>
      </c>
      <c r="AN841">
        <v>1.00000006633435</v>
      </c>
    </row>
    <row r="842" spans="1:40" x14ac:dyDescent="0.25">
      <c r="A842" t="str">
        <f>"20190312172910954"</f>
        <v>20190312172910954</v>
      </c>
      <c r="B842" t="str">
        <f>"1552382950948676"</f>
        <v>1552382950948676</v>
      </c>
      <c r="C842" t="s">
        <v>40</v>
      </c>
      <c r="D842">
        <v>3.1551529999999999</v>
      </c>
      <c r="E842">
        <v>0.57801309999999995</v>
      </c>
      <c r="F842" t="s">
        <v>42</v>
      </c>
      <c r="G842">
        <v>-303.21730000000002</v>
      </c>
      <c r="H842">
        <v>0.82094590000000001</v>
      </c>
      <c r="I842">
        <v>367.38240000000002</v>
      </c>
      <c r="J842">
        <v>-304.02679999999998</v>
      </c>
      <c r="K842">
        <v>1.0593669999999999</v>
      </c>
      <c r="L842">
        <v>367.58909999999997</v>
      </c>
      <c r="M842">
        <v>0.99993620000000005</v>
      </c>
      <c r="N842">
        <v>0</v>
      </c>
      <c r="O842">
        <v>1.6045569999999999E-3</v>
      </c>
      <c r="P842">
        <v>0.98410030000000004</v>
      </c>
      <c r="Q842">
        <v>0.17626259999999999</v>
      </c>
      <c r="R842">
        <v>-2.1866630000000001E-2</v>
      </c>
      <c r="S842">
        <v>3.1661990000000002</v>
      </c>
      <c r="T842">
        <v>-0.73772590000000005</v>
      </c>
      <c r="U842">
        <v>-0.63812259999999998</v>
      </c>
      <c r="V842">
        <v>2.3551740000000002E-2</v>
      </c>
      <c r="W842">
        <v>0.18725530000000001</v>
      </c>
      <c r="X842">
        <v>0.98202889999999998</v>
      </c>
      <c r="Y842">
        <v>0.19410179999999999</v>
      </c>
      <c r="Z842">
        <v>-2.2465840000000001E-2</v>
      </c>
      <c r="AA842">
        <v>0.98072409999999999</v>
      </c>
      <c r="AB842">
        <v>42</v>
      </c>
      <c r="AC842">
        <v>0.80949999999995703</v>
      </c>
      <c r="AD842">
        <v>-0.238421099999999</v>
      </c>
      <c r="AE842">
        <v>-0.206699999999955</v>
      </c>
      <c r="AF842">
        <v>0.192335387300064</v>
      </c>
      <c r="AG842">
        <v>-0.238421099999999</v>
      </c>
      <c r="AH842">
        <v>0.74823303356702597</v>
      </c>
      <c r="AI842">
        <v>107.150886712347</v>
      </c>
      <c r="AJ842">
        <v>75.584067496414903</v>
      </c>
      <c r="AK842">
        <v>0.80851109742166805</v>
      </c>
      <c r="AL842">
        <v>79.207350165774599</v>
      </c>
      <c r="AM842">
        <v>88.626153796184894</v>
      </c>
      <c r="AN842">
        <v>0.99999999613516299</v>
      </c>
    </row>
    <row r="843" spans="1:40" x14ac:dyDescent="0.25">
      <c r="A843" t="str">
        <f>"20190312172910966"</f>
        <v>20190312172910966</v>
      </c>
      <c r="B843" t="str">
        <f>"1552382950958436"</f>
        <v>1552382950958436</v>
      </c>
      <c r="C843" t="s">
        <v>40</v>
      </c>
      <c r="D843">
        <v>3.1174529999999998</v>
      </c>
      <c r="E843">
        <v>0.57813780000000004</v>
      </c>
      <c r="F843" t="s">
        <v>42</v>
      </c>
      <c r="G843">
        <v>-303.2</v>
      </c>
      <c r="H843">
        <v>0.86672839999999995</v>
      </c>
      <c r="I843">
        <v>367.4221</v>
      </c>
      <c r="J843">
        <v>-303.82810000000001</v>
      </c>
      <c r="K843">
        <v>1.0593509999999999</v>
      </c>
      <c r="L843">
        <v>367.58940000000001</v>
      </c>
      <c r="M843">
        <v>0.99993589999999999</v>
      </c>
      <c r="N843">
        <v>0</v>
      </c>
      <c r="O843">
        <v>1.5095389999999901E-3</v>
      </c>
      <c r="P843">
        <v>0.98411859999999995</v>
      </c>
      <c r="Q843">
        <v>0.1761402</v>
      </c>
      <c r="R843">
        <v>-2.2031309999999998E-2</v>
      </c>
      <c r="S843">
        <v>3.1664119999999998</v>
      </c>
      <c r="T843">
        <v>-0.7377129</v>
      </c>
      <c r="U843">
        <v>-0.63909910000000003</v>
      </c>
      <c r="V843">
        <v>2.3623849999999998E-2</v>
      </c>
      <c r="W843">
        <v>0.18715879999999999</v>
      </c>
      <c r="X843">
        <v>0.98204559999999996</v>
      </c>
      <c r="Y843">
        <v>0.1942855</v>
      </c>
      <c r="Z843">
        <v>-2.2462619999999999E-2</v>
      </c>
      <c r="AA843">
        <v>0.9806878</v>
      </c>
      <c r="AB843">
        <v>42</v>
      </c>
      <c r="AC843">
        <v>0.62810000000001698</v>
      </c>
      <c r="AD843">
        <v>-0.1926226</v>
      </c>
      <c r="AE843">
        <v>-0.167300000000011</v>
      </c>
      <c r="AF843">
        <v>0.15466543390620299</v>
      </c>
      <c r="AG843">
        <v>-0.1926226</v>
      </c>
      <c r="AH843">
        <v>0.577160974861608</v>
      </c>
      <c r="AI843">
        <v>107.867629649807</v>
      </c>
      <c r="AJ843">
        <v>74.998553554606602</v>
      </c>
      <c r="AK843">
        <v>0.62780542636979197</v>
      </c>
      <c r="AL843">
        <v>79.212979105716101</v>
      </c>
      <c r="AM843">
        <v>88.621972440435499</v>
      </c>
      <c r="AN843">
        <v>1.0000000315928099</v>
      </c>
    </row>
    <row r="844" spans="1:40" x14ac:dyDescent="0.25">
      <c r="A844" t="str">
        <f>"20190312172910976"</f>
        <v>20190312172910976</v>
      </c>
      <c r="B844" t="str">
        <f>"1552382950968196"</f>
        <v>1552382950968196</v>
      </c>
      <c r="C844" t="s">
        <v>40</v>
      </c>
      <c r="D844">
        <v>3.230299</v>
      </c>
      <c r="E844">
        <v>0.57817109999999905</v>
      </c>
      <c r="F844" t="s">
        <v>42</v>
      </c>
      <c r="G844">
        <v>-302.8383</v>
      </c>
      <c r="H844">
        <v>0.82848949999999999</v>
      </c>
      <c r="I844">
        <v>367.38889999999998</v>
      </c>
      <c r="J844">
        <v>-303.6182</v>
      </c>
      <c r="K844">
        <v>1.0593349999999999</v>
      </c>
      <c r="L844">
        <v>367.58960000000002</v>
      </c>
      <c r="M844">
        <v>0.99993580000000004</v>
      </c>
      <c r="N844">
        <v>0</v>
      </c>
      <c r="O844">
        <v>1.4089679999999901E-3</v>
      </c>
      <c r="P844">
        <v>0.98413459999999997</v>
      </c>
      <c r="Q844">
        <v>0.1760282</v>
      </c>
      <c r="R844">
        <v>-2.221573E-2</v>
      </c>
      <c r="S844">
        <v>3.1663209999999999</v>
      </c>
      <c r="T844">
        <v>-0.7386663</v>
      </c>
      <c r="U844">
        <v>-0.64022829999999997</v>
      </c>
      <c r="V844">
        <v>2.3710200000000001E-2</v>
      </c>
      <c r="W844">
        <v>0.18707489999999999</v>
      </c>
      <c r="X844">
        <v>0.98205949999999997</v>
      </c>
      <c r="Y844">
        <v>0.1945125</v>
      </c>
      <c r="Z844">
        <v>-2.249373E-2</v>
      </c>
      <c r="AA844">
        <v>0.98064209999999996</v>
      </c>
      <c r="AB844">
        <v>42</v>
      </c>
      <c r="AC844">
        <v>0.77989999999999704</v>
      </c>
      <c r="AD844">
        <v>-0.23084550000000001</v>
      </c>
      <c r="AE844">
        <v>-0.20070000000004001</v>
      </c>
      <c r="AF844">
        <v>0.18647588934397699</v>
      </c>
      <c r="AG844">
        <v>-0.23084550000000001</v>
      </c>
      <c r="AH844">
        <v>0.72041915637021203</v>
      </c>
      <c r="AI844">
        <v>107.234343866397</v>
      </c>
      <c r="AJ844">
        <v>75.487862639528501</v>
      </c>
      <c r="AK844">
        <v>0.77914482802752805</v>
      </c>
      <c r="AL844">
        <v>79.2178725991959</v>
      </c>
      <c r="AM844">
        <v>88.616956989106797</v>
      </c>
      <c r="AN844">
        <v>1.0000000266671401</v>
      </c>
    </row>
    <row r="845" spans="1:40" x14ac:dyDescent="0.25">
      <c r="A845" t="str">
        <f>"20190312172910999"</f>
        <v>20190312172910999</v>
      </c>
      <c r="B845" t="str">
        <f>"1552382950988692"</f>
        <v>1552382950988692</v>
      </c>
      <c r="C845" t="s">
        <v>40</v>
      </c>
      <c r="D845">
        <v>3.2308500000000002</v>
      </c>
      <c r="E845">
        <v>0.57817059999999998</v>
      </c>
      <c r="F845" t="s">
        <v>42</v>
      </c>
      <c r="G845">
        <v>-302.82119999999998</v>
      </c>
      <c r="H845">
        <v>0.873361099999999</v>
      </c>
      <c r="I845">
        <v>367.42790000000002</v>
      </c>
      <c r="J845">
        <v>-303.19810000000001</v>
      </c>
      <c r="K845">
        <v>1.059304</v>
      </c>
      <c r="L845">
        <v>367.59</v>
      </c>
      <c r="M845">
        <v>0.99993540000000003</v>
      </c>
      <c r="N845">
        <v>0</v>
      </c>
      <c r="O845">
        <v>1.207589E-3</v>
      </c>
      <c r="P845">
        <v>0.98414270000000004</v>
      </c>
      <c r="Q845">
        <v>0.17596059999999999</v>
      </c>
      <c r="R845">
        <v>-2.2392860000000001E-2</v>
      </c>
      <c r="S845">
        <v>3.166077</v>
      </c>
      <c r="T845">
        <v>-0.73895549999999999</v>
      </c>
      <c r="U845">
        <v>-0.64105219999999996</v>
      </c>
      <c r="V845">
        <v>2.3690639999999999E-2</v>
      </c>
      <c r="W845">
        <v>0.1870655</v>
      </c>
      <c r="X845">
        <v>0.98206170000000004</v>
      </c>
      <c r="Y845">
        <v>0.19457430000000001</v>
      </c>
      <c r="Z845">
        <v>-2.246453E-2</v>
      </c>
      <c r="AA845">
        <v>0.98063049999999996</v>
      </c>
      <c r="AB845">
        <v>42</v>
      </c>
      <c r="AC845">
        <v>0.37690000000003399</v>
      </c>
      <c r="AD845">
        <v>-0.18594289999999999</v>
      </c>
      <c r="AE845">
        <v>-0.162099999999952</v>
      </c>
      <c r="AF845">
        <v>0.13485584092538699</v>
      </c>
      <c r="AG845">
        <v>-0.18594289999999999</v>
      </c>
      <c r="AH845">
        <v>0.31251400234773302</v>
      </c>
      <c r="AI845">
        <v>118.647686613356</v>
      </c>
      <c r="AJ845">
        <v>66.658867350714502</v>
      </c>
      <c r="AK845">
        <v>0.387847729857353</v>
      </c>
      <c r="AL845">
        <v>79.218420187092207</v>
      </c>
      <c r="AM845">
        <v>88.618100598129899</v>
      </c>
      <c r="AN845">
        <v>0.99999996516037404</v>
      </c>
    </row>
    <row r="846" spans="1:40" x14ac:dyDescent="0.25">
      <c r="A846" t="str">
        <f>"20190312172911010"</f>
        <v>20190312172911010</v>
      </c>
      <c r="B846" t="str">
        <f>"1552382951008211"</f>
        <v>1552382951008211</v>
      </c>
      <c r="C846" t="s">
        <v>40</v>
      </c>
      <c r="D846">
        <v>3.1696960000000001</v>
      </c>
      <c r="E846">
        <v>0.57814209999999999</v>
      </c>
      <c r="F846" t="s">
        <v>42</v>
      </c>
      <c r="G846">
        <v>-302.44139999999999</v>
      </c>
      <c r="H846">
        <v>0.88271619999999995</v>
      </c>
      <c r="I846">
        <v>367.43630000000002</v>
      </c>
      <c r="J846">
        <v>-302.9914</v>
      </c>
      <c r="K846">
        <v>1.059293</v>
      </c>
      <c r="L846">
        <v>367.59019999999998</v>
      </c>
      <c r="M846">
        <v>0.99993520000000002</v>
      </c>
      <c r="N846">
        <v>0</v>
      </c>
      <c r="O846">
        <v>1.10833E-3</v>
      </c>
      <c r="P846">
        <v>0.98413059999999997</v>
      </c>
      <c r="Q846">
        <v>0.17601049999999999</v>
      </c>
      <c r="R846">
        <v>-2.2519500000000001E-2</v>
      </c>
      <c r="S846">
        <v>3.1658330000000001</v>
      </c>
      <c r="T846">
        <v>-0.73890359999999999</v>
      </c>
      <c r="U846">
        <v>-0.64208980000000004</v>
      </c>
      <c r="V846">
        <v>2.3720229999999998E-2</v>
      </c>
      <c r="W846">
        <v>0.18714520000000001</v>
      </c>
      <c r="X846">
        <v>0.98204579999999997</v>
      </c>
      <c r="Y846">
        <v>0.19479759999999999</v>
      </c>
      <c r="Z846">
        <v>-2.2466779999999999E-2</v>
      </c>
      <c r="AA846">
        <v>0.98058610000000002</v>
      </c>
      <c r="AB846">
        <v>42</v>
      </c>
      <c r="AC846">
        <v>0.55000000000001104</v>
      </c>
      <c r="AD846">
        <v>-0.17657679999999901</v>
      </c>
      <c r="AE846">
        <v>-0.15389999999996401</v>
      </c>
      <c r="AF846">
        <v>0.14102886955749699</v>
      </c>
      <c r="AG846">
        <v>-0.17657679999999901</v>
      </c>
      <c r="AH846">
        <v>0.50185755825204403</v>
      </c>
      <c r="AI846">
        <v>108.71258531881701</v>
      </c>
      <c r="AJ846">
        <v>74.303907343554101</v>
      </c>
      <c r="AK846">
        <v>0.55039033160258999</v>
      </c>
      <c r="AL846">
        <v>79.213771608922897</v>
      </c>
      <c r="AM846">
        <v>88.616352860396205</v>
      </c>
      <c r="AN846">
        <v>0.99999996424596505</v>
      </c>
    </row>
    <row r="847" spans="1:40" x14ac:dyDescent="0.25">
      <c r="A847" t="str">
        <f>"20190312172911020"</f>
        <v>20190312172911020</v>
      </c>
      <c r="B847" t="str">
        <f>"1552382951017972"</f>
        <v>1552382951017972</v>
      </c>
      <c r="C847" t="s">
        <v>40</v>
      </c>
      <c r="D847">
        <v>3.349046</v>
      </c>
      <c r="E847">
        <v>0.57837190000000005</v>
      </c>
      <c r="F847" t="s">
        <v>42</v>
      </c>
      <c r="G847">
        <v>-302.07900000000001</v>
      </c>
      <c r="H847">
        <v>0.84649859999999899</v>
      </c>
      <c r="I847">
        <v>367.40480000000002</v>
      </c>
      <c r="J847">
        <v>-302.78480000000002</v>
      </c>
      <c r="K847">
        <v>1.0592809999999999</v>
      </c>
      <c r="L847">
        <v>367.59039999999999</v>
      </c>
      <c r="M847">
        <v>0.99993489999999996</v>
      </c>
      <c r="N847">
        <v>0</v>
      </c>
      <c r="O847">
        <v>1.0090100000000001E-3</v>
      </c>
      <c r="P847">
        <v>0.98414000000000001</v>
      </c>
      <c r="Q847">
        <v>0.1759107</v>
      </c>
      <c r="R847">
        <v>-2.2892220000000001E-2</v>
      </c>
      <c r="S847">
        <v>3.1657410000000001</v>
      </c>
      <c r="T847">
        <v>-0.73845179999999999</v>
      </c>
      <c r="U847">
        <v>-0.64212040000000004</v>
      </c>
      <c r="V847">
        <v>2.3995530000000001E-2</v>
      </c>
      <c r="W847">
        <v>0.18707579999999999</v>
      </c>
      <c r="X847">
        <v>0.98205240000000005</v>
      </c>
      <c r="Y847">
        <v>0.19472519999999999</v>
      </c>
      <c r="Z847">
        <v>-2.242309E-2</v>
      </c>
      <c r="AA847">
        <v>0.98060150000000001</v>
      </c>
      <c r="AB847">
        <v>42</v>
      </c>
      <c r="AC847">
        <v>0.70580000000000997</v>
      </c>
      <c r="AD847">
        <v>-0.21278240000000001</v>
      </c>
      <c r="AE847">
        <v>-0.18559999999996499</v>
      </c>
      <c r="AF847">
        <v>0.17171466670234301</v>
      </c>
      <c r="AG847">
        <v>-0.21278240000000001</v>
      </c>
      <c r="AH847">
        <v>0.65032804408626299</v>
      </c>
      <c r="AI847">
        <v>107.554788837909</v>
      </c>
      <c r="AJ847">
        <v>75.209011065007402</v>
      </c>
      <c r="AK847">
        <v>0.70547065242681795</v>
      </c>
      <c r="AL847">
        <v>79.217820124905202</v>
      </c>
      <c r="AM847">
        <v>88.600309830987399</v>
      </c>
      <c r="AN847">
        <v>1.00000002837569</v>
      </c>
    </row>
    <row r="848" spans="1:40" x14ac:dyDescent="0.25">
      <c r="A848" t="str">
        <f>"20190312172911032"</f>
        <v>20190312172911032</v>
      </c>
      <c r="B848" t="str">
        <f>"1552382951028708"</f>
        <v>1552382951028708</v>
      </c>
      <c r="C848" t="s">
        <v>40</v>
      </c>
      <c r="D848">
        <v>3.225787</v>
      </c>
      <c r="E848">
        <v>0.57849619999999902</v>
      </c>
      <c r="F848" t="s">
        <v>42</v>
      </c>
      <c r="G848">
        <v>-302.06189999999998</v>
      </c>
      <c r="H848">
        <v>0.89053799999999905</v>
      </c>
      <c r="I848">
        <v>367.4427</v>
      </c>
      <c r="J848">
        <v>-302.57499999999999</v>
      </c>
      <c r="K848">
        <v>1.059277</v>
      </c>
      <c r="L848">
        <v>367.59050000000002</v>
      </c>
      <c r="M848">
        <v>0.99993460000000001</v>
      </c>
      <c r="N848">
        <v>0</v>
      </c>
      <c r="O848">
        <v>9.077194E-4</v>
      </c>
      <c r="P848">
        <v>0.98417189999999999</v>
      </c>
      <c r="Q848">
        <v>0.17569670000000001</v>
      </c>
      <c r="R848">
        <v>-2.3166969999999999E-2</v>
      </c>
      <c r="S848">
        <v>3.1654360000000001</v>
      </c>
      <c r="T848">
        <v>-0.7390293</v>
      </c>
      <c r="U848">
        <v>-0.64480590000000004</v>
      </c>
      <c r="V848">
        <v>2.4170810000000001E-2</v>
      </c>
      <c r="W848">
        <v>0.18689359999999999</v>
      </c>
      <c r="X848">
        <v>0.98208280000000003</v>
      </c>
      <c r="Y848">
        <v>0.19542019999999999</v>
      </c>
      <c r="Z848">
        <v>-2.249661E-2</v>
      </c>
      <c r="AA848">
        <v>0.98046149999999999</v>
      </c>
      <c r="AB848">
        <v>42</v>
      </c>
      <c r="AC848">
        <v>0.51310000000000799</v>
      </c>
      <c r="AD848">
        <v>-0.168739</v>
      </c>
      <c r="AE848">
        <v>-0.147800000000017</v>
      </c>
      <c r="AF848">
        <v>0.13480369318313701</v>
      </c>
      <c r="AG848">
        <v>-0.168739</v>
      </c>
      <c r="AH848">
        <v>0.46639007194395998</v>
      </c>
      <c r="AI848">
        <v>109.165959189237</v>
      </c>
      <c r="AJ848">
        <v>73.878782945128194</v>
      </c>
      <c r="AK848">
        <v>0.51396943977702203</v>
      </c>
      <c r="AL848">
        <v>79.228446923076604</v>
      </c>
      <c r="AM848">
        <v>88.590133260449406</v>
      </c>
      <c r="AN848">
        <v>1.0000000359164201</v>
      </c>
    </row>
    <row r="849" spans="1:40" x14ac:dyDescent="0.25">
      <c r="A849" t="str">
        <f>"20190312172911046"</f>
        <v>20190312172911046</v>
      </c>
      <c r="B849" t="str">
        <f>"1552382951038468"</f>
        <v>1552382951038468</v>
      </c>
      <c r="C849" t="s">
        <v>40</v>
      </c>
      <c r="D849">
        <v>3.1517710000000001</v>
      </c>
      <c r="E849">
        <v>0.57852399999999904</v>
      </c>
      <c r="F849" t="s">
        <v>42</v>
      </c>
      <c r="G849">
        <v>-301.69959999999998</v>
      </c>
      <c r="H849">
        <v>0.85449739999999996</v>
      </c>
      <c r="I849">
        <v>367.4117</v>
      </c>
      <c r="J849">
        <v>-302.32639999999998</v>
      </c>
      <c r="K849">
        <v>1.0592680000000001</v>
      </c>
      <c r="L849">
        <v>367.59059999999999</v>
      </c>
      <c r="M849">
        <v>0.99993430000000005</v>
      </c>
      <c r="N849">
        <v>0</v>
      </c>
      <c r="O849">
        <v>7.8767509999999998E-4</v>
      </c>
      <c r="P849">
        <v>0.98415540000000001</v>
      </c>
      <c r="Q849">
        <v>0.17575260000000001</v>
      </c>
      <c r="R849">
        <v>-2.3441839999999999E-2</v>
      </c>
      <c r="S849">
        <v>3.1651919999999998</v>
      </c>
      <c r="T849">
        <v>-0.74030450000000003</v>
      </c>
      <c r="U849">
        <v>-0.64645390000000003</v>
      </c>
      <c r="V849">
        <v>2.4328019999999999E-2</v>
      </c>
      <c r="W849">
        <v>0.18698680000000001</v>
      </c>
      <c r="X849">
        <v>0.98206110000000002</v>
      </c>
      <c r="Y849">
        <v>0.1957837</v>
      </c>
      <c r="Z849">
        <v>-2.2549079999999999E-2</v>
      </c>
      <c r="AA849">
        <v>0.98038780000000003</v>
      </c>
      <c r="AB849">
        <v>42</v>
      </c>
      <c r="AC849">
        <v>0.62680000000000202</v>
      </c>
      <c r="AD849">
        <v>-0.2047706</v>
      </c>
      <c r="AE849">
        <v>-0.17889999999999801</v>
      </c>
      <c r="AF849">
        <v>0.16327988731222101</v>
      </c>
      <c r="AG849">
        <v>-0.2047706</v>
      </c>
      <c r="AH849">
        <v>0.57037006506402699</v>
      </c>
      <c r="AI849">
        <v>109.042085440525</v>
      </c>
      <c r="AJ849">
        <v>74.025166834561702</v>
      </c>
      <c r="AK849">
        <v>0.62762515193879398</v>
      </c>
      <c r="AL849">
        <v>79.223010303056796</v>
      </c>
      <c r="AM849">
        <v>88.580935703788001</v>
      </c>
      <c r="AN849">
        <v>0.99999996003228397</v>
      </c>
    </row>
    <row r="850" spans="1:40" x14ac:dyDescent="0.25">
      <c r="A850" t="str">
        <f>"20190312172911057"</f>
        <v>20190312172911057</v>
      </c>
      <c r="B850" t="str">
        <f>"1552382951048228"</f>
        <v>1552382951048228</v>
      </c>
      <c r="C850" t="s">
        <v>40</v>
      </c>
      <c r="D850">
        <v>3.2133039999999999</v>
      </c>
      <c r="E850">
        <v>0.5786422</v>
      </c>
      <c r="F850" t="s">
        <v>42</v>
      </c>
      <c r="G850">
        <v>-301.33359999999999</v>
      </c>
      <c r="H850">
        <v>0.82694789999999996</v>
      </c>
      <c r="I850">
        <v>367.38709999999998</v>
      </c>
      <c r="J850">
        <v>-302.08589999999998</v>
      </c>
      <c r="K850">
        <v>1.0592600000000001</v>
      </c>
      <c r="L850">
        <v>367.59070000000003</v>
      </c>
      <c r="M850">
        <v>0.99993399999999999</v>
      </c>
      <c r="N850">
        <v>0</v>
      </c>
      <c r="O850">
        <v>6.715111E-4</v>
      </c>
      <c r="P850">
        <v>0.9841799</v>
      </c>
      <c r="Q850">
        <v>0.17559640000000001</v>
      </c>
      <c r="R850">
        <v>-2.3577049999999999E-2</v>
      </c>
      <c r="S850">
        <v>3.1651310000000001</v>
      </c>
      <c r="T850">
        <v>-0.74078580000000005</v>
      </c>
      <c r="U850">
        <v>-0.64776610000000001</v>
      </c>
      <c r="V850">
        <v>2.434942E-2</v>
      </c>
      <c r="W850">
        <v>0.18686739999999999</v>
      </c>
      <c r="X850">
        <v>0.98208329999999999</v>
      </c>
      <c r="Y850">
        <v>0.19605359999999999</v>
      </c>
      <c r="Z850">
        <v>-2.2567179999999999E-2</v>
      </c>
      <c r="AA850">
        <v>0.98033340000000002</v>
      </c>
      <c r="AB850">
        <v>42</v>
      </c>
      <c r="AC850">
        <v>0.75229999999999098</v>
      </c>
      <c r="AD850">
        <v>-0.23231209999999999</v>
      </c>
      <c r="AE850">
        <v>-0.20360000000005099</v>
      </c>
      <c r="AF850">
        <v>0.18745001841761399</v>
      </c>
      <c r="AG850">
        <v>-0.23231209999999999</v>
      </c>
      <c r="AH850">
        <v>0.690785983712074</v>
      </c>
      <c r="AI850">
        <v>107.981550658053</v>
      </c>
      <c r="AJ850">
        <v>74.817950779084597</v>
      </c>
      <c r="AK850">
        <v>0.75252355212593303</v>
      </c>
      <c r="AL850">
        <v>79.2299742068748</v>
      </c>
      <c r="AM850">
        <v>88.579720036310803</v>
      </c>
      <c r="AN850">
        <v>0.99999996378799205</v>
      </c>
    </row>
    <row r="851" spans="1:40" x14ac:dyDescent="0.25">
      <c r="A851" t="str">
        <f>"20190312172911070"</f>
        <v>20190312172911070</v>
      </c>
      <c r="B851" t="str">
        <f>"1552382951068724"</f>
        <v>1552382951068724</v>
      </c>
      <c r="C851" t="s">
        <v>40</v>
      </c>
      <c r="D851">
        <v>3.280697</v>
      </c>
      <c r="E851">
        <v>0.57866850000000003</v>
      </c>
      <c r="F851" t="s">
        <v>42</v>
      </c>
      <c r="G851">
        <v>-301.31400000000002</v>
      </c>
      <c r="H851">
        <v>0.878359</v>
      </c>
      <c r="I851">
        <v>367.43209999999999</v>
      </c>
      <c r="J851">
        <v>-301.85649999999998</v>
      </c>
      <c r="K851">
        <v>1.059256</v>
      </c>
      <c r="L851">
        <v>367.5908</v>
      </c>
      <c r="M851">
        <v>0.99993359999999998</v>
      </c>
      <c r="N851">
        <v>0</v>
      </c>
      <c r="O851">
        <v>5.6053880000000002E-4</v>
      </c>
      <c r="P851">
        <v>0.98419330000000005</v>
      </c>
      <c r="Q851">
        <v>0.17549010000000001</v>
      </c>
      <c r="R851">
        <v>-2.380672E-2</v>
      </c>
      <c r="S851">
        <v>3.1650390000000002</v>
      </c>
      <c r="T851">
        <v>-0.74183669999999902</v>
      </c>
      <c r="U851">
        <v>-0.64926149999999905</v>
      </c>
      <c r="V851">
        <v>2.447011E-2</v>
      </c>
      <c r="W851">
        <v>0.18679660000000001</v>
      </c>
      <c r="X851">
        <v>0.98209380000000002</v>
      </c>
      <c r="Y851">
        <v>0.19637550000000001</v>
      </c>
      <c r="Z851">
        <v>-2.2609420000000002E-2</v>
      </c>
      <c r="AA851">
        <v>0.98026809999999998</v>
      </c>
      <c r="AB851">
        <v>42</v>
      </c>
      <c r="AC851">
        <v>0.54249999999996101</v>
      </c>
      <c r="AD851">
        <v>-0.180897</v>
      </c>
      <c r="AE851">
        <v>-0.15870000000001</v>
      </c>
      <c r="AF851">
        <v>0.14423130340483201</v>
      </c>
      <c r="AG851">
        <v>-0.180897</v>
      </c>
      <c r="AH851">
        <v>0.49201652436348697</v>
      </c>
      <c r="AI851">
        <v>109.43373559184801</v>
      </c>
      <c r="AJ851">
        <v>73.661859178958196</v>
      </c>
      <c r="AK851">
        <v>0.54369720777063302</v>
      </c>
      <c r="AL851">
        <v>79.234103785978704</v>
      </c>
      <c r="AM851">
        <v>88.572698454884701</v>
      </c>
      <c r="AN851">
        <v>0.99999999402670603</v>
      </c>
    </row>
    <row r="852" spans="1:40" x14ac:dyDescent="0.25">
      <c r="A852" t="str">
        <f>"20190312172911082"</f>
        <v>20190312172911082</v>
      </c>
      <c r="B852" t="str">
        <f>"1552382951078484"</f>
        <v>1552382951078484</v>
      </c>
      <c r="C852" t="s">
        <v>40</v>
      </c>
      <c r="D852">
        <v>3.168777</v>
      </c>
      <c r="E852">
        <v>0.57869389999999998</v>
      </c>
      <c r="F852" t="s">
        <v>42</v>
      </c>
      <c r="G852">
        <v>-300.94970000000001</v>
      </c>
      <c r="H852">
        <v>0.84648120000000004</v>
      </c>
      <c r="I852">
        <v>367.40440000000001</v>
      </c>
      <c r="J852">
        <v>-301.6207</v>
      </c>
      <c r="K852">
        <v>1.05925</v>
      </c>
      <c r="L852">
        <v>367.5908</v>
      </c>
      <c r="M852">
        <v>0.99993319999999997</v>
      </c>
      <c r="N852">
        <v>0</v>
      </c>
      <c r="O852">
        <v>4.4657630000000001E-4</v>
      </c>
      <c r="P852">
        <v>0.9841704</v>
      </c>
      <c r="Q852">
        <v>0.17562059999999999</v>
      </c>
      <c r="R852">
        <v>-2.3786789999999999E-2</v>
      </c>
      <c r="S852">
        <v>3.164917</v>
      </c>
      <c r="T852">
        <v>-0.74264859999999999</v>
      </c>
      <c r="U852">
        <v>-0.650177</v>
      </c>
      <c r="V852">
        <v>2.4338419999999999E-2</v>
      </c>
      <c r="W852">
        <v>0.1869643</v>
      </c>
      <c r="X852">
        <v>0.98206510000000002</v>
      </c>
      <c r="Y852">
        <v>0.19653129999999999</v>
      </c>
      <c r="Z852">
        <v>-2.262546E-2</v>
      </c>
      <c r="AA852">
        <v>0.98023649999999996</v>
      </c>
      <c r="AB852">
        <v>42</v>
      </c>
      <c r="AC852">
        <v>0.67099999999999205</v>
      </c>
      <c r="AD852">
        <v>-0.21276880000000001</v>
      </c>
      <c r="AE852">
        <v>-0.18639999999999099</v>
      </c>
      <c r="AF852">
        <v>0.170760202229462</v>
      </c>
      <c r="AG852">
        <v>-0.21276880000000001</v>
      </c>
      <c r="AH852">
        <v>0.61363728543109697</v>
      </c>
      <c r="AI852">
        <v>108.47145015041001</v>
      </c>
      <c r="AJ852">
        <v>74.449419562409801</v>
      </c>
      <c r="AK852">
        <v>0.67155068832526099</v>
      </c>
      <c r="AL852">
        <v>79.224322321587294</v>
      </c>
      <c r="AM852">
        <v>88.580335095366905</v>
      </c>
      <c r="AN852">
        <v>0.999999934400296</v>
      </c>
    </row>
    <row r="853" spans="1:40" x14ac:dyDescent="0.25">
      <c r="A853" t="str">
        <f>"20190312172911098"</f>
        <v>20190312172911098</v>
      </c>
      <c r="B853" t="str">
        <f>"1552382951088244"</f>
        <v>1552382951088244</v>
      </c>
      <c r="C853" t="s">
        <v>40</v>
      </c>
      <c r="D853">
        <v>3.170086</v>
      </c>
      <c r="E853">
        <v>0.57873019999999997</v>
      </c>
      <c r="F853" t="s">
        <v>42</v>
      </c>
      <c r="G853">
        <v>-300.92970000000003</v>
      </c>
      <c r="H853">
        <v>0.89711589999999997</v>
      </c>
      <c r="I853">
        <v>367.44869999999997</v>
      </c>
      <c r="J853">
        <v>-301.3107</v>
      </c>
      <c r="K853">
        <v>1.059248</v>
      </c>
      <c r="L853">
        <v>367.5908</v>
      </c>
      <c r="M853">
        <v>0.99993259999999995</v>
      </c>
      <c r="N853">
        <v>0</v>
      </c>
      <c r="O853">
        <v>2.9652070000000001E-4</v>
      </c>
      <c r="P853">
        <v>0.984209</v>
      </c>
      <c r="Q853">
        <v>0.17536769999999999</v>
      </c>
      <c r="R853">
        <v>-2.4058690000000001E-2</v>
      </c>
      <c r="S853">
        <v>3.1650700000000001</v>
      </c>
      <c r="T853">
        <v>-0.74272389999999999</v>
      </c>
      <c r="U853">
        <v>-0.64996339999999997</v>
      </c>
      <c r="V853">
        <v>2.446301E-2</v>
      </c>
      <c r="W853">
        <v>0.1867634</v>
      </c>
      <c r="X853">
        <v>0.98210030000000004</v>
      </c>
      <c r="Y853">
        <v>0.1963203</v>
      </c>
      <c r="Z853">
        <v>-2.256822E-2</v>
      </c>
      <c r="AA853">
        <v>0.98028009999999999</v>
      </c>
      <c r="AB853">
        <v>42</v>
      </c>
      <c r="AC853">
        <v>0.38099999999997097</v>
      </c>
      <c r="AD853">
        <v>-0.1621321</v>
      </c>
      <c r="AE853">
        <v>-0.14210000000002701</v>
      </c>
      <c r="AF853">
        <v>0.12270597227988</v>
      </c>
      <c r="AG853">
        <v>-0.1621321</v>
      </c>
      <c r="AH853">
        <v>0.32870279592932899</v>
      </c>
      <c r="AI853">
        <v>114.801657878437</v>
      </c>
      <c r="AJ853">
        <v>69.529210302360099</v>
      </c>
      <c r="AK853">
        <v>0.38650886346281699</v>
      </c>
      <c r="AL853">
        <v>79.236040177341394</v>
      </c>
      <c r="AM853">
        <v>88.573121854959496</v>
      </c>
      <c r="AN853">
        <v>1.00000000284895</v>
      </c>
    </row>
    <row r="854" spans="1:40" x14ac:dyDescent="0.25">
      <c r="A854" t="str">
        <f>"20190312172911110"</f>
        <v>20190312172911110</v>
      </c>
      <c r="B854" t="str">
        <f>"1552382951108740"</f>
        <v>1552382951108740</v>
      </c>
      <c r="C854" t="s">
        <v>40</v>
      </c>
      <c r="D854">
        <v>3.1730179999999999</v>
      </c>
      <c r="E854">
        <v>0.57881300000000002</v>
      </c>
      <c r="F854" t="s">
        <v>42</v>
      </c>
      <c r="G854">
        <v>-300.55939999999998</v>
      </c>
      <c r="H854">
        <v>0.88264310000000001</v>
      </c>
      <c r="I854">
        <v>367.43579999999997</v>
      </c>
      <c r="J854">
        <v>-301.09530000000001</v>
      </c>
      <c r="K854">
        <v>1.059245</v>
      </c>
      <c r="L854">
        <v>367.5908</v>
      </c>
      <c r="M854">
        <v>0.9999323</v>
      </c>
      <c r="N854">
        <v>0</v>
      </c>
      <c r="O854">
        <v>1.9197349999999999E-4</v>
      </c>
      <c r="P854">
        <v>0.98420240000000003</v>
      </c>
      <c r="Q854">
        <v>0.1753921</v>
      </c>
      <c r="R854">
        <v>-2.4157700000000001E-2</v>
      </c>
      <c r="S854">
        <v>3.164825</v>
      </c>
      <c r="T854">
        <v>-0.744158599999999</v>
      </c>
      <c r="U854">
        <v>-0.65103149999999999</v>
      </c>
      <c r="V854">
        <v>2.445953E-2</v>
      </c>
      <c r="W854">
        <v>0.1868243</v>
      </c>
      <c r="X854">
        <v>0.98208879999999998</v>
      </c>
      <c r="Y854">
        <v>0.1965276</v>
      </c>
      <c r="Z854">
        <v>-2.2611429999999998E-2</v>
      </c>
      <c r="AA854">
        <v>0.98023749999999998</v>
      </c>
      <c r="AB854">
        <v>42</v>
      </c>
      <c r="AC854">
        <v>0.53590000000002602</v>
      </c>
      <c r="AD854">
        <v>-0.17660189999999901</v>
      </c>
      <c r="AE854">
        <v>-0.155000000000029</v>
      </c>
      <c r="AF854">
        <v>0.14097509149193299</v>
      </c>
      <c r="AG854">
        <v>-0.17660189999999901</v>
      </c>
      <c r="AH854">
        <v>0.487059645164794</v>
      </c>
      <c r="AI854">
        <v>109.202815370371</v>
      </c>
      <c r="AJ854">
        <v>73.857382521991994</v>
      </c>
      <c r="AK854">
        <v>0.53692579138352403</v>
      </c>
      <c r="AL854">
        <v>79.232488311347097</v>
      </c>
      <c r="AM854">
        <v>88.573308053374305</v>
      </c>
      <c r="AN854">
        <v>0.999999999381875</v>
      </c>
    </row>
    <row r="855" spans="1:40" x14ac:dyDescent="0.25">
      <c r="A855" t="str">
        <f>"20190312172911121"</f>
        <v>20190312172911121</v>
      </c>
      <c r="B855" t="str">
        <f>"1552382951118500"</f>
        <v>1552382951118500</v>
      </c>
      <c r="C855" t="s">
        <v>40</v>
      </c>
      <c r="D855">
        <v>3.182833</v>
      </c>
      <c r="E855">
        <v>0.5788316</v>
      </c>
      <c r="F855" t="s">
        <v>42</v>
      </c>
      <c r="G855">
        <v>-300.19630000000001</v>
      </c>
      <c r="H855">
        <v>0.84764949999999994</v>
      </c>
      <c r="I855">
        <v>367.40519999999998</v>
      </c>
      <c r="J855">
        <v>-300.88490000000002</v>
      </c>
      <c r="K855">
        <v>1.0592429999999999</v>
      </c>
      <c r="L855">
        <v>367.5908</v>
      </c>
      <c r="M855">
        <v>0.99993189999999998</v>
      </c>
      <c r="N855">
        <v>0</v>
      </c>
      <c r="O855" s="1">
        <v>8.9929499999999993E-5</v>
      </c>
      <c r="P855">
        <v>0.98421369999999997</v>
      </c>
      <c r="Q855">
        <v>0.17530119999999999</v>
      </c>
      <c r="R855">
        <v>-2.4358939999999999E-2</v>
      </c>
      <c r="S855">
        <v>3.1648559999999999</v>
      </c>
      <c r="T855">
        <v>-0.74496010000000001</v>
      </c>
      <c r="U855">
        <v>-0.6517944</v>
      </c>
      <c r="V855">
        <v>2.4560640000000002E-2</v>
      </c>
      <c r="W855">
        <v>0.1867704</v>
      </c>
      <c r="X855">
        <v>0.98209659999999999</v>
      </c>
      <c r="Y855">
        <v>0.1966417</v>
      </c>
      <c r="Z855">
        <v>-2.2624060000000001E-2</v>
      </c>
      <c r="AA855">
        <v>0.98021440000000004</v>
      </c>
      <c r="AB855">
        <v>42</v>
      </c>
      <c r="AC855">
        <v>0.68860000000000798</v>
      </c>
      <c r="AD855">
        <v>-0.21159349999999899</v>
      </c>
      <c r="AE855">
        <v>-0.185600000000022</v>
      </c>
      <c r="AF855">
        <v>0.17064099694687701</v>
      </c>
      <c r="AG855">
        <v>-0.21159349999999899</v>
      </c>
      <c r="AH855">
        <v>0.63287364489516296</v>
      </c>
      <c r="AI855">
        <v>107.890569319666</v>
      </c>
      <c r="AJ855">
        <v>74.910246820917905</v>
      </c>
      <c r="AK855">
        <v>0.68878095900232605</v>
      </c>
      <c r="AL855">
        <v>79.235632649834997</v>
      </c>
      <c r="AM855">
        <v>88.567424266943902</v>
      </c>
      <c r="AN855">
        <v>1.00000006954246</v>
      </c>
    </row>
    <row r="856" spans="1:40" x14ac:dyDescent="0.25">
      <c r="A856" t="str">
        <f>"20190312172911133"</f>
        <v>20190312172911133</v>
      </c>
      <c r="B856" t="str">
        <f>"1552382951128259"</f>
        <v>1552382951128259</v>
      </c>
      <c r="C856" t="s">
        <v>40</v>
      </c>
      <c r="D856">
        <v>3.2178580000000001</v>
      </c>
      <c r="E856">
        <v>0.57884349999999996</v>
      </c>
      <c r="F856" t="s">
        <v>42</v>
      </c>
      <c r="G856">
        <v>-300.17860000000002</v>
      </c>
      <c r="H856">
        <v>0.89289359999999995</v>
      </c>
      <c r="I856">
        <v>367.44479999999999</v>
      </c>
      <c r="J856">
        <v>-300.67059999999998</v>
      </c>
      <c r="K856">
        <v>1.05924</v>
      </c>
      <c r="L856">
        <v>367.59070000000003</v>
      </c>
      <c r="M856">
        <v>0.99993140000000003</v>
      </c>
      <c r="N856">
        <v>0</v>
      </c>
      <c r="O856" s="1">
        <v>-1.4218159999999999E-5</v>
      </c>
      <c r="P856">
        <v>0.98423269999999996</v>
      </c>
      <c r="Q856">
        <v>0.17518829999999999</v>
      </c>
      <c r="R856">
        <v>-2.439757E-2</v>
      </c>
      <c r="S856">
        <v>3.1647340000000002</v>
      </c>
      <c r="T856">
        <v>-0.74551990000000001</v>
      </c>
      <c r="U856">
        <v>-0.65274049999999995</v>
      </c>
      <c r="V856">
        <v>2.4497029999999999E-2</v>
      </c>
      <c r="W856">
        <v>0.18669730000000001</v>
      </c>
      <c r="X856">
        <v>0.98211199999999999</v>
      </c>
      <c r="Y856">
        <v>0.19681860000000001</v>
      </c>
      <c r="Z856">
        <v>-2.2637210000000001E-2</v>
      </c>
      <c r="AA856">
        <v>0.98017849999999995</v>
      </c>
      <c r="AB856">
        <v>42</v>
      </c>
      <c r="AC856">
        <v>0.49199999999996102</v>
      </c>
      <c r="AD856">
        <v>-0.16634640000000001</v>
      </c>
      <c r="AE856">
        <v>-0.14590000000004</v>
      </c>
      <c r="AF856">
        <v>0.13202111672101099</v>
      </c>
      <c r="AG856">
        <v>-0.16634640000000001</v>
      </c>
      <c r="AH856">
        <v>0.44522123371645</v>
      </c>
      <c r="AI856">
        <v>109.708008306401</v>
      </c>
      <c r="AJ856">
        <v>73.483369552155693</v>
      </c>
      <c r="AK856">
        <v>0.49327745438568399</v>
      </c>
      <c r="AL856">
        <v>79.2398950226642</v>
      </c>
      <c r="AM856">
        <v>88.571155373989697</v>
      </c>
      <c r="AN856">
        <v>0.99999998342505503</v>
      </c>
    </row>
    <row r="857" spans="1:40" x14ac:dyDescent="0.25">
      <c r="A857" t="str">
        <f>"20190312172911145"</f>
        <v>20190312172911145</v>
      </c>
      <c r="B857" t="str">
        <f>"1552382951138020"</f>
        <v>1552382951138020</v>
      </c>
      <c r="C857" t="s">
        <v>40</v>
      </c>
      <c r="D857">
        <v>3.2046429999999999</v>
      </c>
      <c r="E857">
        <v>0.57884199999999997</v>
      </c>
      <c r="F857" t="s">
        <v>42</v>
      </c>
      <c r="G857">
        <v>-299.8159</v>
      </c>
      <c r="H857">
        <v>0.85775769999999996</v>
      </c>
      <c r="I857">
        <v>367.41399999999999</v>
      </c>
      <c r="J857">
        <v>-300.44659999999999</v>
      </c>
      <c r="K857">
        <v>1.059239</v>
      </c>
      <c r="L857">
        <v>367.59059999999999</v>
      </c>
      <c r="M857">
        <v>0.99993089999999996</v>
      </c>
      <c r="N857">
        <v>0</v>
      </c>
      <c r="O857">
        <v>-1.2315119999999999E-4</v>
      </c>
      <c r="P857">
        <v>0.98421939999999997</v>
      </c>
      <c r="Q857">
        <v>0.17522699999999999</v>
      </c>
      <c r="R857">
        <v>-2.4655159999999999E-2</v>
      </c>
      <c r="S857">
        <v>3.1646730000000001</v>
      </c>
      <c r="T857">
        <v>-0.74620330000000001</v>
      </c>
      <c r="U857">
        <v>-0.65252690000000002</v>
      </c>
      <c r="V857">
        <v>2.464802E-2</v>
      </c>
      <c r="W857">
        <v>0.186777</v>
      </c>
      <c r="X857">
        <v>0.98209310000000005</v>
      </c>
      <c r="Y857">
        <v>0.19664989999999999</v>
      </c>
      <c r="Z857">
        <v>-2.261347E-2</v>
      </c>
      <c r="AA857">
        <v>0.980213</v>
      </c>
      <c r="AB857">
        <v>42</v>
      </c>
      <c r="AC857">
        <v>0.63069999999999005</v>
      </c>
      <c r="AD857">
        <v>-0.2014813</v>
      </c>
      <c r="AE857">
        <v>-0.176600000000007</v>
      </c>
      <c r="AF857">
        <v>0.161261651187463</v>
      </c>
      <c r="AG857">
        <v>-0.2014813</v>
      </c>
      <c r="AH857">
        <v>0.57619472154391804</v>
      </c>
      <c r="AI857">
        <v>108.610241468034</v>
      </c>
      <c r="AJ857">
        <v>74.364473113704307</v>
      </c>
      <c r="AK857">
        <v>0.63134807478004595</v>
      </c>
      <c r="AL857">
        <v>79.235247128316004</v>
      </c>
      <c r="AM857">
        <v>88.562324570415598</v>
      </c>
      <c r="AN857">
        <v>1.00000001484326</v>
      </c>
    </row>
    <row r="858" spans="1:40" x14ac:dyDescent="0.25">
      <c r="A858" t="str">
        <f>"20190312172911155"</f>
        <v>20190312172911155</v>
      </c>
      <c r="B858" t="str">
        <f>"1552382951148756"</f>
        <v>1552382951148756</v>
      </c>
      <c r="C858" t="s">
        <v>40</v>
      </c>
      <c r="D858">
        <v>3.2965970000000002</v>
      </c>
      <c r="E858">
        <v>0.57879950000000002</v>
      </c>
      <c r="F858" t="s">
        <v>42</v>
      </c>
      <c r="G858">
        <v>-299.45209999999997</v>
      </c>
      <c r="H858">
        <v>0.82467089999999998</v>
      </c>
      <c r="I858">
        <v>367.38499999999999</v>
      </c>
      <c r="J858">
        <v>-300.2516</v>
      </c>
      <c r="K858">
        <v>1.0592410000000001</v>
      </c>
      <c r="L858">
        <v>367.59050000000002</v>
      </c>
      <c r="M858">
        <v>0.9999304</v>
      </c>
      <c r="N858">
        <v>0</v>
      </c>
      <c r="O858">
        <v>-2.185303E-4</v>
      </c>
      <c r="P858">
        <v>0.98422180000000004</v>
      </c>
      <c r="Q858">
        <v>0.17522639999999901</v>
      </c>
      <c r="R858">
        <v>-2.456757E-2</v>
      </c>
      <c r="S858">
        <v>3.1646420000000002</v>
      </c>
      <c r="T858">
        <v>-0.74657709999999999</v>
      </c>
      <c r="U858">
        <v>-0.65325929999999999</v>
      </c>
      <c r="V858">
        <v>2.4467079999999999E-2</v>
      </c>
      <c r="W858">
        <v>0.18681349999999999</v>
      </c>
      <c r="X858">
        <v>0.98209069999999998</v>
      </c>
      <c r="Y858">
        <v>0.19677040000000001</v>
      </c>
      <c r="Z858">
        <v>-2.261612E-2</v>
      </c>
      <c r="AA858">
        <v>0.98018870000000002</v>
      </c>
      <c r="AB858">
        <v>42</v>
      </c>
      <c r="AC858">
        <v>0.79950000000002297</v>
      </c>
      <c r="AD858">
        <v>-0.234570099999999</v>
      </c>
      <c r="AE858">
        <v>-0.20550000000002899</v>
      </c>
      <c r="AF858">
        <v>0.18998466972661501</v>
      </c>
      <c r="AG858">
        <v>-0.234570099999999</v>
      </c>
      <c r="AH858">
        <v>0.73980798246833401</v>
      </c>
      <c r="AI858">
        <v>107.071940311391</v>
      </c>
      <c r="AJ858">
        <v>75.597510451946405</v>
      </c>
      <c r="AK858">
        <v>0.79902012331918604</v>
      </c>
      <c r="AL858">
        <v>79.233118555084104</v>
      </c>
      <c r="AM858">
        <v>88.572870613839797</v>
      </c>
      <c r="AN858">
        <v>1.0000000324062299</v>
      </c>
    </row>
    <row r="859" spans="1:40" x14ac:dyDescent="0.25">
      <c r="A859" t="str">
        <f>"20190312172911166"</f>
        <v>20190312172911166</v>
      </c>
      <c r="B859" t="str">
        <f>"1552382951158516"</f>
        <v>1552382951158516</v>
      </c>
      <c r="C859" t="s">
        <v>40</v>
      </c>
      <c r="D859">
        <v>3.1985640000000002</v>
      </c>
      <c r="E859">
        <v>0.57872939999999995</v>
      </c>
      <c r="F859" t="s">
        <v>42</v>
      </c>
      <c r="G859">
        <v>-299.43599999999998</v>
      </c>
      <c r="H859">
        <v>0.86690599999999995</v>
      </c>
      <c r="I859">
        <v>367.4221</v>
      </c>
      <c r="J859">
        <v>-300.0498</v>
      </c>
      <c r="K859">
        <v>1.0592440000000001</v>
      </c>
      <c r="L859">
        <v>367.59039999999999</v>
      </c>
      <c r="M859">
        <v>0.99992999999999999</v>
      </c>
      <c r="N859">
        <v>0</v>
      </c>
      <c r="O859">
        <v>-3.17261E-4</v>
      </c>
      <c r="P859">
        <v>0.98423329999999998</v>
      </c>
      <c r="Q859">
        <v>0.17512939999999999</v>
      </c>
      <c r="R859">
        <v>-2.4798230000000001E-2</v>
      </c>
      <c r="S859">
        <v>3.1647029999999998</v>
      </c>
      <c r="T859">
        <v>-0.74641869999999999</v>
      </c>
      <c r="U859">
        <v>-0.65240480000000001</v>
      </c>
      <c r="V859">
        <v>2.4601149999999999E-2</v>
      </c>
      <c r="W859">
        <v>0.18675539999999999</v>
      </c>
      <c r="X859">
        <v>0.98209829999999998</v>
      </c>
      <c r="Y859">
        <v>0.19642970000000001</v>
      </c>
      <c r="Z859">
        <v>-2.2549619999999999E-2</v>
      </c>
      <c r="AA859">
        <v>0.98025859999999998</v>
      </c>
      <c r="AB859">
        <v>42</v>
      </c>
      <c r="AC859">
        <v>0.61380000000002599</v>
      </c>
      <c r="AD859">
        <v>-0.19233800000000001</v>
      </c>
      <c r="AE859">
        <v>-0.16829999999998699</v>
      </c>
      <c r="AF859">
        <v>0.15403760597273</v>
      </c>
      <c r="AG859">
        <v>-0.19233800000000001</v>
      </c>
      <c r="AH859">
        <v>0.56248396217923702</v>
      </c>
      <c r="AI859">
        <v>108.252596569861</v>
      </c>
      <c r="AJ859">
        <v>74.684894195171395</v>
      </c>
      <c r="AK859">
        <v>0.61409258097347497</v>
      </c>
      <c r="AL859">
        <v>79.2365059966167</v>
      </c>
      <c r="AM859">
        <v>88.565064865085304</v>
      </c>
      <c r="AN859">
        <v>0.99999993343668403</v>
      </c>
    </row>
    <row r="860" spans="1:40" x14ac:dyDescent="0.25">
      <c r="A860" t="str">
        <f>"20190312172911177"</f>
        <v>20190312172911177</v>
      </c>
      <c r="B860" t="str">
        <f>"1552382951168276"</f>
        <v>1552382951168276</v>
      </c>
      <c r="C860" t="s">
        <v>40</v>
      </c>
      <c r="D860">
        <v>3.2130350000000001</v>
      </c>
      <c r="E860">
        <v>0.57867630000000003</v>
      </c>
      <c r="F860" t="s">
        <v>42</v>
      </c>
      <c r="G860">
        <v>-299.07409999999999</v>
      </c>
      <c r="H860">
        <v>0.82907589999999998</v>
      </c>
      <c r="I860">
        <v>367.38869999999997</v>
      </c>
      <c r="J860">
        <v>-299.83080000000001</v>
      </c>
      <c r="K860">
        <v>1.059245</v>
      </c>
      <c r="L860">
        <v>367.59019999999998</v>
      </c>
      <c r="M860">
        <v>0.99992930000000002</v>
      </c>
      <c r="N860">
        <v>0</v>
      </c>
      <c r="O860">
        <v>-4.253258E-4</v>
      </c>
      <c r="P860">
        <v>0.98423970000000005</v>
      </c>
      <c r="Q860">
        <v>0.17509330000000001</v>
      </c>
      <c r="R860">
        <v>-2.479315E-2</v>
      </c>
      <c r="S860">
        <v>3.1644290000000002</v>
      </c>
      <c r="T860">
        <v>-0.74663009999999996</v>
      </c>
      <c r="U860">
        <v>-0.65261840000000004</v>
      </c>
      <c r="V860">
        <v>2.449053E-2</v>
      </c>
      <c r="W860">
        <v>0.1867634</v>
      </c>
      <c r="X860">
        <v>0.98209959999999996</v>
      </c>
      <c r="Y860">
        <v>0.196404</v>
      </c>
      <c r="Z860">
        <v>-2.2529710000000001E-2</v>
      </c>
      <c r="AA860">
        <v>0.98026420000000003</v>
      </c>
      <c r="AB860">
        <v>42</v>
      </c>
      <c r="AC860">
        <v>0.75670000000002302</v>
      </c>
      <c r="AD860">
        <v>-0.23016909999999999</v>
      </c>
      <c r="AE860">
        <v>-0.20150000000001</v>
      </c>
      <c r="AF860">
        <v>0.185179349516192</v>
      </c>
      <c r="AG860">
        <v>-0.23016909999999999</v>
      </c>
      <c r="AH860">
        <v>0.69660197715054495</v>
      </c>
      <c r="AI860">
        <v>107.70966734787601</v>
      </c>
      <c r="AJ860">
        <v>75.113220592262195</v>
      </c>
      <c r="AK860">
        <v>0.75665284024584101</v>
      </c>
      <c r="AL860">
        <v>79.236040026271894</v>
      </c>
      <c r="AM860">
        <v>88.571516315721297</v>
      </c>
      <c r="AN860">
        <v>0.99999998897969999</v>
      </c>
    </row>
    <row r="861" spans="1:40" x14ac:dyDescent="0.25">
      <c r="A861" t="str">
        <f>"20190312172911189"</f>
        <v>20190312172911189</v>
      </c>
      <c r="B861" t="str">
        <f>"1552382951178036"</f>
        <v>1552382951178036</v>
      </c>
      <c r="C861" t="s">
        <v>40</v>
      </c>
      <c r="D861">
        <v>3.206877</v>
      </c>
      <c r="E861">
        <v>0.57862799999999903</v>
      </c>
      <c r="F861" t="s">
        <v>42</v>
      </c>
      <c r="G861">
        <v>-299.05590000000001</v>
      </c>
      <c r="H861">
        <v>0.87647009999999903</v>
      </c>
      <c r="I861">
        <v>367.43009999999998</v>
      </c>
      <c r="J861">
        <v>-299.62029999999999</v>
      </c>
      <c r="K861">
        <v>1.059245</v>
      </c>
      <c r="L861">
        <v>367.59</v>
      </c>
      <c r="M861">
        <v>0.99992879999999995</v>
      </c>
      <c r="N861">
        <v>0</v>
      </c>
      <c r="O861">
        <v>-5.2969110000000003E-4</v>
      </c>
      <c r="P861">
        <v>0.98419599999999996</v>
      </c>
      <c r="Q861">
        <v>0.17528779999999999</v>
      </c>
      <c r="R861">
        <v>-2.5151260000000002E-2</v>
      </c>
      <c r="S861">
        <v>3.1644290000000002</v>
      </c>
      <c r="T861">
        <v>-0.74662010000000001</v>
      </c>
      <c r="U861">
        <v>-0.65222170000000002</v>
      </c>
      <c r="V861">
        <v>2.4747089999999999E-2</v>
      </c>
      <c r="W861">
        <v>0.186999</v>
      </c>
      <c r="X861">
        <v>0.98204829999999999</v>
      </c>
      <c r="Y861">
        <v>0.19619220000000001</v>
      </c>
      <c r="Z861">
        <v>-2.248124E-2</v>
      </c>
      <c r="AA861">
        <v>0.9803077</v>
      </c>
      <c r="AB861">
        <v>42</v>
      </c>
      <c r="AC861">
        <v>0.56439999999997703</v>
      </c>
      <c r="AD861">
        <v>-0.18277489999999999</v>
      </c>
      <c r="AE861">
        <v>-0.15989999999999299</v>
      </c>
      <c r="AF861">
        <v>0.145478016515038</v>
      </c>
      <c r="AG861">
        <v>-0.18277489999999999</v>
      </c>
      <c r="AH861">
        <v>0.514533769865818</v>
      </c>
      <c r="AI861">
        <v>108.87166749661</v>
      </c>
      <c r="AJ861">
        <v>74.212410247854706</v>
      </c>
      <c r="AK861">
        <v>0.56508009847409202</v>
      </c>
      <c r="AL861">
        <v>79.222298677701204</v>
      </c>
      <c r="AM861">
        <v>88.556482611458193</v>
      </c>
      <c r="AN861">
        <v>0.99999995399867803</v>
      </c>
    </row>
    <row r="862" spans="1:40" x14ac:dyDescent="0.25">
      <c r="A862" t="str">
        <f>"20190312172911200"</f>
        <v>20190312172911200</v>
      </c>
      <c r="B862" t="str">
        <f>"1552382951188773"</f>
        <v>1552382951188773</v>
      </c>
      <c r="C862" t="s">
        <v>40</v>
      </c>
      <c r="D862">
        <v>3.2470500000000002</v>
      </c>
      <c r="E862">
        <v>0.57855429999999997</v>
      </c>
      <c r="F862" t="s">
        <v>42</v>
      </c>
      <c r="G862">
        <v>-298.69319999999999</v>
      </c>
      <c r="H862">
        <v>0.84070610000000001</v>
      </c>
      <c r="I862">
        <v>367.39859999999999</v>
      </c>
      <c r="J862">
        <v>-299.41250000000002</v>
      </c>
      <c r="K862">
        <v>1.059248</v>
      </c>
      <c r="L862">
        <v>367.58980000000003</v>
      </c>
      <c r="M862">
        <v>0.99992820000000004</v>
      </c>
      <c r="N862">
        <v>0</v>
      </c>
      <c r="O862">
        <v>-6.3286729999999995E-4</v>
      </c>
      <c r="P862">
        <v>0.98418559999999999</v>
      </c>
      <c r="Q862">
        <v>0.17533270000000001</v>
      </c>
      <c r="R862">
        <v>-2.5241329999999999E-2</v>
      </c>
      <c r="S862">
        <v>3.1643979999999998</v>
      </c>
      <c r="T862">
        <v>-0.74606539999999999</v>
      </c>
      <c r="U862">
        <v>-0.65271000000000001</v>
      </c>
      <c r="V862">
        <v>2.4736520000000001E-2</v>
      </c>
      <c r="W862">
        <v>0.18708659999999999</v>
      </c>
      <c r="X862">
        <v>0.98203189999999996</v>
      </c>
      <c r="Y862">
        <v>0.19624710000000001</v>
      </c>
      <c r="Z862">
        <v>-2.2447399999999999E-2</v>
      </c>
      <c r="AA862">
        <v>0.98029750000000004</v>
      </c>
      <c r="AB862">
        <v>42</v>
      </c>
      <c r="AC862">
        <v>0.71930000000003202</v>
      </c>
      <c r="AD862">
        <v>-0.21854190000000001</v>
      </c>
      <c r="AE862">
        <v>-0.19120000000003701</v>
      </c>
      <c r="AF862">
        <v>0.17560441250581399</v>
      </c>
      <c r="AG862">
        <v>-0.21854190000000001</v>
      </c>
      <c r="AH862">
        <v>0.66231708635206299</v>
      </c>
      <c r="AI862">
        <v>107.68985060879101</v>
      </c>
      <c r="AJ862">
        <v>75.150467248506502</v>
      </c>
      <c r="AK862">
        <v>0.71920886717351296</v>
      </c>
      <c r="AL862">
        <v>79.217189593493202</v>
      </c>
      <c r="AM862">
        <v>88.557074820878398</v>
      </c>
      <c r="AN862">
        <v>0.99999997196943902</v>
      </c>
    </row>
    <row r="863" spans="1:40" x14ac:dyDescent="0.25">
      <c r="A863" t="str">
        <f>"20190312172911211"</f>
        <v>20190312172911211</v>
      </c>
      <c r="B863" t="str">
        <f>"1552382951208292"</f>
        <v>1552382951208292</v>
      </c>
      <c r="C863" t="s">
        <v>40</v>
      </c>
      <c r="D863">
        <v>3.256148</v>
      </c>
      <c r="E863">
        <v>0.57841069999999895</v>
      </c>
      <c r="F863" t="s">
        <v>42</v>
      </c>
      <c r="G863">
        <v>-298.67599999999999</v>
      </c>
      <c r="H863">
        <v>0.88567399999999996</v>
      </c>
      <c r="I863">
        <v>367.43770000000001</v>
      </c>
      <c r="J863">
        <v>-299.20519999999999</v>
      </c>
      <c r="K863">
        <v>1.0592509999999999</v>
      </c>
      <c r="L863">
        <v>367.58960000000002</v>
      </c>
      <c r="M863">
        <v>0.99992760000000003</v>
      </c>
      <c r="N863">
        <v>0</v>
      </c>
      <c r="O863">
        <v>-7.3545659999999999E-4</v>
      </c>
      <c r="P863">
        <v>0.9841588</v>
      </c>
      <c r="Q863">
        <v>0.1754878</v>
      </c>
      <c r="R863">
        <v>-2.5217730000000001E-2</v>
      </c>
      <c r="S863">
        <v>3.1643370000000002</v>
      </c>
      <c r="T863">
        <v>-0.74582910000000002</v>
      </c>
      <c r="U863">
        <v>-0.65252690000000002</v>
      </c>
      <c r="V863">
        <v>2.461263E-2</v>
      </c>
      <c r="W863">
        <v>0.18728610000000001</v>
      </c>
      <c r="X863">
        <v>0.98199700000000001</v>
      </c>
      <c r="Y863">
        <v>0.19610540000000001</v>
      </c>
      <c r="Z863">
        <v>-2.2401089999999999E-2</v>
      </c>
      <c r="AA863">
        <v>0.98032699999999995</v>
      </c>
      <c r="AB863">
        <v>42</v>
      </c>
      <c r="AC863">
        <v>0.529200000000003</v>
      </c>
      <c r="AD863">
        <v>-0.17357699999999901</v>
      </c>
      <c r="AE863">
        <v>-0.151900000000011</v>
      </c>
      <c r="AF863">
        <v>0.13781292876132001</v>
      </c>
      <c r="AG863">
        <v>-0.17357699999999901</v>
      </c>
      <c r="AH863">
        <v>0.48145752132127201</v>
      </c>
      <c r="AI863">
        <v>109.11653133255901</v>
      </c>
      <c r="AJ863">
        <v>74.026701996381604</v>
      </c>
      <c r="AK863">
        <v>0.53002143645290001</v>
      </c>
      <c r="AL863">
        <v>79.205553566575105</v>
      </c>
      <c r="AM863">
        <v>88.564247509281998</v>
      </c>
      <c r="AN863">
        <v>0.99999998640886301</v>
      </c>
    </row>
    <row r="864" spans="1:40" x14ac:dyDescent="0.25">
      <c r="A864" t="str">
        <f>"20190312172911221"</f>
        <v>20190312172911221</v>
      </c>
      <c r="B864" t="str">
        <f>"1552382951218052"</f>
        <v>1552382951218052</v>
      </c>
      <c r="C864" t="s">
        <v>40</v>
      </c>
      <c r="D864">
        <v>3.332233</v>
      </c>
      <c r="E864">
        <v>0.57835749999999997</v>
      </c>
      <c r="F864" t="s">
        <v>42</v>
      </c>
      <c r="G864">
        <v>-298.31360000000001</v>
      </c>
      <c r="H864">
        <v>0.84941549999999999</v>
      </c>
      <c r="I864">
        <v>367.40570000000002</v>
      </c>
      <c r="J864">
        <v>-298.9889</v>
      </c>
      <c r="K864">
        <v>1.059256</v>
      </c>
      <c r="L864">
        <v>367.58940000000001</v>
      </c>
      <c r="M864">
        <v>0.9999268</v>
      </c>
      <c r="N864">
        <v>0</v>
      </c>
      <c r="O864">
        <v>-8.4211710000000001E-4</v>
      </c>
      <c r="P864">
        <v>0.98417350000000003</v>
      </c>
      <c r="Q864">
        <v>0.17535919999999999</v>
      </c>
      <c r="R864">
        <v>-2.553269E-2</v>
      </c>
      <c r="S864">
        <v>3.1644290000000002</v>
      </c>
      <c r="T864">
        <v>-0.74485190000000001</v>
      </c>
      <c r="U864">
        <v>-0.65130619999999995</v>
      </c>
      <c r="V864">
        <v>2.4823209999999998E-2</v>
      </c>
      <c r="W864">
        <v>0.18720419999999999</v>
      </c>
      <c r="X864">
        <v>0.98200730000000003</v>
      </c>
      <c r="Y864">
        <v>0.19566</v>
      </c>
      <c r="Z864">
        <v>-2.2297000000000001E-2</v>
      </c>
      <c r="AA864">
        <v>0.98041829999999996</v>
      </c>
      <c r="AB864">
        <v>42</v>
      </c>
      <c r="AC864">
        <v>0.67529999999999202</v>
      </c>
      <c r="AD864">
        <v>-0.20984049999999899</v>
      </c>
      <c r="AE864">
        <v>-0.18369999999998701</v>
      </c>
      <c r="AF864">
        <v>0.1680250109808</v>
      </c>
      <c r="AG864">
        <v>-0.20984049999999899</v>
      </c>
      <c r="AH864">
        <v>0.61973730986087905</v>
      </c>
      <c r="AI864">
        <v>108.097276960675</v>
      </c>
      <c r="AJ864">
        <v>74.830472971147103</v>
      </c>
      <c r="AK864">
        <v>0.67552925398456798</v>
      </c>
      <c r="AL864">
        <v>79.210330410059399</v>
      </c>
      <c r="AM864">
        <v>88.551983930644894</v>
      </c>
      <c r="AN864">
        <v>0.99999997075281599</v>
      </c>
    </row>
    <row r="865" spans="1:40" x14ac:dyDescent="0.25">
      <c r="A865" t="str">
        <f>"20190312172911234"</f>
        <v>20190312172911234</v>
      </c>
      <c r="B865" t="str">
        <f>"1552382951227812"</f>
        <v>1552382951227812</v>
      </c>
      <c r="C865" t="s">
        <v>40</v>
      </c>
      <c r="D865">
        <v>3.7155589999999998</v>
      </c>
      <c r="E865">
        <v>0.57834589999999997</v>
      </c>
      <c r="F865" t="s">
        <v>42</v>
      </c>
      <c r="G865">
        <v>-298.29509999999999</v>
      </c>
      <c r="H865">
        <v>0.8958931</v>
      </c>
      <c r="I865">
        <v>367.44600000000003</v>
      </c>
      <c r="J865">
        <v>-298.77</v>
      </c>
      <c r="K865">
        <v>1.0592619999999999</v>
      </c>
      <c r="L865">
        <v>367.58909999999997</v>
      </c>
      <c r="M865">
        <v>0.99992619999999999</v>
      </c>
      <c r="N865">
        <v>0</v>
      </c>
      <c r="O865">
        <v>-9.4594109999999998E-4</v>
      </c>
      <c r="P865">
        <v>0.98413050000000002</v>
      </c>
      <c r="Q865">
        <v>0.1755833</v>
      </c>
      <c r="R865">
        <v>-2.5646740000000001E-2</v>
      </c>
      <c r="S865">
        <v>3.1641240000000002</v>
      </c>
      <c r="T865">
        <v>-0.74525920000000001</v>
      </c>
      <c r="U865">
        <v>-0.6517944</v>
      </c>
      <c r="V865">
        <v>2.4835659999999999E-2</v>
      </c>
      <c r="W865">
        <v>0.18748190000000001</v>
      </c>
      <c r="X865">
        <v>0.98195399999999999</v>
      </c>
      <c r="Y865">
        <v>0.1957171</v>
      </c>
      <c r="Z865">
        <v>-2.229327E-2</v>
      </c>
      <c r="AA865">
        <v>0.98040700000000003</v>
      </c>
      <c r="AB865">
        <v>42</v>
      </c>
      <c r="AC865">
        <v>0.474899999999991</v>
      </c>
      <c r="AD865">
        <v>-0.16336890000000001</v>
      </c>
      <c r="AE865">
        <v>-0.143100000000004</v>
      </c>
      <c r="AF865">
        <v>0.12868917128362101</v>
      </c>
      <c r="AG865">
        <v>-0.16336890000000001</v>
      </c>
      <c r="AH865">
        <v>0.42854252898726602</v>
      </c>
      <c r="AI865">
        <v>110.05777979448</v>
      </c>
      <c r="AJ865">
        <v>73.285251284108895</v>
      </c>
      <c r="AK865">
        <v>0.47633916429753798</v>
      </c>
      <c r="AL865">
        <v>79.1941325239858</v>
      </c>
      <c r="AM865">
        <v>88.551179388824593</v>
      </c>
      <c r="AN865">
        <v>0.99999996547562198</v>
      </c>
    </row>
    <row r="866" spans="1:40" x14ac:dyDescent="0.25">
      <c r="A866" t="str">
        <f>"20190312172911247"</f>
        <v>20190312172911247</v>
      </c>
      <c r="B866" t="str">
        <f>"1552382951238548"</f>
        <v>1552382951238548</v>
      </c>
      <c r="C866" t="s">
        <v>40</v>
      </c>
      <c r="D866">
        <v>3.229867</v>
      </c>
      <c r="E866">
        <v>0.5783201</v>
      </c>
      <c r="F866" t="s">
        <v>42</v>
      </c>
      <c r="G866">
        <v>-297.93239999999997</v>
      </c>
      <c r="H866">
        <v>0.86226080000000005</v>
      </c>
      <c r="I866">
        <v>367.416</v>
      </c>
      <c r="J866">
        <v>-298.54390000000001</v>
      </c>
      <c r="K866">
        <v>1.0592680000000001</v>
      </c>
      <c r="L866">
        <v>367.58870000000002</v>
      </c>
      <c r="M866">
        <v>0.99992539999999996</v>
      </c>
      <c r="N866">
        <v>0</v>
      </c>
      <c r="O866">
        <v>-1.051813E-3</v>
      </c>
      <c r="P866">
        <v>0.9841356</v>
      </c>
      <c r="Q866">
        <v>0.17551</v>
      </c>
      <c r="R866">
        <v>-2.5949440000000001E-2</v>
      </c>
      <c r="S866">
        <v>3.1641849999999998</v>
      </c>
      <c r="T866">
        <v>-0.74434999999999996</v>
      </c>
      <c r="U866">
        <v>-0.65234380000000003</v>
      </c>
      <c r="V866">
        <v>2.5034230000000001E-2</v>
      </c>
      <c r="W866">
        <v>0.18746689999999999</v>
      </c>
      <c r="X866">
        <v>0.98195180000000004</v>
      </c>
      <c r="Y866">
        <v>0.19578660000000001</v>
      </c>
      <c r="Z866">
        <v>-2.2249660000000001E-2</v>
      </c>
      <c r="AA866">
        <v>0.98039410000000005</v>
      </c>
      <c r="AB866">
        <v>42</v>
      </c>
      <c r="AC866">
        <v>0.61150000000003502</v>
      </c>
      <c r="AD866">
        <v>-0.19700719999999999</v>
      </c>
      <c r="AE866">
        <v>-0.17270000000002</v>
      </c>
      <c r="AF866">
        <v>0.15696788511842599</v>
      </c>
      <c r="AG866">
        <v>-0.19700719999999999</v>
      </c>
      <c r="AH866">
        <v>0.558038940915763</v>
      </c>
      <c r="AI866">
        <v>108.770136771792</v>
      </c>
      <c r="AJ866">
        <v>74.289513194455495</v>
      </c>
      <c r="AK866">
        <v>0.61225665646751204</v>
      </c>
      <c r="AL866">
        <v>79.195007243508201</v>
      </c>
      <c r="AM866">
        <v>88.539597275072595</v>
      </c>
      <c r="AN866">
        <v>0.99999994439526896</v>
      </c>
    </row>
    <row r="867" spans="1:40" x14ac:dyDescent="0.25">
      <c r="A867" t="str">
        <f>"20190312172911260"</f>
        <v>20190312172911260</v>
      </c>
      <c r="B867" t="str">
        <f>"1552382951258068"</f>
        <v>1552382951258068</v>
      </c>
      <c r="C867" t="s">
        <v>40</v>
      </c>
      <c r="D867">
        <v>3.242194</v>
      </c>
      <c r="E867">
        <v>0.57825930000000003</v>
      </c>
      <c r="F867" t="s">
        <v>42</v>
      </c>
      <c r="G867">
        <v>-297.56889999999999</v>
      </c>
      <c r="H867">
        <v>0.82987939999999905</v>
      </c>
      <c r="I867">
        <v>367.387</v>
      </c>
      <c r="J867">
        <v>-298.2722</v>
      </c>
      <c r="K867">
        <v>1.0592809999999999</v>
      </c>
      <c r="L867">
        <v>367.5883</v>
      </c>
      <c r="M867">
        <v>0.99992420000000004</v>
      </c>
      <c r="N867">
        <v>0</v>
      </c>
      <c r="O867">
        <v>-1.175667E-3</v>
      </c>
      <c r="P867">
        <v>0.98416320000000002</v>
      </c>
      <c r="Q867">
        <v>0.1753835</v>
      </c>
      <c r="R867">
        <v>-2.5756109999999999E-2</v>
      </c>
      <c r="S867">
        <v>3.16391</v>
      </c>
      <c r="T867">
        <v>-0.7444366</v>
      </c>
      <c r="U867">
        <v>-0.65313719999999997</v>
      </c>
      <c r="V867">
        <v>2.4718210000000001E-2</v>
      </c>
      <c r="W867">
        <v>0.18741730000000001</v>
      </c>
      <c r="X867">
        <v>0.98196939999999999</v>
      </c>
      <c r="Y867">
        <v>0.19591610000000001</v>
      </c>
      <c r="Z867">
        <v>-2.22399E-2</v>
      </c>
      <c r="AA867">
        <v>0.98036840000000003</v>
      </c>
      <c r="AB867">
        <v>42</v>
      </c>
      <c r="AC867">
        <v>0.70330000000001203</v>
      </c>
      <c r="AD867">
        <v>-0.22940160000000001</v>
      </c>
      <c r="AE867">
        <v>-0.20130000000005999</v>
      </c>
      <c r="AF867">
        <v>0.18252414525932101</v>
      </c>
      <c r="AG867">
        <v>-0.22940160000000001</v>
      </c>
      <c r="AH867">
        <v>0.64054697147370698</v>
      </c>
      <c r="AI867">
        <v>109.004924337283</v>
      </c>
      <c r="AJ867">
        <v>74.095074042160206</v>
      </c>
      <c r="AK867">
        <v>0.70444345433068201</v>
      </c>
      <c r="AL867">
        <v>79.197901749038607</v>
      </c>
      <c r="AM867">
        <v>88.558050692653893</v>
      </c>
      <c r="AN867">
        <v>1.0000000683906201</v>
      </c>
    </row>
    <row r="868" spans="1:40" x14ac:dyDescent="0.25">
      <c r="A868" t="str">
        <f>"20190312172911274"</f>
        <v>20190312172911274</v>
      </c>
      <c r="B868" t="str">
        <f>"1552382951268805"</f>
        <v>1552382951268805</v>
      </c>
      <c r="C868" t="s">
        <v>40</v>
      </c>
      <c r="D868">
        <v>3.2825630000000001</v>
      </c>
      <c r="E868">
        <v>0.57823440000000004</v>
      </c>
      <c r="F868" t="s">
        <v>42</v>
      </c>
      <c r="G868">
        <v>-297.5462</v>
      </c>
      <c r="H868">
        <v>0.88839939999999995</v>
      </c>
      <c r="I868">
        <v>367.43819999999999</v>
      </c>
      <c r="J868">
        <v>-298.017</v>
      </c>
      <c r="K868">
        <v>1.059291</v>
      </c>
      <c r="L868">
        <v>367.58789999999999</v>
      </c>
      <c r="M868">
        <v>0.99992320000000001</v>
      </c>
      <c r="N868">
        <v>0</v>
      </c>
      <c r="O868">
        <v>-1.294365E-3</v>
      </c>
      <c r="P868">
        <v>0.98414349999999995</v>
      </c>
      <c r="Q868">
        <v>0.17543410000000001</v>
      </c>
      <c r="R868">
        <v>-2.616742E-2</v>
      </c>
      <c r="S868">
        <v>3.16391</v>
      </c>
      <c r="T868">
        <v>-0.74475480000000005</v>
      </c>
      <c r="U868">
        <v>-0.65228269999999899</v>
      </c>
      <c r="V868">
        <v>2.5010729999999998E-2</v>
      </c>
      <c r="W868">
        <v>0.18754560000000001</v>
      </c>
      <c r="X868">
        <v>0.98193739999999996</v>
      </c>
      <c r="Y868">
        <v>0.1955539</v>
      </c>
      <c r="Z868">
        <v>-2.2180809999999999E-2</v>
      </c>
      <c r="AA868">
        <v>0.98044209999999998</v>
      </c>
      <c r="AB868">
        <v>42</v>
      </c>
      <c r="AC868">
        <v>0.470799999999997</v>
      </c>
      <c r="AD868">
        <v>-0.17089159999999901</v>
      </c>
      <c r="AE868">
        <v>-0.149699999999995</v>
      </c>
      <c r="AF868">
        <v>0.133157183956397</v>
      </c>
      <c r="AG868">
        <v>-0.17089159999999901</v>
      </c>
      <c r="AH868">
        <v>0.420658444058571</v>
      </c>
      <c r="AI868">
        <v>111.171727137559</v>
      </c>
      <c r="AJ868">
        <v>72.4350948344822</v>
      </c>
      <c r="AK868">
        <v>0.47316836448301902</v>
      </c>
      <c r="AL868">
        <v>79.190416957906905</v>
      </c>
      <c r="AM868">
        <v>88.540946196447393</v>
      </c>
      <c r="AN868">
        <v>0.99999997310662603</v>
      </c>
    </row>
    <row r="869" spans="1:40" x14ac:dyDescent="0.25">
      <c r="A869" t="str">
        <f>"20190312172911291"</f>
        <v>20190312172911291</v>
      </c>
      <c r="B869" t="str">
        <f>"1552382951288324"</f>
        <v>1552382951288324</v>
      </c>
      <c r="C869" t="s">
        <v>40</v>
      </c>
      <c r="D869">
        <v>3.3098619999999999</v>
      </c>
      <c r="E869">
        <v>0.578287199999999</v>
      </c>
      <c r="F869" t="s">
        <v>42</v>
      </c>
      <c r="G869">
        <v>-297.18040000000002</v>
      </c>
      <c r="H869">
        <v>0.86245879999999997</v>
      </c>
      <c r="I869">
        <v>367.41460000000001</v>
      </c>
      <c r="J869">
        <v>-297.7072</v>
      </c>
      <c r="K869">
        <v>1.0593129999999999</v>
      </c>
      <c r="L869">
        <v>367.58730000000003</v>
      </c>
      <c r="M869">
        <v>0.99992159999999997</v>
      </c>
      <c r="N869">
        <v>0</v>
      </c>
      <c r="O869">
        <v>-1.441192E-3</v>
      </c>
      <c r="P869">
        <v>0.98413779999999995</v>
      </c>
      <c r="Q869">
        <v>0.17543420000000001</v>
      </c>
      <c r="R869">
        <v>-2.6378490000000001E-2</v>
      </c>
      <c r="S869">
        <v>3.1636660000000001</v>
      </c>
      <c r="T869">
        <v>-0.7444849</v>
      </c>
      <c r="U869">
        <v>-0.65344239999999998</v>
      </c>
      <c r="V869">
        <v>2.507436E-2</v>
      </c>
      <c r="W869">
        <v>0.1876468</v>
      </c>
      <c r="X869">
        <v>0.98191649999999997</v>
      </c>
      <c r="Y869">
        <v>0.19577120000000001</v>
      </c>
      <c r="Z869">
        <v>-2.2165069999999999E-2</v>
      </c>
      <c r="AA869">
        <v>0.98039909999999997</v>
      </c>
      <c r="AB869">
        <v>42</v>
      </c>
      <c r="AC869">
        <v>0.52679999999997995</v>
      </c>
      <c r="AD869">
        <v>-0.19685420000000001</v>
      </c>
      <c r="AE869">
        <v>-0.17270000000002</v>
      </c>
      <c r="AF869">
        <v>0.152688703722548</v>
      </c>
      <c r="AG869">
        <v>-0.19685420000000001</v>
      </c>
      <c r="AH869">
        <v>0.46803581568529701</v>
      </c>
      <c r="AI869">
        <v>111.794315364921</v>
      </c>
      <c r="AJ869">
        <v>71.931967669614593</v>
      </c>
      <c r="AK869">
        <v>0.53021028004586401</v>
      </c>
      <c r="AL869">
        <v>79.184514434048197</v>
      </c>
      <c r="AM869">
        <v>88.537204695310507</v>
      </c>
      <c r="AN869">
        <v>1.0000000290259401</v>
      </c>
    </row>
    <row r="870" spans="1:40" x14ac:dyDescent="0.25">
      <c r="A870" t="str">
        <f>"20190312172911304"</f>
        <v>20190312172911304</v>
      </c>
      <c r="B870" t="str">
        <f>"1552382951298084"</f>
        <v>1552382951298084</v>
      </c>
      <c r="C870" t="s">
        <v>40</v>
      </c>
      <c r="D870">
        <v>3.2990659999999998</v>
      </c>
      <c r="E870">
        <v>0.57829259999999905</v>
      </c>
      <c r="F870" t="s">
        <v>42</v>
      </c>
      <c r="G870">
        <v>-296.81029999999998</v>
      </c>
      <c r="H870">
        <v>0.84829189999999999</v>
      </c>
      <c r="I870">
        <v>367.40140000000002</v>
      </c>
      <c r="J870">
        <v>-297.452</v>
      </c>
      <c r="K870">
        <v>1.0593349999999999</v>
      </c>
      <c r="L870">
        <v>367.58690000000001</v>
      </c>
      <c r="M870">
        <v>0.99992029999999998</v>
      </c>
      <c r="N870">
        <v>0</v>
      </c>
      <c r="O870">
        <v>-1.5645800000000001E-3</v>
      </c>
      <c r="P870">
        <v>0.98412230000000001</v>
      </c>
      <c r="Q870">
        <v>0.17551169999999999</v>
      </c>
      <c r="R870">
        <v>-2.6444639999999998E-2</v>
      </c>
      <c r="S870">
        <v>3.1635439999999999</v>
      </c>
      <c r="T870">
        <v>-0.74444840000000001</v>
      </c>
      <c r="U870">
        <v>-0.65420529999999999</v>
      </c>
      <c r="V870">
        <v>2.5016489999999999E-2</v>
      </c>
      <c r="W870">
        <v>0.18781210000000001</v>
      </c>
      <c r="X870">
        <v>0.98188629999999999</v>
      </c>
      <c r="Y870">
        <v>0.19588530000000001</v>
      </c>
      <c r="Z870">
        <v>-2.2149060000000002E-2</v>
      </c>
      <c r="AA870">
        <v>0.98037669999999999</v>
      </c>
      <c r="AB870">
        <v>42</v>
      </c>
      <c r="AC870">
        <v>0.64170000000001404</v>
      </c>
      <c r="AD870">
        <v>-0.21104310000000001</v>
      </c>
      <c r="AE870">
        <v>-0.18549999999999001</v>
      </c>
      <c r="AF870">
        <v>0.167750614902753</v>
      </c>
      <c r="AG870">
        <v>-0.21104310000000001</v>
      </c>
      <c r="AH870">
        <v>0.58372160429618303</v>
      </c>
      <c r="AI870">
        <v>109.16147978552</v>
      </c>
      <c r="AJ870">
        <v>73.966343983681597</v>
      </c>
      <c r="AK870">
        <v>0.64296996055801203</v>
      </c>
      <c r="AL870">
        <v>79.174871227893902</v>
      </c>
      <c r="AM870">
        <v>88.540534402262196</v>
      </c>
      <c r="AN870">
        <v>0.999999957903009</v>
      </c>
    </row>
    <row r="871" spans="1:40" x14ac:dyDescent="0.25">
      <c r="A871" t="str">
        <f>"20190312172911316"</f>
        <v>20190312172911316</v>
      </c>
      <c r="B871" t="str">
        <f>"1552382951307845"</f>
        <v>1552382951307845</v>
      </c>
      <c r="C871" t="s">
        <v>40</v>
      </c>
      <c r="D871">
        <v>3.2388919999999999</v>
      </c>
      <c r="E871">
        <v>0.57827169999999894</v>
      </c>
      <c r="F871" t="s">
        <v>42</v>
      </c>
      <c r="G871">
        <v>-296.44490000000002</v>
      </c>
      <c r="H871">
        <v>0.82247109999999901</v>
      </c>
      <c r="I871">
        <v>367.3784</v>
      </c>
      <c r="J871">
        <v>-297.2226</v>
      </c>
      <c r="K871">
        <v>1.0593509999999999</v>
      </c>
      <c r="L871">
        <v>367.58640000000003</v>
      </c>
      <c r="M871">
        <v>0.99991920000000001</v>
      </c>
      <c r="N871">
        <v>0</v>
      </c>
      <c r="O871">
        <v>-1.6778279999999999E-3</v>
      </c>
      <c r="P871">
        <v>0.98416199999999998</v>
      </c>
      <c r="Q871">
        <v>0.17529639999999999</v>
      </c>
      <c r="R871">
        <v>-2.6393860000000002E-2</v>
      </c>
      <c r="S871">
        <v>3.163513</v>
      </c>
      <c r="T871">
        <v>-0.74405059999999901</v>
      </c>
      <c r="U871">
        <v>-0.65447999999999995</v>
      </c>
      <c r="V871">
        <v>2.4851990000000001E-2</v>
      </c>
      <c r="W871">
        <v>0.18768099999999999</v>
      </c>
      <c r="X871">
        <v>0.9819156</v>
      </c>
      <c r="Y871">
        <v>0.1958667</v>
      </c>
      <c r="Z871">
        <v>-2.2109400000000001E-2</v>
      </c>
      <c r="AA871">
        <v>0.98038130000000001</v>
      </c>
      <c r="AB871">
        <v>42</v>
      </c>
      <c r="AC871">
        <v>0.77769999999998096</v>
      </c>
      <c r="AD871">
        <v>-0.2368799</v>
      </c>
      <c r="AE871">
        <v>-0.208000000000026</v>
      </c>
      <c r="AF871">
        <v>0.19022474359629599</v>
      </c>
      <c r="AG871">
        <v>-0.2368799</v>
      </c>
      <c r="AH871">
        <v>0.716050898578518</v>
      </c>
      <c r="AI871">
        <v>107.73035192121699</v>
      </c>
      <c r="AJ871">
        <v>75.122544841181806</v>
      </c>
      <c r="AK871">
        <v>0.77783444861704898</v>
      </c>
      <c r="AL871">
        <v>79.182519291993202</v>
      </c>
      <c r="AM871">
        <v>88.550170491012594</v>
      </c>
      <c r="AN871">
        <v>1.00000001234566</v>
      </c>
    </row>
    <row r="872" spans="1:40" x14ac:dyDescent="0.25">
      <c r="A872" t="str">
        <f>"20190312172911328"</f>
        <v>20190312172911328</v>
      </c>
      <c r="B872" t="str">
        <f>"1552382951318580"</f>
        <v>1552382951318580</v>
      </c>
      <c r="C872" t="s">
        <v>40</v>
      </c>
      <c r="D872">
        <v>3.315258</v>
      </c>
      <c r="E872">
        <v>0.57828380000000001</v>
      </c>
      <c r="F872" t="s">
        <v>42</v>
      </c>
      <c r="G872">
        <v>-296.42579999999998</v>
      </c>
      <c r="H872">
        <v>0.87189300000000003</v>
      </c>
      <c r="I872">
        <v>367.42149999999998</v>
      </c>
      <c r="J872">
        <v>-297.00869999999998</v>
      </c>
      <c r="K872">
        <v>1.059366</v>
      </c>
      <c r="L872">
        <v>367.58600000000001</v>
      </c>
      <c r="M872">
        <v>0.99991790000000003</v>
      </c>
      <c r="N872">
        <v>0</v>
      </c>
      <c r="O872">
        <v>-1.783431E-3</v>
      </c>
      <c r="P872">
        <v>0.984155</v>
      </c>
      <c r="Q872">
        <v>0.17533779999999999</v>
      </c>
      <c r="R872">
        <v>-2.6375019999999999E-2</v>
      </c>
      <c r="S872">
        <v>3.1633</v>
      </c>
      <c r="T872">
        <v>-0.7442744</v>
      </c>
      <c r="U872">
        <v>-0.65441890000000003</v>
      </c>
      <c r="V872">
        <v>2.4727470000000001E-2</v>
      </c>
      <c r="W872">
        <v>0.18780089999999999</v>
      </c>
      <c r="X872">
        <v>0.98189579999999999</v>
      </c>
      <c r="Y872">
        <v>0.19576009999999999</v>
      </c>
      <c r="Z872">
        <v>-2.2080829999999999E-2</v>
      </c>
      <c r="AA872">
        <v>0.98040320000000003</v>
      </c>
      <c r="AB872">
        <v>42</v>
      </c>
      <c r="AC872">
        <v>0.58289999999999498</v>
      </c>
      <c r="AD872">
        <v>-0.187473</v>
      </c>
      <c r="AE872">
        <v>-0.16450000000003201</v>
      </c>
      <c r="AF872">
        <v>0.149168321177792</v>
      </c>
      <c r="AG872">
        <v>-0.187473</v>
      </c>
      <c r="AH872">
        <v>0.53220232753310603</v>
      </c>
      <c r="AI872">
        <v>108.736295212071</v>
      </c>
      <c r="AJ872">
        <v>74.342613329122898</v>
      </c>
      <c r="AK872">
        <v>0.58364084093186697</v>
      </c>
      <c r="AL872">
        <v>79.175524960862901</v>
      </c>
      <c r="AM872">
        <v>88.557402655017796</v>
      </c>
      <c r="AN872">
        <v>0.99999999393552497</v>
      </c>
    </row>
    <row r="873" spans="1:40" x14ac:dyDescent="0.25">
      <c r="A873" t="str">
        <f>"20190312172911338"</f>
        <v>20190312172911338</v>
      </c>
      <c r="B873" t="str">
        <f>"1552382951328341"</f>
        <v>1552382951328341</v>
      </c>
      <c r="C873" t="s">
        <v>40</v>
      </c>
      <c r="D873">
        <v>3.2835230000000002</v>
      </c>
      <c r="E873">
        <v>0.57829049999999904</v>
      </c>
      <c r="F873" t="s">
        <v>42</v>
      </c>
      <c r="G873">
        <v>-296.06400000000002</v>
      </c>
      <c r="H873">
        <v>0.83721880000000004</v>
      </c>
      <c r="I873">
        <v>367.39010000000002</v>
      </c>
      <c r="J873">
        <v>-296.80709999999999</v>
      </c>
      <c r="K873">
        <v>1.059383</v>
      </c>
      <c r="L873">
        <v>367.58550000000002</v>
      </c>
      <c r="M873">
        <v>0.99991669999999999</v>
      </c>
      <c r="N873">
        <v>0</v>
      </c>
      <c r="O873">
        <v>-1.8829490000000001E-3</v>
      </c>
      <c r="P873">
        <v>0.98419769999999895</v>
      </c>
      <c r="Q873">
        <v>0.17511489999999999</v>
      </c>
      <c r="R873">
        <v>-2.6262770000000001E-2</v>
      </c>
      <c r="S873">
        <v>3.1633300000000002</v>
      </c>
      <c r="T873">
        <v>-0.74393619999999905</v>
      </c>
      <c r="U873">
        <v>-0.65478519999999996</v>
      </c>
      <c r="V873">
        <v>2.4515889999999999E-2</v>
      </c>
      <c r="W873">
        <v>0.18765290000000001</v>
      </c>
      <c r="X873">
        <v>0.98192939999999995</v>
      </c>
      <c r="Y873">
        <v>0.1957766</v>
      </c>
      <c r="Z873">
        <v>-2.204965E-2</v>
      </c>
      <c r="AA873">
        <v>0.98040059999999996</v>
      </c>
      <c r="AB873">
        <v>42</v>
      </c>
      <c r="AC873">
        <v>0.74309999999996901</v>
      </c>
      <c r="AD873">
        <v>-0.22216419999999901</v>
      </c>
      <c r="AE873">
        <v>-0.19540000000000601</v>
      </c>
      <c r="AF873">
        <v>0.179032794359925</v>
      </c>
      <c r="AG873">
        <v>-0.22216419999999901</v>
      </c>
      <c r="AH873">
        <v>0.68610665257011205</v>
      </c>
      <c r="AI873">
        <v>107.396457753416</v>
      </c>
      <c r="AJ873">
        <v>75.375337867978899</v>
      </c>
      <c r="AK873">
        <v>0.74306931838081403</v>
      </c>
      <c r="AL873">
        <v>79.184158216355399</v>
      </c>
      <c r="AM873">
        <v>88.569789975843804</v>
      </c>
      <c r="AN873">
        <v>0.999999993162631</v>
      </c>
    </row>
    <row r="874" spans="1:40" x14ac:dyDescent="0.25">
      <c r="A874" t="str">
        <f>"20190312172911349"</f>
        <v>20190312172911349</v>
      </c>
      <c r="B874" t="str">
        <f>"1552382951338100"</f>
        <v>1552382951338100</v>
      </c>
      <c r="C874" t="s">
        <v>40</v>
      </c>
      <c r="D874">
        <v>3.2666230000000001</v>
      </c>
      <c r="E874">
        <v>0.57826959999999905</v>
      </c>
      <c r="F874" t="s">
        <v>42</v>
      </c>
      <c r="G874">
        <v>-296.04730000000001</v>
      </c>
      <c r="H874">
        <v>0.88059390000000004</v>
      </c>
      <c r="I874">
        <v>367.42790000000002</v>
      </c>
      <c r="J874">
        <v>-296.60820000000001</v>
      </c>
      <c r="K874">
        <v>1.059396</v>
      </c>
      <c r="L874">
        <v>367.58510000000001</v>
      </c>
      <c r="M874">
        <v>0.99991580000000002</v>
      </c>
      <c r="N874">
        <v>0</v>
      </c>
      <c r="O874">
        <v>-1.9805719999999999E-3</v>
      </c>
      <c r="P874">
        <v>0.98424279999999997</v>
      </c>
      <c r="Q874">
        <v>0.17485680000000001</v>
      </c>
      <c r="R874">
        <v>-2.630039E-2</v>
      </c>
      <c r="S874">
        <v>3.163116</v>
      </c>
      <c r="T874">
        <v>-0.74433680000000002</v>
      </c>
      <c r="U874">
        <v>-0.65487669999999998</v>
      </c>
      <c r="V874">
        <v>2.4456550000000001E-2</v>
      </c>
      <c r="W874">
        <v>0.1874683</v>
      </c>
      <c r="X874">
        <v>0.98196609999999995</v>
      </c>
      <c r="Y874">
        <v>0.19571930000000001</v>
      </c>
      <c r="Z874">
        <v>-2.2033560000000001E-2</v>
      </c>
      <c r="AA874">
        <v>0.98041239999999996</v>
      </c>
      <c r="AB874">
        <v>42</v>
      </c>
      <c r="AC874">
        <v>0.56090000000000295</v>
      </c>
      <c r="AD874">
        <v>-0.17880209999999899</v>
      </c>
      <c r="AE874">
        <v>-0.15719999999998799</v>
      </c>
      <c r="AF874">
        <v>0.142648598954736</v>
      </c>
      <c r="AG874">
        <v>-0.17880209999999899</v>
      </c>
      <c r="AH874">
        <v>0.51288696894956198</v>
      </c>
      <c r="AI874">
        <v>108.565663423714</v>
      </c>
      <c r="AJ874">
        <v>74.457223263016502</v>
      </c>
      <c r="AK874">
        <v>0.56157978655434904</v>
      </c>
      <c r="AL874">
        <v>79.194925686048407</v>
      </c>
      <c r="AM874">
        <v>88.573303626366695</v>
      </c>
      <c r="AN874">
        <v>0.99999995394600005</v>
      </c>
    </row>
    <row r="875" spans="1:40" x14ac:dyDescent="0.25">
      <c r="A875" t="str">
        <f>"20190312172911361"</f>
        <v>20190312172911361</v>
      </c>
      <c r="B875" t="str">
        <f>"1552382951358597"</f>
        <v>1552382951358597</v>
      </c>
      <c r="C875" t="s">
        <v>40</v>
      </c>
      <c r="D875">
        <v>3.3804959999999999</v>
      </c>
      <c r="E875">
        <v>0.57837469999999902</v>
      </c>
      <c r="F875" t="s">
        <v>42</v>
      </c>
      <c r="G875">
        <v>-295.68709999999999</v>
      </c>
      <c r="H875">
        <v>0.84253609999999901</v>
      </c>
      <c r="I875">
        <v>367.39409999999998</v>
      </c>
      <c r="J875">
        <v>-296.38220000000001</v>
      </c>
      <c r="K875">
        <v>1.0594079999999999</v>
      </c>
      <c r="L875">
        <v>367.58460000000002</v>
      </c>
      <c r="M875">
        <v>0.99991430000000003</v>
      </c>
      <c r="N875">
        <v>0</v>
      </c>
      <c r="O875">
        <v>-2.0901940000000001E-3</v>
      </c>
      <c r="P875">
        <v>0.98423989999999995</v>
      </c>
      <c r="Q875">
        <v>0.1748606</v>
      </c>
      <c r="R875">
        <v>-2.6375989999999998E-2</v>
      </c>
      <c r="S875">
        <v>3.1628419999999999</v>
      </c>
      <c r="T875">
        <v>-0.74478169999999899</v>
      </c>
      <c r="U875">
        <v>-0.655304</v>
      </c>
      <c r="V875">
        <v>2.4424129999999999E-2</v>
      </c>
      <c r="W875">
        <v>0.187555</v>
      </c>
      <c r="X875">
        <v>0.9819504</v>
      </c>
      <c r="Y875">
        <v>0.19575119999999999</v>
      </c>
      <c r="Z875">
        <v>-2.202639E-2</v>
      </c>
      <c r="AA875">
        <v>0.98040620000000001</v>
      </c>
      <c r="AB875">
        <v>42</v>
      </c>
      <c r="AC875">
        <v>0.69510000000002403</v>
      </c>
      <c r="AD875">
        <v>-0.21687190000000001</v>
      </c>
      <c r="AE875">
        <v>-0.190500000000042</v>
      </c>
      <c r="AF875">
        <v>0.17335071650438</v>
      </c>
      <c r="AG875">
        <v>-0.21687190000000001</v>
      </c>
      <c r="AH875">
        <v>0.63775212409160198</v>
      </c>
      <c r="AI875">
        <v>108.167264433939</v>
      </c>
      <c r="AJ875">
        <v>74.793533000849493</v>
      </c>
      <c r="AK875">
        <v>0.69556571487210495</v>
      </c>
      <c r="AL875">
        <v>79.189868965059006</v>
      </c>
      <c r="AM875">
        <v>88.575171326899607</v>
      </c>
      <c r="AN875">
        <v>1.0000000021057001</v>
      </c>
    </row>
    <row r="876" spans="1:40" x14ac:dyDescent="0.25">
      <c r="A876" t="str">
        <f>"20190312172911371"</f>
        <v>20190312172911371</v>
      </c>
      <c r="B876" t="str">
        <f>"1552382951367917"</f>
        <v>1552382951367917</v>
      </c>
      <c r="C876" t="s">
        <v>40</v>
      </c>
      <c r="D876">
        <v>3.3300329999999998</v>
      </c>
      <c r="E876">
        <v>0.57839370000000001</v>
      </c>
      <c r="F876" t="s">
        <v>42</v>
      </c>
      <c r="G876">
        <v>-295.66789999999997</v>
      </c>
      <c r="H876">
        <v>0.89129449999999999</v>
      </c>
      <c r="I876">
        <v>367.43610000000001</v>
      </c>
      <c r="J876">
        <v>-296.18810000000002</v>
      </c>
      <c r="K876">
        <v>1.0594209999999999</v>
      </c>
      <c r="L876">
        <v>367.58409999999998</v>
      </c>
      <c r="M876">
        <v>0.9999133</v>
      </c>
      <c r="N876">
        <v>0</v>
      </c>
      <c r="O876">
        <v>-2.1828329999999999E-3</v>
      </c>
      <c r="P876">
        <v>0.98422929999999997</v>
      </c>
      <c r="Q876">
        <v>0.17492849999999999</v>
      </c>
      <c r="R876">
        <v>-2.6325769999999998E-2</v>
      </c>
      <c r="S876">
        <v>3.1626590000000001</v>
      </c>
      <c r="T876">
        <v>-0.74444580000000005</v>
      </c>
      <c r="U876">
        <v>-0.65667719999999996</v>
      </c>
      <c r="V876">
        <v>2.4282809999999998E-2</v>
      </c>
      <c r="W876">
        <v>0.1876941</v>
      </c>
      <c r="X876">
        <v>0.98192729999999995</v>
      </c>
      <c r="Y876">
        <v>0.19607830000000001</v>
      </c>
      <c r="Z876">
        <v>-2.2033290000000001E-2</v>
      </c>
      <c r="AA876">
        <v>0.98034069999999995</v>
      </c>
      <c r="AB876">
        <v>42</v>
      </c>
      <c r="AC876">
        <v>0.52020000000004496</v>
      </c>
      <c r="AD876">
        <v>-0.16812649999999901</v>
      </c>
      <c r="AE876">
        <v>-0.14799999999996699</v>
      </c>
      <c r="AF876">
        <v>0.133922605331594</v>
      </c>
      <c r="AG876">
        <v>-0.16812649999999901</v>
      </c>
      <c r="AH876">
        <v>0.47465425161163399</v>
      </c>
      <c r="AI876">
        <v>108.824198426755</v>
      </c>
      <c r="AJ876">
        <v>74.243709222337699</v>
      </c>
      <c r="AK876">
        <v>0.52105512452527702</v>
      </c>
      <c r="AL876">
        <v>79.181754742252394</v>
      </c>
      <c r="AM876">
        <v>88.583378820414794</v>
      </c>
      <c r="AN876">
        <v>0.99999997626079695</v>
      </c>
    </row>
    <row r="877" spans="1:40" x14ac:dyDescent="0.25">
      <c r="A877" t="str">
        <f>"20190312172911382"</f>
        <v>20190312172911382</v>
      </c>
      <c r="B877" t="str">
        <f>"1552382951378653"</f>
        <v>1552382951378653</v>
      </c>
      <c r="C877" t="s">
        <v>40</v>
      </c>
      <c r="D877">
        <v>3.3794680000000001</v>
      </c>
      <c r="E877">
        <v>0.57842799999999905</v>
      </c>
      <c r="F877" t="s">
        <v>42</v>
      </c>
      <c r="G877">
        <v>-295.30869999999999</v>
      </c>
      <c r="H877">
        <v>0.85256989999999999</v>
      </c>
      <c r="I877">
        <v>367.40120000000002</v>
      </c>
      <c r="J877">
        <v>-295.97980000000001</v>
      </c>
      <c r="K877">
        <v>1.0594300000000001</v>
      </c>
      <c r="L877">
        <v>367.58359999999999</v>
      </c>
      <c r="M877">
        <v>0.99991209999999997</v>
      </c>
      <c r="N877">
        <v>0</v>
      </c>
      <c r="O877">
        <v>-2.2817150000000001E-3</v>
      </c>
      <c r="P877">
        <v>0.98421829999999999</v>
      </c>
      <c r="Q877">
        <v>0.175006299999999</v>
      </c>
      <c r="R877">
        <v>-2.622004E-2</v>
      </c>
      <c r="S877">
        <v>3.16275</v>
      </c>
      <c r="T877">
        <v>-0.74401609999999996</v>
      </c>
      <c r="U877">
        <v>-0.6567383</v>
      </c>
      <c r="V877">
        <v>2.4079929999999999E-2</v>
      </c>
      <c r="W877">
        <v>0.18784819999999999</v>
      </c>
      <c r="X877">
        <v>0.98190279999999996</v>
      </c>
      <c r="Y877">
        <v>0.1960045</v>
      </c>
      <c r="Z877">
        <v>-2.1989069999999999E-2</v>
      </c>
      <c r="AA877">
        <v>0.98035640000000002</v>
      </c>
      <c r="AB877">
        <v>42</v>
      </c>
      <c r="AC877">
        <v>0.67110000000002401</v>
      </c>
      <c r="AD877">
        <v>-0.20686009999999899</v>
      </c>
      <c r="AE877">
        <v>-0.182399999999972</v>
      </c>
      <c r="AF877">
        <v>0.166166356783681</v>
      </c>
      <c r="AG877">
        <v>-0.20686009999999899</v>
      </c>
      <c r="AH877">
        <v>0.61693074447326102</v>
      </c>
      <c r="AI877">
        <v>107.940233158095</v>
      </c>
      <c r="AJ877">
        <v>74.925483421342406</v>
      </c>
      <c r="AK877">
        <v>0.67156973024035505</v>
      </c>
      <c r="AL877">
        <v>79.172765271088707</v>
      </c>
      <c r="AM877">
        <v>88.595174722151398</v>
      </c>
      <c r="AN877">
        <v>0.99999994895994104</v>
      </c>
    </row>
    <row r="878" spans="1:40" x14ac:dyDescent="0.25">
      <c r="A878" t="str">
        <f>"20190312172911394"</f>
        <v>20190312172911394</v>
      </c>
      <c r="B878" t="str">
        <f>"1552382951388414"</f>
        <v>1552382951388414</v>
      </c>
      <c r="C878" t="s">
        <v>40</v>
      </c>
      <c r="D878">
        <v>3.3267120000000001</v>
      </c>
      <c r="E878">
        <v>0.5784608</v>
      </c>
      <c r="F878" t="s">
        <v>42</v>
      </c>
      <c r="G878">
        <v>-295.29059999999998</v>
      </c>
      <c r="H878">
        <v>0.89744419999999903</v>
      </c>
      <c r="I878">
        <v>367.4402</v>
      </c>
      <c r="J878">
        <v>-295.77440000000001</v>
      </c>
      <c r="K878">
        <v>1.0594380000000001</v>
      </c>
      <c r="L878">
        <v>367.58300000000003</v>
      </c>
      <c r="M878">
        <v>0.99991070000000004</v>
      </c>
      <c r="N878">
        <v>0</v>
      </c>
      <c r="O878">
        <v>-2.3776209999999999E-3</v>
      </c>
      <c r="P878">
        <v>0.98420909999999995</v>
      </c>
      <c r="Q878">
        <v>0.17505179999999901</v>
      </c>
      <c r="R878">
        <v>-2.625742E-2</v>
      </c>
      <c r="S878">
        <v>3.162811</v>
      </c>
      <c r="T878">
        <v>-0.74351739999999999</v>
      </c>
      <c r="U878">
        <v>-0.65667719999999996</v>
      </c>
      <c r="V878">
        <v>2.4023530000000001E-2</v>
      </c>
      <c r="W878">
        <v>0.18796950000000001</v>
      </c>
      <c r="X878">
        <v>0.981881</v>
      </c>
      <c r="Y878">
        <v>0.19590080000000001</v>
      </c>
      <c r="Z878">
        <v>-2.1940419999999999E-2</v>
      </c>
      <c r="AA878">
        <v>0.98037830000000004</v>
      </c>
      <c r="AB878">
        <v>42</v>
      </c>
      <c r="AC878">
        <v>0.48380000000002998</v>
      </c>
      <c r="AD878">
        <v>-0.16199379999999899</v>
      </c>
      <c r="AE878">
        <v>-0.14280000000002199</v>
      </c>
      <c r="AF878">
        <v>0.128406572705136</v>
      </c>
      <c r="AG878">
        <v>-0.16199379999999899</v>
      </c>
      <c r="AH878">
        <v>0.43887662980282099</v>
      </c>
      <c r="AI878">
        <v>109.507128452339</v>
      </c>
      <c r="AJ878">
        <v>73.691573862997899</v>
      </c>
      <c r="AK878">
        <v>0.48512156758837399</v>
      </c>
      <c r="AL878">
        <v>79.165689589954397</v>
      </c>
      <c r="AM878">
        <v>88.598432684382502</v>
      </c>
      <c r="AN878">
        <v>0.99999998054245498</v>
      </c>
    </row>
    <row r="879" spans="1:40" x14ac:dyDescent="0.25">
      <c r="A879" t="str">
        <f>"20190312172911405"</f>
        <v>20190312172911405</v>
      </c>
      <c r="B879" t="str">
        <f>"1552382951398180"</f>
        <v>1552382951398180</v>
      </c>
      <c r="C879" t="s">
        <v>40</v>
      </c>
      <c r="D879">
        <v>3.3485019999999999</v>
      </c>
      <c r="E879">
        <v>0.57851680000000005</v>
      </c>
      <c r="F879" t="s">
        <v>42</v>
      </c>
      <c r="G879">
        <v>-294.93099999999998</v>
      </c>
      <c r="H879">
        <v>0.86125790000000002</v>
      </c>
      <c r="I879">
        <v>367.4076</v>
      </c>
      <c r="J879">
        <v>-295.56630000000001</v>
      </c>
      <c r="K879">
        <v>1.0594479999999999</v>
      </c>
      <c r="L879">
        <v>367.58249999999998</v>
      </c>
      <c r="M879">
        <v>0.99990939999999995</v>
      </c>
      <c r="N879">
        <v>0</v>
      </c>
      <c r="O879">
        <v>-2.4749680000000001E-3</v>
      </c>
      <c r="P879">
        <v>0.98422100000000001</v>
      </c>
      <c r="Q879">
        <v>0.1749966</v>
      </c>
      <c r="R879">
        <v>-2.6179339999999999E-2</v>
      </c>
      <c r="S879">
        <v>3.162811</v>
      </c>
      <c r="T879">
        <v>-0.7432761</v>
      </c>
      <c r="U879">
        <v>-0.65716549999999996</v>
      </c>
      <c r="V879">
        <v>2.385023E-2</v>
      </c>
      <c r="W879">
        <v>0.18799109999999999</v>
      </c>
      <c r="X879">
        <v>0.98188109999999995</v>
      </c>
      <c r="Y879">
        <v>0.19595509999999999</v>
      </c>
      <c r="Z879">
        <v>-2.191705E-2</v>
      </c>
      <c r="AA879">
        <v>0.98036789999999996</v>
      </c>
      <c r="AB879">
        <v>42</v>
      </c>
      <c r="AC879">
        <v>0.63530000000002895</v>
      </c>
      <c r="AD879">
        <v>-0.19819009999999901</v>
      </c>
      <c r="AE879">
        <v>-0.17489999999997899</v>
      </c>
      <c r="AF879">
        <v>0.15894784815448801</v>
      </c>
      <c r="AG879">
        <v>-0.19819009999999901</v>
      </c>
      <c r="AH879">
        <v>0.58299099787015896</v>
      </c>
      <c r="AI879">
        <v>108.15857899063499</v>
      </c>
      <c r="AJ879">
        <v>74.749427406708307</v>
      </c>
      <c r="AK879">
        <v>0.63594200818045998</v>
      </c>
      <c r="AL879">
        <v>79.164429650860598</v>
      </c>
      <c r="AM879">
        <v>88.608539408093804</v>
      </c>
      <c r="AN879">
        <v>0.99999999084373603</v>
      </c>
    </row>
    <row r="880" spans="1:40" x14ac:dyDescent="0.25">
      <c r="A880" t="str">
        <f>"20190312172911415"</f>
        <v>20190312172911415</v>
      </c>
      <c r="B880" t="str">
        <f>"1552382951407934"</f>
        <v>1552382951407934</v>
      </c>
      <c r="C880" t="s">
        <v>40</v>
      </c>
      <c r="D880">
        <v>3.3184040000000001</v>
      </c>
      <c r="E880">
        <v>0.57854949999999905</v>
      </c>
      <c r="F880" t="s">
        <v>42</v>
      </c>
      <c r="G880">
        <v>-294.57100000000003</v>
      </c>
      <c r="H880">
        <v>0.82552239999999999</v>
      </c>
      <c r="I880">
        <v>367.37529999999998</v>
      </c>
      <c r="J880">
        <v>-295.36590000000001</v>
      </c>
      <c r="K880">
        <v>1.0594570000000001</v>
      </c>
      <c r="L880">
        <v>367.58190000000002</v>
      </c>
      <c r="M880">
        <v>0.99990809999999997</v>
      </c>
      <c r="N880">
        <v>0</v>
      </c>
      <c r="O880">
        <v>-2.5680109999999998E-3</v>
      </c>
      <c r="P880">
        <v>0.98422240000000005</v>
      </c>
      <c r="Q880">
        <v>0.174983</v>
      </c>
      <c r="R880">
        <v>-2.6212719999999998E-2</v>
      </c>
      <c r="S880">
        <v>3.16275</v>
      </c>
      <c r="T880">
        <v>-0.74339369999999905</v>
      </c>
      <c r="U880">
        <v>-0.657196</v>
      </c>
      <c r="V880">
        <v>2.3792509999999999E-2</v>
      </c>
      <c r="W880">
        <v>0.18805240000000001</v>
      </c>
      <c r="X880">
        <v>0.98187080000000004</v>
      </c>
      <c r="Y880">
        <v>0.19587940000000001</v>
      </c>
      <c r="Z880">
        <v>-2.189077E-2</v>
      </c>
      <c r="AA880">
        <v>0.98038360000000002</v>
      </c>
      <c r="AB880">
        <v>42</v>
      </c>
      <c r="AC880">
        <v>0.79490000000004002</v>
      </c>
      <c r="AD880">
        <v>-0.23393459999999899</v>
      </c>
      <c r="AE880">
        <v>-0.206600000000037</v>
      </c>
      <c r="AF880">
        <v>0.189207637280984</v>
      </c>
      <c r="AG880">
        <v>-0.23393459999999899</v>
      </c>
      <c r="AH880">
        <v>0.73573840290330095</v>
      </c>
      <c r="AI880">
        <v>107.115649981621</v>
      </c>
      <c r="AJ880">
        <v>75.577929431731107</v>
      </c>
      <c r="AK880">
        <v>0.79488107575241296</v>
      </c>
      <c r="AL880">
        <v>79.1608540516673</v>
      </c>
      <c r="AM880">
        <v>88.611891010505801</v>
      </c>
      <c r="AN880">
        <v>1.0000000282852399</v>
      </c>
    </row>
    <row r="881" spans="1:40" x14ac:dyDescent="0.25">
      <c r="A881" t="str">
        <f>"20190312172911426"</f>
        <v>20190312172911426</v>
      </c>
      <c r="B881" t="str">
        <f>"1552382951418669"</f>
        <v>1552382951418669</v>
      </c>
      <c r="C881" t="s">
        <v>40</v>
      </c>
      <c r="D881">
        <v>3.3033100000000002</v>
      </c>
      <c r="E881">
        <v>0.57857349999999996</v>
      </c>
      <c r="F881" t="s">
        <v>42</v>
      </c>
      <c r="G881">
        <v>-294.55419999999998</v>
      </c>
      <c r="H881">
        <v>0.86874259999999903</v>
      </c>
      <c r="I881">
        <v>367.41269999999997</v>
      </c>
      <c r="J881">
        <v>-295.17380000000003</v>
      </c>
      <c r="K881">
        <v>1.059466</v>
      </c>
      <c r="L881">
        <v>367.5813</v>
      </c>
      <c r="M881">
        <v>0.99990710000000005</v>
      </c>
      <c r="N881">
        <v>0</v>
      </c>
      <c r="O881">
        <v>-2.657576E-3</v>
      </c>
      <c r="P881">
        <v>0.98424489999999998</v>
      </c>
      <c r="Q881">
        <v>0.1748479</v>
      </c>
      <c r="R881">
        <v>-2.6276339999999999E-2</v>
      </c>
      <c r="S881">
        <v>3.1626889999999999</v>
      </c>
      <c r="T881">
        <v>-0.74319109999999999</v>
      </c>
      <c r="U881">
        <v>-0.6579895</v>
      </c>
      <c r="V881">
        <v>2.3768129999999998E-2</v>
      </c>
      <c r="W881">
        <v>0.1879892</v>
      </c>
      <c r="X881">
        <v>0.98188350000000002</v>
      </c>
      <c r="Y881">
        <v>0.1960324</v>
      </c>
      <c r="Z881">
        <v>-2.188184E-2</v>
      </c>
      <c r="AA881">
        <v>0.98035320000000004</v>
      </c>
      <c r="AB881">
        <v>42</v>
      </c>
      <c r="AC881">
        <v>0.619600000000048</v>
      </c>
      <c r="AD881">
        <v>-0.19072339999999999</v>
      </c>
      <c r="AE881">
        <v>-0.16860000000002601</v>
      </c>
      <c r="AF881">
        <v>0.15341819915440899</v>
      </c>
      <c r="AG881">
        <v>-0.19072339999999999</v>
      </c>
      <c r="AH881">
        <v>0.56978037497537604</v>
      </c>
      <c r="AI881">
        <v>107.911854306192</v>
      </c>
      <c r="AJ881">
        <v>74.930031311593496</v>
      </c>
      <c r="AK881">
        <v>0.62013082075189796</v>
      </c>
      <c r="AL881">
        <v>79.164540978119504</v>
      </c>
      <c r="AM881">
        <v>88.613330768193194</v>
      </c>
      <c r="AN881">
        <v>1.0000000354462899</v>
      </c>
    </row>
    <row r="882" spans="1:40" x14ac:dyDescent="0.25">
      <c r="A882" t="str">
        <f>"20190312172911436"</f>
        <v>20190312172911436</v>
      </c>
      <c r="B882" t="str">
        <f>"1552382951428430"</f>
        <v>1552382951428430</v>
      </c>
      <c r="C882" t="s">
        <v>40</v>
      </c>
      <c r="D882">
        <v>3.5321500000000001</v>
      </c>
      <c r="E882">
        <v>0.57859179999999999</v>
      </c>
      <c r="F882" t="s">
        <v>42</v>
      </c>
      <c r="G882">
        <v>-294.19580000000002</v>
      </c>
      <c r="H882">
        <v>0.82955800000000002</v>
      </c>
      <c r="I882">
        <v>367.3775</v>
      </c>
      <c r="J882">
        <v>-294.97989999999999</v>
      </c>
      <c r="K882">
        <v>1.0594749999999999</v>
      </c>
      <c r="L882">
        <v>367.58069999999998</v>
      </c>
      <c r="M882">
        <v>0.99990590000000001</v>
      </c>
      <c r="N882">
        <v>0</v>
      </c>
      <c r="O882">
        <v>-2.748454E-3</v>
      </c>
      <c r="P882">
        <v>0.98423769999999999</v>
      </c>
      <c r="Q882">
        <v>0.17489089999999999</v>
      </c>
      <c r="R882">
        <v>-2.6260269999999999E-2</v>
      </c>
      <c r="S882">
        <v>3.1625670000000001</v>
      </c>
      <c r="T882">
        <v>-0.74352969999999996</v>
      </c>
      <c r="U882">
        <v>-0.65875240000000002</v>
      </c>
      <c r="V882">
        <v>2.3662840000000001E-2</v>
      </c>
      <c r="W882">
        <v>0.18810479999999999</v>
      </c>
      <c r="X882">
        <v>0.98186390000000001</v>
      </c>
      <c r="Y882">
        <v>0.1961717</v>
      </c>
      <c r="Z882">
        <v>-2.1886969999999999E-2</v>
      </c>
      <c r="AA882">
        <v>0.98032529999999996</v>
      </c>
      <c r="AB882">
        <v>42</v>
      </c>
      <c r="AC882">
        <v>0.78409999999996605</v>
      </c>
      <c r="AD882">
        <v>-0.22991699999999901</v>
      </c>
      <c r="AE882">
        <v>-0.20319999999998101</v>
      </c>
      <c r="AF882">
        <v>0.18605373754238</v>
      </c>
      <c r="AG882">
        <v>-0.22991699999999901</v>
      </c>
      <c r="AH882">
        <v>0.72615009886116899</v>
      </c>
      <c r="AI882">
        <v>107.051662171326</v>
      </c>
      <c r="AJ882">
        <v>75.628866924180301</v>
      </c>
      <c r="AK882">
        <v>0.78407383977440204</v>
      </c>
      <c r="AL882">
        <v>79.157797240509296</v>
      </c>
      <c r="AM882">
        <v>88.619443618605104</v>
      </c>
      <c r="AN882">
        <v>1.0000000319515501</v>
      </c>
    </row>
    <row r="883" spans="1:40" x14ac:dyDescent="0.25">
      <c r="A883" t="str">
        <f>"20190312172911449"</f>
        <v>20190312172911449</v>
      </c>
      <c r="B883" t="str">
        <f>"1552382951438190"</f>
        <v>1552382951438190</v>
      </c>
      <c r="C883" t="s">
        <v>40</v>
      </c>
      <c r="D883">
        <v>3.3114710000000001</v>
      </c>
      <c r="E883">
        <v>0.57862449999999999</v>
      </c>
      <c r="F883" t="s">
        <v>42</v>
      </c>
      <c r="G883">
        <v>-294.17959999999999</v>
      </c>
      <c r="H883">
        <v>0.871420999999999</v>
      </c>
      <c r="I883">
        <v>367.41390000000001</v>
      </c>
      <c r="J883">
        <v>-294.74779999999998</v>
      </c>
      <c r="K883">
        <v>1.059485</v>
      </c>
      <c r="L883">
        <v>367.58</v>
      </c>
      <c r="M883">
        <v>0.99990420000000002</v>
      </c>
      <c r="N883">
        <v>0</v>
      </c>
      <c r="O883">
        <v>-2.85732E-3</v>
      </c>
      <c r="P883">
        <v>0.98423680000000002</v>
      </c>
      <c r="Q883">
        <v>0.17488809999999999</v>
      </c>
      <c r="R883">
        <v>-2.6308649999999999E-2</v>
      </c>
      <c r="S883">
        <v>3.162506</v>
      </c>
      <c r="T883">
        <v>-0.74317290000000003</v>
      </c>
      <c r="U883">
        <v>-0.65893550000000001</v>
      </c>
      <c r="V883">
        <v>2.3604070000000001E-2</v>
      </c>
      <c r="W883">
        <v>0.1881891</v>
      </c>
      <c r="X883">
        <v>0.98184910000000003</v>
      </c>
      <c r="Y883">
        <v>0.1961319</v>
      </c>
      <c r="Z883">
        <v>-2.1847459999999999E-2</v>
      </c>
      <c r="AA883">
        <v>0.98033409999999999</v>
      </c>
      <c r="AB883">
        <v>42</v>
      </c>
      <c r="AC883">
        <v>0.56819999999999005</v>
      </c>
      <c r="AD883">
        <v>-0.18806400000000001</v>
      </c>
      <c r="AE883">
        <v>-0.16609999999997099</v>
      </c>
      <c r="AF883">
        <v>0.149397734586735</v>
      </c>
      <c r="AG883">
        <v>-0.18806400000000001</v>
      </c>
      <c r="AH883">
        <v>0.51654065669179094</v>
      </c>
      <c r="AI883">
        <v>109.277219261786</v>
      </c>
      <c r="AJ883">
        <v>73.868679706977701</v>
      </c>
      <c r="AK883">
        <v>0.56965077127239605</v>
      </c>
      <c r="AL883">
        <v>79.152878723181999</v>
      </c>
      <c r="AM883">
        <v>88.622850352722196</v>
      </c>
      <c r="AN883">
        <v>0.99999997232509197</v>
      </c>
    </row>
    <row r="884" spans="1:40" x14ac:dyDescent="0.25">
      <c r="A884" t="str">
        <f>"20190312172911462"</f>
        <v>20190312172911462</v>
      </c>
      <c r="B884" t="str">
        <f>"1552382951458685"</f>
        <v>1552382951458685</v>
      </c>
      <c r="C884" t="s">
        <v>40</v>
      </c>
      <c r="D884">
        <v>3.310905</v>
      </c>
      <c r="E884">
        <v>0.57871450000000002</v>
      </c>
      <c r="F884" t="s">
        <v>42</v>
      </c>
      <c r="G884">
        <v>-293.81819999999999</v>
      </c>
      <c r="H884">
        <v>0.84107849999999995</v>
      </c>
      <c r="I884">
        <v>367.38569999999999</v>
      </c>
      <c r="J884">
        <v>-294.49759999999998</v>
      </c>
      <c r="K884">
        <v>1.059496</v>
      </c>
      <c r="L884">
        <v>367.57920000000001</v>
      </c>
      <c r="M884">
        <v>0.99990270000000003</v>
      </c>
      <c r="N884">
        <v>0</v>
      </c>
      <c r="O884">
        <v>-2.9752989999999998E-3</v>
      </c>
      <c r="P884">
        <v>0.98422430000000005</v>
      </c>
      <c r="Q884">
        <v>0.17492269999999999</v>
      </c>
      <c r="R884">
        <v>-2.65448E-2</v>
      </c>
      <c r="S884">
        <v>3.1624150000000002</v>
      </c>
      <c r="T884">
        <v>-0.743062</v>
      </c>
      <c r="U884">
        <v>-0.65951539999999997</v>
      </c>
      <c r="V884">
        <v>2.372469E-2</v>
      </c>
      <c r="W884">
        <v>0.18831790000000001</v>
      </c>
      <c r="X884">
        <v>0.98182150000000001</v>
      </c>
      <c r="Y884">
        <v>0.19619710000000001</v>
      </c>
      <c r="Z884">
        <v>-2.1824909999999999E-2</v>
      </c>
      <c r="AA884">
        <v>0.98032160000000002</v>
      </c>
      <c r="AB884">
        <v>42</v>
      </c>
      <c r="AC884">
        <v>0.67939999999998602</v>
      </c>
      <c r="AD884">
        <v>-0.21841749999999999</v>
      </c>
      <c r="AE884">
        <v>-0.19350000000002801</v>
      </c>
      <c r="AF884">
        <v>0.17476980330606601</v>
      </c>
      <c r="AG884">
        <v>-0.21841749999999999</v>
      </c>
      <c r="AH884">
        <v>0.62064045815788205</v>
      </c>
      <c r="AI884">
        <v>108.71371865928501</v>
      </c>
      <c r="AJ884">
        <v>74.272998418935401</v>
      </c>
      <c r="AK884">
        <v>0.68076814463980095</v>
      </c>
      <c r="AL884">
        <v>79.145364709689204</v>
      </c>
      <c r="AM884">
        <v>88.615776766424105</v>
      </c>
      <c r="AN884">
        <v>0.99999997511912697</v>
      </c>
    </row>
    <row r="885" spans="1:40" x14ac:dyDescent="0.25">
      <c r="A885" t="str">
        <f>"20190312172911475"</f>
        <v>20190312172911475</v>
      </c>
      <c r="B885" t="str">
        <f>"1552382951468445"</f>
        <v>1552382951468445</v>
      </c>
      <c r="C885" t="s">
        <v>40</v>
      </c>
      <c r="D885">
        <v>3.22288</v>
      </c>
      <c r="E885">
        <v>0.57869169999999903</v>
      </c>
      <c r="F885" t="s">
        <v>42</v>
      </c>
      <c r="G885">
        <v>-293.79680000000002</v>
      </c>
      <c r="H885">
        <v>0.89491030000000005</v>
      </c>
      <c r="I885">
        <v>367.4323</v>
      </c>
      <c r="J885">
        <v>-294.26960000000003</v>
      </c>
      <c r="K885">
        <v>1.059509</v>
      </c>
      <c r="L885">
        <v>367.57839999999999</v>
      </c>
      <c r="M885">
        <v>0.99990109999999999</v>
      </c>
      <c r="N885">
        <v>0</v>
      </c>
      <c r="O885">
        <v>-3.0833229999999998E-3</v>
      </c>
      <c r="P885">
        <v>0.9842417</v>
      </c>
      <c r="Q885">
        <v>0.17481340000000001</v>
      </c>
      <c r="R885">
        <v>-2.6625699999999999E-2</v>
      </c>
      <c r="S885">
        <v>3.1622309999999998</v>
      </c>
      <c r="T885">
        <v>-0.74276660000000005</v>
      </c>
      <c r="U885">
        <v>-0.66119380000000005</v>
      </c>
      <c r="V885">
        <v>2.3698839999999999E-2</v>
      </c>
      <c r="W885">
        <v>0.18829499999999999</v>
      </c>
      <c r="X885">
        <v>0.98182650000000005</v>
      </c>
      <c r="Y885">
        <v>0.19659760000000001</v>
      </c>
      <c r="Z885">
        <v>-2.183769E-2</v>
      </c>
      <c r="AA885">
        <v>0.98024109999999998</v>
      </c>
      <c r="AB885">
        <v>42</v>
      </c>
      <c r="AC885">
        <v>0.47280000000000599</v>
      </c>
      <c r="AD885">
        <v>-0.16459869999999999</v>
      </c>
      <c r="AE885">
        <v>-0.14609999999998899</v>
      </c>
      <c r="AF885">
        <v>0.13023310065038901</v>
      </c>
      <c r="AG885">
        <v>-0.16459869999999999</v>
      </c>
      <c r="AH885">
        <v>0.42610622424274702</v>
      </c>
      <c r="AI885">
        <v>110.27506735952301</v>
      </c>
      <c r="AJ885">
        <v>73.004998309670896</v>
      </c>
      <c r="AK885">
        <v>0.47499463879618098</v>
      </c>
      <c r="AL885">
        <v>79.146700506938103</v>
      </c>
      <c r="AM885">
        <v>88.617291444395306</v>
      </c>
      <c r="AN885">
        <v>0.999999959072297</v>
      </c>
    </row>
    <row r="886" spans="1:40" x14ac:dyDescent="0.25">
      <c r="A886" t="str">
        <f>"20190312172911491"</f>
        <v>20190312172911491</v>
      </c>
      <c r="B886" t="str">
        <f>"1552382951487965"</f>
        <v>1552382951487965</v>
      </c>
      <c r="C886" t="s">
        <v>40</v>
      </c>
      <c r="D886">
        <v>3.3096369999999999</v>
      </c>
      <c r="E886">
        <v>0.57866260000000003</v>
      </c>
      <c r="F886" t="s">
        <v>42</v>
      </c>
      <c r="G886">
        <v>-293.4366</v>
      </c>
      <c r="H886">
        <v>0.86389740000000004</v>
      </c>
      <c r="I886">
        <v>367.40379999999999</v>
      </c>
      <c r="J886">
        <v>-293.96069999999997</v>
      </c>
      <c r="K886">
        <v>1.0595209999999999</v>
      </c>
      <c r="L886">
        <v>367.57729999999998</v>
      </c>
      <c r="M886">
        <v>0.99989899999999998</v>
      </c>
      <c r="N886">
        <v>0</v>
      </c>
      <c r="O886">
        <v>-3.2301809999999999E-3</v>
      </c>
      <c r="P886">
        <v>0.98420379999999996</v>
      </c>
      <c r="Q886">
        <v>0.17500009999999999</v>
      </c>
      <c r="R886">
        <v>-2.679231E-2</v>
      </c>
      <c r="S886">
        <v>3.1620180000000002</v>
      </c>
      <c r="T886">
        <v>-0.74257519999999999</v>
      </c>
      <c r="U886">
        <v>-0.66165160000000001</v>
      </c>
      <c r="V886">
        <v>2.3721349999999999E-2</v>
      </c>
      <c r="W886">
        <v>0.18859609999999999</v>
      </c>
      <c r="X886">
        <v>0.98176819999999998</v>
      </c>
      <c r="Y886">
        <v>0.19660859999999999</v>
      </c>
      <c r="Z886">
        <v>-2.1800900000000002E-2</v>
      </c>
      <c r="AA886">
        <v>0.98023959999999999</v>
      </c>
      <c r="AB886">
        <v>42</v>
      </c>
      <c r="AC886">
        <v>0.52409999999997503</v>
      </c>
      <c r="AD886">
        <v>-0.19562359999999901</v>
      </c>
      <c r="AE886">
        <v>-0.173499999999989</v>
      </c>
      <c r="AF886">
        <v>0.15264044447174599</v>
      </c>
      <c r="AG886">
        <v>-0.19562359999999901</v>
      </c>
      <c r="AH886">
        <v>0.466130376504507</v>
      </c>
      <c r="AI886">
        <v>111.743900943558</v>
      </c>
      <c r="AJ886">
        <v>71.868293960182896</v>
      </c>
      <c r="AK886">
        <v>0.52805797604593196</v>
      </c>
      <c r="AL886">
        <v>79.129134414231103</v>
      </c>
      <c r="AM886">
        <v>88.615896454393507</v>
      </c>
      <c r="AN886">
        <v>0.99999999495613601</v>
      </c>
    </row>
    <row r="887" spans="1:40" x14ac:dyDescent="0.25">
      <c r="A887" t="str">
        <f>"20190312172911502"</f>
        <v>20190312172911502</v>
      </c>
      <c r="B887" t="str">
        <f>"1552382951498702"</f>
        <v>1552382951498702</v>
      </c>
      <c r="C887" t="s">
        <v>40</v>
      </c>
      <c r="D887">
        <v>3.2994129999999999</v>
      </c>
      <c r="E887">
        <v>0.54579290000000003</v>
      </c>
      <c r="F887" t="s">
        <v>42</v>
      </c>
      <c r="G887">
        <v>-293.0693</v>
      </c>
      <c r="H887">
        <v>0.85055919999999896</v>
      </c>
      <c r="I887">
        <v>367.39019999999999</v>
      </c>
      <c r="J887">
        <v>-293.7491</v>
      </c>
      <c r="K887">
        <v>1.0595250000000001</v>
      </c>
      <c r="L887">
        <v>367.57659999999998</v>
      </c>
      <c r="M887">
        <v>0.99989749999999999</v>
      </c>
      <c r="N887">
        <v>0</v>
      </c>
      <c r="O887">
        <v>-3.3309939999999999E-3</v>
      </c>
      <c r="P887">
        <v>0.98417030000000005</v>
      </c>
      <c r="Q887">
        <v>0.17518979999999901</v>
      </c>
      <c r="R887">
        <v>-2.6788960000000001E-2</v>
      </c>
      <c r="S887">
        <v>3.1619259999999998</v>
      </c>
      <c r="T887">
        <v>-0.74135899999999999</v>
      </c>
      <c r="U887">
        <v>-0.66229249999999995</v>
      </c>
      <c r="V887">
        <v>2.3618730000000001E-2</v>
      </c>
      <c r="W887">
        <v>0.1888621</v>
      </c>
      <c r="X887">
        <v>0.98171960000000003</v>
      </c>
      <c r="Y887">
        <v>0.19672190000000001</v>
      </c>
      <c r="Z887">
        <v>-2.175616E-2</v>
      </c>
      <c r="AA887">
        <v>0.98021789999999998</v>
      </c>
      <c r="AB887">
        <v>42</v>
      </c>
      <c r="AC887">
        <v>0.67979999999999996</v>
      </c>
      <c r="AD887">
        <v>-0.20896580000000001</v>
      </c>
      <c r="AE887">
        <v>-0.18639999999999099</v>
      </c>
      <c r="AF887">
        <v>0.169259314706981</v>
      </c>
      <c r="AG887">
        <v>-0.20896580000000001</v>
      </c>
      <c r="AH887">
        <v>0.62545068320663499</v>
      </c>
      <c r="AI887">
        <v>107.874704017398</v>
      </c>
      <c r="AJ887">
        <v>74.857333093023598</v>
      </c>
      <c r="AK887">
        <v>0.68081126482187604</v>
      </c>
      <c r="AL887">
        <v>79.113615500361405</v>
      </c>
      <c r="AM887">
        <v>88.621813658823797</v>
      </c>
      <c r="AN887">
        <v>1.0000000551236901</v>
      </c>
    </row>
    <row r="888" spans="1:40" x14ac:dyDescent="0.25">
      <c r="A888" t="str">
        <f>"20190312172911513"</f>
        <v>20190312172911513</v>
      </c>
      <c r="B888" t="str">
        <f>"1552382951508461"</f>
        <v>1552382951508461</v>
      </c>
      <c r="C888" t="s">
        <v>40</v>
      </c>
      <c r="D888">
        <v>3.2779340000000001</v>
      </c>
      <c r="E888">
        <v>0.5403017</v>
      </c>
      <c r="F888" t="s">
        <v>42</v>
      </c>
      <c r="G888">
        <v>-293.02980000000002</v>
      </c>
      <c r="H888">
        <v>0.94232990000000005</v>
      </c>
      <c r="I888">
        <v>367.48219999999998</v>
      </c>
      <c r="J888">
        <v>-293.54989999999998</v>
      </c>
      <c r="K888">
        <v>1.0595330000000001</v>
      </c>
      <c r="L888">
        <v>367.57589999999999</v>
      </c>
      <c r="M888">
        <v>0.99989640000000002</v>
      </c>
      <c r="N888">
        <v>0</v>
      </c>
      <c r="O888">
        <v>-3.4260330000000002E-3</v>
      </c>
      <c r="P888">
        <v>0.98418410000000001</v>
      </c>
      <c r="Q888">
        <v>0.1750922</v>
      </c>
      <c r="R888">
        <v>-2.6920929999999999E-2</v>
      </c>
      <c r="S888">
        <v>3.1278990000000002</v>
      </c>
      <c r="T888">
        <v>-0.50995519999999905</v>
      </c>
      <c r="U888">
        <v>-0.40872190000000003</v>
      </c>
      <c r="V888">
        <v>2.3657089999999999E-2</v>
      </c>
      <c r="W888">
        <v>0.188834</v>
      </c>
      <c r="X888">
        <v>0.98172400000000004</v>
      </c>
      <c r="Y888">
        <v>0.1245971</v>
      </c>
      <c r="Z888">
        <v>-9.4956970000000009E-3</v>
      </c>
      <c r="AA888">
        <v>0.99216199999999999</v>
      </c>
      <c r="AB888">
        <v>42</v>
      </c>
      <c r="AC888">
        <v>0.52009999999995604</v>
      </c>
      <c r="AD888">
        <v>-0.11720309999999901</v>
      </c>
      <c r="AE888">
        <v>-9.3700000000012496E-2</v>
      </c>
      <c r="AF888">
        <v>8.7608378622282601E-2</v>
      </c>
      <c r="AG888">
        <v>-0.11720309999999901</v>
      </c>
      <c r="AH888">
        <v>0.49602119880199702</v>
      </c>
      <c r="AI888">
        <v>103.098788106681</v>
      </c>
      <c r="AJ888">
        <v>79.983593449765806</v>
      </c>
      <c r="AK888">
        <v>0.51715454587135301</v>
      </c>
      <c r="AL888">
        <v>79.115254127771195</v>
      </c>
      <c r="AM888">
        <v>88.619582348444993</v>
      </c>
      <c r="AN888">
        <v>0.99999997481963299</v>
      </c>
    </row>
    <row r="889" spans="1:40" x14ac:dyDescent="0.25">
      <c r="A889" t="str">
        <f>"20190312172911525"</f>
        <v>20190312172911525</v>
      </c>
      <c r="B889" t="str">
        <f>"1552382951518221"</f>
        <v>1552382951518221</v>
      </c>
      <c r="C889" t="s">
        <v>40</v>
      </c>
      <c r="D889">
        <v>3.2351640000000002</v>
      </c>
      <c r="E889">
        <v>0.53594509999999995</v>
      </c>
      <c r="F889" t="s">
        <v>42</v>
      </c>
      <c r="G889">
        <v>-292.66300000000001</v>
      </c>
      <c r="H889">
        <v>0.93164659999999999</v>
      </c>
      <c r="I889">
        <v>367.47109999999998</v>
      </c>
      <c r="J889">
        <v>-293.3381</v>
      </c>
      <c r="K889">
        <v>1.059542</v>
      </c>
      <c r="L889">
        <v>367.57510000000002</v>
      </c>
      <c r="M889">
        <v>0.99989490000000003</v>
      </c>
      <c r="N889">
        <v>0</v>
      </c>
      <c r="O889">
        <v>-3.5270620000000001E-3</v>
      </c>
      <c r="P889">
        <v>0.98419299999999998</v>
      </c>
      <c r="Q889">
        <v>0.1750533</v>
      </c>
      <c r="R889">
        <v>-2.6851529999999998E-2</v>
      </c>
      <c r="S889">
        <v>3.1181950000000001</v>
      </c>
      <c r="T889">
        <v>-0.4498799</v>
      </c>
      <c r="U889">
        <v>-0.3673401</v>
      </c>
      <c r="V889">
        <v>2.348803E-2</v>
      </c>
      <c r="W889">
        <v>0.1888686</v>
      </c>
      <c r="X889">
        <v>0.98172139999999997</v>
      </c>
      <c r="Y889">
        <v>0.1123808</v>
      </c>
      <c r="Z889">
        <v>-7.5332380000000003E-3</v>
      </c>
      <c r="AA889">
        <v>0.99363670000000004</v>
      </c>
      <c r="AB889">
        <v>42</v>
      </c>
      <c r="AC889">
        <v>0.67509999999998604</v>
      </c>
      <c r="AD889">
        <v>-0.12789539999999999</v>
      </c>
      <c r="AE889">
        <v>-0.104000000000041</v>
      </c>
      <c r="AF889">
        <v>9.8176136527005603E-2</v>
      </c>
      <c r="AG889">
        <v>-0.12789539999999999</v>
      </c>
      <c r="AH889">
        <v>0.65258433295524398</v>
      </c>
      <c r="AI889">
        <v>100.968072290877</v>
      </c>
      <c r="AJ889">
        <v>81.444464726775095</v>
      </c>
      <c r="AK889">
        <v>0.67220688686086105</v>
      </c>
      <c r="AL889">
        <v>79.113235330084393</v>
      </c>
      <c r="AM889">
        <v>88.629439783836901</v>
      </c>
      <c r="AN889">
        <v>0.99999997141859998</v>
      </c>
    </row>
    <row r="890" spans="1:40" x14ac:dyDescent="0.25">
      <c r="A890" t="str">
        <f>"20190312172911535"</f>
        <v>20190312172911535</v>
      </c>
      <c r="B890" t="str">
        <f>"1552382951527981"</f>
        <v>1552382951527981</v>
      </c>
      <c r="C890" t="s">
        <v>40</v>
      </c>
      <c r="D890">
        <v>3.2282649999999999</v>
      </c>
      <c r="E890">
        <v>0.5318773</v>
      </c>
      <c r="F890" t="s">
        <v>42</v>
      </c>
      <c r="G890">
        <v>-292.29599999999999</v>
      </c>
      <c r="H890">
        <v>0.92222990000000005</v>
      </c>
      <c r="I890">
        <v>367.46289999999999</v>
      </c>
      <c r="J890">
        <v>-293.13060000000002</v>
      </c>
      <c r="K890">
        <v>1.0595479999999999</v>
      </c>
      <c r="L890">
        <v>367.57420000000002</v>
      </c>
      <c r="M890">
        <v>0.99989349999999999</v>
      </c>
      <c r="N890">
        <v>0</v>
      </c>
      <c r="O890">
        <v>-3.6254389999999998E-3</v>
      </c>
      <c r="P890">
        <v>0.98416380000000003</v>
      </c>
      <c r="Q890">
        <v>0.175201</v>
      </c>
      <c r="R890">
        <v>-2.6948340000000001E-2</v>
      </c>
      <c r="S890">
        <v>3.1120299999999999</v>
      </c>
      <c r="T890">
        <v>-0.4101803</v>
      </c>
      <c r="U890">
        <v>-0.33416750000000001</v>
      </c>
      <c r="V890">
        <v>2.348861E-2</v>
      </c>
      <c r="W890">
        <v>0.18908349999999999</v>
      </c>
      <c r="X890">
        <v>0.98168</v>
      </c>
      <c r="Y890">
        <v>0.102316</v>
      </c>
      <c r="Z890">
        <v>-6.2203639999999999E-3</v>
      </c>
      <c r="AA890">
        <v>0.99473250000000002</v>
      </c>
      <c r="AB890">
        <v>42</v>
      </c>
      <c r="AC890">
        <v>0.83460000000002299</v>
      </c>
      <c r="AD890">
        <v>-0.137318099999999</v>
      </c>
      <c r="AE890">
        <v>-0.111300000000028</v>
      </c>
      <c r="AF890">
        <v>0.105467975279095</v>
      </c>
      <c r="AG890">
        <v>-0.137318099999999</v>
      </c>
      <c r="AH890">
        <v>0.81336448900511404</v>
      </c>
      <c r="AI890">
        <v>99.504624526647902</v>
      </c>
      <c r="AJ890">
        <v>82.611751174647097</v>
      </c>
      <c r="AK890">
        <v>0.83158977048279803</v>
      </c>
      <c r="AL890">
        <v>79.100696342190005</v>
      </c>
      <c r="AM890">
        <v>88.629348173447099</v>
      </c>
      <c r="AN890">
        <v>0.99999995358599003</v>
      </c>
    </row>
    <row r="891" spans="1:40" x14ac:dyDescent="0.25">
      <c r="A891" t="str">
        <f>"20190312172911546"</f>
        <v>20190312172911546</v>
      </c>
      <c r="B891" t="str">
        <f>"1552382951538718"</f>
        <v>1552382951538718</v>
      </c>
      <c r="C891" t="s">
        <v>40</v>
      </c>
      <c r="D891">
        <v>3.2072660000000002</v>
      </c>
      <c r="E891">
        <v>0.52936939999999999</v>
      </c>
      <c r="F891" t="s">
        <v>42</v>
      </c>
      <c r="G891">
        <v>-292.27870000000001</v>
      </c>
      <c r="H891">
        <v>0.95784800000000003</v>
      </c>
      <c r="I891">
        <v>367.4907</v>
      </c>
      <c r="J891">
        <v>-292.93259999999998</v>
      </c>
      <c r="K891">
        <v>1.059552</v>
      </c>
      <c r="L891">
        <v>367.57350000000002</v>
      </c>
      <c r="M891">
        <v>0.99989240000000001</v>
      </c>
      <c r="N891">
        <v>0</v>
      </c>
      <c r="O891">
        <v>-3.7196120000000002E-3</v>
      </c>
      <c r="P891">
        <v>0.98411979999999999</v>
      </c>
      <c r="Q891">
        <v>0.17543439999999999</v>
      </c>
      <c r="R891">
        <v>-2.7042170000000001E-2</v>
      </c>
      <c r="S891">
        <v>3.105988</v>
      </c>
      <c r="T891">
        <v>-0.37094519999999997</v>
      </c>
      <c r="U891">
        <v>-0.30337520000000001</v>
      </c>
      <c r="V891">
        <v>2.3490170000000001E-2</v>
      </c>
      <c r="W891">
        <v>0.18937989999999999</v>
      </c>
      <c r="X891">
        <v>0.98162289999999996</v>
      </c>
      <c r="Y891">
        <v>9.2881080000000005E-2</v>
      </c>
      <c r="Z891">
        <v>-5.0720909999999999E-3</v>
      </c>
      <c r="AA891">
        <v>0.99566429999999995</v>
      </c>
      <c r="AB891">
        <v>42</v>
      </c>
      <c r="AC891">
        <v>0.65389999999996395</v>
      </c>
      <c r="AD891">
        <v>-0.101704</v>
      </c>
      <c r="AE891">
        <v>-8.2800000000020094E-2</v>
      </c>
      <c r="AF891">
        <v>7.8497952677987606E-2</v>
      </c>
      <c r="AG891">
        <v>-0.101704</v>
      </c>
      <c r="AH891">
        <v>0.63898964384145995</v>
      </c>
      <c r="AI891">
        <v>98.977180133342998</v>
      </c>
      <c r="AJ891">
        <v>82.9964763787641</v>
      </c>
      <c r="AK891">
        <v>0.65177710693708202</v>
      </c>
      <c r="AL891">
        <v>79.083402197688699</v>
      </c>
      <c r="AM891">
        <v>88.629177471820299</v>
      </c>
      <c r="AN891">
        <v>1.0000000262075199</v>
      </c>
    </row>
    <row r="892" spans="1:40" x14ac:dyDescent="0.25">
      <c r="A892" t="str">
        <f>"20190312172911557"</f>
        <v>20190312172911557</v>
      </c>
      <c r="B892" t="str">
        <f>"1552382951548478"</f>
        <v>1552382951548478</v>
      </c>
      <c r="C892" t="s">
        <v>40</v>
      </c>
      <c r="D892">
        <v>3.2362649999999999</v>
      </c>
      <c r="E892">
        <v>0.52734490000000001</v>
      </c>
      <c r="F892" t="s">
        <v>42</v>
      </c>
      <c r="G892">
        <v>-291.9135</v>
      </c>
      <c r="H892">
        <v>0.94563839999999999</v>
      </c>
      <c r="I892">
        <v>367.47989999999999</v>
      </c>
      <c r="J892">
        <v>-292.72480000000002</v>
      </c>
      <c r="K892">
        <v>1.0595589999999999</v>
      </c>
      <c r="L892">
        <v>367.57260000000002</v>
      </c>
      <c r="M892">
        <v>0.99989099999999997</v>
      </c>
      <c r="N892">
        <v>0</v>
      </c>
      <c r="O892">
        <v>-3.8180739999999999E-3</v>
      </c>
      <c r="P892">
        <v>0.98416170000000003</v>
      </c>
      <c r="Q892">
        <v>0.17520769999999999</v>
      </c>
      <c r="R892">
        <v>-2.698563E-2</v>
      </c>
      <c r="S892">
        <v>3.102417</v>
      </c>
      <c r="T892">
        <v>-0.34690379999999998</v>
      </c>
      <c r="U892">
        <v>-0.28433229999999998</v>
      </c>
      <c r="V892">
        <v>2.333636E-2</v>
      </c>
      <c r="W892">
        <v>0.18921740000000001</v>
      </c>
      <c r="X892">
        <v>0.98165789999999997</v>
      </c>
      <c r="Y892">
        <v>8.6949199999999893E-2</v>
      </c>
      <c r="Z892">
        <v>-4.411328E-3</v>
      </c>
      <c r="AA892">
        <v>0.99620299999999995</v>
      </c>
      <c r="AB892">
        <v>42</v>
      </c>
      <c r="AC892">
        <v>0.81130000000001701</v>
      </c>
      <c r="AD892">
        <v>-0.113920599999999</v>
      </c>
      <c r="AE892">
        <v>-9.2700000000036198E-2</v>
      </c>
      <c r="AF892">
        <v>8.7890793001643902E-2</v>
      </c>
      <c r="AG892">
        <v>-0.113920599999999</v>
      </c>
      <c r="AH892">
        <v>0.79615259187894305</v>
      </c>
      <c r="AI892">
        <v>98.094597979013699</v>
      </c>
      <c r="AJ892">
        <v>83.700374795658703</v>
      </c>
      <c r="AK892">
        <v>0.80904984034012195</v>
      </c>
      <c r="AL892">
        <v>79.092884147288999</v>
      </c>
      <c r="AM892">
        <v>88.638198551373193</v>
      </c>
      <c r="AN892">
        <v>1.0000000213966</v>
      </c>
    </row>
    <row r="893" spans="1:40" x14ac:dyDescent="0.25">
      <c r="A893" t="str">
        <f>"20190312172911568"</f>
        <v>20190312172911568</v>
      </c>
      <c r="B893" t="str">
        <f>"1552382951558238"</f>
        <v>1552382951558238</v>
      </c>
      <c r="C893" t="s">
        <v>40</v>
      </c>
      <c r="D893">
        <v>3.2305760000000001</v>
      </c>
      <c r="E893">
        <v>0.52595899999999995</v>
      </c>
      <c r="F893" t="s">
        <v>42</v>
      </c>
      <c r="G893">
        <v>-291.90019999999998</v>
      </c>
      <c r="H893">
        <v>0.97249770000000002</v>
      </c>
      <c r="I893">
        <v>367.5009</v>
      </c>
      <c r="J893">
        <v>-292.51479999999998</v>
      </c>
      <c r="K893">
        <v>1.05957099999999</v>
      </c>
      <c r="L893">
        <v>367.57170000000002</v>
      </c>
      <c r="M893">
        <v>0.9998899</v>
      </c>
      <c r="N893">
        <v>0</v>
      </c>
      <c r="O893">
        <v>-3.9178329999999999E-3</v>
      </c>
      <c r="P893">
        <v>0.98419429999999997</v>
      </c>
      <c r="Q893">
        <v>0.17505979999999999</v>
      </c>
      <c r="R893">
        <v>-2.6759069999999999E-2</v>
      </c>
      <c r="S893">
        <v>3.0991520000000001</v>
      </c>
      <c r="T893">
        <v>-0.32733889999999999</v>
      </c>
      <c r="U893">
        <v>-0.26876830000000002</v>
      </c>
      <c r="V893">
        <v>2.3011460000000001E-2</v>
      </c>
      <c r="W893">
        <v>0.18913079999999999</v>
      </c>
      <c r="X893">
        <v>0.98168219999999995</v>
      </c>
      <c r="Y893">
        <v>8.2063230000000001E-2</v>
      </c>
      <c r="Z893">
        <v>-3.9018770000000002E-3</v>
      </c>
      <c r="AA893">
        <v>0.99661949999999999</v>
      </c>
      <c r="AB893">
        <v>42</v>
      </c>
      <c r="AC893">
        <v>0.61459999999999504</v>
      </c>
      <c r="AD893">
        <v>-8.7073299999999895E-2</v>
      </c>
      <c r="AE893">
        <v>-7.0800000000019694E-2</v>
      </c>
      <c r="AF893">
        <v>6.7062870409938205E-2</v>
      </c>
      <c r="AG893">
        <v>-8.7073299999999895E-2</v>
      </c>
      <c r="AH893">
        <v>0.60292934756591099</v>
      </c>
      <c r="AI893">
        <v>98.167988814285707</v>
      </c>
      <c r="AJ893">
        <v>83.653169780793903</v>
      </c>
      <c r="AK893">
        <v>0.612864574206052</v>
      </c>
      <c r="AL893">
        <v>79.097936571739396</v>
      </c>
      <c r="AM893">
        <v>88.657184441200798</v>
      </c>
      <c r="AN893">
        <v>0.99999996429840499</v>
      </c>
    </row>
    <row r="894" spans="1:40" x14ac:dyDescent="0.25">
      <c r="A894" t="str">
        <f>"20190312172911579"</f>
        <v>20190312172911579</v>
      </c>
      <c r="B894" t="str">
        <f>"1552382951568662"</f>
        <v>1552382951568662</v>
      </c>
      <c r="C894" t="s">
        <v>40</v>
      </c>
      <c r="D894">
        <v>3.2116690000000001</v>
      </c>
      <c r="E894">
        <v>0.52484589999999998</v>
      </c>
      <c r="F894" t="s">
        <v>42</v>
      </c>
      <c r="G894">
        <v>-291.53539999999998</v>
      </c>
      <c r="H894">
        <v>0.96058209999999999</v>
      </c>
      <c r="I894">
        <v>367.48989999999998</v>
      </c>
      <c r="J894">
        <v>-292.31220000000002</v>
      </c>
      <c r="K894">
        <v>1.0595749999999999</v>
      </c>
      <c r="L894">
        <v>367.57080000000002</v>
      </c>
      <c r="M894">
        <v>0.99988849999999996</v>
      </c>
      <c r="N894">
        <v>0</v>
      </c>
      <c r="O894">
        <v>-4.0136209999999898E-3</v>
      </c>
      <c r="P894">
        <v>0.98418530000000004</v>
      </c>
      <c r="Q894">
        <v>0.1750872</v>
      </c>
      <c r="R894">
        <v>-2.6909599999999999E-2</v>
      </c>
      <c r="S894">
        <v>3.096924</v>
      </c>
      <c r="T894">
        <v>-0.31325829999999999</v>
      </c>
      <c r="U894">
        <v>-0.25775150000000002</v>
      </c>
      <c r="V894">
        <v>2.306772E-2</v>
      </c>
      <c r="W894">
        <v>0.1892142</v>
      </c>
      <c r="X894">
        <v>0.9816648</v>
      </c>
      <c r="Y894">
        <v>7.8562820000000005E-2</v>
      </c>
      <c r="Z894">
        <v>-3.5521900000000002E-3</v>
      </c>
      <c r="AA894">
        <v>0.99690279999999998</v>
      </c>
      <c r="AB894">
        <v>41</v>
      </c>
      <c r="AC894">
        <v>0.77680000000003602</v>
      </c>
      <c r="AD894">
        <v>-9.8992899999999898E-2</v>
      </c>
      <c r="AE894">
        <v>-8.0900000000042299E-2</v>
      </c>
      <c r="AF894">
        <v>7.6551379490839996E-2</v>
      </c>
      <c r="AG894">
        <v>-9.8992899999999898E-2</v>
      </c>
      <c r="AH894">
        <v>0.76483079626282202</v>
      </c>
      <c r="AI894">
        <v>97.338592326938794</v>
      </c>
      <c r="AJ894">
        <v>84.2843410175484</v>
      </c>
      <c r="AK894">
        <v>0.77500055152521297</v>
      </c>
      <c r="AL894">
        <v>79.093070148871305</v>
      </c>
      <c r="AM894">
        <v>88.653878789040803</v>
      </c>
      <c r="AN894">
        <v>0.99999995637333805</v>
      </c>
    </row>
    <row r="895" spans="1:40" x14ac:dyDescent="0.25">
      <c r="A895" t="str">
        <f>"20190312172911591"</f>
        <v>20190312172911591</v>
      </c>
      <c r="B895" t="str">
        <f>"1552382951588182"</f>
        <v>1552382951588182</v>
      </c>
      <c r="C895" t="s">
        <v>40</v>
      </c>
      <c r="D895">
        <v>3.1926890000000001</v>
      </c>
      <c r="E895">
        <v>0.52355560000000001</v>
      </c>
      <c r="F895" t="s">
        <v>42</v>
      </c>
      <c r="G895">
        <v>-291.52429999999998</v>
      </c>
      <c r="H895">
        <v>0.98288929999999997</v>
      </c>
      <c r="I895">
        <v>367.50689999999997</v>
      </c>
      <c r="J895">
        <v>-292.11489999999998</v>
      </c>
      <c r="K895">
        <v>1.05958</v>
      </c>
      <c r="L895">
        <v>367.57</v>
      </c>
      <c r="M895">
        <v>0.99988750000000004</v>
      </c>
      <c r="N895">
        <v>0</v>
      </c>
      <c r="O895">
        <v>-4.1074639999999999E-3</v>
      </c>
      <c r="P895">
        <v>0.98423269999999996</v>
      </c>
      <c r="Q895">
        <v>0.17481569999999999</v>
      </c>
      <c r="R895">
        <v>-2.693775E-2</v>
      </c>
      <c r="S895">
        <v>3.0950319999999998</v>
      </c>
      <c r="T895">
        <v>-0.30154109999999901</v>
      </c>
      <c r="U895">
        <v>-0.24996950000000001</v>
      </c>
      <c r="V895">
        <v>2.3003450000000002E-2</v>
      </c>
      <c r="W895">
        <v>0.18899460000000001</v>
      </c>
      <c r="X895">
        <v>0.98170860000000004</v>
      </c>
      <c r="Y895">
        <v>7.6068910000000003E-2</v>
      </c>
      <c r="Z895">
        <v>-3.2922670000000002E-3</v>
      </c>
      <c r="AA895">
        <v>0.99709709999999996</v>
      </c>
      <c r="AB895">
        <v>41</v>
      </c>
      <c r="AC895">
        <v>0.59059999999999402</v>
      </c>
      <c r="AD895">
        <v>-7.6690699999999903E-2</v>
      </c>
      <c r="AE895">
        <v>-6.3100000000019904E-2</v>
      </c>
      <c r="AF895">
        <v>5.9678430540666898E-2</v>
      </c>
      <c r="AG895">
        <v>-7.6690699999999903E-2</v>
      </c>
      <c r="AH895">
        <v>0.58116544780523804</v>
      </c>
      <c r="AI895">
        <v>97.478451041347697</v>
      </c>
      <c r="AJ895">
        <v>84.136989596373596</v>
      </c>
      <c r="AK895">
        <v>0.58923361772810401</v>
      </c>
      <c r="AL895">
        <v>79.105883384317096</v>
      </c>
      <c r="AM895">
        <v>88.657687772444206</v>
      </c>
      <c r="AN895">
        <v>0.999999946427509</v>
      </c>
    </row>
    <row r="896" spans="1:40" x14ac:dyDescent="0.25">
      <c r="A896" t="str">
        <f>"20190312172911601"</f>
        <v>20190312172911601</v>
      </c>
      <c r="B896" t="str">
        <f>"1552382951597941"</f>
        <v>1552382951597941</v>
      </c>
      <c r="C896" t="s">
        <v>40</v>
      </c>
      <c r="D896">
        <v>3.1730870000000002</v>
      </c>
      <c r="E896">
        <v>0.52317539999999996</v>
      </c>
      <c r="F896" t="s">
        <v>42</v>
      </c>
      <c r="G896">
        <v>-291.15960000000001</v>
      </c>
      <c r="H896">
        <v>0.97158120000000003</v>
      </c>
      <c r="I896">
        <v>367.49549999999999</v>
      </c>
      <c r="J896">
        <v>-291.90629999999999</v>
      </c>
      <c r="K896">
        <v>1.0595889999999999</v>
      </c>
      <c r="L896">
        <v>367.56900000000002</v>
      </c>
      <c r="M896">
        <v>0.99988619999999995</v>
      </c>
      <c r="N896">
        <v>0</v>
      </c>
      <c r="O896">
        <v>-4.2063220000000002E-3</v>
      </c>
      <c r="P896">
        <v>0.98424820000000002</v>
      </c>
      <c r="Q896">
        <v>0.17473659999999999</v>
      </c>
      <c r="R896">
        <v>-2.6888570000000001E-2</v>
      </c>
      <c r="S896">
        <v>3.0920719999999999</v>
      </c>
      <c r="T896">
        <v>-0.28504610000000002</v>
      </c>
      <c r="U896">
        <v>-0.24023439999999999</v>
      </c>
      <c r="V896">
        <v>2.2856720000000001E-2</v>
      </c>
      <c r="W896">
        <v>0.18896789999999999</v>
      </c>
      <c r="X896">
        <v>0.98171719999999896</v>
      </c>
      <c r="Y896">
        <v>7.2975609999999996E-2</v>
      </c>
      <c r="Z896">
        <v>-2.9651460000000001E-3</v>
      </c>
      <c r="AA896">
        <v>0.99732929999999997</v>
      </c>
      <c r="AB896">
        <v>41</v>
      </c>
      <c r="AC896">
        <v>0.74669999999997505</v>
      </c>
      <c r="AD896">
        <v>-8.8007799999999803E-2</v>
      </c>
      <c r="AE896">
        <v>-7.3500000000024102E-2</v>
      </c>
      <c r="AF896">
        <v>6.9403293284342499E-2</v>
      </c>
      <c r="AG896">
        <v>-8.8007799999999803E-2</v>
      </c>
      <c r="AH896">
        <v>0.73686464133421803</v>
      </c>
      <c r="AI896">
        <v>96.781156266793403</v>
      </c>
      <c r="AJ896">
        <v>84.619338645371599</v>
      </c>
      <c r="AK896">
        <v>0.74533998257718503</v>
      </c>
      <c r="AL896">
        <v>79.107441610667706</v>
      </c>
      <c r="AM896">
        <v>88.666258433515196</v>
      </c>
      <c r="AN896">
        <v>0.99999997882770297</v>
      </c>
    </row>
    <row r="897" spans="1:40" x14ac:dyDescent="0.25">
      <c r="A897" t="str">
        <f>"20190312172911613"</f>
        <v>20190312172911613</v>
      </c>
      <c r="B897" t="str">
        <f>"1552382951608678"</f>
        <v>1552382951608678</v>
      </c>
      <c r="C897" t="s">
        <v>40</v>
      </c>
      <c r="D897">
        <v>3.1835079999999998</v>
      </c>
      <c r="E897">
        <v>0.52277019999999996</v>
      </c>
      <c r="F897" t="s">
        <v>42</v>
      </c>
      <c r="G897">
        <v>-291.14980000000003</v>
      </c>
      <c r="H897">
        <v>0.99113169999999995</v>
      </c>
      <c r="I897">
        <v>367.51069999999999</v>
      </c>
      <c r="J897">
        <v>-291.6918</v>
      </c>
      <c r="K897">
        <v>1.0595950000000001</v>
      </c>
      <c r="L897">
        <v>367.56799999999998</v>
      </c>
      <c r="M897">
        <v>0.99988509999999997</v>
      </c>
      <c r="N897">
        <v>0</v>
      </c>
      <c r="O897">
        <v>-4.3083710000000001E-3</v>
      </c>
      <c r="P897">
        <v>0.98425720000000005</v>
      </c>
      <c r="Q897">
        <v>0.1746683</v>
      </c>
      <c r="R897">
        <v>-2.7002229999999999E-2</v>
      </c>
      <c r="S897">
        <v>3.091278</v>
      </c>
      <c r="T897">
        <v>-0.27996929999999998</v>
      </c>
      <c r="U897">
        <v>-0.2372437</v>
      </c>
      <c r="V897">
        <v>2.2869819999999999E-2</v>
      </c>
      <c r="W897">
        <v>0.18894820000000001</v>
      </c>
      <c r="X897">
        <v>0.9817207</v>
      </c>
      <c r="Y897">
        <v>7.1949020000000002E-2</v>
      </c>
      <c r="Z897">
        <v>-2.8578660000000001E-3</v>
      </c>
      <c r="AA897">
        <v>0.99740419999999996</v>
      </c>
      <c r="AB897">
        <v>41</v>
      </c>
      <c r="AC897">
        <v>0.54199999999997295</v>
      </c>
      <c r="AD897">
        <v>-6.8463300000000102E-2</v>
      </c>
      <c r="AE897">
        <v>-5.7300000000054703E-2</v>
      </c>
      <c r="AF897">
        <v>5.4110257771108103E-2</v>
      </c>
      <c r="AG897">
        <v>-6.8463300000000102E-2</v>
      </c>
      <c r="AH897">
        <v>0.53381853631479803</v>
      </c>
      <c r="AI897">
        <v>97.271542802194801</v>
      </c>
      <c r="AJ897">
        <v>84.212010405536702</v>
      </c>
      <c r="AK897">
        <v>0.54090421809800904</v>
      </c>
      <c r="AL897">
        <v>79.108591188300693</v>
      </c>
      <c r="AM897">
        <v>88.665499051107403</v>
      </c>
      <c r="AN897">
        <v>0.99999999187928101</v>
      </c>
    </row>
    <row r="898" spans="1:40" x14ac:dyDescent="0.25">
      <c r="A898" t="str">
        <f>"20190312172911625"</f>
        <v>20190312172911625</v>
      </c>
      <c r="B898" t="str">
        <f>"1552382951618438"</f>
        <v>1552382951618438</v>
      </c>
      <c r="C898" t="s">
        <v>40</v>
      </c>
      <c r="D898">
        <v>3.1792899999999999</v>
      </c>
      <c r="E898">
        <v>0.52250220000000003</v>
      </c>
      <c r="F898" t="s">
        <v>42</v>
      </c>
      <c r="G898">
        <v>-290.786</v>
      </c>
      <c r="H898">
        <v>0.97908819999999996</v>
      </c>
      <c r="I898">
        <v>367.49880000000002</v>
      </c>
      <c r="J898">
        <v>-291.48410000000001</v>
      </c>
      <c r="K898">
        <v>1.059599</v>
      </c>
      <c r="L898">
        <v>367.56709999999998</v>
      </c>
      <c r="M898">
        <v>0.99988390000000005</v>
      </c>
      <c r="N898">
        <v>0</v>
      </c>
      <c r="O898">
        <v>-4.4070610000000003E-3</v>
      </c>
      <c r="P898">
        <v>0.98423769999999999</v>
      </c>
      <c r="Q898">
        <v>0.1747592</v>
      </c>
      <c r="R898">
        <v>-2.711964E-2</v>
      </c>
      <c r="S898">
        <v>3.0903019999999999</v>
      </c>
      <c r="T898">
        <v>-0.27499059999999997</v>
      </c>
      <c r="U898">
        <v>-0.2350159</v>
      </c>
      <c r="V898">
        <v>2.289018E-2</v>
      </c>
      <c r="W898">
        <v>0.18908449999999999</v>
      </c>
      <c r="X898">
        <v>0.98169399999999996</v>
      </c>
      <c r="Y898">
        <v>7.1172669999999993E-2</v>
      </c>
      <c r="Z898">
        <v>-2.7650249999999999E-3</v>
      </c>
      <c r="AA898">
        <v>0.99746020000000002</v>
      </c>
      <c r="AB898">
        <v>41</v>
      </c>
      <c r="AC898">
        <v>0.69810000000001005</v>
      </c>
      <c r="AD898">
        <v>-8.0510799999999993E-2</v>
      </c>
      <c r="AE898">
        <v>-6.8299999999965097E-2</v>
      </c>
      <c r="AF898">
        <v>6.4374337252736794E-2</v>
      </c>
      <c r="AG898">
        <v>-8.0510799999999993E-2</v>
      </c>
      <c r="AH898">
        <v>0.68931286898032795</v>
      </c>
      <c r="AI898">
        <v>96.6332799451542</v>
      </c>
      <c r="AJ898">
        <v>84.664671160194999</v>
      </c>
      <c r="AK898">
        <v>0.69697795916030203</v>
      </c>
      <c r="AL898">
        <v>79.100638605870799</v>
      </c>
      <c r="AM898">
        <v>88.664275118762902</v>
      </c>
      <c r="AN898">
        <v>1.0000000090583401</v>
      </c>
    </row>
    <row r="899" spans="1:40" x14ac:dyDescent="0.25">
      <c r="A899" t="str">
        <f>"20190312172911636"</f>
        <v>20190312172911636</v>
      </c>
      <c r="B899" t="str">
        <f>"1552382951628198"</f>
        <v>1552382951628198</v>
      </c>
      <c r="C899" t="s">
        <v>40</v>
      </c>
      <c r="D899">
        <v>3.163195</v>
      </c>
      <c r="E899">
        <v>0.52227259999999998</v>
      </c>
      <c r="F899" t="s">
        <v>42</v>
      </c>
      <c r="G899">
        <v>-290.423</v>
      </c>
      <c r="H899">
        <v>0.96611119999999995</v>
      </c>
      <c r="I899">
        <v>367.48689999999999</v>
      </c>
      <c r="J899">
        <v>-291.27710000000002</v>
      </c>
      <c r="K899">
        <v>1.059604</v>
      </c>
      <c r="L899">
        <v>367.56610000000001</v>
      </c>
      <c r="M899">
        <v>0.99988299999999997</v>
      </c>
      <c r="N899">
        <v>0</v>
      </c>
      <c r="O899">
        <v>-4.5060689999999997E-3</v>
      </c>
      <c r="P899">
        <v>0.98420560000000001</v>
      </c>
      <c r="Q899">
        <v>0.17493010000000001</v>
      </c>
      <c r="R899">
        <v>-2.7184690000000001E-2</v>
      </c>
      <c r="S899">
        <v>3.089966</v>
      </c>
      <c r="T899">
        <v>-0.27231480000000002</v>
      </c>
      <c r="U899">
        <v>-0.2330933</v>
      </c>
      <c r="V899">
        <v>2.2857990000000002E-2</v>
      </c>
      <c r="W899">
        <v>0.18929560000000001</v>
      </c>
      <c r="X899">
        <v>0.98165400000000003</v>
      </c>
      <c r="Y899">
        <v>7.0473079999999994E-2</v>
      </c>
      <c r="Z899">
        <v>-2.6991630000000001E-3</v>
      </c>
      <c r="AA899">
        <v>0.99751000000000001</v>
      </c>
      <c r="AB899">
        <v>41</v>
      </c>
      <c r="AC899">
        <v>0.85410000000001596</v>
      </c>
      <c r="AD899">
        <v>-9.3492800000000001E-2</v>
      </c>
      <c r="AE899">
        <v>-7.9200000000014301E-2</v>
      </c>
      <c r="AF899">
        <v>7.4465492679617704E-2</v>
      </c>
      <c r="AG899">
        <v>-9.3492800000000001E-2</v>
      </c>
      <c r="AH899">
        <v>0.84441648455748697</v>
      </c>
      <c r="AI899">
        <v>96.293760599299901</v>
      </c>
      <c r="AJ899">
        <v>84.960366242664193</v>
      </c>
      <c r="AK899">
        <v>0.85283363714401095</v>
      </c>
      <c r="AL899">
        <v>79.088320296481697</v>
      </c>
      <c r="AM899">
        <v>88.666098511356395</v>
      </c>
      <c r="AN899">
        <v>0.99999994380109802</v>
      </c>
    </row>
    <row r="900" spans="1:40" x14ac:dyDescent="0.25">
      <c r="A900" t="str">
        <f>"20190312172911646"</f>
        <v>20190312172911646</v>
      </c>
      <c r="B900" t="str">
        <f>"1552382951637958"</f>
        <v>1552382951637958</v>
      </c>
      <c r="C900" t="s">
        <v>40</v>
      </c>
      <c r="D900">
        <v>3.1893370000000001</v>
      </c>
      <c r="E900">
        <v>0.52201370000000002</v>
      </c>
      <c r="F900" t="s">
        <v>42</v>
      </c>
      <c r="G900">
        <v>-290.41379999999998</v>
      </c>
      <c r="H900">
        <v>0.98459160000000001</v>
      </c>
      <c r="I900">
        <v>367.50130000000001</v>
      </c>
      <c r="J900">
        <v>-291.07339999999999</v>
      </c>
      <c r="K900">
        <v>1.0596080000000001</v>
      </c>
      <c r="L900">
        <v>367.56509999999997</v>
      </c>
      <c r="M900">
        <v>0.99988180000000004</v>
      </c>
      <c r="N900">
        <v>0</v>
      </c>
      <c r="O900">
        <v>-4.6033929999999999E-3</v>
      </c>
      <c r="P900">
        <v>0.98421559999999997</v>
      </c>
      <c r="Q900">
        <v>0.17484330000000001</v>
      </c>
      <c r="R900">
        <v>-2.7380399999999999E-2</v>
      </c>
      <c r="S900">
        <v>3.0895079999999999</v>
      </c>
      <c r="T900">
        <v>-0.26853690000000002</v>
      </c>
      <c r="U900">
        <v>-0.23153689999999999</v>
      </c>
      <c r="V900">
        <v>2.2957479999999999E-2</v>
      </c>
      <c r="W900">
        <v>0.1892479</v>
      </c>
      <c r="X900">
        <v>0.98166100000000001</v>
      </c>
      <c r="Y900">
        <v>6.989679E-2</v>
      </c>
      <c r="Z900">
        <v>-2.628905E-3</v>
      </c>
      <c r="AA900">
        <v>0.99755079999999996</v>
      </c>
      <c r="AB900">
        <v>41</v>
      </c>
      <c r="AC900">
        <v>0.65960000000001096</v>
      </c>
      <c r="AD900">
        <v>-7.50163999999999E-2</v>
      </c>
      <c r="AE900">
        <v>-6.3799999999957793E-2</v>
      </c>
      <c r="AF900">
        <v>5.9993799314530298E-2</v>
      </c>
      <c r="AG900">
        <v>-7.50163999999999E-2</v>
      </c>
      <c r="AH900">
        <v>0.65153751021667905</v>
      </c>
      <c r="AI900">
        <v>96.540543450231596</v>
      </c>
      <c r="AJ900">
        <v>84.739020247286604</v>
      </c>
      <c r="AK900">
        <v>0.65858017237425304</v>
      </c>
      <c r="AL900">
        <v>79.091104966465906</v>
      </c>
      <c r="AM900">
        <v>88.660304331189096</v>
      </c>
      <c r="AN900">
        <v>1.0000000662316699</v>
      </c>
    </row>
    <row r="901" spans="1:40" x14ac:dyDescent="0.25">
      <c r="A901" t="str">
        <f>"20190312172911658"</f>
        <v>20190312172911658</v>
      </c>
      <c r="B901" t="str">
        <f>"1552382951648694"</f>
        <v>1552382951648694</v>
      </c>
      <c r="C901" t="s">
        <v>40</v>
      </c>
      <c r="D901">
        <v>3.1799119999999998</v>
      </c>
      <c r="E901">
        <v>0.52181379999999999</v>
      </c>
      <c r="F901" t="s">
        <v>42</v>
      </c>
      <c r="G901">
        <v>-290.05110000000002</v>
      </c>
      <c r="H901">
        <v>0.97194119999999995</v>
      </c>
      <c r="I901">
        <v>367.48860000000002</v>
      </c>
      <c r="J901">
        <v>-290.8485</v>
      </c>
      <c r="K901">
        <v>1.0596110000000001</v>
      </c>
      <c r="L901">
        <v>367.56400000000002</v>
      </c>
      <c r="M901">
        <v>0.99988089999999996</v>
      </c>
      <c r="N901">
        <v>0</v>
      </c>
      <c r="O901">
        <v>-4.7107370000000004E-3</v>
      </c>
      <c r="P901">
        <v>0.98419710000000005</v>
      </c>
      <c r="Q901">
        <v>0.17488600000000001</v>
      </c>
      <c r="R901">
        <v>-2.777048E-2</v>
      </c>
      <c r="S901">
        <v>3.0888369999999998</v>
      </c>
      <c r="T901">
        <v>-0.26518199999999997</v>
      </c>
      <c r="U901">
        <v>-0.23001099999999999</v>
      </c>
      <c r="V901">
        <v>2.3241939999999999E-2</v>
      </c>
      <c r="W901">
        <v>0.18932979999999999</v>
      </c>
      <c r="X901">
        <v>0.98163840000000002</v>
      </c>
      <c r="Y901">
        <v>6.9324250000000004E-2</v>
      </c>
      <c r="Z901">
        <v>-2.5631040000000001E-3</v>
      </c>
      <c r="AA901">
        <v>0.99759089999999995</v>
      </c>
      <c r="AB901">
        <v>41</v>
      </c>
      <c r="AC901">
        <v>0.79739999999998101</v>
      </c>
      <c r="AD901">
        <v>-8.7669800000000006E-2</v>
      </c>
      <c r="AE901">
        <v>-7.5400000000001896E-2</v>
      </c>
      <c r="AF901">
        <v>7.0794251936800195E-2</v>
      </c>
      <c r="AG901">
        <v>-8.7669800000000006E-2</v>
      </c>
      <c r="AH901">
        <v>0.78830197828509996</v>
      </c>
      <c r="AI901">
        <v>96.320754490385895</v>
      </c>
      <c r="AJ901">
        <v>84.868261380362398</v>
      </c>
      <c r="AK901">
        <v>0.79631515677370601</v>
      </c>
      <c r="AL901">
        <v>79.086324813770005</v>
      </c>
      <c r="AM901">
        <v>88.643679468844994</v>
      </c>
      <c r="AN901">
        <v>0.99999995464878</v>
      </c>
    </row>
    <row r="902" spans="1:40" x14ac:dyDescent="0.25">
      <c r="A902" t="str">
        <f>"20190312172911671"</f>
        <v>20190312172911671</v>
      </c>
      <c r="B902" t="str">
        <f>"1552382951668214"</f>
        <v>1552382951668214</v>
      </c>
      <c r="C902" t="s">
        <v>40</v>
      </c>
      <c r="D902">
        <v>3.1939259999999998</v>
      </c>
      <c r="E902">
        <v>0.52148260000000002</v>
      </c>
      <c r="F902" t="s">
        <v>42</v>
      </c>
      <c r="G902">
        <v>-290.04140000000001</v>
      </c>
      <c r="H902">
        <v>0.99134809999999995</v>
      </c>
      <c r="I902">
        <v>367.5034</v>
      </c>
      <c r="J902">
        <v>-290.625</v>
      </c>
      <c r="K902">
        <v>1.059612</v>
      </c>
      <c r="L902">
        <v>367.56290000000001</v>
      </c>
      <c r="M902">
        <v>0.99987979999999999</v>
      </c>
      <c r="N902">
        <v>0</v>
      </c>
      <c r="O902">
        <v>-4.8174610000000003E-3</v>
      </c>
      <c r="P902">
        <v>0.98421250000000005</v>
      </c>
      <c r="Q902">
        <v>0.17477590000000001</v>
      </c>
      <c r="R902">
        <v>-2.7921310000000001E-2</v>
      </c>
      <c r="S902">
        <v>3.0881349999999999</v>
      </c>
      <c r="T902">
        <v>-0.26155729999999999</v>
      </c>
      <c r="U902">
        <v>-0.23028560000000001</v>
      </c>
      <c r="V902">
        <v>2.32873E-2</v>
      </c>
      <c r="W902">
        <v>0.1892559</v>
      </c>
      <c r="X902">
        <v>0.98165159999999996</v>
      </c>
      <c r="Y902">
        <v>6.9329459999999996E-2</v>
      </c>
      <c r="Z902">
        <v>-2.5199670000000001E-3</v>
      </c>
      <c r="AA902">
        <v>0.99759070000000005</v>
      </c>
      <c r="AB902">
        <v>41</v>
      </c>
      <c r="AC902">
        <v>0.58359999999998902</v>
      </c>
      <c r="AD902">
        <v>-6.8263900000000002E-2</v>
      </c>
      <c r="AE902">
        <v>-5.9500000000014097E-2</v>
      </c>
      <c r="AF902">
        <v>5.5930166152124802E-2</v>
      </c>
      <c r="AG902">
        <v>-6.8263900000000002E-2</v>
      </c>
      <c r="AH902">
        <v>0.57607903216784195</v>
      </c>
      <c r="AI902">
        <v>96.726554966585098</v>
      </c>
      <c r="AJ902">
        <v>84.454666627975996</v>
      </c>
      <c r="AK902">
        <v>0.58279944649291804</v>
      </c>
      <c r="AL902">
        <v>79.090637200114401</v>
      </c>
      <c r="AM902">
        <v>88.641051672075605</v>
      </c>
      <c r="AN902">
        <v>0.99999997890432901</v>
      </c>
    </row>
    <row r="903" spans="1:40" x14ac:dyDescent="0.25">
      <c r="A903" t="str">
        <f>"20190312172911685"</f>
        <v>20190312172911685</v>
      </c>
      <c r="B903" t="str">
        <f>"1552382951677973"</f>
        <v>1552382951677973</v>
      </c>
      <c r="C903" t="s">
        <v>40</v>
      </c>
      <c r="D903">
        <v>3.1793170000000002</v>
      </c>
      <c r="E903">
        <v>0.51499689999999998</v>
      </c>
      <c r="F903" t="s">
        <v>42</v>
      </c>
      <c r="G903">
        <v>-289.6782</v>
      </c>
      <c r="H903">
        <v>0.98050280000000001</v>
      </c>
      <c r="I903">
        <v>367.49259999999998</v>
      </c>
      <c r="J903">
        <v>-290.37110000000001</v>
      </c>
      <c r="K903">
        <v>1.0596179999999999</v>
      </c>
      <c r="L903">
        <v>367.56150000000002</v>
      </c>
      <c r="M903">
        <v>0.9998785</v>
      </c>
      <c r="N903">
        <v>0</v>
      </c>
      <c r="O903">
        <v>-4.9386270000000001E-3</v>
      </c>
      <c r="P903">
        <v>0.98422759999999998</v>
      </c>
      <c r="Q903">
        <v>0.1746277</v>
      </c>
      <c r="R903">
        <v>-2.8308360000000001E-2</v>
      </c>
      <c r="S903">
        <v>3.0875240000000002</v>
      </c>
      <c r="T903">
        <v>-0.25812970000000002</v>
      </c>
      <c r="U903">
        <v>-0.22817989999999999</v>
      </c>
      <c r="V903">
        <v>2.3554930000000002E-2</v>
      </c>
      <c r="W903">
        <v>0.18914629999999999</v>
      </c>
      <c r="X903">
        <v>0.98166640000000005</v>
      </c>
      <c r="Y903">
        <v>6.8555499999999894E-2</v>
      </c>
      <c r="Z903">
        <v>-2.4452580000000001E-3</v>
      </c>
      <c r="AA903">
        <v>0.99764430000000004</v>
      </c>
      <c r="AB903">
        <v>41</v>
      </c>
      <c r="AC903">
        <v>0.69290000000000795</v>
      </c>
      <c r="AD903">
        <v>-7.9115199999999899E-2</v>
      </c>
      <c r="AE903">
        <v>-6.89000000000419E-2</v>
      </c>
      <c r="AF903">
        <v>6.4642318121382505E-2</v>
      </c>
      <c r="AG903">
        <v>-7.9115199999999899E-2</v>
      </c>
      <c r="AH903">
        <v>0.68439671441916705</v>
      </c>
      <c r="AI903">
        <v>96.565073231412995</v>
      </c>
      <c r="AJ903">
        <v>84.604332939460605</v>
      </c>
      <c r="AK903">
        <v>0.69198027924999195</v>
      </c>
      <c r="AL903">
        <v>79.097032989678098</v>
      </c>
      <c r="AM903">
        <v>88.625460590577404</v>
      </c>
      <c r="AN903">
        <v>1.0000000392099699</v>
      </c>
    </row>
    <row r="904" spans="1:40" x14ac:dyDescent="0.25">
      <c r="A904" t="str">
        <f>"20190312172911698"</f>
        <v>20190312172911698</v>
      </c>
      <c r="B904" t="str">
        <f>"1552382951688710"</f>
        <v>1552382951688710</v>
      </c>
      <c r="C904" t="s">
        <v>40</v>
      </c>
      <c r="D904">
        <v>3.1781039999999998</v>
      </c>
      <c r="E904">
        <v>0.51497660000000001</v>
      </c>
      <c r="F904" t="s">
        <v>41</v>
      </c>
      <c r="G904">
        <v>-257.44729999999998</v>
      </c>
      <c r="H904" s="1">
        <v>-1.9257489999999999E-6</v>
      </c>
      <c r="I904">
        <v>365.59120000000001</v>
      </c>
      <c r="J904">
        <v>-290.13029999999998</v>
      </c>
      <c r="K904">
        <v>1.05962</v>
      </c>
      <c r="L904">
        <v>367.56020000000001</v>
      </c>
      <c r="M904">
        <v>0.99987760000000003</v>
      </c>
      <c r="N904">
        <v>0</v>
      </c>
      <c r="O904">
        <v>-5.0535500000000004E-3</v>
      </c>
      <c r="P904">
        <v>0.98424509999999998</v>
      </c>
      <c r="Q904">
        <v>0.17451620000000001</v>
      </c>
      <c r="R904">
        <v>-2.8392589999999999E-2</v>
      </c>
      <c r="S904">
        <v>3.0602719999999999</v>
      </c>
      <c r="T904">
        <v>-9.8491549999999997E-2</v>
      </c>
      <c r="U904">
        <v>-0.18313599999999999</v>
      </c>
      <c r="V904">
        <v>2.3525649999999999E-2</v>
      </c>
      <c r="W904">
        <v>0.1890676</v>
      </c>
      <c r="X904">
        <v>0.98168219999999995</v>
      </c>
      <c r="Y904">
        <v>5.4664740000000003E-2</v>
      </c>
      <c r="Z904">
        <v>-7.1618289999999998E-4</v>
      </c>
      <c r="AA904">
        <v>0.99850450000000002</v>
      </c>
      <c r="AB904">
        <v>41</v>
      </c>
      <c r="AC904">
        <v>32.6829999999999</v>
      </c>
      <c r="AD904">
        <v>-1.059621925749</v>
      </c>
      <c r="AE904">
        <v>-1.9689999999999901</v>
      </c>
      <c r="AF904">
        <v>1.80190437501908</v>
      </c>
      <c r="AG904">
        <v>-1.059621925749</v>
      </c>
      <c r="AH904">
        <v>32.658329967759798</v>
      </c>
      <c r="AI904">
        <v>91.855528764551906</v>
      </c>
      <c r="AJ904">
        <v>86.841940673647201</v>
      </c>
      <c r="AK904">
        <v>32.725161180432998</v>
      </c>
      <c r="AL904">
        <v>79.101624345022302</v>
      </c>
      <c r="AM904">
        <v>88.627190647113693</v>
      </c>
      <c r="AN904">
        <v>0.99999997768726001</v>
      </c>
    </row>
    <row r="905" spans="1:40" x14ac:dyDescent="0.25">
      <c r="A905" t="str">
        <f>"20190312172911710"</f>
        <v>20190312172911710</v>
      </c>
      <c r="B905" t="str">
        <f>"1552382951698470"</f>
        <v>1552382951698470</v>
      </c>
      <c r="C905" t="s">
        <v>40</v>
      </c>
      <c r="D905">
        <v>3.2062300000000001</v>
      </c>
      <c r="E905">
        <v>0.5146328</v>
      </c>
      <c r="F905" t="s">
        <v>41</v>
      </c>
      <c r="G905">
        <v>-254.91239999999999</v>
      </c>
      <c r="H905" s="1">
        <v>-2.9044020000000001E-6</v>
      </c>
      <c r="I905">
        <v>365.44720000000001</v>
      </c>
      <c r="J905">
        <v>-289.9119</v>
      </c>
      <c r="K905">
        <v>1.059626</v>
      </c>
      <c r="L905">
        <v>367.5591</v>
      </c>
      <c r="M905">
        <v>0.99987649999999995</v>
      </c>
      <c r="N905">
        <v>0</v>
      </c>
      <c r="O905">
        <v>-5.1577050000000003E-3</v>
      </c>
      <c r="P905">
        <v>0.98421970000000003</v>
      </c>
      <c r="Q905">
        <v>0.17461589999999999</v>
      </c>
      <c r="R905">
        <v>-2.865446E-2</v>
      </c>
      <c r="S905">
        <v>3.059021</v>
      </c>
      <c r="T905">
        <v>-9.2038629999999996E-2</v>
      </c>
      <c r="U905">
        <v>-0.18353269999999999</v>
      </c>
      <c r="V905">
        <v>2.368522E-2</v>
      </c>
      <c r="W905">
        <v>0.1891941</v>
      </c>
      <c r="X905">
        <v>0.98165400000000003</v>
      </c>
      <c r="Y905">
        <v>5.4717349999999998E-2</v>
      </c>
      <c r="Z905">
        <v>-6.6721300000000005E-4</v>
      </c>
      <c r="AA905">
        <v>0.99850170000000005</v>
      </c>
      <c r="AB905">
        <v>41</v>
      </c>
      <c r="AC905">
        <v>34.999499999999998</v>
      </c>
      <c r="AD905">
        <v>-1.059628904402</v>
      </c>
      <c r="AE905">
        <v>-2.1118999999999901</v>
      </c>
      <c r="AF905">
        <v>1.92957266598814</v>
      </c>
      <c r="AG905">
        <v>-1.059628904402</v>
      </c>
      <c r="AH905">
        <v>34.977983317437499</v>
      </c>
      <c r="AI905">
        <v>91.732564612403294</v>
      </c>
      <c r="AJ905">
        <v>86.842458743486304</v>
      </c>
      <c r="AK905">
        <v>35.047187919194101</v>
      </c>
      <c r="AL905">
        <v>79.094243309679698</v>
      </c>
      <c r="AM905">
        <v>88.617843053842705</v>
      </c>
      <c r="AN905">
        <v>0.99999998641862897</v>
      </c>
    </row>
    <row r="906" spans="1:40" x14ac:dyDescent="0.25">
      <c r="A906" t="str">
        <f>"20190312172911719"</f>
        <v>20190312172911719</v>
      </c>
      <c r="B906" t="str">
        <f>"1552382951708231"</f>
        <v>1552382951708231</v>
      </c>
      <c r="C906" t="s">
        <v>40</v>
      </c>
      <c r="D906">
        <v>3.1949160000000001</v>
      </c>
      <c r="E906">
        <v>0.51459790000000005</v>
      </c>
      <c r="F906" t="s">
        <v>41</v>
      </c>
      <c r="G906">
        <v>-253.19049999999999</v>
      </c>
      <c r="H906" s="1">
        <v>-3.6553540000000002E-6</v>
      </c>
      <c r="I906">
        <v>365.37819999999999</v>
      </c>
      <c r="J906">
        <v>-289.71789999999999</v>
      </c>
      <c r="K906">
        <v>1.0596289999999999</v>
      </c>
      <c r="L906">
        <v>367.55799999999999</v>
      </c>
      <c r="M906">
        <v>0.99987579999999998</v>
      </c>
      <c r="N906">
        <v>0</v>
      </c>
      <c r="O906">
        <v>-5.2503819999999996E-3</v>
      </c>
      <c r="P906">
        <v>0.98420680000000005</v>
      </c>
      <c r="Q906">
        <v>0.17463870000000001</v>
      </c>
      <c r="R906">
        <v>-2.8957690000000001E-2</v>
      </c>
      <c r="S906">
        <v>3.0584720000000001</v>
      </c>
      <c r="T906">
        <v>-8.8254810000000003E-2</v>
      </c>
      <c r="U906">
        <v>-0.18164060000000001</v>
      </c>
      <c r="V906">
        <v>2.3897310000000001E-2</v>
      </c>
      <c r="W906">
        <v>0.18923989999999999</v>
      </c>
      <c r="X906">
        <v>0.98163999999999996</v>
      </c>
      <c r="Y906">
        <v>5.4022109999999998E-2</v>
      </c>
      <c r="Z906">
        <v>-6.2722959999999997E-4</v>
      </c>
      <c r="AA906">
        <v>0.99853959999999997</v>
      </c>
      <c r="AB906">
        <v>41</v>
      </c>
      <c r="AC906">
        <v>36.5274</v>
      </c>
      <c r="AD906">
        <v>-1.0596326553540001</v>
      </c>
      <c r="AE906">
        <v>-2.1798000000000499</v>
      </c>
      <c r="AF906">
        <v>1.9863003534875701</v>
      </c>
      <c r="AG906">
        <v>-1.0596326553540001</v>
      </c>
      <c r="AH906">
        <v>36.507728886497397</v>
      </c>
      <c r="AI906">
        <v>91.660082796166094</v>
      </c>
      <c r="AJ906">
        <v>86.885740827334303</v>
      </c>
      <c r="AK906">
        <v>36.577075866019598</v>
      </c>
      <c r="AL906">
        <v>79.091570543768697</v>
      </c>
      <c r="AM906">
        <v>88.605451473667898</v>
      </c>
      <c r="AN906">
        <v>0.99999995538862196</v>
      </c>
    </row>
    <row r="907" spans="1:40" x14ac:dyDescent="0.25">
      <c r="A907" t="str">
        <f>"20190312172911731"</f>
        <v>20190312172911731</v>
      </c>
      <c r="B907" t="str">
        <f>"1552382951728726"</f>
        <v>1552382951728726</v>
      </c>
      <c r="C907" t="s">
        <v>40</v>
      </c>
      <c r="D907">
        <v>3.1934290000000001</v>
      </c>
      <c r="E907">
        <v>0.51490769999999997</v>
      </c>
      <c r="F907" t="s">
        <v>41</v>
      </c>
      <c r="G907">
        <v>-252.41739999999999</v>
      </c>
      <c r="H907" s="1">
        <v>-3.9948579999999998E-6</v>
      </c>
      <c r="I907">
        <v>365.33390000000003</v>
      </c>
      <c r="J907">
        <v>-289.51229999999998</v>
      </c>
      <c r="K907">
        <v>1.059633</v>
      </c>
      <c r="L907">
        <v>367.55680000000001</v>
      </c>
      <c r="M907">
        <v>0.99987499999999996</v>
      </c>
      <c r="N907">
        <v>0</v>
      </c>
      <c r="O907">
        <v>-5.3485349999999997E-3</v>
      </c>
      <c r="P907">
        <v>0.98422810000000005</v>
      </c>
      <c r="Q907">
        <v>0.17450959999999999</v>
      </c>
      <c r="R907">
        <v>-2.9017729999999999E-2</v>
      </c>
      <c r="S907">
        <v>3.0581670000000001</v>
      </c>
      <c r="T907">
        <v>-8.6876149999999999E-2</v>
      </c>
      <c r="U907">
        <v>-0.18234249999999999</v>
      </c>
      <c r="V907">
        <v>2.3860280000000001E-2</v>
      </c>
      <c r="W907">
        <v>0.1891332</v>
      </c>
      <c r="X907">
        <v>0.98166149999999996</v>
      </c>
      <c r="Y907">
        <v>5.4158959999999999E-2</v>
      </c>
      <c r="Z907">
        <v>-6.1664900000000004E-4</v>
      </c>
      <c r="AA907">
        <v>0.99853210000000003</v>
      </c>
      <c r="AB907">
        <v>41</v>
      </c>
      <c r="AC907">
        <v>37.094900000000003</v>
      </c>
      <c r="AD907">
        <v>-1.059636994858</v>
      </c>
      <c r="AE907">
        <v>-2.2228999999999801</v>
      </c>
      <c r="AF907">
        <v>2.0227981812172402</v>
      </c>
      <c r="AG907">
        <v>-1.059636994858</v>
      </c>
      <c r="AH907">
        <v>37.076114314702203</v>
      </c>
      <c r="AI907">
        <v>91.634640607059396</v>
      </c>
      <c r="AJ907">
        <v>86.877153583260807</v>
      </c>
      <c r="AK907">
        <v>37.146369886163498</v>
      </c>
      <c r="AL907">
        <v>79.097796822949306</v>
      </c>
      <c r="AM907">
        <v>88.607642024101096</v>
      </c>
      <c r="AN907">
        <v>0.99999999044308396</v>
      </c>
    </row>
    <row r="908" spans="1:40" x14ac:dyDescent="0.25">
      <c r="A908" t="str">
        <f>"20190312172911743"</f>
        <v>20190312172911743</v>
      </c>
      <c r="B908" t="str">
        <f>"1552382951738486"</f>
        <v>1552382951738486</v>
      </c>
      <c r="C908" t="s">
        <v>40</v>
      </c>
      <c r="D908">
        <v>3.1883170000000001</v>
      </c>
      <c r="E908">
        <v>0.51516229999999996</v>
      </c>
      <c r="F908" t="s">
        <v>41</v>
      </c>
      <c r="G908">
        <v>-253.67410000000001</v>
      </c>
      <c r="H908" s="1">
        <v>-3.4457509999999998E-6</v>
      </c>
      <c r="I908">
        <v>365.39019999999999</v>
      </c>
      <c r="J908">
        <v>-289.30529999999999</v>
      </c>
      <c r="K908">
        <v>1.059631</v>
      </c>
      <c r="L908">
        <v>367.5557</v>
      </c>
      <c r="M908">
        <v>0.99987409999999999</v>
      </c>
      <c r="N908">
        <v>0</v>
      </c>
      <c r="O908">
        <v>-5.447159E-3</v>
      </c>
      <c r="P908">
        <v>0.98421789999999998</v>
      </c>
      <c r="Q908">
        <v>0.17455490000000001</v>
      </c>
      <c r="R908">
        <v>-2.9081539999999999E-2</v>
      </c>
      <c r="S908">
        <v>3.058624</v>
      </c>
      <c r="T908">
        <v>-9.0434909999999993E-2</v>
      </c>
      <c r="U908">
        <v>-0.18490599999999999</v>
      </c>
      <c r="V908">
        <v>2.3827379999999999E-2</v>
      </c>
      <c r="W908">
        <v>0.1891997</v>
      </c>
      <c r="X908">
        <v>0.98164949999999995</v>
      </c>
      <c r="Y908">
        <v>5.4883550000000003E-2</v>
      </c>
      <c r="Z908">
        <v>-6.495734E-4</v>
      </c>
      <c r="AA908">
        <v>0.99849250000000001</v>
      </c>
      <c r="AB908">
        <v>41</v>
      </c>
      <c r="AC908">
        <v>35.6311999999999</v>
      </c>
      <c r="AD908">
        <v>-1.0596344457510001</v>
      </c>
      <c r="AE908">
        <v>-2.1655000000000002</v>
      </c>
      <c r="AF908">
        <v>1.9696219623689</v>
      </c>
      <c r="AG908">
        <v>-1.0596344457510001</v>
      </c>
      <c r="AH908">
        <v>35.611089668085398</v>
      </c>
      <c r="AI908">
        <v>91.701776169857894</v>
      </c>
      <c r="AJ908">
        <v>86.834240039195905</v>
      </c>
      <c r="AK908">
        <v>35.6812547870964</v>
      </c>
      <c r="AL908">
        <v>79.093916764475793</v>
      </c>
      <c r="AM908">
        <v>88.609544146954406</v>
      </c>
      <c r="AN908">
        <v>1.0000000056839999</v>
      </c>
    </row>
    <row r="909" spans="1:40" x14ac:dyDescent="0.25">
      <c r="A909" t="str">
        <f>"20190312172911754"</f>
        <v>20190312172911754</v>
      </c>
      <c r="B909" t="str">
        <f>"1552382951748247"</f>
        <v>1552382951748247</v>
      </c>
      <c r="C909" t="s">
        <v>40</v>
      </c>
      <c r="D909">
        <v>3.205689</v>
      </c>
      <c r="E909">
        <v>0.51509020000000005</v>
      </c>
      <c r="F909" t="s">
        <v>41</v>
      </c>
      <c r="G909">
        <v>-254.52760000000001</v>
      </c>
      <c r="H909" s="1">
        <v>-3.072584E-6</v>
      </c>
      <c r="I909">
        <v>365.42989999999998</v>
      </c>
      <c r="J909">
        <v>-289.10930000000002</v>
      </c>
      <c r="K909">
        <v>1.059634</v>
      </c>
      <c r="L909">
        <v>367.55450000000002</v>
      </c>
      <c r="M909">
        <v>0.99987320000000002</v>
      </c>
      <c r="N909">
        <v>0</v>
      </c>
      <c r="O909">
        <v>-5.5405100000000002E-3</v>
      </c>
      <c r="P909">
        <v>0.98419540000000005</v>
      </c>
      <c r="Q909">
        <v>0.17464449999999901</v>
      </c>
      <c r="R909">
        <v>-2.9307670000000001E-2</v>
      </c>
      <c r="S909">
        <v>3.0590820000000001</v>
      </c>
      <c r="T909">
        <v>-9.3206170000000005E-2</v>
      </c>
      <c r="U909">
        <v>-0.18698119999999999</v>
      </c>
      <c r="V909">
        <v>2.3961440000000001E-2</v>
      </c>
      <c r="W909">
        <v>0.1893059</v>
      </c>
      <c r="X909">
        <v>0.98162570000000005</v>
      </c>
      <c r="Y909">
        <v>5.5454639999999999E-2</v>
      </c>
      <c r="Z909">
        <v>-6.752053E-4</v>
      </c>
      <c r="AA909">
        <v>0.99846100000000004</v>
      </c>
      <c r="AB909">
        <v>41</v>
      </c>
      <c r="AC909">
        <v>34.581699999999998</v>
      </c>
      <c r="AD909">
        <v>-1.0596370725840001</v>
      </c>
      <c r="AE909">
        <v>-2.12460000000004</v>
      </c>
      <c r="AF909">
        <v>1.9311394337430201</v>
      </c>
      <c r="AG909">
        <v>-1.0596370725840001</v>
      </c>
      <c r="AH909">
        <v>34.560614664128202</v>
      </c>
      <c r="AI909">
        <v>91.753419307778699</v>
      </c>
      <c r="AJ909">
        <v>86.801816129901795</v>
      </c>
      <c r="AK909">
        <v>34.630740913247998</v>
      </c>
      <c r="AL909">
        <v>79.0877192923667</v>
      </c>
      <c r="AM909">
        <v>88.601690233210704</v>
      </c>
      <c r="AN909">
        <v>0.99999994464108499</v>
      </c>
    </row>
    <row r="910" spans="1:40" x14ac:dyDescent="0.25">
      <c r="A910" t="str">
        <f>"20190312172911764"</f>
        <v>20190312172911764</v>
      </c>
      <c r="B910" t="str">
        <f>"1552382951758006"</f>
        <v>1552382951758006</v>
      </c>
      <c r="C910" t="s">
        <v>40</v>
      </c>
      <c r="D910">
        <v>3.198887</v>
      </c>
      <c r="E910">
        <v>0.51502429999999999</v>
      </c>
      <c r="F910" t="s">
        <v>41</v>
      </c>
      <c r="G910">
        <v>-254.3886</v>
      </c>
      <c r="H910" s="1">
        <v>-3.1316269999999999E-6</v>
      </c>
      <c r="I910">
        <v>365.43299999999999</v>
      </c>
      <c r="J910">
        <v>-288.9092</v>
      </c>
      <c r="K910">
        <v>1.0596369999999999</v>
      </c>
      <c r="L910">
        <v>367.55329999999998</v>
      </c>
      <c r="M910">
        <v>0.99987239999999999</v>
      </c>
      <c r="N910">
        <v>0</v>
      </c>
      <c r="O910">
        <v>-5.6360059999999998E-3</v>
      </c>
      <c r="P910">
        <v>0.98417650000000001</v>
      </c>
      <c r="Q910">
        <v>0.17474189999999901</v>
      </c>
      <c r="R910">
        <v>-2.9363710000000001E-2</v>
      </c>
      <c r="S910">
        <v>3.0591740000000001</v>
      </c>
      <c r="T910">
        <v>-9.336245E-2</v>
      </c>
      <c r="U910">
        <v>-0.18692020000000001</v>
      </c>
      <c r="V910">
        <v>2.3923409999999999E-2</v>
      </c>
      <c r="W910">
        <v>0.18942110000000001</v>
      </c>
      <c r="X910">
        <v>0.98160449999999999</v>
      </c>
      <c r="Y910">
        <v>5.5337629999999999E-2</v>
      </c>
      <c r="Z910">
        <v>-6.7162250000000004E-4</v>
      </c>
      <c r="AA910">
        <v>0.9984674</v>
      </c>
      <c r="AB910">
        <v>41</v>
      </c>
      <c r="AC910">
        <v>34.520600000000002</v>
      </c>
      <c r="AD910">
        <v>-1.0596401316269899</v>
      </c>
      <c r="AE910">
        <v>-2.1202999999999199</v>
      </c>
      <c r="AF910">
        <v>1.9238803325404501</v>
      </c>
      <c r="AG910">
        <v>-1.0596401316269899</v>
      </c>
      <c r="AH910">
        <v>34.499618324746798</v>
      </c>
      <c r="AI910">
        <v>91.7565334355522</v>
      </c>
      <c r="AJ910">
        <v>86.808191566621304</v>
      </c>
      <c r="AK910">
        <v>34.569463653572797</v>
      </c>
      <c r="AL910">
        <v>79.080998233599203</v>
      </c>
      <c r="AM910">
        <v>88.603878518358499</v>
      </c>
      <c r="AN910">
        <v>1.0000000385457399</v>
      </c>
    </row>
    <row r="911" spans="1:40" x14ac:dyDescent="0.25">
      <c r="A911" t="str">
        <f>"20190312172911774"</f>
        <v>20190312172911774</v>
      </c>
      <c r="B911" t="str">
        <f>"1552382951768742"</f>
        <v>1552382951768742</v>
      </c>
      <c r="C911" t="s">
        <v>40</v>
      </c>
      <c r="D911">
        <v>3.2195830000000001</v>
      </c>
      <c r="E911">
        <v>0.51528200000000002</v>
      </c>
      <c r="F911" t="s">
        <v>41</v>
      </c>
      <c r="G911">
        <v>-254.38650000000001</v>
      </c>
      <c r="H911" s="1">
        <v>-3.1302830000000001E-6</v>
      </c>
      <c r="I911">
        <v>365.44569999999999</v>
      </c>
      <c r="J911">
        <v>-288.72129999999999</v>
      </c>
      <c r="K911">
        <v>1.0596380000000001</v>
      </c>
      <c r="L911">
        <v>367.55220000000003</v>
      </c>
      <c r="M911">
        <v>0.99987179999999998</v>
      </c>
      <c r="N911">
        <v>0</v>
      </c>
      <c r="O911">
        <v>-5.7258760000000004E-3</v>
      </c>
      <c r="P911">
        <v>0.98418380000000005</v>
      </c>
      <c r="Q911">
        <v>0.17468120000000001</v>
      </c>
      <c r="R911">
        <v>-2.948214E-2</v>
      </c>
      <c r="S911">
        <v>3.0593569999999999</v>
      </c>
      <c r="T911">
        <v>-9.390366E-2</v>
      </c>
      <c r="U911">
        <v>-0.18676760000000001</v>
      </c>
      <c r="V911">
        <v>2.3953329999999998E-2</v>
      </c>
      <c r="W911">
        <v>0.18937519999999999</v>
      </c>
      <c r="X911">
        <v>0.98161259999999995</v>
      </c>
      <c r="Y911">
        <v>5.5194460000000001E-2</v>
      </c>
      <c r="Z911">
        <v>-6.7052479999999998E-4</v>
      </c>
      <c r="AA911">
        <v>0.99847540000000001</v>
      </c>
      <c r="AB911">
        <v>41</v>
      </c>
      <c r="AC911">
        <v>34.334799999999902</v>
      </c>
      <c r="AD911">
        <v>-1.05964113028299</v>
      </c>
      <c r="AE911">
        <v>-2.10650000000004</v>
      </c>
      <c r="AF911">
        <v>1.9080361493344999</v>
      </c>
      <c r="AG911">
        <v>-1.05964113028299</v>
      </c>
      <c r="AH911">
        <v>34.313739886735299</v>
      </c>
      <c r="AI911">
        <v>91.766059920980993</v>
      </c>
      <c r="AJ911">
        <v>86.817311284141297</v>
      </c>
      <c r="AK911">
        <v>34.383079941836002</v>
      </c>
      <c r="AL911">
        <v>79.083676298450797</v>
      </c>
      <c r="AM911">
        <v>88.602144670701307</v>
      </c>
      <c r="AN911">
        <v>1.0000000124359401</v>
      </c>
    </row>
    <row r="912" spans="1:40" x14ac:dyDescent="0.25">
      <c r="A912" t="str">
        <f>"20190312172911784"</f>
        <v>20190312172911784</v>
      </c>
      <c r="B912" t="str">
        <f>"1552382951778502"</f>
        <v>1552382951778502</v>
      </c>
      <c r="C912" t="s">
        <v>40</v>
      </c>
      <c r="D912">
        <v>3.2305809999999999</v>
      </c>
      <c r="E912">
        <v>0.51519729999999997</v>
      </c>
      <c r="F912" t="s">
        <v>41</v>
      </c>
      <c r="G912">
        <v>-255.3049</v>
      </c>
      <c r="H912" s="1">
        <v>-2.728784E-6</v>
      </c>
      <c r="I912">
        <v>365.48809999999997</v>
      </c>
      <c r="J912">
        <v>-288.54320000000001</v>
      </c>
      <c r="K912">
        <v>1.0596369999999999</v>
      </c>
      <c r="L912">
        <v>367.55110000000002</v>
      </c>
      <c r="M912">
        <v>0.99987099999999995</v>
      </c>
      <c r="N912">
        <v>0</v>
      </c>
      <c r="O912">
        <v>-5.8110890000000002E-3</v>
      </c>
      <c r="P912">
        <v>0.98418600000000001</v>
      </c>
      <c r="Q912">
        <v>0.1746887</v>
      </c>
      <c r="R912">
        <v>-2.9355570000000001E-2</v>
      </c>
      <c r="S912">
        <v>3.0597840000000001</v>
      </c>
      <c r="T912">
        <v>-9.7025990000000006E-2</v>
      </c>
      <c r="U912">
        <v>-0.18899540000000001</v>
      </c>
      <c r="V912">
        <v>2.3742940000000001E-2</v>
      </c>
      <c r="W912">
        <v>0.18939629999999999</v>
      </c>
      <c r="X912">
        <v>0.98161359999999998</v>
      </c>
      <c r="Y912">
        <v>5.5823289999999998E-2</v>
      </c>
      <c r="Z912">
        <v>-6.9995619999999904E-4</v>
      </c>
      <c r="AA912">
        <v>0.99844040000000001</v>
      </c>
      <c r="AB912">
        <v>41</v>
      </c>
      <c r="AC912">
        <v>33.238300000000002</v>
      </c>
      <c r="AD912">
        <v>-1.059639728784</v>
      </c>
      <c r="AE912">
        <v>-2.0630000000000401</v>
      </c>
      <c r="AF912">
        <v>1.8679016454454</v>
      </c>
      <c r="AG912">
        <v>-1.059639728784</v>
      </c>
      <c r="AH912">
        <v>33.216098994864502</v>
      </c>
      <c r="AI912">
        <v>91.824314994235706</v>
      </c>
      <c r="AJ912">
        <v>86.781371599231505</v>
      </c>
      <c r="AK912">
        <v>33.285449153474197</v>
      </c>
      <c r="AL912">
        <v>79.082444636414905</v>
      </c>
      <c r="AM912">
        <v>88.614419098739901</v>
      </c>
      <c r="AN912">
        <v>0.99999997267924601</v>
      </c>
    </row>
    <row r="913" spans="1:40" x14ac:dyDescent="0.25">
      <c r="A913" t="str">
        <f>"20190312172911795"</f>
        <v>20190312172911795</v>
      </c>
      <c r="B913" t="str">
        <f>"1552382951788262"</f>
        <v>1552382951788262</v>
      </c>
      <c r="C913" t="s">
        <v>40</v>
      </c>
      <c r="D913">
        <v>3.2178580000000001</v>
      </c>
      <c r="E913">
        <v>0.51516629999999997</v>
      </c>
      <c r="F913" t="s">
        <v>41</v>
      </c>
      <c r="G913">
        <v>-255.4332</v>
      </c>
      <c r="H913" s="1">
        <v>-2.6687430000000001E-6</v>
      </c>
      <c r="I913">
        <v>365.5163</v>
      </c>
      <c r="J913">
        <v>-288.3476</v>
      </c>
      <c r="K913">
        <v>1.059639</v>
      </c>
      <c r="L913">
        <v>367.54989999999998</v>
      </c>
      <c r="M913">
        <v>0.99987020000000004</v>
      </c>
      <c r="N913">
        <v>0</v>
      </c>
      <c r="O913">
        <v>-5.9045230000000001E-3</v>
      </c>
      <c r="P913">
        <v>0.98420750000000001</v>
      </c>
      <c r="Q913">
        <v>0.1745543</v>
      </c>
      <c r="R913">
        <v>-2.9437000000000001E-2</v>
      </c>
      <c r="S913">
        <v>3.0599370000000001</v>
      </c>
      <c r="T913">
        <v>-9.7928879999999996E-2</v>
      </c>
      <c r="U913">
        <v>-0.1880493</v>
      </c>
      <c r="V913">
        <v>2.373194E-2</v>
      </c>
      <c r="W913">
        <v>0.18927550000000001</v>
      </c>
      <c r="X913">
        <v>0.98163719999999999</v>
      </c>
      <c r="Y913">
        <v>5.5419200000000002E-2</v>
      </c>
      <c r="Z913">
        <v>-6.9699289999999902E-4</v>
      </c>
      <c r="AA913">
        <v>0.99846290000000004</v>
      </c>
      <c r="AB913">
        <v>41</v>
      </c>
      <c r="AC913">
        <v>32.914400000000001</v>
      </c>
      <c r="AD913">
        <v>-1.0596416687429999</v>
      </c>
      <c r="AE913">
        <v>-2.0335999999999701</v>
      </c>
      <c r="AF913">
        <v>1.8373018502882701</v>
      </c>
      <c r="AG913">
        <v>-1.0596416687429999</v>
      </c>
      <c r="AH913">
        <v>32.891873928471902</v>
      </c>
      <c r="AI913">
        <v>91.842327528001704</v>
      </c>
      <c r="AJ913">
        <v>86.802846846817602</v>
      </c>
      <c r="AK913">
        <v>32.960186423648999</v>
      </c>
      <c r="AL913">
        <v>79.089493832964493</v>
      </c>
      <c r="AM913">
        <v>88.615094065229997</v>
      </c>
      <c r="AN913">
        <v>1.00000000615012</v>
      </c>
    </row>
    <row r="914" spans="1:40" x14ac:dyDescent="0.25">
      <c r="A914" t="str">
        <f>"20190312172911805"</f>
        <v>20190312172911805</v>
      </c>
      <c r="B914" t="str">
        <f>"1552382951798022"</f>
        <v>1552382951798022</v>
      </c>
      <c r="C914" t="s">
        <v>40</v>
      </c>
      <c r="D914">
        <v>3.1939890000000002</v>
      </c>
      <c r="E914">
        <v>0.51517740000000001</v>
      </c>
      <c r="F914" t="s">
        <v>41</v>
      </c>
      <c r="G914">
        <v>-255.48769999999999</v>
      </c>
      <c r="H914" s="1">
        <v>-2.6432660000000001E-6</v>
      </c>
      <c r="I914">
        <v>365.52820000000003</v>
      </c>
      <c r="J914">
        <v>-288.15210000000002</v>
      </c>
      <c r="K914">
        <v>1.0596479999999999</v>
      </c>
      <c r="L914">
        <v>367.5487</v>
      </c>
      <c r="M914">
        <v>0.99986960000000003</v>
      </c>
      <c r="N914">
        <v>0</v>
      </c>
      <c r="O914">
        <v>-5.9980719999999897E-3</v>
      </c>
      <c r="P914">
        <v>0.98418340000000004</v>
      </c>
      <c r="Q914">
        <v>0.174706</v>
      </c>
      <c r="R914">
        <v>-2.9349380000000001E-2</v>
      </c>
      <c r="S914">
        <v>3.0599980000000002</v>
      </c>
      <c r="T914">
        <v>-9.8676200000000006E-2</v>
      </c>
      <c r="U914">
        <v>-0.18826290000000001</v>
      </c>
      <c r="V914">
        <v>2.355223E-2</v>
      </c>
      <c r="W914">
        <v>0.18943940000000001</v>
      </c>
      <c r="X914">
        <v>0.98160990000000004</v>
      </c>
      <c r="Y914">
        <v>5.5393669999999999E-2</v>
      </c>
      <c r="Z914">
        <v>-6.9886949999999905E-4</v>
      </c>
      <c r="AA914">
        <v>0.99846429999999997</v>
      </c>
      <c r="AB914">
        <v>41</v>
      </c>
      <c r="AC914">
        <v>32.664400000000001</v>
      </c>
      <c r="AD914">
        <v>-1.059650643266</v>
      </c>
      <c r="AE914">
        <v>-2.02049999999997</v>
      </c>
      <c r="AF914">
        <v>1.8226074169067401</v>
      </c>
      <c r="AG914">
        <v>-1.059650643266</v>
      </c>
      <c r="AH914">
        <v>32.641711925887698</v>
      </c>
      <c r="AI914">
        <v>91.856455046002296</v>
      </c>
      <c r="AJ914">
        <v>86.804107909021894</v>
      </c>
      <c r="AK914">
        <v>32.709725078859599</v>
      </c>
      <c r="AL914">
        <v>79.079929902990301</v>
      </c>
      <c r="AM914">
        <v>88.625539010638306</v>
      </c>
      <c r="AN914">
        <v>0.99999999479417101</v>
      </c>
    </row>
    <row r="915" spans="1:40" x14ac:dyDescent="0.25">
      <c r="A915" t="str">
        <f>"20190312172911816"</f>
        <v>20190312172911816</v>
      </c>
      <c r="B915" t="str">
        <f>"1552382951808758"</f>
        <v>1552382951808758</v>
      </c>
      <c r="C915" t="s">
        <v>40</v>
      </c>
      <c r="D915">
        <v>3.197778</v>
      </c>
      <c r="E915">
        <v>0.51517120000000005</v>
      </c>
      <c r="F915" t="s">
        <v>41</v>
      </c>
      <c r="G915">
        <v>-255.50720000000001</v>
      </c>
      <c r="H915" s="1">
        <v>-2.6317920000000001E-6</v>
      </c>
      <c r="I915">
        <v>365.54559999999998</v>
      </c>
      <c r="J915">
        <v>-287.9588</v>
      </c>
      <c r="K915">
        <v>1.059652</v>
      </c>
      <c r="L915">
        <v>367.54750000000001</v>
      </c>
      <c r="M915">
        <v>0.9998688</v>
      </c>
      <c r="N915">
        <v>0</v>
      </c>
      <c r="O915">
        <v>-6.0902990000000004E-3</v>
      </c>
      <c r="P915">
        <v>0.98421360000000002</v>
      </c>
      <c r="Q915">
        <v>0.17451710000000001</v>
      </c>
      <c r="R915">
        <v>-2.9451789999999999E-2</v>
      </c>
      <c r="S915">
        <v>3.0602719999999999</v>
      </c>
      <c r="T915">
        <v>-9.9335909999999999E-2</v>
      </c>
      <c r="U915">
        <v>-0.18777469999999999</v>
      </c>
      <c r="V915">
        <v>2.3563649999999998E-2</v>
      </c>
      <c r="W915">
        <v>0.1892624</v>
      </c>
      <c r="X915">
        <v>0.98164379999999996</v>
      </c>
      <c r="Y915">
        <v>5.5137220000000001E-2</v>
      </c>
      <c r="Z915">
        <v>-6.9633249999999998E-4</v>
      </c>
      <c r="AA915">
        <v>0.99847850000000005</v>
      </c>
      <c r="AB915">
        <v>41</v>
      </c>
      <c r="AC915">
        <v>32.4515999999999</v>
      </c>
      <c r="AD915">
        <v>-1.0596546317919999</v>
      </c>
      <c r="AE915">
        <v>-2.0019000000000302</v>
      </c>
      <c r="AF915">
        <v>1.8022862592337601</v>
      </c>
      <c r="AG915">
        <v>-1.0596546317919999</v>
      </c>
      <c r="AH915">
        <v>32.428745698952099</v>
      </c>
      <c r="AI915">
        <v>91.868672137546298</v>
      </c>
      <c r="AJ915">
        <v>86.8189558016863</v>
      </c>
      <c r="AK915">
        <v>32.496071321102903</v>
      </c>
      <c r="AL915">
        <v>79.090258441559797</v>
      </c>
      <c r="AM915">
        <v>88.624920288424207</v>
      </c>
      <c r="AN915">
        <v>1.0000000258667601</v>
      </c>
    </row>
    <row r="916" spans="1:40" x14ac:dyDescent="0.25">
      <c r="A916" t="str">
        <f>"20190312172911826"</f>
        <v>20190312172911826</v>
      </c>
      <c r="B916" t="str">
        <f>"1552382951818519"</f>
        <v>1552382951818519</v>
      </c>
      <c r="C916" t="s">
        <v>40</v>
      </c>
      <c r="D916">
        <v>3.203802</v>
      </c>
      <c r="E916">
        <v>0.51526519999999998</v>
      </c>
      <c r="F916" t="s">
        <v>41</v>
      </c>
      <c r="G916">
        <v>-255.75380000000001</v>
      </c>
      <c r="H916" s="1">
        <v>-2.522325E-6</v>
      </c>
      <c r="I916">
        <v>365.56630000000001</v>
      </c>
      <c r="J916">
        <v>-287.77350000000001</v>
      </c>
      <c r="K916">
        <v>1.0596559999999999</v>
      </c>
      <c r="L916">
        <v>367.54629999999997</v>
      </c>
      <c r="M916">
        <v>0.99986819999999998</v>
      </c>
      <c r="N916">
        <v>0</v>
      </c>
      <c r="O916">
        <v>-6.1791800000000003E-3</v>
      </c>
      <c r="P916">
        <v>0.98422310000000002</v>
      </c>
      <c r="Q916">
        <v>0.17445579999999999</v>
      </c>
      <c r="R916">
        <v>-2.9499629999999999E-2</v>
      </c>
      <c r="S916">
        <v>3.060333</v>
      </c>
      <c r="T916">
        <v>-0.1006953</v>
      </c>
      <c r="U916">
        <v>-0.18826290000000001</v>
      </c>
      <c r="V916">
        <v>2.3523760000000001E-2</v>
      </c>
      <c r="W916">
        <v>0.18921089999999999</v>
      </c>
      <c r="X916">
        <v>0.98165460000000004</v>
      </c>
      <c r="Y916">
        <v>5.5205249999999997E-2</v>
      </c>
      <c r="Z916">
        <v>-7.0403559999999998E-4</v>
      </c>
      <c r="AA916">
        <v>0.9984748</v>
      </c>
      <c r="AB916">
        <v>41</v>
      </c>
      <c r="AC916">
        <v>32.0197</v>
      </c>
      <c r="AD916">
        <v>-1.0596585223249999</v>
      </c>
      <c r="AE916">
        <v>-1.97999999999996</v>
      </c>
      <c r="AF916">
        <v>1.78014219599185</v>
      </c>
      <c r="AG916">
        <v>-1.0596585223249999</v>
      </c>
      <c r="AH916">
        <v>31.996415415583101</v>
      </c>
      <c r="AI916">
        <v>91.893903834317499</v>
      </c>
      <c r="AJ916">
        <v>86.815593471282</v>
      </c>
      <c r="AK916">
        <v>32.063411887515201</v>
      </c>
      <c r="AL916">
        <v>79.093262553725097</v>
      </c>
      <c r="AM916">
        <v>88.627262313697599</v>
      </c>
      <c r="AN916">
        <v>0.99999994283225202</v>
      </c>
    </row>
    <row r="917" spans="1:40" x14ac:dyDescent="0.25">
      <c r="A917" t="str">
        <f>"20190312172911836"</f>
        <v>20190312172911836</v>
      </c>
      <c r="B917" t="str">
        <f>"1552382951828279"</f>
        <v>1552382951828279</v>
      </c>
      <c r="C917" t="s">
        <v>40</v>
      </c>
      <c r="D917">
        <v>3.1905540000000001</v>
      </c>
      <c r="E917">
        <v>0.51527420000000002</v>
      </c>
      <c r="F917" t="s">
        <v>41</v>
      </c>
      <c r="G917">
        <v>-256.2432</v>
      </c>
      <c r="H917" s="1">
        <v>-2.333862E-6</v>
      </c>
      <c r="I917">
        <v>365.59739999999999</v>
      </c>
      <c r="J917">
        <v>-287.5872</v>
      </c>
      <c r="K917">
        <v>1.0596559999999999</v>
      </c>
      <c r="L917">
        <v>367.54500000000002</v>
      </c>
      <c r="M917">
        <v>0.99986739999999996</v>
      </c>
      <c r="N917">
        <v>0</v>
      </c>
      <c r="O917">
        <v>-6.2685269999999899E-3</v>
      </c>
      <c r="P917">
        <v>0.98421959999999997</v>
      </c>
      <c r="Q917">
        <v>0.17446229999999999</v>
      </c>
      <c r="R917">
        <v>-2.9584510000000001E-2</v>
      </c>
      <c r="S917">
        <v>3.060638</v>
      </c>
      <c r="T917">
        <v>-0.1028606</v>
      </c>
      <c r="U917">
        <v>-0.1891785</v>
      </c>
      <c r="V917">
        <v>2.35204E-2</v>
      </c>
      <c r="W917">
        <v>0.1892268</v>
      </c>
      <c r="X917">
        <v>0.98165170000000002</v>
      </c>
      <c r="Y917">
        <v>5.5406259999999999E-2</v>
      </c>
      <c r="Z917">
        <v>-7.1946279999999998E-4</v>
      </c>
      <c r="AA917">
        <v>0.99846360000000001</v>
      </c>
      <c r="AB917">
        <v>41</v>
      </c>
      <c r="AC917">
        <v>31.343999999999902</v>
      </c>
      <c r="AD917">
        <v>-1.059658333862</v>
      </c>
      <c r="AE917">
        <v>-1.94760000000002</v>
      </c>
      <c r="AF917">
        <v>1.7490674327009199</v>
      </c>
      <c r="AG917">
        <v>-1.059658333862</v>
      </c>
      <c r="AH917">
        <v>31.319934910836</v>
      </c>
      <c r="AI917">
        <v>91.9347567252033</v>
      </c>
      <c r="AJ917">
        <v>86.803626892160594</v>
      </c>
      <c r="AK917">
        <v>31.3866282911635</v>
      </c>
      <c r="AL917">
        <v>79.092335704371393</v>
      </c>
      <c r="AM917">
        <v>88.627454259508795</v>
      </c>
      <c r="AN917">
        <v>1.0000000255836401</v>
      </c>
    </row>
    <row r="918" spans="1:40" x14ac:dyDescent="0.25">
      <c r="A918" t="str">
        <f>"20190312172911848"</f>
        <v>20190312172911848</v>
      </c>
      <c r="B918" t="str">
        <f>"1552382951838038"</f>
        <v>1552382951838038</v>
      </c>
      <c r="C918" t="s">
        <v>40</v>
      </c>
      <c r="D918">
        <v>3.2008610000000002</v>
      </c>
      <c r="E918">
        <v>0.5152487</v>
      </c>
      <c r="F918" t="s">
        <v>41</v>
      </c>
      <c r="G918">
        <v>-256.13299999999998</v>
      </c>
      <c r="H918" s="1">
        <v>-2.3705890000000001E-6</v>
      </c>
      <c r="I918">
        <v>365.6003</v>
      </c>
      <c r="J918">
        <v>-287.3707</v>
      </c>
      <c r="K918">
        <v>1.0596589999999999</v>
      </c>
      <c r="L918">
        <v>367.54360000000003</v>
      </c>
      <c r="M918">
        <v>0.99986649999999999</v>
      </c>
      <c r="N918">
        <v>0</v>
      </c>
      <c r="O918">
        <v>-6.3721860000000002E-3</v>
      </c>
      <c r="P918">
        <v>0.98421170000000002</v>
      </c>
      <c r="Q918">
        <v>0.17449500000000001</v>
      </c>
      <c r="R918">
        <v>-2.96429E-2</v>
      </c>
      <c r="S918">
        <v>3.06073</v>
      </c>
      <c r="T918">
        <v>-0.1031126</v>
      </c>
      <c r="U918">
        <v>-0.1892395</v>
      </c>
      <c r="V918">
        <v>2.3476759999999999E-2</v>
      </c>
      <c r="W918">
        <v>0.18926899999999999</v>
      </c>
      <c r="X918">
        <v>0.98164459999999998</v>
      </c>
      <c r="Y918">
        <v>5.5320710000000002E-2</v>
      </c>
      <c r="Z918">
        <v>-7.162755E-4</v>
      </c>
      <c r="AA918">
        <v>0.99846840000000003</v>
      </c>
      <c r="AB918">
        <v>41</v>
      </c>
      <c r="AC918">
        <v>31.2377</v>
      </c>
      <c r="AD918">
        <v>-1.0596613705889999</v>
      </c>
      <c r="AE918">
        <v>-1.94330000000002</v>
      </c>
      <c r="AF918">
        <v>1.7421884960924401</v>
      </c>
      <c r="AG918">
        <v>-1.0596613705889999</v>
      </c>
      <c r="AH918">
        <v>31.213669867099899</v>
      </c>
      <c r="AI918">
        <v>91.941347281718706</v>
      </c>
      <c r="AJ918">
        <v>86.805355312347501</v>
      </c>
      <c r="AK918">
        <v>31.280206034304399</v>
      </c>
      <c r="AL918">
        <v>79.089873227241796</v>
      </c>
      <c r="AM918">
        <v>88.629990018889401</v>
      </c>
      <c r="AN918">
        <v>1.00000001666512</v>
      </c>
    </row>
    <row r="919" spans="1:40" x14ac:dyDescent="0.25">
      <c r="A919" t="str">
        <f>"20190312172911860"</f>
        <v>20190312172911860</v>
      </c>
      <c r="B919" t="str">
        <f>"1552382951848775"</f>
        <v>1552382951848775</v>
      </c>
      <c r="C919" t="s">
        <v>40</v>
      </c>
      <c r="D919">
        <v>3.1754560000000001</v>
      </c>
      <c r="E919">
        <v>0.51544699999999999</v>
      </c>
      <c r="F919" t="s">
        <v>41</v>
      </c>
      <c r="G919">
        <v>-255.9442</v>
      </c>
      <c r="H919" s="1">
        <v>-2.4342879999999998E-6</v>
      </c>
      <c r="I919">
        <v>365.60239999999999</v>
      </c>
      <c r="J919">
        <v>-287.16090000000003</v>
      </c>
      <c r="K919">
        <v>1.059663</v>
      </c>
      <c r="L919">
        <v>367.54219999999998</v>
      </c>
      <c r="M919">
        <v>0.99986589999999997</v>
      </c>
      <c r="N919">
        <v>0</v>
      </c>
      <c r="O919">
        <v>-6.4727379999999996E-3</v>
      </c>
      <c r="P919">
        <v>0.98419760000000001</v>
      </c>
      <c r="Q919">
        <v>0.17455379999999901</v>
      </c>
      <c r="R919">
        <v>-2.977838E-2</v>
      </c>
      <c r="S919">
        <v>3.06073</v>
      </c>
      <c r="T919">
        <v>-0.1032037</v>
      </c>
      <c r="U919">
        <v>-0.18905640000000001</v>
      </c>
      <c r="V919">
        <v>2.351313E-2</v>
      </c>
      <c r="W919">
        <v>0.18933639999999999</v>
      </c>
      <c r="X919">
        <v>0.98163069999999997</v>
      </c>
      <c r="Y919">
        <v>5.5160899999999999E-2</v>
      </c>
      <c r="Z919">
        <v>-7.1083170000000001E-4</v>
      </c>
      <c r="AA919">
        <v>0.99847719999999995</v>
      </c>
      <c r="AB919">
        <v>41</v>
      </c>
      <c r="AC919">
        <v>31.216699999999999</v>
      </c>
      <c r="AD919">
        <v>-1.0596654342880001</v>
      </c>
      <c r="AE919">
        <v>-1.93979999999999</v>
      </c>
      <c r="AF919">
        <v>1.7356866401748099</v>
      </c>
      <c r="AG919">
        <v>-1.0596654342880001</v>
      </c>
      <c r="AH919">
        <v>31.192798111338298</v>
      </c>
      <c r="AI919">
        <v>91.942671178799401</v>
      </c>
      <c r="AJ919">
        <v>86.815127924882106</v>
      </c>
      <c r="AK919">
        <v>31.2590171464206</v>
      </c>
      <c r="AL919">
        <v>79.085940035854307</v>
      </c>
      <c r="AM919">
        <v>88.627848999562204</v>
      </c>
      <c r="AN919">
        <v>0.99999998541492296</v>
      </c>
    </row>
    <row r="920" spans="1:40" x14ac:dyDescent="0.25">
      <c r="A920" t="str">
        <f>"20190312172911874"</f>
        <v>20190312172911874</v>
      </c>
      <c r="B920" t="str">
        <f>"1552382951868294"</f>
        <v>1552382951868294</v>
      </c>
      <c r="C920" t="s">
        <v>40</v>
      </c>
      <c r="D920">
        <v>3.29196</v>
      </c>
      <c r="E920">
        <v>0.51552829999999905</v>
      </c>
      <c r="F920" t="s">
        <v>41</v>
      </c>
      <c r="G920">
        <v>-256.18329999999997</v>
      </c>
      <c r="H920" s="1">
        <v>-2.3508910000000002E-6</v>
      </c>
      <c r="I920">
        <v>365.61</v>
      </c>
      <c r="J920">
        <v>-286.9205</v>
      </c>
      <c r="K920">
        <v>1.0596699999999999</v>
      </c>
      <c r="L920">
        <v>367.54059999999998</v>
      </c>
      <c r="M920">
        <v>0.999865</v>
      </c>
      <c r="N920">
        <v>0</v>
      </c>
      <c r="O920">
        <v>-6.5875980000000001E-3</v>
      </c>
      <c r="P920">
        <v>0.98421139999999996</v>
      </c>
      <c r="Q920">
        <v>0.17444789999999999</v>
      </c>
      <c r="R920">
        <v>-2.9933040000000001E-2</v>
      </c>
      <c r="S920">
        <v>3.0609739999999999</v>
      </c>
      <c r="T920">
        <v>-0.1047076</v>
      </c>
      <c r="U920">
        <v>-0.190918</v>
      </c>
      <c r="V920">
        <v>2.355469E-2</v>
      </c>
      <c r="W920">
        <v>0.18923989999999999</v>
      </c>
      <c r="X920">
        <v>0.98164830000000003</v>
      </c>
      <c r="Y920">
        <v>5.5645180000000002E-2</v>
      </c>
      <c r="Z920">
        <v>-7.2546190000000003E-4</v>
      </c>
      <c r="AA920">
        <v>0.99845030000000001</v>
      </c>
      <c r="AB920">
        <v>41</v>
      </c>
      <c r="AC920">
        <v>30.737200000000001</v>
      </c>
      <c r="AD920">
        <v>-1.059672350891</v>
      </c>
      <c r="AE920">
        <v>-1.9305999999999699</v>
      </c>
      <c r="AF920">
        <v>1.72600746691455</v>
      </c>
      <c r="AG920">
        <v>-1.059672350891</v>
      </c>
      <c r="AH920">
        <v>30.712892232479</v>
      </c>
      <c r="AI920">
        <v>91.972954628985505</v>
      </c>
      <c r="AJ920">
        <v>86.783467007050106</v>
      </c>
      <c r="AK920">
        <v>30.779599681460301</v>
      </c>
      <c r="AL920">
        <v>79.0915707496425</v>
      </c>
      <c r="AM920">
        <v>88.625449256025107</v>
      </c>
      <c r="AN920">
        <v>0.99999997403294705</v>
      </c>
    </row>
    <row r="921" spans="1:40" x14ac:dyDescent="0.25">
      <c r="A921" t="str">
        <f>"20190312172911886"</f>
        <v>20190312172911886</v>
      </c>
      <c r="B921" t="str">
        <f>"1552382951878054"</f>
        <v>1552382951878054</v>
      </c>
      <c r="C921" t="s">
        <v>40</v>
      </c>
      <c r="D921">
        <v>3.1900200000000001</v>
      </c>
      <c r="E921">
        <v>0.51557249999999999</v>
      </c>
      <c r="F921" t="s">
        <v>41</v>
      </c>
      <c r="G921">
        <v>-256.26749999999998</v>
      </c>
      <c r="H921" s="1">
        <v>-2.3206179999999999E-6</v>
      </c>
      <c r="I921">
        <v>365.61610000000002</v>
      </c>
      <c r="J921">
        <v>-286.68349999999998</v>
      </c>
      <c r="K921">
        <v>1.05967099999999</v>
      </c>
      <c r="L921">
        <v>367.53890000000001</v>
      </c>
      <c r="M921">
        <v>0.99986410000000003</v>
      </c>
      <c r="N921">
        <v>0</v>
      </c>
      <c r="O921">
        <v>-6.7006640000000003E-3</v>
      </c>
      <c r="P921">
        <v>0.98419509999999999</v>
      </c>
      <c r="Q921">
        <v>0.17451900000000001</v>
      </c>
      <c r="R921">
        <v>-3.0056179999999998E-2</v>
      </c>
      <c r="S921">
        <v>3.061035</v>
      </c>
      <c r="T921">
        <v>-0.10581930000000001</v>
      </c>
      <c r="U921">
        <v>-0.19216920000000001</v>
      </c>
      <c r="V921">
        <v>2.356654E-2</v>
      </c>
      <c r="W921">
        <v>0.1893186</v>
      </c>
      <c r="X921">
        <v>0.98163290000000003</v>
      </c>
      <c r="Y921">
        <v>5.5936850000000003E-2</v>
      </c>
      <c r="Z921">
        <v>-7.3426749999999999E-4</v>
      </c>
      <c r="AA921">
        <v>0.99843409999999999</v>
      </c>
      <c r="AB921">
        <v>41</v>
      </c>
      <c r="AC921">
        <v>30.416</v>
      </c>
      <c r="AD921">
        <v>-1.05967332061799</v>
      </c>
      <c r="AE921">
        <v>-1.9227999999999901</v>
      </c>
      <c r="AF921">
        <v>1.71685072012428</v>
      </c>
      <c r="AG921">
        <v>-1.05967332061799</v>
      </c>
      <c r="AH921">
        <v>30.391460813985201</v>
      </c>
      <c r="AI921">
        <v>91.993773608677103</v>
      </c>
      <c r="AJ921">
        <v>86.766727954284804</v>
      </c>
      <c r="AK921">
        <v>30.458354754477799</v>
      </c>
      <c r="AL921">
        <v>79.0869792030214</v>
      </c>
      <c r="AM921">
        <v>88.624736439607503</v>
      </c>
      <c r="AN921">
        <v>1.0000000322379701</v>
      </c>
    </row>
    <row r="922" spans="1:40" x14ac:dyDescent="0.25">
      <c r="A922" t="str">
        <f>"20190312172911899"</f>
        <v>20190312172911899</v>
      </c>
      <c r="B922" t="str">
        <f>"1552382951888790"</f>
        <v>1552382951888790</v>
      </c>
      <c r="C922" t="s">
        <v>40</v>
      </c>
      <c r="D922">
        <v>3.1968960000000002</v>
      </c>
      <c r="E922">
        <v>0.51557509999999995</v>
      </c>
      <c r="F922" t="s">
        <v>41</v>
      </c>
      <c r="G922">
        <v>-256.1216</v>
      </c>
      <c r="H922" s="1">
        <v>-2.371445E-6</v>
      </c>
      <c r="I922">
        <v>365.61180000000002</v>
      </c>
      <c r="J922">
        <v>-286.44580000000002</v>
      </c>
      <c r="K922">
        <v>1.0596730000000001</v>
      </c>
      <c r="L922">
        <v>367.53719999999998</v>
      </c>
      <c r="M922">
        <v>0.99986330000000001</v>
      </c>
      <c r="N922">
        <v>0</v>
      </c>
      <c r="O922">
        <v>-6.814199E-3</v>
      </c>
      <c r="P922">
        <v>0.98422010000000004</v>
      </c>
      <c r="Q922">
        <v>0.17436070000000001</v>
      </c>
      <c r="R922">
        <v>-3.0158609999999999E-2</v>
      </c>
      <c r="S922">
        <v>3.061096</v>
      </c>
      <c r="T922">
        <v>-0.106137</v>
      </c>
      <c r="U922">
        <v>-0.19302369999999999</v>
      </c>
      <c r="V922">
        <v>2.3556870000000001E-2</v>
      </c>
      <c r="W922">
        <v>0.18916740000000001</v>
      </c>
      <c r="X922">
        <v>0.98166229999999999</v>
      </c>
      <c r="Y922">
        <v>5.6099629999999998E-2</v>
      </c>
      <c r="Z922">
        <v>-7.3533669999999998E-4</v>
      </c>
      <c r="AA922">
        <v>0.99842489999999995</v>
      </c>
      <c r="AB922">
        <v>41</v>
      </c>
      <c r="AC922">
        <v>30.324200000000001</v>
      </c>
      <c r="AD922">
        <v>-1.05967537144499</v>
      </c>
      <c r="AE922">
        <v>-1.92539999999996</v>
      </c>
      <c r="AF922">
        <v>1.71660889278726</v>
      </c>
      <c r="AG922">
        <v>-1.05967537144499</v>
      </c>
      <c r="AH922">
        <v>30.2997655351313</v>
      </c>
      <c r="AI922">
        <v>91.999787917435597</v>
      </c>
      <c r="AJ922">
        <v>86.757419876738098</v>
      </c>
      <c r="AK922">
        <v>30.366847868482701</v>
      </c>
      <c r="AL922">
        <v>79.095801955757494</v>
      </c>
      <c r="AM922">
        <v>88.625341686861105</v>
      </c>
      <c r="AN922">
        <v>1.0000000512941201</v>
      </c>
    </row>
    <row r="923" spans="1:40" x14ac:dyDescent="0.25">
      <c r="A923" t="str">
        <f>"20190312172911912"</f>
        <v>20190312172911912</v>
      </c>
      <c r="B923" t="str">
        <f>"1552382951908310"</f>
        <v>1552382951908310</v>
      </c>
      <c r="C923" t="s">
        <v>40</v>
      </c>
      <c r="D923">
        <v>3.1684700000000001</v>
      </c>
      <c r="E923">
        <v>0.51563519999999996</v>
      </c>
      <c r="F923" t="s">
        <v>41</v>
      </c>
      <c r="G923">
        <v>-256.18360000000001</v>
      </c>
      <c r="H923" s="1">
        <v>-2.3468679999999999E-6</v>
      </c>
      <c r="I923">
        <v>365.62479999999999</v>
      </c>
      <c r="J923">
        <v>-286.22199999999998</v>
      </c>
      <c r="K923">
        <v>1.0596719999999999</v>
      </c>
      <c r="L923">
        <v>367.53559999999999</v>
      </c>
      <c r="M923">
        <v>0.99986240000000004</v>
      </c>
      <c r="N923">
        <v>0</v>
      </c>
      <c r="O923">
        <v>-6.9208109999999998E-3</v>
      </c>
      <c r="P923">
        <v>0.98424500000000004</v>
      </c>
      <c r="Q923">
        <v>0.17422550000000001</v>
      </c>
      <c r="R923">
        <v>-3.0125579999999999E-2</v>
      </c>
      <c r="S923">
        <v>3.0611269999999999</v>
      </c>
      <c r="T923">
        <v>-0.1071897</v>
      </c>
      <c r="U923">
        <v>-0.19345090000000001</v>
      </c>
      <c r="V923">
        <v>2.3418640000000001E-2</v>
      </c>
      <c r="W923">
        <v>0.18903909999999999</v>
      </c>
      <c r="X923">
        <v>0.98169030000000002</v>
      </c>
      <c r="Y923">
        <v>5.6130800000000002E-2</v>
      </c>
      <c r="Z923">
        <v>-7.3943109999999995E-4</v>
      </c>
      <c r="AA923">
        <v>0.99842319999999996</v>
      </c>
      <c r="AB923">
        <v>41</v>
      </c>
      <c r="AC923">
        <v>30.0383999999999</v>
      </c>
      <c r="AD923">
        <v>-1.0596743468680001</v>
      </c>
      <c r="AE923">
        <v>-1.9107999999999901</v>
      </c>
      <c r="AF923">
        <v>1.70073249573067</v>
      </c>
      <c r="AG923">
        <v>-1.0596743468680001</v>
      </c>
      <c r="AH923">
        <v>30.013705024499401</v>
      </c>
      <c r="AI923">
        <v>92.018828987815297</v>
      </c>
      <c r="AJ923">
        <v>86.7567916765814</v>
      </c>
      <c r="AK923">
        <v>30.080523433629001</v>
      </c>
      <c r="AL923">
        <v>79.103287834750503</v>
      </c>
      <c r="AM923">
        <v>88.633443977453794</v>
      </c>
      <c r="AN923">
        <v>1.00000002957117</v>
      </c>
    </row>
    <row r="924" spans="1:40" x14ac:dyDescent="0.25">
      <c r="A924" t="str">
        <f>"20190312172911925"</f>
        <v>20190312172911925</v>
      </c>
      <c r="B924" t="str">
        <f>"1552382951918070"</f>
        <v>1552382951918070</v>
      </c>
      <c r="C924" t="s">
        <v>40</v>
      </c>
      <c r="D924">
        <v>3.1901489999999999</v>
      </c>
      <c r="E924">
        <v>0.5156965</v>
      </c>
      <c r="F924" t="s">
        <v>41</v>
      </c>
      <c r="G924">
        <v>-256.32139999999998</v>
      </c>
      <c r="H924" s="1">
        <v>-2.2957030000000002E-6</v>
      </c>
      <c r="I924">
        <v>365.64069999999998</v>
      </c>
      <c r="J924">
        <v>-285.96420000000001</v>
      </c>
      <c r="K924">
        <v>1.0596730000000001</v>
      </c>
      <c r="L924">
        <v>367.53370000000001</v>
      </c>
      <c r="M924">
        <v>0.99986140000000001</v>
      </c>
      <c r="N924">
        <v>0</v>
      </c>
      <c r="O924">
        <v>-7.0435180000000003E-3</v>
      </c>
      <c r="P924">
        <v>0.98419440000000002</v>
      </c>
      <c r="Q924">
        <v>0.17446529999999999</v>
      </c>
      <c r="R924">
        <v>-3.0384890000000001E-2</v>
      </c>
      <c r="S924">
        <v>3.0612789999999999</v>
      </c>
      <c r="T924">
        <v>-0.1084913</v>
      </c>
      <c r="U924">
        <v>-0.19400020000000001</v>
      </c>
      <c r="V924">
        <v>2.3557740000000001E-2</v>
      </c>
      <c r="W924">
        <v>0.18928439999999999</v>
      </c>
      <c r="X924">
        <v>0.9816397</v>
      </c>
      <c r="Y924">
        <v>5.6182910000000003E-2</v>
      </c>
      <c r="Z924">
        <v>-7.4494259999999897E-4</v>
      </c>
      <c r="AA924">
        <v>0.99842019999999998</v>
      </c>
      <c r="AB924">
        <v>41</v>
      </c>
      <c r="AC924">
        <v>29.642800000000001</v>
      </c>
      <c r="AD924">
        <v>-1.05967529570299</v>
      </c>
      <c r="AE924">
        <v>-1.89300000000002</v>
      </c>
      <c r="AF924">
        <v>1.68199892813013</v>
      </c>
      <c r="AG924">
        <v>-1.05967529570299</v>
      </c>
      <c r="AH924">
        <v>29.617703780686401</v>
      </c>
      <c r="AI924">
        <v>92.045786169196802</v>
      </c>
      <c r="AJ924">
        <v>86.749645528032403</v>
      </c>
      <c r="AK924">
        <v>29.684346200767799</v>
      </c>
      <c r="AL924">
        <v>79.088974731074401</v>
      </c>
      <c r="AM924">
        <v>88.625259300223405</v>
      </c>
      <c r="AN924">
        <v>1.0000000259066699</v>
      </c>
    </row>
    <row r="925" spans="1:40" x14ac:dyDescent="0.25">
      <c r="A925" t="str">
        <f>"20190312172911936"</f>
        <v>20190312172911936</v>
      </c>
      <c r="B925" t="str">
        <f>"1552382951928806"</f>
        <v>1552382951928806</v>
      </c>
      <c r="C925" t="s">
        <v>40</v>
      </c>
      <c r="D925">
        <v>3.1794220000000002</v>
      </c>
      <c r="E925">
        <v>0.51569759999999998</v>
      </c>
      <c r="F925" t="s">
        <v>41</v>
      </c>
      <c r="G925">
        <v>-255.8603</v>
      </c>
      <c r="H925" s="1">
        <v>-2.4681909999999999E-6</v>
      </c>
      <c r="I925">
        <v>365.6139</v>
      </c>
      <c r="J925">
        <v>-285.75330000000002</v>
      </c>
      <c r="K925">
        <v>1.0596779999999999</v>
      </c>
      <c r="L925">
        <v>367.53219999999999</v>
      </c>
      <c r="M925">
        <v>0.99986059999999999</v>
      </c>
      <c r="N925">
        <v>0</v>
      </c>
      <c r="O925">
        <v>-7.1442780000000004E-3</v>
      </c>
      <c r="P925">
        <v>0.98415859999999999</v>
      </c>
      <c r="Q925">
        <v>0.17464150000000001</v>
      </c>
      <c r="R925">
        <v>-3.0535219999999998E-2</v>
      </c>
      <c r="S925">
        <v>3.0612490000000001</v>
      </c>
      <c r="T925">
        <v>-0.1077577</v>
      </c>
      <c r="U925">
        <v>-0.1952209</v>
      </c>
      <c r="V925">
        <v>2.3609249999999998E-2</v>
      </c>
      <c r="W925">
        <v>0.1894642</v>
      </c>
      <c r="X925">
        <v>0.98160369999999997</v>
      </c>
      <c r="Y925">
        <v>5.6479729999999999E-2</v>
      </c>
      <c r="Z925">
        <v>-7.4158160000000004E-4</v>
      </c>
      <c r="AA925">
        <v>0.9984035</v>
      </c>
      <c r="AB925">
        <v>41</v>
      </c>
      <c r="AC925">
        <v>29.893000000000001</v>
      </c>
      <c r="AD925">
        <v>-1.0596804681909999</v>
      </c>
      <c r="AE925">
        <v>-1.9182999999999799</v>
      </c>
      <c r="AF925">
        <v>1.7025321121408601</v>
      </c>
      <c r="AG925">
        <v>-1.0596804681909999</v>
      </c>
      <c r="AH925">
        <v>29.868563270613599</v>
      </c>
      <c r="AI925">
        <v>92.028604176795696</v>
      </c>
      <c r="AJ925">
        <v>86.737624714436294</v>
      </c>
      <c r="AK925">
        <v>29.9358081590957</v>
      </c>
      <c r="AL925">
        <v>79.078482284704506</v>
      </c>
      <c r="AM925">
        <v>88.622204019671898</v>
      </c>
      <c r="AN925">
        <v>0.99999995181044499</v>
      </c>
    </row>
    <row r="926" spans="1:40" x14ac:dyDescent="0.25">
      <c r="A926" t="str">
        <f>"20190312172911948"</f>
        <v>20190312172911948</v>
      </c>
      <c r="B926" t="str">
        <f>"1552382951938566"</f>
        <v>1552382951938566</v>
      </c>
      <c r="C926" t="s">
        <v>40</v>
      </c>
      <c r="D926">
        <v>3.189613</v>
      </c>
      <c r="E926">
        <v>0.51578369999999996</v>
      </c>
      <c r="F926" t="s">
        <v>41</v>
      </c>
      <c r="G926">
        <v>-255.6095</v>
      </c>
      <c r="H926" s="1">
        <v>-2.577097E-6</v>
      </c>
      <c r="I926">
        <v>365.60649999999998</v>
      </c>
      <c r="J926">
        <v>-285.5532</v>
      </c>
      <c r="K926">
        <v>1.05968</v>
      </c>
      <c r="L926">
        <v>367.53070000000002</v>
      </c>
      <c r="M926">
        <v>0.99985990000000002</v>
      </c>
      <c r="N926">
        <v>0</v>
      </c>
      <c r="O926">
        <v>-7.2395489999999996E-3</v>
      </c>
      <c r="P926">
        <v>0.98415339999999996</v>
      </c>
      <c r="Q926">
        <v>0.174626799999999</v>
      </c>
      <c r="R926">
        <v>-3.0783640000000001E-2</v>
      </c>
      <c r="S926">
        <v>3.0612789999999999</v>
      </c>
      <c r="T926">
        <v>-0.1076164</v>
      </c>
      <c r="U926">
        <v>-0.1955566</v>
      </c>
      <c r="V926">
        <v>2.3763800000000002E-2</v>
      </c>
      <c r="W926">
        <v>0.18945300000000001</v>
      </c>
      <c r="X926">
        <v>0.98160219999999998</v>
      </c>
      <c r="Y926">
        <v>5.6493139999999997E-2</v>
      </c>
      <c r="Z926">
        <v>-7.3749089999999905E-4</v>
      </c>
      <c r="AA926">
        <v>0.99840269999999998</v>
      </c>
      <c r="AB926">
        <v>41</v>
      </c>
      <c r="AC926">
        <v>29.9437</v>
      </c>
      <c r="AD926">
        <v>-1.059682577097</v>
      </c>
      <c r="AE926">
        <v>-1.9242000000000401</v>
      </c>
      <c r="AF926">
        <v>1.7052191656198801</v>
      </c>
      <c r="AG926">
        <v>-1.059682577097</v>
      </c>
      <c r="AH926">
        <v>29.919530131845399</v>
      </c>
      <c r="AI926">
        <v>92.025156266148798</v>
      </c>
      <c r="AJ926">
        <v>86.738041019883894</v>
      </c>
      <c r="AK926">
        <v>29.986813483219699</v>
      </c>
      <c r="AL926">
        <v>79.079136568275302</v>
      </c>
      <c r="AM926">
        <v>88.6131861349524</v>
      </c>
      <c r="AN926">
        <v>1.00000001822213</v>
      </c>
    </row>
    <row r="927" spans="1:40" x14ac:dyDescent="0.25">
      <c r="A927" t="str">
        <f>"20190312172911960"</f>
        <v>20190312172911960</v>
      </c>
      <c r="B927" t="str">
        <f>"1552382951948327"</f>
        <v>1552382951948327</v>
      </c>
      <c r="C927" t="s">
        <v>40</v>
      </c>
      <c r="D927">
        <v>3.191897</v>
      </c>
      <c r="E927">
        <v>0.51584870000000005</v>
      </c>
      <c r="F927" t="s">
        <v>41</v>
      </c>
      <c r="G927">
        <v>-255.8</v>
      </c>
      <c r="H927" s="1">
        <v>-2.4937200000000001E-6</v>
      </c>
      <c r="I927">
        <v>365.61590000000001</v>
      </c>
      <c r="J927">
        <v>-285.3458</v>
      </c>
      <c r="K927">
        <v>1.059682</v>
      </c>
      <c r="L927">
        <v>367.52910000000003</v>
      </c>
      <c r="M927">
        <v>0.99985919999999895</v>
      </c>
      <c r="N927">
        <v>0</v>
      </c>
      <c r="O927">
        <v>-7.3385129999999996E-3</v>
      </c>
      <c r="P927">
        <v>0.98419270000000003</v>
      </c>
      <c r="Q927">
        <v>0.17440559999999999</v>
      </c>
      <c r="R927">
        <v>-3.0778349999999999E-2</v>
      </c>
      <c r="S927">
        <v>3.0615230000000002</v>
      </c>
      <c r="T927">
        <v>-0.109038</v>
      </c>
      <c r="U927">
        <v>-0.19702149999999999</v>
      </c>
      <c r="V927">
        <v>2.3660799999999999E-2</v>
      </c>
      <c r="W927">
        <v>0.18923570000000001</v>
      </c>
      <c r="X927">
        <v>0.98164660000000004</v>
      </c>
      <c r="Y927">
        <v>5.6864020000000001E-2</v>
      </c>
      <c r="Z927">
        <v>-7.5023179999999905E-4</v>
      </c>
      <c r="AA927">
        <v>0.99838170000000004</v>
      </c>
      <c r="AB927">
        <v>41</v>
      </c>
      <c r="AC927">
        <v>29.5457999999999</v>
      </c>
      <c r="AD927">
        <v>-1.0596844937200001</v>
      </c>
      <c r="AE927">
        <v>-1.91320000000001</v>
      </c>
      <c r="AF927">
        <v>1.69413138248218</v>
      </c>
      <c r="AG927">
        <v>-1.0596844937200001</v>
      </c>
      <c r="AH927">
        <v>29.5212295866171</v>
      </c>
      <c r="AI927">
        <v>92.052414194501495</v>
      </c>
      <c r="AJ927">
        <v>86.715576058744901</v>
      </c>
      <c r="AK927">
        <v>29.588781804479598</v>
      </c>
      <c r="AL927">
        <v>79.091816277367499</v>
      </c>
      <c r="AM927">
        <v>88.619257132711397</v>
      </c>
      <c r="AN927">
        <v>1.00000001545134</v>
      </c>
    </row>
    <row r="928" spans="1:40" x14ac:dyDescent="0.25">
      <c r="A928" t="str">
        <f>"20190312172911970"</f>
        <v>20190312172911970</v>
      </c>
      <c r="B928" t="str">
        <f>"1552382951967846"</f>
        <v>1552382951967846</v>
      </c>
      <c r="C928" t="s">
        <v>40</v>
      </c>
      <c r="D928">
        <v>3.1943039999999998</v>
      </c>
      <c r="E928">
        <v>0.51594890000000004</v>
      </c>
      <c r="F928" t="s">
        <v>41</v>
      </c>
      <c r="G928">
        <v>-256.08800000000002</v>
      </c>
      <c r="H928" s="1">
        <v>-2.3748250000000002E-6</v>
      </c>
      <c r="I928">
        <v>365.64190000000002</v>
      </c>
      <c r="J928">
        <v>-285.15809999999999</v>
      </c>
      <c r="K928">
        <v>1.059682</v>
      </c>
      <c r="L928">
        <v>367.52760000000001</v>
      </c>
      <c r="M928">
        <v>0.99985849999999998</v>
      </c>
      <c r="N928">
        <v>0</v>
      </c>
      <c r="O928">
        <v>-7.4281709999999999E-3</v>
      </c>
      <c r="P928">
        <v>0.98421530000000002</v>
      </c>
      <c r="Q928">
        <v>0.1742997</v>
      </c>
      <c r="R928">
        <v>-3.0661109999999998E-2</v>
      </c>
      <c r="S928">
        <v>3.0616460000000001</v>
      </c>
      <c r="T928">
        <v>-0.11088919999999999</v>
      </c>
      <c r="U928">
        <v>-0.19747919999999999</v>
      </c>
      <c r="V928">
        <v>2.3454909999999999E-2</v>
      </c>
      <c r="W928">
        <v>0.1891332</v>
      </c>
      <c r="X928">
        <v>0.98167130000000002</v>
      </c>
      <c r="Y928">
        <v>5.6919570000000003E-2</v>
      </c>
      <c r="Z928">
        <v>-7.6068830000000003E-4</v>
      </c>
      <c r="AA928">
        <v>0.99837849999999995</v>
      </c>
      <c r="AB928">
        <v>41</v>
      </c>
      <c r="AC928">
        <v>29.0701</v>
      </c>
      <c r="AD928">
        <v>-1.059684374825</v>
      </c>
      <c r="AE928">
        <v>-1.8856999999999799</v>
      </c>
      <c r="AF928">
        <v>1.6674792254862301</v>
      </c>
      <c r="AG928">
        <v>-1.059684374825</v>
      </c>
      <c r="AH928">
        <v>29.044873548207701</v>
      </c>
      <c r="AI928">
        <v>92.086042665677297</v>
      </c>
      <c r="AJ928">
        <v>86.714230338323603</v>
      </c>
      <c r="AK928">
        <v>29.111992329159701</v>
      </c>
      <c r="AL928">
        <v>79.097797156795394</v>
      </c>
      <c r="AM928">
        <v>88.631301825778806</v>
      </c>
      <c r="AN928">
        <v>1.0000000206945101</v>
      </c>
    </row>
    <row r="929" spans="1:40" x14ac:dyDescent="0.25">
      <c r="A929" t="str">
        <f>"20190312172911982"</f>
        <v>20190312172911982</v>
      </c>
      <c r="B929" t="str">
        <f>"1552382951978583"</f>
        <v>1552382951978583</v>
      </c>
      <c r="C929" t="s">
        <v>40</v>
      </c>
      <c r="D929">
        <v>3.1973240000000001</v>
      </c>
      <c r="E929">
        <v>0.51594129999999905</v>
      </c>
      <c r="F929" t="s">
        <v>41</v>
      </c>
      <c r="G929">
        <v>-256.4205</v>
      </c>
      <c r="H929" s="1">
        <v>-2.2543909999999999E-6</v>
      </c>
      <c r="I929">
        <v>365.66930000000002</v>
      </c>
      <c r="J929">
        <v>-284.9443</v>
      </c>
      <c r="K929">
        <v>1.0596859999999999</v>
      </c>
      <c r="L929">
        <v>367.52600000000001</v>
      </c>
      <c r="M929">
        <v>0.99985780000000002</v>
      </c>
      <c r="N929">
        <v>0</v>
      </c>
      <c r="O929">
        <v>-7.5307019999999898E-3</v>
      </c>
      <c r="P929">
        <v>0.98424400000000001</v>
      </c>
      <c r="Q929">
        <v>0.1741046</v>
      </c>
      <c r="R929">
        <v>-3.0851960000000001E-2</v>
      </c>
      <c r="S929">
        <v>3.0619510000000001</v>
      </c>
      <c r="T929">
        <v>-0.1129074</v>
      </c>
      <c r="U929">
        <v>-0.19799800000000001</v>
      </c>
      <c r="V929">
        <v>2.354415E-2</v>
      </c>
      <c r="W929">
        <v>0.1889412</v>
      </c>
      <c r="X929">
        <v>0.98170610000000003</v>
      </c>
      <c r="Y929">
        <v>5.6978099999999997E-2</v>
      </c>
      <c r="Z929">
        <v>-7.7174489999999997E-4</v>
      </c>
      <c r="AA929">
        <v>0.99837509999999996</v>
      </c>
      <c r="AB929">
        <v>41</v>
      </c>
      <c r="AC929">
        <v>28.523799999999898</v>
      </c>
      <c r="AD929">
        <v>-1.059688254391</v>
      </c>
      <c r="AE929">
        <v>-1.85669999999998</v>
      </c>
      <c r="AF929">
        <v>1.6395652678794801</v>
      </c>
      <c r="AG929">
        <v>-1.059688254391</v>
      </c>
      <c r="AH929">
        <v>28.497808165151</v>
      </c>
      <c r="AI929">
        <v>92.126044369686895</v>
      </c>
      <c r="AJ929">
        <v>86.707230042677494</v>
      </c>
      <c r="AK929">
        <v>28.56459668334</v>
      </c>
      <c r="AL929">
        <v>79.108999544219799</v>
      </c>
      <c r="AM929">
        <v>88.626144951779906</v>
      </c>
      <c r="AN929">
        <v>0.99999998541693602</v>
      </c>
    </row>
    <row r="930" spans="1:40" x14ac:dyDescent="0.25">
      <c r="A930" t="str">
        <f>"20190312172911995"</f>
        <v>20190312172911995</v>
      </c>
      <c r="B930" t="str">
        <f>"1552382951988342"</f>
        <v>1552382951988342</v>
      </c>
      <c r="C930" t="s">
        <v>40</v>
      </c>
      <c r="D930">
        <v>3.1929069999999999</v>
      </c>
      <c r="E930">
        <v>0.51593199999999995</v>
      </c>
      <c r="F930" t="s">
        <v>41</v>
      </c>
      <c r="G930">
        <v>-256.48500000000001</v>
      </c>
      <c r="H930" s="1">
        <v>-2.2298030000000001E-6</v>
      </c>
      <c r="I930">
        <v>365.67919999999998</v>
      </c>
      <c r="J930">
        <v>-284.71289999999999</v>
      </c>
      <c r="K930">
        <v>1.05969</v>
      </c>
      <c r="L930">
        <v>367.52409999999998</v>
      </c>
      <c r="M930">
        <v>0.99985679999999999</v>
      </c>
      <c r="N930">
        <v>0</v>
      </c>
      <c r="O930">
        <v>-7.6415729999999996E-3</v>
      </c>
      <c r="P930">
        <v>0.9842476</v>
      </c>
      <c r="Q930">
        <v>0.17407329999999999</v>
      </c>
      <c r="R930">
        <v>-3.0906690000000001E-2</v>
      </c>
      <c r="S930">
        <v>3.0619809999999998</v>
      </c>
      <c r="T930">
        <v>-0.1140134</v>
      </c>
      <c r="U930">
        <v>-0.19869999999999999</v>
      </c>
      <c r="V930">
        <v>2.3489670000000001E-2</v>
      </c>
      <c r="W930">
        <v>0.1889122</v>
      </c>
      <c r="X930">
        <v>0.98171299999999995</v>
      </c>
      <c r="Y930">
        <v>5.7093989999999997E-2</v>
      </c>
      <c r="Z930">
        <v>-7.7731830000000003E-4</v>
      </c>
      <c r="AA930">
        <v>0.99836849999999999</v>
      </c>
      <c r="AB930">
        <v>41</v>
      </c>
      <c r="AC930">
        <v>28.227899999999899</v>
      </c>
      <c r="AD930">
        <v>-1.059692229803</v>
      </c>
      <c r="AE930">
        <v>-1.84489999999999</v>
      </c>
      <c r="AF930">
        <v>1.6268330318478601</v>
      </c>
      <c r="AG930">
        <v>-1.059692229803</v>
      </c>
      <c r="AH930">
        <v>28.201599815206801</v>
      </c>
      <c r="AI930">
        <v>92.148343141240105</v>
      </c>
      <c r="AJ930">
        <v>86.698503552103801</v>
      </c>
      <c r="AK930">
        <v>28.268352719472102</v>
      </c>
      <c r="AL930">
        <v>79.110691744873606</v>
      </c>
      <c r="AM930">
        <v>88.629332400486305</v>
      </c>
      <c r="AN930">
        <v>0.999999999137274</v>
      </c>
    </row>
    <row r="931" spans="1:40" x14ac:dyDescent="0.25">
      <c r="A931" t="str">
        <f>"20190312172912006"</f>
        <v>20190312172912006</v>
      </c>
      <c r="B931" t="str">
        <f>"1552382951998102"</f>
        <v>1552382951998102</v>
      </c>
      <c r="C931" t="s">
        <v>40</v>
      </c>
      <c r="D931">
        <v>3.3892950000000002</v>
      </c>
      <c r="E931">
        <v>0.51598949999999999</v>
      </c>
      <c r="F931" t="s">
        <v>41</v>
      </c>
      <c r="G931">
        <v>-256.38119999999998</v>
      </c>
      <c r="H931" s="1">
        <v>-2.2627579999999999E-6</v>
      </c>
      <c r="I931">
        <v>365.68819999999999</v>
      </c>
      <c r="J931">
        <v>-284.51220000000001</v>
      </c>
      <c r="K931">
        <v>1.059688</v>
      </c>
      <c r="L931">
        <v>367.52249999999998</v>
      </c>
      <c r="M931">
        <v>0.99985590000000002</v>
      </c>
      <c r="N931">
        <v>0</v>
      </c>
      <c r="O931">
        <v>-7.7376579999999997E-3</v>
      </c>
      <c r="P931">
        <v>0.98423000000000005</v>
      </c>
      <c r="Q931">
        <v>0.1741569</v>
      </c>
      <c r="R931">
        <v>-3.100054E-2</v>
      </c>
      <c r="S931">
        <v>3.0620419999999999</v>
      </c>
      <c r="T931">
        <v>-0.1145294</v>
      </c>
      <c r="U931">
        <v>-0.1984253</v>
      </c>
      <c r="V931">
        <v>2.3488729999999999E-2</v>
      </c>
      <c r="W931">
        <v>0.18899740000000001</v>
      </c>
      <c r="X931">
        <v>0.98169660000000003</v>
      </c>
      <c r="Y931">
        <v>5.6907480000000003E-2</v>
      </c>
      <c r="Z931">
        <v>-7.7374799999999999E-4</v>
      </c>
      <c r="AA931">
        <v>0.99837920000000002</v>
      </c>
      <c r="AB931">
        <v>41</v>
      </c>
      <c r="AC931">
        <v>28.131</v>
      </c>
      <c r="AD931">
        <v>-1.059690262758</v>
      </c>
      <c r="AE931">
        <v>-1.8342999999999801</v>
      </c>
      <c r="AF931">
        <v>1.61427118674318</v>
      </c>
      <c r="AG931">
        <v>-1.059690262758</v>
      </c>
      <c r="AH931">
        <v>28.104640370496899</v>
      </c>
      <c r="AI931">
        <v>92.155774464798796</v>
      </c>
      <c r="AJ931">
        <v>86.712663352897707</v>
      </c>
      <c r="AK931">
        <v>28.1709003276838</v>
      </c>
      <c r="AL931">
        <v>79.105720338438999</v>
      </c>
      <c r="AM931">
        <v>88.629364341967204</v>
      </c>
      <c r="AN931">
        <v>0.99999997604766599</v>
      </c>
    </row>
    <row r="932" spans="1:40" x14ac:dyDescent="0.25">
      <c r="A932" t="str">
        <f>"20190312172912016"</f>
        <v>20190312172912016</v>
      </c>
      <c r="B932" t="str">
        <f>"1552382952007862"</f>
        <v>1552382952007862</v>
      </c>
      <c r="C932" t="s">
        <v>40</v>
      </c>
      <c r="D932">
        <v>3.2186210000000002</v>
      </c>
      <c r="E932">
        <v>0.51604170000000005</v>
      </c>
      <c r="F932" t="s">
        <v>41</v>
      </c>
      <c r="G932">
        <v>-256.16199999999998</v>
      </c>
      <c r="H932" s="1">
        <v>-2.3411080000000001E-6</v>
      </c>
      <c r="I932">
        <v>365.67410000000001</v>
      </c>
      <c r="J932">
        <v>-284.3159</v>
      </c>
      <c r="K932">
        <v>1.059693</v>
      </c>
      <c r="L932">
        <v>367.52089999999998</v>
      </c>
      <c r="M932">
        <v>0.99985520000000006</v>
      </c>
      <c r="N932">
        <v>0</v>
      </c>
      <c r="O932">
        <v>-7.832192E-3</v>
      </c>
      <c r="P932">
        <v>0.98420079999999999</v>
      </c>
      <c r="Q932">
        <v>0.17429069999999999</v>
      </c>
      <c r="R932">
        <v>-3.117603E-2</v>
      </c>
      <c r="S932">
        <v>3.0620419999999999</v>
      </c>
      <c r="T932">
        <v>-0.11445429999999999</v>
      </c>
      <c r="U932">
        <v>-0.19964599999999999</v>
      </c>
      <c r="V932">
        <v>2.3571410000000001E-2</v>
      </c>
      <c r="W932">
        <v>0.18913269999999999</v>
      </c>
      <c r="X932">
        <v>0.9816686</v>
      </c>
      <c r="Y932">
        <v>5.7209320000000001E-2</v>
      </c>
      <c r="Z932">
        <v>-7.7533589999999905E-4</v>
      </c>
      <c r="AA932">
        <v>0.99836190000000002</v>
      </c>
      <c r="AB932">
        <v>40</v>
      </c>
      <c r="AC932">
        <v>28.153899999999901</v>
      </c>
      <c r="AD932">
        <v>-1.0596953411079999</v>
      </c>
      <c r="AE932">
        <v>-1.84679999999997</v>
      </c>
      <c r="AF932">
        <v>1.62392063490275</v>
      </c>
      <c r="AG932">
        <v>-1.0596953411079999</v>
      </c>
      <c r="AH932">
        <v>28.1278238078085</v>
      </c>
      <c r="AI932">
        <v>92.153973100912594</v>
      </c>
      <c r="AJ932">
        <v>86.695776088832503</v>
      </c>
      <c r="AK932">
        <v>28.1945836040816</v>
      </c>
      <c r="AL932">
        <v>79.097826267318993</v>
      </c>
      <c r="AM932">
        <v>88.624502356902894</v>
      </c>
      <c r="AN932">
        <v>1.0000000149023101</v>
      </c>
    </row>
    <row r="933" spans="1:40" x14ac:dyDescent="0.25">
      <c r="A933" t="str">
        <f>"20190312172912027"</f>
        <v>20190312172912027</v>
      </c>
      <c r="B933" t="str">
        <f>"1552382952018598"</f>
        <v>1552382952018598</v>
      </c>
      <c r="C933" t="s">
        <v>40</v>
      </c>
      <c r="D933">
        <v>3.189511</v>
      </c>
      <c r="E933">
        <v>0.51608350000000003</v>
      </c>
      <c r="F933" t="s">
        <v>41</v>
      </c>
      <c r="G933">
        <v>-255.96809999999999</v>
      </c>
      <c r="H933" s="1">
        <v>-2.4132850000000001E-6</v>
      </c>
      <c r="I933">
        <v>365.6628</v>
      </c>
      <c r="J933">
        <v>-284.12400000000002</v>
      </c>
      <c r="K933">
        <v>1.059696</v>
      </c>
      <c r="L933">
        <v>367.51929999999999</v>
      </c>
      <c r="M933">
        <v>0.99985449999999998</v>
      </c>
      <c r="N933">
        <v>0</v>
      </c>
      <c r="O933">
        <v>-7.9243390000000007E-3</v>
      </c>
      <c r="P933">
        <v>0.98414769999999896</v>
      </c>
      <c r="Q933">
        <v>0.174572</v>
      </c>
      <c r="R933">
        <v>-3.1276379999999999E-2</v>
      </c>
      <c r="S933">
        <v>3.0620419999999999</v>
      </c>
      <c r="T933">
        <v>-0.1144646</v>
      </c>
      <c r="U933">
        <v>-0.20071410000000001</v>
      </c>
      <c r="V933">
        <v>2.3581370000000001E-2</v>
      </c>
      <c r="W933">
        <v>0.1894141</v>
      </c>
      <c r="X933">
        <v>0.98161410000000004</v>
      </c>
      <c r="Y933">
        <v>5.7463960000000001E-2</v>
      </c>
      <c r="Z933">
        <v>-7.767106E-4</v>
      </c>
      <c r="AA933">
        <v>0.99834730000000005</v>
      </c>
      <c r="AB933">
        <v>40</v>
      </c>
      <c r="AC933">
        <v>28.155899999999999</v>
      </c>
      <c r="AD933">
        <v>-1.059698413285</v>
      </c>
      <c r="AE933">
        <v>-1.8564999999999801</v>
      </c>
      <c r="AF933">
        <v>1.6309989818364801</v>
      </c>
      <c r="AG933">
        <v>-1.059698413285</v>
      </c>
      <c r="AH933">
        <v>28.130054398671099</v>
      </c>
      <c r="AI933">
        <v>92.153778045296704</v>
      </c>
      <c r="AJ933">
        <v>86.681668316350098</v>
      </c>
      <c r="AK933">
        <v>28.1972175733363</v>
      </c>
      <c r="AL933">
        <v>79.081406403072606</v>
      </c>
      <c r="AM933">
        <v>88.623844997990901</v>
      </c>
      <c r="AN933">
        <v>1.0000000118043399</v>
      </c>
    </row>
    <row r="934" spans="1:40" x14ac:dyDescent="0.25">
      <c r="A934" t="str">
        <f>"20190312172912037"</f>
        <v>20190312172912037</v>
      </c>
      <c r="B934" t="str">
        <f>"1552382952028359"</f>
        <v>1552382952028359</v>
      </c>
      <c r="C934" t="s">
        <v>40</v>
      </c>
      <c r="D934">
        <v>3.1983030000000001</v>
      </c>
      <c r="E934">
        <v>0.51612060000000004</v>
      </c>
      <c r="F934" t="s">
        <v>41</v>
      </c>
      <c r="G934">
        <v>-255.68129999999999</v>
      </c>
      <c r="H934" s="1">
        <v>-2.5382609999999999E-6</v>
      </c>
      <c r="I934">
        <v>365.65190000000001</v>
      </c>
      <c r="J934">
        <v>-283.9341</v>
      </c>
      <c r="K934">
        <v>1.059701</v>
      </c>
      <c r="L934">
        <v>367.51780000000002</v>
      </c>
      <c r="M934">
        <v>0.99985369999999996</v>
      </c>
      <c r="N934">
        <v>0</v>
      </c>
      <c r="O934">
        <v>-8.0156499999999992E-3</v>
      </c>
      <c r="P934">
        <v>0.98407670000000003</v>
      </c>
      <c r="Q934">
        <v>0.17490849999999999</v>
      </c>
      <c r="R934">
        <v>-3.16291E-2</v>
      </c>
      <c r="S934">
        <v>3.0621640000000001</v>
      </c>
      <c r="T934">
        <v>-0.1140877</v>
      </c>
      <c r="U934">
        <v>-0.2010498</v>
      </c>
      <c r="V934">
        <v>2.3844939999999998E-2</v>
      </c>
      <c r="W934">
        <v>0.18975020000000001</v>
      </c>
      <c r="X934">
        <v>0.98154280000000005</v>
      </c>
      <c r="Y934">
        <v>5.747944E-2</v>
      </c>
      <c r="Z934">
        <v>-7.7101220000000002E-4</v>
      </c>
      <c r="AA934">
        <v>0.99834639999999997</v>
      </c>
      <c r="AB934">
        <v>40</v>
      </c>
      <c r="AC934">
        <v>28.252800000000001</v>
      </c>
      <c r="AD934">
        <v>-1.0597035382610001</v>
      </c>
      <c r="AE934">
        <v>-1.8659000000000101</v>
      </c>
      <c r="AF934">
        <v>1.6370565472374199</v>
      </c>
      <c r="AG934">
        <v>-1.0597035382610001</v>
      </c>
      <c r="AH934">
        <v>28.227311304628198</v>
      </c>
      <c r="AI934">
        <v>92.146372711247096</v>
      </c>
      <c r="AJ934">
        <v>86.680821598547098</v>
      </c>
      <c r="AK934">
        <v>28.294593639355298</v>
      </c>
      <c r="AL934">
        <v>79.061793412750006</v>
      </c>
      <c r="AM934">
        <v>88.608368625838494</v>
      </c>
      <c r="AN934">
        <v>0.99999999389774097</v>
      </c>
    </row>
    <row r="935" spans="1:40" x14ac:dyDescent="0.25">
      <c r="A935" t="str">
        <f>"20190312172912048"</f>
        <v>20190312172912048</v>
      </c>
      <c r="B935" t="str">
        <f>"1552382952038119"</f>
        <v>1552382952038119</v>
      </c>
      <c r="C935" t="s">
        <v>40</v>
      </c>
      <c r="D935">
        <v>3.2182439999999999</v>
      </c>
      <c r="E935">
        <v>0.51617849999999998</v>
      </c>
      <c r="F935" t="s">
        <v>41</v>
      </c>
      <c r="G935">
        <v>-255.37690000000001</v>
      </c>
      <c r="H935" s="1">
        <v>-2.67289E-6</v>
      </c>
      <c r="I935">
        <v>365.62920000000003</v>
      </c>
      <c r="J935">
        <v>-283.73450000000003</v>
      </c>
      <c r="K935">
        <v>1.059704</v>
      </c>
      <c r="L935">
        <v>367.51609999999999</v>
      </c>
      <c r="M935">
        <v>0.99985310000000005</v>
      </c>
      <c r="N935">
        <v>0</v>
      </c>
      <c r="O935">
        <v>-8.1117289999999998E-3</v>
      </c>
      <c r="P935">
        <v>0.98405989999999999</v>
      </c>
      <c r="Q935">
        <v>0.174959</v>
      </c>
      <c r="R935">
        <v>-3.1873150000000003E-2</v>
      </c>
      <c r="S935">
        <v>3.062195</v>
      </c>
      <c r="T935">
        <v>-0.1136317</v>
      </c>
      <c r="U935">
        <v>-0.20251459999999999</v>
      </c>
      <c r="V935">
        <v>2.399451E-2</v>
      </c>
      <c r="W935">
        <v>0.18980130000000001</v>
      </c>
      <c r="X935">
        <v>0.98152930000000005</v>
      </c>
      <c r="Y935">
        <v>5.7858449999999999E-2</v>
      </c>
      <c r="Z935">
        <v>-7.7137509999999996E-4</v>
      </c>
      <c r="AA935">
        <v>0.99832449999999995</v>
      </c>
      <c r="AB935">
        <v>40</v>
      </c>
      <c r="AC935">
        <v>28.357600000000001</v>
      </c>
      <c r="AD935">
        <v>-1.05970667289</v>
      </c>
      <c r="AE935">
        <v>-1.8868999999999601</v>
      </c>
      <c r="AF935">
        <v>1.6544822594478801</v>
      </c>
      <c r="AG935">
        <v>-1.05970667289</v>
      </c>
      <c r="AH935">
        <v>28.332583302217898</v>
      </c>
      <c r="AI935">
        <v>92.138361919227094</v>
      </c>
      <c r="AJ935">
        <v>86.6580060798848</v>
      </c>
      <c r="AK935">
        <v>28.400626161345699</v>
      </c>
      <c r="AL935">
        <v>79.058811678914694</v>
      </c>
      <c r="AM935">
        <v>88.599623677616407</v>
      </c>
      <c r="AN935">
        <v>1.0000000183751501</v>
      </c>
    </row>
    <row r="936" spans="1:40" x14ac:dyDescent="0.25">
      <c r="A936" t="str">
        <f>"20190312172912059"</f>
        <v>20190312172912059</v>
      </c>
      <c r="B936" t="str">
        <f>"1552382952047878"</f>
        <v>1552382952047878</v>
      </c>
      <c r="C936" t="s">
        <v>40</v>
      </c>
      <c r="D936">
        <v>3.2123390000000001</v>
      </c>
      <c r="E936">
        <v>0.51616439999999997</v>
      </c>
      <c r="F936" t="s">
        <v>41</v>
      </c>
      <c r="G936">
        <v>-255.27260000000001</v>
      </c>
      <c r="H936" s="1">
        <v>-2.7190799999999998E-6</v>
      </c>
      <c r="I936">
        <v>365.62099999999998</v>
      </c>
      <c r="J936">
        <v>-283.53539999999998</v>
      </c>
      <c r="K936">
        <v>1.059707</v>
      </c>
      <c r="L936">
        <v>367.51440000000002</v>
      </c>
      <c r="M936">
        <v>0.99985219999999997</v>
      </c>
      <c r="N936">
        <v>0</v>
      </c>
      <c r="O936">
        <v>-8.2075680000000002E-3</v>
      </c>
      <c r="P936">
        <v>0.9840141</v>
      </c>
      <c r="Q936">
        <v>0.17518520000000001</v>
      </c>
      <c r="R936">
        <v>-3.2046650000000003E-2</v>
      </c>
      <c r="S936">
        <v>3.0622560000000001</v>
      </c>
      <c r="T936">
        <v>-0.1140149</v>
      </c>
      <c r="U936">
        <v>-0.20388790000000001</v>
      </c>
      <c r="V936">
        <v>2.407395E-2</v>
      </c>
      <c r="W936">
        <v>0.19002740000000001</v>
      </c>
      <c r="X936">
        <v>0.98148360000000001</v>
      </c>
      <c r="Y936">
        <v>5.8206769999999998E-2</v>
      </c>
      <c r="Z936">
        <v>-7.7685949999999895E-4</v>
      </c>
      <c r="AA936">
        <v>0.99830419999999997</v>
      </c>
      <c r="AB936">
        <v>40</v>
      </c>
      <c r="AC936">
        <v>28.262799999999899</v>
      </c>
      <c r="AD936">
        <v>-1.05970971908</v>
      </c>
      <c r="AE936">
        <v>-1.8934000000000399</v>
      </c>
      <c r="AF936">
        <v>1.65901894907259</v>
      </c>
      <c r="AG936">
        <v>-1.05970971908</v>
      </c>
      <c r="AH936">
        <v>28.2378685544242</v>
      </c>
      <c r="AI936">
        <v>92.145489218986299</v>
      </c>
      <c r="AJ936">
        <v>86.637648434825294</v>
      </c>
      <c r="AK936">
        <v>28.3064047356606</v>
      </c>
      <c r="AL936">
        <v>79.045616902609694</v>
      </c>
      <c r="AM936">
        <v>88.594923832668201</v>
      </c>
      <c r="AN936">
        <v>1.0000000124441599</v>
      </c>
    </row>
    <row r="937" spans="1:40" x14ac:dyDescent="0.25">
      <c r="A937" t="str">
        <f>"20190312172912072"</f>
        <v>20190312172912072</v>
      </c>
      <c r="B937" t="str">
        <f>"1552382952068374"</f>
        <v>1552382952068374</v>
      </c>
      <c r="C937" t="s">
        <v>40</v>
      </c>
      <c r="D937">
        <v>3.2347389999999998</v>
      </c>
      <c r="E937">
        <v>0.51622889999999999</v>
      </c>
      <c r="F937" t="s">
        <v>41</v>
      </c>
      <c r="G937">
        <v>-254.94550000000001</v>
      </c>
      <c r="H937" s="1">
        <v>-2.8620350000000002E-6</v>
      </c>
      <c r="I937">
        <v>365.60599999999999</v>
      </c>
      <c r="J937">
        <v>-283.32530000000003</v>
      </c>
      <c r="K937">
        <v>1.0597099999999999</v>
      </c>
      <c r="L937">
        <v>367.51260000000002</v>
      </c>
      <c r="M937">
        <v>0.99985139999999995</v>
      </c>
      <c r="N937">
        <v>0</v>
      </c>
      <c r="O937">
        <v>-8.3084130000000006E-3</v>
      </c>
      <c r="P937">
        <v>0.98402330000000005</v>
      </c>
      <c r="Q937">
        <v>0.17513609999999999</v>
      </c>
      <c r="R937">
        <v>-3.2031270000000001E-2</v>
      </c>
      <c r="S937">
        <v>3.0622859999999998</v>
      </c>
      <c r="T937">
        <v>-0.1135062</v>
      </c>
      <c r="U937">
        <v>-0.2044067</v>
      </c>
      <c r="V937">
        <v>2.3959100000000001E-2</v>
      </c>
      <c r="W937">
        <v>0.1899787</v>
      </c>
      <c r="X937">
        <v>0.98149580000000003</v>
      </c>
      <c r="Y937">
        <v>5.8274140000000002E-2</v>
      </c>
      <c r="Z937">
        <v>-7.7089849999999996E-4</v>
      </c>
      <c r="AA937">
        <v>0.99830030000000003</v>
      </c>
      <c r="AB937">
        <v>40</v>
      </c>
      <c r="AC937">
        <v>28.379799999999999</v>
      </c>
      <c r="AD937">
        <v>-1.059712862035</v>
      </c>
      <c r="AE937">
        <v>-1.9066000000000201</v>
      </c>
      <c r="AF937">
        <v>1.66840036958279</v>
      </c>
      <c r="AG937">
        <v>-1.059712862035</v>
      </c>
      <c r="AH937">
        <v>28.355304560851302</v>
      </c>
      <c r="AI937">
        <v>92.136607121416603</v>
      </c>
      <c r="AJ937">
        <v>86.632650749862194</v>
      </c>
      <c r="AK937">
        <v>28.424106808866</v>
      </c>
      <c r="AL937">
        <v>79.048458566502404</v>
      </c>
      <c r="AM937">
        <v>88.601641760220204</v>
      </c>
      <c r="AN937">
        <v>0.99999997517206896</v>
      </c>
    </row>
    <row r="938" spans="1:40" x14ac:dyDescent="0.25">
      <c r="A938" t="str">
        <f>"20190312172912084"</f>
        <v>20190312172912084</v>
      </c>
      <c r="B938" t="str">
        <f>"1552382952078134"</f>
        <v>1552382952078134</v>
      </c>
      <c r="C938" t="s">
        <v>40</v>
      </c>
      <c r="D938">
        <v>3.2464330000000001</v>
      </c>
      <c r="E938">
        <v>0.51624950000000003</v>
      </c>
      <c r="F938" t="s">
        <v>41</v>
      </c>
      <c r="G938">
        <v>-255.0779</v>
      </c>
      <c r="H938" s="1">
        <v>-2.8025080000000001E-6</v>
      </c>
      <c r="I938">
        <v>365.62150000000003</v>
      </c>
      <c r="J938">
        <v>-283.09219999999999</v>
      </c>
      <c r="K938">
        <v>1.059712</v>
      </c>
      <c r="L938">
        <v>367.51060000000001</v>
      </c>
      <c r="M938">
        <v>0.99985049999999998</v>
      </c>
      <c r="N938">
        <v>0</v>
      </c>
      <c r="O938">
        <v>-8.4203419999999904E-3</v>
      </c>
      <c r="P938">
        <v>0.98401079999999996</v>
      </c>
      <c r="Q938">
        <v>0.17512469999999999</v>
      </c>
      <c r="R938">
        <v>-3.2472479999999998E-2</v>
      </c>
      <c r="S938">
        <v>3.0624389999999999</v>
      </c>
      <c r="T938">
        <v>-0.1148882</v>
      </c>
      <c r="U938">
        <v>-0.20501710000000001</v>
      </c>
      <c r="V938">
        <v>2.4290229999999999E-2</v>
      </c>
      <c r="W938">
        <v>0.189967</v>
      </c>
      <c r="X938">
        <v>0.98148999999999997</v>
      </c>
      <c r="Y938">
        <v>5.8356350000000001E-2</v>
      </c>
      <c r="Z938">
        <v>-7.7758139999999998E-4</v>
      </c>
      <c r="AA938">
        <v>0.9982955</v>
      </c>
      <c r="AB938">
        <v>40</v>
      </c>
      <c r="AC938">
        <v>28.014299999999899</v>
      </c>
      <c r="AD938">
        <v>-1.0597148025079901</v>
      </c>
      <c r="AE938">
        <v>-1.88909999999998</v>
      </c>
      <c r="AF938">
        <v>1.65076468460185</v>
      </c>
      <c r="AG938">
        <v>-1.0597148025079901</v>
      </c>
      <c r="AH938">
        <v>27.989345797904299</v>
      </c>
      <c r="AI938">
        <v>92.164502995846405</v>
      </c>
      <c r="AJ938">
        <v>86.624700964912705</v>
      </c>
      <c r="AK938">
        <v>28.0580023825868</v>
      </c>
      <c r="AL938">
        <v>79.0491421712278</v>
      </c>
      <c r="AM938">
        <v>88.582315019078194</v>
      </c>
      <c r="AN938">
        <v>1.0000000482312199</v>
      </c>
    </row>
    <row r="939" spans="1:40" x14ac:dyDescent="0.25">
      <c r="A939" t="str">
        <f>"20190312172912097"</f>
        <v>20190312172912097</v>
      </c>
      <c r="B939" t="str">
        <f>"1552382952087894"</f>
        <v>1552382952087894</v>
      </c>
      <c r="C939" t="s">
        <v>40</v>
      </c>
      <c r="D939">
        <v>3.2606139999999999</v>
      </c>
      <c r="E939">
        <v>0.51626399999999995</v>
      </c>
      <c r="F939" t="s">
        <v>41</v>
      </c>
      <c r="G939">
        <v>-255.03829999999999</v>
      </c>
      <c r="H939" s="1">
        <v>-2.8193109999999999E-6</v>
      </c>
      <c r="I939">
        <v>365.62240000000003</v>
      </c>
      <c r="J939">
        <v>-282.86509999999998</v>
      </c>
      <c r="K939">
        <v>1.059714</v>
      </c>
      <c r="L939">
        <v>367.50850000000003</v>
      </c>
      <c r="M939">
        <v>0.99984949999999995</v>
      </c>
      <c r="N939">
        <v>0</v>
      </c>
      <c r="O939">
        <v>-8.5295249999999996E-3</v>
      </c>
      <c r="P939">
        <v>0.98395980000000005</v>
      </c>
      <c r="Q939">
        <v>0.175403</v>
      </c>
      <c r="R939">
        <v>-3.2513790000000001E-2</v>
      </c>
      <c r="S939">
        <v>3.0625309999999999</v>
      </c>
      <c r="T939">
        <v>-0.1156845</v>
      </c>
      <c r="U939">
        <v>-0.20611570000000001</v>
      </c>
      <c r="V939">
        <v>2.4224539999999999E-2</v>
      </c>
      <c r="W939">
        <v>0.19024460000000001</v>
      </c>
      <c r="X939">
        <v>0.98143780000000003</v>
      </c>
      <c r="Y939">
        <v>5.860129E-2</v>
      </c>
      <c r="Z939">
        <v>-7.8343580000000003E-4</v>
      </c>
      <c r="AA939">
        <v>0.99828119999999998</v>
      </c>
      <c r="AB939">
        <v>40</v>
      </c>
      <c r="AC939">
        <v>27.826799999999899</v>
      </c>
      <c r="AD939">
        <v>-1.059716819311</v>
      </c>
      <c r="AE939">
        <v>-1.8860999999999899</v>
      </c>
      <c r="AF939">
        <v>1.6462782454610101</v>
      </c>
      <c r="AG939">
        <v>-1.059716819311</v>
      </c>
      <c r="AH939">
        <v>27.801740848934699</v>
      </c>
      <c r="AI939">
        <v>92.179068743893694</v>
      </c>
      <c r="AJ939">
        <v>86.611191358130398</v>
      </c>
      <c r="AK939">
        <v>27.8705942891416</v>
      </c>
      <c r="AL939">
        <v>79.032940837298796</v>
      </c>
      <c r="AM939">
        <v>88.586072250525604</v>
      </c>
      <c r="AN939">
        <v>0.99999999571810505</v>
      </c>
    </row>
    <row r="940" spans="1:40" x14ac:dyDescent="0.25">
      <c r="A940" t="str">
        <f>"20190312172912110"</f>
        <v>20190312172912110</v>
      </c>
      <c r="B940" t="str">
        <f>"1552382952098631"</f>
        <v>1552382952098631</v>
      </c>
      <c r="C940" t="s">
        <v>40</v>
      </c>
      <c r="D940">
        <v>3.2650579999999998</v>
      </c>
      <c r="E940">
        <v>0.51627800000000001</v>
      </c>
      <c r="F940" t="s">
        <v>41</v>
      </c>
      <c r="G940">
        <v>-254.74870000000001</v>
      </c>
      <c r="H940" s="1">
        <v>-2.9453840000000002E-6</v>
      </c>
      <c r="I940">
        <v>365.6121</v>
      </c>
      <c r="J940">
        <v>-282.63720000000001</v>
      </c>
      <c r="K940">
        <v>1.059715</v>
      </c>
      <c r="L940">
        <v>367.50650000000002</v>
      </c>
      <c r="M940">
        <v>0.99984859999999998</v>
      </c>
      <c r="N940">
        <v>0</v>
      </c>
      <c r="O940">
        <v>-8.6391850000000006E-3</v>
      </c>
      <c r="P940">
        <v>0.98394919999999997</v>
      </c>
      <c r="Q940">
        <v>0.17541779999999901</v>
      </c>
      <c r="R940">
        <v>-3.2758759999999998E-2</v>
      </c>
      <c r="S940">
        <v>3.0626220000000002</v>
      </c>
      <c r="T940">
        <v>-0.11543109999999999</v>
      </c>
      <c r="U940">
        <v>-0.20657349999999999</v>
      </c>
      <c r="V940">
        <v>2.436143E-2</v>
      </c>
      <c r="W940">
        <v>0.19025909999999999</v>
      </c>
      <c r="X940">
        <v>0.98143159999999896</v>
      </c>
      <c r="Y940">
        <v>5.8638540000000003E-2</v>
      </c>
      <c r="Z940">
        <v>-7.7826789999999903E-4</v>
      </c>
      <c r="AA940">
        <v>0.99827900000000003</v>
      </c>
      <c r="AB940">
        <v>40</v>
      </c>
      <c r="AC940">
        <v>27.888500000000001</v>
      </c>
      <c r="AD940">
        <v>-1.059717945384</v>
      </c>
      <c r="AE940">
        <v>-1.8944000000000101</v>
      </c>
      <c r="AF940">
        <v>1.6509950034929499</v>
      </c>
      <c r="AG940">
        <v>-1.059717945384</v>
      </c>
      <c r="AH940">
        <v>27.8637798528462</v>
      </c>
      <c r="AI940">
        <v>92.174219193798194</v>
      </c>
      <c r="AJ940">
        <v>86.609053903951605</v>
      </c>
      <c r="AK940">
        <v>27.932758802402699</v>
      </c>
      <c r="AL940">
        <v>79.032094583468904</v>
      </c>
      <c r="AM940">
        <v>88.578076604666293</v>
      </c>
      <c r="AN940">
        <v>0.99999999494150704</v>
      </c>
    </row>
    <row r="941" spans="1:40" x14ac:dyDescent="0.25">
      <c r="A941" t="str">
        <f>"20190312172912127"</f>
        <v>20190312172912127</v>
      </c>
      <c r="B941" t="str">
        <f>"1552382952118151"</f>
        <v>1552382952118151</v>
      </c>
      <c r="C941" t="s">
        <v>40</v>
      </c>
      <c r="D941">
        <v>3.2361149999999999</v>
      </c>
      <c r="E941">
        <v>0.5163141</v>
      </c>
      <c r="F941" t="s">
        <v>41</v>
      </c>
      <c r="G941">
        <v>-254.57810000000001</v>
      </c>
      <c r="H941" s="1">
        <v>-3.0197320000000001E-6</v>
      </c>
      <c r="I941">
        <v>365.60550000000001</v>
      </c>
      <c r="J941">
        <v>-282.31569999999999</v>
      </c>
      <c r="K941">
        <v>1.0597179999999999</v>
      </c>
      <c r="L941">
        <v>367.50360000000001</v>
      </c>
      <c r="M941">
        <v>0.99984720000000005</v>
      </c>
      <c r="N941">
        <v>0</v>
      </c>
      <c r="O941">
        <v>-8.7938959999999903E-3</v>
      </c>
      <c r="P941">
        <v>0.98386249999999997</v>
      </c>
      <c r="Q941">
        <v>0.1757938</v>
      </c>
      <c r="R941">
        <v>-3.3334900000000001E-2</v>
      </c>
      <c r="S941">
        <v>3.0626530000000001</v>
      </c>
      <c r="T941">
        <v>-0.1156679</v>
      </c>
      <c r="U941">
        <v>-0.20748900000000001</v>
      </c>
      <c r="V941">
        <v>2.4786240000000001E-2</v>
      </c>
      <c r="W941">
        <v>0.19063269999999999</v>
      </c>
      <c r="X941">
        <v>0.98134849999999996</v>
      </c>
      <c r="Y941">
        <v>5.878034E-2</v>
      </c>
      <c r="Z941">
        <v>-7.7668810000000002E-4</v>
      </c>
      <c r="AA941">
        <v>0.99827060000000001</v>
      </c>
      <c r="AB941">
        <v>40</v>
      </c>
      <c r="AC941">
        <v>27.737599999999901</v>
      </c>
      <c r="AD941">
        <v>-1.0597210197319999</v>
      </c>
      <c r="AE941">
        <v>-1.8980999999999999</v>
      </c>
      <c r="AF941">
        <v>1.6516775625195801</v>
      </c>
      <c r="AG941">
        <v>-1.0597210197319999</v>
      </c>
      <c r="AH941">
        <v>27.712958458016299</v>
      </c>
      <c r="AI941">
        <v>92.186001880129297</v>
      </c>
      <c r="AJ941">
        <v>86.589236695425001</v>
      </c>
      <c r="AK941">
        <v>27.7823525624799</v>
      </c>
      <c r="AL941">
        <v>79.010290205906401</v>
      </c>
      <c r="AM941">
        <v>88.553169366908804</v>
      </c>
      <c r="AN941">
        <v>1.00000003122743</v>
      </c>
    </row>
    <row r="942" spans="1:40" x14ac:dyDescent="0.25">
      <c r="A942" t="str">
        <f>"20190312172912138"</f>
        <v>20190312172912138</v>
      </c>
      <c r="B942" t="str">
        <f>"1552382952127910"</f>
        <v>1552382952127910</v>
      </c>
      <c r="C942" t="s">
        <v>40</v>
      </c>
      <c r="D942">
        <v>3.2489370000000002</v>
      </c>
      <c r="E942">
        <v>0.51631949999999904</v>
      </c>
      <c r="F942" t="s">
        <v>41</v>
      </c>
      <c r="G942">
        <v>-254.27189999999999</v>
      </c>
      <c r="H942" s="1">
        <v>-3.154459E-6</v>
      </c>
      <c r="I942">
        <v>365.58670000000001</v>
      </c>
      <c r="J942">
        <v>-282.11149999999998</v>
      </c>
      <c r="K942">
        <v>1.0597209999999999</v>
      </c>
      <c r="L942">
        <v>367.50170000000003</v>
      </c>
      <c r="M942">
        <v>0.99984640000000002</v>
      </c>
      <c r="N942">
        <v>0</v>
      </c>
      <c r="O942">
        <v>-8.8923449999999994E-3</v>
      </c>
      <c r="P942">
        <v>0.98389340000000003</v>
      </c>
      <c r="Q942">
        <v>0.17553450000000001</v>
      </c>
      <c r="R942">
        <v>-3.3790790000000001E-2</v>
      </c>
      <c r="S942">
        <v>3.0628359999999999</v>
      </c>
      <c r="T942">
        <v>-0.1157382</v>
      </c>
      <c r="U942">
        <v>-0.2093506</v>
      </c>
      <c r="V942">
        <v>2.5144639999999999E-2</v>
      </c>
      <c r="W942">
        <v>0.19037290000000001</v>
      </c>
      <c r="X942">
        <v>0.98138979999999998</v>
      </c>
      <c r="Y942">
        <v>5.9281639999999997E-2</v>
      </c>
      <c r="Z942">
        <v>-7.828399E-4</v>
      </c>
      <c r="AA942">
        <v>0.99824100000000004</v>
      </c>
      <c r="AB942">
        <v>40</v>
      </c>
      <c r="AC942">
        <v>27.839599999999901</v>
      </c>
      <c r="AD942">
        <v>-1.0597241544589999</v>
      </c>
      <c r="AE942">
        <v>-1.91500000000002</v>
      </c>
      <c r="AF942">
        <v>1.66493561858245</v>
      </c>
      <c r="AG942">
        <v>-1.0597241544589999</v>
      </c>
      <c r="AH942">
        <v>27.815415893230298</v>
      </c>
      <c r="AI942">
        <v>92.177930703072306</v>
      </c>
      <c r="AJ942">
        <v>86.5745576906656</v>
      </c>
      <c r="AK942">
        <v>27.8853435914091</v>
      </c>
      <c r="AL942">
        <v>79.025453175928007</v>
      </c>
      <c r="AM942">
        <v>88.532319549406196</v>
      </c>
      <c r="AN942">
        <v>1.0000000167595799</v>
      </c>
    </row>
    <row r="943" spans="1:40" x14ac:dyDescent="0.25">
      <c r="A943" t="str">
        <f>"20190312172912150"</f>
        <v>20190312172912150</v>
      </c>
      <c r="B943" t="str">
        <f>"1552382952138647"</f>
        <v>1552382952138647</v>
      </c>
      <c r="C943" t="s">
        <v>40</v>
      </c>
      <c r="D943">
        <v>3.250804</v>
      </c>
      <c r="E943">
        <v>0.5163181</v>
      </c>
      <c r="F943" t="s">
        <v>41</v>
      </c>
      <c r="G943">
        <v>-254.39940000000001</v>
      </c>
      <c r="H943" s="1">
        <v>-3.0973399999999998E-6</v>
      </c>
      <c r="I943">
        <v>365.6003</v>
      </c>
      <c r="J943">
        <v>-281.92110000000002</v>
      </c>
      <c r="K943">
        <v>1.0597219999999901</v>
      </c>
      <c r="L943">
        <v>367.5</v>
      </c>
      <c r="M943">
        <v>0.9998454</v>
      </c>
      <c r="N943">
        <v>0</v>
      </c>
      <c r="O943">
        <v>-8.9838820000000003E-3</v>
      </c>
      <c r="P943">
        <v>0.98385009999999995</v>
      </c>
      <c r="Q943">
        <v>0.17572389999999999</v>
      </c>
      <c r="R943">
        <v>-3.4062420000000003E-2</v>
      </c>
      <c r="S943">
        <v>3.062805</v>
      </c>
      <c r="T943">
        <v>-0.1171225</v>
      </c>
      <c r="U943">
        <v>-0.210144</v>
      </c>
      <c r="V943">
        <v>2.532649E-2</v>
      </c>
      <c r="W943">
        <v>0.19056110000000001</v>
      </c>
      <c r="X943">
        <v>0.98134860000000002</v>
      </c>
      <c r="Y943">
        <v>5.9447399999999997E-2</v>
      </c>
      <c r="Z943">
        <v>-7.9186749999999998E-4</v>
      </c>
      <c r="AA943">
        <v>0.99823110000000004</v>
      </c>
      <c r="AB943">
        <v>40</v>
      </c>
      <c r="AC943">
        <v>27.521699999999999</v>
      </c>
      <c r="AD943">
        <v>-1.0597250973400001</v>
      </c>
      <c r="AE943">
        <v>-1.89969999999999</v>
      </c>
      <c r="AF943">
        <v>1.6499087419457901</v>
      </c>
      <c r="AG943">
        <v>-1.0597250973400001</v>
      </c>
      <c r="AH943">
        <v>27.497082739871701</v>
      </c>
      <c r="AI943">
        <v>92.203102565609896</v>
      </c>
      <c r="AJ943">
        <v>86.566195696152406</v>
      </c>
      <c r="AK943">
        <v>27.566914505291098</v>
      </c>
      <c r="AL943">
        <v>79.014469058752297</v>
      </c>
      <c r="AM943">
        <v>88.5216477105986</v>
      </c>
      <c r="AN943">
        <v>1.0000000193254399</v>
      </c>
    </row>
    <row r="944" spans="1:40" x14ac:dyDescent="0.25">
      <c r="A944" t="str">
        <f>"20190312172912160"</f>
        <v>20190312172912160</v>
      </c>
      <c r="B944" t="str">
        <f>"1552382952148407"</f>
        <v>1552382952148407</v>
      </c>
      <c r="C944" t="s">
        <v>40</v>
      </c>
      <c r="D944">
        <v>3.2485710000000001</v>
      </c>
      <c r="E944">
        <v>0.51632049999999996</v>
      </c>
      <c r="F944" t="s">
        <v>41</v>
      </c>
      <c r="G944">
        <v>-254.17320000000001</v>
      </c>
      <c r="H944" s="1">
        <v>-3.1967670000000002E-6</v>
      </c>
      <c r="I944">
        <v>365.58670000000001</v>
      </c>
      <c r="J944">
        <v>-281.73129999999998</v>
      </c>
      <c r="K944">
        <v>1.0597240000000001</v>
      </c>
      <c r="L944">
        <v>367.49810000000002</v>
      </c>
      <c r="M944">
        <v>0.99984470000000003</v>
      </c>
      <c r="N944">
        <v>0</v>
      </c>
      <c r="O944">
        <v>-9.0751800000000004E-3</v>
      </c>
      <c r="P944">
        <v>0.9838905</v>
      </c>
      <c r="Q944">
        <v>0.17547460000000001</v>
      </c>
      <c r="R944">
        <v>-3.4180059999999998E-2</v>
      </c>
      <c r="S944">
        <v>3.0628359999999999</v>
      </c>
      <c r="T944">
        <v>-0.1169732</v>
      </c>
      <c r="U944">
        <v>-0.2111816</v>
      </c>
      <c r="V944">
        <v>2.535374E-2</v>
      </c>
      <c r="W944">
        <v>0.1903116</v>
      </c>
      <c r="X944">
        <v>0.9813963</v>
      </c>
      <c r="Y944">
        <v>5.9692139999999998E-2</v>
      </c>
      <c r="Z944">
        <v>-7.9202649999999999E-4</v>
      </c>
      <c r="AA944">
        <v>0.99821649999999995</v>
      </c>
      <c r="AB944">
        <v>40</v>
      </c>
      <c r="AC944">
        <v>27.5580999999999</v>
      </c>
      <c r="AD944">
        <v>-1.0597271967669999</v>
      </c>
      <c r="AE944">
        <v>-1.91140000000001</v>
      </c>
      <c r="AF944">
        <v>1.65875689488912</v>
      </c>
      <c r="AG944">
        <v>-1.0597271967669999</v>
      </c>
      <c r="AH944">
        <v>27.533792983424402</v>
      </c>
      <c r="AI944">
        <v>92.2001406764862</v>
      </c>
      <c r="AJ944">
        <v>86.552416865537694</v>
      </c>
      <c r="AK944">
        <v>27.604062241307599</v>
      </c>
      <c r="AL944">
        <v>79.029030710759599</v>
      </c>
      <c r="AM944">
        <v>88.520129686073602</v>
      </c>
      <c r="AN944">
        <v>1.0000000074401101</v>
      </c>
    </row>
    <row r="945" spans="1:40" x14ac:dyDescent="0.25">
      <c r="A945" t="str">
        <f>"20190312172912171"</f>
        <v>20190312172912171</v>
      </c>
      <c r="B945" t="str">
        <f>"1552382952167926"</f>
        <v>1552382952167926</v>
      </c>
      <c r="C945" t="s">
        <v>40</v>
      </c>
      <c r="D945">
        <v>3.2664140000000002</v>
      </c>
      <c r="E945">
        <v>0.51633640000000003</v>
      </c>
      <c r="F945" t="s">
        <v>41</v>
      </c>
      <c r="G945">
        <v>-254.2739</v>
      </c>
      <c r="H945" s="1">
        <v>-3.1513650000000001E-6</v>
      </c>
      <c r="I945">
        <v>365.5992</v>
      </c>
      <c r="J945">
        <v>-281.53129999999999</v>
      </c>
      <c r="K945">
        <v>1.0597270000000001</v>
      </c>
      <c r="L945">
        <v>367.49619999999999</v>
      </c>
      <c r="M945">
        <v>0.99984379999999995</v>
      </c>
      <c r="N945">
        <v>0</v>
      </c>
      <c r="O945">
        <v>-9.1711239999999992E-3</v>
      </c>
      <c r="P945">
        <v>0.98390469999999997</v>
      </c>
      <c r="Q945">
        <v>0.17534849999999999</v>
      </c>
      <c r="R945">
        <v>-3.4414889999999997E-2</v>
      </c>
      <c r="S945">
        <v>3.0628359999999999</v>
      </c>
      <c r="T945">
        <v>-0.11821089999999999</v>
      </c>
      <c r="U945">
        <v>-0.2118225</v>
      </c>
      <c r="V945">
        <v>2.5493769999999999E-2</v>
      </c>
      <c r="W945">
        <v>0.1901852</v>
      </c>
      <c r="X945">
        <v>0.98141719999999999</v>
      </c>
      <c r="Y945">
        <v>5.9803429999999998E-2</v>
      </c>
      <c r="Z945">
        <v>-7.9884289999999903E-4</v>
      </c>
      <c r="AA945">
        <v>0.99820980000000004</v>
      </c>
      <c r="AB945">
        <v>40</v>
      </c>
      <c r="AC945">
        <v>27.257399999999901</v>
      </c>
      <c r="AD945">
        <v>-1.0597301513649999</v>
      </c>
      <c r="AE945">
        <v>-1.89699999999999</v>
      </c>
      <c r="AF945">
        <v>1.64443700806691</v>
      </c>
      <c r="AG945">
        <v>-1.0597301513649999</v>
      </c>
      <c r="AH945">
        <v>27.232687941807601</v>
      </c>
      <c r="AI945">
        <v>92.224430242466397</v>
      </c>
      <c r="AJ945">
        <v>86.544408955592203</v>
      </c>
      <c r="AK945">
        <v>27.302866032764499</v>
      </c>
      <c r="AL945">
        <v>79.036407896788006</v>
      </c>
      <c r="AM945">
        <v>88.511991626201393</v>
      </c>
      <c r="AN945">
        <v>1.00000003153184</v>
      </c>
    </row>
    <row r="946" spans="1:40" x14ac:dyDescent="0.25">
      <c r="A946" t="str">
        <f>"20190312172912182"</f>
        <v>20190312172912182</v>
      </c>
      <c r="B946" t="str">
        <f>"1552382952178662"</f>
        <v>1552382952178662</v>
      </c>
      <c r="C946" t="s">
        <v>40</v>
      </c>
      <c r="D946">
        <v>3.2557290000000001</v>
      </c>
      <c r="E946">
        <v>0.51843099999999998</v>
      </c>
      <c r="F946" t="s">
        <v>41</v>
      </c>
      <c r="G946">
        <v>-254.26320000000001</v>
      </c>
      <c r="H946" s="1">
        <v>-3.1558209999999999E-6</v>
      </c>
      <c r="I946">
        <v>365.6001</v>
      </c>
      <c r="J946">
        <v>-281.32940000000002</v>
      </c>
      <c r="K946">
        <v>1.059728</v>
      </c>
      <c r="L946">
        <v>367.49439999999998</v>
      </c>
      <c r="M946">
        <v>0.99984289999999998</v>
      </c>
      <c r="N946">
        <v>0</v>
      </c>
      <c r="O946">
        <v>-9.2680200000000001E-3</v>
      </c>
      <c r="P946">
        <v>0.98391770000000001</v>
      </c>
      <c r="Q946">
        <v>0.17524210000000001</v>
      </c>
      <c r="R946">
        <v>-3.4595090000000002E-2</v>
      </c>
      <c r="S946">
        <v>3.0628359999999999</v>
      </c>
      <c r="T946">
        <v>-0.11903179999999999</v>
      </c>
      <c r="U946">
        <v>-0.21298220000000001</v>
      </c>
      <c r="V946">
        <v>2.5577849999999999E-2</v>
      </c>
      <c r="W946">
        <v>0.190078</v>
      </c>
      <c r="X946">
        <v>0.98143579999999997</v>
      </c>
      <c r="Y946">
        <v>6.0082169999999997E-2</v>
      </c>
      <c r="Z946">
        <v>-8.0602419999999998E-4</v>
      </c>
      <c r="AA946">
        <v>0.99819310000000006</v>
      </c>
      <c r="AB946">
        <v>40</v>
      </c>
      <c r="AC946">
        <v>27.066199999999998</v>
      </c>
      <c r="AD946">
        <v>-1.0597311558210001</v>
      </c>
      <c r="AE946">
        <v>-1.8942999999999801</v>
      </c>
      <c r="AF946">
        <v>1.6408367922956899</v>
      </c>
      <c r="AG946">
        <v>-1.0597311558210001</v>
      </c>
      <c r="AH946">
        <v>27.041343872835402</v>
      </c>
      <c r="AI946">
        <v>92.240116713325506</v>
      </c>
      <c r="AJ946">
        <v>86.527617304782495</v>
      </c>
      <c r="AK946">
        <v>27.111799164764101</v>
      </c>
      <c r="AL946">
        <v>79.042664342507805</v>
      </c>
      <c r="AM946">
        <v>88.507114582250594</v>
      </c>
      <c r="AN946">
        <v>1.0000000510081299</v>
      </c>
    </row>
    <row r="947" spans="1:40" x14ac:dyDescent="0.25">
      <c r="A947" t="str">
        <f>"20190312172912195"</f>
        <v>20190312172912195</v>
      </c>
      <c r="B947" t="str">
        <f>"1552382952188422"</f>
        <v>1552382952188422</v>
      </c>
      <c r="C947" t="s">
        <v>40</v>
      </c>
      <c r="D947">
        <v>3.2759390000000002</v>
      </c>
      <c r="E947">
        <v>0.51809070000000002</v>
      </c>
      <c r="F947" t="s">
        <v>41</v>
      </c>
      <c r="G947">
        <v>-260.53750000000002</v>
      </c>
      <c r="H947" s="1">
        <v>-4.6928680000000004E-6</v>
      </c>
      <c r="I947">
        <v>365.94529999999997</v>
      </c>
      <c r="J947">
        <v>-281.12169999999998</v>
      </c>
      <c r="K947">
        <v>1.059868</v>
      </c>
      <c r="L947">
        <v>367.4923</v>
      </c>
      <c r="M947">
        <v>0.99983469999999997</v>
      </c>
      <c r="N947">
        <v>0</v>
      </c>
      <c r="O947">
        <v>-9.3516520000000002E-3</v>
      </c>
      <c r="P947">
        <v>0.98398269999999999</v>
      </c>
      <c r="Q947">
        <v>0.17484829999999901</v>
      </c>
      <c r="R947">
        <v>-3.4732880000000001E-2</v>
      </c>
      <c r="S947">
        <v>3.068848</v>
      </c>
      <c r="T947">
        <v>-0.15641440000000001</v>
      </c>
      <c r="U947">
        <v>-0.2286377</v>
      </c>
      <c r="V947">
        <v>2.5630190000000001E-2</v>
      </c>
      <c r="W947">
        <v>0.19016830000000001</v>
      </c>
      <c r="X947">
        <v>0.98141690000000004</v>
      </c>
      <c r="Y947">
        <v>6.4895010000000003E-2</v>
      </c>
      <c r="Z947">
        <v>-1.17476E-3</v>
      </c>
      <c r="AA947">
        <v>0.99789139999999998</v>
      </c>
      <c r="AB947">
        <v>40</v>
      </c>
      <c r="AC947">
        <v>20.5841999999999</v>
      </c>
      <c r="AD947">
        <v>-1.059872692868</v>
      </c>
      <c r="AE947">
        <v>-1.5470000000000199</v>
      </c>
      <c r="AF947">
        <v>1.3508514204644499</v>
      </c>
      <c r="AG947">
        <v>-1.059872692868</v>
      </c>
      <c r="AH947">
        <v>20.5436095167906</v>
      </c>
      <c r="AI947">
        <v>92.946995669790098</v>
      </c>
      <c r="AJ947">
        <v>86.237914115923104</v>
      </c>
      <c r="AK947">
        <v>20.6152376087114</v>
      </c>
      <c r="AL947">
        <v>79.037393959706094</v>
      </c>
      <c r="AM947">
        <v>88.504032279361397</v>
      </c>
      <c r="AN947">
        <v>1.00000001028496</v>
      </c>
    </row>
    <row r="948" spans="1:40" x14ac:dyDescent="0.25">
      <c r="A948" t="str">
        <f>"20190312172912205"</f>
        <v>20190312172912205</v>
      </c>
      <c r="B948" t="str">
        <f>"1552382952198183"</f>
        <v>1552382952198183</v>
      </c>
      <c r="C948" t="s">
        <v>40</v>
      </c>
      <c r="D948">
        <v>3.2450700000000001</v>
      </c>
      <c r="E948">
        <v>0.51792009999999999</v>
      </c>
      <c r="F948" t="s">
        <v>41</v>
      </c>
      <c r="G948">
        <v>-259.96620000000001</v>
      </c>
      <c r="H948" s="1">
        <v>-4.9411839999999998E-6</v>
      </c>
      <c r="I948">
        <v>365.9271</v>
      </c>
      <c r="J948">
        <v>-280.92759999999998</v>
      </c>
      <c r="K948">
        <v>1.060052</v>
      </c>
      <c r="L948">
        <v>367.49040000000002</v>
      </c>
      <c r="M948">
        <v>0.99982579999999999</v>
      </c>
      <c r="N948">
        <v>0</v>
      </c>
      <c r="O948">
        <v>-9.4283960000000003E-3</v>
      </c>
      <c r="P948">
        <v>0.98404179999999997</v>
      </c>
      <c r="Q948">
        <v>0.17443620000000001</v>
      </c>
      <c r="R948">
        <v>-3.5134350000000002E-2</v>
      </c>
      <c r="S948">
        <v>3.068146</v>
      </c>
      <c r="T948">
        <v>-0.15371080000000001</v>
      </c>
      <c r="U948">
        <v>-0.22698969999999999</v>
      </c>
      <c r="V948">
        <v>2.59525E-2</v>
      </c>
      <c r="W948">
        <v>0.19026009999999999</v>
      </c>
      <c r="X948">
        <v>0.98139069999999995</v>
      </c>
      <c r="Y948">
        <v>6.4305429999999997E-2</v>
      </c>
      <c r="Z948">
        <v>-1.136186E-3</v>
      </c>
      <c r="AA948">
        <v>0.99792959999999997</v>
      </c>
      <c r="AB948">
        <v>40</v>
      </c>
      <c r="AC948">
        <v>20.961399999999902</v>
      </c>
      <c r="AD948">
        <v>-1.060056941184</v>
      </c>
      <c r="AE948">
        <v>-1.5633000000000199</v>
      </c>
      <c r="AF948">
        <v>1.36210813093032</v>
      </c>
      <c r="AG948">
        <v>-1.060056941184</v>
      </c>
      <c r="AH948">
        <v>20.921997083653501</v>
      </c>
      <c r="AI948">
        <v>92.894413598128295</v>
      </c>
      <c r="AJ948">
        <v>86.275065741385404</v>
      </c>
      <c r="AK948">
        <v>20.993070791270799</v>
      </c>
      <c r="AL948">
        <v>79.032037077041807</v>
      </c>
      <c r="AM948">
        <v>88.485188170219701</v>
      </c>
      <c r="AN948">
        <v>1.0000000719773701</v>
      </c>
    </row>
    <row r="949" spans="1:40" x14ac:dyDescent="0.25">
      <c r="A949" t="str">
        <f>"20190312172912215"</f>
        <v>20190312172912215</v>
      </c>
      <c r="B949" t="str">
        <f>"1552382952207942"</f>
        <v>1552382952207942</v>
      </c>
      <c r="C949" t="s">
        <v>40</v>
      </c>
      <c r="D949">
        <v>3.2789329999999999</v>
      </c>
      <c r="E949">
        <v>0.51769960000000004</v>
      </c>
      <c r="F949" t="s">
        <v>41</v>
      </c>
      <c r="G949">
        <v>-259.80259999999998</v>
      </c>
      <c r="H949" s="1">
        <v>-1.034293E-6</v>
      </c>
      <c r="I949">
        <v>365.92930000000001</v>
      </c>
      <c r="J949">
        <v>-280.73309999999998</v>
      </c>
      <c r="K949">
        <v>1.0603880000000001</v>
      </c>
      <c r="L949">
        <v>367.48860000000002</v>
      </c>
      <c r="M949">
        <v>0.99981469999999995</v>
      </c>
      <c r="N949">
        <v>0</v>
      </c>
      <c r="O949">
        <v>-9.5031549999999992E-3</v>
      </c>
      <c r="P949">
        <v>0.98415010000000003</v>
      </c>
      <c r="Q949">
        <v>0.17382439999999999</v>
      </c>
      <c r="R949">
        <v>-3.5127980000000003E-2</v>
      </c>
      <c r="S949">
        <v>3.0678709999999998</v>
      </c>
      <c r="T949">
        <v>-0.15394459999999999</v>
      </c>
      <c r="U949">
        <v>-0.2267151</v>
      </c>
      <c r="V949">
        <v>2.586828E-2</v>
      </c>
      <c r="W949">
        <v>0.19026989999999999</v>
      </c>
      <c r="X949">
        <v>0.98139100000000001</v>
      </c>
      <c r="Y949">
        <v>6.4148520000000001E-2</v>
      </c>
      <c r="Z949">
        <v>-1.130339E-3</v>
      </c>
      <c r="AA949">
        <v>0.99793969999999999</v>
      </c>
      <c r="AB949">
        <v>40</v>
      </c>
      <c r="AC949">
        <v>20.930499999999899</v>
      </c>
      <c r="AD949">
        <v>-1.06038903429299</v>
      </c>
      <c r="AE949">
        <v>-1.5592999999999999</v>
      </c>
      <c r="AF949">
        <v>1.3568325752716399</v>
      </c>
      <c r="AG949">
        <v>-1.06038903429299</v>
      </c>
      <c r="AH949">
        <v>20.891050318331502</v>
      </c>
      <c r="AI949">
        <v>92.899629709361307</v>
      </c>
      <c r="AJ949">
        <v>86.283971136740504</v>
      </c>
      <c r="AK949">
        <v>20.961903609749399</v>
      </c>
      <c r="AL949">
        <v>79.031464873398903</v>
      </c>
      <c r="AM949">
        <v>88.490102158164802</v>
      </c>
      <c r="AN949">
        <v>1.0000000488185801</v>
      </c>
    </row>
    <row r="950" spans="1:40" x14ac:dyDescent="0.25">
      <c r="A950" t="str">
        <f>"20190312172912228"</f>
        <v>20190312172912228</v>
      </c>
      <c r="B950" t="str">
        <f>"1552382952218678"</f>
        <v>1552382952218678</v>
      </c>
      <c r="C950" t="s">
        <v>40</v>
      </c>
      <c r="D950">
        <v>3.2920950000000002</v>
      </c>
      <c r="E950">
        <v>0.51774290000000001</v>
      </c>
      <c r="F950" t="s">
        <v>41</v>
      </c>
      <c r="G950">
        <v>-259.75850000000003</v>
      </c>
      <c r="H950" s="1">
        <v>-1.043615E-6</v>
      </c>
      <c r="I950">
        <v>365.95049999999998</v>
      </c>
      <c r="J950">
        <v>-280.53050000000002</v>
      </c>
      <c r="K950">
        <v>1.06077</v>
      </c>
      <c r="L950">
        <v>367.48649999999998</v>
      </c>
      <c r="M950">
        <v>0.99980610000000003</v>
      </c>
      <c r="N950">
        <v>0</v>
      </c>
      <c r="O950">
        <v>-9.5828739999999999E-3</v>
      </c>
      <c r="P950">
        <v>0.9841936</v>
      </c>
      <c r="Q950">
        <v>0.17352419999999999</v>
      </c>
      <c r="R950">
        <v>-3.5389629999999998E-2</v>
      </c>
      <c r="S950">
        <v>3.0677189999999999</v>
      </c>
      <c r="T950">
        <v>-0.1550906</v>
      </c>
      <c r="U950">
        <v>-0.22494510000000001</v>
      </c>
      <c r="V950">
        <v>2.604938E-2</v>
      </c>
      <c r="W950">
        <v>0.19042249999999999</v>
      </c>
      <c r="X950">
        <v>0.98135660000000002</v>
      </c>
      <c r="Y950">
        <v>6.3499699999999895E-2</v>
      </c>
      <c r="Z950">
        <v>-1.118429E-3</v>
      </c>
      <c r="AA950">
        <v>0.99798129999999996</v>
      </c>
      <c r="AB950">
        <v>40</v>
      </c>
      <c r="AC950">
        <v>20.771999999999899</v>
      </c>
      <c r="AD950">
        <v>-1.060771043615</v>
      </c>
      <c r="AE950">
        <v>-1.536</v>
      </c>
      <c r="AF950">
        <v>1.3333861390247601</v>
      </c>
      <c r="AG950">
        <v>-1.060771043615</v>
      </c>
      <c r="AH950">
        <v>20.731994992059999</v>
      </c>
      <c r="AI950">
        <v>92.923006783658394</v>
      </c>
      <c r="AJ950">
        <v>86.320068548315803</v>
      </c>
      <c r="AK950">
        <v>20.801893427126199</v>
      </c>
      <c r="AL950">
        <v>79.022558581273501</v>
      </c>
      <c r="AM950">
        <v>88.479483258972905</v>
      </c>
      <c r="AN950">
        <v>1.0000000375340901</v>
      </c>
    </row>
    <row r="951" spans="1:40" x14ac:dyDescent="0.25">
      <c r="A951" t="str">
        <f>"20190312172912239"</f>
        <v>20190312172912239</v>
      </c>
      <c r="B951" t="str">
        <f>"1552382952228438"</f>
        <v>1552382952228438</v>
      </c>
      <c r="C951" t="s">
        <v>40</v>
      </c>
      <c r="D951">
        <v>3.2764760000000002</v>
      </c>
      <c r="E951">
        <v>0.51772209999999996</v>
      </c>
      <c r="F951" t="s">
        <v>41</v>
      </c>
      <c r="G951">
        <v>-259.56119999999999</v>
      </c>
      <c r="H951" s="1">
        <v>-1.1130219999999999E-6</v>
      </c>
      <c r="I951">
        <v>365.94209999999998</v>
      </c>
      <c r="J951">
        <v>-280.32870000000003</v>
      </c>
      <c r="K951">
        <v>1.061194</v>
      </c>
      <c r="L951">
        <v>367.48450000000003</v>
      </c>
      <c r="M951">
        <v>0.99980219999999997</v>
      </c>
      <c r="N951">
        <v>0</v>
      </c>
      <c r="O951">
        <v>-9.6648270000000008E-3</v>
      </c>
      <c r="P951">
        <v>0.98423780000000005</v>
      </c>
      <c r="Q951">
        <v>0.17326639999999999</v>
      </c>
      <c r="R951">
        <v>-3.5424730000000001E-2</v>
      </c>
      <c r="S951">
        <v>3.067383</v>
      </c>
      <c r="T951">
        <v>-0.155169</v>
      </c>
      <c r="U951">
        <v>-0.2259216</v>
      </c>
      <c r="V951">
        <v>2.600425E-2</v>
      </c>
      <c r="W951">
        <v>0.19033919999999999</v>
      </c>
      <c r="X951">
        <v>0.98137390000000002</v>
      </c>
      <c r="Y951">
        <v>6.3741569999999997E-2</v>
      </c>
      <c r="Z951">
        <v>-1.1210700000000001E-3</v>
      </c>
      <c r="AA951">
        <v>0.99796580000000001</v>
      </c>
      <c r="AB951">
        <v>39</v>
      </c>
      <c r="AC951">
        <v>20.767499999999998</v>
      </c>
      <c r="AD951">
        <v>-1.0611951130220001</v>
      </c>
      <c r="AE951">
        <v>-1.54240000000004</v>
      </c>
      <c r="AF951">
        <v>1.3381085582166199</v>
      </c>
      <c r="AG951">
        <v>-1.0611951130220001</v>
      </c>
      <c r="AH951">
        <v>20.7276142384118</v>
      </c>
      <c r="AI951">
        <v>92.924745014907003</v>
      </c>
      <c r="AJ951">
        <v>86.306293097463893</v>
      </c>
      <c r="AK951">
        <v>20.79785233138</v>
      </c>
      <c r="AL951">
        <v>79.027419619001094</v>
      </c>
      <c r="AM951">
        <v>88.482143033905501</v>
      </c>
      <c r="AN951">
        <v>0.99999998183795602</v>
      </c>
    </row>
    <row r="952" spans="1:40" x14ac:dyDescent="0.25">
      <c r="A952" t="str">
        <f>"20190312172912251"</f>
        <v>20190312172912251</v>
      </c>
      <c r="B952" t="str">
        <f>"1552382952247959"</f>
        <v>1552382952247959</v>
      </c>
      <c r="C952" t="s">
        <v>40</v>
      </c>
      <c r="D952">
        <v>3.283372</v>
      </c>
      <c r="E952">
        <v>0.51763199999999998</v>
      </c>
      <c r="F952" t="s">
        <v>41</v>
      </c>
      <c r="G952">
        <v>-259.4828</v>
      </c>
      <c r="H952" s="1">
        <v>-1.1371099999999999E-6</v>
      </c>
      <c r="I952">
        <v>365.95179999999999</v>
      </c>
      <c r="J952">
        <v>-280.12299999999999</v>
      </c>
      <c r="K952">
        <v>1.0615870000000001</v>
      </c>
      <c r="L952">
        <v>367.48239999999998</v>
      </c>
      <c r="M952">
        <v>0.99980990000000003</v>
      </c>
      <c r="N952">
        <v>0</v>
      </c>
      <c r="O952">
        <v>-9.7532460000000001E-3</v>
      </c>
      <c r="P952">
        <v>0.98414239999999997</v>
      </c>
      <c r="Q952">
        <v>0.1738026</v>
      </c>
      <c r="R952">
        <v>-3.5447720000000002E-2</v>
      </c>
      <c r="S952">
        <v>3.0674130000000002</v>
      </c>
      <c r="T952">
        <v>-0.15615090000000001</v>
      </c>
      <c r="U952">
        <v>-0.2255249</v>
      </c>
      <c r="V952">
        <v>2.5943480000000001E-2</v>
      </c>
      <c r="W952">
        <v>0.19039120000000001</v>
      </c>
      <c r="X952">
        <v>0.98136540000000005</v>
      </c>
      <c r="Y952">
        <v>6.3523800000000005E-2</v>
      </c>
      <c r="Z952">
        <v>-1.1181299999999999E-3</v>
      </c>
      <c r="AA952">
        <v>0.99797970000000003</v>
      </c>
      <c r="AB952">
        <v>39</v>
      </c>
      <c r="AC952">
        <v>20.6402</v>
      </c>
      <c r="AD952">
        <v>-1.06158813711</v>
      </c>
      <c r="AE952">
        <v>-1.53059999999999</v>
      </c>
      <c r="AF952">
        <v>1.3257017583516799</v>
      </c>
      <c r="AG952">
        <v>-1.06158813711</v>
      </c>
      <c r="AH952">
        <v>20.599952237770498</v>
      </c>
      <c r="AI952">
        <v>92.943964613943507</v>
      </c>
      <c r="AJ952">
        <v>86.317830478897704</v>
      </c>
      <c r="AK952">
        <v>20.669844864521199</v>
      </c>
      <c r="AL952">
        <v>79.024384506358501</v>
      </c>
      <c r="AM952">
        <v>88.485675389348998</v>
      </c>
      <c r="AN952">
        <v>0.999999960754554</v>
      </c>
    </row>
    <row r="953" spans="1:40" x14ac:dyDescent="0.25">
      <c r="A953" t="str">
        <f>"20190312172912265"</f>
        <v>20190312172912265</v>
      </c>
      <c r="B953" t="str">
        <f>"1552382952258695"</f>
        <v>1552382952258695</v>
      </c>
      <c r="C953" t="s">
        <v>40</v>
      </c>
      <c r="D953">
        <v>3.2821289999999999</v>
      </c>
      <c r="E953">
        <v>0.51761219999999997</v>
      </c>
      <c r="F953" t="s">
        <v>41</v>
      </c>
      <c r="G953">
        <v>-259.10910000000001</v>
      </c>
      <c r="H953" s="1">
        <v>-1.266882E-6</v>
      </c>
      <c r="I953">
        <v>365.94209999999998</v>
      </c>
      <c r="J953">
        <v>-279.88260000000002</v>
      </c>
      <c r="K953">
        <v>1.062039</v>
      </c>
      <c r="L953">
        <v>367.48</v>
      </c>
      <c r="M953">
        <v>0.99982510000000002</v>
      </c>
      <c r="N953">
        <v>0</v>
      </c>
      <c r="O953">
        <v>-9.8576189999999998E-3</v>
      </c>
      <c r="P953">
        <v>0.98401059999999996</v>
      </c>
      <c r="Q953">
        <v>0.17456189999999999</v>
      </c>
      <c r="R953">
        <v>-3.537937E-2</v>
      </c>
      <c r="S953">
        <v>3.0676269999999999</v>
      </c>
      <c r="T953">
        <v>-0.15497030000000001</v>
      </c>
      <c r="U953">
        <v>-0.22485350000000001</v>
      </c>
      <c r="V953">
        <v>2.5776259999999999E-2</v>
      </c>
      <c r="W953">
        <v>0.19017819999999999</v>
      </c>
      <c r="X953">
        <v>0.98141120000000004</v>
      </c>
      <c r="Y953">
        <v>6.3199050000000007E-2</v>
      </c>
      <c r="Z953">
        <v>-1.096178E-3</v>
      </c>
      <c r="AA953">
        <v>0.99800029999999995</v>
      </c>
      <c r="AB953">
        <v>39</v>
      </c>
      <c r="AC953">
        <v>20.773499999999999</v>
      </c>
      <c r="AD953">
        <v>-1.0620402668819999</v>
      </c>
      <c r="AE953">
        <v>-1.53790000000003</v>
      </c>
      <c r="AF953">
        <v>1.3295659430320499</v>
      </c>
      <c r="AG953">
        <v>-1.0620402668819999</v>
      </c>
      <c r="AH953">
        <v>20.733755080949901</v>
      </c>
      <c r="AI953">
        <v>92.926285559421203</v>
      </c>
      <c r="AJ953">
        <v>86.330893474861199</v>
      </c>
      <c r="AK953">
        <v>20.803467857118601</v>
      </c>
      <c r="AL953">
        <v>79.036816666112003</v>
      </c>
      <c r="AM953">
        <v>88.495501725624493</v>
      </c>
      <c r="AN953">
        <v>1.0000000534101301</v>
      </c>
    </row>
    <row r="954" spans="1:40" x14ac:dyDescent="0.25">
      <c r="A954" t="str">
        <f>"20190312172912278"</f>
        <v>20190312172912278</v>
      </c>
      <c r="B954" t="str">
        <f>"1552382952268455"</f>
        <v>1552382952268455</v>
      </c>
      <c r="C954" t="s">
        <v>40</v>
      </c>
      <c r="D954">
        <v>3.2951000000000001</v>
      </c>
      <c r="E954">
        <v>0.51759999999999995</v>
      </c>
      <c r="F954" t="s">
        <v>41</v>
      </c>
      <c r="G954">
        <v>-258.54640000000001</v>
      </c>
      <c r="H954" s="1">
        <v>-1.4645290000000001E-6</v>
      </c>
      <c r="I954">
        <v>365.91890000000001</v>
      </c>
      <c r="J954">
        <v>-279.649</v>
      </c>
      <c r="K954">
        <v>1.06257</v>
      </c>
      <c r="L954">
        <v>367.4776</v>
      </c>
      <c r="M954">
        <v>0.99984479999999998</v>
      </c>
      <c r="N954">
        <v>0</v>
      </c>
      <c r="O954">
        <v>-9.9496810000000002E-3</v>
      </c>
      <c r="P954">
        <v>0.98371710000000001</v>
      </c>
      <c r="Q954">
        <v>0.1761519</v>
      </c>
      <c r="R954">
        <v>-3.5656920000000002E-2</v>
      </c>
      <c r="S954">
        <v>3.06778</v>
      </c>
      <c r="T954">
        <v>-0.15270259999999999</v>
      </c>
      <c r="U954">
        <v>-0.22445680000000001</v>
      </c>
      <c r="V954">
        <v>2.5970199999999999E-2</v>
      </c>
      <c r="W954">
        <v>0.1904286</v>
      </c>
      <c r="X954">
        <v>0.98135749999999999</v>
      </c>
      <c r="Y954">
        <v>6.2977720000000001E-2</v>
      </c>
      <c r="Z954">
        <v>-1.070047E-3</v>
      </c>
      <c r="AA954">
        <v>0.99801430000000002</v>
      </c>
      <c r="AB954">
        <v>39</v>
      </c>
      <c r="AC954">
        <v>21.102599999999899</v>
      </c>
      <c r="AD954">
        <v>-1.0625714645290001</v>
      </c>
      <c r="AE954">
        <v>-1.55869999999998</v>
      </c>
      <c r="AF954">
        <v>1.34524428754129</v>
      </c>
      <c r="AG954">
        <v>-1.0625714645290001</v>
      </c>
      <c r="AH954">
        <v>21.063949928657198</v>
      </c>
      <c r="AI954">
        <v>92.881977619932002</v>
      </c>
      <c r="AJ954">
        <v>86.345781073538504</v>
      </c>
      <c r="AK954">
        <v>21.1335923805531</v>
      </c>
      <c r="AL954">
        <v>79.022202399783495</v>
      </c>
      <c r="AM954">
        <v>88.484104269216999</v>
      </c>
      <c r="AN954">
        <v>1.0000000228961201</v>
      </c>
    </row>
    <row r="955" spans="1:40" x14ac:dyDescent="0.25">
      <c r="A955" t="str">
        <f>"20190312172912291"</f>
        <v>20190312172912291</v>
      </c>
      <c r="B955" t="str">
        <f>"1552382952287975"</f>
        <v>1552382952287975</v>
      </c>
      <c r="C955" t="s">
        <v>40</v>
      </c>
      <c r="D955">
        <v>3.256958</v>
      </c>
      <c r="E955">
        <v>0.51761109999999999</v>
      </c>
      <c r="F955" t="s">
        <v>41</v>
      </c>
      <c r="G955">
        <v>-257.67329999999998</v>
      </c>
      <c r="H955" s="1">
        <v>-1.776343E-6</v>
      </c>
      <c r="I955">
        <v>365.86369999999999</v>
      </c>
      <c r="J955">
        <v>-279.40940000000001</v>
      </c>
      <c r="K955">
        <v>1.06324</v>
      </c>
      <c r="L955">
        <v>367.47500000000002</v>
      </c>
      <c r="M955">
        <v>0.99986280000000005</v>
      </c>
      <c r="N955">
        <v>0</v>
      </c>
      <c r="O955">
        <v>-1.004851E-2</v>
      </c>
      <c r="P955">
        <v>0.98347030000000002</v>
      </c>
      <c r="Q955">
        <v>0.17749279999999901</v>
      </c>
      <c r="R955">
        <v>-3.5811740000000002E-2</v>
      </c>
      <c r="S955">
        <v>3.068085</v>
      </c>
      <c r="T955">
        <v>-0.1483477</v>
      </c>
      <c r="U955">
        <v>-0.22531129999999999</v>
      </c>
      <c r="V955">
        <v>2.603113E-2</v>
      </c>
      <c r="W955">
        <v>0.19042020000000001</v>
      </c>
      <c r="X955">
        <v>0.98135749999999999</v>
      </c>
      <c r="Y955">
        <v>6.3152089999999994E-2</v>
      </c>
      <c r="Z955">
        <v>-1.038902E-3</v>
      </c>
      <c r="AA955">
        <v>0.99800339999999998</v>
      </c>
      <c r="AB955">
        <v>39</v>
      </c>
      <c r="AC955">
        <v>21.7361</v>
      </c>
      <c r="AD955">
        <v>-1.063241776343</v>
      </c>
      <c r="AE955">
        <v>-1.6113000000000199</v>
      </c>
      <c r="AF955">
        <v>1.3894777477398601</v>
      </c>
      <c r="AG955">
        <v>-1.063241776343</v>
      </c>
      <c r="AH955">
        <v>21.699556710042501</v>
      </c>
      <c r="AI955">
        <v>92.799429302337401</v>
      </c>
      <c r="AJ955">
        <v>86.336207590403205</v>
      </c>
      <c r="AK955">
        <v>21.769976869504799</v>
      </c>
      <c r="AL955">
        <v>79.022692484546198</v>
      </c>
      <c r="AM955">
        <v>88.480549414857194</v>
      </c>
      <c r="AN955">
        <v>1.0000000075516799</v>
      </c>
    </row>
    <row r="956" spans="1:40" x14ac:dyDescent="0.25">
      <c r="A956" t="str">
        <f>"20190312172912307"</f>
        <v>20190312172912307</v>
      </c>
      <c r="B956" t="str">
        <f>"1552382952298710"</f>
        <v>1552382952298710</v>
      </c>
      <c r="C956" t="s">
        <v>40</v>
      </c>
      <c r="D956">
        <v>3.2860390000000002</v>
      </c>
      <c r="E956">
        <v>0.51757410000000004</v>
      </c>
      <c r="F956" t="s">
        <v>41</v>
      </c>
      <c r="G956">
        <v>-257.07279999999997</v>
      </c>
      <c r="H956" s="1">
        <v>-1.9887659999999998E-6</v>
      </c>
      <c r="I956">
        <v>365.83339999999998</v>
      </c>
      <c r="J956">
        <v>-279.1386</v>
      </c>
      <c r="K956">
        <v>1.0641259999999999</v>
      </c>
      <c r="L956">
        <v>367.47210000000001</v>
      </c>
      <c r="M956">
        <v>0.9998802</v>
      </c>
      <c r="N956">
        <v>0</v>
      </c>
      <c r="O956">
        <v>-1.0166379999999999E-2</v>
      </c>
      <c r="P956">
        <v>0.98312770000000005</v>
      </c>
      <c r="Q956">
        <v>0.17934020000000001</v>
      </c>
      <c r="R956">
        <v>-3.6014039999999997E-2</v>
      </c>
      <c r="S956">
        <v>3.0685730000000002</v>
      </c>
      <c r="T956">
        <v>-0.1460661</v>
      </c>
      <c r="U956">
        <v>-0.2255249</v>
      </c>
      <c r="V956">
        <v>2.6118769999999999E-2</v>
      </c>
      <c r="W956">
        <v>0.19079560000000001</v>
      </c>
      <c r="X956">
        <v>0.98128219999999999</v>
      </c>
      <c r="Y956">
        <v>6.3094259999999999E-2</v>
      </c>
      <c r="Z956">
        <v>-1.0158120000000001E-3</v>
      </c>
      <c r="AA956">
        <v>0.99800710000000004</v>
      </c>
      <c r="AB956">
        <v>40</v>
      </c>
      <c r="AC956">
        <v>22.065799999999999</v>
      </c>
      <c r="AD956">
        <v>-1.064127988766</v>
      </c>
      <c r="AE956">
        <v>-1.63870000000002</v>
      </c>
      <c r="AF956">
        <v>1.41100717231493</v>
      </c>
      <c r="AG956">
        <v>-1.064127988766</v>
      </c>
      <c r="AH956">
        <v>22.0303659159934</v>
      </c>
      <c r="AI956">
        <v>92.759750311728695</v>
      </c>
      <c r="AJ956">
        <v>86.335309146458499</v>
      </c>
      <c r="AK956">
        <v>22.101138703907601</v>
      </c>
      <c r="AL956">
        <v>79.000781345604196</v>
      </c>
      <c r="AM956">
        <v>88.475319298538494</v>
      </c>
      <c r="AN956">
        <v>0.99999995358125504</v>
      </c>
    </row>
    <row r="957" spans="1:40" x14ac:dyDescent="0.25">
      <c r="A957" t="str">
        <f>"20190312172912321"</f>
        <v>20190312172912321</v>
      </c>
      <c r="B957" t="str">
        <f>"1552382952318230"</f>
        <v>1552382952318230</v>
      </c>
      <c r="C957" t="s">
        <v>40</v>
      </c>
      <c r="D957">
        <v>3.256014</v>
      </c>
      <c r="E957">
        <v>0.51765289999999997</v>
      </c>
      <c r="F957" t="s">
        <v>41</v>
      </c>
      <c r="G957">
        <v>-255.82</v>
      </c>
      <c r="H957" s="1">
        <v>-2.4601579999999999E-6</v>
      </c>
      <c r="I957">
        <v>365.7568</v>
      </c>
      <c r="J957">
        <v>-278.88440000000003</v>
      </c>
      <c r="K957">
        <v>1.065086</v>
      </c>
      <c r="L957">
        <v>367.46940000000001</v>
      </c>
      <c r="M957">
        <v>0.99989329999999998</v>
      </c>
      <c r="N957">
        <v>0</v>
      </c>
      <c r="O957">
        <v>-1.028664E-2</v>
      </c>
      <c r="P957">
        <v>0.98290370000000005</v>
      </c>
      <c r="Q957">
        <v>0.18048639999999999</v>
      </c>
      <c r="R957">
        <v>-3.640206E-2</v>
      </c>
      <c r="S957">
        <v>3.068756</v>
      </c>
      <c r="T957">
        <v>-0.14003969999999999</v>
      </c>
      <c r="U957">
        <v>-0.22573850000000001</v>
      </c>
      <c r="V957">
        <v>2.638648E-2</v>
      </c>
      <c r="W957">
        <v>0.19067110000000001</v>
      </c>
      <c r="X957">
        <v>0.98129929999999999</v>
      </c>
      <c r="Y957">
        <v>6.3044089999999997E-2</v>
      </c>
      <c r="Z957">
        <v>-9.6727369999999996E-4</v>
      </c>
      <c r="AA957">
        <v>0.99801030000000002</v>
      </c>
      <c r="AB957">
        <v>40</v>
      </c>
      <c r="AC957">
        <v>23.064399999999999</v>
      </c>
      <c r="AD957">
        <v>-1.065088460158</v>
      </c>
      <c r="AE957">
        <v>-1.7125999999999999</v>
      </c>
      <c r="AF957">
        <v>1.47211937010214</v>
      </c>
      <c r="AG957">
        <v>-1.065088460158</v>
      </c>
      <c r="AH957">
        <v>23.031951307935401</v>
      </c>
      <c r="AI957">
        <v>92.642312844612107</v>
      </c>
      <c r="AJ957">
        <v>86.342834942785103</v>
      </c>
      <c r="AK957">
        <v>23.1035133674274</v>
      </c>
      <c r="AL957">
        <v>79.008048762370095</v>
      </c>
      <c r="AM957">
        <v>88.459726071280997</v>
      </c>
      <c r="AN957">
        <v>1.0000000154412401</v>
      </c>
    </row>
    <row r="958" spans="1:40" x14ac:dyDescent="0.25">
      <c r="A958" t="str">
        <f>"20190312172912333"</f>
        <v>20190312172912333</v>
      </c>
      <c r="B958" t="str">
        <f>"1552382952327990"</f>
        <v>1552382952327990</v>
      </c>
      <c r="C958" t="s">
        <v>40</v>
      </c>
      <c r="D958">
        <v>3.248405</v>
      </c>
      <c r="E958">
        <v>0.5177214</v>
      </c>
      <c r="F958" t="s">
        <v>41</v>
      </c>
      <c r="G958">
        <v>-255.4308</v>
      </c>
      <c r="H958" s="1">
        <v>-2.6315410000000002E-6</v>
      </c>
      <c r="I958">
        <v>365.7319</v>
      </c>
      <c r="J958">
        <v>-278.67540000000002</v>
      </c>
      <c r="K958">
        <v>1.065933</v>
      </c>
      <c r="L958">
        <v>367.46719999999999</v>
      </c>
      <c r="M958">
        <v>0.99990190000000001</v>
      </c>
      <c r="N958">
        <v>0</v>
      </c>
      <c r="O958">
        <v>-1.0392999999999999E-2</v>
      </c>
      <c r="P958">
        <v>0.98270930000000001</v>
      </c>
      <c r="Q958">
        <v>0.18150140000000001</v>
      </c>
      <c r="R958">
        <v>-3.6600679999999997E-2</v>
      </c>
      <c r="S958">
        <v>3.069366</v>
      </c>
      <c r="T958">
        <v>-0.13938699999999901</v>
      </c>
      <c r="U958">
        <v>-0.22738649999999999</v>
      </c>
      <c r="V958">
        <v>2.6478499999999999E-2</v>
      </c>
      <c r="W958">
        <v>0.19071089999999999</v>
      </c>
      <c r="X958">
        <v>0.98128910000000003</v>
      </c>
      <c r="Y958">
        <v>6.3456670000000007E-2</v>
      </c>
      <c r="Z958">
        <v>-9.6709529999999995E-4</v>
      </c>
      <c r="AA958">
        <v>0.99798410000000004</v>
      </c>
      <c r="AB958">
        <v>40</v>
      </c>
      <c r="AC958">
        <v>23.244599999999998</v>
      </c>
      <c r="AD958">
        <v>-1.065935631541</v>
      </c>
      <c r="AE958">
        <v>-1.7352999999999901</v>
      </c>
      <c r="AF958">
        <v>1.4904975014545401</v>
      </c>
      <c r="AG958">
        <v>-1.065935631541</v>
      </c>
      <c r="AH958">
        <v>23.212836608330498</v>
      </c>
      <c r="AI958">
        <v>92.623784884501006</v>
      </c>
      <c r="AJ958">
        <v>86.326078449617299</v>
      </c>
      <c r="AK958">
        <v>23.285050675862401</v>
      </c>
      <c r="AL958">
        <v>79.005725904076499</v>
      </c>
      <c r="AM958">
        <v>88.454341075018107</v>
      </c>
      <c r="AN958">
        <v>1.0000000280599299</v>
      </c>
    </row>
    <row r="959" spans="1:40" x14ac:dyDescent="0.25">
      <c r="A959" t="str">
        <f>"20190312172912344"</f>
        <v>20190312172912344</v>
      </c>
      <c r="B959" t="str">
        <f>"1552382952338726"</f>
        <v>1552382952338726</v>
      </c>
      <c r="C959" t="s">
        <v>40</v>
      </c>
      <c r="D959">
        <v>3.2400340000000001</v>
      </c>
      <c r="E959">
        <v>0.51771029999999996</v>
      </c>
      <c r="F959" t="s">
        <v>41</v>
      </c>
      <c r="G959">
        <v>-254.88120000000001</v>
      </c>
      <c r="H959" s="1">
        <v>-2.8739659999999998E-6</v>
      </c>
      <c r="I959">
        <v>365.69439999999997</v>
      </c>
      <c r="J959">
        <v>-278.47609999999997</v>
      </c>
      <c r="K959">
        <v>1.066764</v>
      </c>
      <c r="L959">
        <v>367.46499999999997</v>
      </c>
      <c r="M959">
        <v>0.99990869999999998</v>
      </c>
      <c r="N959">
        <v>0</v>
      </c>
      <c r="O959">
        <v>-1.049655E-2</v>
      </c>
      <c r="P959">
        <v>0.98256869999999996</v>
      </c>
      <c r="Q959">
        <v>0.18221999999999999</v>
      </c>
      <c r="R959">
        <v>-3.6808300000000002E-2</v>
      </c>
      <c r="S959">
        <v>3.0696409999999998</v>
      </c>
      <c r="T959">
        <v>-0.13751329999999901</v>
      </c>
      <c r="U959">
        <v>-0.2286987</v>
      </c>
      <c r="V959">
        <v>2.6581730000000001E-2</v>
      </c>
      <c r="W959">
        <v>0.1905625</v>
      </c>
      <c r="X959">
        <v>0.9813151</v>
      </c>
      <c r="Y959">
        <v>6.377236E-2</v>
      </c>
      <c r="Z959">
        <v>-9.5644079999999997E-4</v>
      </c>
      <c r="AA959">
        <v>0.99796399999999996</v>
      </c>
      <c r="AB959">
        <v>40</v>
      </c>
      <c r="AC959">
        <v>23.5948999999999</v>
      </c>
      <c r="AD959">
        <v>-1.0667668739659999</v>
      </c>
      <c r="AE959">
        <v>-1.7706</v>
      </c>
      <c r="AF959">
        <v>1.5197393266761401</v>
      </c>
      <c r="AG959">
        <v>-1.0667668739659999</v>
      </c>
      <c r="AH959">
        <v>23.564287816534499</v>
      </c>
      <c r="AI959">
        <v>92.586671717827002</v>
      </c>
      <c r="AJ959">
        <v>86.309915043332794</v>
      </c>
      <c r="AK959">
        <v>23.637327672241501</v>
      </c>
      <c r="AL959">
        <v>79.014387022620696</v>
      </c>
      <c r="AM959">
        <v>88.448359147513997</v>
      </c>
      <c r="AN959">
        <v>0.99999999013202601</v>
      </c>
    </row>
    <row r="960" spans="1:40" x14ac:dyDescent="0.25">
      <c r="A960" t="str">
        <f>"20190312172912354"</f>
        <v>20190312172912354</v>
      </c>
      <c r="B960" t="str">
        <f>"1552382952348487"</f>
        <v>1552382952348487</v>
      </c>
      <c r="C960" t="s">
        <v>40</v>
      </c>
      <c r="D960">
        <v>3.2570760000000001</v>
      </c>
      <c r="E960">
        <v>0.51770000000000005</v>
      </c>
      <c r="F960" t="s">
        <v>41</v>
      </c>
      <c r="G960">
        <v>-254.42580000000001</v>
      </c>
      <c r="H960" s="1">
        <v>-3.0737669999999998E-6</v>
      </c>
      <c r="I960">
        <v>365.66930000000002</v>
      </c>
      <c r="J960">
        <v>-278.28949999999998</v>
      </c>
      <c r="K960">
        <v>1.0676559999999999</v>
      </c>
      <c r="L960">
        <v>367.46300000000002</v>
      </c>
      <c r="M960">
        <v>0.99991149999999995</v>
      </c>
      <c r="N960">
        <v>0</v>
      </c>
      <c r="O960">
        <v>-1.059759E-2</v>
      </c>
      <c r="P960">
        <v>0.98244779999999998</v>
      </c>
      <c r="Q960">
        <v>0.1828487</v>
      </c>
      <c r="R960">
        <v>-3.6917159999999997E-2</v>
      </c>
      <c r="S960">
        <v>3.0698850000000002</v>
      </c>
      <c r="T960">
        <v>-0.1361666</v>
      </c>
      <c r="U960">
        <v>-0.22921749999999999</v>
      </c>
      <c r="V960">
        <v>2.6588569999999999E-2</v>
      </c>
      <c r="W960">
        <v>0.19074360000000001</v>
      </c>
      <c r="X960">
        <v>0.98127969999999998</v>
      </c>
      <c r="Y960">
        <v>6.3834470000000004E-2</v>
      </c>
      <c r="Z960">
        <v>-9.4390659999999999E-4</v>
      </c>
      <c r="AA960">
        <v>0.99795999999999996</v>
      </c>
      <c r="AB960">
        <v>40</v>
      </c>
      <c r="AC960">
        <v>23.863699999999898</v>
      </c>
      <c r="AD960">
        <v>-1.067659073767</v>
      </c>
      <c r="AE960">
        <v>-1.7937000000000001</v>
      </c>
      <c r="AF960">
        <v>1.53763285602877</v>
      </c>
      <c r="AG960">
        <v>-1.067659073767</v>
      </c>
      <c r="AH960">
        <v>23.8339300022405</v>
      </c>
      <c r="AI960">
        <v>92.559579438250296</v>
      </c>
      <c r="AJ960">
        <v>86.308709886652196</v>
      </c>
      <c r="AK960">
        <v>23.9073300485319</v>
      </c>
      <c r="AL960">
        <v>79.003816552856193</v>
      </c>
      <c r="AM960">
        <v>88.447904112195303</v>
      </c>
      <c r="AN960">
        <v>0.99999996131384605</v>
      </c>
    </row>
    <row r="961" spans="1:40" x14ac:dyDescent="0.25">
      <c r="A961" t="str">
        <f>"20190312172912366"</f>
        <v>20190312172912366</v>
      </c>
      <c r="B961" t="str">
        <f>"1552382952358246"</f>
        <v>1552382952358246</v>
      </c>
      <c r="C961" t="s">
        <v>40</v>
      </c>
      <c r="D961">
        <v>3.260742</v>
      </c>
      <c r="E961">
        <v>0.51774500000000001</v>
      </c>
      <c r="F961" t="s">
        <v>41</v>
      </c>
      <c r="G961">
        <v>-254.01089999999999</v>
      </c>
      <c r="H961" s="1">
        <v>-3.2552070000000002E-6</v>
      </c>
      <c r="I961">
        <v>365.64980000000003</v>
      </c>
      <c r="J961">
        <v>-278.09820000000002</v>
      </c>
      <c r="K961">
        <v>1.068638</v>
      </c>
      <c r="L961">
        <v>367.46089999999998</v>
      </c>
      <c r="M961">
        <v>0.9999131</v>
      </c>
      <c r="N961">
        <v>0</v>
      </c>
      <c r="O961">
        <v>-1.070134E-2</v>
      </c>
      <c r="P961">
        <v>0.98236579999999996</v>
      </c>
      <c r="Q961">
        <v>0.18329380000000001</v>
      </c>
      <c r="R961">
        <v>-3.6891529999999999E-2</v>
      </c>
      <c r="S961">
        <v>3.0700989999999999</v>
      </c>
      <c r="T961">
        <v>-0.1350085</v>
      </c>
      <c r="U961">
        <v>-0.2292786</v>
      </c>
      <c r="V961">
        <v>2.6457720000000001E-2</v>
      </c>
      <c r="W961">
        <v>0.19084899999999999</v>
      </c>
      <c r="X961">
        <v>0.98126279999999999</v>
      </c>
      <c r="Y961">
        <v>6.37466E-2</v>
      </c>
      <c r="Z961">
        <v>-9.2934099999999998E-4</v>
      </c>
      <c r="AA961">
        <v>0.99796569999999996</v>
      </c>
      <c r="AB961">
        <v>40</v>
      </c>
      <c r="AC961">
        <v>24.087299999999999</v>
      </c>
      <c r="AD961">
        <v>-1.0686412552069999</v>
      </c>
      <c r="AE961">
        <v>-1.81109999999995</v>
      </c>
      <c r="AF961">
        <v>1.55018820476889</v>
      </c>
      <c r="AG961">
        <v>-1.0686412552069999</v>
      </c>
      <c r="AH961">
        <v>24.0582152435578</v>
      </c>
      <c r="AI961">
        <v>92.538091418349495</v>
      </c>
      <c r="AJ961">
        <v>86.313249985802798</v>
      </c>
      <c r="AK961">
        <v>24.131779841277599</v>
      </c>
      <c r="AL961">
        <v>78.997665185872805</v>
      </c>
      <c r="AM961">
        <v>88.455512126818306</v>
      </c>
      <c r="AN961">
        <v>1.00000001720621</v>
      </c>
    </row>
    <row r="962" spans="1:40" x14ac:dyDescent="0.25">
      <c r="A962" t="str">
        <f>"20190312172912376"</f>
        <v>20190312172912376</v>
      </c>
      <c r="B962" t="str">
        <f>"1552382952368006"</f>
        <v>1552382952368006</v>
      </c>
      <c r="C962" t="s">
        <v>40</v>
      </c>
      <c r="D962">
        <v>3.2437819999999999</v>
      </c>
      <c r="E962">
        <v>0.51771590000000001</v>
      </c>
      <c r="F962" t="s">
        <v>41</v>
      </c>
      <c r="G962">
        <v>-253.66380000000001</v>
      </c>
      <c r="H962" s="1">
        <v>-3.4072050000000001E-6</v>
      </c>
      <c r="I962">
        <v>365.63260000000002</v>
      </c>
      <c r="J962">
        <v>-277.91669999999999</v>
      </c>
      <c r="K962">
        <v>1.069766</v>
      </c>
      <c r="L962">
        <v>367.45890000000003</v>
      </c>
      <c r="M962">
        <v>0.99991209999999997</v>
      </c>
      <c r="N962">
        <v>0</v>
      </c>
      <c r="O962">
        <v>-1.080126E-2</v>
      </c>
      <c r="P962">
        <v>0.98234160000000004</v>
      </c>
      <c r="Q962">
        <v>0.18342330000000001</v>
      </c>
      <c r="R962">
        <v>-3.6890890000000003E-2</v>
      </c>
      <c r="S962">
        <v>3.0702820000000002</v>
      </c>
      <c r="T962">
        <v>-0.13427819999999999</v>
      </c>
      <c r="U962">
        <v>-0.2297363</v>
      </c>
      <c r="V962">
        <v>2.635616E-2</v>
      </c>
      <c r="W962">
        <v>0.190973</v>
      </c>
      <c r="X962">
        <v>0.98124140000000004</v>
      </c>
      <c r="Y962">
        <v>6.3791039999999993E-2</v>
      </c>
      <c r="Z962">
        <v>-9.2086749999999997E-4</v>
      </c>
      <c r="AA962">
        <v>0.99796280000000004</v>
      </c>
      <c r="AB962">
        <v>39</v>
      </c>
      <c r="AC962">
        <v>24.252899999999901</v>
      </c>
      <c r="AD962">
        <v>-1.0697694072049999</v>
      </c>
      <c r="AE962">
        <v>-1.8263</v>
      </c>
      <c r="AF962">
        <v>1.56120348579843</v>
      </c>
      <c r="AG962">
        <v>-1.0697694072049999</v>
      </c>
      <c r="AH962">
        <v>24.224346957465201</v>
      </c>
      <c r="AI962">
        <v>92.5233631665497</v>
      </c>
      <c r="AJ962">
        <v>86.312518378737906</v>
      </c>
      <c r="AK962">
        <v>24.298163478426002</v>
      </c>
      <c r="AL962">
        <v>78.990427300982802</v>
      </c>
      <c r="AM962">
        <v>88.461404369073406</v>
      </c>
      <c r="AN962">
        <v>1.0000000094864501</v>
      </c>
    </row>
    <row r="963" spans="1:40" x14ac:dyDescent="0.25">
      <c r="A963" t="str">
        <f>"20190312172912387"</f>
        <v>20190312172912387</v>
      </c>
      <c r="B963" t="str">
        <f>"1552382952378742"</f>
        <v>1552382952378742</v>
      </c>
      <c r="C963" t="s">
        <v>40</v>
      </c>
      <c r="D963">
        <v>3.2494930000000002</v>
      </c>
      <c r="E963">
        <v>0.5177271</v>
      </c>
      <c r="F963" t="s">
        <v>41</v>
      </c>
      <c r="G963">
        <v>-253.48660000000001</v>
      </c>
      <c r="H963" s="1">
        <v>-3.4834310000000002E-6</v>
      </c>
      <c r="I963">
        <v>365.63119999999998</v>
      </c>
      <c r="J963">
        <v>-277.73630000000003</v>
      </c>
      <c r="K963">
        <v>1.070935</v>
      </c>
      <c r="L963">
        <v>367.45690000000002</v>
      </c>
      <c r="M963">
        <v>0.99991090000000005</v>
      </c>
      <c r="N963">
        <v>0</v>
      </c>
      <c r="O963">
        <v>-1.0897749999999999E-2</v>
      </c>
      <c r="P963">
        <v>0.98229889999999997</v>
      </c>
      <c r="Q963">
        <v>0.18362990000000001</v>
      </c>
      <c r="R963">
        <v>-3.7005910000000003E-2</v>
      </c>
      <c r="S963">
        <v>3.0704039999999999</v>
      </c>
      <c r="T963">
        <v>-0.13444979999999901</v>
      </c>
      <c r="U963">
        <v>-0.22970579999999999</v>
      </c>
      <c r="V963">
        <v>2.6374459999999999E-2</v>
      </c>
      <c r="W963">
        <v>0.19120419999999999</v>
      </c>
      <c r="X963">
        <v>0.98119590000000001</v>
      </c>
      <c r="Y963">
        <v>6.3681989999999994E-2</v>
      </c>
      <c r="Z963">
        <v>-9.1540809999999997E-4</v>
      </c>
      <c r="AA963">
        <v>0.99796980000000002</v>
      </c>
      <c r="AB963">
        <v>39</v>
      </c>
      <c r="AC963">
        <v>24.249700000000001</v>
      </c>
      <c r="AD963">
        <v>-1.0709384834310001</v>
      </c>
      <c r="AE963">
        <v>-1.8257000000000401</v>
      </c>
      <c r="AF963">
        <v>1.5582944421812299</v>
      </c>
      <c r="AG963">
        <v>-1.0709384834310001</v>
      </c>
      <c r="AH963">
        <v>24.221182592636701</v>
      </c>
      <c r="AI963">
        <v>92.526464869921696</v>
      </c>
      <c r="AJ963">
        <v>86.318890951923095</v>
      </c>
      <c r="AK963">
        <v>24.294873471365801</v>
      </c>
      <c r="AL963">
        <v>78.976932019692001</v>
      </c>
      <c r="AM963">
        <v>88.460265219690399</v>
      </c>
      <c r="AN963">
        <v>1.0000000262073701</v>
      </c>
    </row>
    <row r="964" spans="1:40" x14ac:dyDescent="0.25">
      <c r="A964" t="str">
        <f>"20190312172912398"</f>
        <v>20190312172912398</v>
      </c>
      <c r="B964" t="str">
        <f>"1552382952388503"</f>
        <v>1552382952388503</v>
      </c>
      <c r="C964" t="s">
        <v>40</v>
      </c>
      <c r="D964">
        <v>3.2531699999999999</v>
      </c>
      <c r="E964">
        <v>0.51771800000000001</v>
      </c>
      <c r="F964" t="s">
        <v>41</v>
      </c>
      <c r="G964">
        <v>-253.2671</v>
      </c>
      <c r="H964" s="1">
        <v>-3.5791190000000001E-6</v>
      </c>
      <c r="I964">
        <v>365.62270000000001</v>
      </c>
      <c r="J964">
        <v>-277.53530000000001</v>
      </c>
      <c r="K964">
        <v>1.072352</v>
      </c>
      <c r="L964">
        <v>367.4547</v>
      </c>
      <c r="M964">
        <v>0.99990889999999999</v>
      </c>
      <c r="N964">
        <v>0</v>
      </c>
      <c r="O964">
        <v>-1.099954E-2</v>
      </c>
      <c r="P964">
        <v>0.98230200000000001</v>
      </c>
      <c r="Q964">
        <v>0.1835589</v>
      </c>
      <c r="R964">
        <v>-3.7276169999999997E-2</v>
      </c>
      <c r="S964">
        <v>3.0705260000000001</v>
      </c>
      <c r="T964">
        <v>-0.13438639999999999</v>
      </c>
      <c r="U964">
        <v>-0.2301636</v>
      </c>
      <c r="V964">
        <v>2.6543210000000001E-2</v>
      </c>
      <c r="W964">
        <v>0.19122149999999999</v>
      </c>
      <c r="X964">
        <v>0.9811879</v>
      </c>
      <c r="Y964">
        <v>6.3725489999999996E-2</v>
      </c>
      <c r="Z964">
        <v>-9.1144000000000001E-4</v>
      </c>
      <c r="AA964">
        <v>0.9979671</v>
      </c>
      <c r="AB964">
        <v>39</v>
      </c>
      <c r="AC964">
        <v>24.2682</v>
      </c>
      <c r="AD964">
        <v>-1.072355579119</v>
      </c>
      <c r="AE964">
        <v>-1.8319999999999901</v>
      </c>
      <c r="AF964">
        <v>1.5619095296354999</v>
      </c>
      <c r="AG964">
        <v>-1.072355579119</v>
      </c>
      <c r="AH964">
        <v>24.2398222231344</v>
      </c>
      <c r="AI964">
        <v>92.527844673008403</v>
      </c>
      <c r="AJ964">
        <v>86.313204081819507</v>
      </c>
      <c r="AK964">
        <v>24.313751032615102</v>
      </c>
      <c r="AL964">
        <v>78.975921314285898</v>
      </c>
      <c r="AM964">
        <v>88.450405794144203</v>
      </c>
      <c r="AN964">
        <v>0.99999994958287997</v>
      </c>
    </row>
    <row r="965" spans="1:40" x14ac:dyDescent="0.25">
      <c r="A965" t="str">
        <f>"20190312172912408"</f>
        <v>20190312172912408</v>
      </c>
      <c r="B965" t="str">
        <f>"1552382952398263"</f>
        <v>1552382952398263</v>
      </c>
      <c r="C965" t="s">
        <v>40</v>
      </c>
      <c r="D965">
        <v>3.2471450000000002</v>
      </c>
      <c r="E965">
        <v>0.51772309999999999</v>
      </c>
      <c r="F965" t="s">
        <v>41</v>
      </c>
      <c r="G965">
        <v>-253.1285</v>
      </c>
      <c r="H965" s="1">
        <v>-3.6391200000000002E-6</v>
      </c>
      <c r="I965">
        <v>365.61950000000002</v>
      </c>
      <c r="J965">
        <v>-277.36180000000002</v>
      </c>
      <c r="K965">
        <v>1.0736059999999901</v>
      </c>
      <c r="L965">
        <v>367.45280000000002</v>
      </c>
      <c r="M965">
        <v>0.99990809999999997</v>
      </c>
      <c r="N965">
        <v>0</v>
      </c>
      <c r="O965">
        <v>-1.108311E-2</v>
      </c>
      <c r="P965">
        <v>0.98226650000000004</v>
      </c>
      <c r="Q965">
        <v>0.1837135</v>
      </c>
      <c r="R965">
        <v>-3.7447479999999998E-2</v>
      </c>
      <c r="S965">
        <v>3.0704959999999999</v>
      </c>
      <c r="T965">
        <v>-0.1349071</v>
      </c>
      <c r="U965">
        <v>-0.2308655</v>
      </c>
      <c r="V965">
        <v>2.6632739999999998E-2</v>
      </c>
      <c r="W965">
        <v>0.1913793</v>
      </c>
      <c r="X965">
        <v>0.98115469999999905</v>
      </c>
      <c r="Y965">
        <v>6.3869229999999999E-2</v>
      </c>
      <c r="Z965">
        <v>-9.144569E-4</v>
      </c>
      <c r="AA965">
        <v>0.99795789999999995</v>
      </c>
      <c r="AB965">
        <v>39</v>
      </c>
      <c r="AC965">
        <v>24.2333</v>
      </c>
      <c r="AD965">
        <v>-1.0736096391199901</v>
      </c>
      <c r="AE965">
        <v>-1.8332999999999999</v>
      </c>
      <c r="AF965">
        <v>1.5615513645613901</v>
      </c>
      <c r="AG965">
        <v>-1.0736096391199901</v>
      </c>
      <c r="AH965">
        <v>24.204892702134401</v>
      </c>
      <c r="AI965">
        <v>92.534431673716398</v>
      </c>
      <c r="AJ965">
        <v>86.308742760590405</v>
      </c>
      <c r="AK965">
        <v>24.278960254574599</v>
      </c>
      <c r="AL965">
        <v>78.966709838349004</v>
      </c>
      <c r="AM965">
        <v>88.445129003012397</v>
      </c>
      <c r="AN965">
        <v>0.99999994232024103</v>
      </c>
    </row>
    <row r="966" spans="1:40" x14ac:dyDescent="0.25">
      <c r="A966" t="str">
        <f>"20190312172912419"</f>
        <v>20190312172912419</v>
      </c>
      <c r="B966" t="str">
        <f>"1552382952408022"</f>
        <v>1552382952408022</v>
      </c>
      <c r="C966" t="s">
        <v>40</v>
      </c>
      <c r="D966">
        <v>3.2508270000000001</v>
      </c>
      <c r="E966">
        <v>0.51769509999999996</v>
      </c>
      <c r="F966" t="s">
        <v>41</v>
      </c>
      <c r="G966">
        <v>-252.92939999999999</v>
      </c>
      <c r="H966" s="1">
        <v>-3.7252980000000001E-6</v>
      </c>
      <c r="I966">
        <v>365.61529999999999</v>
      </c>
      <c r="J966">
        <v>-277.1671</v>
      </c>
      <c r="K966">
        <v>1.0750390000000001</v>
      </c>
      <c r="L966">
        <v>367.45049999999998</v>
      </c>
      <c r="M966">
        <v>0.99990769999999995</v>
      </c>
      <c r="N966">
        <v>0</v>
      </c>
      <c r="O966">
        <v>-1.1171749999999999E-2</v>
      </c>
      <c r="P966">
        <v>0.98219630000000002</v>
      </c>
      <c r="Q966">
        <v>0.18409210000000001</v>
      </c>
      <c r="R966">
        <v>-3.7428139999999999E-2</v>
      </c>
      <c r="S966">
        <v>3.0705870000000002</v>
      </c>
      <c r="T966">
        <v>-0.13492770000000001</v>
      </c>
      <c r="U966">
        <v>-0.23092650000000001</v>
      </c>
      <c r="V966">
        <v>2.652763E-2</v>
      </c>
      <c r="W966">
        <v>0.1916863</v>
      </c>
      <c r="X966">
        <v>0.98109769999999996</v>
      </c>
      <c r="Y966">
        <v>6.379841E-2</v>
      </c>
      <c r="Z966">
        <v>-9.0912920000000002E-4</v>
      </c>
      <c r="AA966">
        <v>0.99796240000000003</v>
      </c>
      <c r="AB966">
        <v>39</v>
      </c>
      <c r="AC966">
        <v>24.2377</v>
      </c>
      <c r="AD966">
        <v>-1.0750427252979999</v>
      </c>
      <c r="AE966">
        <v>-1.83519999999998</v>
      </c>
      <c r="AF966">
        <v>1.5612459293019401</v>
      </c>
      <c r="AG966">
        <v>-1.0750427252979999</v>
      </c>
      <c r="AH966">
        <v>24.209335020275901</v>
      </c>
      <c r="AI966">
        <v>92.537349199582593</v>
      </c>
      <c r="AJ966">
        <v>86.310138093162806</v>
      </c>
      <c r="AK966">
        <v>24.2834327852743</v>
      </c>
      <c r="AL966">
        <v>78.948789159752906</v>
      </c>
      <c r="AM966">
        <v>88.451172598996394</v>
      </c>
      <c r="AN966">
        <v>1.00000002485319</v>
      </c>
    </row>
    <row r="967" spans="1:40" x14ac:dyDescent="0.25">
      <c r="A967" t="str">
        <f>"20190312172912430"</f>
        <v>20190312172912430</v>
      </c>
      <c r="B967" t="str">
        <f>"1552382952418759"</f>
        <v>1552382952418759</v>
      </c>
      <c r="C967" t="s">
        <v>40</v>
      </c>
      <c r="D967">
        <v>3.2372779999999999</v>
      </c>
      <c r="E967">
        <v>0.51771820000000002</v>
      </c>
      <c r="F967" t="s">
        <v>41</v>
      </c>
      <c r="G967">
        <v>-252.57650000000001</v>
      </c>
      <c r="H967" s="1">
        <v>-3.8791449999999996E-6</v>
      </c>
      <c r="I967">
        <v>365.60149999999999</v>
      </c>
      <c r="J967">
        <v>-276.98239999999998</v>
      </c>
      <c r="K967">
        <v>1.0764389999999999</v>
      </c>
      <c r="L967">
        <v>367.44850000000002</v>
      </c>
      <c r="M967">
        <v>0.99990760000000001</v>
      </c>
      <c r="N967">
        <v>0</v>
      </c>
      <c r="O967">
        <v>-1.124729E-2</v>
      </c>
      <c r="P967">
        <v>0.98218329999999998</v>
      </c>
      <c r="Q967">
        <v>0.18415000000000001</v>
      </c>
      <c r="R967">
        <v>-3.7485089999999999E-2</v>
      </c>
      <c r="S967">
        <v>3.0707089999999999</v>
      </c>
      <c r="T967">
        <v>-0.13424349999999999</v>
      </c>
      <c r="U967">
        <v>-0.23089599999999999</v>
      </c>
      <c r="V967">
        <v>2.6510300000000001E-2</v>
      </c>
      <c r="W967">
        <v>0.19164700000000001</v>
      </c>
      <c r="X967">
        <v>0.98110580000000003</v>
      </c>
      <c r="Y967">
        <v>6.3710859999999994E-2</v>
      </c>
      <c r="Z967">
        <v>-8.9928259999999896E-4</v>
      </c>
      <c r="AA967">
        <v>0.99796799999999997</v>
      </c>
      <c r="AB967">
        <v>39</v>
      </c>
      <c r="AC967">
        <v>24.4058999999999</v>
      </c>
      <c r="AD967">
        <v>-1.076442879145</v>
      </c>
      <c r="AE967">
        <v>-1.84700000000003</v>
      </c>
      <c r="AF967">
        <v>1.56933943827242</v>
      </c>
      <c r="AG967">
        <v>-1.076442879145</v>
      </c>
      <c r="AH967">
        <v>24.377977469495399</v>
      </c>
      <c r="AI967">
        <v>92.523115048303197</v>
      </c>
      <c r="AJ967">
        <v>86.316649958078102</v>
      </c>
      <c r="AK967">
        <v>24.452143894714101</v>
      </c>
      <c r="AL967">
        <v>78.9510829140862</v>
      </c>
      <c r="AM967">
        <v>88.452196698882304</v>
      </c>
      <c r="AN967">
        <v>0.99999997970436405</v>
      </c>
    </row>
    <row r="968" spans="1:40" x14ac:dyDescent="0.25">
      <c r="A968" t="str">
        <f>"20190312172912442"</f>
        <v>20190312172912442</v>
      </c>
      <c r="B968" t="str">
        <f>"1552382952438279"</f>
        <v>1552382952438279</v>
      </c>
      <c r="C968" t="s">
        <v>40</v>
      </c>
      <c r="D968">
        <v>3.2910680000000001</v>
      </c>
      <c r="E968">
        <v>0.51768119999999995</v>
      </c>
      <c r="F968" t="s">
        <v>41</v>
      </c>
      <c r="G968">
        <v>-252.3999</v>
      </c>
      <c r="H968" s="1">
        <v>-3.9557000000000001E-6</v>
      </c>
      <c r="I968">
        <v>365.59690000000001</v>
      </c>
      <c r="J968">
        <v>-276.7783</v>
      </c>
      <c r="K968">
        <v>1.077998</v>
      </c>
      <c r="L968">
        <v>367.4461</v>
      </c>
      <c r="M968">
        <v>0.99990760000000001</v>
      </c>
      <c r="N968">
        <v>0</v>
      </c>
      <c r="O968">
        <v>-1.1325460000000001E-2</v>
      </c>
      <c r="P968">
        <v>0.98217350000000003</v>
      </c>
      <c r="Q968">
        <v>0.18423529999999999</v>
      </c>
      <c r="R968">
        <v>-3.7319810000000002E-2</v>
      </c>
      <c r="S968">
        <v>3.0708009999999999</v>
      </c>
      <c r="T968">
        <v>-0.13446720000000001</v>
      </c>
      <c r="U968">
        <v>-0.23129269999999999</v>
      </c>
      <c r="V968">
        <v>2.6268159999999999E-2</v>
      </c>
      <c r="W968">
        <v>0.1916081</v>
      </c>
      <c r="X968">
        <v>0.98111990000000004</v>
      </c>
      <c r="Y968">
        <v>6.3758700000000001E-2</v>
      </c>
      <c r="Z968">
        <v>-8.983792E-4</v>
      </c>
      <c r="AA968">
        <v>0.99796490000000004</v>
      </c>
      <c r="AB968">
        <v>39</v>
      </c>
      <c r="AC968">
        <v>24.378399999999999</v>
      </c>
      <c r="AD968">
        <v>-1.0780019557</v>
      </c>
      <c r="AE968">
        <v>-1.84919999999999</v>
      </c>
      <c r="AF968">
        <v>1.5699247769840601</v>
      </c>
      <c r="AG968">
        <v>-1.0780019557</v>
      </c>
      <c r="AH968">
        <v>24.350438340376499</v>
      </c>
      <c r="AI968">
        <v>92.529602931814793</v>
      </c>
      <c r="AJ968">
        <v>86.311124176691806</v>
      </c>
      <c r="AK968">
        <v>24.424794766596499</v>
      </c>
      <c r="AL968">
        <v>78.953353687196099</v>
      </c>
      <c r="AM968">
        <v>88.466349284896097</v>
      </c>
      <c r="AN968">
        <v>0.999999969195702</v>
      </c>
    </row>
    <row r="969" spans="1:40" x14ac:dyDescent="0.25">
      <c r="A969" t="str">
        <f>"20190312172912453"</f>
        <v>20190312172912453</v>
      </c>
      <c r="B969" t="str">
        <f>"1552382952448038"</f>
        <v>1552382952448038</v>
      </c>
      <c r="C969" t="s">
        <v>40</v>
      </c>
      <c r="D969">
        <v>3.2890929999999998</v>
      </c>
      <c r="E969">
        <v>0.5165246</v>
      </c>
      <c r="F969" t="s">
        <v>41</v>
      </c>
      <c r="G969">
        <v>-252.18950000000001</v>
      </c>
      <c r="H969" s="1">
        <v>-4.0456830000000002E-6</v>
      </c>
      <c r="I969">
        <v>365.59859999999998</v>
      </c>
      <c r="J969">
        <v>-276.58510000000001</v>
      </c>
      <c r="K969">
        <v>1.0795170000000001</v>
      </c>
      <c r="L969">
        <v>367.44389999999999</v>
      </c>
      <c r="M969">
        <v>0.9999074</v>
      </c>
      <c r="N969">
        <v>0</v>
      </c>
      <c r="O969">
        <v>-1.138833E-2</v>
      </c>
      <c r="P969">
        <v>0.98220339999999995</v>
      </c>
      <c r="Q969">
        <v>0.1841322</v>
      </c>
      <c r="R969">
        <v>-3.7039999999999997E-2</v>
      </c>
      <c r="S969">
        <v>3.0709529999999998</v>
      </c>
      <c r="T969">
        <v>-0.134634</v>
      </c>
      <c r="U969">
        <v>-0.23074339999999999</v>
      </c>
      <c r="V969">
        <v>2.592481E-2</v>
      </c>
      <c r="W969">
        <v>0.19143399999999999</v>
      </c>
      <c r="X969">
        <v>0.98116300000000001</v>
      </c>
      <c r="Y969">
        <v>6.3514899999999999E-2</v>
      </c>
      <c r="Z969">
        <v>-8.9136939999999996E-4</v>
      </c>
      <c r="AA969">
        <v>0.99798050000000005</v>
      </c>
      <c r="AB969">
        <v>39</v>
      </c>
      <c r="AC969">
        <v>24.395600000000002</v>
      </c>
      <c r="AD969">
        <v>-1.079521045683</v>
      </c>
      <c r="AE969">
        <v>-1.8452999999999999</v>
      </c>
      <c r="AF969">
        <v>1.56430181004568</v>
      </c>
      <c r="AG969">
        <v>-1.079521045683</v>
      </c>
      <c r="AH969">
        <v>24.3675901378116</v>
      </c>
      <c r="AI969">
        <v>92.531426947481606</v>
      </c>
      <c r="AJ969">
        <v>86.326880416970397</v>
      </c>
      <c r="AK969">
        <v>24.441600908397099</v>
      </c>
      <c r="AL969">
        <v>78.963516832980503</v>
      </c>
      <c r="AM969">
        <v>88.486452639230706</v>
      </c>
      <c r="AN969">
        <v>0.99999995234926697</v>
      </c>
    </row>
    <row r="970" spans="1:40" x14ac:dyDescent="0.25">
      <c r="A970" t="str">
        <f>"20190312172912464"</f>
        <v>20190312172912464</v>
      </c>
      <c r="B970" t="str">
        <f>"1552382952458775"</f>
        <v>1552382952458775</v>
      </c>
      <c r="C970" t="s">
        <v>40</v>
      </c>
      <c r="D970">
        <v>3.2089989999999999</v>
      </c>
      <c r="E970">
        <v>0.5165246</v>
      </c>
      <c r="F970" t="s">
        <v>41</v>
      </c>
      <c r="G970">
        <v>-251.99250000000001</v>
      </c>
      <c r="H970" s="1">
        <v>-4.1162529999999996E-6</v>
      </c>
      <c r="I970">
        <v>365.6771</v>
      </c>
      <c r="J970">
        <v>-276.38189999999997</v>
      </c>
      <c r="K970">
        <v>1.0811200000000001</v>
      </c>
      <c r="L970">
        <v>367.44159999999999</v>
      </c>
      <c r="M970">
        <v>0.99990730000000005</v>
      </c>
      <c r="N970">
        <v>0</v>
      </c>
      <c r="O970">
        <v>-1.145184E-2</v>
      </c>
      <c r="P970">
        <v>0.98219080000000003</v>
      </c>
      <c r="Q970">
        <v>0.1842425</v>
      </c>
      <c r="R970">
        <v>-3.6824809999999999E-2</v>
      </c>
      <c r="S970">
        <v>3.0713200000000001</v>
      </c>
      <c r="T970">
        <v>-0.13481860000000001</v>
      </c>
      <c r="U970">
        <v>-0.22064210000000001</v>
      </c>
      <c r="V970">
        <v>2.564584E-2</v>
      </c>
      <c r="W970">
        <v>0.1914855</v>
      </c>
      <c r="X970">
        <v>0.98116029999999999</v>
      </c>
      <c r="Y970">
        <v>6.0180770000000001E-2</v>
      </c>
      <c r="Z970">
        <v>-8.1675839999999895E-4</v>
      </c>
      <c r="AA970">
        <v>0.99818720000000005</v>
      </c>
      <c r="AB970">
        <v>39</v>
      </c>
      <c r="AC970">
        <v>24.389399999999899</v>
      </c>
      <c r="AD970">
        <v>-1.0811241162530001</v>
      </c>
      <c r="AE970">
        <v>-1.76449999999999</v>
      </c>
      <c r="AF970">
        <v>1.4821759853272001</v>
      </c>
      <c r="AG970">
        <v>-1.0811241162530001</v>
      </c>
      <c r="AH970">
        <v>24.360390485079201</v>
      </c>
      <c r="AI970">
        <v>92.536458249809598</v>
      </c>
      <c r="AJ970">
        <v>86.518205745789402</v>
      </c>
      <c r="AK970">
        <v>24.429373704451798</v>
      </c>
      <c r="AL970">
        <v>78.960510682084703</v>
      </c>
      <c r="AM970">
        <v>88.502727948216503</v>
      </c>
      <c r="AN970">
        <v>0.99999997005782204</v>
      </c>
    </row>
    <row r="971" spans="1:40" x14ac:dyDescent="0.25">
      <c r="A971" t="str">
        <f>"20190312172912476"</f>
        <v>20190312172912476</v>
      </c>
      <c r="B971" t="str">
        <f>"1552382952468535"</f>
        <v>1552382952468535</v>
      </c>
      <c r="C971" t="s">
        <v>40</v>
      </c>
      <c r="D971">
        <v>3.225495</v>
      </c>
      <c r="E971">
        <v>0.51513140000000002</v>
      </c>
      <c r="F971" t="s">
        <v>41</v>
      </c>
      <c r="G971">
        <v>-251.67930000000001</v>
      </c>
      <c r="H971" s="1">
        <v>-4.2517859999999997E-6</v>
      </c>
      <c r="I971">
        <v>365.67070000000001</v>
      </c>
      <c r="J971">
        <v>-276.17869999999999</v>
      </c>
      <c r="K971">
        <v>1.0827279999999999</v>
      </c>
      <c r="L971">
        <v>367.43920000000003</v>
      </c>
      <c r="M971">
        <v>0.99990630000000003</v>
      </c>
      <c r="N971">
        <v>0</v>
      </c>
      <c r="O971">
        <v>-1.150459E-2</v>
      </c>
      <c r="P971">
        <v>0.98220220000000003</v>
      </c>
      <c r="Q971">
        <v>0.1841941</v>
      </c>
      <c r="R971">
        <v>-3.6757850000000002E-2</v>
      </c>
      <c r="S971">
        <v>3.0713810000000001</v>
      </c>
      <c r="T971">
        <v>-0.13442000000000001</v>
      </c>
      <c r="U971">
        <v>-0.2201843</v>
      </c>
      <c r="V971">
        <v>2.5524160000000001E-2</v>
      </c>
      <c r="W971">
        <v>0.19146679999999999</v>
      </c>
      <c r="X971">
        <v>0.98116709999999996</v>
      </c>
      <c r="Y971">
        <v>5.9979199999999899E-2</v>
      </c>
      <c r="Z971">
        <v>-8.0762719999999996E-4</v>
      </c>
      <c r="AA971">
        <v>0.99819930000000001</v>
      </c>
      <c r="AB971">
        <v>39</v>
      </c>
      <c r="AC971">
        <v>24.499399999999898</v>
      </c>
      <c r="AD971">
        <v>-1.0827322517860001</v>
      </c>
      <c r="AE971">
        <v>-1.76850000000001</v>
      </c>
      <c r="AF971">
        <v>1.4836369302535599</v>
      </c>
      <c r="AG971">
        <v>-1.0827322517860001</v>
      </c>
      <c r="AH971">
        <v>24.4705784884965</v>
      </c>
      <c r="AI971">
        <v>92.528835509834806</v>
      </c>
      <c r="AJ971">
        <v>86.530437364306593</v>
      </c>
      <c r="AK971">
        <v>24.539411142721701</v>
      </c>
      <c r="AL971">
        <v>78.9616020668375</v>
      </c>
      <c r="AM971">
        <v>88.509839061044005</v>
      </c>
      <c r="AN971">
        <v>0.99999994818417604</v>
      </c>
    </row>
    <row r="972" spans="1:40" x14ac:dyDescent="0.25">
      <c r="A972" t="str">
        <f>"20190312172912490"</f>
        <v>20190312172912490</v>
      </c>
      <c r="B972" t="str">
        <f>"1552382952478295"</f>
        <v>1552382952478295</v>
      </c>
      <c r="C972" t="s">
        <v>40</v>
      </c>
      <c r="D972">
        <v>3.2233939999999999</v>
      </c>
      <c r="E972">
        <v>0.51450309999999999</v>
      </c>
      <c r="F972" t="s">
        <v>41</v>
      </c>
      <c r="G972">
        <v>-250.62459999999999</v>
      </c>
      <c r="H972" s="1">
        <v>-4.6992760000000002E-6</v>
      </c>
      <c r="I972">
        <v>365.6986</v>
      </c>
      <c r="J972">
        <v>-275.94979999999998</v>
      </c>
      <c r="K972">
        <v>1.084527</v>
      </c>
      <c r="L972">
        <v>367.43650000000002</v>
      </c>
      <c r="M972">
        <v>0.99990520000000005</v>
      </c>
      <c r="N972">
        <v>0</v>
      </c>
      <c r="O972">
        <v>-1.1559430000000001E-2</v>
      </c>
      <c r="P972">
        <v>0.98213050000000002</v>
      </c>
      <c r="Q972">
        <v>0.1846254</v>
      </c>
      <c r="R972">
        <v>-3.6514150000000002E-2</v>
      </c>
      <c r="S972">
        <v>3.0709230000000001</v>
      </c>
      <c r="T972">
        <v>-0.13011529999999999</v>
      </c>
      <c r="U972">
        <v>-0.20916750000000001</v>
      </c>
      <c r="V972">
        <v>2.522427E-2</v>
      </c>
      <c r="W972">
        <v>0.19197690000000001</v>
      </c>
      <c r="X972">
        <v>0.98107520000000004</v>
      </c>
      <c r="Y972">
        <v>5.6377219999999999E-2</v>
      </c>
      <c r="Z972">
        <v>-7.0349259999999999E-4</v>
      </c>
      <c r="AA972">
        <v>0.99840930000000006</v>
      </c>
      <c r="AB972">
        <v>39</v>
      </c>
      <c r="AC972">
        <v>25.325199999999899</v>
      </c>
      <c r="AD972">
        <v>-1.0845316992759999</v>
      </c>
      <c r="AE972">
        <v>-1.73790000000002</v>
      </c>
      <c r="AF972">
        <v>1.4423979766458199</v>
      </c>
      <c r="AG972">
        <v>-1.0845316992759999</v>
      </c>
      <c r="AH972">
        <v>25.2974217409133</v>
      </c>
      <c r="AI972">
        <v>92.450861800489307</v>
      </c>
      <c r="AJ972">
        <v>86.736666146545701</v>
      </c>
      <c r="AK972">
        <v>25.361708689822098</v>
      </c>
      <c r="AL972">
        <v>78.931823322163197</v>
      </c>
      <c r="AM972">
        <v>88.527201706630706</v>
      </c>
      <c r="AN972">
        <v>0.99999997099284099</v>
      </c>
    </row>
    <row r="973" spans="1:40" x14ac:dyDescent="0.25">
      <c r="A973" t="str">
        <f>"20190312172912508"</f>
        <v>20190312172912508</v>
      </c>
      <c r="B973" t="str">
        <f>"1552382952498790"</f>
        <v>1552382952498790</v>
      </c>
      <c r="C973" t="s">
        <v>40</v>
      </c>
      <c r="D973">
        <v>3.2076920000000002</v>
      </c>
      <c r="E973">
        <v>0.51333899999999999</v>
      </c>
      <c r="F973" t="s">
        <v>41</v>
      </c>
      <c r="G973">
        <v>-249.6533</v>
      </c>
      <c r="H973" s="1">
        <v>-1.1606650000000001E-6</v>
      </c>
      <c r="I973">
        <v>365.69529999999997</v>
      </c>
      <c r="J973">
        <v>-275.62470000000002</v>
      </c>
      <c r="K973">
        <v>1.0870299999999999</v>
      </c>
      <c r="L973">
        <v>367.43279999999999</v>
      </c>
      <c r="M973">
        <v>0.99990279999999998</v>
      </c>
      <c r="N973">
        <v>0</v>
      </c>
      <c r="O973">
        <v>-1.162528E-2</v>
      </c>
      <c r="P973">
        <v>0.98207670000000002</v>
      </c>
      <c r="Q973">
        <v>0.1849595</v>
      </c>
      <c r="R973">
        <v>-3.6275750000000002E-2</v>
      </c>
      <c r="S973">
        <v>3.070862</v>
      </c>
      <c r="T973">
        <v>-0.1266494</v>
      </c>
      <c r="U973">
        <v>-0.20333860000000001</v>
      </c>
      <c r="V973">
        <v>2.4916279999999999E-2</v>
      </c>
      <c r="W973">
        <v>0.19253000000000001</v>
      </c>
      <c r="X973">
        <v>0.98097469999999998</v>
      </c>
      <c r="Y973">
        <v>5.4429909999999998E-2</v>
      </c>
      <c r="Z973">
        <v>-6.4201890000000004E-4</v>
      </c>
      <c r="AA973">
        <v>0.9985174</v>
      </c>
      <c r="AB973">
        <v>39</v>
      </c>
      <c r="AC973">
        <v>25.971399999999999</v>
      </c>
      <c r="AD973">
        <v>-1.0870311606649901</v>
      </c>
      <c r="AE973">
        <v>-1.73750000000001</v>
      </c>
      <c r="AF973">
        <v>1.4329497324059399</v>
      </c>
      <c r="AG973">
        <v>-1.0870311606649901</v>
      </c>
      <c r="AH973">
        <v>25.944596236382498</v>
      </c>
      <c r="AI973">
        <v>92.395538479030193</v>
      </c>
      <c r="AJ973">
        <v>86.838700429716297</v>
      </c>
      <c r="AK973">
        <v>26.0068655464047</v>
      </c>
      <c r="AL973">
        <v>78.899530850400794</v>
      </c>
      <c r="AM973">
        <v>88.545027913495005</v>
      </c>
      <c r="AN973">
        <v>0.99999999197456402</v>
      </c>
    </row>
    <row r="974" spans="1:40" x14ac:dyDescent="0.25">
      <c r="A974" t="str">
        <f>"20190312172912520"</f>
        <v>20190312172912520</v>
      </c>
      <c r="B974" t="str">
        <f>"1552382952508552"</f>
        <v>1552382952508552</v>
      </c>
      <c r="C974" t="s">
        <v>40</v>
      </c>
      <c r="D974">
        <v>3.2197809999999998</v>
      </c>
      <c r="E974">
        <v>0.51281809999999906</v>
      </c>
      <c r="F974" t="s">
        <v>41</v>
      </c>
      <c r="G974">
        <v>-248.26410000000001</v>
      </c>
      <c r="H974" s="1">
        <v>-1.6908200000000001E-6</v>
      </c>
      <c r="I974">
        <v>365.70769999999999</v>
      </c>
      <c r="J974">
        <v>-275.39609999999999</v>
      </c>
      <c r="K974">
        <v>1.0887309999999999</v>
      </c>
      <c r="L974">
        <v>367.43009999999998</v>
      </c>
      <c r="M974">
        <v>0.99990060000000003</v>
      </c>
      <c r="N974">
        <v>0</v>
      </c>
      <c r="O974">
        <v>-1.16636E-2</v>
      </c>
      <c r="P974">
        <v>0.98207469999999997</v>
      </c>
      <c r="Q974">
        <v>0.1849799</v>
      </c>
      <c r="R974">
        <v>-3.6220740000000001E-2</v>
      </c>
      <c r="S974">
        <v>3.0705870000000002</v>
      </c>
      <c r="T974">
        <v>-0.12199409999999999</v>
      </c>
      <c r="U974">
        <v>-0.19360350000000001</v>
      </c>
      <c r="V974">
        <v>2.4819600000000001E-2</v>
      </c>
      <c r="W974">
        <v>0.19276160000000001</v>
      </c>
      <c r="X974">
        <v>0.98093169999999996</v>
      </c>
      <c r="Y974">
        <v>5.1249790000000003E-2</v>
      </c>
      <c r="Z974">
        <v>-5.5394880000000002E-4</v>
      </c>
      <c r="AA974">
        <v>0.99868570000000001</v>
      </c>
      <c r="AB974">
        <v>39</v>
      </c>
      <c r="AC974">
        <v>27.131999999999898</v>
      </c>
      <c r="AD974">
        <v>-1.0887326908199999</v>
      </c>
      <c r="AE974">
        <v>-1.7223999999999899</v>
      </c>
      <c r="AF974">
        <v>1.40356516221842</v>
      </c>
      <c r="AG974">
        <v>-1.0887326908199999</v>
      </c>
      <c r="AH974">
        <v>27.106772282666899</v>
      </c>
      <c r="AI974">
        <v>92.296952062054203</v>
      </c>
      <c r="AJ974">
        <v>87.035921307572906</v>
      </c>
      <c r="AK974">
        <v>27.1649118831815</v>
      </c>
      <c r="AL974">
        <v>78.886008194639999</v>
      </c>
      <c r="AM974">
        <v>88.550607569293007</v>
      </c>
      <c r="AN974">
        <v>1.0000000235218001</v>
      </c>
    </row>
    <row r="975" spans="1:40" x14ac:dyDescent="0.25">
      <c r="A975" t="str">
        <f>"20190312172912531"</f>
        <v>20190312172912531</v>
      </c>
      <c r="B975" t="str">
        <f>"1552382952528071"</f>
        <v>1552382952528071</v>
      </c>
      <c r="C975" t="s">
        <v>40</v>
      </c>
      <c r="D975">
        <v>3.2612040000000002</v>
      </c>
      <c r="E975">
        <v>0.51187439999999995</v>
      </c>
      <c r="F975" t="s">
        <v>41</v>
      </c>
      <c r="G975">
        <v>-247.6523</v>
      </c>
      <c r="H975" s="1">
        <v>-1.9222329999999998E-6</v>
      </c>
      <c r="I975">
        <v>365.721</v>
      </c>
      <c r="J975">
        <v>-275.20269999999999</v>
      </c>
      <c r="K975">
        <v>1.0901019999999999</v>
      </c>
      <c r="L975">
        <v>367.42790000000002</v>
      </c>
      <c r="M975">
        <v>0.99989850000000002</v>
      </c>
      <c r="N975">
        <v>0</v>
      </c>
      <c r="O975">
        <v>-1.1689059999999999E-2</v>
      </c>
      <c r="P975">
        <v>0.98210900000000001</v>
      </c>
      <c r="Q975">
        <v>0.18480949999999999</v>
      </c>
      <c r="R975">
        <v>-3.6158450000000002E-2</v>
      </c>
      <c r="S975">
        <v>3.070465</v>
      </c>
      <c r="T975">
        <v>-0.1204925</v>
      </c>
      <c r="U975">
        <v>-0.18914790000000001</v>
      </c>
      <c r="V975">
        <v>2.472802E-2</v>
      </c>
      <c r="W975">
        <v>0.192799</v>
      </c>
      <c r="X975">
        <v>0.98092659999999998</v>
      </c>
      <c r="Y975">
        <v>4.9785080000000002E-2</v>
      </c>
      <c r="Z975">
        <v>-5.1748080000000001E-4</v>
      </c>
      <c r="AA975">
        <v>0.99875979999999998</v>
      </c>
      <c r="AB975">
        <v>39</v>
      </c>
      <c r="AC975">
        <v>27.5504</v>
      </c>
      <c r="AD975">
        <v>-1.090103922233</v>
      </c>
      <c r="AE975">
        <v>-1.7069000000000101</v>
      </c>
      <c r="AF975">
        <v>1.38257813087504</v>
      </c>
      <c r="AG975">
        <v>-1.090103922233</v>
      </c>
      <c r="AH975">
        <v>27.5255412444474</v>
      </c>
      <c r="AI975">
        <v>92.265067656368799</v>
      </c>
      <c r="AJ975">
        <v>87.124511644719803</v>
      </c>
      <c r="AK975">
        <v>27.5817923574415</v>
      </c>
      <c r="AL975">
        <v>78.883823675388498</v>
      </c>
      <c r="AM975">
        <v>88.555945801554401</v>
      </c>
      <c r="AN975">
        <v>0.99999996198083896</v>
      </c>
    </row>
    <row r="976" spans="1:40" x14ac:dyDescent="0.25">
      <c r="A976" t="str">
        <f>"20190312172912543"</f>
        <v>20190312172912543</v>
      </c>
      <c r="B976" t="str">
        <f>"1552382952538807"</f>
        <v>1552382952538807</v>
      </c>
      <c r="C976" t="s">
        <v>40</v>
      </c>
      <c r="D976">
        <v>3.2061929999999998</v>
      </c>
      <c r="E976">
        <v>0.51141219999999998</v>
      </c>
      <c r="F976" t="s">
        <v>41</v>
      </c>
      <c r="G976">
        <v>-246.95339999999999</v>
      </c>
      <c r="H976" s="1">
        <v>-2.1813670000000001E-6</v>
      </c>
      <c r="I976">
        <v>365.75569999999999</v>
      </c>
      <c r="J976">
        <v>-274.99770000000001</v>
      </c>
      <c r="K976">
        <v>1.091534</v>
      </c>
      <c r="L976">
        <v>367.42540000000002</v>
      </c>
      <c r="M976">
        <v>0.99989640000000002</v>
      </c>
      <c r="N976">
        <v>0</v>
      </c>
      <c r="O976">
        <v>-1.1713929999999999E-2</v>
      </c>
      <c r="P976">
        <v>0.98216119999999996</v>
      </c>
      <c r="Q976">
        <v>0.18454870000000001</v>
      </c>
      <c r="R976">
        <v>-3.6076959999999998E-2</v>
      </c>
      <c r="S976">
        <v>3.0702210000000001</v>
      </c>
      <c r="T976">
        <v>-0.1184762</v>
      </c>
      <c r="U976">
        <v>-0.18173220000000001</v>
      </c>
      <c r="V976">
        <v>2.461766E-2</v>
      </c>
      <c r="W976">
        <v>0.19276960000000001</v>
      </c>
      <c r="X976">
        <v>0.98093520000000001</v>
      </c>
      <c r="Y976">
        <v>4.7364110000000001E-2</v>
      </c>
      <c r="Z976">
        <v>-4.6129169999999998E-4</v>
      </c>
      <c r="AA976">
        <v>0.99887760000000003</v>
      </c>
      <c r="AB976">
        <v>39</v>
      </c>
      <c r="AC976">
        <v>28.0443</v>
      </c>
      <c r="AD976">
        <v>-1.0915361813669999</v>
      </c>
      <c r="AE976">
        <v>-1.6697000000000299</v>
      </c>
      <c r="AF976">
        <v>1.3390436056912201</v>
      </c>
      <c r="AG976">
        <v>-1.0915361813669999</v>
      </c>
      <c r="AH976">
        <v>28.019637849058999</v>
      </c>
      <c r="AI976">
        <v>92.228352232071899</v>
      </c>
      <c r="AJ976">
        <v>87.263946768388294</v>
      </c>
      <c r="AK976">
        <v>28.072844426698101</v>
      </c>
      <c r="AL976">
        <v>78.885540884024493</v>
      </c>
      <c r="AM976">
        <v>88.562400435930599</v>
      </c>
      <c r="AN976">
        <v>1.00000000723353</v>
      </c>
    </row>
    <row r="977" spans="1:40" x14ac:dyDescent="0.25">
      <c r="A977" t="str">
        <f>"20190312172912554"</f>
        <v>20190312172912554</v>
      </c>
      <c r="B977" t="str">
        <f>"1552382952548567"</f>
        <v>1552382952548567</v>
      </c>
      <c r="C977" t="s">
        <v>40</v>
      </c>
      <c r="D977">
        <v>3.2188810000000001</v>
      </c>
      <c r="E977">
        <v>0.51100190000000001</v>
      </c>
      <c r="F977" t="s">
        <v>41</v>
      </c>
      <c r="G977">
        <v>-246.6241</v>
      </c>
      <c r="H977" s="1">
        <v>-2.3013680000000001E-6</v>
      </c>
      <c r="I977">
        <v>365.78</v>
      </c>
      <c r="J977">
        <v>-274.7989</v>
      </c>
      <c r="K977">
        <v>1.0928100000000001</v>
      </c>
      <c r="L977">
        <v>367.42309999999998</v>
      </c>
      <c r="M977">
        <v>0.99989399999999995</v>
      </c>
      <c r="N977">
        <v>0</v>
      </c>
      <c r="O977">
        <v>-1.1729939999999999E-2</v>
      </c>
      <c r="P977">
        <v>0.98216300000000001</v>
      </c>
      <c r="Q977">
        <v>0.18456</v>
      </c>
      <c r="R977">
        <v>-3.5962330000000001E-2</v>
      </c>
      <c r="S977">
        <v>3.0701290000000001</v>
      </c>
      <c r="T977">
        <v>-0.11810850000000001</v>
      </c>
      <c r="U977">
        <v>-0.17803959999999999</v>
      </c>
      <c r="V977">
        <v>2.4483830000000002E-2</v>
      </c>
      <c r="W977">
        <v>0.19302549999999999</v>
      </c>
      <c r="X977">
        <v>0.98088819999999999</v>
      </c>
      <c r="Y977">
        <v>4.615358E-2</v>
      </c>
      <c r="Z977">
        <v>-4.3601749999999998E-4</v>
      </c>
      <c r="AA977">
        <v>0.99893430000000005</v>
      </c>
      <c r="AB977">
        <v>39</v>
      </c>
      <c r="AC977">
        <v>28.174800000000001</v>
      </c>
      <c r="AD977">
        <v>-1.092812301368</v>
      </c>
      <c r="AE977">
        <v>-1.6431</v>
      </c>
      <c r="AF977">
        <v>1.31052104833313</v>
      </c>
      <c r="AG977">
        <v>-1.092812301368</v>
      </c>
      <c r="AH977">
        <v>28.149929852611901</v>
      </c>
      <c r="AI977">
        <v>92.220768058519397</v>
      </c>
      <c r="AJ977">
        <v>87.334517404352098</v>
      </c>
      <c r="AK977">
        <v>28.2016002179152</v>
      </c>
      <c r="AL977">
        <v>78.870597962164197</v>
      </c>
      <c r="AM977">
        <v>88.570143983818198</v>
      </c>
      <c r="AN977">
        <v>0.99999998124047895</v>
      </c>
    </row>
    <row r="978" spans="1:40" x14ac:dyDescent="0.25">
      <c r="A978" t="str">
        <f>"20190312172912565"</f>
        <v>20190312172912565</v>
      </c>
      <c r="B978" t="str">
        <f>"1552382952558327"</f>
        <v>1552382952558327</v>
      </c>
      <c r="C978" t="s">
        <v>40</v>
      </c>
      <c r="D978">
        <v>3.2160120000000001</v>
      </c>
      <c r="E978">
        <v>0.51061389999999995</v>
      </c>
      <c r="F978" t="s">
        <v>41</v>
      </c>
      <c r="G978">
        <v>-246.12379999999999</v>
      </c>
      <c r="H978" s="1">
        <v>-2.491568E-6</v>
      </c>
      <c r="I978">
        <v>365.78980000000001</v>
      </c>
      <c r="J978">
        <v>-274.61680000000001</v>
      </c>
      <c r="K978">
        <v>1.0939639999999999</v>
      </c>
      <c r="L978">
        <v>367.42090000000002</v>
      </c>
      <c r="M978">
        <v>0.99989189999999994</v>
      </c>
      <c r="N978">
        <v>0</v>
      </c>
      <c r="O978">
        <v>-1.174388E-2</v>
      </c>
      <c r="P978">
        <v>0.98211420000000005</v>
      </c>
      <c r="Q978">
        <v>0.18482460000000001</v>
      </c>
      <c r="R978">
        <v>-3.5940949999999999E-2</v>
      </c>
      <c r="S978">
        <v>3.070068</v>
      </c>
      <c r="T978">
        <v>-0.1170007</v>
      </c>
      <c r="U978">
        <v>-0.17486570000000001</v>
      </c>
      <c r="V978">
        <v>2.4446249999999999E-2</v>
      </c>
      <c r="W978">
        <v>0.1935153</v>
      </c>
      <c r="X978">
        <v>0.98079260000000001</v>
      </c>
      <c r="Y978">
        <v>4.5112689999999997E-2</v>
      </c>
      <c r="Z978">
        <v>-4.116093E-4</v>
      </c>
      <c r="AA978">
        <v>0.99898180000000003</v>
      </c>
      <c r="AB978">
        <v>39</v>
      </c>
      <c r="AC978">
        <v>28.492999999999999</v>
      </c>
      <c r="AD978">
        <v>-1.0939664915680001</v>
      </c>
      <c r="AE978">
        <v>-1.6311</v>
      </c>
      <c r="AF978">
        <v>1.294454096066</v>
      </c>
      <c r="AG978">
        <v>-1.0939664915680001</v>
      </c>
      <c r="AH978">
        <v>28.468362515824602</v>
      </c>
      <c r="AI978">
        <v>92.198378564145301</v>
      </c>
      <c r="AJ978">
        <v>87.396558858540203</v>
      </c>
      <c r="AK978">
        <v>28.518766425354102</v>
      </c>
      <c r="AL978">
        <v>78.841994928499005</v>
      </c>
      <c r="AM978">
        <v>88.572198647585395</v>
      </c>
      <c r="AN978">
        <v>0.99999995734395497</v>
      </c>
    </row>
    <row r="979" spans="1:40" x14ac:dyDescent="0.25">
      <c r="A979" t="str">
        <f>"20190312172912575"</f>
        <v>20190312172912575</v>
      </c>
      <c r="B979" t="str">
        <f>"1552382952568087"</f>
        <v>1552382952568087</v>
      </c>
      <c r="C979" t="s">
        <v>40</v>
      </c>
      <c r="D979">
        <v>3.216656</v>
      </c>
      <c r="E979">
        <v>0.51023419999999997</v>
      </c>
      <c r="F979" t="s">
        <v>41</v>
      </c>
      <c r="G979">
        <v>-245.46270000000001</v>
      </c>
      <c r="H979" s="1">
        <v>-2.8034990000000001E-6</v>
      </c>
      <c r="I979">
        <v>365.79309999999998</v>
      </c>
      <c r="J979">
        <v>-274.42090000000002</v>
      </c>
      <c r="K979">
        <v>1.095113</v>
      </c>
      <c r="L979">
        <v>367.41860000000003</v>
      </c>
      <c r="M979">
        <v>0.99988940000000004</v>
      </c>
      <c r="N979">
        <v>0</v>
      </c>
      <c r="O979">
        <v>-1.175378E-2</v>
      </c>
      <c r="P979">
        <v>0.98212690000000002</v>
      </c>
      <c r="Q979">
        <v>0.18468689999999999</v>
      </c>
      <c r="R979">
        <v>-3.629723E-2</v>
      </c>
      <c r="S979">
        <v>3.0700379999999998</v>
      </c>
      <c r="T979">
        <v>-0.11519890000000001</v>
      </c>
      <c r="U979">
        <v>-0.17141719999999999</v>
      </c>
      <c r="V979">
        <v>2.478955E-2</v>
      </c>
      <c r="W979">
        <v>0.1936271</v>
      </c>
      <c r="X979">
        <v>0.98076189999999996</v>
      </c>
      <c r="Y979">
        <v>4.3986259999999999E-2</v>
      </c>
      <c r="Z979">
        <v>-3.8380899999999998E-4</v>
      </c>
      <c r="AA979">
        <v>0.99903209999999998</v>
      </c>
      <c r="AB979">
        <v>39</v>
      </c>
      <c r="AC979">
        <v>28.958200000000001</v>
      </c>
      <c r="AD979">
        <v>-1.0951158034990001</v>
      </c>
      <c r="AE979">
        <v>-1.6255000000000399</v>
      </c>
      <c r="AF979">
        <v>1.28317590949545</v>
      </c>
      <c r="AG979">
        <v>-1.0951158034990001</v>
      </c>
      <c r="AH979">
        <v>28.934056392514201</v>
      </c>
      <c r="AI979">
        <v>92.1654085737663</v>
      </c>
      <c r="AJ979">
        <v>87.460694054680602</v>
      </c>
      <c r="AK979">
        <v>28.983192342510801</v>
      </c>
      <c r="AL979">
        <v>78.835465573679599</v>
      </c>
      <c r="AM979">
        <v>88.552111130713399</v>
      </c>
      <c r="AN979">
        <v>0.99999994006760895</v>
      </c>
    </row>
    <row r="980" spans="1:40" x14ac:dyDescent="0.25">
      <c r="A980" t="str">
        <f>"20190312172912585"</f>
        <v>20190312172912585</v>
      </c>
      <c r="B980" t="str">
        <f>"1552382952578823"</f>
        <v>1552382952578823</v>
      </c>
      <c r="C980" t="s">
        <v>40</v>
      </c>
      <c r="D980">
        <v>3.201003</v>
      </c>
      <c r="E980">
        <v>0.50988059999999902</v>
      </c>
      <c r="F980" t="s">
        <v>41</v>
      </c>
      <c r="G980">
        <v>-245.09229999999999</v>
      </c>
      <c r="H980" s="1">
        <v>-2.9772480000000001E-6</v>
      </c>
      <c r="I980">
        <v>365.8005</v>
      </c>
      <c r="J980">
        <v>-274.25779999999997</v>
      </c>
      <c r="K980">
        <v>1.0960460000000001</v>
      </c>
      <c r="L980">
        <v>367.41669999999999</v>
      </c>
      <c r="M980">
        <v>0.99988750000000004</v>
      </c>
      <c r="N980">
        <v>0</v>
      </c>
      <c r="O980">
        <v>-1.176114E-2</v>
      </c>
      <c r="P980">
        <v>0.98216490000000001</v>
      </c>
      <c r="Q980">
        <v>0.18452279999999999</v>
      </c>
      <c r="R980">
        <v>-3.6106539999999999E-2</v>
      </c>
      <c r="S980">
        <v>3.0699160000000001</v>
      </c>
      <c r="T980">
        <v>-0.1146293</v>
      </c>
      <c r="U980">
        <v>-0.16937260000000001</v>
      </c>
      <c r="V980">
        <v>2.458873E-2</v>
      </c>
      <c r="W980">
        <v>0.1936706</v>
      </c>
      <c r="X980">
        <v>0.98075840000000003</v>
      </c>
      <c r="Y980">
        <v>4.3318429999999998E-2</v>
      </c>
      <c r="Z980">
        <v>-3.6920440000000001E-4</v>
      </c>
      <c r="AA980">
        <v>0.99906119999999998</v>
      </c>
      <c r="AB980">
        <v>39</v>
      </c>
      <c r="AC980">
        <v>29.165499999999899</v>
      </c>
      <c r="AD980">
        <v>-1.09604897724799</v>
      </c>
      <c r="AE980">
        <v>-1.6161999999999901</v>
      </c>
      <c r="AF980">
        <v>1.2712639279898901</v>
      </c>
      <c r="AG980">
        <v>-1.09604897724799</v>
      </c>
      <c r="AH980">
        <v>29.141461849421599</v>
      </c>
      <c r="AI980">
        <v>92.151910177568794</v>
      </c>
      <c r="AJ980">
        <v>87.502118935821699</v>
      </c>
      <c r="AK980">
        <v>29.189762487153502</v>
      </c>
      <c r="AL980">
        <v>78.832925491756697</v>
      </c>
      <c r="AM980">
        <v>88.563830414541201</v>
      </c>
      <c r="AN980">
        <v>0.99999997305896604</v>
      </c>
    </row>
    <row r="981" spans="1:40" x14ac:dyDescent="0.25">
      <c r="A981" t="str">
        <f>"20190312172912596"</f>
        <v>20190312172912596</v>
      </c>
      <c r="B981" t="str">
        <f>"1552382952588583"</f>
        <v>1552382952588583</v>
      </c>
      <c r="C981" t="s">
        <v>40</v>
      </c>
      <c r="D981">
        <v>3.2508189999999999</v>
      </c>
      <c r="E981">
        <v>0.50954909999999998</v>
      </c>
      <c r="F981" t="s">
        <v>41</v>
      </c>
      <c r="G981">
        <v>-244.82</v>
      </c>
      <c r="H981" s="1">
        <v>-3.1014999999999999E-6</v>
      </c>
      <c r="I981">
        <v>365.82560000000001</v>
      </c>
      <c r="J981">
        <v>-274.06729999999999</v>
      </c>
      <c r="K981">
        <v>1.0970549999999999</v>
      </c>
      <c r="L981">
        <v>367.4144</v>
      </c>
      <c r="M981">
        <v>0.99988500000000002</v>
      </c>
      <c r="N981">
        <v>0</v>
      </c>
      <c r="O981">
        <v>-1.1766779999999999E-2</v>
      </c>
      <c r="P981">
        <v>0.98220989999999997</v>
      </c>
      <c r="Q981">
        <v>0.1842472</v>
      </c>
      <c r="R981">
        <v>-3.6286480000000003E-2</v>
      </c>
      <c r="S981">
        <v>3.0699160000000001</v>
      </c>
      <c r="T981">
        <v>-0.114301399999999</v>
      </c>
      <c r="U981">
        <v>-0.16592409999999999</v>
      </c>
      <c r="V981">
        <v>2.4759920000000001E-2</v>
      </c>
      <c r="W981">
        <v>0.1936379</v>
      </c>
      <c r="X981">
        <v>0.98076059999999998</v>
      </c>
      <c r="Y981">
        <v>4.2194710000000003E-2</v>
      </c>
      <c r="Z981">
        <v>-3.4705210000000002E-4</v>
      </c>
      <c r="AA981">
        <v>0.99910929999999998</v>
      </c>
      <c r="AB981">
        <v>39</v>
      </c>
      <c r="AC981">
        <v>29.247299999999999</v>
      </c>
      <c r="AD981">
        <v>-1.0970581014999901</v>
      </c>
      <c r="AE981">
        <v>-1.58879999999999</v>
      </c>
      <c r="AF981">
        <v>1.2427842733280201</v>
      </c>
      <c r="AG981">
        <v>-1.0970581014999901</v>
      </c>
      <c r="AH981">
        <v>29.222975766885</v>
      </c>
      <c r="AI981">
        <v>92.147988330364996</v>
      </c>
      <c r="AJ981">
        <v>87.564812944177504</v>
      </c>
      <c r="AK981">
        <v>29.2699566432895</v>
      </c>
      <c r="AL981">
        <v>78.834835771268303</v>
      </c>
      <c r="AM981">
        <v>88.553839085414495</v>
      </c>
      <c r="AN981">
        <v>1.0000000222335801</v>
      </c>
    </row>
    <row r="982" spans="1:40" x14ac:dyDescent="0.25">
      <c r="A982" t="str">
        <f>"20190312172912608"</f>
        <v>20190312172912608</v>
      </c>
      <c r="B982" t="str">
        <f>"1552382952598343"</f>
        <v>1552382952598343</v>
      </c>
      <c r="C982" t="s">
        <v>40</v>
      </c>
      <c r="D982">
        <v>3.249298</v>
      </c>
      <c r="E982">
        <v>0.50924709999999995</v>
      </c>
      <c r="F982" t="s">
        <v>41</v>
      </c>
      <c r="G982">
        <v>-244.6182</v>
      </c>
      <c r="H982" s="1">
        <v>-3.1939399999999999E-6</v>
      </c>
      <c r="I982">
        <v>365.84230000000002</v>
      </c>
      <c r="J982">
        <v>-273.88279999999997</v>
      </c>
      <c r="K982">
        <v>1.097993</v>
      </c>
      <c r="L982">
        <v>367.41219999999998</v>
      </c>
      <c r="M982">
        <v>0.99988259999999995</v>
      </c>
      <c r="N982">
        <v>0</v>
      </c>
      <c r="O982">
        <v>-1.1771449999999999E-2</v>
      </c>
      <c r="P982">
        <v>0.98225910000000005</v>
      </c>
      <c r="Q982">
        <v>0.18396760000000001</v>
      </c>
      <c r="R982">
        <v>-3.637398E-2</v>
      </c>
      <c r="S982">
        <v>3.0697939999999999</v>
      </c>
      <c r="T982">
        <v>-0.1143581</v>
      </c>
      <c r="U982">
        <v>-0.16387939999999901</v>
      </c>
      <c r="V982">
        <v>2.4839630000000001E-2</v>
      </c>
      <c r="W982">
        <v>0.19359209999999999</v>
      </c>
      <c r="X982">
        <v>0.98076759999999996</v>
      </c>
      <c r="Y982">
        <v>4.1529040000000003E-2</v>
      </c>
      <c r="Z982">
        <v>-3.3468270000000001E-4</v>
      </c>
      <c r="AA982">
        <v>0.99913719999999995</v>
      </c>
      <c r="AB982">
        <v>39</v>
      </c>
      <c r="AC982">
        <v>29.264599999999898</v>
      </c>
      <c r="AD982">
        <v>-1.09799619394</v>
      </c>
      <c r="AE982">
        <v>-1.5698999999999601</v>
      </c>
      <c r="AF982">
        <v>1.22357036491252</v>
      </c>
      <c r="AG982">
        <v>-1.09799619394</v>
      </c>
      <c r="AH982">
        <v>29.240009418243599</v>
      </c>
      <c r="AI982">
        <v>92.148633791776206</v>
      </c>
      <c r="AJ982">
        <v>87.603812638691593</v>
      </c>
      <c r="AK982">
        <v>29.2861890804996</v>
      </c>
      <c r="AL982">
        <v>78.837510243325497</v>
      </c>
      <c r="AM982">
        <v>88.549195773875397</v>
      </c>
      <c r="AN982">
        <v>0.99999999680535301</v>
      </c>
    </row>
    <row r="983" spans="1:40" x14ac:dyDescent="0.25">
      <c r="A983" t="str">
        <f>"20190312172912617"</f>
        <v>20190312172912617</v>
      </c>
      <c r="B983" t="str">
        <f>"1552382952608104"</f>
        <v>1552382952608104</v>
      </c>
      <c r="C983" t="s">
        <v>40</v>
      </c>
      <c r="D983">
        <v>3.2577959999999999</v>
      </c>
      <c r="E983">
        <v>0.5089728</v>
      </c>
      <c r="F983" t="s">
        <v>41</v>
      </c>
      <c r="G983">
        <v>-244.45590000000001</v>
      </c>
      <c r="H983" s="1">
        <v>-3.267498E-6</v>
      </c>
      <c r="I983">
        <v>365.86020000000002</v>
      </c>
      <c r="J983">
        <v>-273.68860000000001</v>
      </c>
      <c r="K983">
        <v>1.0989120000000001</v>
      </c>
      <c r="L983">
        <v>367.40989999999999</v>
      </c>
      <c r="M983">
        <v>0.9998802</v>
      </c>
      <c r="N983">
        <v>0</v>
      </c>
      <c r="O983">
        <v>-1.177452E-2</v>
      </c>
      <c r="P983">
        <v>0.9823269</v>
      </c>
      <c r="Q983">
        <v>0.183644</v>
      </c>
      <c r="R983">
        <v>-3.6179709999999997E-2</v>
      </c>
      <c r="S983">
        <v>3.0696110000000001</v>
      </c>
      <c r="T983">
        <v>-0.1145355</v>
      </c>
      <c r="U983">
        <v>-0.16189579999999901</v>
      </c>
      <c r="V983">
        <v>2.4639600000000001E-2</v>
      </c>
      <c r="W983">
        <v>0.19350970000000001</v>
      </c>
      <c r="X983">
        <v>0.98078889999999996</v>
      </c>
      <c r="Y983">
        <v>4.0885640000000001E-2</v>
      </c>
      <c r="Z983">
        <v>-3.231202E-4</v>
      </c>
      <c r="AA983">
        <v>0.99916380000000005</v>
      </c>
      <c r="AB983">
        <v>39</v>
      </c>
      <c r="AC983">
        <v>29.232699999999902</v>
      </c>
      <c r="AD983">
        <v>-1.0989152674980001</v>
      </c>
      <c r="AE983">
        <v>-1.5496999999999701</v>
      </c>
      <c r="AF983">
        <v>1.20367795617517</v>
      </c>
      <c r="AG983">
        <v>-1.0989152674980001</v>
      </c>
      <c r="AH983">
        <v>29.207761724475802</v>
      </c>
      <c r="AI983">
        <v>92.152859231656294</v>
      </c>
      <c r="AJ983">
        <v>87.640125086047405</v>
      </c>
      <c r="AK983">
        <v>29.2532015400208</v>
      </c>
      <c r="AL983">
        <v>78.842322337044607</v>
      </c>
      <c r="AM983">
        <v>88.560905201049096</v>
      </c>
      <c r="AN983">
        <v>0.99999999012273</v>
      </c>
    </row>
    <row r="984" spans="1:40" x14ac:dyDescent="0.25">
      <c r="A984" t="str">
        <f>"20190312172912629"</f>
        <v>20190312172912629</v>
      </c>
      <c r="B984" t="str">
        <f>"1552382952618839"</f>
        <v>1552382952618839</v>
      </c>
      <c r="C984" t="s">
        <v>40</v>
      </c>
      <c r="D984">
        <v>3.2338040000000001</v>
      </c>
      <c r="E984">
        <v>0.50868500000000005</v>
      </c>
      <c r="F984" t="s">
        <v>41</v>
      </c>
      <c r="G984">
        <v>-244.43969999999999</v>
      </c>
      <c r="H984" s="1">
        <v>-3.269147E-6</v>
      </c>
      <c r="I984">
        <v>365.89409999999998</v>
      </c>
      <c r="J984">
        <v>-273.49270000000001</v>
      </c>
      <c r="K984">
        <v>1.09978</v>
      </c>
      <c r="L984">
        <v>367.4076</v>
      </c>
      <c r="M984">
        <v>0.99987780000000004</v>
      </c>
      <c r="N984">
        <v>0</v>
      </c>
      <c r="O984">
        <v>-1.177689E-2</v>
      </c>
      <c r="P984">
        <v>0.98241409999999996</v>
      </c>
      <c r="Q984">
        <v>0.18321779999999999</v>
      </c>
      <c r="R984">
        <v>-3.5971709999999997E-2</v>
      </c>
      <c r="S984">
        <v>3.0696720000000002</v>
      </c>
      <c r="T984">
        <v>-0.11533110000000001</v>
      </c>
      <c r="U984">
        <v>-0.15908810000000001</v>
      </c>
      <c r="V984">
        <v>2.4426050000000001E-2</v>
      </c>
      <c r="W984">
        <v>0.19332170000000001</v>
      </c>
      <c r="X984">
        <v>0.98083129999999996</v>
      </c>
      <c r="Y984">
        <v>3.997117E-2</v>
      </c>
      <c r="Z984">
        <v>-3.081127E-4</v>
      </c>
      <c r="AA984">
        <v>0.9992008</v>
      </c>
      <c r="AB984">
        <v>39</v>
      </c>
      <c r="AC984">
        <v>29.053000000000001</v>
      </c>
      <c r="AD984">
        <v>-1.099783269147</v>
      </c>
      <c r="AE984">
        <v>-1.5135000000000201</v>
      </c>
      <c r="AF984">
        <v>1.16955158222194</v>
      </c>
      <c r="AG984">
        <v>-1.099783269147</v>
      </c>
      <c r="AH984">
        <v>29.027327977377301</v>
      </c>
      <c r="AI984">
        <v>92.168019119010395</v>
      </c>
      <c r="AJ984">
        <v>87.692721030127402</v>
      </c>
      <c r="AK984">
        <v>29.071689728132501</v>
      </c>
      <c r="AL984">
        <v>78.853301092893602</v>
      </c>
      <c r="AM984">
        <v>88.573434221794599</v>
      </c>
      <c r="AN984">
        <v>0.99999997533459095</v>
      </c>
    </row>
    <row r="985" spans="1:40" x14ac:dyDescent="0.25">
      <c r="A985" t="str">
        <f>"20190312172912640"</f>
        <v>20190312172912640</v>
      </c>
      <c r="B985" t="str">
        <f>"1552382952628599"</f>
        <v>1552382952628599</v>
      </c>
      <c r="C985" t="s">
        <v>40</v>
      </c>
      <c r="D985">
        <v>3.2204480000000002</v>
      </c>
      <c r="E985">
        <v>0.50839299999999998</v>
      </c>
      <c r="F985" t="s">
        <v>41</v>
      </c>
      <c r="G985">
        <v>-244.39160000000001</v>
      </c>
      <c r="H985" s="1">
        <v>-3.2856989999999999E-6</v>
      </c>
      <c r="I985">
        <v>365.9289</v>
      </c>
      <c r="J985">
        <v>-273.30040000000002</v>
      </c>
      <c r="K985">
        <v>1.1005879999999999</v>
      </c>
      <c r="L985">
        <v>367.40539999999999</v>
      </c>
      <c r="M985">
        <v>0.99987519999999996</v>
      </c>
      <c r="N985">
        <v>0</v>
      </c>
      <c r="O985">
        <v>-1.1778530000000001E-2</v>
      </c>
      <c r="P985">
        <v>0.98248480000000005</v>
      </c>
      <c r="Q985">
        <v>0.18289030000000001</v>
      </c>
      <c r="R985">
        <v>-3.5711519999999997E-2</v>
      </c>
      <c r="S985">
        <v>3.0695800000000002</v>
      </c>
      <c r="T985">
        <v>-0.11600489999999999</v>
      </c>
      <c r="U985">
        <v>-0.15597529999999901</v>
      </c>
      <c r="V985">
        <v>2.416105E-2</v>
      </c>
      <c r="W985">
        <v>0.19322339999999999</v>
      </c>
      <c r="X985">
        <v>0.98085730000000004</v>
      </c>
      <c r="Y985">
        <v>3.8960910000000001E-2</v>
      </c>
      <c r="Z985">
        <v>-2.9079479999999998E-4</v>
      </c>
      <c r="AA985">
        <v>0.99924069999999998</v>
      </c>
      <c r="AB985">
        <v>39</v>
      </c>
      <c r="AC985">
        <v>28.908799999999999</v>
      </c>
      <c r="AD985">
        <v>-1.1005912856990001</v>
      </c>
      <c r="AE985">
        <v>-1.4764999999999799</v>
      </c>
      <c r="AF985">
        <v>1.13423582445152</v>
      </c>
      <c r="AG985">
        <v>-1.1005912856990001</v>
      </c>
      <c r="AH985">
        <v>28.882432716828099</v>
      </c>
      <c r="AI985">
        <v>92.1805726206819</v>
      </c>
      <c r="AJ985">
        <v>87.751105326427705</v>
      </c>
      <c r="AK985">
        <v>28.925641077178</v>
      </c>
      <c r="AL985">
        <v>78.859042241708906</v>
      </c>
      <c r="AM985">
        <v>88.588942235567302</v>
      </c>
      <c r="AN985">
        <v>1.00000004080397</v>
      </c>
    </row>
    <row r="986" spans="1:40" x14ac:dyDescent="0.25">
      <c r="A986" t="str">
        <f>"20190312172912652"</f>
        <v>20190312172912652</v>
      </c>
      <c r="B986" t="str">
        <f>"1552382952648119"</f>
        <v>1552382952648119</v>
      </c>
      <c r="C986" t="s">
        <v>40</v>
      </c>
      <c r="D986">
        <v>3.2550150000000002</v>
      </c>
      <c r="E986">
        <v>0.50785579999999997</v>
      </c>
      <c r="F986" t="s">
        <v>41</v>
      </c>
      <c r="G986">
        <v>-244.2894</v>
      </c>
      <c r="H986" s="1">
        <v>-3.3296260000000001E-6</v>
      </c>
      <c r="I986">
        <v>365.95370000000003</v>
      </c>
      <c r="J986">
        <v>-273.1114</v>
      </c>
      <c r="K986">
        <v>1.1013090000000001</v>
      </c>
      <c r="L986">
        <v>367.40309999999999</v>
      </c>
      <c r="M986">
        <v>0.99987289999999995</v>
      </c>
      <c r="N986">
        <v>0</v>
      </c>
      <c r="O986">
        <v>-1.177976E-2</v>
      </c>
      <c r="P986">
        <v>0.98249980000000003</v>
      </c>
      <c r="Q986">
        <v>0.182835</v>
      </c>
      <c r="R986">
        <v>-3.5574149999999999E-2</v>
      </c>
      <c r="S986">
        <v>3.0695800000000002</v>
      </c>
      <c r="T986">
        <v>-0.1164507</v>
      </c>
      <c r="U986">
        <v>-0.15359500000000001</v>
      </c>
      <c r="V986">
        <v>2.402079E-2</v>
      </c>
      <c r="W986">
        <v>0.19338340000000001</v>
      </c>
      <c r="X986">
        <v>0.98082919999999996</v>
      </c>
      <c r="Y986">
        <v>3.818713E-2</v>
      </c>
      <c r="Z986">
        <v>-2.7720570000000001E-4</v>
      </c>
      <c r="AA986">
        <v>0.99927060000000001</v>
      </c>
      <c r="AB986">
        <v>39</v>
      </c>
      <c r="AC986">
        <v>28.821999999999999</v>
      </c>
      <c r="AD986">
        <v>-1.1013123296259999</v>
      </c>
      <c r="AE986">
        <v>-1.4493999999999601</v>
      </c>
      <c r="AF986">
        <v>1.10814969403223</v>
      </c>
      <c r="AG986">
        <v>-1.1013123296259999</v>
      </c>
      <c r="AH986">
        <v>28.795137783047</v>
      </c>
      <c r="AI986">
        <v>92.188675109996694</v>
      </c>
      <c r="AJ986">
        <v>87.796121534316001</v>
      </c>
      <c r="AK986">
        <v>28.837490260708101</v>
      </c>
      <c r="AL986">
        <v>78.849698551749299</v>
      </c>
      <c r="AM986">
        <v>88.597090265925104</v>
      </c>
      <c r="AN986">
        <v>1.00000002866021</v>
      </c>
    </row>
    <row r="987" spans="1:40" x14ac:dyDescent="0.25">
      <c r="A987" t="str">
        <f>"20190312172912662"</f>
        <v>20190312172912662</v>
      </c>
      <c r="B987" t="str">
        <f>"1552382952658854"</f>
        <v>1552382952658854</v>
      </c>
      <c r="C987" t="s">
        <v>40</v>
      </c>
      <c r="D987">
        <v>3.204218</v>
      </c>
      <c r="E987">
        <v>0.50760309999999997</v>
      </c>
      <c r="F987" t="s">
        <v>41</v>
      </c>
      <c r="G987">
        <v>-243.8246</v>
      </c>
      <c r="H987" s="1">
        <v>-3.544282E-6</v>
      </c>
      <c r="I987">
        <v>365.98219999999998</v>
      </c>
      <c r="J987">
        <v>-272.90750000000003</v>
      </c>
      <c r="K987">
        <v>1.1020650000000001</v>
      </c>
      <c r="L987">
        <v>367.4008</v>
      </c>
      <c r="M987">
        <v>0.99987040000000005</v>
      </c>
      <c r="N987">
        <v>0</v>
      </c>
      <c r="O987">
        <v>-1.1780860000000001E-2</v>
      </c>
      <c r="P987">
        <v>0.98250720000000002</v>
      </c>
      <c r="Q987">
        <v>0.1828003</v>
      </c>
      <c r="R987">
        <v>-3.5551069999999997E-2</v>
      </c>
      <c r="S987">
        <v>3.0695190000000001</v>
      </c>
      <c r="T987">
        <v>-0.1154274</v>
      </c>
      <c r="U987">
        <v>-0.148925799999999</v>
      </c>
      <c r="V987">
        <v>2.3994640000000001E-2</v>
      </c>
      <c r="W987">
        <v>0.193578</v>
      </c>
      <c r="X987">
        <v>0.98079139999999998</v>
      </c>
      <c r="Y987">
        <v>3.6671990000000002E-2</v>
      </c>
      <c r="Z987">
        <v>-2.4628280000000001E-4</v>
      </c>
      <c r="AA987">
        <v>0.99932730000000003</v>
      </c>
      <c r="AB987">
        <v>39</v>
      </c>
      <c r="AC987">
        <v>29.082899999999999</v>
      </c>
      <c r="AD987">
        <v>-1.102068544282</v>
      </c>
      <c r="AE987">
        <v>-1.4186000000000201</v>
      </c>
      <c r="AF987">
        <v>1.0743203245722299</v>
      </c>
      <c r="AG987">
        <v>-1.102068544282</v>
      </c>
      <c r="AH987">
        <v>29.055970708911801</v>
      </c>
      <c r="AI987">
        <v>92.170657710127998</v>
      </c>
      <c r="AJ987">
        <v>87.882500842853005</v>
      </c>
      <c r="AK987">
        <v>29.096703474332401</v>
      </c>
      <c r="AL987">
        <v>78.838333473142598</v>
      </c>
      <c r="AM987">
        <v>88.598562932441496</v>
      </c>
      <c r="AN987">
        <v>0.99999997757334402</v>
      </c>
    </row>
    <row r="988" spans="1:40" x14ac:dyDescent="0.25">
      <c r="A988" t="str">
        <f>"20190312172912675"</f>
        <v>20190312172912675</v>
      </c>
      <c r="B988" t="str">
        <f>"1552382952668615"</f>
        <v>1552382952668615</v>
      </c>
      <c r="C988" t="s">
        <v>40</v>
      </c>
      <c r="D988">
        <v>3.2622110000000002</v>
      </c>
      <c r="E988">
        <v>0.50738620000000001</v>
      </c>
      <c r="F988" t="s">
        <v>41</v>
      </c>
      <c r="G988">
        <v>-243.49950000000001</v>
      </c>
      <c r="H988" s="1">
        <v>-3.695976E-6</v>
      </c>
      <c r="I988">
        <v>365.9932</v>
      </c>
      <c r="J988">
        <v>-272.70749999999998</v>
      </c>
      <c r="K988">
        <v>1.102714</v>
      </c>
      <c r="L988">
        <v>367.39839999999998</v>
      </c>
      <c r="M988">
        <v>0.99986790000000003</v>
      </c>
      <c r="N988">
        <v>0</v>
      </c>
      <c r="O988">
        <v>-1.178152E-2</v>
      </c>
      <c r="P988">
        <v>0.98255709999999996</v>
      </c>
      <c r="Q988">
        <v>0.18252360000000001</v>
      </c>
      <c r="R988">
        <v>-3.5590860000000002E-2</v>
      </c>
      <c r="S988">
        <v>3.069458</v>
      </c>
      <c r="T988">
        <v>-0.11502850000000001</v>
      </c>
      <c r="U988">
        <v>-0.1469116</v>
      </c>
      <c r="V988">
        <v>2.403162E-2</v>
      </c>
      <c r="W988">
        <v>0.19351209999999999</v>
      </c>
      <c r="X988">
        <v>0.98080350000000005</v>
      </c>
      <c r="Y988">
        <v>3.6018599999999998E-2</v>
      </c>
      <c r="Z988">
        <v>-2.3318309999999999E-4</v>
      </c>
      <c r="AA988">
        <v>0.99935110000000005</v>
      </c>
      <c r="AB988">
        <v>39</v>
      </c>
      <c r="AC988">
        <v>29.207999999999899</v>
      </c>
      <c r="AD988">
        <v>-1.1027176959759999</v>
      </c>
      <c r="AE988">
        <v>-1.40519999999997</v>
      </c>
      <c r="AF988">
        <v>1.0594596242629</v>
      </c>
      <c r="AG988">
        <v>-1.1027176959759999</v>
      </c>
      <c r="AH988">
        <v>29.1810315366845</v>
      </c>
      <c r="AI988">
        <v>92.162688477340893</v>
      </c>
      <c r="AJ988">
        <v>87.920707012304305</v>
      </c>
      <c r="AK988">
        <v>29.221071892684499</v>
      </c>
      <c r="AL988">
        <v>78.842182047787404</v>
      </c>
      <c r="AM988">
        <v>88.596421241466302</v>
      </c>
      <c r="AN988">
        <v>0.99999997860924195</v>
      </c>
    </row>
    <row r="989" spans="1:40" x14ac:dyDescent="0.25">
      <c r="A989" t="str">
        <f>"20190312172912688"</f>
        <v>20190312172912688</v>
      </c>
      <c r="B989" t="str">
        <f>"1552382952678375"</f>
        <v>1552382952678375</v>
      </c>
      <c r="C989" t="s">
        <v>40</v>
      </c>
      <c r="D989">
        <v>3.2741009999999999</v>
      </c>
      <c r="E989">
        <v>0.50717209999999902</v>
      </c>
      <c r="F989" t="s">
        <v>41</v>
      </c>
      <c r="G989">
        <v>-243.36859999999999</v>
      </c>
      <c r="H989" s="1">
        <v>-3.7545120000000001E-6</v>
      </c>
      <c r="I989">
        <v>366.01220000000001</v>
      </c>
      <c r="J989">
        <v>-272.4871</v>
      </c>
      <c r="K989">
        <v>1.1034040000000001</v>
      </c>
      <c r="L989">
        <v>367.39580000000001</v>
      </c>
      <c r="M989">
        <v>0.99986549999999996</v>
      </c>
      <c r="N989">
        <v>0</v>
      </c>
      <c r="O989">
        <v>-1.178241E-2</v>
      </c>
      <c r="P989">
        <v>0.98256670000000002</v>
      </c>
      <c r="Q989">
        <v>0.18249319999999999</v>
      </c>
      <c r="R989">
        <v>-3.5488859999999997E-2</v>
      </c>
      <c r="S989">
        <v>3.0694270000000001</v>
      </c>
      <c r="T989">
        <v>-0.1153661</v>
      </c>
      <c r="U989">
        <v>-0.1450195</v>
      </c>
      <c r="V989">
        <v>2.3926869999999999E-2</v>
      </c>
      <c r="W989">
        <v>0.19370760000000001</v>
      </c>
      <c r="X989">
        <v>0.98076750000000001</v>
      </c>
      <c r="Y989">
        <v>3.5403839999999999E-2</v>
      </c>
      <c r="Z989">
        <v>-2.2229530000000001E-4</v>
      </c>
      <c r="AA989">
        <v>0.99937310000000001</v>
      </c>
      <c r="AB989">
        <v>39</v>
      </c>
      <c r="AC989">
        <v>29.118500000000001</v>
      </c>
      <c r="AD989">
        <v>-1.103407754512</v>
      </c>
      <c r="AE989">
        <v>-1.3835999999999999</v>
      </c>
      <c r="AF989">
        <v>1.03890706967201</v>
      </c>
      <c r="AG989">
        <v>-1.103407754512</v>
      </c>
      <c r="AH989">
        <v>29.091102917439301</v>
      </c>
      <c r="AI989">
        <v>92.170770160924107</v>
      </c>
      <c r="AJ989">
        <v>87.954711286265706</v>
      </c>
      <c r="AK989">
        <v>29.130552784408</v>
      </c>
      <c r="AL989">
        <v>78.830765036694004</v>
      </c>
      <c r="AM989">
        <v>88.602485511259999</v>
      </c>
      <c r="AN989">
        <v>1.000000009231</v>
      </c>
    </row>
    <row r="990" spans="1:40" x14ac:dyDescent="0.25">
      <c r="A990" t="str">
        <f>"20190312172912699"</f>
        <v>20190312172912699</v>
      </c>
      <c r="B990" t="str">
        <f>"1552382952688135"</f>
        <v>1552382952688135</v>
      </c>
      <c r="C990" t="s">
        <v>40</v>
      </c>
      <c r="D990">
        <v>3.259763</v>
      </c>
      <c r="E990">
        <v>0.50696470000000005</v>
      </c>
      <c r="F990" t="s">
        <v>41</v>
      </c>
      <c r="G990">
        <v>-243.0463</v>
      </c>
      <c r="H990" s="1">
        <v>-3.9043559999999999E-6</v>
      </c>
      <c r="I990">
        <v>366.02620000000002</v>
      </c>
      <c r="J990">
        <v>-272.2638</v>
      </c>
      <c r="K990">
        <v>1.104039</v>
      </c>
      <c r="L990">
        <v>367.39319999999998</v>
      </c>
      <c r="M990">
        <v>0.9998629</v>
      </c>
      <c r="N990">
        <v>0</v>
      </c>
      <c r="O990">
        <v>-1.178304E-2</v>
      </c>
      <c r="P990">
        <v>0.98258849999999998</v>
      </c>
      <c r="Q990">
        <v>0.18239520000000001</v>
      </c>
      <c r="R990">
        <v>-3.5387500000000002E-2</v>
      </c>
      <c r="S990">
        <v>3.0694270000000001</v>
      </c>
      <c r="T990">
        <v>-0.1150389</v>
      </c>
      <c r="U990">
        <v>-0.14279169999999999</v>
      </c>
      <c r="V990">
        <v>2.3823159999999999E-2</v>
      </c>
      <c r="W990">
        <v>0.19382740000000001</v>
      </c>
      <c r="X990">
        <v>0.98074629999999996</v>
      </c>
      <c r="Y990">
        <v>3.4680019999999999E-2</v>
      </c>
      <c r="Z990">
        <v>-2.080916E-4</v>
      </c>
      <c r="AA990">
        <v>0.99939849999999997</v>
      </c>
      <c r="AB990">
        <v>39</v>
      </c>
      <c r="AC990">
        <v>29.217500000000001</v>
      </c>
      <c r="AD990">
        <v>-1.1040429043560001</v>
      </c>
      <c r="AE990">
        <v>-1.36699999999996</v>
      </c>
      <c r="AF990">
        <v>1.02115593261551</v>
      </c>
      <c r="AG990">
        <v>-1.1040429043560001</v>
      </c>
      <c r="AH990">
        <v>29.1899916814242</v>
      </c>
      <c r="AI990">
        <v>92.164722910642794</v>
      </c>
      <c r="AJ990">
        <v>87.996433994772403</v>
      </c>
      <c r="AK990">
        <v>29.228706514914201</v>
      </c>
      <c r="AL990">
        <v>78.823767778343694</v>
      </c>
      <c r="AM990">
        <v>88.6085105254773</v>
      </c>
      <c r="AN990">
        <v>0.99999995445341605</v>
      </c>
    </row>
    <row r="991" spans="1:40" x14ac:dyDescent="0.25">
      <c r="A991" t="str">
        <f>"20190312172912713"</f>
        <v>20190312172912713</v>
      </c>
      <c r="B991" t="str">
        <f>"1552382952708631"</f>
        <v>1552382952708631</v>
      </c>
      <c r="C991" t="s">
        <v>40</v>
      </c>
      <c r="D991">
        <v>3.2528670000000002</v>
      </c>
      <c r="E991">
        <v>0.50659579999999904</v>
      </c>
      <c r="F991" t="s">
        <v>41</v>
      </c>
      <c r="G991">
        <v>-242.76089999999999</v>
      </c>
      <c r="H991" s="1">
        <v>-4.0371340000000004E-6</v>
      </c>
      <c r="I991">
        <v>366.03820000000002</v>
      </c>
      <c r="J991">
        <v>-272.0367</v>
      </c>
      <c r="K991">
        <v>1.104617</v>
      </c>
      <c r="L991">
        <v>367.39049999999997</v>
      </c>
      <c r="M991">
        <v>0.99986030000000004</v>
      </c>
      <c r="N991">
        <v>0</v>
      </c>
      <c r="O991">
        <v>-1.1783770000000001E-2</v>
      </c>
      <c r="P991">
        <v>0.98261900000000002</v>
      </c>
      <c r="Q991">
        <v>0.1822107</v>
      </c>
      <c r="R991">
        <v>-3.5482970000000003E-2</v>
      </c>
      <c r="S991">
        <v>3.069366</v>
      </c>
      <c r="T991">
        <v>-0.1148605</v>
      </c>
      <c r="U991">
        <v>-0.14096069999999999</v>
      </c>
      <c r="V991">
        <v>2.3916409999999999E-2</v>
      </c>
      <c r="W991">
        <v>0.19385169999999999</v>
      </c>
      <c r="X991">
        <v>0.98073929999999998</v>
      </c>
      <c r="Y991">
        <v>3.4085709999999998E-2</v>
      </c>
      <c r="Z991">
        <v>-1.9663769999999999E-4</v>
      </c>
      <c r="AA991">
        <v>0.9994189</v>
      </c>
      <c r="AB991">
        <v>39</v>
      </c>
      <c r="AC991">
        <v>29.2758</v>
      </c>
      <c r="AD991">
        <v>-1.104621037134</v>
      </c>
      <c r="AE991">
        <v>-1.3522999999999501</v>
      </c>
      <c r="AF991">
        <v>1.0057737197560299</v>
      </c>
      <c r="AG991">
        <v>-1.104621037134</v>
      </c>
      <c r="AH991">
        <v>29.248152341388</v>
      </c>
      <c r="AI991">
        <v>92.161597173967394</v>
      </c>
      <c r="AJ991">
        <v>88.030511804520103</v>
      </c>
      <c r="AK991">
        <v>29.286279787574099</v>
      </c>
      <c r="AL991">
        <v>78.822349376490394</v>
      </c>
      <c r="AM991">
        <v>88.603056063729696</v>
      </c>
      <c r="AN991">
        <v>1.00000002541233</v>
      </c>
    </row>
    <row r="992" spans="1:40" x14ac:dyDescent="0.25">
      <c r="A992" t="str">
        <f>"20190312172912727"</f>
        <v>20190312172912727</v>
      </c>
      <c r="B992" t="str">
        <f>"1552382952718391"</f>
        <v>1552382952718391</v>
      </c>
      <c r="C992" t="s">
        <v>40</v>
      </c>
      <c r="D992">
        <v>3.2610260000000002</v>
      </c>
      <c r="E992">
        <v>0.50642579999999904</v>
      </c>
      <c r="F992" t="s">
        <v>41</v>
      </c>
      <c r="G992">
        <v>-242.48849999999999</v>
      </c>
      <c r="H992" s="1">
        <v>-4.1618749999999999E-6</v>
      </c>
      <c r="I992">
        <v>366.06110000000001</v>
      </c>
      <c r="J992">
        <v>-271.80700000000002</v>
      </c>
      <c r="K992">
        <v>1.1051660000000001</v>
      </c>
      <c r="L992">
        <v>367.38780000000003</v>
      </c>
      <c r="M992">
        <v>0.99985780000000002</v>
      </c>
      <c r="N992">
        <v>0</v>
      </c>
      <c r="O992">
        <v>-1.178448E-2</v>
      </c>
      <c r="P992">
        <v>0.98266609999999999</v>
      </c>
      <c r="Q992">
        <v>0.18196789999999999</v>
      </c>
      <c r="R992">
        <v>-3.543118E-2</v>
      </c>
      <c r="S992">
        <v>3.069366</v>
      </c>
      <c r="T992">
        <v>-0.1147442</v>
      </c>
      <c r="U992">
        <v>-0.13809199999999999</v>
      </c>
      <c r="V992">
        <v>2.386191E-2</v>
      </c>
      <c r="W992">
        <v>0.19381190000000001</v>
      </c>
      <c r="X992">
        <v>0.98074850000000002</v>
      </c>
      <c r="Y992">
        <v>3.3153500000000002E-2</v>
      </c>
      <c r="Z992">
        <v>-1.7900459999999901E-4</v>
      </c>
      <c r="AA992">
        <v>0.99945030000000001</v>
      </c>
      <c r="AB992">
        <v>39</v>
      </c>
      <c r="AC992">
        <v>29.3185</v>
      </c>
      <c r="AD992">
        <v>-1.1051701618750001</v>
      </c>
      <c r="AE992">
        <v>-1.32670000000001</v>
      </c>
      <c r="AF992">
        <v>0.97969021203858797</v>
      </c>
      <c r="AG992">
        <v>-1.1051701618750001</v>
      </c>
      <c r="AH992">
        <v>29.290564457014099</v>
      </c>
      <c r="AI992">
        <v>92.159610914360798</v>
      </c>
      <c r="AJ992">
        <v>88.0843251952234</v>
      </c>
      <c r="AK992">
        <v>29.327774552610801</v>
      </c>
      <c r="AL992">
        <v>78.824673904483404</v>
      </c>
      <c r="AM992">
        <v>88.6062511898715</v>
      </c>
      <c r="AN992">
        <v>1.00000003179135</v>
      </c>
    </row>
    <row r="993" spans="1:40" x14ac:dyDescent="0.25">
      <c r="A993" t="str">
        <f>"20190312172912740"</f>
        <v>20190312172912740</v>
      </c>
      <c r="B993" t="str">
        <f>"1552382952728151"</f>
        <v>1552382952728151</v>
      </c>
      <c r="C993" t="s">
        <v>40</v>
      </c>
      <c r="D993">
        <v>3.2779250000000002</v>
      </c>
      <c r="E993">
        <v>0.50624659999999999</v>
      </c>
      <c r="F993" t="s">
        <v>41</v>
      </c>
      <c r="G993">
        <v>-242.3355</v>
      </c>
      <c r="H993" s="1">
        <v>-4.2318209999999998E-6</v>
      </c>
      <c r="I993">
        <v>366.07440000000003</v>
      </c>
      <c r="J993">
        <v>-271.55459999999999</v>
      </c>
      <c r="K993">
        <v>1.1057060000000001</v>
      </c>
      <c r="L993">
        <v>367.38479999999998</v>
      </c>
      <c r="M993">
        <v>0.99985520000000006</v>
      </c>
      <c r="N993">
        <v>0</v>
      </c>
      <c r="O993">
        <v>-1.1785250000000001E-2</v>
      </c>
      <c r="P993">
        <v>0.98270950000000001</v>
      </c>
      <c r="Q993">
        <v>0.1817135</v>
      </c>
      <c r="R993">
        <v>-3.5529119999999997E-2</v>
      </c>
      <c r="S993">
        <v>3.0693359999999998</v>
      </c>
      <c r="T993">
        <v>-0.11509900000000001</v>
      </c>
      <c r="U993">
        <v>-0.13677979999999901</v>
      </c>
      <c r="V993">
        <v>2.395765E-2</v>
      </c>
      <c r="W993">
        <v>0.19376650000000001</v>
      </c>
      <c r="X993">
        <v>0.98075509999999999</v>
      </c>
      <c r="Y993">
        <v>3.2726900000000003E-2</v>
      </c>
      <c r="Z993">
        <v>-1.715388E-4</v>
      </c>
      <c r="AA993">
        <v>0.99946429999999997</v>
      </c>
      <c r="AB993">
        <v>39</v>
      </c>
      <c r="AC993">
        <v>29.219100000000001</v>
      </c>
      <c r="AD993">
        <v>-1.1057102318209999</v>
      </c>
      <c r="AE993">
        <v>-1.31039999999995</v>
      </c>
      <c r="AF993">
        <v>0.96455015267022304</v>
      </c>
      <c r="AG993">
        <v>-1.1057102318209999</v>
      </c>
      <c r="AH993">
        <v>29.190797138258301</v>
      </c>
      <c r="AI993">
        <v>92.168071961665603</v>
      </c>
      <c r="AJ993">
        <v>88.107466800092993</v>
      </c>
      <c r="AK993">
        <v>29.227651114667399</v>
      </c>
      <c r="AL993">
        <v>78.827324989836995</v>
      </c>
      <c r="AM993">
        <v>88.600670750335397</v>
      </c>
      <c r="AN993">
        <v>0.99999999584589105</v>
      </c>
    </row>
    <row r="994" spans="1:40" x14ac:dyDescent="0.25">
      <c r="A994" t="str">
        <f>"20190312172912752"</f>
        <v>20190312172912752</v>
      </c>
      <c r="B994" t="str">
        <f>"1552382952748648"</f>
        <v>1552382952748648</v>
      </c>
      <c r="C994" t="s">
        <v>40</v>
      </c>
      <c r="D994">
        <v>3.273495</v>
      </c>
      <c r="E994">
        <v>0.50593900000000003</v>
      </c>
      <c r="F994" t="s">
        <v>41</v>
      </c>
      <c r="G994">
        <v>-242.1584</v>
      </c>
      <c r="H994" s="1">
        <v>-4.3136069999999996E-6</v>
      </c>
      <c r="I994">
        <v>366.08530000000002</v>
      </c>
      <c r="J994">
        <v>-271.36059999999998</v>
      </c>
      <c r="K994">
        <v>1.1060700000000001</v>
      </c>
      <c r="L994">
        <v>367.38249999999999</v>
      </c>
      <c r="M994">
        <v>0.9998534</v>
      </c>
      <c r="N994">
        <v>0</v>
      </c>
      <c r="O994">
        <v>-1.178556E-2</v>
      </c>
      <c r="P994">
        <v>0.9826918</v>
      </c>
      <c r="Q994">
        <v>0.1817869</v>
      </c>
      <c r="R994">
        <v>-3.5643290000000001E-2</v>
      </c>
      <c r="S994">
        <v>3.0691830000000002</v>
      </c>
      <c r="T994">
        <v>-0.115444699999999</v>
      </c>
      <c r="U994">
        <v>-0.1356812</v>
      </c>
      <c r="V994">
        <v>2.407074E-2</v>
      </c>
      <c r="W994">
        <v>0.1939892</v>
      </c>
      <c r="X994">
        <v>0.98070829999999998</v>
      </c>
      <c r="Y994">
        <v>3.2371869999999997E-2</v>
      </c>
      <c r="Z994">
        <v>-1.653793E-4</v>
      </c>
      <c r="AA994">
        <v>0.99947589999999997</v>
      </c>
      <c r="AB994">
        <v>39</v>
      </c>
      <c r="AC994">
        <v>29.202199999999898</v>
      </c>
      <c r="AD994">
        <v>-1.1060743136069999</v>
      </c>
      <c r="AE994">
        <v>-1.2971999999999699</v>
      </c>
      <c r="AF994">
        <v>0.95155662523126405</v>
      </c>
      <c r="AG994">
        <v>-1.1060743136069999</v>
      </c>
      <c r="AH994">
        <v>29.173690148181699</v>
      </c>
      <c r="AI994">
        <v>92.170085984539696</v>
      </c>
      <c r="AJ994">
        <v>88.131849052656705</v>
      </c>
      <c r="AK994">
        <v>29.2101533248347</v>
      </c>
      <c r="AL994">
        <v>78.814318362336707</v>
      </c>
      <c r="AM994">
        <v>88.5940009184541</v>
      </c>
      <c r="AN994">
        <v>0.99999998996483797</v>
      </c>
    </row>
    <row r="995" spans="1:40" x14ac:dyDescent="0.25">
      <c r="A995" t="str">
        <f>"20190312172912764"</f>
        <v>20190312172912764</v>
      </c>
      <c r="B995" t="str">
        <f>"1552382952758407"</f>
        <v>1552382952758407</v>
      </c>
      <c r="C995" t="s">
        <v>40</v>
      </c>
      <c r="D995">
        <v>3.28891</v>
      </c>
      <c r="E995">
        <v>0.50579560000000001</v>
      </c>
      <c r="F995" t="s">
        <v>41</v>
      </c>
      <c r="G995">
        <v>-241.69120000000001</v>
      </c>
      <c r="H995" s="1">
        <v>-4.5336010000000003E-6</v>
      </c>
      <c r="I995">
        <v>366.09</v>
      </c>
      <c r="J995">
        <v>-271.16559999999998</v>
      </c>
      <c r="K995">
        <v>1.106428</v>
      </c>
      <c r="L995">
        <v>367.3802</v>
      </c>
      <c r="M995">
        <v>0.9998515</v>
      </c>
      <c r="N995">
        <v>0</v>
      </c>
      <c r="O995">
        <v>-1.1786E-2</v>
      </c>
      <c r="P995">
        <v>0.98274709999999998</v>
      </c>
      <c r="Q995">
        <v>0.18142630000000001</v>
      </c>
      <c r="R995">
        <v>-3.5956259999999997E-2</v>
      </c>
      <c r="S995">
        <v>3.0690919999999999</v>
      </c>
      <c r="T995">
        <v>-0.1144159</v>
      </c>
      <c r="U995">
        <v>-0.1336975</v>
      </c>
      <c r="V995">
        <v>2.438181E-2</v>
      </c>
      <c r="W995">
        <v>0.19377639999999999</v>
      </c>
      <c r="X995">
        <v>0.98074269999999997</v>
      </c>
      <c r="Y995">
        <v>3.1728680000000002E-2</v>
      </c>
      <c r="Z995">
        <v>-1.5191719999999999E-4</v>
      </c>
      <c r="AA995">
        <v>0.99949650000000001</v>
      </c>
      <c r="AB995">
        <v>39</v>
      </c>
      <c r="AC995">
        <v>29.4743999999999</v>
      </c>
      <c r="AD995">
        <v>-1.1064325336009999</v>
      </c>
      <c r="AE995">
        <v>-1.29020000000002</v>
      </c>
      <c r="AF995">
        <v>0.94137362714292205</v>
      </c>
      <c r="AG995">
        <v>-1.1064325336009999</v>
      </c>
      <c r="AH995">
        <v>29.446145025640298</v>
      </c>
      <c r="AI995">
        <v>92.150766426988298</v>
      </c>
      <c r="AJ995">
        <v>88.168915766157696</v>
      </c>
      <c r="AK995">
        <v>29.4819577729894</v>
      </c>
      <c r="AL995">
        <v>78.826746903606605</v>
      </c>
      <c r="AM995">
        <v>88.575888336738998</v>
      </c>
      <c r="AN995">
        <v>1.0000000047295601</v>
      </c>
    </row>
    <row r="996" spans="1:40" x14ac:dyDescent="0.25">
      <c r="A996" t="str">
        <f>"20190312172912775"</f>
        <v>20190312172912775</v>
      </c>
      <c r="B996" t="str">
        <f>"1552382952768167"</f>
        <v>1552382952768167</v>
      </c>
      <c r="C996" t="s">
        <v>40</v>
      </c>
      <c r="D996">
        <v>3.2788390000000001</v>
      </c>
      <c r="E996">
        <v>0.50565919999999998</v>
      </c>
      <c r="F996" t="s">
        <v>41</v>
      </c>
      <c r="G996">
        <v>-241.69309999999999</v>
      </c>
      <c r="H996" s="1">
        <v>-4.5315609999999999E-6</v>
      </c>
      <c r="I996">
        <v>366.09660000000002</v>
      </c>
      <c r="J996">
        <v>-270.97030000000001</v>
      </c>
      <c r="K996">
        <v>1.1067359999999999</v>
      </c>
      <c r="L996">
        <v>367.37790000000001</v>
      </c>
      <c r="M996">
        <v>0.99984969999999995</v>
      </c>
      <c r="N996">
        <v>0</v>
      </c>
      <c r="O996">
        <v>-1.178589E-2</v>
      </c>
      <c r="P996">
        <v>0.98271039999999998</v>
      </c>
      <c r="Q996">
        <v>0.18159439999999999</v>
      </c>
      <c r="R996">
        <v>-3.6107720000000003E-2</v>
      </c>
      <c r="S996">
        <v>3.069061</v>
      </c>
      <c r="T996">
        <v>-0.11521629999999999</v>
      </c>
      <c r="U996">
        <v>-0.13366700000000001</v>
      </c>
      <c r="V996">
        <v>2.4533389999999999E-2</v>
      </c>
      <c r="W996">
        <v>0.194079</v>
      </c>
      <c r="X996">
        <v>0.98067910000000003</v>
      </c>
      <c r="Y996">
        <v>3.1719089999999998E-2</v>
      </c>
      <c r="Z996">
        <v>-1.528042E-4</v>
      </c>
      <c r="AA996">
        <v>0.99949679999999996</v>
      </c>
      <c r="AB996">
        <v>39</v>
      </c>
      <c r="AC996">
        <v>29.277200000000001</v>
      </c>
      <c r="AD996">
        <v>-1.1067405315609999</v>
      </c>
      <c r="AE996">
        <v>-1.2812999999999799</v>
      </c>
      <c r="AF996">
        <v>0.93479197165796502</v>
      </c>
      <c r="AG996">
        <v>-1.1067405315609999</v>
      </c>
      <c r="AH996">
        <v>29.248552363243299</v>
      </c>
      <c r="AI996">
        <v>92.165885246579705</v>
      </c>
      <c r="AJ996">
        <v>88.169433862304601</v>
      </c>
      <c r="AK996">
        <v>29.2844075572627</v>
      </c>
      <c r="AL996">
        <v>78.809073877401303</v>
      </c>
      <c r="AM996">
        <v>88.566945521500301</v>
      </c>
      <c r="AN996">
        <v>1.00000002132135</v>
      </c>
    </row>
    <row r="997" spans="1:40" x14ac:dyDescent="0.25">
      <c r="A997" t="str">
        <f>"20190312172912786"</f>
        <v>20190312172912786</v>
      </c>
      <c r="B997" t="str">
        <f>"1552382952777927"</f>
        <v>1552382952777927</v>
      </c>
      <c r="C997" t="s">
        <v>40</v>
      </c>
      <c r="D997">
        <v>3.2982119999999999</v>
      </c>
      <c r="E997">
        <v>0.50551210000000002</v>
      </c>
      <c r="F997" t="s">
        <v>41</v>
      </c>
      <c r="G997">
        <v>-241.2698</v>
      </c>
      <c r="H997" s="1">
        <v>-4.7325290000000002E-6</v>
      </c>
      <c r="I997">
        <v>366.0917</v>
      </c>
      <c r="J997">
        <v>-270.77760000000001</v>
      </c>
      <c r="K997">
        <v>1.1070329999999999</v>
      </c>
      <c r="L997">
        <v>367.37549999999999</v>
      </c>
      <c r="M997">
        <v>0.99984810000000002</v>
      </c>
      <c r="N997">
        <v>0</v>
      </c>
      <c r="O997">
        <v>-1.1785759999999999E-2</v>
      </c>
      <c r="P997">
        <v>0.98277680000000001</v>
      </c>
      <c r="Q997">
        <v>0.181172</v>
      </c>
      <c r="R997">
        <v>-3.6424680000000001E-2</v>
      </c>
      <c r="S997">
        <v>3.0690309999999998</v>
      </c>
      <c r="T997">
        <v>-0.1143624</v>
      </c>
      <c r="U997">
        <v>-0.1329041</v>
      </c>
      <c r="V997">
        <v>2.484898E-2</v>
      </c>
      <c r="W997">
        <v>0.19378670000000001</v>
      </c>
      <c r="X997">
        <v>0.98072890000000001</v>
      </c>
      <c r="Y997">
        <v>3.1472020000000003E-2</v>
      </c>
      <c r="Z997">
        <v>-1.4707899999999999E-4</v>
      </c>
      <c r="AA997">
        <v>0.99950459999999997</v>
      </c>
      <c r="AB997">
        <v>39</v>
      </c>
      <c r="AC997">
        <v>29.5078</v>
      </c>
      <c r="AD997">
        <v>-1.107037732529</v>
      </c>
      <c r="AE997">
        <v>-1.2837999999999801</v>
      </c>
      <c r="AF997">
        <v>0.93459732921744298</v>
      </c>
      <c r="AG997">
        <v>-1.107037732529</v>
      </c>
      <c r="AH997">
        <v>29.4794677943704</v>
      </c>
      <c r="AI997">
        <v>92.149529708149402</v>
      </c>
      <c r="AJ997">
        <v>88.1841411403649</v>
      </c>
      <c r="AK997">
        <v>29.515047452923898</v>
      </c>
      <c r="AL997">
        <v>78.826144917337004</v>
      </c>
      <c r="AM997">
        <v>88.548592657053604</v>
      </c>
      <c r="AN997">
        <v>0.99999996609956898</v>
      </c>
    </row>
    <row r="998" spans="1:40" x14ac:dyDescent="0.25">
      <c r="A998" t="str">
        <f>"20190312172912797"</f>
        <v>20190312172912797</v>
      </c>
      <c r="B998" t="str">
        <f>"1552382952788663"</f>
        <v>1552382952788663</v>
      </c>
      <c r="C998" t="s">
        <v>40</v>
      </c>
      <c r="D998">
        <v>3.2942239999999998</v>
      </c>
      <c r="E998">
        <v>0.50537379999999998</v>
      </c>
      <c r="F998" t="s">
        <v>41</v>
      </c>
      <c r="G998">
        <v>-241.33330000000001</v>
      </c>
      <c r="H998" s="1">
        <v>-4.700609E-6</v>
      </c>
      <c r="I998">
        <v>366.10250000000002</v>
      </c>
      <c r="J998">
        <v>-270.58199999999999</v>
      </c>
      <c r="K998">
        <v>1.1072949999999999</v>
      </c>
      <c r="L998">
        <v>367.37329999999997</v>
      </c>
      <c r="M998">
        <v>0.99984649999999997</v>
      </c>
      <c r="N998">
        <v>0</v>
      </c>
      <c r="O998">
        <v>-1.178595E-2</v>
      </c>
      <c r="P998">
        <v>0.98282939999999996</v>
      </c>
      <c r="Q998">
        <v>0.1808661</v>
      </c>
      <c r="R998">
        <v>-3.6524510000000003E-2</v>
      </c>
      <c r="S998">
        <v>3.0689389999999999</v>
      </c>
      <c r="T998">
        <v>-0.1153851</v>
      </c>
      <c r="U998">
        <v>-0.13269039999999999</v>
      </c>
      <c r="V998">
        <v>2.494772E-2</v>
      </c>
      <c r="W998">
        <v>0.19360469999999999</v>
      </c>
      <c r="X998">
        <v>0.98076240000000003</v>
      </c>
      <c r="Y998">
        <v>3.1403460000000001E-2</v>
      </c>
      <c r="Z998">
        <v>-1.471023E-4</v>
      </c>
      <c r="AA998">
        <v>0.99950680000000003</v>
      </c>
      <c r="AB998">
        <v>39</v>
      </c>
      <c r="AC998">
        <v>29.2486999999999</v>
      </c>
      <c r="AD998">
        <v>-1.107299700609</v>
      </c>
      <c r="AE998">
        <v>-1.27079999999995</v>
      </c>
      <c r="AF998">
        <v>0.92463630803475005</v>
      </c>
      <c r="AG998">
        <v>-1.107299700609</v>
      </c>
      <c r="AH998">
        <v>29.219847000668</v>
      </c>
      <c r="AI998">
        <v>92.169127052567404</v>
      </c>
      <c r="AJ998">
        <v>88.1875303606746</v>
      </c>
      <c r="AK998">
        <v>29.255435796985701</v>
      </c>
      <c r="AL998">
        <v>78.836774735430794</v>
      </c>
      <c r="AM998">
        <v>88.542877572383006</v>
      </c>
      <c r="AN998">
        <v>1.0000000269245199</v>
      </c>
    </row>
    <row r="999" spans="1:40" x14ac:dyDescent="0.25">
      <c r="A999" t="str">
        <f>"20190312172912808"</f>
        <v>20190312172912808</v>
      </c>
      <c r="B999" t="str">
        <f>"1552382952798424"</f>
        <v>1552382952798424</v>
      </c>
      <c r="C999" t="s">
        <v>40</v>
      </c>
      <c r="D999">
        <v>3.3031839999999901</v>
      </c>
      <c r="E999">
        <v>0.50524929999999901</v>
      </c>
      <c r="F999" t="s">
        <v>41</v>
      </c>
      <c r="G999">
        <v>-241.2987</v>
      </c>
      <c r="H999" s="1">
        <v>-4.714226E-6</v>
      </c>
      <c r="I999">
        <v>366.11790000000002</v>
      </c>
      <c r="J999">
        <v>-270.39499999999998</v>
      </c>
      <c r="K999">
        <v>1.1075299999999999</v>
      </c>
      <c r="L999">
        <v>367.37110000000001</v>
      </c>
      <c r="M999">
        <v>0.99984499999999998</v>
      </c>
      <c r="N999">
        <v>0</v>
      </c>
      <c r="O999">
        <v>-1.178596E-2</v>
      </c>
      <c r="P999">
        <v>0.98285750000000005</v>
      </c>
      <c r="Q999">
        <v>0.18070839999999999</v>
      </c>
      <c r="R999">
        <v>-3.6549909999999998E-2</v>
      </c>
      <c r="S999">
        <v>3.0688780000000002</v>
      </c>
      <c r="T999">
        <v>-0.1160443</v>
      </c>
      <c r="U999">
        <v>-0.13156129999999999</v>
      </c>
      <c r="V999">
        <v>2.49722E-2</v>
      </c>
      <c r="W999">
        <v>0.1935588</v>
      </c>
      <c r="X999">
        <v>0.98077080000000005</v>
      </c>
      <c r="Y999">
        <v>3.1037309999999999E-2</v>
      </c>
      <c r="Z999">
        <v>-1.410281E-4</v>
      </c>
      <c r="AA999">
        <v>0.99951820000000002</v>
      </c>
      <c r="AB999">
        <v>39</v>
      </c>
      <c r="AC999">
        <v>29.0962999999999</v>
      </c>
      <c r="AD999">
        <v>-1.1075347142259999</v>
      </c>
      <c r="AE999">
        <v>-1.2531999999999901</v>
      </c>
      <c r="AF999">
        <v>0.90884139397674701</v>
      </c>
      <c r="AG999">
        <v>-1.1075347142259999</v>
      </c>
      <c r="AH999">
        <v>29.067012861028999</v>
      </c>
      <c r="AI999">
        <v>92.181009487847405</v>
      </c>
      <c r="AJ999">
        <v>88.2091102040431</v>
      </c>
      <c r="AK999">
        <v>29.102299951822499</v>
      </c>
      <c r="AL999">
        <v>78.839454910827001</v>
      </c>
      <c r="AM999">
        <v>88.541460872070701</v>
      </c>
      <c r="AN999">
        <v>0.99999999098145997</v>
      </c>
    </row>
    <row r="1000" spans="1:40" x14ac:dyDescent="0.25">
      <c r="A1000" t="str">
        <f>"20190312172912818"</f>
        <v>20190312172912818</v>
      </c>
      <c r="B1000" t="str">
        <f>"1552382952808183"</f>
        <v>1552382952808183</v>
      </c>
      <c r="C1000" t="s">
        <v>40</v>
      </c>
      <c r="D1000">
        <v>3.3090139999999999</v>
      </c>
      <c r="E1000">
        <v>0.50513540000000001</v>
      </c>
      <c r="F1000" t="s">
        <v>41</v>
      </c>
      <c r="G1000">
        <v>-241.1601</v>
      </c>
      <c r="H1000" s="1">
        <v>-4.778404E-6</v>
      </c>
      <c r="I1000">
        <v>366.12540000000001</v>
      </c>
      <c r="J1000">
        <v>-270.20260000000002</v>
      </c>
      <c r="K1000">
        <v>1.10775</v>
      </c>
      <c r="L1000">
        <v>367.36880000000002</v>
      </c>
      <c r="M1000">
        <v>0.99984340000000005</v>
      </c>
      <c r="N1000">
        <v>0</v>
      </c>
      <c r="O1000">
        <v>-1.178596E-2</v>
      </c>
      <c r="P1000">
        <v>0.98290560000000005</v>
      </c>
      <c r="Q1000">
        <v>0.18043989999999999</v>
      </c>
      <c r="R1000">
        <v>-3.6578529999999998E-2</v>
      </c>
      <c r="S1000">
        <v>3.0688780000000002</v>
      </c>
      <c r="T1000">
        <v>-0.1162615</v>
      </c>
      <c r="U1000">
        <v>-0.13076779999999999</v>
      </c>
      <c r="V1000">
        <v>2.5000080000000001E-2</v>
      </c>
      <c r="W1000">
        <v>0.19340070000000001</v>
      </c>
      <c r="X1000">
        <v>0.98080129999999999</v>
      </c>
      <c r="Y1000">
        <v>3.077947E-2</v>
      </c>
      <c r="Z1000">
        <v>-1.3641179999999999E-4</v>
      </c>
      <c r="AA1000">
        <v>0.99952620000000003</v>
      </c>
      <c r="AB1000">
        <v>39</v>
      </c>
      <c r="AC1000">
        <v>29.0425</v>
      </c>
      <c r="AD1000">
        <v>-1.1077547784040001</v>
      </c>
      <c r="AE1000">
        <v>-1.2434000000000001</v>
      </c>
      <c r="AF1000">
        <v>0.89968353696005099</v>
      </c>
      <c r="AG1000">
        <v>-1.1077547784040001</v>
      </c>
      <c r="AH1000">
        <v>29.013005941403101</v>
      </c>
      <c r="AI1000">
        <v>92.185516677478006</v>
      </c>
      <c r="AJ1000">
        <v>88.2238463558392</v>
      </c>
      <c r="AK1000">
        <v>29.048081948239599</v>
      </c>
      <c r="AL1000">
        <v>78.848688078691296</v>
      </c>
      <c r="AM1000">
        <v>88.539878590236398</v>
      </c>
      <c r="AN1000">
        <v>1.0000000124210899</v>
      </c>
    </row>
    <row r="1001" spans="1:40" x14ac:dyDescent="0.25">
      <c r="A1001" t="str">
        <f>"20190312172912830"</f>
        <v>20190312172912830</v>
      </c>
      <c r="B1001" t="str">
        <f>"1552382952817943"</f>
        <v>1552382952817943</v>
      </c>
      <c r="C1001" t="s">
        <v>40</v>
      </c>
      <c r="D1001">
        <v>3.299067</v>
      </c>
      <c r="E1001">
        <v>0.50502519999999995</v>
      </c>
      <c r="F1001" t="s">
        <v>41</v>
      </c>
      <c r="G1001">
        <v>-241.12039999999999</v>
      </c>
      <c r="H1001" s="1">
        <v>-4.7945649999999999E-6</v>
      </c>
      <c r="I1001">
        <v>366.14</v>
      </c>
      <c r="J1001">
        <v>-270.01819999999998</v>
      </c>
      <c r="K1001">
        <v>1.107944</v>
      </c>
      <c r="L1001">
        <v>367.36660000000001</v>
      </c>
      <c r="M1001">
        <v>0.99984220000000001</v>
      </c>
      <c r="N1001">
        <v>0</v>
      </c>
      <c r="O1001">
        <v>-1.1786130000000001E-2</v>
      </c>
      <c r="P1001">
        <v>0.98299630000000005</v>
      </c>
      <c r="Q1001">
        <v>0.1799539</v>
      </c>
      <c r="R1001">
        <v>-3.6541980000000002E-2</v>
      </c>
      <c r="S1001">
        <v>3.0688170000000001</v>
      </c>
      <c r="T1001">
        <v>-0.11689289999999899</v>
      </c>
      <c r="U1001">
        <v>-0.12966920000000001</v>
      </c>
      <c r="V1001">
        <v>2.49617E-2</v>
      </c>
      <c r="W1001">
        <v>0.19301380000000001</v>
      </c>
      <c r="X1001">
        <v>0.98087849999999999</v>
      </c>
      <c r="Y1001">
        <v>3.0423059999999998E-2</v>
      </c>
      <c r="Z1001">
        <v>-1.3036610000000001E-4</v>
      </c>
      <c r="AA1001">
        <v>0.99953709999999996</v>
      </c>
      <c r="AB1001">
        <v>39</v>
      </c>
      <c r="AC1001">
        <v>28.897799999999901</v>
      </c>
      <c r="AD1001">
        <v>-1.107948794565</v>
      </c>
      <c r="AE1001">
        <v>-1.2266000000000099</v>
      </c>
      <c r="AF1001">
        <v>0.88459347890209605</v>
      </c>
      <c r="AG1001">
        <v>-1.107948794565</v>
      </c>
      <c r="AH1001">
        <v>28.867891832106501</v>
      </c>
      <c r="AI1001">
        <v>92.196901294127002</v>
      </c>
      <c r="AJ1001">
        <v>88.244845223655105</v>
      </c>
      <c r="AK1001">
        <v>28.902685601592299</v>
      </c>
      <c r="AL1001">
        <v>78.871281636872297</v>
      </c>
      <c r="AM1001">
        <v>88.542233886245796</v>
      </c>
      <c r="AN1001">
        <v>1.00000002260978</v>
      </c>
    </row>
    <row r="1002" spans="1:40" x14ac:dyDescent="0.25">
      <c r="A1002" t="str">
        <f>"20190312172912841"</f>
        <v>20190312172912841</v>
      </c>
      <c r="B1002" t="str">
        <f>"1552382952838439"</f>
        <v>1552382952838439</v>
      </c>
      <c r="C1002" t="s">
        <v>40</v>
      </c>
      <c r="D1002">
        <v>3.2885810000000002</v>
      </c>
      <c r="E1002">
        <v>0.50480179999999997</v>
      </c>
      <c r="F1002" t="s">
        <v>41</v>
      </c>
      <c r="G1002">
        <v>-241.2748</v>
      </c>
      <c r="H1002" s="1">
        <v>-4.7180270000000001E-6</v>
      </c>
      <c r="I1002">
        <v>366.1601</v>
      </c>
      <c r="J1002">
        <v>-269.82650000000001</v>
      </c>
      <c r="K1002">
        <v>1.108133</v>
      </c>
      <c r="L1002">
        <v>367.36439999999999</v>
      </c>
      <c r="M1002">
        <v>0.99984079999999997</v>
      </c>
      <c r="N1002">
        <v>0</v>
      </c>
      <c r="O1002">
        <v>-1.1786069999999999E-2</v>
      </c>
      <c r="P1002">
        <v>0.98302610000000001</v>
      </c>
      <c r="Q1002">
        <v>0.17977489999999999</v>
      </c>
      <c r="R1002">
        <v>-3.6615580000000002E-2</v>
      </c>
      <c r="S1002">
        <v>3.0687869999999999</v>
      </c>
      <c r="T1002">
        <v>-0.1182901</v>
      </c>
      <c r="U1002">
        <v>-0.1288147</v>
      </c>
      <c r="V1002">
        <v>2.5034819999999999E-2</v>
      </c>
      <c r="W1002">
        <v>0.19293379999999999</v>
      </c>
      <c r="X1002">
        <v>0.9808924</v>
      </c>
      <c r="Y1002">
        <v>3.014557E-2</v>
      </c>
      <c r="Z1002">
        <v>-1.265832E-4</v>
      </c>
      <c r="AA1002">
        <v>0.99954549999999998</v>
      </c>
      <c r="AB1002">
        <v>39</v>
      </c>
      <c r="AC1002">
        <v>28.5517</v>
      </c>
      <c r="AD1002">
        <v>-1.108137718027</v>
      </c>
      <c r="AE1002">
        <v>-1.2042999999999799</v>
      </c>
      <c r="AF1002">
        <v>0.86637106863103497</v>
      </c>
      <c r="AG1002">
        <v>-1.108137718027</v>
      </c>
      <c r="AH1002">
        <v>28.5210256202522</v>
      </c>
      <c r="AI1002">
        <v>92.223989656916004</v>
      </c>
      <c r="AJ1002">
        <v>88.260085496018803</v>
      </c>
      <c r="AK1002">
        <v>28.555690684376</v>
      </c>
      <c r="AL1002">
        <v>78.875953377951703</v>
      </c>
      <c r="AM1002">
        <v>88.537986229813697</v>
      </c>
      <c r="AN1002">
        <v>1.0000000468863099</v>
      </c>
    </row>
    <row r="1003" spans="1:40" x14ac:dyDescent="0.25">
      <c r="A1003" t="str">
        <f>"20190312172912853"</f>
        <v>20190312172912853</v>
      </c>
      <c r="B1003" t="str">
        <f>"1552382952848199"</f>
        <v>1552382952848199</v>
      </c>
      <c r="C1003" t="s">
        <v>40</v>
      </c>
      <c r="D1003">
        <v>3.3248579999999999</v>
      </c>
      <c r="E1003">
        <v>0.50468670000000004</v>
      </c>
      <c r="F1003" t="s">
        <v>41</v>
      </c>
      <c r="G1003">
        <v>-241.10480000000001</v>
      </c>
      <c r="H1003" s="1">
        <v>-4.7954599999999998E-6</v>
      </c>
      <c r="I1003">
        <v>366.17669999999998</v>
      </c>
      <c r="J1003">
        <v>-269.62849999999997</v>
      </c>
      <c r="K1003">
        <v>1.1083050000000001</v>
      </c>
      <c r="L1003">
        <v>367.3621</v>
      </c>
      <c r="M1003">
        <v>0.99983940000000004</v>
      </c>
      <c r="N1003">
        <v>0</v>
      </c>
      <c r="O1003">
        <v>-1.178621E-2</v>
      </c>
      <c r="P1003">
        <v>0.98301559999999999</v>
      </c>
      <c r="Q1003">
        <v>0.1798419</v>
      </c>
      <c r="R1003">
        <v>-3.6567589999999997E-2</v>
      </c>
      <c r="S1003">
        <v>3.068695</v>
      </c>
      <c r="T1003">
        <v>-0.118395899999999</v>
      </c>
      <c r="U1003">
        <v>-0.12689210000000001</v>
      </c>
      <c r="V1003">
        <v>2.4986609999999999E-2</v>
      </c>
      <c r="W1003">
        <v>0.1930943</v>
      </c>
      <c r="X1003">
        <v>0.98086200000000001</v>
      </c>
      <c r="Y1003">
        <v>2.9521929999999998E-2</v>
      </c>
      <c r="Z1003">
        <v>-1.146741E-4</v>
      </c>
      <c r="AA1003">
        <v>0.99956409999999996</v>
      </c>
      <c r="AB1003">
        <v>39</v>
      </c>
      <c r="AC1003">
        <v>28.523699999999899</v>
      </c>
      <c r="AD1003">
        <v>-1.1083097954600001</v>
      </c>
      <c r="AE1003">
        <v>-1.18540000000001</v>
      </c>
      <c r="AF1003">
        <v>0.84782287828451197</v>
      </c>
      <c r="AG1003">
        <v>-1.1083097954600001</v>
      </c>
      <c r="AH1003">
        <v>28.492747723899601</v>
      </c>
      <c r="AI1003">
        <v>92.226581485753698</v>
      </c>
      <c r="AJ1003">
        <v>88.295624412276993</v>
      </c>
      <c r="AK1003">
        <v>28.526896555591801</v>
      </c>
      <c r="AL1003">
        <v>78.866580655669196</v>
      </c>
      <c r="AM1003">
        <v>88.540755231784601</v>
      </c>
      <c r="AN1003">
        <v>1.00000000120789</v>
      </c>
    </row>
    <row r="1004" spans="1:40" x14ac:dyDescent="0.25">
      <c r="A1004" t="str">
        <f>"20190312172912864"</f>
        <v>20190312172912864</v>
      </c>
      <c r="B1004" t="str">
        <f>"1552382952857959"</f>
        <v>1552382952857959</v>
      </c>
      <c r="C1004" t="s">
        <v>40</v>
      </c>
      <c r="D1004">
        <v>3.3153609999999998</v>
      </c>
      <c r="E1004">
        <v>0.50457799999999997</v>
      </c>
      <c r="F1004" t="s">
        <v>41</v>
      </c>
      <c r="G1004">
        <v>-240.8099</v>
      </c>
      <c r="H1004" s="1">
        <v>-4.9347030000000002E-6</v>
      </c>
      <c r="I1004">
        <v>366.17759999999998</v>
      </c>
      <c r="J1004">
        <v>-269.43150000000003</v>
      </c>
      <c r="K1004">
        <v>1.108463</v>
      </c>
      <c r="L1004">
        <v>367.35969999999998</v>
      </c>
      <c r="M1004">
        <v>0.99983840000000002</v>
      </c>
      <c r="N1004">
        <v>0</v>
      </c>
      <c r="O1004">
        <v>-1.178647E-2</v>
      </c>
      <c r="P1004">
        <v>0.98300549999999998</v>
      </c>
      <c r="Q1004">
        <v>0.17982010000000001</v>
      </c>
      <c r="R1004">
        <v>-3.6947540000000001E-2</v>
      </c>
      <c r="S1004">
        <v>3.0687259999999998</v>
      </c>
      <c r="T1004">
        <v>-0.1180172</v>
      </c>
      <c r="U1004">
        <v>-0.1261292</v>
      </c>
      <c r="V1004">
        <v>2.5366159999999999E-2</v>
      </c>
      <c r="W1004">
        <v>0.193163</v>
      </c>
      <c r="X1004">
        <v>0.98083869999999895</v>
      </c>
      <c r="Y1004">
        <v>2.9273440000000001E-2</v>
      </c>
      <c r="Z1004">
        <v>-1.09522E-4</v>
      </c>
      <c r="AA1004">
        <v>0.9995714</v>
      </c>
      <c r="AB1004">
        <v>39</v>
      </c>
      <c r="AC1004">
        <v>28.621600000000001</v>
      </c>
      <c r="AD1004">
        <v>-1.108467934703</v>
      </c>
      <c r="AE1004">
        <v>-1.1820999999999899</v>
      </c>
      <c r="AF1004">
        <v>0.84337634523854899</v>
      </c>
      <c r="AG1004">
        <v>-1.108467934703</v>
      </c>
      <c r="AH1004">
        <v>28.590735725234801</v>
      </c>
      <c r="AI1004">
        <v>92.219291239152895</v>
      </c>
      <c r="AJ1004">
        <v>88.310365385662394</v>
      </c>
      <c r="AK1004">
        <v>28.6246424280233</v>
      </c>
      <c r="AL1004">
        <v>78.862568567823899</v>
      </c>
      <c r="AM1004">
        <v>88.518563733775693</v>
      </c>
      <c r="AN1004">
        <v>0.999999971029917</v>
      </c>
    </row>
    <row r="1005" spans="1:40" x14ac:dyDescent="0.25">
      <c r="A1005" t="str">
        <f>"20190312172912875"</f>
        <v>20190312172912875</v>
      </c>
      <c r="B1005" t="str">
        <f>"1552382952868695"</f>
        <v>1552382952868695</v>
      </c>
      <c r="C1005" t="s">
        <v>40</v>
      </c>
      <c r="D1005">
        <v>3.289536</v>
      </c>
      <c r="E1005">
        <v>0.50447419999999998</v>
      </c>
      <c r="F1005" t="s">
        <v>41</v>
      </c>
      <c r="G1005">
        <v>-240.58449999999999</v>
      </c>
      <c r="H1005" s="1">
        <v>-5.0420740000000001E-6</v>
      </c>
      <c r="I1005">
        <v>366.17290000000003</v>
      </c>
      <c r="J1005">
        <v>-269.23770000000002</v>
      </c>
      <c r="K1005">
        <v>1.108603</v>
      </c>
      <c r="L1005">
        <v>367.35739999999998</v>
      </c>
      <c r="M1005">
        <v>0.99983719999999998</v>
      </c>
      <c r="N1005">
        <v>0</v>
      </c>
      <c r="O1005">
        <v>-1.178654E-2</v>
      </c>
      <c r="P1005">
        <v>0.98292429999999997</v>
      </c>
      <c r="Q1005">
        <v>0.18021429999999999</v>
      </c>
      <c r="R1005">
        <v>-3.7191160000000001E-2</v>
      </c>
      <c r="S1005">
        <v>3.0687259999999998</v>
      </c>
      <c r="T1005">
        <v>-0.1179183</v>
      </c>
      <c r="U1005">
        <v>-0.12625120000000001</v>
      </c>
      <c r="V1005">
        <v>2.5610310000000001E-2</v>
      </c>
      <c r="W1005">
        <v>0.193637</v>
      </c>
      <c r="X1005">
        <v>0.98073889999999997</v>
      </c>
      <c r="Y1005">
        <v>2.9313039999999999E-2</v>
      </c>
      <c r="Z1005">
        <v>-1.101871E-4</v>
      </c>
      <c r="AA1005">
        <v>0.99957030000000002</v>
      </c>
      <c r="AB1005">
        <v>38</v>
      </c>
      <c r="AC1005">
        <v>28.653199999999998</v>
      </c>
      <c r="AD1005">
        <v>-1.1086080420739901</v>
      </c>
      <c r="AE1005">
        <v>-1.1844999999999499</v>
      </c>
      <c r="AF1005">
        <v>0.84540072363107999</v>
      </c>
      <c r="AG1005">
        <v>-1.1086080420739901</v>
      </c>
      <c r="AH1005">
        <v>28.622398283329201</v>
      </c>
      <c r="AI1005">
        <v>92.217116108560106</v>
      </c>
      <c r="AJ1005">
        <v>88.308184566121497</v>
      </c>
      <c r="AK1005">
        <v>28.6563325927096</v>
      </c>
      <c r="AL1005">
        <v>78.834887887024706</v>
      </c>
      <c r="AM1005">
        <v>88.504159182215105</v>
      </c>
      <c r="AN1005">
        <v>0.99999998286025205</v>
      </c>
    </row>
    <row r="1006" spans="1:40" x14ac:dyDescent="0.25">
      <c r="A1006" t="str">
        <f>"20190312172912886"</f>
        <v>20190312172912886</v>
      </c>
      <c r="B1006" t="str">
        <f>"1552382952878185"</f>
        <v>1552382952878185</v>
      </c>
      <c r="C1006" t="s">
        <v>40</v>
      </c>
      <c r="D1006">
        <v>3.305806</v>
      </c>
      <c r="E1006">
        <v>0.50438019999999995</v>
      </c>
      <c r="F1006" t="s">
        <v>41</v>
      </c>
      <c r="G1006">
        <v>-240.03270000000001</v>
      </c>
      <c r="H1006" s="1">
        <v>-5.30489E-6</v>
      </c>
      <c r="I1006">
        <v>366.1617</v>
      </c>
      <c r="J1006">
        <v>-269.05110000000002</v>
      </c>
      <c r="K1006">
        <v>1.1087340000000001</v>
      </c>
      <c r="L1006">
        <v>367.3553</v>
      </c>
      <c r="M1006">
        <v>0.99983599999999995</v>
      </c>
      <c r="N1006">
        <v>0</v>
      </c>
      <c r="O1006">
        <v>-1.1786339999999999E-2</v>
      </c>
      <c r="P1006">
        <v>0.98289090000000001</v>
      </c>
      <c r="Q1006">
        <v>0.18036830000000001</v>
      </c>
      <c r="R1006">
        <v>-3.7320829999999999E-2</v>
      </c>
      <c r="S1006">
        <v>3.0687259999999998</v>
      </c>
      <c r="T1006">
        <v>-0.1164873</v>
      </c>
      <c r="U1006">
        <v>-0.1256409</v>
      </c>
      <c r="V1006">
        <v>2.5740519999999999E-2</v>
      </c>
      <c r="W1006">
        <v>0.1938657</v>
      </c>
      <c r="X1006">
        <v>0.98069030000000001</v>
      </c>
      <c r="Y1006">
        <v>2.9115200000000001E-2</v>
      </c>
      <c r="Z1006">
        <v>-1.051063E-4</v>
      </c>
      <c r="AA1006">
        <v>0.99957600000000002</v>
      </c>
      <c r="AB1006">
        <v>38</v>
      </c>
      <c r="AC1006">
        <v>29.0184</v>
      </c>
      <c r="AD1006">
        <v>-1.1087393048899901</v>
      </c>
      <c r="AE1006">
        <v>-1.1936</v>
      </c>
      <c r="AF1006">
        <v>0.85022489660962097</v>
      </c>
      <c r="AG1006">
        <v>-1.1087393048899901</v>
      </c>
      <c r="AH1006">
        <v>28.988206149632902</v>
      </c>
      <c r="AI1006">
        <v>92.189437502694801</v>
      </c>
      <c r="AJ1006">
        <v>88.319994816750196</v>
      </c>
      <c r="AK1006">
        <v>29.021858675740202</v>
      </c>
      <c r="AL1006">
        <v>78.8215311451264</v>
      </c>
      <c r="AM1006">
        <v>88.496482917812102</v>
      </c>
      <c r="AN1006">
        <v>0.99999997426022402</v>
      </c>
    </row>
    <row r="1007" spans="1:40" x14ac:dyDescent="0.25">
      <c r="A1007" t="str">
        <f>"20190312172912899"</f>
        <v>20190312172912899</v>
      </c>
      <c r="B1007" t="str">
        <f>"1552382952888922"</f>
        <v>1552382952888922</v>
      </c>
      <c r="C1007" t="s">
        <v>40</v>
      </c>
      <c r="D1007">
        <v>3.3250519999999999</v>
      </c>
      <c r="E1007">
        <v>0.50429609999999903</v>
      </c>
      <c r="F1007" t="s">
        <v>41</v>
      </c>
      <c r="G1007">
        <v>-239.7098</v>
      </c>
      <c r="H1007" s="1">
        <v>-1.0057340000000001E-6</v>
      </c>
      <c r="I1007">
        <v>366.15530000000001</v>
      </c>
      <c r="J1007">
        <v>-268.82490000000001</v>
      </c>
      <c r="K1007">
        <v>1.1088739999999999</v>
      </c>
      <c r="L1007">
        <v>367.3526</v>
      </c>
      <c r="M1007">
        <v>0.99983500000000003</v>
      </c>
      <c r="N1007">
        <v>0</v>
      </c>
      <c r="O1007">
        <v>-1.178657E-2</v>
      </c>
      <c r="P1007">
        <v>0.98289709999999997</v>
      </c>
      <c r="Q1007">
        <v>0.18026510000000001</v>
      </c>
      <c r="R1007">
        <v>-3.7656040000000002E-2</v>
      </c>
      <c r="S1007">
        <v>3.068695</v>
      </c>
      <c r="T1007">
        <v>-0.11595800000000001</v>
      </c>
      <c r="U1007">
        <v>-0.1254883</v>
      </c>
      <c r="V1007">
        <v>2.607522E-2</v>
      </c>
      <c r="W1007">
        <v>0.19384750000000001</v>
      </c>
      <c r="X1007">
        <v>0.98068509999999998</v>
      </c>
      <c r="Y1007">
        <v>2.906589E-2</v>
      </c>
      <c r="Z1007">
        <v>-1.036901E-4</v>
      </c>
      <c r="AA1007">
        <v>0.99957750000000001</v>
      </c>
      <c r="AB1007">
        <v>38</v>
      </c>
      <c r="AC1007">
        <v>29.115100000000002</v>
      </c>
      <c r="AD1007">
        <v>-1.108875005734</v>
      </c>
      <c r="AE1007">
        <v>-1.19729999999998</v>
      </c>
      <c r="AF1007">
        <v>0.85278196206499102</v>
      </c>
      <c r="AG1007">
        <v>-1.108875005734</v>
      </c>
      <c r="AH1007">
        <v>29.085072839774099</v>
      </c>
      <c r="AI1007">
        <v>92.1824201720232</v>
      </c>
      <c r="AJ1007">
        <v>88.320553871697896</v>
      </c>
      <c r="AK1007">
        <v>29.118693359217399</v>
      </c>
      <c r="AL1007">
        <v>78.822594586175299</v>
      </c>
      <c r="AM1007">
        <v>88.476933994967894</v>
      </c>
      <c r="AN1007">
        <v>1.0000000178581501</v>
      </c>
    </row>
    <row r="1008" spans="1:40" x14ac:dyDescent="0.25">
      <c r="A1008" t="str">
        <f>"20190312172912914"</f>
        <v>20190312172912914</v>
      </c>
      <c r="B1008" t="str">
        <f>"1552382952908442"</f>
        <v>1552382952908442</v>
      </c>
      <c r="C1008" t="s">
        <v>40</v>
      </c>
      <c r="D1008">
        <v>3.317523</v>
      </c>
      <c r="E1008">
        <v>0.50414380000000003</v>
      </c>
      <c r="F1008" t="s">
        <v>41</v>
      </c>
      <c r="G1008">
        <v>-239.50139999999999</v>
      </c>
      <c r="H1008" s="1">
        <v>-1.0772400000000001E-6</v>
      </c>
      <c r="I1008">
        <v>366.15309999999999</v>
      </c>
      <c r="J1008">
        <v>-268.5908</v>
      </c>
      <c r="K1008">
        <v>1.109005</v>
      </c>
      <c r="L1008">
        <v>367.34980000000002</v>
      </c>
      <c r="M1008">
        <v>0.99983379999999999</v>
      </c>
      <c r="N1008">
        <v>0</v>
      </c>
      <c r="O1008">
        <v>-1.1786659999999999E-2</v>
      </c>
      <c r="P1008">
        <v>0.98285670000000003</v>
      </c>
      <c r="Q1008">
        <v>0.1804211</v>
      </c>
      <c r="R1008">
        <v>-3.7962540000000003E-2</v>
      </c>
      <c r="S1008">
        <v>3.068695</v>
      </c>
      <c r="T1008">
        <v>-0.11604299999999999</v>
      </c>
      <c r="U1008">
        <v>-0.12551880000000001</v>
      </c>
      <c r="V1008">
        <v>2.6381999999999999E-2</v>
      </c>
      <c r="W1008">
        <v>0.19408420000000001</v>
      </c>
      <c r="X1008">
        <v>0.98063</v>
      </c>
      <c r="Y1008">
        <v>2.9075699999999999E-2</v>
      </c>
      <c r="Z1008">
        <v>-1.0394729999999999E-4</v>
      </c>
      <c r="AA1008">
        <v>0.99957720000000005</v>
      </c>
      <c r="AB1008">
        <v>38</v>
      </c>
      <c r="AC1008">
        <v>29.089400000000001</v>
      </c>
      <c r="AD1008">
        <v>-1.1090060772399899</v>
      </c>
      <c r="AE1008">
        <v>-1.1967000000000201</v>
      </c>
      <c r="AF1008">
        <v>0.85247988109406303</v>
      </c>
      <c r="AG1008">
        <v>-1.1090060772399899</v>
      </c>
      <c r="AH1008">
        <v>29.059320633711199</v>
      </c>
      <c r="AI1008">
        <v>92.184609296083195</v>
      </c>
      <c r="AJ1008">
        <v>88.319661505202603</v>
      </c>
      <c r="AK1008">
        <v>29.092967055971702</v>
      </c>
      <c r="AL1008">
        <v>78.808769262444898</v>
      </c>
      <c r="AM1008">
        <v>88.458936875753594</v>
      </c>
      <c r="AN1008">
        <v>0.99999994175681794</v>
      </c>
    </row>
    <row r="1009" spans="1:40" x14ac:dyDescent="0.25">
      <c r="A1009" t="str">
        <f>"20190312172912931"</f>
        <v>20190312172912931</v>
      </c>
      <c r="B1009" t="str">
        <f>"1552382952927962"</f>
        <v>1552382952927962</v>
      </c>
      <c r="C1009" t="s">
        <v>40</v>
      </c>
      <c r="D1009">
        <v>3.3500890000000001</v>
      </c>
      <c r="E1009">
        <v>0.50399329999999998</v>
      </c>
      <c r="F1009" t="s">
        <v>41</v>
      </c>
      <c r="G1009">
        <v>-239.036</v>
      </c>
      <c r="H1009" s="1">
        <v>-1.2387380000000001E-6</v>
      </c>
      <c r="I1009">
        <v>366.14139999999998</v>
      </c>
      <c r="J1009">
        <v>-268.27910000000003</v>
      </c>
      <c r="K1009">
        <v>1.1091489999999999</v>
      </c>
      <c r="L1009">
        <v>367.34609999999998</v>
      </c>
      <c r="M1009">
        <v>0.99983239999999995</v>
      </c>
      <c r="N1009">
        <v>0</v>
      </c>
      <c r="O1009">
        <v>-1.178688E-2</v>
      </c>
      <c r="P1009">
        <v>0.98285489999999998</v>
      </c>
      <c r="Q1009">
        <v>0.18040429999999999</v>
      </c>
      <c r="R1009">
        <v>-3.8094450000000002E-2</v>
      </c>
      <c r="S1009">
        <v>3.0686040000000001</v>
      </c>
      <c r="T1009">
        <v>-0.1151452</v>
      </c>
      <c r="U1009">
        <v>-0.12545780000000001</v>
      </c>
      <c r="V1009">
        <v>2.6513350000000001E-2</v>
      </c>
      <c r="W1009">
        <v>0.1941679</v>
      </c>
      <c r="X1009">
        <v>0.98060999999999998</v>
      </c>
      <c r="Y1009">
        <v>2.9057030000000001E-2</v>
      </c>
      <c r="Z1009">
        <v>-1.0278780000000001E-4</v>
      </c>
      <c r="AA1009">
        <v>0.99957779999999996</v>
      </c>
      <c r="AB1009">
        <v>38</v>
      </c>
      <c r="AC1009">
        <v>29.243099999999998</v>
      </c>
      <c r="AD1009">
        <v>-1.1091502387379999</v>
      </c>
      <c r="AE1009">
        <v>-1.2047000000000001</v>
      </c>
      <c r="AF1009">
        <v>0.85866439525994698</v>
      </c>
      <c r="AG1009">
        <v>-1.1091502387379999</v>
      </c>
      <c r="AH1009">
        <v>29.213314717944499</v>
      </c>
      <c r="AI1009">
        <v>92.1733830694847</v>
      </c>
      <c r="AJ1009">
        <v>88.316394916785896</v>
      </c>
      <c r="AK1009">
        <v>29.246970366269601</v>
      </c>
      <c r="AL1009">
        <v>78.803881852337398</v>
      </c>
      <c r="AM1009">
        <v>88.451236427435703</v>
      </c>
      <c r="AN1009">
        <v>1.0000000516093099</v>
      </c>
    </row>
    <row r="1010" spans="1:40" x14ac:dyDescent="0.25">
      <c r="A1010" t="str">
        <f>"20190312172912942"</f>
        <v>20190312172912942</v>
      </c>
      <c r="B1010" t="str">
        <f>"1552382952938697"</f>
        <v>1552382952938697</v>
      </c>
      <c r="C1010" t="s">
        <v>40</v>
      </c>
      <c r="D1010">
        <v>3.3404020000000001</v>
      </c>
      <c r="E1010">
        <v>0.50399329999999998</v>
      </c>
      <c r="F1010" t="s">
        <v>41</v>
      </c>
      <c r="G1010">
        <v>-238.64660000000001</v>
      </c>
      <c r="H1010" s="1">
        <v>-1.3714220000000001E-6</v>
      </c>
      <c r="I1010">
        <v>366.14069999999998</v>
      </c>
      <c r="J1010">
        <v>-268.07639999999998</v>
      </c>
      <c r="K1010">
        <v>1.1092379999999999</v>
      </c>
      <c r="L1010">
        <v>367.34379999999999</v>
      </c>
      <c r="M1010">
        <v>0.99983149999999998</v>
      </c>
      <c r="N1010">
        <v>0</v>
      </c>
      <c r="O1010">
        <v>-1.178684E-2</v>
      </c>
      <c r="P1010">
        <v>0.98289349999999998</v>
      </c>
      <c r="Q1010">
        <v>0.18017430000000001</v>
      </c>
      <c r="R1010">
        <v>-3.8181840000000002E-2</v>
      </c>
      <c r="S1010">
        <v>3.0685730000000002</v>
      </c>
      <c r="T1010">
        <v>-0.1148568</v>
      </c>
      <c r="U1010">
        <v>-0.124816899999999</v>
      </c>
      <c r="V1010">
        <v>2.660038E-2</v>
      </c>
      <c r="W1010">
        <v>0.19399949999999999</v>
      </c>
      <c r="X1010">
        <v>0.98064090000000004</v>
      </c>
      <c r="Y1010">
        <v>2.8849260000000002E-2</v>
      </c>
      <c r="Z1010" s="1">
        <v>-9.8647720000000002E-5</v>
      </c>
      <c r="AA1010">
        <v>0.99958380000000002</v>
      </c>
      <c r="AB1010">
        <v>38</v>
      </c>
      <c r="AC1010">
        <v>29.429799999999901</v>
      </c>
      <c r="AD1010">
        <v>-1.1092393714219999</v>
      </c>
      <c r="AE1010">
        <v>-1.2031000000000001</v>
      </c>
      <c r="AF1010">
        <v>0.8548852743523</v>
      </c>
      <c r="AG1010">
        <v>-1.1092393714219999</v>
      </c>
      <c r="AH1010">
        <v>29.400240645957201</v>
      </c>
      <c r="AI1010">
        <v>92.1597711468726</v>
      </c>
      <c r="AJ1010">
        <v>88.3344517074066</v>
      </c>
      <c r="AK1010">
        <v>29.433575910099901</v>
      </c>
      <c r="AL1010">
        <v>78.813716680054199</v>
      </c>
      <c r="AM1010">
        <v>88.446204041086602</v>
      </c>
      <c r="AN1010">
        <v>0.99999998048460204</v>
      </c>
    </row>
    <row r="1011" spans="1:40" x14ac:dyDescent="0.25">
      <c r="A1011" t="str">
        <f>"20190312172912954"</f>
        <v>20190312172912954</v>
      </c>
      <c r="B1011" t="str">
        <f>"1552382952948457"</f>
        <v>1552382952948457</v>
      </c>
      <c r="C1011" t="s">
        <v>40</v>
      </c>
      <c r="D1011">
        <v>3.270448</v>
      </c>
      <c r="E1011">
        <v>0.48329899999999998</v>
      </c>
      <c r="F1011" t="s">
        <v>41</v>
      </c>
      <c r="G1011">
        <v>-238.62469999999999</v>
      </c>
      <c r="H1011" s="1">
        <v>-1.3779420000000001E-6</v>
      </c>
      <c r="I1011">
        <v>366.14429999999999</v>
      </c>
      <c r="J1011">
        <v>-267.88839999999999</v>
      </c>
      <c r="K1011">
        <v>1.109307</v>
      </c>
      <c r="L1011">
        <v>367.3415</v>
      </c>
      <c r="M1011">
        <v>0.99983069999999996</v>
      </c>
      <c r="N1011">
        <v>0</v>
      </c>
      <c r="O1011">
        <v>-1.178684E-2</v>
      </c>
      <c r="P1011">
        <v>0.98287290000000005</v>
      </c>
      <c r="Q1011">
        <v>0.18029990000000001</v>
      </c>
      <c r="R1011">
        <v>-3.8116030000000002E-2</v>
      </c>
      <c r="S1011">
        <v>3.0685419999999999</v>
      </c>
      <c r="T1011">
        <v>-0.1155703</v>
      </c>
      <c r="U1011">
        <v>-0.1249695</v>
      </c>
      <c r="V1011">
        <v>2.6534760000000001E-2</v>
      </c>
      <c r="W1011">
        <v>0.1941754</v>
      </c>
      <c r="X1011">
        <v>0.98060789999999998</v>
      </c>
      <c r="Y1011">
        <v>2.8899089999999999E-2</v>
      </c>
      <c r="Z1011">
        <v>-1.001983E-4</v>
      </c>
      <c r="AA1011">
        <v>0.99958239999999998</v>
      </c>
      <c r="AB1011">
        <v>38</v>
      </c>
      <c r="AC1011">
        <v>29.2637</v>
      </c>
      <c r="AD1011">
        <v>-1.1093083779420001</v>
      </c>
      <c r="AE1011">
        <v>-1.1972</v>
      </c>
      <c r="AF1011">
        <v>0.85093511086495099</v>
      </c>
      <c r="AG1011">
        <v>-1.1093083779420001</v>
      </c>
      <c r="AH1011">
        <v>29.2338415312237</v>
      </c>
      <c r="AI1011">
        <v>92.172185907931507</v>
      </c>
      <c r="AJ1011">
        <v>88.332712178400598</v>
      </c>
      <c r="AK1011">
        <v>29.267253822539899</v>
      </c>
      <c r="AL1011">
        <v>78.803443398542498</v>
      </c>
      <c r="AM1011">
        <v>88.449983065487999</v>
      </c>
      <c r="AN1011">
        <v>1.0000000164979099</v>
      </c>
    </row>
    <row r="1012" spans="1:40" x14ac:dyDescent="0.25">
      <c r="A1012" t="str">
        <f>"20190312172912966"</f>
        <v>20190312172912966</v>
      </c>
      <c r="B1012" t="str">
        <f>"1552382952958218"</f>
        <v>1552382952958218</v>
      </c>
      <c r="C1012" t="s">
        <v>40</v>
      </c>
      <c r="D1012">
        <v>3.262054</v>
      </c>
      <c r="E1012">
        <v>0.47607509999999997</v>
      </c>
      <c r="F1012" t="s">
        <v>41</v>
      </c>
      <c r="G1012">
        <v>-231.87719999999999</v>
      </c>
      <c r="H1012" s="1">
        <v>-3.788122E-6</v>
      </c>
      <c r="I1012">
        <v>367.80590000000001</v>
      </c>
      <c r="J1012">
        <v>-267.69709999999998</v>
      </c>
      <c r="K1012">
        <v>1.109375</v>
      </c>
      <c r="L1012">
        <v>367.33929999999998</v>
      </c>
      <c r="M1012">
        <v>0.99982990000000005</v>
      </c>
      <c r="N1012">
        <v>0</v>
      </c>
      <c r="O1012">
        <v>-1.178684E-2</v>
      </c>
      <c r="P1012">
        <v>0.98286660000000003</v>
      </c>
      <c r="Q1012">
        <v>0.18029580000000001</v>
      </c>
      <c r="R1012">
        <v>-3.829991E-2</v>
      </c>
      <c r="S1012">
        <v>3.0711979999999999</v>
      </c>
      <c r="T1012">
        <v>-9.4606759999999998E-2</v>
      </c>
      <c r="U1012">
        <v>3.9611819999999999E-2</v>
      </c>
      <c r="V1012">
        <v>2.6718539999999999E-2</v>
      </c>
      <c r="W1012">
        <v>0.19422220000000001</v>
      </c>
      <c r="X1012">
        <v>0.98059359999999995</v>
      </c>
      <c r="Y1012">
        <v>-2.4665630000000001E-2</v>
      </c>
      <c r="Z1012">
        <v>7.4282440000000003E-4</v>
      </c>
      <c r="AA1012">
        <v>0.99969549999999996</v>
      </c>
      <c r="AB1012">
        <v>38</v>
      </c>
      <c r="AC1012">
        <v>35.819899999999897</v>
      </c>
      <c r="AD1012">
        <v>-1.1093787881219901</v>
      </c>
      <c r="AE1012">
        <v>0.46660000000002799</v>
      </c>
      <c r="AF1012">
        <v>-0.88796190691913202</v>
      </c>
      <c r="AG1012">
        <v>-1.1093787881219901</v>
      </c>
      <c r="AH1012">
        <v>35.777598704298597</v>
      </c>
      <c r="AI1012">
        <v>91.775491266991096</v>
      </c>
      <c r="AJ1012">
        <v>91.421728373279393</v>
      </c>
      <c r="AK1012">
        <v>35.805806326481601</v>
      </c>
      <c r="AL1012">
        <v>78.800709455569603</v>
      </c>
      <c r="AM1012">
        <v>88.439230175961995</v>
      </c>
      <c r="AN1012">
        <v>0.99999997585676503</v>
      </c>
    </row>
    <row r="1013" spans="1:40" x14ac:dyDescent="0.25">
      <c r="A1013" t="str">
        <f>"20190312172912977"</f>
        <v>20190312172912977</v>
      </c>
      <c r="B1013" t="str">
        <f>"1552382952967978"</f>
        <v>1552382952967978</v>
      </c>
      <c r="C1013" t="s">
        <v>40</v>
      </c>
      <c r="D1013">
        <v>3.1493530000000001</v>
      </c>
      <c r="E1013">
        <v>0.471109</v>
      </c>
      <c r="F1013" t="s">
        <v>41</v>
      </c>
      <c r="G1013">
        <v>-226.816</v>
      </c>
      <c r="H1013" s="1">
        <v>-1.5249279999999999E-6</v>
      </c>
      <c r="I1013">
        <v>368.62040000000002</v>
      </c>
      <c r="J1013">
        <v>-267.49560000000002</v>
      </c>
      <c r="K1013">
        <v>1.1094379999999999</v>
      </c>
      <c r="L1013">
        <v>367.33690000000001</v>
      </c>
      <c r="M1013">
        <v>0.99982919999999997</v>
      </c>
      <c r="N1013">
        <v>0</v>
      </c>
      <c r="O1013">
        <v>-1.178683E-2</v>
      </c>
      <c r="P1013">
        <v>0.98283949999999998</v>
      </c>
      <c r="Q1013">
        <v>0.18044379999999999</v>
      </c>
      <c r="R1013">
        <v>-3.8294910000000001E-2</v>
      </c>
      <c r="S1013">
        <v>3.0713499999999998</v>
      </c>
      <c r="T1013">
        <v>-8.3346130000000004E-2</v>
      </c>
      <c r="U1013">
        <v>9.6252439999999995E-2</v>
      </c>
      <c r="V1013">
        <v>2.6713959999999998E-2</v>
      </c>
      <c r="W1013">
        <v>0.19441810000000001</v>
      </c>
      <c r="X1013">
        <v>0.98055490000000001</v>
      </c>
      <c r="Y1013">
        <v>-4.3083299999999998E-2</v>
      </c>
      <c r="Z1013">
        <v>9.040764E-4</v>
      </c>
      <c r="AA1013">
        <v>0.99907109999999999</v>
      </c>
      <c r="AB1013">
        <v>38</v>
      </c>
      <c r="AC1013">
        <v>40.679600000000001</v>
      </c>
      <c r="AD1013">
        <v>-1.109439524928</v>
      </c>
      <c r="AE1013">
        <v>1.2835000000000001</v>
      </c>
      <c r="AF1013">
        <v>-1.76163394615382</v>
      </c>
      <c r="AG1013">
        <v>-1.109439524928</v>
      </c>
      <c r="AH1013">
        <v>40.631452142416599</v>
      </c>
      <c r="AI1013">
        <v>91.562602170610802</v>
      </c>
      <c r="AJ1013">
        <v>92.4825845851487</v>
      </c>
      <c r="AK1013">
        <v>40.684752837165</v>
      </c>
      <c r="AL1013">
        <v>78.789267062642296</v>
      </c>
      <c r="AM1013">
        <v>88.4394360268508</v>
      </c>
      <c r="AN1013">
        <v>0.99999997259024997</v>
      </c>
    </row>
    <row r="1014" spans="1:40" x14ac:dyDescent="0.25">
      <c r="A1014" t="str">
        <f>"20190312172912989"</f>
        <v>20190312172912989</v>
      </c>
      <c r="B1014" t="str">
        <f>"1552382952978370"</f>
        <v>1552382952978370</v>
      </c>
      <c r="C1014" t="s">
        <v>40</v>
      </c>
      <c r="D1014">
        <v>3.1553589999999998</v>
      </c>
      <c r="E1014">
        <v>0.46778160000000002</v>
      </c>
      <c r="F1014" t="s">
        <v>41</v>
      </c>
      <c r="G1014">
        <v>-226.71129999999999</v>
      </c>
      <c r="H1014" s="1">
        <v>-1.477392E-6</v>
      </c>
      <c r="I1014">
        <v>369.14159999999998</v>
      </c>
      <c r="J1014">
        <v>-267.3</v>
      </c>
      <c r="K1014">
        <v>1.1094930000000001</v>
      </c>
      <c r="L1014">
        <v>367.33460000000002</v>
      </c>
      <c r="M1014">
        <v>0.99982870000000001</v>
      </c>
      <c r="N1014">
        <v>0</v>
      </c>
      <c r="O1014">
        <v>-1.178679E-2</v>
      </c>
      <c r="P1014">
        <v>0.98281019999999997</v>
      </c>
      <c r="Q1014">
        <v>0.18055570000000001</v>
      </c>
      <c r="R1014">
        <v>-3.852262E-2</v>
      </c>
      <c r="S1014">
        <v>3.073029</v>
      </c>
      <c r="T1014">
        <v>-8.3594080000000001E-2</v>
      </c>
      <c r="U1014">
        <v>0.13598629999999901</v>
      </c>
      <c r="V1014">
        <v>2.6941900000000001E-2</v>
      </c>
      <c r="W1014">
        <v>0.19457389999999999</v>
      </c>
      <c r="X1014">
        <v>0.98051779999999999</v>
      </c>
      <c r="Y1014">
        <v>-5.5956680000000002E-2</v>
      </c>
      <c r="Z1014">
        <v>1.0810310000000001E-3</v>
      </c>
      <c r="AA1014">
        <v>0.9984326</v>
      </c>
      <c r="AB1014">
        <v>38</v>
      </c>
      <c r="AC1014">
        <v>40.588700000000003</v>
      </c>
      <c r="AD1014">
        <v>-1.1094944773919999</v>
      </c>
      <c r="AE1014">
        <v>1.80699999999995</v>
      </c>
      <c r="AF1014">
        <v>-2.2836306853499302</v>
      </c>
      <c r="AG1014">
        <v>-1.1094944773919999</v>
      </c>
      <c r="AH1014">
        <v>40.5343513921027</v>
      </c>
      <c r="AI1014">
        <v>91.565410839523494</v>
      </c>
      <c r="AJ1014">
        <v>93.224530010752801</v>
      </c>
      <c r="AK1014">
        <v>40.613785712254099</v>
      </c>
      <c r="AL1014">
        <v>78.7801670426812</v>
      </c>
      <c r="AM1014">
        <v>88.426067479631499</v>
      </c>
      <c r="AN1014">
        <v>1.00000001232683</v>
      </c>
    </row>
    <row r="1015" spans="1:40" x14ac:dyDescent="0.25">
      <c r="A1015" t="str">
        <f>"20190312172913002"</f>
        <v>20190312172913002</v>
      </c>
      <c r="B1015" t="str">
        <f>"1552382952998865"</f>
        <v>1552382952998865</v>
      </c>
      <c r="C1015" t="s">
        <v>40</v>
      </c>
      <c r="D1015">
        <v>3.138881</v>
      </c>
      <c r="E1015">
        <v>0.46461639999999998</v>
      </c>
      <c r="F1015" t="s">
        <v>41</v>
      </c>
      <c r="G1015">
        <v>-225.75360000000001</v>
      </c>
      <c r="H1015" s="1">
        <v>-1.8198459999999999E-6</v>
      </c>
      <c r="I1015">
        <v>369.52719999999999</v>
      </c>
      <c r="J1015">
        <v>-267.05459999999999</v>
      </c>
      <c r="K1015">
        <v>1.109558</v>
      </c>
      <c r="L1015">
        <v>367.33170000000001</v>
      </c>
      <c r="M1015">
        <v>0.99982789999999999</v>
      </c>
      <c r="N1015">
        <v>0</v>
      </c>
      <c r="O1015">
        <v>-1.1786690000000001E-2</v>
      </c>
      <c r="P1015">
        <v>0.98280049999999997</v>
      </c>
      <c r="Q1015">
        <v>0.18055869999999999</v>
      </c>
      <c r="R1015">
        <v>-3.8756899999999997E-2</v>
      </c>
      <c r="S1015">
        <v>3.073944</v>
      </c>
      <c r="T1015">
        <v>-8.2089419999999996E-2</v>
      </c>
      <c r="U1015">
        <v>0.1622314</v>
      </c>
      <c r="V1015">
        <v>2.7176260000000001E-2</v>
      </c>
      <c r="W1015">
        <v>0.19462960000000001</v>
      </c>
      <c r="X1015">
        <v>0.98050029999999999</v>
      </c>
      <c r="Y1015">
        <v>-6.4443719999999996E-2</v>
      </c>
      <c r="Z1015">
        <v>1.17427E-3</v>
      </c>
      <c r="AA1015">
        <v>0.99792060000000005</v>
      </c>
      <c r="AB1015">
        <v>38</v>
      </c>
      <c r="AC1015">
        <v>41.300999999999902</v>
      </c>
      <c r="AD1015">
        <v>-1.1095598198459999</v>
      </c>
      <c r="AE1015">
        <v>2.19549999999998</v>
      </c>
      <c r="AF1015">
        <v>-2.6802705000583402</v>
      </c>
      <c r="AG1015">
        <v>-1.1095598198459999</v>
      </c>
      <c r="AH1015">
        <v>41.242567583726199</v>
      </c>
      <c r="AI1015">
        <v>91.537829463733999</v>
      </c>
      <c r="AJ1015">
        <v>93.718307265652598</v>
      </c>
      <c r="AK1015">
        <v>41.344459772084697</v>
      </c>
      <c r="AL1015">
        <v>78.776913716871604</v>
      </c>
      <c r="AM1015">
        <v>88.412354939368299</v>
      </c>
      <c r="AN1015">
        <v>1.00000003430191</v>
      </c>
    </row>
    <row r="1016" spans="1:40" x14ac:dyDescent="0.25">
      <c r="A1016" t="str">
        <f>"20190312172913015"</f>
        <v>20190312172913015</v>
      </c>
      <c r="B1016" t="str">
        <f>"1552382953008625"</f>
        <v>1552382953008625</v>
      </c>
      <c r="C1016" t="s">
        <v>40</v>
      </c>
      <c r="D1016">
        <v>3.2326679999999999</v>
      </c>
      <c r="E1016">
        <v>0.46378130000000001</v>
      </c>
      <c r="F1016" t="s">
        <v>41</v>
      </c>
      <c r="G1016">
        <v>-224.5625</v>
      </c>
      <c r="H1016" s="1">
        <v>-2.3939960000000002E-6</v>
      </c>
      <c r="I1016">
        <v>369.91329999999999</v>
      </c>
      <c r="J1016">
        <v>-266.8587</v>
      </c>
      <c r="K1016">
        <v>1.1095999999999999</v>
      </c>
      <c r="L1016">
        <v>367.32940000000002</v>
      </c>
      <c r="M1016">
        <v>0.99982740000000003</v>
      </c>
      <c r="N1016">
        <v>0</v>
      </c>
      <c r="O1016">
        <v>-1.1786960000000001E-2</v>
      </c>
      <c r="P1016">
        <v>0.98282349999999996</v>
      </c>
      <c r="Q1016">
        <v>0.18037149999999999</v>
      </c>
      <c r="R1016">
        <v>-3.903939E-2</v>
      </c>
      <c r="S1016">
        <v>3.0746150000000001</v>
      </c>
      <c r="T1016">
        <v>-8.0284599999999998E-2</v>
      </c>
      <c r="U1016">
        <v>0.18679809999999999</v>
      </c>
      <c r="V1016">
        <v>2.7458469999999999E-2</v>
      </c>
      <c r="W1016">
        <v>0.19448029999999999</v>
      </c>
      <c r="X1016">
        <v>0.980522</v>
      </c>
      <c r="Y1016">
        <v>-7.2376819999999994E-2</v>
      </c>
      <c r="Z1016">
        <v>1.2514239999999999E-3</v>
      </c>
      <c r="AA1016">
        <v>0.99737659999999995</v>
      </c>
      <c r="AB1016">
        <v>38</v>
      </c>
      <c r="AC1016">
        <v>42.296199999999999</v>
      </c>
      <c r="AD1016">
        <v>-1.109602393996</v>
      </c>
      <c r="AE1016">
        <v>2.5838999999999701</v>
      </c>
      <c r="AF1016">
        <v>-3.0802034988886802</v>
      </c>
      <c r="AG1016">
        <v>-1.109602393996</v>
      </c>
      <c r="AH1016">
        <v>42.233843247069601</v>
      </c>
      <c r="AI1016">
        <v>91.500990975235297</v>
      </c>
      <c r="AJ1016">
        <v>94.171316948494905</v>
      </c>
      <c r="AK1016">
        <v>42.360552244811103</v>
      </c>
      <c r="AL1016">
        <v>78.785633928895194</v>
      </c>
      <c r="AM1016">
        <v>88.395912200824895</v>
      </c>
      <c r="AN1016">
        <v>0.99999997357341497</v>
      </c>
    </row>
    <row r="1017" spans="1:40" x14ac:dyDescent="0.25">
      <c r="A1017" t="str">
        <f>"20190312172913026"</f>
        <v>20190312172913026</v>
      </c>
      <c r="B1017" t="str">
        <f>"1552382953018386"</f>
        <v>1552382953018386</v>
      </c>
      <c r="C1017" t="s">
        <v>40</v>
      </c>
      <c r="D1017">
        <v>3.212037</v>
      </c>
      <c r="E1017">
        <v>0.46329890000000001</v>
      </c>
      <c r="F1017" t="s">
        <v>41</v>
      </c>
      <c r="G1017">
        <v>-224.5369</v>
      </c>
      <c r="H1017" s="1">
        <v>-2.4242290000000002E-6</v>
      </c>
      <c r="I1017">
        <v>369.98559999999998</v>
      </c>
      <c r="J1017">
        <v>-266.66609999999997</v>
      </c>
      <c r="K1017">
        <v>1.1096410000000001</v>
      </c>
      <c r="L1017">
        <v>367.32709999999997</v>
      </c>
      <c r="M1017">
        <v>0.99982680000000002</v>
      </c>
      <c r="N1017">
        <v>0</v>
      </c>
      <c r="O1017">
        <v>-1.178674E-2</v>
      </c>
      <c r="P1017">
        <v>0.98285420000000001</v>
      </c>
      <c r="Q1017">
        <v>0.18016460000000001</v>
      </c>
      <c r="R1017">
        <v>-3.9220860000000003E-2</v>
      </c>
      <c r="S1017">
        <v>3.0748899999999999</v>
      </c>
      <c r="T1017">
        <v>-8.0617899999999895E-2</v>
      </c>
      <c r="U1017">
        <v>0.1929932</v>
      </c>
      <c r="V1017">
        <v>2.7639560000000001E-2</v>
      </c>
      <c r="W1017">
        <v>0.19430919999999999</v>
      </c>
      <c r="X1017">
        <v>0.9805509</v>
      </c>
      <c r="Y1017">
        <v>-7.4371960000000001E-2</v>
      </c>
      <c r="Z1017">
        <v>1.282547E-3</v>
      </c>
      <c r="AA1017">
        <v>0.99722980000000006</v>
      </c>
      <c r="AB1017">
        <v>38</v>
      </c>
      <c r="AC1017">
        <v>42.129199999999898</v>
      </c>
      <c r="AD1017">
        <v>-1.1096434242290001</v>
      </c>
      <c r="AE1017">
        <v>2.6585000000000001</v>
      </c>
      <c r="AF1017">
        <v>-3.1527541901378302</v>
      </c>
      <c r="AG1017">
        <v>-1.1096434242290001</v>
      </c>
      <c r="AH1017">
        <v>42.065867267665702</v>
      </c>
      <c r="AI1017">
        <v>91.506814327191805</v>
      </c>
      <c r="AJ1017">
        <v>94.286192728760497</v>
      </c>
      <c r="AK1017">
        <v>42.198440213984597</v>
      </c>
      <c r="AL1017">
        <v>78.795628630390894</v>
      </c>
      <c r="AM1017">
        <v>88.385386306525405</v>
      </c>
      <c r="AN1017">
        <v>1.00000003898622</v>
      </c>
    </row>
    <row r="1018" spans="1:40" x14ac:dyDescent="0.25">
      <c r="A1018" t="str">
        <f>"20190312172913036"</f>
        <v>20190312172913036</v>
      </c>
      <c r="B1018" t="str">
        <f>"1552382953028145"</f>
        <v>1552382953028145</v>
      </c>
      <c r="C1018" t="s">
        <v>40</v>
      </c>
      <c r="D1018">
        <v>3.2413180000000001</v>
      </c>
      <c r="E1018">
        <v>0.46263169999999998</v>
      </c>
      <c r="F1018" t="s">
        <v>41</v>
      </c>
      <c r="G1018">
        <v>-224.9742</v>
      </c>
      <c r="H1018" s="1">
        <v>-2.2375300000000002E-6</v>
      </c>
      <c r="I1018">
        <v>369.98910000000001</v>
      </c>
      <c r="J1018">
        <v>-266.48219999999998</v>
      </c>
      <c r="K1018">
        <v>1.109675</v>
      </c>
      <c r="L1018">
        <v>367.32490000000001</v>
      </c>
      <c r="M1018">
        <v>0.9998264</v>
      </c>
      <c r="N1018">
        <v>0</v>
      </c>
      <c r="O1018">
        <v>-1.178673E-2</v>
      </c>
      <c r="P1018">
        <v>0.98290940000000004</v>
      </c>
      <c r="Q1018">
        <v>0.17991779999999999</v>
      </c>
      <c r="R1018">
        <v>-3.8970810000000002E-2</v>
      </c>
      <c r="S1018">
        <v>3.0751949999999999</v>
      </c>
      <c r="T1018">
        <v>-8.1847069999999994E-2</v>
      </c>
      <c r="U1018">
        <v>0.1963501</v>
      </c>
      <c r="V1018">
        <v>2.7388929999999999E-2</v>
      </c>
      <c r="W1018">
        <v>0.1940944</v>
      </c>
      <c r="X1018">
        <v>0.98060040000000004</v>
      </c>
      <c r="Y1018">
        <v>-7.5448680000000004E-2</v>
      </c>
      <c r="Z1018">
        <v>1.316233E-3</v>
      </c>
      <c r="AA1018">
        <v>0.99714879999999995</v>
      </c>
      <c r="AB1018">
        <v>38</v>
      </c>
      <c r="AC1018">
        <v>41.507999999999903</v>
      </c>
      <c r="AD1018">
        <v>-1.1096772375299999</v>
      </c>
      <c r="AE1018">
        <v>2.6641999999999899</v>
      </c>
      <c r="AF1018">
        <v>-3.15106656972949</v>
      </c>
      <c r="AG1018">
        <v>-1.1096772375299999</v>
      </c>
      <c r="AH1018">
        <v>41.444211476274702</v>
      </c>
      <c r="AI1018">
        <v>91.529327876268496</v>
      </c>
      <c r="AJ1018">
        <v>94.347920183857994</v>
      </c>
      <c r="AK1018">
        <v>41.578639575971401</v>
      </c>
      <c r="AL1018">
        <v>78.8081738032853</v>
      </c>
      <c r="AM1018">
        <v>88.400100379340799</v>
      </c>
      <c r="AN1018">
        <v>0.99999996703903105</v>
      </c>
    </row>
    <row r="1019" spans="1:40" x14ac:dyDescent="0.25">
      <c r="A1019" t="str">
        <f>"20190312172913047"</f>
        <v>20190312172913047</v>
      </c>
      <c r="B1019" t="str">
        <f>"1552382953038881"</f>
        <v>1552382953038881</v>
      </c>
      <c r="C1019" t="s">
        <v>40</v>
      </c>
      <c r="D1019">
        <v>3.2590650000000001</v>
      </c>
      <c r="E1019">
        <v>0.46210499999999999</v>
      </c>
      <c r="F1019" t="s">
        <v>41</v>
      </c>
      <c r="G1019">
        <v>-225.0804</v>
      </c>
      <c r="H1019" s="1">
        <v>-2.2075219999999998E-6</v>
      </c>
      <c r="I1019">
        <v>370.04750000000001</v>
      </c>
      <c r="J1019">
        <v>-266.30380000000002</v>
      </c>
      <c r="K1019">
        <v>1.1097060000000001</v>
      </c>
      <c r="L1019">
        <v>367.32279999999997</v>
      </c>
      <c r="M1019">
        <v>0.99982590000000005</v>
      </c>
      <c r="N1019">
        <v>0</v>
      </c>
      <c r="O1019">
        <v>-1.178682E-2</v>
      </c>
      <c r="P1019">
        <v>0.98292729999999995</v>
      </c>
      <c r="Q1019">
        <v>0.17978039999999901</v>
      </c>
      <c r="R1019">
        <v>-3.9153779999999999E-2</v>
      </c>
      <c r="S1019">
        <v>3.0753170000000001</v>
      </c>
      <c r="T1019">
        <v>-8.2426550000000001E-2</v>
      </c>
      <c r="U1019">
        <v>0.20224</v>
      </c>
      <c r="V1019">
        <v>2.757167E-2</v>
      </c>
      <c r="W1019">
        <v>0.1939864</v>
      </c>
      <c r="X1019">
        <v>0.98061670000000001</v>
      </c>
      <c r="Y1019">
        <v>-7.7346789999999999E-2</v>
      </c>
      <c r="Z1019">
        <v>1.3508229999999999E-3</v>
      </c>
      <c r="AA1019">
        <v>0.99700330000000004</v>
      </c>
      <c r="AB1019">
        <v>38</v>
      </c>
      <c r="AC1019">
        <v>41.223399999999998</v>
      </c>
      <c r="AD1019">
        <v>-1.1097082075219999</v>
      </c>
      <c r="AE1019">
        <v>2.7247000000000399</v>
      </c>
      <c r="AF1019">
        <v>-3.2081396461871101</v>
      </c>
      <c r="AG1019">
        <v>-1.1097082075219999</v>
      </c>
      <c r="AH1019">
        <v>41.158720776628698</v>
      </c>
      <c r="AI1019">
        <v>91.539748208110495</v>
      </c>
      <c r="AJ1019">
        <v>94.456940282122105</v>
      </c>
      <c r="AK1019">
        <v>41.298473437449999</v>
      </c>
      <c r="AL1019">
        <v>78.814482195920704</v>
      </c>
      <c r="AM1019">
        <v>88.389458147853603</v>
      </c>
      <c r="AN1019">
        <v>1.0000000163452101</v>
      </c>
    </row>
    <row r="1020" spans="1:40" x14ac:dyDescent="0.25">
      <c r="A1020" t="str">
        <f>"20190312172913057"</f>
        <v>20190312172913057</v>
      </c>
      <c r="B1020" t="str">
        <f>"1552382953048641"</f>
        <v>1552382953048641</v>
      </c>
      <c r="C1020" t="s">
        <v>40</v>
      </c>
      <c r="D1020">
        <v>3.2640120000000001</v>
      </c>
      <c r="E1020">
        <v>0.46173120000000001</v>
      </c>
      <c r="F1020" t="s">
        <v>41</v>
      </c>
      <c r="G1020">
        <v>-225.4949</v>
      </c>
      <c r="H1020" s="1">
        <v>-2.030996E-6</v>
      </c>
      <c r="I1020">
        <v>370.05239999999998</v>
      </c>
      <c r="J1020">
        <v>-266.11399999999998</v>
      </c>
      <c r="K1020">
        <v>1.1097349999999999</v>
      </c>
      <c r="L1020">
        <v>367.32060000000001</v>
      </c>
      <c r="M1020">
        <v>0.99982550000000003</v>
      </c>
      <c r="N1020">
        <v>0</v>
      </c>
      <c r="O1020">
        <v>-1.1786670000000001E-2</v>
      </c>
      <c r="P1020">
        <v>0.98293160000000002</v>
      </c>
      <c r="Q1020">
        <v>0.17976529999999999</v>
      </c>
      <c r="R1020">
        <v>-3.9113910000000002E-2</v>
      </c>
      <c r="S1020">
        <v>3.0755919999999999</v>
      </c>
      <c r="T1020">
        <v>-8.3633780000000005E-2</v>
      </c>
      <c r="U1020">
        <v>0.20571900000000001</v>
      </c>
      <c r="V1020">
        <v>2.753187E-2</v>
      </c>
      <c r="W1020">
        <v>0.19399949999999999</v>
      </c>
      <c r="X1020">
        <v>0.98061520000000002</v>
      </c>
      <c r="Y1020">
        <v>-7.8462249999999997E-2</v>
      </c>
      <c r="Z1020">
        <v>1.38557E-3</v>
      </c>
      <c r="AA1020">
        <v>0.99691609999999997</v>
      </c>
      <c r="AB1020">
        <v>38</v>
      </c>
      <c r="AC1020">
        <v>40.619100000000003</v>
      </c>
      <c r="AD1020">
        <v>-1.109737030996</v>
      </c>
      <c r="AE1020">
        <v>2.7317999999999598</v>
      </c>
      <c r="AF1020">
        <v>-3.2080406677739401</v>
      </c>
      <c r="AG1020">
        <v>-1.109737030996</v>
      </c>
      <c r="AH1020">
        <v>40.553941868766202</v>
      </c>
      <c r="AI1020">
        <v>91.562598268036894</v>
      </c>
      <c r="AJ1020">
        <v>94.522993648532704</v>
      </c>
      <c r="AK1020">
        <v>40.6957644270177</v>
      </c>
      <c r="AL1020">
        <v>78.813716789778695</v>
      </c>
      <c r="AM1020">
        <v>88.3917793017159</v>
      </c>
      <c r="AN1020">
        <v>0.99999999016849295</v>
      </c>
    </row>
    <row r="1021" spans="1:40" x14ac:dyDescent="0.25">
      <c r="A1021" t="str">
        <f>"20190312172913069"</f>
        <v>20190312172913069</v>
      </c>
      <c r="B1021" t="str">
        <f>"1552382953058402"</f>
        <v>1552382953058402</v>
      </c>
      <c r="C1021" t="s">
        <v>40</v>
      </c>
      <c r="D1021">
        <v>3.2127439999999998</v>
      </c>
      <c r="E1021">
        <v>0.46144400000000002</v>
      </c>
      <c r="F1021" t="s">
        <v>41</v>
      </c>
      <c r="G1021">
        <v>-225.62090000000001</v>
      </c>
      <c r="H1021" s="1">
        <v>-1.9810589999999999E-6</v>
      </c>
      <c r="I1021">
        <v>370.06779999999998</v>
      </c>
      <c r="J1021">
        <v>-265.9323</v>
      </c>
      <c r="K1021">
        <v>1.1097589999999999</v>
      </c>
      <c r="L1021">
        <v>367.31849999999997</v>
      </c>
      <c r="M1021">
        <v>0.99982519999999997</v>
      </c>
      <c r="N1021">
        <v>0</v>
      </c>
      <c r="O1021">
        <v>-1.178686E-2</v>
      </c>
      <c r="P1021">
        <v>0.98294720000000002</v>
      </c>
      <c r="Q1021">
        <v>0.17963399999999999</v>
      </c>
      <c r="R1021">
        <v>-3.9331140000000001E-2</v>
      </c>
      <c r="S1021">
        <v>3.075806</v>
      </c>
      <c r="T1021">
        <v>-8.4293960000000001E-2</v>
      </c>
      <c r="U1021">
        <v>0.20867920000000001</v>
      </c>
      <c r="V1021">
        <v>2.774836E-2</v>
      </c>
      <c r="W1021">
        <v>0.19389380000000001</v>
      </c>
      <c r="X1021">
        <v>0.98063</v>
      </c>
      <c r="Y1021">
        <v>-7.9412049999999998E-2</v>
      </c>
      <c r="Z1021">
        <v>1.4093650000000001E-3</v>
      </c>
      <c r="AA1021">
        <v>0.99684090000000003</v>
      </c>
      <c r="AB1021">
        <v>38</v>
      </c>
      <c r="AC1021">
        <v>40.3113999999999</v>
      </c>
      <c r="AD1021">
        <v>-1.1097609810589999</v>
      </c>
      <c r="AE1021">
        <v>2.7492999999999999</v>
      </c>
      <c r="AF1021">
        <v>-3.22187334797743</v>
      </c>
      <c r="AG1021">
        <v>-1.1097609810589999</v>
      </c>
      <c r="AH1021">
        <v>40.245829574093598</v>
      </c>
      <c r="AI1021">
        <v>91.574470963403698</v>
      </c>
      <c r="AJ1021">
        <v>94.577043224886197</v>
      </c>
      <c r="AK1021">
        <v>40.389835793333802</v>
      </c>
      <c r="AL1021">
        <v>78.819890137932504</v>
      </c>
      <c r="AM1021">
        <v>88.379164627964698</v>
      </c>
      <c r="AN1021">
        <v>0.99999998703056403</v>
      </c>
    </row>
    <row r="1022" spans="1:40" x14ac:dyDescent="0.25">
      <c r="A1022" t="str">
        <f>"20190312172913080"</f>
        <v>20190312172913080</v>
      </c>
      <c r="B1022" t="str">
        <f>"1552382953068162"</f>
        <v>1552382953068162</v>
      </c>
      <c r="C1022" t="s">
        <v>40</v>
      </c>
      <c r="D1022">
        <v>3.2306729999999999</v>
      </c>
      <c r="E1022">
        <v>0.46118629999999999</v>
      </c>
      <c r="F1022" t="s">
        <v>41</v>
      </c>
      <c r="G1022">
        <v>-225.5814</v>
      </c>
      <c r="H1022" s="1">
        <v>-2.0011249999999998E-6</v>
      </c>
      <c r="I1022">
        <v>370.0795</v>
      </c>
      <c r="J1022">
        <v>-265.73099999999999</v>
      </c>
      <c r="K1022">
        <v>1.1097859999999999</v>
      </c>
      <c r="L1022">
        <v>367.31610000000001</v>
      </c>
      <c r="M1022">
        <v>0.99982470000000001</v>
      </c>
      <c r="N1022">
        <v>0</v>
      </c>
      <c r="O1022">
        <v>-1.1786700000000001E-2</v>
      </c>
      <c r="P1022">
        <v>0.9829736</v>
      </c>
      <c r="Q1022">
        <v>0.17952399999999999</v>
      </c>
      <c r="R1022">
        <v>-3.9170599999999903E-2</v>
      </c>
      <c r="S1022">
        <v>3.075958</v>
      </c>
      <c r="T1022">
        <v>-8.4597110000000003E-2</v>
      </c>
      <c r="U1022">
        <v>0.21047969999999999</v>
      </c>
      <c r="V1022">
        <v>2.7587779999999999E-2</v>
      </c>
      <c r="W1022">
        <v>0.19381100000000001</v>
      </c>
      <c r="X1022">
        <v>0.98065089999999999</v>
      </c>
      <c r="Y1022">
        <v>-7.9988890000000007E-2</v>
      </c>
      <c r="Z1022">
        <v>1.4222499999999999E-3</v>
      </c>
      <c r="AA1022">
        <v>0.99679479999999998</v>
      </c>
      <c r="AB1022">
        <v>38</v>
      </c>
      <c r="AC1022">
        <v>40.1495999999999</v>
      </c>
      <c r="AD1022">
        <v>-1.1097880011249901</v>
      </c>
      <c r="AE1022">
        <v>2.7633999999999901</v>
      </c>
      <c r="AF1022">
        <v>-3.2340300878328501</v>
      </c>
      <c r="AG1022">
        <v>-1.1097880011249901</v>
      </c>
      <c r="AH1022">
        <v>40.083754280153798</v>
      </c>
      <c r="AI1022">
        <v>91.580793345139895</v>
      </c>
      <c r="AJ1022">
        <v>94.612735902848101</v>
      </c>
      <c r="AK1022">
        <v>40.229316887168203</v>
      </c>
      <c r="AL1022">
        <v>78.824725977299494</v>
      </c>
      <c r="AM1022">
        <v>88.388573782190505</v>
      </c>
      <c r="AN1022">
        <v>0.99999998849856897</v>
      </c>
    </row>
    <row r="1023" spans="1:40" x14ac:dyDescent="0.25">
      <c r="A1023" t="str">
        <f>"20190312172913093"</f>
        <v>20190312172913093</v>
      </c>
      <c r="B1023" t="str">
        <f>"1552382953088233"</f>
        <v>1552382953088233</v>
      </c>
      <c r="C1023" t="s">
        <v>40</v>
      </c>
      <c r="D1023">
        <v>3.2214299999999998</v>
      </c>
      <c r="E1023">
        <v>0.46078710000000001</v>
      </c>
      <c r="F1023" t="s">
        <v>41</v>
      </c>
      <c r="G1023">
        <v>-225.59039999999999</v>
      </c>
      <c r="H1023" s="1">
        <v>-2.0017869999999999E-6</v>
      </c>
      <c r="I1023">
        <v>370.09660000000002</v>
      </c>
      <c r="J1023">
        <v>-265.52370000000002</v>
      </c>
      <c r="K1023">
        <v>1.1098059999999901</v>
      </c>
      <c r="L1023">
        <v>367.31360000000001</v>
      </c>
      <c r="M1023">
        <v>0.9998243</v>
      </c>
      <c r="N1023">
        <v>0</v>
      </c>
      <c r="O1023">
        <v>-1.178676E-2</v>
      </c>
      <c r="P1023">
        <v>0.98294919999999997</v>
      </c>
      <c r="Q1023">
        <v>0.17964669999999999</v>
      </c>
      <c r="R1023">
        <v>-3.9220089999999999E-2</v>
      </c>
      <c r="S1023">
        <v>3.0759889999999999</v>
      </c>
      <c r="T1023">
        <v>-8.5043309999999997E-2</v>
      </c>
      <c r="U1023">
        <v>0.2130737</v>
      </c>
      <c r="V1023">
        <v>2.7637510000000001E-2</v>
      </c>
      <c r="W1023">
        <v>0.1939583</v>
      </c>
      <c r="X1023">
        <v>0.98062039999999995</v>
      </c>
      <c r="Y1023">
        <v>-8.0824220000000002E-2</v>
      </c>
      <c r="Z1023">
        <v>1.4412279999999999E-3</v>
      </c>
      <c r="AA1023">
        <v>0.99672729999999998</v>
      </c>
      <c r="AB1023">
        <v>38</v>
      </c>
      <c r="AC1023">
        <v>39.933300000000003</v>
      </c>
      <c r="AD1023">
        <v>-1.10980800178699</v>
      </c>
      <c r="AE1023">
        <v>2.7830000000000101</v>
      </c>
      <c r="AF1023">
        <v>-3.2510419917014</v>
      </c>
      <c r="AG1023">
        <v>-1.10980800178699</v>
      </c>
      <c r="AH1023">
        <v>39.867076058792598</v>
      </c>
      <c r="AI1023">
        <v>91.5892984594024</v>
      </c>
      <c r="AJ1023">
        <v>94.661985464722207</v>
      </c>
      <c r="AK1023">
        <v>40.014806026147298</v>
      </c>
      <c r="AL1023">
        <v>78.816123323358894</v>
      </c>
      <c r="AM1023">
        <v>88.385620361798303</v>
      </c>
      <c r="AN1023">
        <v>1.00000001149702</v>
      </c>
    </row>
    <row r="1024" spans="1:40" x14ac:dyDescent="0.25">
      <c r="A1024" t="str">
        <f>"20190312172913106"</f>
        <v>20190312172913106</v>
      </c>
      <c r="B1024" t="str">
        <f>"1552382953097992"</f>
        <v>1552382953097992</v>
      </c>
      <c r="C1024" t="s">
        <v>40</v>
      </c>
      <c r="D1024">
        <v>3.2097449999999998</v>
      </c>
      <c r="E1024">
        <v>0.46056439999999998</v>
      </c>
      <c r="F1024" t="s">
        <v>41</v>
      </c>
      <c r="G1024">
        <v>-225.24700000000001</v>
      </c>
      <c r="H1024" s="1">
        <v>-2.160704E-6</v>
      </c>
      <c r="I1024">
        <v>370.14019999999999</v>
      </c>
      <c r="J1024">
        <v>-265.3064</v>
      </c>
      <c r="K1024">
        <v>1.109828</v>
      </c>
      <c r="L1024">
        <v>367.31099999999998</v>
      </c>
      <c r="M1024">
        <v>0.99982409999999999</v>
      </c>
      <c r="N1024">
        <v>0</v>
      </c>
      <c r="O1024">
        <v>-1.1786700000000001E-2</v>
      </c>
      <c r="P1024">
        <v>0.98297409999999996</v>
      </c>
      <c r="Q1024">
        <v>0.179479799999999</v>
      </c>
      <c r="R1024">
        <v>-3.9359280000000003E-2</v>
      </c>
      <c r="S1024">
        <v>3.0761409999999998</v>
      </c>
      <c r="T1024">
        <v>-8.4761619999999996E-2</v>
      </c>
      <c r="U1024">
        <v>0.2158813</v>
      </c>
      <c r="V1024">
        <v>2.7776539999999999E-2</v>
      </c>
      <c r="W1024">
        <v>0.19381609999999999</v>
      </c>
      <c r="X1024">
        <v>0.98064459999999998</v>
      </c>
      <c r="Y1024">
        <v>-8.1725919999999994E-2</v>
      </c>
      <c r="Z1024">
        <v>1.4487429999999999E-3</v>
      </c>
      <c r="AA1024">
        <v>0.99665380000000003</v>
      </c>
      <c r="AB1024">
        <v>38</v>
      </c>
      <c r="AC1024">
        <v>40.059399999999897</v>
      </c>
      <c r="AD1024">
        <v>-1.109830160704</v>
      </c>
      <c r="AE1024">
        <v>2.8292000000000099</v>
      </c>
      <c r="AF1024">
        <v>-3.2987024747592399</v>
      </c>
      <c r="AG1024">
        <v>-1.109830160704</v>
      </c>
      <c r="AH1024">
        <v>39.992722291370796</v>
      </c>
      <c r="AI1024">
        <v>91.584218798722603</v>
      </c>
      <c r="AJ1024">
        <v>94.715229260174894</v>
      </c>
      <c r="AK1024">
        <v>40.143878702453499</v>
      </c>
      <c r="AL1024">
        <v>78.824428524554307</v>
      </c>
      <c r="AM1024">
        <v>88.377543601891901</v>
      </c>
      <c r="AN1024">
        <v>1.00000002415137</v>
      </c>
    </row>
    <row r="1025" spans="1:40" x14ac:dyDescent="0.25">
      <c r="A1025" t="str">
        <f>"20190312172913119"</f>
        <v>20190312172913119</v>
      </c>
      <c r="B1025" t="str">
        <f>"1552382953108728"</f>
        <v>1552382953108728</v>
      </c>
      <c r="C1025" t="s">
        <v>40</v>
      </c>
      <c r="D1025">
        <v>3.234442</v>
      </c>
      <c r="E1025">
        <v>0.46035029999999999</v>
      </c>
      <c r="F1025" t="s">
        <v>41</v>
      </c>
      <c r="G1025">
        <v>-225.11369999999999</v>
      </c>
      <c r="H1025" s="1">
        <v>-2.2211479999999998E-6</v>
      </c>
      <c r="I1025">
        <v>370.1524</v>
      </c>
      <c r="J1025">
        <v>-265.07499999999999</v>
      </c>
      <c r="K1025">
        <v>1.1098479999999999</v>
      </c>
      <c r="L1025">
        <v>367.30829999999997</v>
      </c>
      <c r="M1025">
        <v>0.99982369999999998</v>
      </c>
      <c r="N1025">
        <v>0</v>
      </c>
      <c r="O1025">
        <v>-1.1786639999999999E-2</v>
      </c>
      <c r="P1025">
        <v>0.98294859999999995</v>
      </c>
      <c r="Q1025">
        <v>0.179591</v>
      </c>
      <c r="R1025">
        <v>-3.9485699999999999E-2</v>
      </c>
      <c r="S1025">
        <v>3.0762019999999999</v>
      </c>
      <c r="T1025">
        <v>-8.4942100000000006E-2</v>
      </c>
      <c r="U1025">
        <v>0.2174683</v>
      </c>
      <c r="V1025">
        <v>2.7903359999999999E-2</v>
      </c>
      <c r="W1025">
        <v>0.19395090000000001</v>
      </c>
      <c r="X1025">
        <v>0.98061430000000005</v>
      </c>
      <c r="Y1025">
        <v>-8.2235730000000007E-2</v>
      </c>
      <c r="Z1025">
        <v>1.458799E-3</v>
      </c>
      <c r="AA1025">
        <v>0.99661180000000005</v>
      </c>
      <c r="AB1025">
        <v>38</v>
      </c>
      <c r="AC1025">
        <v>39.961300000000001</v>
      </c>
      <c r="AD1025">
        <v>-1.1098502211479999</v>
      </c>
      <c r="AE1025">
        <v>2.8441000000000201</v>
      </c>
      <c r="AF1025">
        <v>-3.31242002527005</v>
      </c>
      <c r="AG1025">
        <v>-1.1098502211479999</v>
      </c>
      <c r="AH1025">
        <v>39.894380232604803</v>
      </c>
      <c r="AI1025">
        <v>91.588079300416197</v>
      </c>
      <c r="AJ1025">
        <v>94.746366613520095</v>
      </c>
      <c r="AK1025">
        <v>40.047040690678202</v>
      </c>
      <c r="AL1025">
        <v>78.816555131221705</v>
      </c>
      <c r="AM1025">
        <v>88.370089567267598</v>
      </c>
      <c r="AN1025">
        <v>0.99999997723729395</v>
      </c>
    </row>
    <row r="1026" spans="1:40" x14ac:dyDescent="0.25">
      <c r="A1026" t="str">
        <f>"20190312172913133"</f>
        <v>20190312172913133</v>
      </c>
      <c r="B1026" t="str">
        <f>"1552382953128248"</f>
        <v>1552382953128248</v>
      </c>
      <c r="C1026" t="s">
        <v>40</v>
      </c>
      <c r="D1026">
        <v>3.221139</v>
      </c>
      <c r="E1026">
        <v>0.45995380000000002</v>
      </c>
      <c r="F1026" t="s">
        <v>41</v>
      </c>
      <c r="G1026">
        <v>-224.68780000000001</v>
      </c>
      <c r="H1026" s="1">
        <v>-2.4116689999999999E-6</v>
      </c>
      <c r="I1026">
        <v>370.18180000000001</v>
      </c>
      <c r="J1026">
        <v>-264.85379999999998</v>
      </c>
      <c r="K1026">
        <v>1.1098680000000001</v>
      </c>
      <c r="L1026">
        <v>367.3057</v>
      </c>
      <c r="M1026">
        <v>0.99982329999999997</v>
      </c>
      <c r="N1026">
        <v>0</v>
      </c>
      <c r="O1026">
        <v>-1.178655E-2</v>
      </c>
      <c r="P1026">
        <v>0.98291499999999998</v>
      </c>
      <c r="Q1026">
        <v>0.179731</v>
      </c>
      <c r="R1026">
        <v>-3.9686609999999997E-2</v>
      </c>
      <c r="S1026">
        <v>3.0762939999999999</v>
      </c>
      <c r="T1026">
        <v>-8.4537150000000005E-2</v>
      </c>
      <c r="U1026">
        <v>0.21887210000000001</v>
      </c>
      <c r="V1026">
        <v>2.8104629999999999E-2</v>
      </c>
      <c r="W1026">
        <v>0.19411129999999999</v>
      </c>
      <c r="X1026">
        <v>0.98057680000000003</v>
      </c>
      <c r="Y1026">
        <v>-8.2686250000000003E-2</v>
      </c>
      <c r="Z1026">
        <v>1.4579599999999999E-3</v>
      </c>
      <c r="AA1026">
        <v>0.99657459999999998</v>
      </c>
      <c r="AB1026">
        <v>38</v>
      </c>
      <c r="AC1026">
        <v>40.165999999999897</v>
      </c>
      <c r="AD1026">
        <v>-1.1098704116689999</v>
      </c>
      <c r="AE1026">
        <v>2.8761000000000001</v>
      </c>
      <c r="AF1026">
        <v>-3.3468271343241298</v>
      </c>
      <c r="AG1026">
        <v>-1.1098704116689999</v>
      </c>
      <c r="AH1026">
        <v>40.098845806742098</v>
      </c>
      <c r="AI1026">
        <v>91.579957714492707</v>
      </c>
      <c r="AJ1026">
        <v>94.771100845747497</v>
      </c>
      <c r="AK1026">
        <v>40.253577471208999</v>
      </c>
      <c r="AL1026">
        <v>78.807186695564994</v>
      </c>
      <c r="AM1026">
        <v>88.358276507432294</v>
      </c>
      <c r="AN1026">
        <v>0.99999996385668199</v>
      </c>
    </row>
    <row r="1027" spans="1:40" x14ac:dyDescent="0.25">
      <c r="A1027" t="str">
        <f>"20190312172913145"</f>
        <v>20190312172913145</v>
      </c>
      <c r="B1027" t="str">
        <f>"1552382953138009"</f>
        <v>1552382953138009</v>
      </c>
      <c r="C1027" t="s">
        <v>40</v>
      </c>
      <c r="D1027">
        <v>3.2295039999999999</v>
      </c>
      <c r="E1027">
        <v>0.45980500000000002</v>
      </c>
      <c r="F1027" t="s">
        <v>41</v>
      </c>
      <c r="G1027">
        <v>-224.4468</v>
      </c>
      <c r="H1027" s="1">
        <v>-2.5254469999999998E-6</v>
      </c>
      <c r="I1027">
        <v>370.2208</v>
      </c>
      <c r="J1027">
        <v>-264.6336</v>
      </c>
      <c r="K1027">
        <v>1.109885</v>
      </c>
      <c r="L1027">
        <v>367.30309999999997</v>
      </c>
      <c r="M1027">
        <v>0.99982320000000002</v>
      </c>
      <c r="N1027">
        <v>0</v>
      </c>
      <c r="O1027">
        <v>-1.178658E-2</v>
      </c>
      <c r="P1027">
        <v>0.98289590000000004</v>
      </c>
      <c r="Q1027">
        <v>0.17980889999999999</v>
      </c>
      <c r="R1027">
        <v>-3.9805930000000003E-2</v>
      </c>
      <c r="S1027">
        <v>3.0765380000000002</v>
      </c>
      <c r="T1027">
        <v>-8.4503889999999998E-2</v>
      </c>
      <c r="U1027">
        <v>0.22195429999999999</v>
      </c>
      <c r="V1027">
        <v>2.8224329999999999E-2</v>
      </c>
      <c r="W1027">
        <v>0.19420809999999999</v>
      </c>
      <c r="X1027">
        <v>0.98055420000000004</v>
      </c>
      <c r="Y1027">
        <v>-8.3673650000000002E-2</v>
      </c>
      <c r="Z1027">
        <v>1.47076E-3</v>
      </c>
      <c r="AA1027">
        <v>0.99649209999999999</v>
      </c>
      <c r="AB1027">
        <v>38</v>
      </c>
      <c r="AC1027">
        <v>40.186799999999998</v>
      </c>
      <c r="AD1027">
        <v>-1.109887525447</v>
      </c>
      <c r="AE1027">
        <v>2.9177000000000199</v>
      </c>
      <c r="AF1027">
        <v>-3.3886418712377901</v>
      </c>
      <c r="AG1027">
        <v>-1.109887525447</v>
      </c>
      <c r="AH1027">
        <v>40.119173401058802</v>
      </c>
      <c r="AI1027">
        <v>91.5790503330457</v>
      </c>
      <c r="AJ1027">
        <v>94.827993998146994</v>
      </c>
      <c r="AK1027">
        <v>40.2773238737987</v>
      </c>
      <c r="AL1027">
        <v>78.801532929855597</v>
      </c>
      <c r="AM1027">
        <v>88.351250140174898</v>
      </c>
      <c r="AN1027">
        <v>0.999999969023599</v>
      </c>
    </row>
    <row r="1028" spans="1:40" x14ac:dyDescent="0.25">
      <c r="A1028" t="str">
        <f>"20190312172913157"</f>
        <v>20190312172913157</v>
      </c>
      <c r="B1028" t="str">
        <f>"1552382953148745"</f>
        <v>1552382953148745</v>
      </c>
      <c r="C1028" t="s">
        <v>40</v>
      </c>
      <c r="D1028">
        <v>3.245104</v>
      </c>
      <c r="E1028">
        <v>0.45968300000000001</v>
      </c>
      <c r="F1028" t="s">
        <v>41</v>
      </c>
      <c r="G1028">
        <v>-224.0266</v>
      </c>
      <c r="H1028" s="1">
        <v>-2.7117580000000001E-6</v>
      </c>
      <c r="I1028">
        <v>370.24349999999998</v>
      </c>
      <c r="J1028">
        <v>-264.4282</v>
      </c>
      <c r="K1028">
        <v>1.1098969999999999</v>
      </c>
      <c r="L1028">
        <v>367.30070000000001</v>
      </c>
      <c r="M1028">
        <v>0.99982289999999996</v>
      </c>
      <c r="N1028">
        <v>0</v>
      </c>
      <c r="O1028">
        <v>-1.178646E-2</v>
      </c>
      <c r="P1028">
        <v>0.98291170000000005</v>
      </c>
      <c r="Q1028">
        <v>0.1797155</v>
      </c>
      <c r="R1028">
        <v>-3.9838650000000003E-2</v>
      </c>
      <c r="S1028">
        <v>3.0765989999999999</v>
      </c>
      <c r="T1028">
        <v>-8.4090590000000007E-2</v>
      </c>
      <c r="U1028">
        <v>0.22277830000000001</v>
      </c>
      <c r="V1028">
        <v>2.8256819999999998E-2</v>
      </c>
      <c r="W1028">
        <v>0.1941309</v>
      </c>
      <c r="X1028">
        <v>0.98056860000000001</v>
      </c>
      <c r="Y1028">
        <v>-8.3937849999999994E-2</v>
      </c>
      <c r="Z1028">
        <v>1.467129E-3</v>
      </c>
      <c r="AA1028">
        <v>0.99646990000000002</v>
      </c>
      <c r="AB1028">
        <v>38</v>
      </c>
      <c r="AC1028">
        <v>40.401600000000002</v>
      </c>
      <c r="AD1028">
        <v>-1.1098997117579901</v>
      </c>
      <c r="AE1028">
        <v>2.9427999999999699</v>
      </c>
      <c r="AF1028">
        <v>-3.41627400969631</v>
      </c>
      <c r="AG1028">
        <v>-1.1098997117579901</v>
      </c>
      <c r="AH1028">
        <v>40.333825049511397</v>
      </c>
      <c r="AI1028">
        <v>91.570637220735406</v>
      </c>
      <c r="AJ1028">
        <v>94.841395680477504</v>
      </c>
      <c r="AK1028">
        <v>40.493459331157098</v>
      </c>
      <c r="AL1028">
        <v>78.806042521703901</v>
      </c>
      <c r="AM1028">
        <v>88.349377483631898</v>
      </c>
      <c r="AN1028">
        <v>1.00000001675864</v>
      </c>
    </row>
    <row r="1029" spans="1:40" x14ac:dyDescent="0.25">
      <c r="A1029" t="str">
        <f>"20190312172913168"</f>
        <v>20190312172913168</v>
      </c>
      <c r="B1029" t="str">
        <f>"1552382953158505"</f>
        <v>1552382953158505</v>
      </c>
      <c r="C1029" t="s">
        <v>40</v>
      </c>
      <c r="D1029">
        <v>3.2239140000000002</v>
      </c>
      <c r="E1029">
        <v>0.45954859999999997</v>
      </c>
      <c r="F1029" t="s">
        <v>41</v>
      </c>
      <c r="G1029">
        <v>-224.18819999999999</v>
      </c>
      <c r="H1029" s="1">
        <v>-2.6367620000000001E-6</v>
      </c>
      <c r="I1029">
        <v>370.22230000000002</v>
      </c>
      <c r="J1029">
        <v>-264.25900000000001</v>
      </c>
      <c r="K1029">
        <v>1.1099079999999999</v>
      </c>
      <c r="L1029">
        <v>367.2987</v>
      </c>
      <c r="M1029">
        <v>0.99982260000000001</v>
      </c>
      <c r="N1029">
        <v>0</v>
      </c>
      <c r="O1029">
        <v>-1.178655E-2</v>
      </c>
      <c r="P1029">
        <v>0.98290080000000002</v>
      </c>
      <c r="Q1029">
        <v>0.17973900000000001</v>
      </c>
      <c r="R1029">
        <v>-4.000008E-2</v>
      </c>
      <c r="S1029">
        <v>3.076721</v>
      </c>
      <c r="T1029">
        <v>-8.4862110000000004E-2</v>
      </c>
      <c r="U1029">
        <v>0.2233887</v>
      </c>
      <c r="V1029">
        <v>2.8418189999999999E-2</v>
      </c>
      <c r="W1029">
        <v>0.19416739999999999</v>
      </c>
      <c r="X1029">
        <v>0.98055669999999995</v>
      </c>
      <c r="Y1029">
        <v>-8.4131029999999996E-2</v>
      </c>
      <c r="Z1029">
        <v>1.4831779999999999E-3</v>
      </c>
      <c r="AA1029">
        <v>0.99645360000000005</v>
      </c>
      <c r="AB1029">
        <v>38</v>
      </c>
      <c r="AC1029">
        <v>40.070799999999998</v>
      </c>
      <c r="AD1029">
        <v>-1.109910636762</v>
      </c>
      <c r="AE1029">
        <v>2.92360000000002</v>
      </c>
      <c r="AF1029">
        <v>-3.3931548273591701</v>
      </c>
      <c r="AG1029">
        <v>-1.109910636762</v>
      </c>
      <c r="AH1029">
        <v>40.003024438317603</v>
      </c>
      <c r="AI1029">
        <v>91.583618110757797</v>
      </c>
      <c r="AJ1029">
        <v>94.8483632821453</v>
      </c>
      <c r="AK1029">
        <v>40.162013962408103</v>
      </c>
      <c r="AL1029">
        <v>78.803910553859396</v>
      </c>
      <c r="AM1029">
        <v>88.339936177462405</v>
      </c>
      <c r="AN1029">
        <v>1.00000000733026</v>
      </c>
    </row>
    <row r="1030" spans="1:40" x14ac:dyDescent="0.25">
      <c r="A1030" t="str">
        <f>"20190312172913178"</f>
        <v>20190312172913178</v>
      </c>
      <c r="B1030" t="str">
        <f>"1552382953168265"</f>
        <v>1552382953168265</v>
      </c>
      <c r="C1030" t="s">
        <v>40</v>
      </c>
      <c r="D1030">
        <v>3.24499</v>
      </c>
      <c r="E1030">
        <v>0.45945069999999999</v>
      </c>
      <c r="F1030" t="s">
        <v>41</v>
      </c>
      <c r="G1030">
        <v>-224.19839999999999</v>
      </c>
      <c r="H1030" s="1">
        <v>-2.6295540000000002E-6</v>
      </c>
      <c r="I1030">
        <v>370.2115</v>
      </c>
      <c r="J1030">
        <v>-264.07310000000001</v>
      </c>
      <c r="K1030">
        <v>1.1099190000000001</v>
      </c>
      <c r="L1030">
        <v>367.29649999999998</v>
      </c>
      <c r="M1030">
        <v>0.99982249999999995</v>
      </c>
      <c r="N1030">
        <v>0</v>
      </c>
      <c r="O1030">
        <v>-1.178653E-2</v>
      </c>
      <c r="P1030">
        <v>0.98291459999999997</v>
      </c>
      <c r="Q1030">
        <v>0.17958950000000001</v>
      </c>
      <c r="R1030">
        <v>-4.0333800000000003E-2</v>
      </c>
      <c r="S1030">
        <v>3.0768740000000001</v>
      </c>
      <c r="T1030">
        <v>-8.5246920000000004E-2</v>
      </c>
      <c r="U1030">
        <v>0.22372439999999999</v>
      </c>
      <c r="V1030">
        <v>2.8751740000000001E-2</v>
      </c>
      <c r="W1030">
        <v>0.19403090000000001</v>
      </c>
      <c r="X1030">
        <v>0.98057399999999995</v>
      </c>
      <c r="Y1030">
        <v>-8.4235210000000005E-2</v>
      </c>
      <c r="Z1030">
        <v>1.4912619999999999E-3</v>
      </c>
      <c r="AA1030">
        <v>0.99644480000000002</v>
      </c>
      <c r="AB1030">
        <v>38</v>
      </c>
      <c r="AC1030">
        <v>39.874699999999997</v>
      </c>
      <c r="AD1030">
        <v>-1.109921629554</v>
      </c>
      <c r="AE1030">
        <v>2.91500000000002</v>
      </c>
      <c r="AF1030">
        <v>-3.3822259757873199</v>
      </c>
      <c r="AG1030">
        <v>-1.109921629554</v>
      </c>
      <c r="AH1030">
        <v>39.806889677986902</v>
      </c>
      <c r="AI1030">
        <v>91.591413372020696</v>
      </c>
      <c r="AJ1030">
        <v>94.856519952768494</v>
      </c>
      <c r="AK1030">
        <v>39.965733377613098</v>
      </c>
      <c r="AL1030">
        <v>78.811883091925594</v>
      </c>
      <c r="AM1030">
        <v>88.320492384975495</v>
      </c>
      <c r="AN1030">
        <v>1.0000000110919101</v>
      </c>
    </row>
    <row r="1031" spans="1:40" x14ac:dyDescent="0.25">
      <c r="A1031" t="str">
        <f>"20190312172913189"</f>
        <v>20190312172913189</v>
      </c>
      <c r="B1031" t="str">
        <f>"1552382953178629"</f>
        <v>1552382953178629</v>
      </c>
      <c r="C1031" t="s">
        <v>40</v>
      </c>
      <c r="D1031">
        <v>3.2400850000000001</v>
      </c>
      <c r="E1031">
        <v>0.45933600000000002</v>
      </c>
      <c r="F1031" t="s">
        <v>41</v>
      </c>
      <c r="G1031">
        <v>-224.3878</v>
      </c>
      <c r="H1031" s="1">
        <v>-2.5403020000000001E-6</v>
      </c>
      <c r="I1031">
        <v>370.18150000000003</v>
      </c>
      <c r="J1031">
        <v>-263.89600000000002</v>
      </c>
      <c r="K1031">
        <v>1.109928</v>
      </c>
      <c r="L1031">
        <v>367.2944</v>
      </c>
      <c r="M1031">
        <v>0.99982230000000005</v>
      </c>
      <c r="N1031">
        <v>0</v>
      </c>
      <c r="O1031">
        <v>-1.1786130000000001E-2</v>
      </c>
      <c r="P1031">
        <v>0.98292659999999998</v>
      </c>
      <c r="Q1031">
        <v>0.17951420000000001</v>
      </c>
      <c r="R1031">
        <v>-4.0376769999999999E-2</v>
      </c>
      <c r="S1031">
        <v>3.0770870000000001</v>
      </c>
      <c r="T1031">
        <v>-8.6059930000000007E-2</v>
      </c>
      <c r="U1031">
        <v>0.2236938</v>
      </c>
      <c r="V1031">
        <v>2.8794859999999999E-2</v>
      </c>
      <c r="W1031">
        <v>0.19396720000000001</v>
      </c>
      <c r="X1031">
        <v>0.98058529999999999</v>
      </c>
      <c r="Y1031">
        <v>-8.4219290000000002E-2</v>
      </c>
      <c r="Z1031">
        <v>1.5051419999999999E-3</v>
      </c>
      <c r="AA1031">
        <v>0.9964461</v>
      </c>
      <c r="AB1031">
        <v>38</v>
      </c>
      <c r="AC1031">
        <v>39.508199999999903</v>
      </c>
      <c r="AD1031">
        <v>-1.1099305403019999</v>
      </c>
      <c r="AE1031">
        <v>2.88710000000003</v>
      </c>
      <c r="AF1031">
        <v>-3.34996867349733</v>
      </c>
      <c r="AG1031">
        <v>-1.1099305403019999</v>
      </c>
      <c r="AH1031">
        <v>39.4404605748514</v>
      </c>
      <c r="AI1031">
        <v>91.606207736052198</v>
      </c>
      <c r="AJ1031">
        <v>94.854899745445906</v>
      </c>
      <c r="AK1031">
        <v>39.598032353566701</v>
      </c>
      <c r="AL1031">
        <v>78.815603101360793</v>
      </c>
      <c r="AM1031">
        <v>88.317994386007499</v>
      </c>
      <c r="AN1031">
        <v>0.99999997460717405</v>
      </c>
    </row>
    <row r="1032" spans="1:40" x14ac:dyDescent="0.25">
      <c r="A1032" t="str">
        <f>"20190312172913201"</f>
        <v>20190312172913201</v>
      </c>
      <c r="B1032" t="str">
        <f>"1552382953188389"</f>
        <v>1552382953188389</v>
      </c>
      <c r="C1032" t="s">
        <v>40</v>
      </c>
      <c r="D1032">
        <v>3.2302369999999998</v>
      </c>
      <c r="E1032">
        <v>0.45923930000000002</v>
      </c>
      <c r="F1032" t="s">
        <v>41</v>
      </c>
      <c r="G1032">
        <v>-224.50470000000001</v>
      </c>
      <c r="H1032" s="1">
        <v>-2.4855370000000001E-6</v>
      </c>
      <c r="I1032">
        <v>370.16419999999999</v>
      </c>
      <c r="J1032">
        <v>-263.70310000000001</v>
      </c>
      <c r="K1032">
        <v>1.109937</v>
      </c>
      <c r="L1032">
        <v>367.2921</v>
      </c>
      <c r="M1032">
        <v>0.99982210000000005</v>
      </c>
      <c r="N1032">
        <v>0</v>
      </c>
      <c r="O1032">
        <v>-1.1785500000000001E-2</v>
      </c>
      <c r="P1032">
        <v>0.98287340000000001</v>
      </c>
      <c r="Q1032">
        <v>0.17975569999999999</v>
      </c>
      <c r="R1032">
        <v>-4.0592349999999999E-2</v>
      </c>
      <c r="S1032">
        <v>3.0771480000000002</v>
      </c>
      <c r="T1032">
        <v>-8.6704729999999994E-2</v>
      </c>
      <c r="U1032">
        <v>0.2241821</v>
      </c>
      <c r="V1032">
        <v>2.9011800000000001E-2</v>
      </c>
      <c r="W1032">
        <v>0.19421930000000001</v>
      </c>
      <c r="X1032">
        <v>0.98052899999999998</v>
      </c>
      <c r="Y1032">
        <v>-8.4373879999999998E-2</v>
      </c>
      <c r="Z1032">
        <v>1.5185330000000001E-3</v>
      </c>
      <c r="AA1032">
        <v>0.99643300000000001</v>
      </c>
      <c r="AB1032">
        <v>38</v>
      </c>
      <c r="AC1032">
        <v>39.1983999999999</v>
      </c>
      <c r="AD1032">
        <v>-1.1099394855369999</v>
      </c>
      <c r="AE1032">
        <v>2.8720999999999801</v>
      </c>
      <c r="AF1032">
        <v>-3.33126660950792</v>
      </c>
      <c r="AG1032">
        <v>-1.1099394855369999</v>
      </c>
      <c r="AH1032">
        <v>39.130617127897203</v>
      </c>
      <c r="AI1032">
        <v>91.618905699653595</v>
      </c>
      <c r="AJ1032">
        <v>94.865970045870597</v>
      </c>
      <c r="AK1032">
        <v>39.287841626834798</v>
      </c>
      <c r="AL1032">
        <v>78.800878777265893</v>
      </c>
      <c r="AM1032">
        <v>88.3052322974671</v>
      </c>
      <c r="AN1032">
        <v>0.99999997043636402</v>
      </c>
    </row>
    <row r="1033" spans="1:40" x14ac:dyDescent="0.25">
      <c r="A1033" t="str">
        <f>"20190312172913211"</f>
        <v>20190312172913211</v>
      </c>
      <c r="B1033" t="str">
        <f>"1552382953208885"</f>
        <v>1552382953208885</v>
      </c>
      <c r="C1033" t="s">
        <v>40</v>
      </c>
      <c r="D1033">
        <v>3.23062</v>
      </c>
      <c r="E1033">
        <v>0.45907199999999998</v>
      </c>
      <c r="F1033" t="s">
        <v>41</v>
      </c>
      <c r="G1033">
        <v>-224.1996</v>
      </c>
      <c r="H1033" s="1">
        <v>-2.6175459999999999E-6</v>
      </c>
      <c r="I1033">
        <v>370.16840000000002</v>
      </c>
      <c r="J1033">
        <v>-263.52510000000001</v>
      </c>
      <c r="K1033">
        <v>1.109947</v>
      </c>
      <c r="L1033">
        <v>367.29</v>
      </c>
      <c r="M1033">
        <v>0.99982199999999999</v>
      </c>
      <c r="N1033">
        <v>0</v>
      </c>
      <c r="O1033">
        <v>-1.178353E-2</v>
      </c>
      <c r="P1033">
        <v>0.98289409999999999</v>
      </c>
      <c r="Q1033">
        <v>0.179618</v>
      </c>
      <c r="R1033">
        <v>-4.0705199999999997E-2</v>
      </c>
      <c r="S1033">
        <v>3.0773320000000002</v>
      </c>
      <c r="T1033">
        <v>-8.6464410000000005E-2</v>
      </c>
      <c r="U1033">
        <v>0.22406010000000001</v>
      </c>
      <c r="V1033">
        <v>2.912563E-2</v>
      </c>
      <c r="W1033">
        <v>0.19409170000000001</v>
      </c>
      <c r="X1033">
        <v>0.9805509</v>
      </c>
      <c r="Y1033">
        <v>-8.4328550000000002E-2</v>
      </c>
      <c r="Z1033">
        <v>1.5135470000000001E-3</v>
      </c>
      <c r="AA1033">
        <v>0.99643680000000001</v>
      </c>
      <c r="AB1033">
        <v>38</v>
      </c>
      <c r="AC1033">
        <v>39.325499999999998</v>
      </c>
      <c r="AD1033">
        <v>-1.109949617546</v>
      </c>
      <c r="AE1033">
        <v>2.8783999999999899</v>
      </c>
      <c r="AF1033">
        <v>-3.3389978571366901</v>
      </c>
      <c r="AG1033">
        <v>-1.109949617546</v>
      </c>
      <c r="AH1033">
        <v>39.257740375084602</v>
      </c>
      <c r="AI1033">
        <v>91.613691634095005</v>
      </c>
      <c r="AJ1033">
        <v>94.861491224215598</v>
      </c>
      <c r="AK1033">
        <v>39.415112256607898</v>
      </c>
      <c r="AL1033">
        <v>78.8083316353962</v>
      </c>
      <c r="AM1033">
        <v>88.298624626164099</v>
      </c>
      <c r="AN1033">
        <v>0.99999997891129799</v>
      </c>
    </row>
    <row r="1034" spans="1:40" x14ac:dyDescent="0.25">
      <c r="A1034" t="str">
        <f>"20190312172913222"</f>
        <v>20190312172913222</v>
      </c>
      <c r="B1034" t="str">
        <f>"1552382953218645"</f>
        <v>1552382953218645</v>
      </c>
      <c r="C1034" t="s">
        <v>40</v>
      </c>
      <c r="D1034">
        <v>3.22519</v>
      </c>
      <c r="E1034">
        <v>0.4590188</v>
      </c>
      <c r="F1034" t="s">
        <v>41</v>
      </c>
      <c r="G1034">
        <v>-224.46680000000001</v>
      </c>
      <c r="H1034" s="1">
        <v>-2.4980130000000002E-6</v>
      </c>
      <c r="I1034">
        <v>370.1499</v>
      </c>
      <c r="J1034">
        <v>-263.33769999999998</v>
      </c>
      <c r="K1034">
        <v>1.1099559999999999</v>
      </c>
      <c r="L1034">
        <v>367.2878</v>
      </c>
      <c r="M1034">
        <v>0.99982170000000004</v>
      </c>
      <c r="N1034">
        <v>0</v>
      </c>
      <c r="O1034">
        <v>-1.178096E-2</v>
      </c>
      <c r="P1034">
        <v>0.982846</v>
      </c>
      <c r="Q1034">
        <v>0.1798254</v>
      </c>
      <c r="R1034">
        <v>-4.095041E-2</v>
      </c>
      <c r="S1034">
        <v>3.077515</v>
      </c>
      <c r="T1034">
        <v>-8.7455870000000005E-2</v>
      </c>
      <c r="U1034">
        <v>0.22534179999999901</v>
      </c>
      <c r="V1034">
        <v>2.9373380000000001E-2</v>
      </c>
      <c r="W1034">
        <v>0.1943078</v>
      </c>
      <c r="X1034">
        <v>0.98050079999999995</v>
      </c>
      <c r="Y1034">
        <v>-8.4733459999999997E-2</v>
      </c>
      <c r="Z1034">
        <v>1.5364529999999999E-3</v>
      </c>
      <c r="AA1034">
        <v>0.99640240000000002</v>
      </c>
      <c r="AB1034">
        <v>38</v>
      </c>
      <c r="AC1034">
        <v>38.870899999999899</v>
      </c>
      <c r="AD1034">
        <v>-1.109958498013</v>
      </c>
      <c r="AE1034">
        <v>2.8620999999999901</v>
      </c>
      <c r="AF1034">
        <v>-3.3171975054047498</v>
      </c>
      <c r="AG1034">
        <v>-1.109958498013</v>
      </c>
      <c r="AH1034">
        <v>38.803010996571203</v>
      </c>
      <c r="AI1034">
        <v>91.632545162310507</v>
      </c>
      <c r="AJ1034">
        <v>94.886229907110703</v>
      </c>
      <c r="AK1034">
        <v>38.960357667213501</v>
      </c>
      <c r="AL1034">
        <v>78.795710728875505</v>
      </c>
      <c r="AM1034">
        <v>88.284073289561604</v>
      </c>
      <c r="AN1034">
        <v>1.00000006769704</v>
      </c>
    </row>
    <row r="1035" spans="1:40" x14ac:dyDescent="0.25">
      <c r="A1035" t="str">
        <f>"20190312172913233"</f>
        <v>20190312172913233</v>
      </c>
      <c r="B1035" t="str">
        <f>"1552382953228405"</f>
        <v>1552382953228405</v>
      </c>
      <c r="C1035" t="s">
        <v>40</v>
      </c>
      <c r="D1035">
        <v>3.234124</v>
      </c>
      <c r="E1035">
        <v>0.45896140000000002</v>
      </c>
      <c r="F1035" t="s">
        <v>41</v>
      </c>
      <c r="G1035">
        <v>-224.02549999999999</v>
      </c>
      <c r="H1035" s="1">
        <v>-2.6903319999999999E-6</v>
      </c>
      <c r="I1035">
        <v>370.16120000000001</v>
      </c>
      <c r="J1035">
        <v>-263.16149999999999</v>
      </c>
      <c r="K1035">
        <v>1.1099650000000001</v>
      </c>
      <c r="L1035">
        <v>367.28579999999999</v>
      </c>
      <c r="M1035">
        <v>0.99982179999999998</v>
      </c>
      <c r="N1035">
        <v>0</v>
      </c>
      <c r="O1035">
        <v>-1.1775620000000001E-2</v>
      </c>
      <c r="P1035">
        <v>0.98283279999999995</v>
      </c>
      <c r="Q1035">
        <v>0.17983469999999999</v>
      </c>
      <c r="R1035">
        <v>-4.1225829999999998E-2</v>
      </c>
      <c r="S1035">
        <v>3.0776370000000002</v>
      </c>
      <c r="T1035">
        <v>-8.6894990000000005E-2</v>
      </c>
      <c r="U1035">
        <v>0.22494510000000001</v>
      </c>
      <c r="V1035">
        <v>2.9653229999999999E-2</v>
      </c>
      <c r="W1035">
        <v>0.19432550000000001</v>
      </c>
      <c r="X1035">
        <v>0.98048880000000005</v>
      </c>
      <c r="Y1035">
        <v>-8.4598060000000003E-2</v>
      </c>
      <c r="Z1035">
        <v>1.524491E-3</v>
      </c>
      <c r="AA1035">
        <v>0.99641400000000002</v>
      </c>
      <c r="AB1035">
        <v>38</v>
      </c>
      <c r="AC1035">
        <v>39.136000000000003</v>
      </c>
      <c r="AD1035">
        <v>-1.1099676903319999</v>
      </c>
      <c r="AE1035">
        <v>2.8754000000000102</v>
      </c>
      <c r="AF1035">
        <v>-3.3334344358899202</v>
      </c>
      <c r="AG1035">
        <v>-1.1099676903319999</v>
      </c>
      <c r="AH1035">
        <v>39.068165217495</v>
      </c>
      <c r="AI1035">
        <v>91.621507111479403</v>
      </c>
      <c r="AJ1035">
        <v>94.876867324957004</v>
      </c>
      <c r="AK1035">
        <v>39.225824999271197</v>
      </c>
      <c r="AL1035">
        <v>78.794676124310897</v>
      </c>
      <c r="AM1035">
        <v>88.267713808454403</v>
      </c>
      <c r="AN1035">
        <v>1.00000000046256</v>
      </c>
    </row>
    <row r="1036" spans="1:40" x14ac:dyDescent="0.25">
      <c r="A1036" t="str">
        <f>"20190312172913244"</f>
        <v>20190312172913244</v>
      </c>
      <c r="B1036" t="str">
        <f>"1552382953238165"</f>
        <v>1552382953238165</v>
      </c>
      <c r="C1036" t="s">
        <v>40</v>
      </c>
      <c r="D1036">
        <v>3.2002790000000001</v>
      </c>
      <c r="E1036">
        <v>0.4589068</v>
      </c>
      <c r="F1036" t="s">
        <v>41</v>
      </c>
      <c r="G1036">
        <v>-224.0719</v>
      </c>
      <c r="H1036" s="1">
        <v>-2.6636269999999999E-6</v>
      </c>
      <c r="I1036">
        <v>370.13569999999999</v>
      </c>
      <c r="J1036">
        <v>-262.95760000000001</v>
      </c>
      <c r="K1036">
        <v>1.1099749999999999</v>
      </c>
      <c r="L1036">
        <v>367.28339999999997</v>
      </c>
      <c r="M1036">
        <v>0.99982170000000004</v>
      </c>
      <c r="N1036">
        <v>0</v>
      </c>
      <c r="O1036">
        <v>-1.176788E-2</v>
      </c>
      <c r="P1036">
        <v>0.98284899999999997</v>
      </c>
      <c r="Q1036">
        <v>0.1796336</v>
      </c>
      <c r="R1036">
        <v>-4.1708509999999997E-2</v>
      </c>
      <c r="S1036">
        <v>3.07782</v>
      </c>
      <c r="T1036">
        <v>-8.7395909999999993E-2</v>
      </c>
      <c r="U1036">
        <v>0.22439580000000001</v>
      </c>
      <c r="V1036">
        <v>3.0141979999999999E-2</v>
      </c>
      <c r="W1036">
        <v>0.1941338</v>
      </c>
      <c r="X1036">
        <v>0.98051189999999999</v>
      </c>
      <c r="Y1036">
        <v>-8.4408769999999994E-2</v>
      </c>
      <c r="Z1036">
        <v>1.5302919999999999E-3</v>
      </c>
      <c r="AA1036">
        <v>0.99643000000000004</v>
      </c>
      <c r="AB1036">
        <v>38</v>
      </c>
      <c r="AC1036">
        <v>38.8857</v>
      </c>
      <c r="AD1036">
        <v>-1.109977663627</v>
      </c>
      <c r="AE1036">
        <v>2.8523000000000098</v>
      </c>
      <c r="AF1036">
        <v>-3.3070744409556001</v>
      </c>
      <c r="AG1036">
        <v>-1.109977663627</v>
      </c>
      <c r="AH1036">
        <v>38.817978178308003</v>
      </c>
      <c r="AI1036">
        <v>91.631984792912306</v>
      </c>
      <c r="AJ1036">
        <v>94.869521258523605</v>
      </c>
      <c r="AK1036">
        <v>38.974404698768197</v>
      </c>
      <c r="AL1036">
        <v>78.805873276394195</v>
      </c>
      <c r="AM1036">
        <v>88.239221234032399</v>
      </c>
      <c r="AN1036">
        <v>1.0000000286511801</v>
      </c>
    </row>
    <row r="1037" spans="1:40" x14ac:dyDescent="0.25">
      <c r="A1037" t="str">
        <f>"20190312172913257"</f>
        <v>20190312172913257</v>
      </c>
      <c r="B1037" t="str">
        <f>"1552382953248902"</f>
        <v>1552382953248902</v>
      </c>
      <c r="C1037" t="s">
        <v>40</v>
      </c>
      <c r="D1037">
        <v>3.2373729999999998</v>
      </c>
      <c r="E1037">
        <v>0.4588506</v>
      </c>
      <c r="F1037" t="s">
        <v>41</v>
      </c>
      <c r="G1037">
        <v>-224.33799999999999</v>
      </c>
      <c r="H1037" s="1">
        <v>-2.5367019999999998E-6</v>
      </c>
      <c r="I1037">
        <v>370.08780000000002</v>
      </c>
      <c r="J1037">
        <v>-262.75209999999998</v>
      </c>
      <c r="K1037">
        <v>1.1099859999999999</v>
      </c>
      <c r="L1037">
        <v>367.28089999999997</v>
      </c>
      <c r="M1037">
        <v>0.99982179999999998</v>
      </c>
      <c r="N1037">
        <v>0</v>
      </c>
      <c r="O1037">
        <v>-1.175403E-2</v>
      </c>
      <c r="P1037">
        <v>0.98284479999999996</v>
      </c>
      <c r="Q1037">
        <v>0.17959059999999999</v>
      </c>
      <c r="R1037">
        <v>-4.1993309999999999E-2</v>
      </c>
      <c r="S1037">
        <v>3.0779420000000002</v>
      </c>
      <c r="T1037">
        <v>-8.8463899999999901E-2</v>
      </c>
      <c r="U1037">
        <v>0.22351070000000001</v>
      </c>
      <c r="V1037">
        <v>3.0438139999999999E-2</v>
      </c>
      <c r="W1037">
        <v>0.19409870000000001</v>
      </c>
      <c r="X1037">
        <v>0.98050970000000004</v>
      </c>
      <c r="Y1037">
        <v>-8.4106299999999995E-2</v>
      </c>
      <c r="Z1037">
        <v>1.5442019999999999E-3</v>
      </c>
      <c r="AA1037">
        <v>0.9964556</v>
      </c>
      <c r="AB1037">
        <v>38</v>
      </c>
      <c r="AC1037">
        <v>38.414099999999898</v>
      </c>
      <c r="AD1037">
        <v>-1.1099885367019999</v>
      </c>
      <c r="AE1037">
        <v>2.8069000000000401</v>
      </c>
      <c r="AF1037">
        <v>-3.2555720355720101</v>
      </c>
      <c r="AG1037">
        <v>-1.1099885367019999</v>
      </c>
      <c r="AH1037">
        <v>38.346602644565898</v>
      </c>
      <c r="AI1037">
        <v>91.652092329858206</v>
      </c>
      <c r="AJ1037">
        <v>94.852693500690705</v>
      </c>
      <c r="AK1037">
        <v>38.5005552974322</v>
      </c>
      <c r="AL1037">
        <v>78.8079233548075</v>
      </c>
      <c r="AM1037">
        <v>88.2219277682279</v>
      </c>
      <c r="AN1037">
        <v>1.0000000287512101</v>
      </c>
    </row>
    <row r="1038" spans="1:40" x14ac:dyDescent="0.25">
      <c r="A1038" t="str">
        <f>"20190312172913269"</f>
        <v>20190312172913269</v>
      </c>
      <c r="B1038" t="str">
        <f>"1552382953258661"</f>
        <v>1552382953258661</v>
      </c>
      <c r="C1038" t="s">
        <v>40</v>
      </c>
      <c r="D1038">
        <v>3.2160799999999998</v>
      </c>
      <c r="E1038">
        <v>0.45880749999999998</v>
      </c>
      <c r="F1038" t="s">
        <v>41</v>
      </c>
      <c r="G1038">
        <v>-224.2756</v>
      </c>
      <c r="H1038" s="1">
        <v>-2.5586290000000001E-6</v>
      </c>
      <c r="I1038">
        <v>370.06950000000001</v>
      </c>
      <c r="J1038">
        <v>-262.5496</v>
      </c>
      <c r="K1038">
        <v>1.109998</v>
      </c>
      <c r="L1038">
        <v>367.27859999999998</v>
      </c>
      <c r="M1038">
        <v>0.99982199999999999</v>
      </c>
      <c r="N1038">
        <v>0</v>
      </c>
      <c r="O1038">
        <v>-1.173718E-2</v>
      </c>
      <c r="P1038">
        <v>0.98289870000000001</v>
      </c>
      <c r="Q1038">
        <v>0.1792366</v>
      </c>
      <c r="R1038">
        <v>-4.2249960000000003E-2</v>
      </c>
      <c r="S1038">
        <v>3.078125</v>
      </c>
      <c r="T1038">
        <v>-8.8799000000000003E-2</v>
      </c>
      <c r="U1038">
        <v>0.22308349999999999</v>
      </c>
      <c r="V1038">
        <v>3.0707999999999999E-2</v>
      </c>
      <c r="W1038">
        <v>0.19375339999999999</v>
      </c>
      <c r="X1038">
        <v>0.98056949999999998</v>
      </c>
      <c r="Y1038">
        <v>-8.394741E-2</v>
      </c>
      <c r="Z1038">
        <v>1.5471899999999999E-3</v>
      </c>
      <c r="AA1038">
        <v>0.99646900000000005</v>
      </c>
      <c r="AB1038">
        <v>38</v>
      </c>
      <c r="AC1038">
        <v>38.274000000000001</v>
      </c>
      <c r="AD1038">
        <v>-1.110000558629</v>
      </c>
      <c r="AE1038">
        <v>2.7909000000000201</v>
      </c>
      <c r="AF1038">
        <v>-3.23727714343062</v>
      </c>
      <c r="AG1038">
        <v>-1.110000558629</v>
      </c>
      <c r="AH1038">
        <v>38.2066371463671</v>
      </c>
      <c r="AI1038">
        <v>91.658182571764499</v>
      </c>
      <c r="AJ1038">
        <v>94.843146525695005</v>
      </c>
      <c r="AK1038">
        <v>38.359603576910096</v>
      </c>
      <c r="AL1038">
        <v>78.828089576424702</v>
      </c>
      <c r="AM1038">
        <v>88.206283224648999</v>
      </c>
      <c r="AN1038">
        <v>0.99999995280290299</v>
      </c>
    </row>
    <row r="1039" spans="1:40" x14ac:dyDescent="0.25">
      <c r="A1039" t="str">
        <f>"20190312172913281"</f>
        <v>20190312172913281</v>
      </c>
      <c r="B1039" t="str">
        <f>"1552382953278182"</f>
        <v>1552382953278182</v>
      </c>
      <c r="C1039" t="s">
        <v>40</v>
      </c>
      <c r="D1039">
        <v>3.236094</v>
      </c>
      <c r="E1039">
        <v>0.45869379999999998</v>
      </c>
      <c r="F1039" t="s">
        <v>41</v>
      </c>
      <c r="G1039">
        <v>-224.70519999999999</v>
      </c>
      <c r="H1039" s="1">
        <v>-2.3598900000000002E-6</v>
      </c>
      <c r="I1039">
        <v>370.01519999999999</v>
      </c>
      <c r="J1039">
        <v>-262.34320000000002</v>
      </c>
      <c r="K1039">
        <v>1.1100080000000001</v>
      </c>
      <c r="L1039">
        <v>367.27620000000002</v>
      </c>
      <c r="M1039">
        <v>0.99982210000000005</v>
      </c>
      <c r="N1039">
        <v>0</v>
      </c>
      <c r="O1039">
        <v>-1.171649E-2</v>
      </c>
      <c r="P1039">
        <v>0.98290920000000004</v>
      </c>
      <c r="Q1039">
        <v>0.17897639999999901</v>
      </c>
      <c r="R1039">
        <v>-4.309661E-2</v>
      </c>
      <c r="S1039">
        <v>3.078217</v>
      </c>
      <c r="T1039">
        <v>-9.0285779999999996E-2</v>
      </c>
      <c r="U1039">
        <v>0.22259519999999999</v>
      </c>
      <c r="V1039">
        <v>3.15719E-2</v>
      </c>
      <c r="W1039">
        <v>0.1935008</v>
      </c>
      <c r="X1039">
        <v>0.98059200000000002</v>
      </c>
      <c r="Y1039">
        <v>-8.3766170000000001E-2</v>
      </c>
      <c r="Z1039">
        <v>1.569787E-3</v>
      </c>
      <c r="AA1039">
        <v>0.99648419999999904</v>
      </c>
      <c r="AB1039">
        <v>38</v>
      </c>
      <c r="AC1039">
        <v>37.637999999999998</v>
      </c>
      <c r="AD1039">
        <v>-1.11001035989</v>
      </c>
      <c r="AE1039">
        <v>2.7389999999999701</v>
      </c>
      <c r="AF1039">
        <v>-3.17709662264408</v>
      </c>
      <c r="AG1039">
        <v>-1.11001035989</v>
      </c>
      <c r="AH1039">
        <v>37.570815407659197</v>
      </c>
      <c r="AI1039">
        <v>91.686267064305497</v>
      </c>
      <c r="AJ1039">
        <v>94.833596930778995</v>
      </c>
      <c r="AK1039">
        <v>37.721243833483101</v>
      </c>
      <c r="AL1039">
        <v>78.842842289273193</v>
      </c>
      <c r="AM1039">
        <v>88.155897720651296</v>
      </c>
      <c r="AN1039">
        <v>1.00000000746712</v>
      </c>
    </row>
    <row r="1040" spans="1:40" x14ac:dyDescent="0.25">
      <c r="A1040" t="str">
        <f>"20190312172913293"</f>
        <v>20190312172913293</v>
      </c>
      <c r="B1040" t="str">
        <f>"1552382953287941"</f>
        <v>1552382953287941</v>
      </c>
      <c r="C1040" t="s">
        <v>40</v>
      </c>
      <c r="D1040">
        <v>3.231935</v>
      </c>
      <c r="E1040">
        <v>0.45862599999999998</v>
      </c>
      <c r="F1040" t="s">
        <v>41</v>
      </c>
      <c r="G1040">
        <v>-224.95330000000001</v>
      </c>
      <c r="H1040" s="1">
        <v>-2.2375749999999999E-6</v>
      </c>
      <c r="I1040">
        <v>369.9556</v>
      </c>
      <c r="J1040">
        <v>-262.15190000000001</v>
      </c>
      <c r="K1040">
        <v>1.1100190000000001</v>
      </c>
      <c r="L1040">
        <v>367.274</v>
      </c>
      <c r="M1040">
        <v>0.99982230000000005</v>
      </c>
      <c r="N1040">
        <v>0</v>
      </c>
      <c r="O1040">
        <v>-1.168958E-2</v>
      </c>
      <c r="P1040">
        <v>0.98292230000000003</v>
      </c>
      <c r="Q1040">
        <v>0.1787493</v>
      </c>
      <c r="R1040">
        <v>-4.3735620000000003E-2</v>
      </c>
      <c r="S1040">
        <v>3.0784609999999999</v>
      </c>
      <c r="T1040">
        <v>-9.1391440000000004E-2</v>
      </c>
      <c r="U1040">
        <v>0.22061159999999999</v>
      </c>
      <c r="V1040">
        <v>3.2233690000000002E-2</v>
      </c>
      <c r="W1040">
        <v>0.19328000000000001</v>
      </c>
      <c r="X1040">
        <v>0.98061399999999999</v>
      </c>
      <c r="Y1040">
        <v>-8.3094130000000002E-2</v>
      </c>
      <c r="Z1040">
        <v>1.5781549999999999E-3</v>
      </c>
      <c r="AA1040">
        <v>0.99654039999999999</v>
      </c>
      <c r="AB1040">
        <v>38</v>
      </c>
      <c r="AC1040">
        <v>37.198599999999999</v>
      </c>
      <c r="AD1040">
        <v>-1.11002123757499</v>
      </c>
      <c r="AE1040">
        <v>2.6816</v>
      </c>
      <c r="AF1040">
        <v>-3.1135421915288601</v>
      </c>
      <c r="AG1040">
        <v>-1.11002123757499</v>
      </c>
      <c r="AH1040">
        <v>37.1318145511487</v>
      </c>
      <c r="AI1040">
        <v>91.706309898632995</v>
      </c>
      <c r="AJ1040">
        <v>94.793099681088904</v>
      </c>
      <c r="AK1040">
        <v>37.2786526578844</v>
      </c>
      <c r="AL1040">
        <v>78.855736455593799</v>
      </c>
      <c r="AM1040">
        <v>88.117312569452295</v>
      </c>
      <c r="AN1040">
        <v>0.99999999308350795</v>
      </c>
    </row>
    <row r="1041" spans="1:40" x14ac:dyDescent="0.25">
      <c r="A1041" t="str">
        <f>"20190312172913305"</f>
        <v>20190312172913305</v>
      </c>
      <c r="B1041" t="str">
        <f>"1552382953298677"</f>
        <v>1552382953298677</v>
      </c>
      <c r="C1041" t="s">
        <v>40</v>
      </c>
      <c r="D1041">
        <v>3.2410670000000001</v>
      </c>
      <c r="E1041">
        <v>0.45857389999999998</v>
      </c>
      <c r="F1041" t="s">
        <v>41</v>
      </c>
      <c r="G1041">
        <v>-225.16759999999999</v>
      </c>
      <c r="H1041" s="1">
        <v>-2.1324979999999999E-6</v>
      </c>
      <c r="I1041">
        <v>369.90620000000001</v>
      </c>
      <c r="J1041">
        <v>-261.94630000000001</v>
      </c>
      <c r="K1041">
        <v>1.110031</v>
      </c>
      <c r="L1041">
        <v>367.27159999999998</v>
      </c>
      <c r="M1041">
        <v>0.99982260000000001</v>
      </c>
      <c r="N1041">
        <v>0</v>
      </c>
      <c r="O1041">
        <v>-1.165776E-2</v>
      </c>
      <c r="P1041">
        <v>0.9829156</v>
      </c>
      <c r="Q1041">
        <v>0.17856759999999999</v>
      </c>
      <c r="R1041">
        <v>-4.461648E-2</v>
      </c>
      <c r="S1041">
        <v>3.0786440000000002</v>
      </c>
      <c r="T1041">
        <v>-9.2400309999999999E-2</v>
      </c>
      <c r="U1041">
        <v>0.21911620000000001</v>
      </c>
      <c r="V1041">
        <v>3.3142240000000003E-2</v>
      </c>
      <c r="W1041">
        <v>0.1931051</v>
      </c>
      <c r="X1041">
        <v>0.9806182</v>
      </c>
      <c r="Y1041">
        <v>-8.2575949999999995E-2</v>
      </c>
      <c r="Z1041">
        <v>1.5867819999999999E-3</v>
      </c>
      <c r="AA1041">
        <v>0.99658349999999996</v>
      </c>
      <c r="AB1041">
        <v>38</v>
      </c>
      <c r="AC1041">
        <v>36.778700000000001</v>
      </c>
      <c r="AD1041">
        <v>-1.110033132498</v>
      </c>
      <c r="AE1041">
        <v>2.63460000000003</v>
      </c>
      <c r="AF1041">
        <v>-3.0604515276251498</v>
      </c>
      <c r="AG1041">
        <v>-1.110033132498</v>
      </c>
      <c r="AH1041">
        <v>36.712212221259101</v>
      </c>
      <c r="AI1041">
        <v>91.725888776698099</v>
      </c>
      <c r="AJ1041">
        <v>94.765347377028604</v>
      </c>
      <c r="AK1041">
        <v>36.856275765287997</v>
      </c>
      <c r="AL1041">
        <v>78.865950214171093</v>
      </c>
      <c r="AM1041">
        <v>88.064294588708606</v>
      </c>
      <c r="AN1041">
        <v>1.00000002094473</v>
      </c>
    </row>
    <row r="1042" spans="1:40" x14ac:dyDescent="0.25">
      <c r="A1042" t="str">
        <f>"20190312172913319"</f>
        <v>20190312172913319</v>
      </c>
      <c r="B1042" t="str">
        <f>"1552382953308437"</f>
        <v>1552382953308437</v>
      </c>
      <c r="C1042" t="s">
        <v>40</v>
      </c>
      <c r="D1042">
        <v>3.2483849999999999</v>
      </c>
      <c r="E1042">
        <v>0.4585283</v>
      </c>
      <c r="F1042" t="s">
        <v>41</v>
      </c>
      <c r="G1042">
        <v>-225.2338</v>
      </c>
      <c r="H1042" s="1">
        <v>-2.0899659999999998E-6</v>
      </c>
      <c r="I1042">
        <v>369.85300000000001</v>
      </c>
      <c r="J1042">
        <v>-261.7124</v>
      </c>
      <c r="K1042">
        <v>1.1100449999999999</v>
      </c>
      <c r="L1042">
        <v>367.26889999999997</v>
      </c>
      <c r="M1042">
        <v>0.99982300000000002</v>
      </c>
      <c r="N1042">
        <v>0</v>
      </c>
      <c r="O1042">
        <v>-1.1611120000000001E-2</v>
      </c>
      <c r="P1042">
        <v>0.98291850000000003</v>
      </c>
      <c r="Q1042">
        <v>0.17824709999999999</v>
      </c>
      <c r="R1042">
        <v>-4.581913E-2</v>
      </c>
      <c r="S1042">
        <v>3.0788570000000002</v>
      </c>
      <c r="T1042">
        <v>-9.3091610000000005E-2</v>
      </c>
      <c r="U1042">
        <v>0.21649170000000001</v>
      </c>
      <c r="V1042">
        <v>3.4385499999999999E-2</v>
      </c>
      <c r="W1042">
        <v>0.19279060000000001</v>
      </c>
      <c r="X1042">
        <v>0.98063730000000005</v>
      </c>
      <c r="Y1042">
        <v>-8.1679050000000003E-2</v>
      </c>
      <c r="Z1042">
        <v>1.5836379999999901E-3</v>
      </c>
      <c r="AA1042">
        <v>0.99665740000000003</v>
      </c>
      <c r="AB1042">
        <v>38</v>
      </c>
      <c r="AC1042">
        <v>36.4786</v>
      </c>
      <c r="AD1042">
        <v>-1.110047089966</v>
      </c>
      <c r="AE1042">
        <v>2.58410000000003</v>
      </c>
      <c r="AF1042">
        <v>-3.0047610980248001</v>
      </c>
      <c r="AG1042">
        <v>-1.110047089966</v>
      </c>
      <c r="AH1042">
        <v>36.412583459400601</v>
      </c>
      <c r="AI1042">
        <v>91.740224625270699</v>
      </c>
      <c r="AJ1042">
        <v>94.717351135292802</v>
      </c>
      <c r="AK1042">
        <v>36.553208176382597</v>
      </c>
      <c r="AL1042">
        <v>78.884315108934103</v>
      </c>
      <c r="AM1042">
        <v>87.991778223240203</v>
      </c>
      <c r="AN1042">
        <v>1.0000000461049401</v>
      </c>
    </row>
    <row r="1043" spans="1:40" x14ac:dyDescent="0.25">
      <c r="A1043" t="str">
        <f>"20190312172913334"</f>
        <v>20190312172913334</v>
      </c>
      <c r="B1043" t="str">
        <f>"1552382953327956"</f>
        <v>1552382953327956</v>
      </c>
      <c r="C1043" t="s">
        <v>40</v>
      </c>
      <c r="D1043">
        <v>3.2827069999999998</v>
      </c>
      <c r="E1043">
        <v>0.47605140000000001</v>
      </c>
      <c r="F1043" t="s">
        <v>41</v>
      </c>
      <c r="G1043">
        <v>-225.44229999999999</v>
      </c>
      <c r="H1043" s="1">
        <v>-1.979596E-6</v>
      </c>
      <c r="I1043">
        <v>369.77440000000001</v>
      </c>
      <c r="J1043">
        <v>-261.46609999999998</v>
      </c>
      <c r="K1043">
        <v>1.11006</v>
      </c>
      <c r="L1043">
        <v>367.26609999999999</v>
      </c>
      <c r="M1043">
        <v>0.99982369999999998</v>
      </c>
      <c r="N1043">
        <v>0</v>
      </c>
      <c r="O1043">
        <v>-1.1553860000000001E-2</v>
      </c>
      <c r="P1043">
        <v>0.98293330000000001</v>
      </c>
      <c r="Q1043">
        <v>0.1773479</v>
      </c>
      <c r="R1043">
        <v>-4.8888969999999997E-2</v>
      </c>
      <c r="S1043">
        <v>3.0791019999999998</v>
      </c>
      <c r="T1043">
        <v>-9.4235780000000005E-2</v>
      </c>
      <c r="U1043">
        <v>0.21270749999999999</v>
      </c>
      <c r="V1043">
        <v>3.750618E-2</v>
      </c>
      <c r="W1043">
        <v>0.19189870000000001</v>
      </c>
      <c r="X1043">
        <v>0.98069779999999995</v>
      </c>
      <c r="Y1043">
        <v>-8.0396990000000002E-2</v>
      </c>
      <c r="Z1043">
        <v>1.5816929999999999E-3</v>
      </c>
      <c r="AA1043">
        <v>0.99676169999999997</v>
      </c>
      <c r="AB1043">
        <v>38</v>
      </c>
      <c r="AC1043">
        <v>36.023799999999902</v>
      </c>
      <c r="AD1043">
        <v>-1.1100619795960001</v>
      </c>
      <c r="AE1043">
        <v>2.5083000000000202</v>
      </c>
      <c r="AF1043">
        <v>-2.92163124561025</v>
      </c>
      <c r="AG1043">
        <v>-1.1100619795960001</v>
      </c>
      <c r="AH1043">
        <v>35.958431832596098</v>
      </c>
      <c r="AI1043">
        <v>91.762395228434201</v>
      </c>
      <c r="AJ1043">
        <v>94.645092132898796</v>
      </c>
      <c r="AK1043">
        <v>36.094002086126899</v>
      </c>
      <c r="AL1043">
        <v>78.936389058896793</v>
      </c>
      <c r="AM1043">
        <v>87.809825787276296</v>
      </c>
      <c r="AN1043">
        <v>0.99999999976236098</v>
      </c>
    </row>
    <row r="1044" spans="1:40" x14ac:dyDescent="0.25">
      <c r="A1044" t="str">
        <f>"20190312172913348"</f>
        <v>20190312172913348</v>
      </c>
      <c r="B1044" t="str">
        <f>"1552382953338693"</f>
        <v>1552382953338693</v>
      </c>
      <c r="C1044" t="s">
        <v>40</v>
      </c>
      <c r="D1044">
        <v>3.4367359999999998</v>
      </c>
      <c r="E1044">
        <v>0.48720479999999999</v>
      </c>
      <c r="F1044" t="s">
        <v>41</v>
      </c>
      <c r="G1044">
        <v>-231.0206</v>
      </c>
      <c r="H1044" s="1">
        <v>-4.1405169999999901E-6</v>
      </c>
      <c r="I1044">
        <v>367.89109999999999</v>
      </c>
      <c r="J1044">
        <v>-261.2364</v>
      </c>
      <c r="K1044">
        <v>1.1100719999999999</v>
      </c>
      <c r="L1044">
        <v>367.26350000000002</v>
      </c>
      <c r="M1044">
        <v>0.99982420000000005</v>
      </c>
      <c r="N1044">
        <v>0</v>
      </c>
      <c r="O1044">
        <v>-1.1494590000000001E-2</v>
      </c>
      <c r="P1044">
        <v>0.98287809999999998</v>
      </c>
      <c r="Q1044">
        <v>0.1771472</v>
      </c>
      <c r="R1044">
        <v>-5.069005E-2</v>
      </c>
      <c r="S1044">
        <v>3.0754700000000001</v>
      </c>
      <c r="T1044">
        <v>-0.11213339999999899</v>
      </c>
      <c r="U1044">
        <v>6.3140870000000002E-2</v>
      </c>
      <c r="V1044">
        <v>3.9361390000000003E-2</v>
      </c>
      <c r="W1044">
        <v>0.19170309999999999</v>
      </c>
      <c r="X1044">
        <v>0.98066339999999996</v>
      </c>
      <c r="Y1044">
        <v>-3.198935E-2</v>
      </c>
      <c r="Z1044">
        <v>1.0018869999999999E-3</v>
      </c>
      <c r="AA1044">
        <v>0.99948769999999998</v>
      </c>
      <c r="AB1044">
        <v>37</v>
      </c>
      <c r="AC1044">
        <v>30.215800000000002</v>
      </c>
      <c r="AD1044">
        <v>-1.1100761405170001</v>
      </c>
      <c r="AE1044">
        <v>0.62759999999997196</v>
      </c>
      <c r="AF1044">
        <v>-0.97360137228614996</v>
      </c>
      <c r="AG1044">
        <v>-1.1100761405170001</v>
      </c>
      <c r="AH1044">
        <v>30.165891204570102</v>
      </c>
      <c r="AI1044">
        <v>92.106383502971198</v>
      </c>
      <c r="AJ1044">
        <v>91.848574339753696</v>
      </c>
      <c r="AK1044">
        <v>30.2020059074861</v>
      </c>
      <c r="AL1044">
        <v>78.947808692926699</v>
      </c>
      <c r="AM1044">
        <v>87.701523670231595</v>
      </c>
      <c r="AN1044">
        <v>1.0000000508359399</v>
      </c>
    </row>
    <row r="1045" spans="1:40" x14ac:dyDescent="0.25">
      <c r="A1045" t="str">
        <f>"20190312172913366"</f>
        <v>20190312172913366</v>
      </c>
      <c r="B1045" t="str">
        <f>"1552382953358213"</f>
        <v>1552382953358213</v>
      </c>
      <c r="C1045" t="s">
        <v>40</v>
      </c>
      <c r="D1045">
        <v>3.3604959999999999</v>
      </c>
      <c r="E1045">
        <v>0.50532540000000004</v>
      </c>
      <c r="F1045" t="s">
        <v>41</v>
      </c>
      <c r="G1045">
        <v>-234.85550000000001</v>
      </c>
      <c r="H1045" s="1">
        <v>-2.6545880000000001E-6</v>
      </c>
      <c r="I1045">
        <v>366.99340000000001</v>
      </c>
      <c r="J1045">
        <v>-260.91809999999998</v>
      </c>
      <c r="K1045">
        <v>1.110088</v>
      </c>
      <c r="L1045">
        <v>367.25990000000002</v>
      </c>
      <c r="M1045">
        <v>0.99982519999999997</v>
      </c>
      <c r="N1045">
        <v>0</v>
      </c>
      <c r="O1045">
        <v>-1.1402260000000001E-2</v>
      </c>
      <c r="P1045">
        <v>0.98276779999999997</v>
      </c>
      <c r="Q1045">
        <v>0.1766006</v>
      </c>
      <c r="R1045">
        <v>-5.4585420000000003E-2</v>
      </c>
      <c r="S1045">
        <v>3.0739139999999998</v>
      </c>
      <c r="T1045">
        <v>-0.12934580000000001</v>
      </c>
      <c r="U1045">
        <v>-3.1463619999999998E-2</v>
      </c>
      <c r="V1045">
        <v>4.3342909999999998E-2</v>
      </c>
      <c r="W1045">
        <v>0.19116259999999999</v>
      </c>
      <c r="X1045">
        <v>0.98060099999999994</v>
      </c>
      <c r="Y1045">
        <v>-1.157312E-3</v>
      </c>
      <c r="Z1045">
        <v>5.0394099999999896E-4</v>
      </c>
      <c r="AA1045">
        <v>0.99999919999999998</v>
      </c>
      <c r="AB1045">
        <v>37</v>
      </c>
      <c r="AC1045">
        <v>26.0625999999999</v>
      </c>
      <c r="AD1045">
        <v>-1.110090654588</v>
      </c>
      <c r="AE1045">
        <v>-0.26650000000000701</v>
      </c>
      <c r="AF1045">
        <v>-3.0666869007734399E-2</v>
      </c>
      <c r="AG1045">
        <v>-1.110090654588</v>
      </c>
      <c r="AH1045">
        <v>26.016750143146201</v>
      </c>
      <c r="AI1045">
        <v>92.443230169806696</v>
      </c>
      <c r="AJ1045">
        <v>90.067536542480596</v>
      </c>
      <c r="AK1045">
        <v>26.040440275255701</v>
      </c>
      <c r="AL1045">
        <v>78.9793604063819</v>
      </c>
      <c r="AM1045">
        <v>87.469153630114306</v>
      </c>
      <c r="AN1045">
        <v>1.00000003434351</v>
      </c>
    </row>
    <row r="1046" spans="1:40" x14ac:dyDescent="0.25">
      <c r="A1046" t="str">
        <f>"20190312172913377"</f>
        <v>20190312172913377</v>
      </c>
      <c r="B1046" t="str">
        <f>"1552382953367973"</f>
        <v>1552382953367973</v>
      </c>
      <c r="C1046" t="s">
        <v>40</v>
      </c>
      <c r="D1046">
        <v>3.3534660000000001</v>
      </c>
      <c r="E1046">
        <v>0.51007910000000001</v>
      </c>
      <c r="F1046" t="s">
        <v>41</v>
      </c>
      <c r="G1046">
        <v>-240.03120000000001</v>
      </c>
      <c r="H1046" s="1">
        <v>-5.337333E-6</v>
      </c>
      <c r="I1046">
        <v>365.9828</v>
      </c>
      <c r="J1046">
        <v>-260.72300000000001</v>
      </c>
      <c r="K1046">
        <v>1.1100939999999999</v>
      </c>
      <c r="L1046">
        <v>367.2577</v>
      </c>
      <c r="M1046">
        <v>0.99982579999999999</v>
      </c>
      <c r="N1046">
        <v>0</v>
      </c>
      <c r="O1046">
        <v>-1.134113E-2</v>
      </c>
      <c r="P1046">
        <v>0.98268069999999996</v>
      </c>
      <c r="Q1046">
        <v>0.1764616</v>
      </c>
      <c r="R1046">
        <v>-5.6566949999999998E-2</v>
      </c>
      <c r="S1046">
        <v>3.0715029999999999</v>
      </c>
      <c r="T1046">
        <v>-0.163244</v>
      </c>
      <c r="U1046">
        <v>-0.18780520000000001</v>
      </c>
      <c r="V1046">
        <v>4.5382449999999998E-2</v>
      </c>
      <c r="W1046">
        <v>0.1910259</v>
      </c>
      <c r="X1046">
        <v>0.9805353</v>
      </c>
      <c r="Y1046">
        <v>4.965141E-2</v>
      </c>
      <c r="Z1046">
        <v>-7.1550070000000001E-4</v>
      </c>
      <c r="AA1046">
        <v>0.99876640000000005</v>
      </c>
      <c r="AB1046">
        <v>37</v>
      </c>
      <c r="AC1046">
        <v>20.691800000000001</v>
      </c>
      <c r="AD1046">
        <v>-1.1100993373329999</v>
      </c>
      <c r="AE1046">
        <v>-1.2748999999999999</v>
      </c>
      <c r="AF1046">
        <v>1.0371499299904701</v>
      </c>
      <c r="AG1046">
        <v>-1.1100993373329999</v>
      </c>
      <c r="AH1046">
        <v>20.645730704354101</v>
      </c>
      <c r="AI1046">
        <v>93.073901572968794</v>
      </c>
      <c r="AJ1046">
        <v>87.124131756518594</v>
      </c>
      <c r="AK1046">
        <v>20.701550590058101</v>
      </c>
      <c r="AL1046">
        <v>78.987339044673107</v>
      </c>
      <c r="AM1046">
        <v>87.350050992986695</v>
      </c>
      <c r="AN1046">
        <v>0.99999996789245005</v>
      </c>
    </row>
    <row r="1047" spans="1:40" x14ac:dyDescent="0.25">
      <c r="A1047" t="str">
        <f>"20190312172913389"</f>
        <v>20190312172913389</v>
      </c>
      <c r="B1047" t="str">
        <f>"1552382953378710"</f>
        <v>1552382953378710</v>
      </c>
      <c r="C1047" t="s">
        <v>40</v>
      </c>
      <c r="D1047">
        <v>3.348427</v>
      </c>
      <c r="E1047">
        <v>0.51376369999999905</v>
      </c>
      <c r="F1047" t="s">
        <v>41</v>
      </c>
      <c r="G1047">
        <v>-240.78899999999999</v>
      </c>
      <c r="H1047" s="1">
        <v>-5.0200399999999996E-6</v>
      </c>
      <c r="I1047">
        <v>365.75220000000002</v>
      </c>
      <c r="J1047">
        <v>-260.54509999999999</v>
      </c>
      <c r="K1047">
        <v>1.1101019999999999</v>
      </c>
      <c r="L1047">
        <v>367.25569999999999</v>
      </c>
      <c r="M1047">
        <v>0.99982660000000001</v>
      </c>
      <c r="N1047">
        <v>0</v>
      </c>
      <c r="O1047">
        <v>-1.12836E-2</v>
      </c>
      <c r="P1047">
        <v>0.98262400000000005</v>
      </c>
      <c r="Q1047">
        <v>0.1762476</v>
      </c>
      <c r="R1047">
        <v>-5.8200370000000001E-2</v>
      </c>
      <c r="S1047">
        <v>3.0701900000000002</v>
      </c>
      <c r="T1047">
        <v>-0.17097499999999999</v>
      </c>
      <c r="U1047">
        <v>-0.23187260000000001</v>
      </c>
      <c r="V1047">
        <v>4.707045E-2</v>
      </c>
      <c r="W1047">
        <v>0.19081429999999999</v>
      </c>
      <c r="X1047">
        <v>0.9804969</v>
      </c>
      <c r="Y1047">
        <v>6.3970630000000001E-2</v>
      </c>
      <c r="Z1047">
        <v>-1.1503329999999999E-3</v>
      </c>
      <c r="AA1047">
        <v>0.99795109999999998</v>
      </c>
      <c r="AB1047">
        <v>37</v>
      </c>
      <c r="AC1047">
        <v>19.756099999999901</v>
      </c>
      <c r="AD1047">
        <v>-1.1101070200399901</v>
      </c>
      <c r="AE1047">
        <v>-1.5034999999999701</v>
      </c>
      <c r="AF1047">
        <v>1.2764528265495001</v>
      </c>
      <c r="AG1047">
        <v>-1.1101070200399901</v>
      </c>
      <c r="AH1047">
        <v>19.7099353051176</v>
      </c>
      <c r="AI1047">
        <v>93.216894145430004</v>
      </c>
      <c r="AJ1047">
        <v>86.294591060192104</v>
      </c>
      <c r="AK1047">
        <v>19.7823966987388</v>
      </c>
      <c r="AL1047">
        <v>78.999689795403299</v>
      </c>
      <c r="AM1047">
        <v>87.2515271025988</v>
      </c>
      <c r="AN1047">
        <v>0.99999994762864897</v>
      </c>
    </row>
    <row r="1048" spans="1:40" x14ac:dyDescent="0.25">
      <c r="A1048" t="str">
        <f>"20190312172913400"</f>
        <v>20190312172913400</v>
      </c>
      <c r="B1048" t="str">
        <f>"1552382953388468"</f>
        <v>1552382953388468</v>
      </c>
      <c r="C1048" t="s">
        <v>40</v>
      </c>
      <c r="D1048">
        <v>3.327693</v>
      </c>
      <c r="E1048">
        <v>0.51646599999999998</v>
      </c>
      <c r="F1048" t="s">
        <v>42</v>
      </c>
      <c r="G1048">
        <v>-259.56400000000002</v>
      </c>
      <c r="H1048">
        <v>1.052638</v>
      </c>
      <c r="I1048">
        <v>367.1703</v>
      </c>
      <c r="J1048">
        <v>-260.36160000000001</v>
      </c>
      <c r="K1048">
        <v>1.1101049999999999</v>
      </c>
      <c r="L1048">
        <v>367.25369999999998</v>
      </c>
      <c r="M1048">
        <v>0.99982709999999997</v>
      </c>
      <c r="N1048">
        <v>0</v>
      </c>
      <c r="O1048">
        <v>-1.122226E-2</v>
      </c>
      <c r="P1048">
        <v>0.98258979999999996</v>
      </c>
      <c r="Q1048">
        <v>0.17579810000000001</v>
      </c>
      <c r="R1048">
        <v>-6.0101479999999999E-2</v>
      </c>
      <c r="S1048">
        <v>3.0695800000000002</v>
      </c>
      <c r="T1048">
        <v>-0.18006429999999901</v>
      </c>
      <c r="U1048">
        <v>-0.2664185</v>
      </c>
      <c r="V1048">
        <v>4.9030280000000002E-2</v>
      </c>
      <c r="W1048">
        <v>0.19036729999999999</v>
      </c>
      <c r="X1048">
        <v>0.98048780000000002</v>
      </c>
      <c r="Y1048">
        <v>7.5172069999999994E-2</v>
      </c>
      <c r="Z1048">
        <v>-1.54232E-3</v>
      </c>
      <c r="AA1048">
        <v>0.99716939999999998</v>
      </c>
      <c r="AB1048">
        <v>37</v>
      </c>
      <c r="AC1048">
        <v>0.79759999999998799</v>
      </c>
      <c r="AD1048">
        <v>-5.74669999999999E-2</v>
      </c>
      <c r="AE1048">
        <v>-8.3399999999983196E-2</v>
      </c>
      <c r="AF1048">
        <v>7.4062573886329197E-2</v>
      </c>
      <c r="AG1048">
        <v>-5.74669999999999E-2</v>
      </c>
      <c r="AH1048">
        <v>0.79440649017804399</v>
      </c>
      <c r="AI1048">
        <v>94.119739682390602</v>
      </c>
      <c r="AJ1048">
        <v>84.673706547179407</v>
      </c>
      <c r="AK1048">
        <v>0.79991836619536805</v>
      </c>
      <c r="AL1048">
        <v>79.025779840941297</v>
      </c>
      <c r="AM1048">
        <v>87.137251444308703</v>
      </c>
      <c r="AN1048">
        <v>1.0000000016074999</v>
      </c>
    </row>
    <row r="1049" spans="1:40" x14ac:dyDescent="0.25">
      <c r="A1049" t="str">
        <f>"20190312172913410"</f>
        <v>20190312172913410</v>
      </c>
      <c r="B1049" t="str">
        <f>"1552382953407989"</f>
        <v>1552382953407989</v>
      </c>
      <c r="C1049" t="s">
        <v>40</v>
      </c>
      <c r="D1049">
        <v>3.352338</v>
      </c>
      <c r="E1049">
        <v>0.52018310000000001</v>
      </c>
      <c r="F1049" t="s">
        <v>41</v>
      </c>
      <c r="G1049">
        <v>-242.203</v>
      </c>
      <c r="H1049" s="1">
        <v>-4.3933510000000003E-6</v>
      </c>
      <c r="I1049">
        <v>365.51690000000002</v>
      </c>
      <c r="J1049">
        <v>-260.17910000000001</v>
      </c>
      <c r="K1049">
        <v>1.1101080000000001</v>
      </c>
      <c r="L1049">
        <v>367.25170000000003</v>
      </c>
      <c r="M1049">
        <v>0.99982789999999999</v>
      </c>
      <c r="N1049">
        <v>0</v>
      </c>
      <c r="O1049">
        <v>-1.115938E-2</v>
      </c>
      <c r="P1049">
        <v>0.9825258</v>
      </c>
      <c r="Q1049">
        <v>0.17559569999999999</v>
      </c>
      <c r="R1049">
        <v>-6.1720829999999997E-2</v>
      </c>
      <c r="S1049">
        <v>3.068756</v>
      </c>
      <c r="T1049">
        <v>-0.18760560000000001</v>
      </c>
      <c r="U1049">
        <v>-0.293518099999999</v>
      </c>
      <c r="V1049">
        <v>5.0710249999999998E-2</v>
      </c>
      <c r="W1049">
        <v>0.190166</v>
      </c>
      <c r="X1049">
        <v>0.98044140000000002</v>
      </c>
      <c r="Y1049">
        <v>8.3962239999999994E-2</v>
      </c>
      <c r="Z1049">
        <v>-1.878254E-3</v>
      </c>
      <c r="AA1049">
        <v>0.9964672</v>
      </c>
      <c r="AB1049">
        <v>37</v>
      </c>
      <c r="AC1049">
        <v>17.976099999999999</v>
      </c>
      <c r="AD1049">
        <v>-1.110112393351</v>
      </c>
      <c r="AE1049">
        <v>-1.7347999999999999</v>
      </c>
      <c r="AF1049">
        <v>1.52829316726945</v>
      </c>
      <c r="AG1049">
        <v>-1.110112393351</v>
      </c>
      <c r="AH1049">
        <v>17.926606549060399</v>
      </c>
      <c r="AI1049">
        <v>93.530764449916205</v>
      </c>
      <c r="AJ1049">
        <v>85.127157661289701</v>
      </c>
      <c r="AK1049">
        <v>18.025849547131099</v>
      </c>
      <c r="AL1049">
        <v>79.037527941274902</v>
      </c>
      <c r="AM1049">
        <v>87.039194198319606</v>
      </c>
      <c r="AN1049">
        <v>0.99999998792251099</v>
      </c>
    </row>
    <row r="1050" spans="1:40" x14ac:dyDescent="0.25">
      <c r="A1050" t="str">
        <f>"20190312172913421"</f>
        <v>20190312172913421</v>
      </c>
      <c r="B1050" t="str">
        <f>"1552382953418725"</f>
        <v>1552382953418725</v>
      </c>
      <c r="C1050" t="s">
        <v>40</v>
      </c>
      <c r="D1050">
        <v>3.3234029999999999</v>
      </c>
      <c r="E1050">
        <v>0.52142699999999997</v>
      </c>
      <c r="F1050" t="s">
        <v>42</v>
      </c>
      <c r="G1050">
        <v>-259.23860000000002</v>
      </c>
      <c r="H1050">
        <v>1.0498350000000001</v>
      </c>
      <c r="I1050">
        <v>367.15089999999998</v>
      </c>
      <c r="J1050">
        <v>-259.9898</v>
      </c>
      <c r="K1050">
        <v>1.1101099999999999</v>
      </c>
      <c r="L1050">
        <v>367.24970000000002</v>
      </c>
      <c r="M1050">
        <v>0.99982850000000001</v>
      </c>
      <c r="N1050">
        <v>0</v>
      </c>
      <c r="O1050">
        <v>-1.109341E-2</v>
      </c>
      <c r="P1050">
        <v>0.98243270000000005</v>
      </c>
      <c r="Q1050">
        <v>0.17555899999999999</v>
      </c>
      <c r="R1050">
        <v>-6.3286800000000004E-2</v>
      </c>
      <c r="S1050">
        <v>3.0679319999999999</v>
      </c>
      <c r="T1050">
        <v>-0.19691929999999999</v>
      </c>
      <c r="U1050">
        <v>-0.328125</v>
      </c>
      <c r="V1050">
        <v>5.2340339999999999E-2</v>
      </c>
      <c r="W1050">
        <v>0.1901304</v>
      </c>
      <c r="X1050">
        <v>0.98036270000000003</v>
      </c>
      <c r="Y1050">
        <v>9.5137449999999998E-2</v>
      </c>
      <c r="Z1050">
        <v>-2.332219E-3</v>
      </c>
      <c r="AA1050">
        <v>0.99546140000000005</v>
      </c>
      <c r="AB1050">
        <v>37</v>
      </c>
      <c r="AC1050">
        <v>0.75119999999998199</v>
      </c>
      <c r="AD1050">
        <v>-6.0274999999999801E-2</v>
      </c>
      <c r="AE1050">
        <v>-9.8800000000039703E-2</v>
      </c>
      <c r="AF1050">
        <v>8.9890740961744403E-2</v>
      </c>
      <c r="AG1050">
        <v>-6.0274999999999801E-2</v>
      </c>
      <c r="AH1050">
        <v>0.74751908602017703</v>
      </c>
      <c r="AI1050">
        <v>94.577145728351496</v>
      </c>
      <c r="AJ1050">
        <v>83.142987709641105</v>
      </c>
      <c r="AK1050">
        <v>0.75531331571745297</v>
      </c>
      <c r="AL1050">
        <v>79.039606286285405</v>
      </c>
      <c r="AM1050">
        <v>86.943951306851503</v>
      </c>
      <c r="AN1050">
        <v>1.00000005187338</v>
      </c>
    </row>
    <row r="1051" spans="1:40" x14ac:dyDescent="0.25">
      <c r="A1051" t="str">
        <f>"20190312172913434"</f>
        <v>20190312172913434</v>
      </c>
      <c r="B1051" t="str">
        <f>"1552382953428485"</f>
        <v>1552382953428485</v>
      </c>
      <c r="C1051" t="s">
        <v>40</v>
      </c>
      <c r="D1051">
        <v>3.3586559999999999</v>
      </c>
      <c r="E1051">
        <v>0.52241150000000003</v>
      </c>
      <c r="F1051" t="s">
        <v>41</v>
      </c>
      <c r="G1051">
        <v>-242.94399999999999</v>
      </c>
      <c r="H1051" s="1">
        <v>-4.0733170000000003E-6</v>
      </c>
      <c r="I1051">
        <v>365.34629999999999</v>
      </c>
      <c r="J1051">
        <v>-259.79910000000001</v>
      </c>
      <c r="K1051">
        <v>1.1101160000000001</v>
      </c>
      <c r="L1051">
        <v>367.24759999999998</v>
      </c>
      <c r="M1051">
        <v>0.99982930000000003</v>
      </c>
      <c r="N1051">
        <v>0</v>
      </c>
      <c r="O1051">
        <v>-1.1025780000000001E-2</v>
      </c>
      <c r="P1051">
        <v>0.9824174</v>
      </c>
      <c r="Q1051">
        <v>0.1752002</v>
      </c>
      <c r="R1051">
        <v>-6.4506640000000004E-2</v>
      </c>
      <c r="S1051">
        <v>3.067291</v>
      </c>
      <c r="T1051">
        <v>-0.19975889999999999</v>
      </c>
      <c r="U1051">
        <v>-0.34249879999999999</v>
      </c>
      <c r="V1051">
        <v>5.3625560000000003E-2</v>
      </c>
      <c r="W1051">
        <v>0.1897732</v>
      </c>
      <c r="X1051">
        <v>0.98036239999999997</v>
      </c>
      <c r="Y1051">
        <v>9.9820610000000004E-2</v>
      </c>
      <c r="Z1051">
        <v>-2.5219249999999999E-3</v>
      </c>
      <c r="AA1051">
        <v>0.99500230000000001</v>
      </c>
      <c r="AB1051">
        <v>37</v>
      </c>
      <c r="AC1051">
        <v>16.855099999999901</v>
      </c>
      <c r="AD1051">
        <v>-1.11012007331699</v>
      </c>
      <c r="AE1051">
        <v>-1.90129999999999</v>
      </c>
      <c r="AF1051">
        <v>1.70800731718817</v>
      </c>
      <c r="AG1051">
        <v>-1.11012007331699</v>
      </c>
      <c r="AH1051">
        <v>16.803067031016202</v>
      </c>
      <c r="AI1051">
        <v>93.760517764894701</v>
      </c>
      <c r="AJ1051">
        <v>84.195902724829594</v>
      </c>
      <c r="AK1051">
        <v>16.926095746555799</v>
      </c>
      <c r="AL1051">
        <v>79.060451309176301</v>
      </c>
      <c r="AM1051">
        <v>86.869056417678905</v>
      </c>
      <c r="AN1051">
        <v>1.0000000017286499</v>
      </c>
    </row>
    <row r="1052" spans="1:40" x14ac:dyDescent="0.25">
      <c r="A1052" t="str">
        <f>"20190312172913445"</f>
        <v>20190312172913445</v>
      </c>
      <c r="B1052" t="str">
        <f>"1552382953438245"</f>
        <v>1552382953438245</v>
      </c>
      <c r="C1052" t="s">
        <v>40</v>
      </c>
      <c r="D1052">
        <v>3.3503229999999999</v>
      </c>
      <c r="E1052">
        <v>0.5232772</v>
      </c>
      <c r="F1052" t="s">
        <v>42</v>
      </c>
      <c r="G1052">
        <v>-258.90410000000003</v>
      </c>
      <c r="H1052">
        <v>1.0507770000000001</v>
      </c>
      <c r="I1052">
        <v>367.14429999999999</v>
      </c>
      <c r="J1052">
        <v>-259.61160000000001</v>
      </c>
      <c r="K1052">
        <v>1.11012</v>
      </c>
      <c r="L1052">
        <v>367.24560000000002</v>
      </c>
      <c r="M1052">
        <v>0.99983</v>
      </c>
      <c r="N1052">
        <v>0</v>
      </c>
      <c r="O1052">
        <v>-1.0959099999999999E-2</v>
      </c>
      <c r="P1052">
        <v>0.98238219999999998</v>
      </c>
      <c r="Q1052">
        <v>0.17484810000000001</v>
      </c>
      <c r="R1052">
        <v>-6.5981899999999996E-2</v>
      </c>
      <c r="S1052">
        <v>3.0668030000000002</v>
      </c>
      <c r="T1052">
        <v>-0.20348440000000001</v>
      </c>
      <c r="U1052">
        <v>-0.35354609999999997</v>
      </c>
      <c r="V1052">
        <v>5.5165560000000002E-2</v>
      </c>
      <c r="W1052">
        <v>0.1894216</v>
      </c>
      <c r="X1052">
        <v>0.98034500000000002</v>
      </c>
      <c r="Y1052">
        <v>0.10342750000000001</v>
      </c>
      <c r="Z1052">
        <v>-2.6922880000000001E-3</v>
      </c>
      <c r="AA1052">
        <v>0.9946334</v>
      </c>
      <c r="AB1052">
        <v>37</v>
      </c>
      <c r="AC1052">
        <v>0.70749999999998103</v>
      </c>
      <c r="AD1052">
        <v>-5.9342999999999903E-2</v>
      </c>
      <c r="AE1052">
        <v>-0.101300000000037</v>
      </c>
      <c r="AF1052">
        <v>9.2899051162851604E-2</v>
      </c>
      <c r="AG1052">
        <v>-5.9342999999999903E-2</v>
      </c>
      <c r="AH1052">
        <v>0.70371634416767403</v>
      </c>
      <c r="AI1052">
        <v>94.7789672484287</v>
      </c>
      <c r="AJ1052">
        <v>82.479749969086996</v>
      </c>
      <c r="AK1052">
        <v>0.71229805447205496</v>
      </c>
      <c r="AL1052">
        <v>79.080969187324001</v>
      </c>
      <c r="AM1052">
        <v>86.779272683620803</v>
      </c>
      <c r="AN1052">
        <v>1.0000000502908299</v>
      </c>
    </row>
    <row r="1053" spans="1:40" x14ac:dyDescent="0.25">
      <c r="A1053" t="str">
        <f>"20190312172913456"</f>
        <v>20190312172913456</v>
      </c>
      <c r="B1053" t="str">
        <f>"1552382953448005"</f>
        <v>1552382953448005</v>
      </c>
      <c r="C1053" t="s">
        <v>40</v>
      </c>
      <c r="D1053">
        <v>3.3320829999999999</v>
      </c>
      <c r="E1053">
        <v>0.5239878</v>
      </c>
      <c r="F1053" t="s">
        <v>42</v>
      </c>
      <c r="G1053">
        <v>-258.58010000000002</v>
      </c>
      <c r="H1053">
        <v>1.0408869999999999</v>
      </c>
      <c r="I1053">
        <v>367.1223</v>
      </c>
      <c r="J1053">
        <v>-259.41919999999999</v>
      </c>
      <c r="K1053">
        <v>1.110123</v>
      </c>
      <c r="L1053">
        <v>367.24349999999998</v>
      </c>
      <c r="M1053">
        <v>0.99983060000000001</v>
      </c>
      <c r="N1053">
        <v>0</v>
      </c>
      <c r="O1053">
        <v>-1.089028E-2</v>
      </c>
      <c r="P1053">
        <v>0.98238999999999999</v>
      </c>
      <c r="Q1053">
        <v>0.17433119999999999</v>
      </c>
      <c r="R1053">
        <v>-6.7219409999999993E-2</v>
      </c>
      <c r="S1053">
        <v>3.0659179999999999</v>
      </c>
      <c r="T1053">
        <v>-0.2061538</v>
      </c>
      <c r="U1053">
        <v>-0.36523440000000001</v>
      </c>
      <c r="V1053">
        <v>5.6469619999999998E-2</v>
      </c>
      <c r="W1053">
        <v>0.1889065</v>
      </c>
      <c r="X1053">
        <v>0.98037010000000002</v>
      </c>
      <c r="Y1053">
        <v>0.1072543</v>
      </c>
      <c r="Z1053">
        <v>-2.8603779999999998E-3</v>
      </c>
      <c r="AA1053">
        <v>0.99422750000000004</v>
      </c>
      <c r="AB1053">
        <v>37</v>
      </c>
      <c r="AC1053">
        <v>0.83909999999997298</v>
      </c>
      <c r="AD1053">
        <v>-6.9235999999999798E-2</v>
      </c>
      <c r="AE1053">
        <v>-0.121199999999987</v>
      </c>
      <c r="AF1053">
        <v>0.111311421020518</v>
      </c>
      <c r="AG1053">
        <v>-6.9235999999999798E-2</v>
      </c>
      <c r="AH1053">
        <v>0.83480287028934497</v>
      </c>
      <c r="AI1053">
        <v>94.699680844333301</v>
      </c>
      <c r="AJ1053">
        <v>82.405061829234</v>
      </c>
      <c r="AK1053">
        <v>0.84503235937385002</v>
      </c>
      <c r="AL1053">
        <v>79.111024420508201</v>
      </c>
      <c r="AM1053">
        <v>86.703388044315702</v>
      </c>
      <c r="AN1053">
        <v>1.0000000083495999</v>
      </c>
    </row>
    <row r="1054" spans="1:40" x14ac:dyDescent="0.25">
      <c r="A1054" t="str">
        <f>"20190312172913467"</f>
        <v>20190312172913467</v>
      </c>
      <c r="B1054" t="str">
        <f>"1552382953458741"</f>
        <v>1552382953458741</v>
      </c>
      <c r="C1054" t="s">
        <v>40</v>
      </c>
      <c r="D1054">
        <v>3.3708269999999998</v>
      </c>
      <c r="E1054">
        <v>0.5244991</v>
      </c>
      <c r="F1054" t="s">
        <v>41</v>
      </c>
      <c r="G1054">
        <v>-243.18389999999999</v>
      </c>
      <c r="H1054" s="1">
        <v>-3.9754850000000001E-6</v>
      </c>
      <c r="I1054">
        <v>365.25850000000003</v>
      </c>
      <c r="J1054">
        <v>-259.24669999999998</v>
      </c>
      <c r="K1054">
        <v>1.110123</v>
      </c>
      <c r="L1054">
        <v>367.24169999999998</v>
      </c>
      <c r="M1054">
        <v>0.99983149999999998</v>
      </c>
      <c r="N1054">
        <v>0</v>
      </c>
      <c r="O1054">
        <v>-1.082898E-2</v>
      </c>
      <c r="P1054">
        <v>0.98237390000000002</v>
      </c>
      <c r="Q1054">
        <v>0.17403869999999999</v>
      </c>
      <c r="R1054">
        <v>-6.8206210000000003E-2</v>
      </c>
      <c r="S1054">
        <v>3.065369</v>
      </c>
      <c r="T1054">
        <v>-0.20960280000000001</v>
      </c>
      <c r="U1054">
        <v>-0.37478640000000002</v>
      </c>
      <c r="V1054">
        <v>5.7516079999999997E-2</v>
      </c>
      <c r="W1054">
        <v>0.1886148</v>
      </c>
      <c r="X1054">
        <v>0.98036540000000005</v>
      </c>
      <c r="Y1054">
        <v>0.1103748</v>
      </c>
      <c r="Z1054">
        <v>-3.0184410000000002E-3</v>
      </c>
      <c r="AA1054">
        <v>0.99388549999999998</v>
      </c>
      <c r="AB1054">
        <v>37</v>
      </c>
      <c r="AC1054">
        <v>16.0627999999999</v>
      </c>
      <c r="AD1054">
        <v>-1.1101269754850001</v>
      </c>
      <c r="AE1054">
        <v>-1.9831999999999499</v>
      </c>
      <c r="AF1054">
        <v>1.80064931215278</v>
      </c>
      <c r="AG1054">
        <v>-1.1101269754850001</v>
      </c>
      <c r="AH1054">
        <v>16.0080232958972</v>
      </c>
      <c r="AI1054">
        <v>93.942223400236401</v>
      </c>
      <c r="AJ1054">
        <v>83.582108580175998</v>
      </c>
      <c r="AK1054">
        <v>16.147183336082001</v>
      </c>
      <c r="AL1054">
        <v>79.128043236771404</v>
      </c>
      <c r="AM1054">
        <v>86.642419710145106</v>
      </c>
      <c r="AN1054">
        <v>0.99999997987738298</v>
      </c>
    </row>
    <row r="1055" spans="1:40" x14ac:dyDescent="0.25">
      <c r="A1055" t="str">
        <f>"20190312172913479"</f>
        <v>20190312172913479</v>
      </c>
      <c r="B1055" t="str">
        <f>"1552382953468502"</f>
        <v>1552382953468502</v>
      </c>
      <c r="C1055" t="s">
        <v>40</v>
      </c>
      <c r="D1055">
        <v>3.354117</v>
      </c>
      <c r="E1055">
        <v>0.52496169999999998</v>
      </c>
      <c r="F1055" t="s">
        <v>42</v>
      </c>
      <c r="G1055">
        <v>-258.24779999999998</v>
      </c>
      <c r="H1055">
        <v>1.0409170000000001</v>
      </c>
      <c r="I1055">
        <v>367.11700000000002</v>
      </c>
      <c r="J1055">
        <v>-259.04320000000001</v>
      </c>
      <c r="K1055">
        <v>1.110123</v>
      </c>
      <c r="L1055">
        <v>367.2396</v>
      </c>
      <c r="M1055">
        <v>0.99983219999999995</v>
      </c>
      <c r="N1055">
        <v>0</v>
      </c>
      <c r="O1055">
        <v>-1.075659E-2</v>
      </c>
      <c r="P1055">
        <v>0.98236690000000004</v>
      </c>
      <c r="Q1055">
        <v>0.17371259999999999</v>
      </c>
      <c r="R1055">
        <v>-6.9135699999999994E-2</v>
      </c>
      <c r="S1055">
        <v>3.064972</v>
      </c>
      <c r="T1055">
        <v>-0.2125601</v>
      </c>
      <c r="U1055">
        <v>-0.38204959999999999</v>
      </c>
      <c r="V1055">
        <v>5.8515770000000002E-2</v>
      </c>
      <c r="W1055">
        <v>0.1882894</v>
      </c>
      <c r="X1055">
        <v>0.98036880000000004</v>
      </c>
      <c r="Y1055">
        <v>0.11276949999999999</v>
      </c>
      <c r="Z1055">
        <v>-3.1484939999999999E-3</v>
      </c>
      <c r="AA1055">
        <v>0.99361619999999995</v>
      </c>
      <c r="AB1055">
        <v>37</v>
      </c>
      <c r="AC1055">
        <v>0.79540000000002897</v>
      </c>
      <c r="AD1055">
        <v>-6.9205999999999795E-2</v>
      </c>
      <c r="AE1055">
        <v>-0.122600000000034</v>
      </c>
      <c r="AF1055">
        <v>0.113199102720984</v>
      </c>
      <c r="AG1055">
        <v>-6.9205999999999795E-2</v>
      </c>
      <c r="AH1055">
        <v>0.790824983170762</v>
      </c>
      <c r="AI1055">
        <v>94.951068433503806</v>
      </c>
      <c r="AJ1055">
        <v>81.853986448022496</v>
      </c>
      <c r="AK1055">
        <v>0.80187758498406303</v>
      </c>
      <c r="AL1055">
        <v>79.147027533007901</v>
      </c>
      <c r="AM1055">
        <v>86.584210252645505</v>
      </c>
      <c r="AN1055">
        <v>0.99999998875224605</v>
      </c>
    </row>
    <row r="1056" spans="1:40" x14ac:dyDescent="0.25">
      <c r="A1056" t="str">
        <f>"20190312172913489"</f>
        <v>20190312172913489</v>
      </c>
      <c r="B1056" t="str">
        <f>"1552382953478261"</f>
        <v>1552382953478261</v>
      </c>
      <c r="C1056" t="s">
        <v>40</v>
      </c>
      <c r="D1056">
        <v>3.3616069999999998</v>
      </c>
      <c r="E1056">
        <v>0.52531219999999901</v>
      </c>
      <c r="F1056" t="s">
        <v>41</v>
      </c>
      <c r="G1056">
        <v>-243.2424</v>
      </c>
      <c r="H1056" s="1">
        <v>-3.9520289999999998E-6</v>
      </c>
      <c r="I1056">
        <v>365.23500000000001</v>
      </c>
      <c r="J1056">
        <v>-258.86219999999997</v>
      </c>
      <c r="K1056">
        <v>1.1101209999999999</v>
      </c>
      <c r="L1056">
        <v>367.23759999999999</v>
      </c>
      <c r="M1056">
        <v>0.99983290000000002</v>
      </c>
      <c r="N1056">
        <v>0</v>
      </c>
      <c r="O1056">
        <v>-1.0692429999999999E-2</v>
      </c>
      <c r="P1056">
        <v>0.98230249999999997</v>
      </c>
      <c r="Q1056">
        <v>0.17365639999999999</v>
      </c>
      <c r="R1056">
        <v>-7.0179569999999997E-2</v>
      </c>
      <c r="S1056">
        <v>3.0645600000000002</v>
      </c>
      <c r="T1056">
        <v>-0.21530820000000001</v>
      </c>
      <c r="U1056">
        <v>-0.38879390000000003</v>
      </c>
      <c r="V1056">
        <v>5.9622799999999997E-2</v>
      </c>
      <c r="W1056">
        <v>0.1882327</v>
      </c>
      <c r="X1056">
        <v>0.98031299999999999</v>
      </c>
      <c r="Y1056">
        <v>0.1149903</v>
      </c>
      <c r="Z1056">
        <v>-3.2711839999999999E-3</v>
      </c>
      <c r="AA1056">
        <v>0.99336120000000006</v>
      </c>
      <c r="AB1056">
        <v>37</v>
      </c>
      <c r="AC1056">
        <v>15.6197999999999</v>
      </c>
      <c r="AD1056">
        <v>-1.110124952029</v>
      </c>
      <c r="AE1056">
        <v>-2.00259999999997</v>
      </c>
      <c r="AF1056">
        <v>1.8263773458033701</v>
      </c>
      <c r="AG1056">
        <v>-1.110124952029</v>
      </c>
      <c r="AH1056">
        <v>15.562981772735901</v>
      </c>
      <c r="AI1056">
        <v>94.052346307784802</v>
      </c>
      <c r="AJ1056">
        <v>83.306728527142795</v>
      </c>
      <c r="AK1056">
        <v>15.7090557729257</v>
      </c>
      <c r="AL1056">
        <v>79.150335505006296</v>
      </c>
      <c r="AM1056">
        <v>86.519548422617305</v>
      </c>
      <c r="AN1056">
        <v>1.0000000027990601</v>
      </c>
    </row>
    <row r="1057" spans="1:40" x14ac:dyDescent="0.25">
      <c r="A1057" t="str">
        <f>"20190312172913501"</f>
        <v>20190312172913501</v>
      </c>
      <c r="B1057" t="str">
        <f>"1552382953498757"</f>
        <v>1552382953498757</v>
      </c>
      <c r="C1057" t="s">
        <v>40</v>
      </c>
      <c r="D1057">
        <v>3.3430559999999998</v>
      </c>
      <c r="E1057">
        <v>0.52600619999999998</v>
      </c>
      <c r="F1057" t="s">
        <v>42</v>
      </c>
      <c r="G1057">
        <v>-257.91430000000003</v>
      </c>
      <c r="H1057">
        <v>1.0432600000000001</v>
      </c>
      <c r="I1057">
        <v>367.11520000000002</v>
      </c>
      <c r="J1057">
        <v>-258.67540000000002</v>
      </c>
      <c r="K1057">
        <v>1.110123</v>
      </c>
      <c r="L1057">
        <v>367.23570000000001</v>
      </c>
      <c r="M1057">
        <v>0.99983350000000004</v>
      </c>
      <c r="N1057">
        <v>0</v>
      </c>
      <c r="O1057">
        <v>-1.062624E-2</v>
      </c>
      <c r="P1057">
        <v>0.98230770000000001</v>
      </c>
      <c r="Q1057">
        <v>0.17325979999999999</v>
      </c>
      <c r="R1057">
        <v>-7.108275E-2</v>
      </c>
      <c r="S1057">
        <v>3.064117</v>
      </c>
      <c r="T1057">
        <v>-0.21646670000000001</v>
      </c>
      <c r="U1057">
        <v>-0.39474490000000001</v>
      </c>
      <c r="V1057">
        <v>6.0590159999999997E-2</v>
      </c>
      <c r="W1057">
        <v>0.187837</v>
      </c>
      <c r="X1057">
        <v>0.98032960000000002</v>
      </c>
      <c r="Y1057">
        <v>0.1169642</v>
      </c>
      <c r="Z1057">
        <v>-3.3628130000000001E-3</v>
      </c>
      <c r="AA1057">
        <v>0.99313039999999997</v>
      </c>
      <c r="AB1057">
        <v>37</v>
      </c>
      <c r="AC1057">
        <v>0.761099999999999</v>
      </c>
      <c r="AD1057">
        <v>-6.6862999999999895E-2</v>
      </c>
      <c r="AE1057">
        <v>-0.120499999999992</v>
      </c>
      <c r="AF1057">
        <v>0.111564705039188</v>
      </c>
      <c r="AG1057">
        <v>-6.6862999999999895E-2</v>
      </c>
      <c r="AH1057">
        <v>0.75664088536285201</v>
      </c>
      <c r="AI1057">
        <v>94.996266268029103</v>
      </c>
      <c r="AJ1057">
        <v>81.612324540020893</v>
      </c>
      <c r="AK1057">
        <v>0.76773874044635904</v>
      </c>
      <c r="AL1057">
        <v>79.173419341338303</v>
      </c>
      <c r="AM1057">
        <v>86.463281193477997</v>
      </c>
      <c r="AN1057">
        <v>1.0000000153469899</v>
      </c>
    </row>
    <row r="1058" spans="1:40" x14ac:dyDescent="0.25">
      <c r="A1058" t="str">
        <f>"20190312172913512"</f>
        <v>20190312172913512</v>
      </c>
      <c r="B1058" t="str">
        <f>"1552382953508517"</f>
        <v>1552382953508517</v>
      </c>
      <c r="C1058" t="s">
        <v>40</v>
      </c>
      <c r="D1058">
        <v>3.3608899999999999</v>
      </c>
      <c r="E1058">
        <v>0.52627740000000001</v>
      </c>
      <c r="F1058" t="s">
        <v>41</v>
      </c>
      <c r="G1058">
        <v>-243.20519999999999</v>
      </c>
      <c r="H1058" s="1">
        <v>-3.9757059999999996E-6</v>
      </c>
      <c r="I1058">
        <v>365.20060000000001</v>
      </c>
      <c r="J1058">
        <v>-258.49829999999997</v>
      </c>
      <c r="K1058">
        <v>1.110125</v>
      </c>
      <c r="L1058">
        <v>367.23390000000001</v>
      </c>
      <c r="M1058">
        <v>0.99983429999999995</v>
      </c>
      <c r="N1058">
        <v>0</v>
      </c>
      <c r="O1058">
        <v>-1.0564E-2</v>
      </c>
      <c r="P1058">
        <v>0.98224650000000002</v>
      </c>
      <c r="Q1058">
        <v>0.17328689999999999</v>
      </c>
      <c r="R1058">
        <v>-7.1860389999999996E-2</v>
      </c>
      <c r="S1058">
        <v>3.063644</v>
      </c>
      <c r="T1058">
        <v>-0.2198436</v>
      </c>
      <c r="U1058">
        <v>-0.40301510000000001</v>
      </c>
      <c r="V1058">
        <v>6.1429199999999899E-2</v>
      </c>
      <c r="W1058">
        <v>0.18786320000000001</v>
      </c>
      <c r="X1058">
        <v>0.98027240000000004</v>
      </c>
      <c r="Y1058">
        <v>0.1196661</v>
      </c>
      <c r="Z1058">
        <v>-3.5159240000000001E-3</v>
      </c>
      <c r="AA1058">
        <v>0.99280800000000002</v>
      </c>
      <c r="AB1058">
        <v>37</v>
      </c>
      <c r="AC1058">
        <v>15.2930999999999</v>
      </c>
      <c r="AD1058">
        <v>-1.110128975706</v>
      </c>
      <c r="AE1058">
        <v>-2.0332999999999899</v>
      </c>
      <c r="AF1058">
        <v>1.86197152341845</v>
      </c>
      <c r="AG1058">
        <v>-1.110128975706</v>
      </c>
      <c r="AH1058">
        <v>15.234845510362399</v>
      </c>
      <c r="AI1058">
        <v>94.136973987090897</v>
      </c>
      <c r="AJ1058">
        <v>83.031984671292193</v>
      </c>
      <c r="AK1058">
        <v>15.388302116261301</v>
      </c>
      <c r="AL1058">
        <v>79.171891400298904</v>
      </c>
      <c r="AM1058">
        <v>86.414223665596595</v>
      </c>
      <c r="AN1058">
        <v>1.0000000533643101</v>
      </c>
    </row>
    <row r="1059" spans="1:40" x14ac:dyDescent="0.25">
      <c r="A1059" t="str">
        <f>"20190312172913526"</f>
        <v>20190312172913526</v>
      </c>
      <c r="B1059" t="str">
        <f>"1552382953518277"</f>
        <v>1552382953518277</v>
      </c>
      <c r="C1059" t="s">
        <v>40</v>
      </c>
      <c r="D1059">
        <v>3.3605119999999999</v>
      </c>
      <c r="E1059">
        <v>0.52652140000000003</v>
      </c>
      <c r="F1059" t="s">
        <v>42</v>
      </c>
      <c r="G1059">
        <v>-257.58229999999998</v>
      </c>
      <c r="H1059">
        <v>1.044063</v>
      </c>
      <c r="I1059">
        <v>367.11189999999999</v>
      </c>
      <c r="J1059">
        <v>-258.27460000000002</v>
      </c>
      <c r="K1059">
        <v>1.1101289999999999</v>
      </c>
      <c r="L1059">
        <v>367.23160000000001</v>
      </c>
      <c r="M1059">
        <v>0.99983509999999998</v>
      </c>
      <c r="N1059">
        <v>0</v>
      </c>
      <c r="O1059">
        <v>-1.0485059999999999E-2</v>
      </c>
      <c r="P1059">
        <v>0.982298</v>
      </c>
      <c r="Q1059">
        <v>0.17283209999999999</v>
      </c>
      <c r="R1059">
        <v>-7.2249160000000007E-2</v>
      </c>
      <c r="S1059">
        <v>3.0634610000000002</v>
      </c>
      <c r="T1059">
        <v>-0.2211438</v>
      </c>
      <c r="U1059">
        <v>-0.40734860000000001</v>
      </c>
      <c r="V1059">
        <v>6.1894499999999998E-2</v>
      </c>
      <c r="W1059">
        <v>0.18740879999999999</v>
      </c>
      <c r="X1059">
        <v>0.98033000000000003</v>
      </c>
      <c r="Y1059">
        <v>0.1211251</v>
      </c>
      <c r="Z1059">
        <v>-3.5945769999999998E-3</v>
      </c>
      <c r="AA1059">
        <v>0.99263069999999998</v>
      </c>
      <c r="AB1059">
        <v>37</v>
      </c>
      <c r="AC1059">
        <v>0.69230000000004499</v>
      </c>
      <c r="AD1059">
        <v>-6.6066000000000097E-2</v>
      </c>
      <c r="AE1059">
        <v>-0.119700000000023</v>
      </c>
      <c r="AF1059">
        <v>0.111448333300562</v>
      </c>
      <c r="AG1059">
        <v>-6.6066000000000097E-2</v>
      </c>
      <c r="AH1059">
        <v>0.68743847066613595</v>
      </c>
      <c r="AI1059">
        <v>95.419203011069797</v>
      </c>
      <c r="AJ1059">
        <v>80.791261636580003</v>
      </c>
      <c r="AK1059">
        <v>0.69954063377567199</v>
      </c>
      <c r="AL1059">
        <v>79.198396233956402</v>
      </c>
      <c r="AM1059">
        <v>86.387346322482898</v>
      </c>
      <c r="AN1059">
        <v>0.99999994817384297</v>
      </c>
    </row>
    <row r="1060" spans="1:40" x14ac:dyDescent="0.25">
      <c r="A1060" t="str">
        <f>"20190312172913539"</f>
        <v>20190312172913539</v>
      </c>
      <c r="B1060" t="str">
        <f>"1552382953528037"</f>
        <v>1552382953528037</v>
      </c>
      <c r="C1060" t="s">
        <v>40</v>
      </c>
      <c r="D1060">
        <v>3.3665590000000001</v>
      </c>
      <c r="E1060">
        <v>0.52652509999999997</v>
      </c>
      <c r="F1060" t="s">
        <v>42</v>
      </c>
      <c r="G1060">
        <v>-257.25700000000001</v>
      </c>
      <c r="H1060">
        <v>1.035984</v>
      </c>
      <c r="I1060">
        <v>367.09519999999998</v>
      </c>
      <c r="J1060">
        <v>-258.04640000000001</v>
      </c>
      <c r="K1060">
        <v>1.110131</v>
      </c>
      <c r="L1060">
        <v>367.22930000000002</v>
      </c>
      <c r="M1060">
        <v>0.99983599999999995</v>
      </c>
      <c r="N1060">
        <v>0</v>
      </c>
      <c r="O1060">
        <v>-1.040481E-2</v>
      </c>
      <c r="P1060">
        <v>0.98229440000000001</v>
      </c>
      <c r="Q1060">
        <v>0.172596</v>
      </c>
      <c r="R1060">
        <v>-7.2859350000000003E-2</v>
      </c>
      <c r="S1060">
        <v>3.0632320000000002</v>
      </c>
      <c r="T1060">
        <v>-0.2234139</v>
      </c>
      <c r="U1060">
        <v>-0.4099121</v>
      </c>
      <c r="V1060">
        <v>6.2583159999999999E-2</v>
      </c>
      <c r="W1060">
        <v>0.1871728</v>
      </c>
      <c r="X1060">
        <v>0.98033139999999996</v>
      </c>
      <c r="Y1060">
        <v>0.1220222</v>
      </c>
      <c r="Z1060">
        <v>-3.6697940000000001E-3</v>
      </c>
      <c r="AA1060">
        <v>0.99252059999999998</v>
      </c>
      <c r="AB1060">
        <v>37</v>
      </c>
      <c r="AC1060">
        <v>0.78939999999999999</v>
      </c>
      <c r="AD1060">
        <v>-7.4146999999999894E-2</v>
      </c>
      <c r="AE1060">
        <v>-0.13410000000004599</v>
      </c>
      <c r="AF1060">
        <v>0.124808042457818</v>
      </c>
      <c r="AG1060">
        <v>-7.4146999999999894E-2</v>
      </c>
      <c r="AH1060">
        <v>0.78402959056347499</v>
      </c>
      <c r="AI1060">
        <v>95.335702939216802</v>
      </c>
      <c r="AJ1060">
        <v>80.955095976707995</v>
      </c>
      <c r="AK1060">
        <v>0.79735639707114903</v>
      </c>
      <c r="AL1060">
        <v>79.212161986706505</v>
      </c>
      <c r="AM1060">
        <v>86.3472640964535</v>
      </c>
      <c r="AN1060">
        <v>0.99999998140069202</v>
      </c>
    </row>
    <row r="1061" spans="1:40" x14ac:dyDescent="0.25">
      <c r="A1061" t="str">
        <f>"20190312172913555"</f>
        <v>20190312172913555</v>
      </c>
      <c r="B1061" t="str">
        <f>"1552382953548535"</f>
        <v>1552382953548535</v>
      </c>
      <c r="C1061" t="s">
        <v>40</v>
      </c>
      <c r="D1061">
        <v>3.3168299999999999</v>
      </c>
      <c r="E1061">
        <v>0.52630619999999995</v>
      </c>
      <c r="F1061" t="s">
        <v>41</v>
      </c>
      <c r="G1061">
        <v>-242.81450000000001</v>
      </c>
      <c r="H1061" s="1">
        <v>-4.1634169999999996E-6</v>
      </c>
      <c r="I1061">
        <v>365.18360000000001</v>
      </c>
      <c r="J1061">
        <v>-257.79149999999998</v>
      </c>
      <c r="K1061">
        <v>1.1101319999999999</v>
      </c>
      <c r="L1061">
        <v>367.22669999999999</v>
      </c>
      <c r="M1061">
        <v>0.99983690000000003</v>
      </c>
      <c r="N1061">
        <v>0</v>
      </c>
      <c r="O1061">
        <v>-1.031526E-2</v>
      </c>
      <c r="P1061">
        <v>0.9823615</v>
      </c>
      <c r="Q1061">
        <v>0.172127799999999</v>
      </c>
      <c r="R1061">
        <v>-7.3063450000000002E-2</v>
      </c>
      <c r="S1061">
        <v>3.0627900000000001</v>
      </c>
      <c r="T1061">
        <v>-0.2232227</v>
      </c>
      <c r="U1061">
        <v>-0.4113464</v>
      </c>
      <c r="V1061">
        <v>6.2874150000000004E-2</v>
      </c>
      <c r="W1061">
        <v>0.18670529999999999</v>
      </c>
      <c r="X1061">
        <v>0.98040190000000005</v>
      </c>
      <c r="Y1061">
        <v>0.12258529999999999</v>
      </c>
      <c r="Z1061">
        <v>-3.6939579999999998E-3</v>
      </c>
      <c r="AA1061">
        <v>0.99245110000000003</v>
      </c>
      <c r="AB1061">
        <v>37</v>
      </c>
      <c r="AC1061">
        <v>14.976999999999901</v>
      </c>
      <c r="AD1061">
        <v>-1.1101361634169999</v>
      </c>
      <c r="AE1061">
        <v>-2.0430999999999799</v>
      </c>
      <c r="AF1061">
        <v>1.8783511882167001</v>
      </c>
      <c r="AG1061">
        <v>-1.1101361634169999</v>
      </c>
      <c r="AH1061">
        <v>14.916821993165801</v>
      </c>
      <c r="AI1061">
        <v>94.222979979998698</v>
      </c>
      <c r="AJ1061">
        <v>82.822993993816993</v>
      </c>
      <c r="AK1061">
        <v>15.0755492060288</v>
      </c>
      <c r="AL1061">
        <v>79.239428161094196</v>
      </c>
      <c r="AM1061">
        <v>86.330589605243404</v>
      </c>
      <c r="AN1061">
        <v>0.99999995665496</v>
      </c>
    </row>
    <row r="1062" spans="1:40" x14ac:dyDescent="0.25">
      <c r="A1062" t="str">
        <f>"20190312172913568"</f>
        <v>20190312172913568</v>
      </c>
      <c r="B1062" t="str">
        <f>"1552382953558294"</f>
        <v>1552382953558294</v>
      </c>
      <c r="C1062" t="s">
        <v>40</v>
      </c>
      <c r="D1062">
        <v>3.3384179999999999</v>
      </c>
      <c r="E1062">
        <v>0.52620299999999998</v>
      </c>
      <c r="F1062" t="s">
        <v>42</v>
      </c>
      <c r="G1062">
        <v>-256.91800000000001</v>
      </c>
      <c r="H1062">
        <v>1.047912</v>
      </c>
      <c r="I1062">
        <v>367.10950000000003</v>
      </c>
      <c r="J1062">
        <v>-257.5745</v>
      </c>
      <c r="K1062">
        <v>1.110125</v>
      </c>
      <c r="L1062">
        <v>367.22449999999998</v>
      </c>
      <c r="M1062">
        <v>0.99983759999999999</v>
      </c>
      <c r="N1062">
        <v>0</v>
      </c>
      <c r="O1062">
        <v>-1.023871E-2</v>
      </c>
      <c r="P1062">
        <v>0.98250660000000001</v>
      </c>
      <c r="Q1062">
        <v>0.17144200000000001</v>
      </c>
      <c r="R1062">
        <v>-7.2722480000000006E-2</v>
      </c>
      <c r="S1062">
        <v>3.0616150000000002</v>
      </c>
      <c r="T1062">
        <v>-0.21823980000000001</v>
      </c>
      <c r="U1062">
        <v>-0.41027829999999899</v>
      </c>
      <c r="V1062">
        <v>6.2606800000000004E-2</v>
      </c>
      <c r="W1062">
        <v>0.18602089999999999</v>
      </c>
      <c r="X1062">
        <v>0.98054920000000001</v>
      </c>
      <c r="Y1062">
        <v>0.1223844</v>
      </c>
      <c r="Z1062">
        <v>-3.611464E-3</v>
      </c>
      <c r="AA1062">
        <v>0.99247620000000003</v>
      </c>
      <c r="AB1062">
        <v>37</v>
      </c>
      <c r="AC1062">
        <v>0.65649999999999398</v>
      </c>
      <c r="AD1062">
        <v>-6.2212999999999803E-2</v>
      </c>
      <c r="AE1062">
        <v>-0.114999999999952</v>
      </c>
      <c r="AF1062">
        <v>0.10733629893777701</v>
      </c>
      <c r="AG1062">
        <v>-6.2212999999999803E-2</v>
      </c>
      <c r="AH1062">
        <v>0.6519626225706</v>
      </c>
      <c r="AI1062">
        <v>95.378921078958001</v>
      </c>
      <c r="AJ1062">
        <v>80.650937778417202</v>
      </c>
      <c r="AK1062">
        <v>0.66366166053780296</v>
      </c>
      <c r="AL1062">
        <v>79.279341746588003</v>
      </c>
      <c r="AM1062">
        <v>86.346697513677299</v>
      </c>
      <c r="AN1062">
        <v>1.00000006013184</v>
      </c>
    </row>
    <row r="1063" spans="1:40" x14ac:dyDescent="0.25">
      <c r="A1063" t="str">
        <f>"20190312172913578"</f>
        <v>20190312172913578</v>
      </c>
      <c r="B1063" t="str">
        <f>"1552382953568054"</f>
        <v>1552382953568054</v>
      </c>
      <c r="C1063" t="s">
        <v>40</v>
      </c>
      <c r="D1063">
        <v>3.331305</v>
      </c>
      <c r="E1063">
        <v>0.52607040000000005</v>
      </c>
      <c r="F1063" t="s">
        <v>42</v>
      </c>
      <c r="G1063">
        <v>-256.59289999999999</v>
      </c>
      <c r="H1063">
        <v>1.0405199999999999</v>
      </c>
      <c r="I1063">
        <v>367.09339999999997</v>
      </c>
      <c r="J1063">
        <v>-257.38459999999998</v>
      </c>
      <c r="K1063">
        <v>1.110123</v>
      </c>
      <c r="L1063">
        <v>367.2226</v>
      </c>
      <c r="M1063">
        <v>0.99983840000000002</v>
      </c>
      <c r="N1063">
        <v>0</v>
      </c>
      <c r="O1063">
        <v>-1.0172179999999999E-2</v>
      </c>
      <c r="P1063">
        <v>0.98256339999999998</v>
      </c>
      <c r="Q1063">
        <v>0.17129029999999901</v>
      </c>
      <c r="R1063">
        <v>-7.2312500000000002E-2</v>
      </c>
      <c r="S1063">
        <v>3.0610810000000002</v>
      </c>
      <c r="T1063">
        <v>-0.2172618</v>
      </c>
      <c r="U1063">
        <v>-0.40829470000000001</v>
      </c>
      <c r="V1063">
        <v>6.2261509999999999E-2</v>
      </c>
      <c r="W1063">
        <v>0.18586859999999999</v>
      </c>
      <c r="X1063">
        <v>0.98060000000000003</v>
      </c>
      <c r="Y1063">
        <v>0.12184489999999901</v>
      </c>
      <c r="Z1063">
        <v>-3.5817499999999999E-3</v>
      </c>
      <c r="AA1063">
        <v>0.9925427</v>
      </c>
      <c r="AB1063">
        <v>37</v>
      </c>
      <c r="AC1063">
        <v>0.79169999999999097</v>
      </c>
      <c r="AD1063">
        <v>-6.9602999999999804E-2</v>
      </c>
      <c r="AE1063">
        <v>-0.12920000000002499</v>
      </c>
      <c r="AF1063">
        <v>0.120233909574126</v>
      </c>
      <c r="AG1063">
        <v>-6.9602999999999804E-2</v>
      </c>
      <c r="AH1063">
        <v>0.78704797420566697</v>
      </c>
      <c r="AI1063">
        <v>94.996170570877595</v>
      </c>
      <c r="AJ1063">
        <v>81.314323430285896</v>
      </c>
      <c r="AK1063">
        <v>0.79921541797047702</v>
      </c>
      <c r="AL1063">
        <v>79.288222082070106</v>
      </c>
      <c r="AM1063">
        <v>86.366979861014798</v>
      </c>
      <c r="AN1063">
        <v>0.99999999604671996</v>
      </c>
    </row>
    <row r="1064" spans="1:40" x14ac:dyDescent="0.25">
      <c r="A1064" t="str">
        <f>"20190312172913592"</f>
        <v>20190312172913592</v>
      </c>
      <c r="B1064" t="str">
        <f>"1552382953588549"</f>
        <v>1552382953588549</v>
      </c>
      <c r="C1064" t="s">
        <v>40</v>
      </c>
      <c r="D1064">
        <v>3.3325979999999999</v>
      </c>
      <c r="E1064">
        <v>0.52585159999999997</v>
      </c>
      <c r="F1064" t="s">
        <v>41</v>
      </c>
      <c r="G1064">
        <v>-241.5581</v>
      </c>
      <c r="H1064" s="1">
        <v>-4.7678700000000001E-6</v>
      </c>
      <c r="I1064">
        <v>365.1241</v>
      </c>
      <c r="J1064">
        <v>-257.18239999999997</v>
      </c>
      <c r="K1064">
        <v>1.110123</v>
      </c>
      <c r="L1064">
        <v>367.22059999999999</v>
      </c>
      <c r="M1064">
        <v>0.99983909999999998</v>
      </c>
      <c r="N1064">
        <v>0</v>
      </c>
      <c r="O1064">
        <v>-1.010077E-2</v>
      </c>
      <c r="P1064">
        <v>0.98261220000000005</v>
      </c>
      <c r="Q1064">
        <v>0.17120279999999999</v>
      </c>
      <c r="R1064">
        <v>-7.1855219999999997E-2</v>
      </c>
      <c r="S1064">
        <v>3.0608369999999998</v>
      </c>
      <c r="T1064">
        <v>-0.21469779999999999</v>
      </c>
      <c r="U1064">
        <v>-0.40585329999999997</v>
      </c>
      <c r="V1064">
        <v>6.187376E-2</v>
      </c>
      <c r="W1064">
        <v>0.18578049999999999</v>
      </c>
      <c r="X1064">
        <v>0.98064119999999999</v>
      </c>
      <c r="Y1064">
        <v>0.1211561</v>
      </c>
      <c r="Z1064">
        <v>-3.5210049999999998E-3</v>
      </c>
      <c r="AA1064">
        <v>0.99262720000000004</v>
      </c>
      <c r="AB1064">
        <v>37</v>
      </c>
      <c r="AC1064">
        <v>15.6242999999999</v>
      </c>
      <c r="AD1064">
        <v>-1.1101277678699999</v>
      </c>
      <c r="AE1064">
        <v>-2.09649999999999</v>
      </c>
      <c r="AF1064">
        <v>1.9289923300482901</v>
      </c>
      <c r="AG1064">
        <v>-1.1101277678699999</v>
      </c>
      <c r="AH1064">
        <v>15.5674820615728</v>
      </c>
      <c r="AI1064">
        <v>94.048041932311307</v>
      </c>
      <c r="AJ1064">
        <v>82.936390575202694</v>
      </c>
      <c r="AK1064">
        <v>15.7257716124765</v>
      </c>
      <c r="AL1064">
        <v>79.293358922533699</v>
      </c>
      <c r="AM1064">
        <v>86.389696705891296</v>
      </c>
      <c r="AN1064">
        <v>0.99999995974711298</v>
      </c>
    </row>
    <row r="1065" spans="1:40" x14ac:dyDescent="0.25">
      <c r="A1065" t="str">
        <f>"20190312172913603"</f>
        <v>20190312172913603</v>
      </c>
      <c r="B1065" t="str">
        <f>"1552382953598309"</f>
        <v>1552382953598309</v>
      </c>
      <c r="C1065" t="s">
        <v>40</v>
      </c>
      <c r="D1065">
        <v>3.3677109999999999</v>
      </c>
      <c r="E1065">
        <v>0.52572439999999998</v>
      </c>
      <c r="F1065" t="s">
        <v>42</v>
      </c>
      <c r="G1065">
        <v>-256.25839999999999</v>
      </c>
      <c r="H1065">
        <v>1.046967</v>
      </c>
      <c r="I1065">
        <v>367.09879999999998</v>
      </c>
      <c r="J1065">
        <v>-256.99329999999998</v>
      </c>
      <c r="K1065">
        <v>1.1101270000000001</v>
      </c>
      <c r="L1065">
        <v>367.21879999999999</v>
      </c>
      <c r="M1065">
        <v>0.99983979999999995</v>
      </c>
      <c r="N1065">
        <v>0</v>
      </c>
      <c r="O1065">
        <v>-1.003424E-2</v>
      </c>
      <c r="P1065">
        <v>0.98266969999999998</v>
      </c>
      <c r="Q1065">
        <v>0.17116189999999901</v>
      </c>
      <c r="R1065">
        <v>-7.1163390000000007E-2</v>
      </c>
      <c r="S1065">
        <v>3.0601039999999999</v>
      </c>
      <c r="T1065">
        <v>-0.2094752</v>
      </c>
      <c r="U1065">
        <v>-0.40277099999999999</v>
      </c>
      <c r="V1065">
        <v>6.1246679999999998E-2</v>
      </c>
      <c r="W1065">
        <v>0.1857393</v>
      </c>
      <c r="X1065">
        <v>0.98068840000000002</v>
      </c>
      <c r="Y1065">
        <v>0.1202849</v>
      </c>
      <c r="Z1065">
        <v>-3.4114639999999999E-3</v>
      </c>
      <c r="AA1065">
        <v>0.99273350000000005</v>
      </c>
      <c r="AB1065">
        <v>37</v>
      </c>
      <c r="AC1065">
        <v>0.73489999999998101</v>
      </c>
      <c r="AD1065">
        <v>-6.3160000000000105E-2</v>
      </c>
      <c r="AE1065">
        <v>-0.12000000000000401</v>
      </c>
      <c r="AF1065">
        <v>0.111814535864662</v>
      </c>
      <c r="AG1065">
        <v>-6.3160000000000105E-2</v>
      </c>
      <c r="AH1065">
        <v>0.730809434976188</v>
      </c>
      <c r="AI1065">
        <v>94.882954846136499</v>
      </c>
      <c r="AJ1065">
        <v>81.301150809160404</v>
      </c>
      <c r="AK1065">
        <v>0.74200681013104197</v>
      </c>
      <c r="AL1065">
        <v>79.295761656647997</v>
      </c>
      <c r="AM1065">
        <v>86.426362759476007</v>
      </c>
      <c r="AN1065">
        <v>0.99999999063503597</v>
      </c>
    </row>
    <row r="1066" spans="1:40" x14ac:dyDescent="0.25">
      <c r="A1066" t="str">
        <f>"20190312172913613"</f>
        <v>20190312172913613</v>
      </c>
      <c r="B1066" t="str">
        <f>"1552382953608069"</f>
        <v>1552382953608069</v>
      </c>
      <c r="C1066" t="s">
        <v>40</v>
      </c>
      <c r="D1066">
        <v>3.3086340000000001</v>
      </c>
      <c r="E1066">
        <v>0.52561459999999904</v>
      </c>
      <c r="F1066" t="s">
        <v>41</v>
      </c>
      <c r="G1066">
        <v>-240.6105</v>
      </c>
      <c r="H1066" s="1">
        <v>-5.2237989999999996E-6</v>
      </c>
      <c r="I1066">
        <v>365.07889999999998</v>
      </c>
      <c r="J1066">
        <v>-256.81459999999998</v>
      </c>
      <c r="K1066">
        <v>1.1101270000000001</v>
      </c>
      <c r="L1066">
        <v>367.21710000000002</v>
      </c>
      <c r="M1066">
        <v>0.99984059999999997</v>
      </c>
      <c r="N1066">
        <v>0</v>
      </c>
      <c r="O1066">
        <v>-9.9714079999999993E-3</v>
      </c>
      <c r="P1066">
        <v>0.98272130000000002</v>
      </c>
      <c r="Q1066">
        <v>0.1711666</v>
      </c>
      <c r="R1066">
        <v>-7.0431839999999996E-2</v>
      </c>
      <c r="S1066">
        <v>3.0600740000000002</v>
      </c>
      <c r="T1066">
        <v>-0.20735729999999999</v>
      </c>
      <c r="U1066">
        <v>-0.39968870000000001</v>
      </c>
      <c r="V1066">
        <v>6.0576680000000001E-2</v>
      </c>
      <c r="W1066">
        <v>0.18574350000000001</v>
      </c>
      <c r="X1066">
        <v>0.98072919999999997</v>
      </c>
      <c r="Y1066">
        <v>0.11937250000000001</v>
      </c>
      <c r="Z1066">
        <v>-3.3507879999999999E-3</v>
      </c>
      <c r="AA1066">
        <v>0.9928439</v>
      </c>
      <c r="AB1066">
        <v>37</v>
      </c>
      <c r="AC1066">
        <v>16.204099999999901</v>
      </c>
      <c r="AD1066">
        <v>-1.1101322237989999</v>
      </c>
      <c r="AE1066">
        <v>-2.1382000000000398</v>
      </c>
      <c r="AF1066">
        <v>1.96742213668861</v>
      </c>
      <c r="AG1066">
        <v>-1.1101322237989999</v>
      </c>
      <c r="AH1066">
        <v>16.150113641156501</v>
      </c>
      <c r="AI1066">
        <v>93.9034646201263</v>
      </c>
      <c r="AJ1066">
        <v>83.054397336751904</v>
      </c>
      <c r="AK1066">
        <v>16.307339269191601</v>
      </c>
      <c r="AL1066">
        <v>79.295516560006902</v>
      </c>
      <c r="AM1066">
        <v>86.465503110410907</v>
      </c>
      <c r="AN1066">
        <v>0.99999997284235498</v>
      </c>
    </row>
    <row r="1067" spans="1:40" x14ac:dyDescent="0.25">
      <c r="A1067" t="str">
        <f>"20190312172913624"</f>
        <v>20190312172913624</v>
      </c>
      <c r="B1067" t="str">
        <f>"1552382953618805"</f>
        <v>1552382953618805</v>
      </c>
      <c r="C1067" t="s">
        <v>40</v>
      </c>
      <c r="D1067">
        <v>3.331823</v>
      </c>
      <c r="E1067">
        <v>0.525524199999999</v>
      </c>
      <c r="F1067" t="s">
        <v>41</v>
      </c>
      <c r="G1067">
        <v>-240.22389999999999</v>
      </c>
      <c r="H1067" s="1">
        <v>-5.4084069999999997E-6</v>
      </c>
      <c r="I1067">
        <v>365.0686</v>
      </c>
      <c r="J1067">
        <v>-256.63959999999997</v>
      </c>
      <c r="K1067">
        <v>1.110128</v>
      </c>
      <c r="L1067">
        <v>367.21530000000001</v>
      </c>
      <c r="M1067">
        <v>0.99984110000000004</v>
      </c>
      <c r="N1067">
        <v>0</v>
      </c>
      <c r="O1067">
        <v>-9.9095309999999992E-3</v>
      </c>
      <c r="P1067">
        <v>0.98279550000000004</v>
      </c>
      <c r="Q1067">
        <v>0.1711492</v>
      </c>
      <c r="R1067">
        <v>-6.9433889999999998E-2</v>
      </c>
      <c r="S1067">
        <v>3.0599980000000002</v>
      </c>
      <c r="T1067">
        <v>-0.2047535</v>
      </c>
      <c r="U1067">
        <v>-0.39627079999999998</v>
      </c>
      <c r="V1067">
        <v>5.963856E-2</v>
      </c>
      <c r="W1067">
        <v>0.18572559999999999</v>
      </c>
      <c r="X1067">
        <v>0.9807901</v>
      </c>
      <c r="Y1067">
        <v>0.11835469999999999</v>
      </c>
      <c r="Z1067">
        <v>-3.279368E-3</v>
      </c>
      <c r="AA1067">
        <v>0.99296600000000002</v>
      </c>
      <c r="AB1067">
        <v>37</v>
      </c>
      <c r="AC1067">
        <v>16.415699999999902</v>
      </c>
      <c r="AD1067">
        <v>-1.110133408407</v>
      </c>
      <c r="AE1067">
        <v>-2.1467000000000098</v>
      </c>
      <c r="AF1067">
        <v>1.9750242725137299</v>
      </c>
      <c r="AG1067">
        <v>-1.110133408407</v>
      </c>
      <c r="AH1067">
        <v>16.362595734138601</v>
      </c>
      <c r="AI1067">
        <v>93.853445577142296</v>
      </c>
      <c r="AJ1067">
        <v>83.117488647566304</v>
      </c>
      <c r="AK1067">
        <v>16.518706251408801</v>
      </c>
      <c r="AL1067">
        <v>79.296560483245301</v>
      </c>
      <c r="AM1067">
        <v>86.520320033805405</v>
      </c>
      <c r="AN1067">
        <v>0.99999998829612102</v>
      </c>
    </row>
    <row r="1068" spans="1:40" x14ac:dyDescent="0.25">
      <c r="A1068" t="str">
        <f>"20190312172913634"</f>
        <v>20190312172913634</v>
      </c>
      <c r="B1068" t="str">
        <f>"1552382953628565"</f>
        <v>1552382953628565</v>
      </c>
      <c r="C1068" t="s">
        <v>40</v>
      </c>
      <c r="D1068">
        <v>3.3445580000000001</v>
      </c>
      <c r="E1068">
        <v>0.52545019999999998</v>
      </c>
      <c r="F1068" t="s">
        <v>42</v>
      </c>
      <c r="G1068">
        <v>-255.6036</v>
      </c>
      <c r="H1068">
        <v>1.0415289999999999</v>
      </c>
      <c r="I1068">
        <v>367.08240000000001</v>
      </c>
      <c r="J1068">
        <v>-256.46690000000001</v>
      </c>
      <c r="K1068">
        <v>1.110128</v>
      </c>
      <c r="L1068">
        <v>367.21370000000002</v>
      </c>
      <c r="M1068">
        <v>0.99984170000000006</v>
      </c>
      <c r="N1068">
        <v>0</v>
      </c>
      <c r="O1068">
        <v>-9.8487269999999998E-3</v>
      </c>
      <c r="P1068">
        <v>0.98282599999999998</v>
      </c>
      <c r="Q1068">
        <v>0.17116789999999901</v>
      </c>
      <c r="R1068">
        <v>-6.8957019999999994E-2</v>
      </c>
      <c r="S1068">
        <v>3.0600740000000002</v>
      </c>
      <c r="T1068">
        <v>-0.20275869999999999</v>
      </c>
      <c r="U1068">
        <v>-0.39251710000000001</v>
      </c>
      <c r="V1068">
        <v>5.9221210000000003E-2</v>
      </c>
      <c r="W1068">
        <v>0.18574350000000001</v>
      </c>
      <c r="X1068">
        <v>0.98081200000000002</v>
      </c>
      <c r="Y1068">
        <v>0.11722059999999999</v>
      </c>
      <c r="Z1068">
        <v>-3.214288E-3</v>
      </c>
      <c r="AA1068">
        <v>0.99310069999999995</v>
      </c>
      <c r="AB1068">
        <v>37</v>
      </c>
      <c r="AC1068">
        <v>0.86330000000000895</v>
      </c>
      <c r="AD1068">
        <v>-6.8598999999999799E-2</v>
      </c>
      <c r="AE1068">
        <v>-0.13130000000000999</v>
      </c>
      <c r="AF1068">
        <v>0.122037156217797</v>
      </c>
      <c r="AG1068">
        <v>-6.8598999999999799E-2</v>
      </c>
      <c r="AH1068">
        <v>0.85924867146414896</v>
      </c>
      <c r="AI1068">
        <v>94.519421594645294</v>
      </c>
      <c r="AJ1068">
        <v>81.916473292777297</v>
      </c>
      <c r="AK1068">
        <v>0.87057864073938396</v>
      </c>
      <c r="AL1068">
        <v>79.295516739610704</v>
      </c>
      <c r="AM1068">
        <v>86.544688555855302</v>
      </c>
      <c r="AN1068">
        <v>0.99999998942505697</v>
      </c>
    </row>
    <row r="1069" spans="1:40" x14ac:dyDescent="0.25">
      <c r="A1069" t="str">
        <f>"20190312172913646"</f>
        <v>20190312172913646</v>
      </c>
      <c r="B1069" t="str">
        <f>"1552382953638325"</f>
        <v>1552382953638325</v>
      </c>
      <c r="C1069" t="s">
        <v>40</v>
      </c>
      <c r="D1069">
        <v>3.298054</v>
      </c>
      <c r="E1069">
        <v>0.52536859999999996</v>
      </c>
      <c r="F1069" t="s">
        <v>41</v>
      </c>
      <c r="G1069">
        <v>-239.5333</v>
      </c>
      <c r="H1069" s="1">
        <v>-1.35867E-6</v>
      </c>
      <c r="I1069">
        <v>365.05450000000002</v>
      </c>
      <c r="J1069">
        <v>-256.28949999999998</v>
      </c>
      <c r="K1069">
        <v>1.110128</v>
      </c>
      <c r="L1069">
        <v>367.21199999999999</v>
      </c>
      <c r="M1069">
        <v>0.99984220000000001</v>
      </c>
      <c r="N1069">
        <v>0</v>
      </c>
      <c r="O1069">
        <v>-9.7860159999999998E-3</v>
      </c>
      <c r="P1069">
        <v>0.982873</v>
      </c>
      <c r="Q1069">
        <v>0.1711464</v>
      </c>
      <c r="R1069">
        <v>-6.8333980000000002E-2</v>
      </c>
      <c r="S1069">
        <v>3.0600130000000001</v>
      </c>
      <c r="T1069">
        <v>-0.20060749999999999</v>
      </c>
      <c r="U1069">
        <v>-0.39016719999999999</v>
      </c>
      <c r="V1069">
        <v>5.865944E-2</v>
      </c>
      <c r="W1069">
        <v>0.18572140000000001</v>
      </c>
      <c r="X1069">
        <v>0.98084990000000005</v>
      </c>
      <c r="Y1069">
        <v>0.11654109999999999</v>
      </c>
      <c r="Z1069">
        <v>-3.162406E-3</v>
      </c>
      <c r="AA1069">
        <v>0.99318079999999997</v>
      </c>
      <c r="AB1069">
        <v>37</v>
      </c>
      <c r="AC1069">
        <v>16.7561999999999</v>
      </c>
      <c r="AD1069">
        <v>-1.1101293586700001</v>
      </c>
      <c r="AE1069">
        <v>-2.15749999999997</v>
      </c>
      <c r="AF1069">
        <v>1.9848322389470501</v>
      </c>
      <c r="AG1069">
        <v>-1.1101293586700001</v>
      </c>
      <c r="AH1069">
        <v>16.704388142393299</v>
      </c>
      <c r="AI1069">
        <v>93.775652639411902</v>
      </c>
      <c r="AJ1069">
        <v>83.223828176145801</v>
      </c>
      <c r="AK1069">
        <v>16.8584853833752</v>
      </c>
      <c r="AL1069">
        <v>79.296804942634694</v>
      </c>
      <c r="AM1069">
        <v>86.577519145924995</v>
      </c>
      <c r="AN1069">
        <v>0.99999994732454001</v>
      </c>
    </row>
    <row r="1070" spans="1:40" x14ac:dyDescent="0.25">
      <c r="A1070" t="str">
        <f>"20190312172913656"</f>
        <v>20190312172913656</v>
      </c>
      <c r="B1070" t="str">
        <f>"1552382953648085"</f>
        <v>1552382953648085</v>
      </c>
      <c r="C1070" t="s">
        <v>40</v>
      </c>
      <c r="D1070">
        <v>3.330937</v>
      </c>
      <c r="E1070">
        <v>0.52533759999999996</v>
      </c>
      <c r="F1070" t="s">
        <v>42</v>
      </c>
      <c r="G1070">
        <v>-255.2731</v>
      </c>
      <c r="H1070">
        <v>1.0441769999999999</v>
      </c>
      <c r="I1070">
        <v>367.0829</v>
      </c>
      <c r="J1070">
        <v>-256.10489999999999</v>
      </c>
      <c r="K1070">
        <v>1.1101299999999901</v>
      </c>
      <c r="L1070">
        <v>367.21030000000002</v>
      </c>
      <c r="M1070">
        <v>0.99984289999999998</v>
      </c>
      <c r="N1070">
        <v>0</v>
      </c>
      <c r="O1070">
        <v>-9.7209210000000004E-3</v>
      </c>
      <c r="P1070">
        <v>0.98295940000000004</v>
      </c>
      <c r="Q1070">
        <v>0.17091899999999999</v>
      </c>
      <c r="R1070">
        <v>-6.7658060000000006E-2</v>
      </c>
      <c r="S1070">
        <v>3.0599370000000001</v>
      </c>
      <c r="T1070">
        <v>-0.19882089999999999</v>
      </c>
      <c r="U1070">
        <v>-0.38772580000000001</v>
      </c>
      <c r="V1070">
        <v>5.804662E-2</v>
      </c>
      <c r="W1070">
        <v>0.18549370000000001</v>
      </c>
      <c r="X1070">
        <v>0.98092950000000001</v>
      </c>
      <c r="Y1070">
        <v>0.1158343</v>
      </c>
      <c r="Z1070">
        <v>-3.1158940000000001E-3</v>
      </c>
      <c r="AA1070">
        <v>0.99326369999999997</v>
      </c>
      <c r="AB1070">
        <v>37</v>
      </c>
      <c r="AC1070">
        <v>0.83179999999998699</v>
      </c>
      <c r="AD1070">
        <v>-6.5952999999999706E-2</v>
      </c>
      <c r="AE1070">
        <v>-0.127400000000022</v>
      </c>
      <c r="AF1070">
        <v>0.11857883166975899</v>
      </c>
      <c r="AG1070">
        <v>-6.5952999999999706E-2</v>
      </c>
      <c r="AH1070">
        <v>0.827913625672693</v>
      </c>
      <c r="AI1070">
        <v>94.508841228234502</v>
      </c>
      <c r="AJ1070">
        <v>81.849182370844503</v>
      </c>
      <c r="AK1070">
        <v>0.838958705243392</v>
      </c>
      <c r="AL1070">
        <v>79.310082499776499</v>
      </c>
      <c r="AM1070">
        <v>86.613464609528194</v>
      </c>
      <c r="AN1070">
        <v>1.00000000340168</v>
      </c>
    </row>
    <row r="1071" spans="1:40" x14ac:dyDescent="0.25">
      <c r="A1071" t="str">
        <f>"20190312172913668"</f>
        <v>20190312172913668</v>
      </c>
      <c r="B1071" t="str">
        <f>"1552382953658821"</f>
        <v>1552382953658821</v>
      </c>
      <c r="C1071" t="s">
        <v>40</v>
      </c>
      <c r="D1071">
        <v>3.3015469999999998</v>
      </c>
      <c r="E1071">
        <v>0.52528039999999998</v>
      </c>
      <c r="F1071" t="s">
        <v>41</v>
      </c>
      <c r="G1071">
        <v>-238.92439999999999</v>
      </c>
      <c r="H1071" s="1">
        <v>-1.56737E-6</v>
      </c>
      <c r="I1071">
        <v>365.04899999999998</v>
      </c>
      <c r="J1071">
        <v>-255.92359999999999</v>
      </c>
      <c r="K1071">
        <v>1.1101289999999999</v>
      </c>
      <c r="L1071">
        <v>367.20859999999999</v>
      </c>
      <c r="M1071">
        <v>0.99984360000000005</v>
      </c>
      <c r="N1071">
        <v>0</v>
      </c>
      <c r="O1071">
        <v>-9.6568980000000006E-3</v>
      </c>
      <c r="P1071">
        <v>0.98299959999999997</v>
      </c>
      <c r="Q1071">
        <v>0.17091909999999999</v>
      </c>
      <c r="R1071">
        <v>-6.7075029999999994E-2</v>
      </c>
      <c r="S1071">
        <v>3.0598909999999999</v>
      </c>
      <c r="T1071">
        <v>-0.19771610000000001</v>
      </c>
      <c r="U1071">
        <v>-0.38491819999999999</v>
      </c>
      <c r="V1071">
        <v>5.7525930000000003E-2</v>
      </c>
      <c r="W1071">
        <v>0.18549280000000001</v>
      </c>
      <c r="X1071">
        <v>0.98096030000000001</v>
      </c>
      <c r="Y1071">
        <v>0.1150066</v>
      </c>
      <c r="Z1071">
        <v>-3.0763449999999999E-3</v>
      </c>
      <c r="AA1071">
        <v>0.99336000000000002</v>
      </c>
      <c r="AB1071">
        <v>37</v>
      </c>
      <c r="AC1071">
        <v>16.999199999999998</v>
      </c>
      <c r="AD1071">
        <v>-1.1101305673699999</v>
      </c>
      <c r="AE1071">
        <v>-2.15959999999995</v>
      </c>
      <c r="AF1071">
        <v>1.9869823733682701</v>
      </c>
      <c r="AG1071">
        <v>-1.1101305673699999</v>
      </c>
      <c r="AH1071">
        <v>16.948133369056499</v>
      </c>
      <c r="AI1071">
        <v>93.722193057875103</v>
      </c>
      <c r="AJ1071">
        <v>83.313224598560097</v>
      </c>
      <c r="AK1071">
        <v>17.100284018811202</v>
      </c>
      <c r="AL1071">
        <v>79.310134516193301</v>
      </c>
      <c r="AM1071">
        <v>86.643877903054005</v>
      </c>
      <c r="AN1071">
        <v>0.99999996082514597</v>
      </c>
    </row>
    <row r="1072" spans="1:40" x14ac:dyDescent="0.25">
      <c r="A1072" t="str">
        <f>"20190312172913679"</f>
        <v>20190312172913679</v>
      </c>
      <c r="B1072" t="str">
        <f>"1552382953668581"</f>
        <v>1552382953668581</v>
      </c>
      <c r="C1072" t="s">
        <v>40</v>
      </c>
      <c r="D1072">
        <v>3.7976459999999999</v>
      </c>
      <c r="E1072">
        <v>0.52526430000000002</v>
      </c>
      <c r="F1072" t="s">
        <v>42</v>
      </c>
      <c r="G1072">
        <v>-254.93979999999999</v>
      </c>
      <c r="H1072">
        <v>1.0472549999999901</v>
      </c>
      <c r="I1072">
        <v>367.08519999999999</v>
      </c>
      <c r="J1072">
        <v>-255.73679999999999</v>
      </c>
      <c r="K1072">
        <v>1.1101289999999999</v>
      </c>
      <c r="L1072">
        <v>367.20679999999999</v>
      </c>
      <c r="M1072">
        <v>0.99984430000000002</v>
      </c>
      <c r="N1072">
        <v>0</v>
      </c>
      <c r="O1072">
        <v>-9.5912069999999992E-3</v>
      </c>
      <c r="P1072">
        <v>0.98301280000000002</v>
      </c>
      <c r="Q1072">
        <v>0.17101179999999999</v>
      </c>
      <c r="R1072">
        <v>-6.6640480000000002E-2</v>
      </c>
      <c r="S1072">
        <v>3.0597989999999999</v>
      </c>
      <c r="T1072">
        <v>-0.1957334</v>
      </c>
      <c r="U1072">
        <v>-0.38299559999999999</v>
      </c>
      <c r="V1072">
        <v>5.7156289999999998E-2</v>
      </c>
      <c r="W1072">
        <v>0.1855842</v>
      </c>
      <c r="X1072">
        <v>0.98096470000000002</v>
      </c>
      <c r="Y1072">
        <v>0.11446630000000001</v>
      </c>
      <c r="Z1072">
        <v>-3.0327489999999999E-3</v>
      </c>
      <c r="AA1072">
        <v>0.99342249999999999</v>
      </c>
      <c r="AB1072">
        <v>37</v>
      </c>
      <c r="AC1072">
        <v>0.79699999999999704</v>
      </c>
      <c r="AD1072">
        <v>-6.2874000000000305E-2</v>
      </c>
      <c r="AE1072">
        <v>-0.1216</v>
      </c>
      <c r="AF1072">
        <v>0.113260547496304</v>
      </c>
      <c r="AG1072">
        <v>-6.2874000000000305E-2</v>
      </c>
      <c r="AH1072">
        <v>0.79330503258565099</v>
      </c>
      <c r="AI1072">
        <v>94.486245289172203</v>
      </c>
      <c r="AJ1072">
        <v>81.874763302341904</v>
      </c>
      <c r="AK1072">
        <v>0.80381214610186302</v>
      </c>
      <c r="AL1072">
        <v>79.304806001524597</v>
      </c>
      <c r="AM1072">
        <v>86.665409183996701</v>
      </c>
      <c r="AN1072">
        <v>1.0000000397111399</v>
      </c>
    </row>
    <row r="1073" spans="1:40" x14ac:dyDescent="0.25">
      <c r="A1073" t="str">
        <f>"20190312172913691"</f>
        <v>20190312172913691</v>
      </c>
      <c r="B1073" t="str">
        <f>"1552382953678342"</f>
        <v>1552382953678342</v>
      </c>
      <c r="C1073" t="s">
        <v>40</v>
      </c>
      <c r="D1073">
        <v>3.273876</v>
      </c>
      <c r="E1073">
        <v>0.52524469999999901</v>
      </c>
      <c r="F1073" t="s">
        <v>41</v>
      </c>
      <c r="G1073">
        <v>-238.2003</v>
      </c>
      <c r="H1073" s="1">
        <v>-1.8219840000000001E-6</v>
      </c>
      <c r="I1073">
        <v>365.0181</v>
      </c>
      <c r="J1073">
        <v>-255.55680000000001</v>
      </c>
      <c r="K1073">
        <v>1.1101299999999901</v>
      </c>
      <c r="L1073">
        <v>367.20519999999999</v>
      </c>
      <c r="M1073">
        <v>0.99984499999999998</v>
      </c>
      <c r="N1073">
        <v>0</v>
      </c>
      <c r="O1073">
        <v>-9.5276619999999992E-3</v>
      </c>
      <c r="P1073">
        <v>0.98303010000000002</v>
      </c>
      <c r="Q1073">
        <v>0.1709879</v>
      </c>
      <c r="R1073">
        <v>-6.6446549999999993E-2</v>
      </c>
      <c r="S1073">
        <v>3.0596770000000002</v>
      </c>
      <c r="T1073">
        <v>-0.1936899</v>
      </c>
      <c r="U1073">
        <v>-0.3818665</v>
      </c>
      <c r="V1073">
        <v>5.7024709999999999E-2</v>
      </c>
      <c r="W1073">
        <v>0.1855589</v>
      </c>
      <c r="X1073">
        <v>0.98097710000000005</v>
      </c>
      <c r="Y1073">
        <v>0.11417819999999999</v>
      </c>
      <c r="Z1073">
        <v>-2.996262E-3</v>
      </c>
      <c r="AA1073">
        <v>0.9934558</v>
      </c>
      <c r="AB1073">
        <v>37</v>
      </c>
      <c r="AC1073">
        <v>17.3565</v>
      </c>
      <c r="AD1073">
        <v>-1.11013182198399</v>
      </c>
      <c r="AE1073">
        <v>-2.1870999999999801</v>
      </c>
      <c r="AF1073">
        <v>2.0135072958558999</v>
      </c>
      <c r="AG1073">
        <v>-1.11013182198399</v>
      </c>
      <c r="AH1073">
        <v>17.306857333019899</v>
      </c>
      <c r="AI1073">
        <v>93.645632387405399</v>
      </c>
      <c r="AJ1073">
        <v>83.363951065806802</v>
      </c>
      <c r="AK1073">
        <v>17.458920786754</v>
      </c>
      <c r="AL1073">
        <v>79.306280743864306</v>
      </c>
      <c r="AM1073">
        <v>86.673110471066593</v>
      </c>
      <c r="AN1073">
        <v>0.99999999682210206</v>
      </c>
    </row>
    <row r="1074" spans="1:40" x14ac:dyDescent="0.25">
      <c r="A1074" t="str">
        <f>"20190312172913701"</f>
        <v>20190312172913701</v>
      </c>
      <c r="B1074" t="str">
        <f>"1552382953698837"</f>
        <v>1552382953698837</v>
      </c>
      <c r="C1074" t="s">
        <v>40</v>
      </c>
      <c r="D1074">
        <v>3.3042349999999998</v>
      </c>
      <c r="E1074">
        <v>0.52522639999999998</v>
      </c>
      <c r="F1074" t="s">
        <v>41</v>
      </c>
      <c r="G1074">
        <v>-237.88310000000001</v>
      </c>
      <c r="H1074" s="1">
        <v>-1.9334340000000001E-6</v>
      </c>
      <c r="I1074">
        <v>365.005</v>
      </c>
      <c r="J1074">
        <v>-255.37</v>
      </c>
      <c r="K1074">
        <v>1.1101270000000001</v>
      </c>
      <c r="L1074">
        <v>367.20339999999999</v>
      </c>
      <c r="M1074">
        <v>0.99984550000000005</v>
      </c>
      <c r="N1074">
        <v>0</v>
      </c>
      <c r="O1074">
        <v>-9.4617320000000005E-3</v>
      </c>
      <c r="P1074">
        <v>0.98303859999999998</v>
      </c>
      <c r="Q1074">
        <v>0.1710293</v>
      </c>
      <c r="R1074">
        <v>-6.6213030000000006E-2</v>
      </c>
      <c r="S1074">
        <v>3.0594790000000001</v>
      </c>
      <c r="T1074">
        <v>-0.1921728</v>
      </c>
      <c r="U1074">
        <v>-0.38085940000000001</v>
      </c>
      <c r="V1074">
        <v>5.6855849999999999E-2</v>
      </c>
      <c r="W1074">
        <v>0.18559870000000001</v>
      </c>
      <c r="X1074">
        <v>0.98097939999999995</v>
      </c>
      <c r="Y1074">
        <v>0.1139331</v>
      </c>
      <c r="Z1074">
        <v>-2.9695490000000001E-3</v>
      </c>
      <c r="AA1074">
        <v>0.99348400000000003</v>
      </c>
      <c r="AB1074">
        <v>37</v>
      </c>
      <c r="AC1074">
        <v>17.486899999999899</v>
      </c>
      <c r="AD1074">
        <v>-1.1101289334340001</v>
      </c>
      <c r="AE1074">
        <v>-2.1983999999999901</v>
      </c>
      <c r="AF1074">
        <v>2.0247937932182398</v>
      </c>
      <c r="AG1074">
        <v>-1.1101289334340001</v>
      </c>
      <c r="AH1074">
        <v>17.437736746242901</v>
      </c>
      <c r="AI1074">
        <v>93.618427083240903</v>
      </c>
      <c r="AJ1074">
        <v>83.376725024792407</v>
      </c>
      <c r="AK1074">
        <v>17.589964155312298</v>
      </c>
      <c r="AL1074">
        <v>79.303960356117898</v>
      </c>
      <c r="AM1074">
        <v>86.682947694026197</v>
      </c>
      <c r="AN1074">
        <v>1.0000000241726299</v>
      </c>
    </row>
    <row r="1075" spans="1:40" x14ac:dyDescent="0.25">
      <c r="A1075" t="str">
        <f>"20190312172913713"</f>
        <v>20190312172913713</v>
      </c>
      <c r="B1075" t="str">
        <f>"1552382953708597"</f>
        <v>1552382953708597</v>
      </c>
      <c r="C1075" t="s">
        <v>40</v>
      </c>
      <c r="D1075">
        <v>3.3198850000000002</v>
      </c>
      <c r="E1075">
        <v>0.52522559999999996</v>
      </c>
      <c r="F1075" t="s">
        <v>41</v>
      </c>
      <c r="G1075">
        <v>-237.42949999999999</v>
      </c>
      <c r="H1075" s="1">
        <v>-2.0962060000000001E-6</v>
      </c>
      <c r="I1075">
        <v>364.97340000000003</v>
      </c>
      <c r="J1075">
        <v>-255.19229999999999</v>
      </c>
      <c r="K1075">
        <v>1.1101270000000001</v>
      </c>
      <c r="L1075">
        <v>367.20179999999999</v>
      </c>
      <c r="M1075">
        <v>0.99984620000000002</v>
      </c>
      <c r="N1075">
        <v>0</v>
      </c>
      <c r="O1075">
        <v>-9.3990210000000005E-3</v>
      </c>
      <c r="P1075">
        <v>0.98306289999999996</v>
      </c>
      <c r="Q1075">
        <v>0.1709252</v>
      </c>
      <c r="R1075">
        <v>-6.6123080000000001E-2</v>
      </c>
      <c r="S1075">
        <v>3.059113</v>
      </c>
      <c r="T1075">
        <v>-0.18929199999999999</v>
      </c>
      <c r="U1075">
        <v>-0.380249</v>
      </c>
      <c r="V1075">
        <v>5.682736E-2</v>
      </c>
      <c r="W1075">
        <v>0.18549370000000001</v>
      </c>
      <c r="X1075">
        <v>0.98100089999999995</v>
      </c>
      <c r="Y1075">
        <v>0.1138208</v>
      </c>
      <c r="Z1075">
        <v>-2.9259049999999999E-3</v>
      </c>
      <c r="AA1075">
        <v>0.99349699999999996</v>
      </c>
      <c r="AB1075">
        <v>37</v>
      </c>
      <c r="AC1075">
        <v>17.762799999999999</v>
      </c>
      <c r="AD1075">
        <v>-1.110129096206</v>
      </c>
      <c r="AE1075">
        <v>-2.2283999999999602</v>
      </c>
      <c r="AF1075">
        <v>2.0534340242744298</v>
      </c>
      <c r="AG1075">
        <v>-1.110129096206</v>
      </c>
      <c r="AH1075">
        <v>17.714841529718299</v>
      </c>
      <c r="AI1075">
        <v>93.5620543420454</v>
      </c>
      <c r="AJ1075">
        <v>83.388009644055899</v>
      </c>
      <c r="AK1075">
        <v>17.867976615311701</v>
      </c>
      <c r="AL1075">
        <v>79.310082611079295</v>
      </c>
      <c r="AM1075">
        <v>86.684678632419804</v>
      </c>
      <c r="AN1075">
        <v>1.00000001369253</v>
      </c>
    </row>
    <row r="1076" spans="1:40" x14ac:dyDescent="0.25">
      <c r="A1076" t="str">
        <f>"20190312172913726"</f>
        <v>20190312172913726</v>
      </c>
      <c r="B1076" t="str">
        <f>"1552382953718357"</f>
        <v>1552382953718357</v>
      </c>
      <c r="C1076" t="s">
        <v>40</v>
      </c>
      <c r="D1076">
        <v>3.2948430000000002</v>
      </c>
      <c r="E1076">
        <v>0.52522060000000004</v>
      </c>
      <c r="F1076" t="s">
        <v>41</v>
      </c>
      <c r="G1076">
        <v>-237.1431</v>
      </c>
      <c r="H1076" s="1">
        <v>-2.1973289999999999E-6</v>
      </c>
      <c r="I1076">
        <v>364.9597</v>
      </c>
      <c r="J1076">
        <v>-254.97720000000001</v>
      </c>
      <c r="K1076">
        <v>1.110128</v>
      </c>
      <c r="L1076">
        <v>367.19990000000001</v>
      </c>
      <c r="M1076">
        <v>0.99984680000000004</v>
      </c>
      <c r="N1076">
        <v>0</v>
      </c>
      <c r="O1076">
        <v>-9.3231960000000006E-3</v>
      </c>
      <c r="P1076">
        <v>0.98309020000000003</v>
      </c>
      <c r="Q1076">
        <v>0.17090549999999999</v>
      </c>
      <c r="R1076">
        <v>-6.5766190000000002E-2</v>
      </c>
      <c r="S1076">
        <v>3.0588380000000002</v>
      </c>
      <c r="T1076">
        <v>-0.18813460000000001</v>
      </c>
      <c r="U1076">
        <v>-0.37997439999999999</v>
      </c>
      <c r="V1076">
        <v>5.6544900000000002E-2</v>
      </c>
      <c r="W1076">
        <v>0.1854722</v>
      </c>
      <c r="X1076">
        <v>0.98102129999999998</v>
      </c>
      <c r="Y1076">
        <v>0.11382150000000001</v>
      </c>
      <c r="Z1076">
        <v>-2.9129820000000002E-3</v>
      </c>
      <c r="AA1076">
        <v>0.99349699999999996</v>
      </c>
      <c r="AB1076">
        <v>37</v>
      </c>
      <c r="AC1076">
        <v>17.834099999999999</v>
      </c>
      <c r="AD1076">
        <v>-1.1101301973289901</v>
      </c>
      <c r="AE1076">
        <v>-2.24020000000001</v>
      </c>
      <c r="AF1076">
        <v>2.0659328987496801</v>
      </c>
      <c r="AG1076">
        <v>-1.1101301973289901</v>
      </c>
      <c r="AH1076">
        <v>17.7863653885655</v>
      </c>
      <c r="AI1076">
        <v>93.547674656633305</v>
      </c>
      <c r="AJ1076">
        <v>83.3746340060883</v>
      </c>
      <c r="AK1076">
        <v>17.940325011903202</v>
      </c>
      <c r="AL1076">
        <v>79.311336366175595</v>
      </c>
      <c r="AM1076">
        <v>86.701189377027504</v>
      </c>
      <c r="AN1076">
        <v>1.0000000268712601</v>
      </c>
    </row>
    <row r="1077" spans="1:40" x14ac:dyDescent="0.25">
      <c r="A1077" t="str">
        <f>"20190312172913739"</f>
        <v>20190312172913739</v>
      </c>
      <c r="B1077" t="str">
        <f>"1552382953728118"</f>
        <v>1552382953728118</v>
      </c>
      <c r="C1077" t="s">
        <v>40</v>
      </c>
      <c r="D1077">
        <v>3.287649</v>
      </c>
      <c r="E1077">
        <v>0.5252656</v>
      </c>
      <c r="F1077" t="s">
        <v>41</v>
      </c>
      <c r="G1077">
        <v>-236.8023</v>
      </c>
      <c r="H1077" s="1">
        <v>-2.3170430000000001E-6</v>
      </c>
      <c r="I1077">
        <v>364.94560000000001</v>
      </c>
      <c r="J1077">
        <v>-254.76050000000001</v>
      </c>
      <c r="K1077">
        <v>1.1101299999999901</v>
      </c>
      <c r="L1077">
        <v>367.1979</v>
      </c>
      <c r="M1077">
        <v>0.99984770000000001</v>
      </c>
      <c r="N1077">
        <v>0</v>
      </c>
      <c r="O1077">
        <v>-9.246776E-3</v>
      </c>
      <c r="P1077">
        <v>0.9831088</v>
      </c>
      <c r="Q1077">
        <v>0.17095750000000001</v>
      </c>
      <c r="R1077">
        <v>-6.5353110000000006E-2</v>
      </c>
      <c r="S1077">
        <v>3.058716</v>
      </c>
      <c r="T1077">
        <v>-0.1868263</v>
      </c>
      <c r="U1077">
        <v>-0.37936399999999998</v>
      </c>
      <c r="V1077">
        <v>5.6206689999999997E-2</v>
      </c>
      <c r="W1077">
        <v>0.1855223</v>
      </c>
      <c r="X1077">
        <v>0.98103119999999999</v>
      </c>
      <c r="Y1077">
        <v>0.1137097</v>
      </c>
      <c r="Z1077">
        <v>-2.8941629999999999E-3</v>
      </c>
      <c r="AA1077">
        <v>0.9935098</v>
      </c>
      <c r="AB1077">
        <v>37</v>
      </c>
      <c r="AC1077">
        <v>17.958200000000001</v>
      </c>
      <c r="AD1077">
        <v>-1.11013231704299</v>
      </c>
      <c r="AE1077">
        <v>-2.2522999999999902</v>
      </c>
      <c r="AF1077">
        <v>2.0783109537829998</v>
      </c>
      <c r="AG1077">
        <v>-1.11013231704299</v>
      </c>
      <c r="AH1077">
        <v>17.910875991805899</v>
      </c>
      <c r="AI1077">
        <v>93.523128259510997</v>
      </c>
      <c r="AJ1077">
        <v>83.381212495943998</v>
      </c>
      <c r="AK1077">
        <v>18.065194407362601</v>
      </c>
      <c r="AL1077">
        <v>79.308414486398405</v>
      </c>
      <c r="AM1077">
        <v>86.720910268343104</v>
      </c>
      <c r="AN1077">
        <v>0.999999965585742</v>
      </c>
    </row>
    <row r="1078" spans="1:40" x14ac:dyDescent="0.25">
      <c r="A1078" t="str">
        <f>"20190312172913752"</f>
        <v>20190312172913752</v>
      </c>
      <c r="B1078" t="str">
        <f>"1552382953748613"</f>
        <v>1552382953748613</v>
      </c>
      <c r="C1078" t="s">
        <v>40</v>
      </c>
      <c r="D1078">
        <v>3.2731859999999999</v>
      </c>
      <c r="E1078">
        <v>0.52530059999999901</v>
      </c>
      <c r="F1078" t="s">
        <v>41</v>
      </c>
      <c r="G1078">
        <v>-236.45419999999999</v>
      </c>
      <c r="H1078" s="1">
        <v>-2.4392380000000001E-6</v>
      </c>
      <c r="I1078">
        <v>364.93150000000003</v>
      </c>
      <c r="J1078">
        <v>-254.54730000000001</v>
      </c>
      <c r="K1078">
        <v>1.110131</v>
      </c>
      <c r="L1078">
        <v>367.19600000000003</v>
      </c>
      <c r="M1078">
        <v>0.99984839999999997</v>
      </c>
      <c r="N1078">
        <v>0</v>
      </c>
      <c r="O1078">
        <v>-9.1715470000000004E-3</v>
      </c>
      <c r="P1078">
        <v>0.98310799999999998</v>
      </c>
      <c r="Q1078">
        <v>0.1710486</v>
      </c>
      <c r="R1078">
        <v>-6.5127260000000006E-2</v>
      </c>
      <c r="S1078">
        <v>3.058624</v>
      </c>
      <c r="T1078">
        <v>-0.1854807</v>
      </c>
      <c r="U1078">
        <v>-0.3786621</v>
      </c>
      <c r="V1078">
        <v>5.6054989999999999E-2</v>
      </c>
      <c r="W1078">
        <v>0.18561179999999999</v>
      </c>
      <c r="X1078">
        <v>0.98102299999999998</v>
      </c>
      <c r="Y1078">
        <v>0.1135664</v>
      </c>
      <c r="Z1078">
        <v>-2.8736949999999999E-3</v>
      </c>
      <c r="AA1078">
        <v>0.99352620000000003</v>
      </c>
      <c r="AB1078">
        <v>37</v>
      </c>
      <c r="AC1078">
        <v>18.0931</v>
      </c>
      <c r="AD1078">
        <v>-1.110133439238</v>
      </c>
      <c r="AE1078">
        <v>-2.26449999999994</v>
      </c>
      <c r="AF1078">
        <v>2.0906954968314402</v>
      </c>
      <c r="AG1078">
        <v>-1.110133439238</v>
      </c>
      <c r="AH1078">
        <v>18.046220219984502</v>
      </c>
      <c r="AI1078">
        <v>93.496848029253499</v>
      </c>
      <c r="AJ1078">
        <v>83.391614417729699</v>
      </c>
      <c r="AK1078">
        <v>18.200809546324098</v>
      </c>
      <c r="AL1078">
        <v>79.303196402982394</v>
      </c>
      <c r="AM1078">
        <v>86.729713913207604</v>
      </c>
      <c r="AN1078">
        <v>1.0000000143660699</v>
      </c>
    </row>
    <row r="1079" spans="1:40" x14ac:dyDescent="0.25">
      <c r="A1079" t="str">
        <f>"20190312172913765"</f>
        <v>20190312172913765</v>
      </c>
      <c r="B1079" t="str">
        <f>"1552382953758373"</f>
        <v>1552382953758373</v>
      </c>
      <c r="C1079" t="s">
        <v>40</v>
      </c>
      <c r="D1079">
        <v>3.2910560000000002</v>
      </c>
      <c r="E1079">
        <v>0.52532019999999902</v>
      </c>
      <c r="F1079" t="s">
        <v>41</v>
      </c>
      <c r="G1079">
        <v>-235.96969999999999</v>
      </c>
      <c r="H1079" s="1">
        <v>-2.6135020000000001E-6</v>
      </c>
      <c r="I1079">
        <v>364.8963</v>
      </c>
      <c r="J1079">
        <v>-254.33529999999999</v>
      </c>
      <c r="K1079">
        <v>1.110133</v>
      </c>
      <c r="L1079">
        <v>367.19420000000002</v>
      </c>
      <c r="M1079">
        <v>0.99984899999999999</v>
      </c>
      <c r="N1079">
        <v>0</v>
      </c>
      <c r="O1079">
        <v>-9.0964380000000001E-3</v>
      </c>
      <c r="P1079">
        <v>0.98309279999999999</v>
      </c>
      <c r="Q1079">
        <v>0.17114379999999901</v>
      </c>
      <c r="R1079">
        <v>-6.5103250000000001E-2</v>
      </c>
      <c r="S1079">
        <v>3.0582729999999998</v>
      </c>
      <c r="T1079">
        <v>-0.1827511</v>
      </c>
      <c r="U1079">
        <v>-0.37857059999999998</v>
      </c>
      <c r="V1079">
        <v>5.6105189999999999E-2</v>
      </c>
      <c r="W1079">
        <v>0.18570510000000001</v>
      </c>
      <c r="X1079">
        <v>0.98100240000000005</v>
      </c>
      <c r="Y1079">
        <v>0.11363090000000001</v>
      </c>
      <c r="Z1079">
        <v>-2.83819E-3</v>
      </c>
      <c r="AA1079">
        <v>0.99351900000000004</v>
      </c>
      <c r="AB1079">
        <v>37</v>
      </c>
      <c r="AC1079">
        <v>18.365600000000001</v>
      </c>
      <c r="AD1079">
        <v>-1.110135613502</v>
      </c>
      <c r="AE1079">
        <v>-2.2979000000000198</v>
      </c>
      <c r="AF1079">
        <v>2.12308733396595</v>
      </c>
      <c r="AG1079">
        <v>-1.110135613502</v>
      </c>
      <c r="AH1079">
        <v>18.319840141228699</v>
      </c>
      <c r="AI1079">
        <v>93.4447387000628</v>
      </c>
      <c r="AJ1079">
        <v>83.3894777639604</v>
      </c>
      <c r="AK1079">
        <v>18.475834046347799</v>
      </c>
      <c r="AL1079">
        <v>79.297755347501607</v>
      </c>
      <c r="AM1079">
        <v>86.726722991939596</v>
      </c>
      <c r="AN1079">
        <v>0.99999994265835102</v>
      </c>
    </row>
    <row r="1080" spans="1:40" x14ac:dyDescent="0.25">
      <c r="A1080" t="str">
        <f>"20190312172913779"</f>
        <v>20190312172913779</v>
      </c>
      <c r="B1080" t="str">
        <f>"1552382953768134"</f>
        <v>1552382953768134</v>
      </c>
      <c r="C1080" t="s">
        <v>40</v>
      </c>
      <c r="D1080">
        <v>3.2834409999999998</v>
      </c>
      <c r="E1080">
        <v>0.52535310000000002</v>
      </c>
      <c r="F1080" t="s">
        <v>41</v>
      </c>
      <c r="G1080">
        <v>-235.61089999999999</v>
      </c>
      <c r="H1080" s="1">
        <v>-2.7416620000000002E-6</v>
      </c>
      <c r="I1080">
        <v>364.87349999999998</v>
      </c>
      <c r="J1080">
        <v>-254.09549999999999</v>
      </c>
      <c r="K1080">
        <v>1.1101399999999999</v>
      </c>
      <c r="L1080">
        <v>367.19200000000001</v>
      </c>
      <c r="M1080">
        <v>0.99984989999999996</v>
      </c>
      <c r="N1080">
        <v>0</v>
      </c>
      <c r="O1080">
        <v>-9.0119099999999997E-3</v>
      </c>
      <c r="P1080">
        <v>0.98304270000000005</v>
      </c>
      <c r="Q1080">
        <v>0.1715787</v>
      </c>
      <c r="R1080">
        <v>-6.4714519999999998E-2</v>
      </c>
      <c r="S1080">
        <v>3.0580599999999998</v>
      </c>
      <c r="T1080">
        <v>-0.18130599999999999</v>
      </c>
      <c r="U1080">
        <v>-0.3789978</v>
      </c>
      <c r="V1080">
        <v>5.5799920000000003E-2</v>
      </c>
      <c r="W1080">
        <v>0.186137</v>
      </c>
      <c r="X1080">
        <v>0.98093799999999998</v>
      </c>
      <c r="Y1080">
        <v>0.1138624</v>
      </c>
      <c r="Z1080">
        <v>-2.8277739999999999E-3</v>
      </c>
      <c r="AA1080">
        <v>0.9934925</v>
      </c>
      <c r="AB1080">
        <v>37</v>
      </c>
      <c r="AC1080">
        <v>18.4846</v>
      </c>
      <c r="AD1080">
        <v>-1.110142741662</v>
      </c>
      <c r="AE1080">
        <v>-2.31849999999997</v>
      </c>
      <c r="AF1080">
        <v>2.14419187929213</v>
      </c>
      <c r="AG1080">
        <v>-1.110142741662</v>
      </c>
      <c r="AH1080">
        <v>18.439266635596699</v>
      </c>
      <c r="AI1080">
        <v>93.422349053611597</v>
      </c>
      <c r="AJ1080">
        <v>83.367206065395806</v>
      </c>
      <c r="AK1080">
        <v>18.596680611891902</v>
      </c>
      <c r="AL1080">
        <v>79.272570667078696</v>
      </c>
      <c r="AM1080">
        <v>86.7442813082491</v>
      </c>
      <c r="AN1080">
        <v>0.99999998684250302</v>
      </c>
    </row>
    <row r="1081" spans="1:40" x14ac:dyDescent="0.25">
      <c r="A1081" t="str">
        <f>"20190312172913791"</f>
        <v>20190312172913791</v>
      </c>
      <c r="B1081" t="str">
        <f>"1552382953788630"</f>
        <v>1552382953788630</v>
      </c>
      <c r="C1081" t="s">
        <v>40</v>
      </c>
      <c r="D1081">
        <v>3.3110490000000001</v>
      </c>
      <c r="E1081">
        <v>0.52541519999999897</v>
      </c>
      <c r="F1081" t="s">
        <v>41</v>
      </c>
      <c r="G1081">
        <v>-235.1146</v>
      </c>
      <c r="H1081" s="1">
        <v>-2.924735E-6</v>
      </c>
      <c r="I1081">
        <v>364.84379999999999</v>
      </c>
      <c r="J1081">
        <v>-253.9117</v>
      </c>
      <c r="K1081">
        <v>1.1101430000000001</v>
      </c>
      <c r="L1081">
        <v>367.19049999999999</v>
      </c>
      <c r="M1081">
        <v>0.99985049999999998</v>
      </c>
      <c r="N1081">
        <v>0</v>
      </c>
      <c r="O1081">
        <v>-8.946697E-3</v>
      </c>
      <c r="P1081">
        <v>0.98302529999999999</v>
      </c>
      <c r="Q1081">
        <v>0.17177039999999999</v>
      </c>
      <c r="R1081">
        <v>-6.4468029999999996E-2</v>
      </c>
      <c r="S1081">
        <v>3.05809</v>
      </c>
      <c r="T1081">
        <v>-0.17885860000000001</v>
      </c>
      <c r="U1081">
        <v>-0.37832640000000001</v>
      </c>
      <c r="V1081">
        <v>5.5617920000000001E-2</v>
      </c>
      <c r="W1081">
        <v>0.1863262</v>
      </c>
      <c r="X1081">
        <v>0.98091240000000002</v>
      </c>
      <c r="Y1081">
        <v>0.1137161</v>
      </c>
      <c r="Z1081">
        <v>-2.789218E-3</v>
      </c>
      <c r="AA1081">
        <v>0.99350939999999999</v>
      </c>
      <c r="AB1081">
        <v>37</v>
      </c>
      <c r="AC1081">
        <v>18.7971</v>
      </c>
      <c r="AD1081">
        <v>-1.1101459247350001</v>
      </c>
      <c r="AE1081">
        <v>-2.34669999999999</v>
      </c>
      <c r="AF1081">
        <v>2.1709595579785299</v>
      </c>
      <c r="AG1081">
        <v>-1.1101459247350001</v>
      </c>
      <c r="AH1081">
        <v>18.752938337157101</v>
      </c>
      <c r="AI1081">
        <v>93.365446288788704</v>
      </c>
      <c r="AJ1081">
        <v>83.396470858433105</v>
      </c>
      <c r="AK1081">
        <v>18.9107954791384</v>
      </c>
      <c r="AL1081">
        <v>79.261537115577894</v>
      </c>
      <c r="AM1081">
        <v>86.754793091492601</v>
      </c>
      <c r="AN1081">
        <v>0.99999997115266204</v>
      </c>
    </row>
    <row r="1082" spans="1:40" x14ac:dyDescent="0.25">
      <c r="A1082" t="str">
        <f>"20190312172913802"</f>
        <v>20190312172913802</v>
      </c>
      <c r="B1082" t="str">
        <f>"1552382953798389"</f>
        <v>1552382953798389</v>
      </c>
      <c r="C1082" t="s">
        <v>40</v>
      </c>
      <c r="D1082">
        <v>3.409745</v>
      </c>
      <c r="E1082">
        <v>0.52549699999999999</v>
      </c>
      <c r="F1082" t="s">
        <v>41</v>
      </c>
      <c r="G1082">
        <v>-234.66220000000001</v>
      </c>
      <c r="H1082" s="1">
        <v>-3.124879E-6</v>
      </c>
      <c r="I1082">
        <v>364.80950000000001</v>
      </c>
      <c r="J1082">
        <v>-253.7236</v>
      </c>
      <c r="K1082">
        <v>1.1101430000000001</v>
      </c>
      <c r="L1082">
        <v>367.18880000000001</v>
      </c>
      <c r="M1082">
        <v>0.99985109999999999</v>
      </c>
      <c r="N1082">
        <v>0</v>
      </c>
      <c r="O1082">
        <v>-8.8802910000000002E-3</v>
      </c>
      <c r="P1082">
        <v>0.98297460000000003</v>
      </c>
      <c r="Q1082">
        <v>0.1721019</v>
      </c>
      <c r="R1082">
        <v>-6.4361299999999996E-2</v>
      </c>
      <c r="S1082">
        <v>3.0578159999999999</v>
      </c>
      <c r="T1082">
        <v>-0.1763477</v>
      </c>
      <c r="U1082">
        <v>-0.37820429999999999</v>
      </c>
      <c r="V1082">
        <v>5.5576699999999903E-2</v>
      </c>
      <c r="W1082">
        <v>0.18665570000000001</v>
      </c>
      <c r="X1082">
        <v>0.9808521</v>
      </c>
      <c r="Y1082">
        <v>0.1137586</v>
      </c>
      <c r="Z1082">
        <v>-2.7554070000000001E-3</v>
      </c>
      <c r="AA1082">
        <v>0.99350459999999996</v>
      </c>
      <c r="AB1082">
        <v>37</v>
      </c>
      <c r="AC1082">
        <v>19.0613999999999</v>
      </c>
      <c r="AD1082">
        <v>-1.1101461248790001</v>
      </c>
      <c r="AE1082">
        <v>-2.3793000000000002</v>
      </c>
      <c r="AF1082">
        <v>2.2025604734780702</v>
      </c>
      <c r="AG1082">
        <v>-1.1101461248790001</v>
      </c>
      <c r="AH1082">
        <v>19.0182599312562</v>
      </c>
      <c r="AI1082">
        <v>93.3185839841519</v>
      </c>
      <c r="AJ1082">
        <v>83.393838138919904</v>
      </c>
      <c r="AK1082">
        <v>19.177536543329499</v>
      </c>
      <c r="AL1082">
        <v>79.242321149006301</v>
      </c>
      <c r="AM1082">
        <v>86.756994137472901</v>
      </c>
      <c r="AN1082">
        <v>0.99999998099989396</v>
      </c>
    </row>
    <row r="1083" spans="1:40" x14ac:dyDescent="0.25">
      <c r="A1083" t="str">
        <f>"20190312172913814"</f>
        <v>20190312172913814</v>
      </c>
      <c r="B1083" t="str">
        <f>"1552382953808149"</f>
        <v>1552382953808149</v>
      </c>
      <c r="C1083" t="s">
        <v>40</v>
      </c>
      <c r="D1083">
        <v>3.3291390000000001</v>
      </c>
      <c r="E1083">
        <v>0.52554999999999996</v>
      </c>
      <c r="F1083" t="s">
        <v>41</v>
      </c>
      <c r="G1083">
        <v>-234.25460000000001</v>
      </c>
      <c r="H1083" s="1">
        <v>-3.3057E-6</v>
      </c>
      <c r="I1083">
        <v>364.77600000000001</v>
      </c>
      <c r="J1083">
        <v>-253.54810000000001</v>
      </c>
      <c r="K1083">
        <v>1.1101479999999999</v>
      </c>
      <c r="L1083">
        <v>367.18729999999999</v>
      </c>
      <c r="M1083">
        <v>0.99985170000000001</v>
      </c>
      <c r="N1083">
        <v>0</v>
      </c>
      <c r="O1083">
        <v>-8.818177E-3</v>
      </c>
      <c r="P1083">
        <v>0.98297769999999995</v>
      </c>
      <c r="Q1083">
        <v>0.1721877</v>
      </c>
      <c r="R1083">
        <v>-6.4080689999999996E-2</v>
      </c>
      <c r="S1083">
        <v>3.057693</v>
      </c>
      <c r="T1083">
        <v>-0.1743526</v>
      </c>
      <c r="U1083">
        <v>-0.37893680000000002</v>
      </c>
      <c r="V1083">
        <v>5.5357530000000002E-2</v>
      </c>
      <c r="W1083">
        <v>0.18673899999999999</v>
      </c>
      <c r="X1083">
        <v>0.98084870000000002</v>
      </c>
      <c r="Y1083">
        <v>0.11406280000000001</v>
      </c>
      <c r="Z1083">
        <v>-2.7365110000000001E-3</v>
      </c>
      <c r="AA1083">
        <v>0.99346979999999996</v>
      </c>
      <c r="AB1083">
        <v>37</v>
      </c>
      <c r="AC1083">
        <v>19.293499999999899</v>
      </c>
      <c r="AD1083">
        <v>-1.1101513057000001</v>
      </c>
      <c r="AE1083">
        <v>-2.4112999999999798</v>
      </c>
      <c r="AF1083">
        <v>2.2337721232079102</v>
      </c>
      <c r="AG1083">
        <v>-1.1101513057000001</v>
      </c>
      <c r="AH1083">
        <v>19.2512571294331</v>
      </c>
      <c r="AI1083">
        <v>93.278440537886894</v>
      </c>
      <c r="AJ1083">
        <v>83.381422868903201</v>
      </c>
      <c r="AK1083">
        <v>19.412188822580401</v>
      </c>
      <c r="AL1083">
        <v>79.237463648217499</v>
      </c>
      <c r="AM1083">
        <v>86.769744812867202</v>
      </c>
      <c r="AN1083">
        <v>1.0000000412701899</v>
      </c>
    </row>
    <row r="1084" spans="1:40" x14ac:dyDescent="0.25">
      <c r="A1084" t="str">
        <f>"20190312172913825"</f>
        <v>20190312172913825</v>
      </c>
      <c r="B1084" t="str">
        <f>"1552382953818886"</f>
        <v>1552382953818886</v>
      </c>
      <c r="C1084" t="s">
        <v>40</v>
      </c>
      <c r="D1084">
        <v>3.3472659999999999</v>
      </c>
      <c r="E1084">
        <v>0.52559199999999995</v>
      </c>
      <c r="F1084" t="s">
        <v>41</v>
      </c>
      <c r="G1084">
        <v>-233.958</v>
      </c>
      <c r="H1084" s="1">
        <v>-3.4355829999999999E-6</v>
      </c>
      <c r="I1084">
        <v>364.76100000000002</v>
      </c>
      <c r="J1084">
        <v>-253.3638</v>
      </c>
      <c r="K1084">
        <v>1.11015</v>
      </c>
      <c r="L1084">
        <v>367.18579999999997</v>
      </c>
      <c r="M1084">
        <v>0.99985219999999997</v>
      </c>
      <c r="N1084">
        <v>0</v>
      </c>
      <c r="O1084">
        <v>-8.7529640000000002E-3</v>
      </c>
      <c r="P1084">
        <v>0.98300390000000004</v>
      </c>
      <c r="Q1084">
        <v>0.1722281</v>
      </c>
      <c r="R1084">
        <v>-6.3568089999999994E-2</v>
      </c>
      <c r="S1084">
        <v>3.0576479999999999</v>
      </c>
      <c r="T1084">
        <v>-0.17327319999999999</v>
      </c>
      <c r="U1084">
        <v>-0.37869259999999999</v>
      </c>
      <c r="V1084">
        <v>5.4908800000000001E-2</v>
      </c>
      <c r="W1084">
        <v>0.18677840000000001</v>
      </c>
      <c r="X1084">
        <v>0.98086640000000003</v>
      </c>
      <c r="Y1084">
        <v>0.1140533</v>
      </c>
      <c r="Z1084">
        <v>-2.7230589999999999E-3</v>
      </c>
      <c r="AA1084">
        <v>0.99347090000000005</v>
      </c>
      <c r="AB1084">
        <v>36</v>
      </c>
      <c r="AC1084">
        <v>19.405799999999999</v>
      </c>
      <c r="AD1084">
        <v>-1.1101534355830001</v>
      </c>
      <c r="AE1084">
        <v>-2.4247999999999998</v>
      </c>
      <c r="AF1084">
        <v>2.24758767628335</v>
      </c>
      <c r="AG1084">
        <v>-1.1101534355830001</v>
      </c>
      <c r="AH1084">
        <v>19.363885461105198</v>
      </c>
      <c r="AI1084">
        <v>93.259404883595096</v>
      </c>
      <c r="AJ1084">
        <v>83.379241936891404</v>
      </c>
      <c r="AK1084">
        <v>19.525474415847601</v>
      </c>
      <c r="AL1084">
        <v>79.235165542634803</v>
      </c>
      <c r="AM1084">
        <v>86.795932289014303</v>
      </c>
      <c r="AN1084">
        <v>1.0000000208364701</v>
      </c>
    </row>
    <row r="1085" spans="1:40" x14ac:dyDescent="0.25">
      <c r="A1085" t="str">
        <f>"20190312172913835"</f>
        <v>20190312172913835</v>
      </c>
      <c r="B1085" t="str">
        <f>"1552382953828646"</f>
        <v>1552382953828646</v>
      </c>
      <c r="C1085" t="s">
        <v>40</v>
      </c>
      <c r="D1085">
        <v>3.5362450000000001</v>
      </c>
      <c r="E1085">
        <v>0.52564840000000002</v>
      </c>
      <c r="F1085" t="s">
        <v>41</v>
      </c>
      <c r="G1085">
        <v>-233.67320000000001</v>
      </c>
      <c r="H1085" s="1">
        <v>-3.5587540000000001E-6</v>
      </c>
      <c r="I1085">
        <v>364.75549999999998</v>
      </c>
      <c r="J1085">
        <v>-253.18610000000001</v>
      </c>
      <c r="K1085">
        <v>1.1101540000000001</v>
      </c>
      <c r="L1085">
        <v>367.18430000000001</v>
      </c>
      <c r="M1085">
        <v>0.99985279999999999</v>
      </c>
      <c r="N1085">
        <v>0</v>
      </c>
      <c r="O1085">
        <v>-8.6897780000000004E-3</v>
      </c>
      <c r="P1085">
        <v>0.98303359999999995</v>
      </c>
      <c r="Q1085">
        <v>0.172141299999999</v>
      </c>
      <c r="R1085">
        <v>-6.3343609999999995E-2</v>
      </c>
      <c r="S1085">
        <v>3.0576479999999999</v>
      </c>
      <c r="T1085">
        <v>-0.17238829999999999</v>
      </c>
      <c r="U1085">
        <v>-0.3773804</v>
      </c>
      <c r="V1085">
        <v>5.4746280000000001E-2</v>
      </c>
      <c r="W1085">
        <v>0.18668979999999999</v>
      </c>
      <c r="X1085">
        <v>0.98089230000000005</v>
      </c>
      <c r="Y1085">
        <v>0.1136983</v>
      </c>
      <c r="Z1085">
        <v>-2.7028270000000001E-3</v>
      </c>
      <c r="AA1085">
        <v>0.9935117</v>
      </c>
      <c r="AB1085">
        <v>36</v>
      </c>
      <c r="AC1085">
        <v>19.512899999999998</v>
      </c>
      <c r="AD1085">
        <v>-1.110157558754</v>
      </c>
      <c r="AE1085">
        <v>-2.4288000000000198</v>
      </c>
      <c r="AF1085">
        <v>2.25194888739333</v>
      </c>
      <c r="AG1085">
        <v>-1.110157558754</v>
      </c>
      <c r="AH1085">
        <v>19.471206891658699</v>
      </c>
      <c r="AI1085">
        <v>93.241643878956097</v>
      </c>
      <c r="AJ1085">
        <v>83.402748719962403</v>
      </c>
      <c r="AK1085">
        <v>19.632412521502999</v>
      </c>
      <c r="AL1085">
        <v>79.240332289620298</v>
      </c>
      <c r="AM1085">
        <v>86.805480248986996</v>
      </c>
      <c r="AN1085">
        <v>0.99999997039858302</v>
      </c>
    </row>
    <row r="1086" spans="1:40" x14ac:dyDescent="0.25">
      <c r="A1086" t="str">
        <f>"20190312172913847"</f>
        <v>20190312172913847</v>
      </c>
      <c r="B1086" t="str">
        <f>"1552382953838406"</f>
        <v>1552382953838406</v>
      </c>
      <c r="C1086" t="s">
        <v>40</v>
      </c>
      <c r="D1086">
        <v>3.3156189999999999</v>
      </c>
      <c r="E1086">
        <v>0.52570969999999995</v>
      </c>
      <c r="F1086" t="s">
        <v>41</v>
      </c>
      <c r="G1086">
        <v>-233.43889999999999</v>
      </c>
      <c r="H1086" s="1">
        <v>-3.6607860000000002E-6</v>
      </c>
      <c r="I1086">
        <v>364.74689999999998</v>
      </c>
      <c r="J1086">
        <v>-253.00020000000001</v>
      </c>
      <c r="K1086">
        <v>1.110158</v>
      </c>
      <c r="L1086">
        <v>367.18270000000001</v>
      </c>
      <c r="M1086">
        <v>0.9998534</v>
      </c>
      <c r="N1086">
        <v>0</v>
      </c>
      <c r="O1086">
        <v>-8.6239690000000004E-3</v>
      </c>
      <c r="P1086">
        <v>0.98309489999999999</v>
      </c>
      <c r="Q1086">
        <v>0.17193789999999901</v>
      </c>
      <c r="R1086">
        <v>-6.2944420000000001E-2</v>
      </c>
      <c r="S1086">
        <v>3.0575559999999999</v>
      </c>
      <c r="T1086">
        <v>-0.171890299999999</v>
      </c>
      <c r="U1086">
        <v>-0.3773804</v>
      </c>
      <c r="V1086">
        <v>5.4411519999999998E-2</v>
      </c>
      <c r="W1086">
        <v>0.1864856</v>
      </c>
      <c r="X1086">
        <v>0.98094979999999998</v>
      </c>
      <c r="Y1086">
        <v>0.11376799999999999</v>
      </c>
      <c r="Z1086">
        <v>-2.7007429999999998E-3</v>
      </c>
      <c r="AA1086">
        <v>0.99350369999999999</v>
      </c>
      <c r="AB1086">
        <v>36</v>
      </c>
      <c r="AC1086">
        <v>19.561299999999999</v>
      </c>
      <c r="AD1086">
        <v>-1.1101616607860001</v>
      </c>
      <c r="AE1086">
        <v>-2.4358000000000199</v>
      </c>
      <c r="AF1086">
        <v>2.2598273586572999</v>
      </c>
      <c r="AG1086">
        <v>-1.1101616607860001</v>
      </c>
      <c r="AH1086">
        <v>19.519670065241101</v>
      </c>
      <c r="AI1086">
        <v>93.233581679929799</v>
      </c>
      <c r="AJ1086">
        <v>83.396163678545506</v>
      </c>
      <c r="AK1086">
        <v>19.681382016004001</v>
      </c>
      <c r="AL1086">
        <v>79.252241565571097</v>
      </c>
      <c r="AM1086">
        <v>86.825159590911795</v>
      </c>
      <c r="AN1086">
        <v>1.0000000013180499</v>
      </c>
    </row>
    <row r="1087" spans="1:40" x14ac:dyDescent="0.25">
      <c r="A1087" t="str">
        <f>"20190312172913857"</f>
        <v>20190312172913857</v>
      </c>
      <c r="B1087" t="str">
        <f>"1552382953848166"</f>
        <v>1552382953848166</v>
      </c>
      <c r="C1087" t="s">
        <v>40</v>
      </c>
      <c r="D1087">
        <v>3.3293400000000002</v>
      </c>
      <c r="E1087">
        <v>0.52576659999999997</v>
      </c>
      <c r="F1087" t="s">
        <v>41</v>
      </c>
      <c r="G1087">
        <v>-233.26050000000001</v>
      </c>
      <c r="H1087" s="1">
        <v>-3.7370010000000002E-6</v>
      </c>
      <c r="I1087">
        <v>364.74869999999999</v>
      </c>
      <c r="J1087">
        <v>-252.81710000000001</v>
      </c>
      <c r="K1087">
        <v>1.11016</v>
      </c>
      <c r="L1087">
        <v>367.18119999999999</v>
      </c>
      <c r="M1087">
        <v>0.99985409999999997</v>
      </c>
      <c r="N1087">
        <v>0</v>
      </c>
      <c r="O1087">
        <v>-8.5591119999999903E-3</v>
      </c>
      <c r="P1087">
        <v>0.98310220000000004</v>
      </c>
      <c r="Q1087">
        <v>0.1720411</v>
      </c>
      <c r="R1087">
        <v>-6.2548270000000003E-2</v>
      </c>
      <c r="S1087">
        <v>3.0575410000000001</v>
      </c>
      <c r="T1087">
        <v>-0.17195529999999901</v>
      </c>
      <c r="U1087">
        <v>-0.37701420000000002</v>
      </c>
      <c r="V1087">
        <v>5.4079219999999997E-2</v>
      </c>
      <c r="W1087">
        <v>0.1865868</v>
      </c>
      <c r="X1087">
        <v>0.98094890000000001</v>
      </c>
      <c r="Y1087">
        <v>0.1137157</v>
      </c>
      <c r="Z1087">
        <v>-2.7039640000000001E-3</v>
      </c>
      <c r="AA1087">
        <v>0.99350970000000005</v>
      </c>
      <c r="AB1087">
        <v>36</v>
      </c>
      <c r="AC1087">
        <v>19.5566</v>
      </c>
      <c r="AD1087">
        <v>-1.110163737001</v>
      </c>
      <c r="AE1087">
        <v>-2.4325000000000001</v>
      </c>
      <c r="AF1087">
        <v>2.2578405080353399</v>
      </c>
      <c r="AG1087">
        <v>-1.110163737001</v>
      </c>
      <c r="AH1087">
        <v>19.514778315941602</v>
      </c>
      <c r="AI1087">
        <v>93.234423385383906</v>
      </c>
      <c r="AJ1087">
        <v>83.400279238782204</v>
      </c>
      <c r="AK1087">
        <v>19.676302498259702</v>
      </c>
      <c r="AL1087">
        <v>79.246339303938797</v>
      </c>
      <c r="AM1087">
        <v>86.844506665514203</v>
      </c>
      <c r="AN1087">
        <v>0.99999997019062803</v>
      </c>
    </row>
    <row r="1088" spans="1:40" x14ac:dyDescent="0.25">
      <c r="A1088" t="str">
        <f>"20190312172913869"</f>
        <v>20190312172913869</v>
      </c>
      <c r="B1088" t="str">
        <f>"1552382953858903"</f>
        <v>1552382953858903</v>
      </c>
      <c r="C1088" t="s">
        <v>40</v>
      </c>
      <c r="D1088">
        <v>3.3572959999999998</v>
      </c>
      <c r="E1088">
        <v>0.52583279999999999</v>
      </c>
      <c r="F1088" t="s">
        <v>41</v>
      </c>
      <c r="G1088">
        <v>-232.98320000000001</v>
      </c>
      <c r="H1088" s="1">
        <v>-3.8576000000000001E-6</v>
      </c>
      <c r="I1088">
        <v>364.73930000000001</v>
      </c>
      <c r="J1088">
        <v>-252.64250000000001</v>
      </c>
      <c r="K1088">
        <v>1.110161</v>
      </c>
      <c r="L1088">
        <v>367.1798</v>
      </c>
      <c r="M1088">
        <v>0.99985460000000004</v>
      </c>
      <c r="N1088">
        <v>0</v>
      </c>
      <c r="O1088">
        <v>-8.4971170000000002E-3</v>
      </c>
      <c r="P1088">
        <v>0.98308410000000002</v>
      </c>
      <c r="Q1088">
        <v>0.17227979999999901</v>
      </c>
      <c r="R1088">
        <v>-6.2172289999999998E-2</v>
      </c>
      <c r="S1088">
        <v>3.0575869999999998</v>
      </c>
      <c r="T1088">
        <v>-0.171142299999999</v>
      </c>
      <c r="U1088">
        <v>-0.3764343</v>
      </c>
      <c r="V1088">
        <v>5.3764350000000002E-2</v>
      </c>
      <c r="W1088">
        <v>0.1868234</v>
      </c>
      <c r="X1088">
        <v>0.98092120000000005</v>
      </c>
      <c r="Y1088">
        <v>0.1135915</v>
      </c>
      <c r="Z1088">
        <v>-2.691185E-3</v>
      </c>
      <c r="AA1088">
        <v>0.99352390000000002</v>
      </c>
      <c r="AB1088">
        <v>36</v>
      </c>
      <c r="AC1088">
        <v>19.659300000000002</v>
      </c>
      <c r="AD1088">
        <v>-1.1101648576000001</v>
      </c>
      <c r="AE1088">
        <v>-2.4404999999999801</v>
      </c>
      <c r="AF1088">
        <v>2.2662291788418401</v>
      </c>
      <c r="AG1088">
        <v>-1.1101648576000001</v>
      </c>
      <c r="AH1088">
        <v>19.617720388192701</v>
      </c>
      <c r="AI1088">
        <v>93.217555812797698</v>
      </c>
      <c r="AJ1088">
        <v>83.410428888978004</v>
      </c>
      <c r="AK1088">
        <v>19.7793633348345</v>
      </c>
      <c r="AL1088">
        <v>79.232540747048901</v>
      </c>
      <c r="AM1088">
        <v>86.862753942548395</v>
      </c>
      <c r="AN1088">
        <v>0.99999999436396103</v>
      </c>
    </row>
    <row r="1089" spans="1:40" x14ac:dyDescent="0.25">
      <c r="A1089" t="str">
        <f>"20190312172913881"</f>
        <v>20190312172913881</v>
      </c>
      <c r="B1089" t="str">
        <f>"1552382953878422"</f>
        <v>1552382953878422</v>
      </c>
      <c r="C1089" t="s">
        <v>40</v>
      </c>
      <c r="D1089">
        <v>3.7113670000000001</v>
      </c>
      <c r="E1089">
        <v>0.52598919999999905</v>
      </c>
      <c r="F1089" t="s">
        <v>41</v>
      </c>
      <c r="G1089">
        <v>-232.66159999999999</v>
      </c>
      <c r="H1089" s="1">
        <v>-3.9984130000000003E-6</v>
      </c>
      <c r="I1089">
        <v>364.72340000000003</v>
      </c>
      <c r="J1089">
        <v>-252.44560000000001</v>
      </c>
      <c r="K1089">
        <v>1.110166</v>
      </c>
      <c r="L1089">
        <v>367.1782</v>
      </c>
      <c r="M1089">
        <v>0.99985500000000005</v>
      </c>
      <c r="N1089">
        <v>0</v>
      </c>
      <c r="O1089">
        <v>-8.4273719999999903E-3</v>
      </c>
      <c r="P1089">
        <v>0.98311320000000002</v>
      </c>
      <c r="Q1089">
        <v>0.1721597</v>
      </c>
      <c r="R1089">
        <v>-6.2044009999999997E-2</v>
      </c>
      <c r="S1089">
        <v>3.0576319999999999</v>
      </c>
      <c r="T1089">
        <v>-0.16988549999999999</v>
      </c>
      <c r="U1089">
        <v>-0.37588500000000002</v>
      </c>
      <c r="V1089">
        <v>5.3704370000000001E-2</v>
      </c>
      <c r="W1089">
        <v>0.1867016</v>
      </c>
      <c r="X1089">
        <v>0.98094769999999998</v>
      </c>
      <c r="Y1089">
        <v>0.11348560000000001</v>
      </c>
      <c r="Z1089">
        <v>-2.672369E-3</v>
      </c>
      <c r="AA1089">
        <v>0.99353610000000003</v>
      </c>
      <c r="AB1089">
        <v>36</v>
      </c>
      <c r="AC1089">
        <v>19.783999999999999</v>
      </c>
      <c r="AD1089">
        <v>-1.110169998413</v>
      </c>
      <c r="AE1089">
        <v>-2.4547999999999699</v>
      </c>
      <c r="AF1089">
        <v>2.2808941504450901</v>
      </c>
      <c r="AG1089">
        <v>-1.110169998413</v>
      </c>
      <c r="AH1089">
        <v>19.742762849552498</v>
      </c>
      <c r="AI1089">
        <v>93.197230281549807</v>
      </c>
      <c r="AJ1089">
        <v>83.409798461600303</v>
      </c>
      <c r="AK1089">
        <v>19.905065699077198</v>
      </c>
      <c r="AL1089">
        <v>79.239644622905004</v>
      </c>
      <c r="AM1089">
        <v>86.866331391878305</v>
      </c>
      <c r="AN1089">
        <v>1.00000001846747</v>
      </c>
    </row>
    <row r="1090" spans="1:40" x14ac:dyDescent="0.25">
      <c r="A1090" t="str">
        <f>"20190312172913894"</f>
        <v>20190312172913894</v>
      </c>
      <c r="B1090" t="str">
        <f>"1552382953888181"</f>
        <v>1552382953888181</v>
      </c>
      <c r="C1090" t="s">
        <v>40</v>
      </c>
      <c r="D1090">
        <v>3.352001</v>
      </c>
      <c r="E1090">
        <v>0.52603820000000001</v>
      </c>
      <c r="F1090" t="s">
        <v>41</v>
      </c>
      <c r="G1090">
        <v>-232.40729999999999</v>
      </c>
      <c r="H1090" s="1">
        <v>-4.1097319999999998E-6</v>
      </c>
      <c r="I1090">
        <v>364.71080000000001</v>
      </c>
      <c r="J1090">
        <v>-252.25720000000001</v>
      </c>
      <c r="K1090">
        <v>1.110168</v>
      </c>
      <c r="L1090">
        <v>367.17660000000001</v>
      </c>
      <c r="M1090">
        <v>0.99985570000000001</v>
      </c>
      <c r="N1090">
        <v>0</v>
      </c>
      <c r="O1090">
        <v>-8.3608450000000004E-3</v>
      </c>
      <c r="P1090">
        <v>0.98307750000000005</v>
      </c>
      <c r="Q1090">
        <v>0.172403</v>
      </c>
      <c r="R1090">
        <v>-6.1935759999999999E-2</v>
      </c>
      <c r="S1090">
        <v>3.0574189999999999</v>
      </c>
      <c r="T1090">
        <v>-0.16938789999999901</v>
      </c>
      <c r="U1090">
        <v>-0.37646479999999999</v>
      </c>
      <c r="V1090">
        <v>5.3661840000000002E-2</v>
      </c>
      <c r="W1090">
        <v>0.18694279999999999</v>
      </c>
      <c r="X1090">
        <v>0.98090409999999995</v>
      </c>
      <c r="Y1090">
        <v>0.1137461</v>
      </c>
      <c r="Z1090">
        <v>-2.6755609999999999E-3</v>
      </c>
      <c r="AA1090">
        <v>0.99350629999999995</v>
      </c>
      <c r="AB1090">
        <v>36</v>
      </c>
      <c r="AC1090">
        <v>19.849900000000002</v>
      </c>
      <c r="AD1090">
        <v>-1.1101721097319901</v>
      </c>
      <c r="AE1090">
        <v>-2.4658000000000002</v>
      </c>
      <c r="AF1090">
        <v>2.2926712611431199</v>
      </c>
      <c r="AG1090">
        <v>-1.1101721097319901</v>
      </c>
      <c r="AH1090">
        <v>19.808804534633701</v>
      </c>
      <c r="AI1090">
        <v>93.186522936235207</v>
      </c>
      <c r="AJ1090">
        <v>83.397961010437101</v>
      </c>
      <c r="AK1090">
        <v>19.9719193047695</v>
      </c>
      <c r="AL1090">
        <v>79.225577315624506</v>
      </c>
      <c r="AM1090">
        <v>86.868669191318006</v>
      </c>
      <c r="AN1090">
        <v>1.00000002847041</v>
      </c>
    </row>
    <row r="1091" spans="1:40" x14ac:dyDescent="0.25">
      <c r="A1091" t="str">
        <f>"20190312172913905"</f>
        <v>20190312172913905</v>
      </c>
      <c r="B1091" t="str">
        <f>"1552382953898918"</f>
        <v>1552382953898918</v>
      </c>
      <c r="C1091" t="s">
        <v>40</v>
      </c>
      <c r="D1091">
        <v>3.3177249999999998</v>
      </c>
      <c r="E1091">
        <v>0.5261055</v>
      </c>
      <c r="F1091" t="s">
        <v>41</v>
      </c>
      <c r="G1091">
        <v>-232.06620000000001</v>
      </c>
      <c r="H1091" s="1">
        <v>-4.2598079999999997E-6</v>
      </c>
      <c r="I1091">
        <v>364.68979999999999</v>
      </c>
      <c r="J1091">
        <v>-252.0565</v>
      </c>
      <c r="K1091">
        <v>1.110169</v>
      </c>
      <c r="L1091">
        <v>367.17500000000001</v>
      </c>
      <c r="M1091">
        <v>0.99985639999999998</v>
      </c>
      <c r="N1091">
        <v>0</v>
      </c>
      <c r="O1091">
        <v>-8.2896689999999995E-3</v>
      </c>
      <c r="P1091">
        <v>0.98308359999999995</v>
      </c>
      <c r="Q1091">
        <v>0.17248810000000001</v>
      </c>
      <c r="R1091">
        <v>-6.1599269999999998E-2</v>
      </c>
      <c r="S1091">
        <v>3.057388</v>
      </c>
      <c r="T1091">
        <v>-0.16810459999999999</v>
      </c>
      <c r="U1091">
        <v>-0.37655640000000001</v>
      </c>
      <c r="V1091">
        <v>5.3395610000000003E-2</v>
      </c>
      <c r="W1091">
        <v>0.18702530000000001</v>
      </c>
      <c r="X1091">
        <v>0.98090290000000002</v>
      </c>
      <c r="Y1091">
        <v>0.11384950000000001</v>
      </c>
      <c r="Z1091">
        <v>-2.6620670000000002E-3</v>
      </c>
      <c r="AA1091">
        <v>0.99349449999999995</v>
      </c>
      <c r="AB1091">
        <v>36</v>
      </c>
      <c r="AC1091">
        <v>19.990299999999898</v>
      </c>
      <c r="AD1091">
        <v>-1.1101732598080001</v>
      </c>
      <c r="AE1091">
        <v>-2.4852000000000198</v>
      </c>
      <c r="AF1091">
        <v>2.3123602763726598</v>
      </c>
      <c r="AG1091">
        <v>-1.1101732598080001</v>
      </c>
      <c r="AH1091">
        <v>19.949624522078199</v>
      </c>
      <c r="AI1091">
        <v>93.164017776542806</v>
      </c>
      <c r="AJ1091">
        <v>83.388352297827097</v>
      </c>
      <c r="AK1091">
        <v>20.113851279315998</v>
      </c>
      <c r="AL1091">
        <v>79.220765528367494</v>
      </c>
      <c r="AM1091">
        <v>86.8841700266902</v>
      </c>
      <c r="AN1091">
        <v>1.0000000266178799</v>
      </c>
    </row>
    <row r="1092" spans="1:40" x14ac:dyDescent="0.25">
      <c r="A1092" t="str">
        <f>"20190312172913916"</f>
        <v>20190312172913916</v>
      </c>
      <c r="B1092" t="str">
        <f>"1552382953908678"</f>
        <v>1552382953908678</v>
      </c>
      <c r="C1092" t="s">
        <v>40</v>
      </c>
      <c r="D1092">
        <v>3.367909</v>
      </c>
      <c r="E1092">
        <v>0.52616640000000003</v>
      </c>
      <c r="F1092" t="s">
        <v>41</v>
      </c>
      <c r="G1092">
        <v>-231.79580000000001</v>
      </c>
      <c r="H1092" s="1">
        <v>-4.3771519999999997E-6</v>
      </c>
      <c r="I1092">
        <v>364.68209999999999</v>
      </c>
      <c r="J1092">
        <v>-251.87639999999999</v>
      </c>
      <c r="K1092">
        <v>1.1101719999999999</v>
      </c>
      <c r="L1092">
        <v>367.17360000000002</v>
      </c>
      <c r="M1092">
        <v>0.99985690000000005</v>
      </c>
      <c r="N1092">
        <v>0</v>
      </c>
      <c r="O1092">
        <v>-8.2260030000000008E-3</v>
      </c>
      <c r="P1092">
        <v>0.98307299999999997</v>
      </c>
      <c r="Q1092">
        <v>0.17252919999999999</v>
      </c>
      <c r="R1092">
        <v>-6.1654559999999997E-2</v>
      </c>
      <c r="S1092">
        <v>3.0574340000000002</v>
      </c>
      <c r="T1092">
        <v>-0.1675296</v>
      </c>
      <c r="U1092">
        <v>-0.37619019999999997</v>
      </c>
      <c r="V1092">
        <v>5.3513480000000002E-2</v>
      </c>
      <c r="W1092">
        <v>0.1870646</v>
      </c>
      <c r="X1092">
        <v>0.98088900000000001</v>
      </c>
      <c r="Y1092">
        <v>0.1137948</v>
      </c>
      <c r="Z1092">
        <v>-2.6549339999999999E-3</v>
      </c>
      <c r="AA1092">
        <v>0.99350070000000001</v>
      </c>
      <c r="AB1092">
        <v>36</v>
      </c>
      <c r="AC1092">
        <v>20.080599999999901</v>
      </c>
      <c r="AD1092">
        <v>-1.1101763771519999</v>
      </c>
      <c r="AE1092">
        <v>-2.49150000000003</v>
      </c>
      <c r="AF1092">
        <v>2.31923319567592</v>
      </c>
      <c r="AG1092">
        <v>-1.1101763771519999</v>
      </c>
      <c r="AH1092">
        <v>20.040093025267598</v>
      </c>
      <c r="AI1092">
        <v>93.149836639259505</v>
      </c>
      <c r="AJ1092">
        <v>83.398546135743402</v>
      </c>
      <c r="AK1092">
        <v>20.204372365052301</v>
      </c>
      <c r="AL1092">
        <v>79.218473537034797</v>
      </c>
      <c r="AM1092">
        <v>86.877261313172895</v>
      </c>
      <c r="AN1092">
        <v>1.0000000437179299</v>
      </c>
    </row>
    <row r="1093" spans="1:40" x14ac:dyDescent="0.25">
      <c r="A1093" t="str">
        <f>"20190312172913929"</f>
        <v>20190312172913929</v>
      </c>
      <c r="B1093" t="str">
        <f>"1552382953918437"</f>
        <v>1552382953918437</v>
      </c>
      <c r="C1093" t="s">
        <v>40</v>
      </c>
      <c r="D1093">
        <v>3.3627790000000002</v>
      </c>
      <c r="E1093">
        <v>0.52624269999999995</v>
      </c>
      <c r="F1093" t="s">
        <v>41</v>
      </c>
      <c r="G1093">
        <v>-231.5641</v>
      </c>
      <c r="H1093" s="1">
        <v>-4.4788570000000003E-6</v>
      </c>
      <c r="I1093">
        <v>364.66919999999999</v>
      </c>
      <c r="J1093">
        <v>-251.68770000000001</v>
      </c>
      <c r="K1093">
        <v>1.1101730000000001</v>
      </c>
      <c r="L1093">
        <v>367.1721</v>
      </c>
      <c r="M1093">
        <v>0.99985749999999995</v>
      </c>
      <c r="N1093">
        <v>0</v>
      </c>
      <c r="O1093">
        <v>-8.1592379999999992E-3</v>
      </c>
      <c r="P1093">
        <v>0.98307690000000003</v>
      </c>
      <c r="Q1093">
        <v>0.17251849999999999</v>
      </c>
      <c r="R1093">
        <v>-6.1622509999999998E-2</v>
      </c>
      <c r="S1093">
        <v>3.0573429999999999</v>
      </c>
      <c r="T1093">
        <v>-0.16709959999999999</v>
      </c>
      <c r="U1093">
        <v>-0.37695309999999999</v>
      </c>
      <c r="V1093">
        <v>5.3547240000000003E-2</v>
      </c>
      <c r="W1093">
        <v>0.18705189999999999</v>
      </c>
      <c r="X1093">
        <v>0.98088949999999997</v>
      </c>
      <c r="Y1093">
        <v>0.11410919999999999</v>
      </c>
      <c r="Z1093">
        <v>-2.6603529999999998E-3</v>
      </c>
      <c r="AA1093">
        <v>0.99346460000000003</v>
      </c>
      <c r="AB1093">
        <v>36</v>
      </c>
      <c r="AC1093">
        <v>20.1236</v>
      </c>
      <c r="AD1093">
        <v>-1.11017747885699</v>
      </c>
      <c r="AE1093">
        <v>-2.5029000000000101</v>
      </c>
      <c r="AF1093">
        <v>2.3316173156377999</v>
      </c>
      <c r="AG1093">
        <v>-1.11017747885699</v>
      </c>
      <c r="AH1093">
        <v>20.083161995437901</v>
      </c>
      <c r="AI1093">
        <v>93.142966195912805</v>
      </c>
      <c r="AJ1093">
        <v>83.377715046353003</v>
      </c>
      <c r="AK1093">
        <v>20.2485142436709</v>
      </c>
      <c r="AL1093">
        <v>79.2192134170988</v>
      </c>
      <c r="AM1093">
        <v>86.875296766186693</v>
      </c>
      <c r="AN1093">
        <v>0.99999996570773797</v>
      </c>
    </row>
    <row r="1094" spans="1:40" x14ac:dyDescent="0.25">
      <c r="A1094" t="str">
        <f>"20190312172913941"</f>
        <v>20190312172913941</v>
      </c>
      <c r="B1094" t="str">
        <f>"1552382953937958"</f>
        <v>1552382953937958</v>
      </c>
      <c r="C1094" t="s">
        <v>40</v>
      </c>
      <c r="D1094">
        <v>3.35025</v>
      </c>
      <c r="E1094">
        <v>0.52638399999999996</v>
      </c>
      <c r="F1094" t="s">
        <v>41</v>
      </c>
      <c r="G1094">
        <v>-231.3503</v>
      </c>
      <c r="H1094" s="1">
        <v>-4.5719630000000001E-6</v>
      </c>
      <c r="I1094">
        <v>364.66129999999998</v>
      </c>
      <c r="J1094">
        <v>-251.46420000000001</v>
      </c>
      <c r="K1094">
        <v>1.1101669999999999</v>
      </c>
      <c r="L1094">
        <v>367.1703</v>
      </c>
      <c r="M1094">
        <v>0.99985829999999998</v>
      </c>
      <c r="N1094">
        <v>0</v>
      </c>
      <c r="O1094">
        <v>-8.0800730000000001E-3</v>
      </c>
      <c r="P1094">
        <v>0.98308649999999997</v>
      </c>
      <c r="Q1094">
        <v>0.17245260000000001</v>
      </c>
      <c r="R1094">
        <v>-6.165474E-2</v>
      </c>
      <c r="S1094">
        <v>3.0572659999999998</v>
      </c>
      <c r="T1094">
        <v>-0.1668895</v>
      </c>
      <c r="U1094">
        <v>-0.37744139999999998</v>
      </c>
      <c r="V1094">
        <v>5.3657219999999999E-2</v>
      </c>
      <c r="W1094">
        <v>0.18698400000000001</v>
      </c>
      <c r="X1094">
        <v>0.98089649999999995</v>
      </c>
      <c r="Y1094">
        <v>0.11434709999999999</v>
      </c>
      <c r="Z1094">
        <v>-2.6678180000000002E-3</v>
      </c>
      <c r="AA1094">
        <v>0.99343729999999997</v>
      </c>
      <c r="AB1094">
        <v>36</v>
      </c>
      <c r="AC1094">
        <v>20.113900000000001</v>
      </c>
      <c r="AD1094">
        <v>-1.1101715719630001</v>
      </c>
      <c r="AE1094">
        <v>-2.5090000000000101</v>
      </c>
      <c r="AF1094">
        <v>2.3393611219630901</v>
      </c>
      <c r="AG1094">
        <v>-1.1101715719630001</v>
      </c>
      <c r="AH1094">
        <v>20.073303889600901</v>
      </c>
      <c r="AI1094">
        <v>93.144330457573503</v>
      </c>
      <c r="AJ1094">
        <v>83.3526835713362</v>
      </c>
      <c r="AK1094">
        <v>20.239629947763699</v>
      </c>
      <c r="AL1094">
        <v>79.223174359493896</v>
      </c>
      <c r="AM1094">
        <v>86.8689140346345</v>
      </c>
      <c r="AN1094">
        <v>1.00000002861318</v>
      </c>
    </row>
    <row r="1095" spans="1:40" x14ac:dyDescent="0.25">
      <c r="A1095" t="str">
        <f>"20190312172913955"</f>
        <v>20190312172913955</v>
      </c>
      <c r="B1095" t="str">
        <f>"1552382953948693"</f>
        <v>1552382953948693</v>
      </c>
      <c r="C1095" t="s">
        <v>40</v>
      </c>
      <c r="D1095">
        <v>3.3343579999999999</v>
      </c>
      <c r="E1095">
        <v>0.52647339999999998</v>
      </c>
      <c r="F1095" t="s">
        <v>41</v>
      </c>
      <c r="G1095">
        <v>-231.10820000000001</v>
      </c>
      <c r="H1095" s="1">
        <v>-4.6779529999999997E-6</v>
      </c>
      <c r="I1095">
        <v>364.64920000000001</v>
      </c>
      <c r="J1095">
        <v>-251.2567</v>
      </c>
      <c r="K1095">
        <v>1.1101669999999999</v>
      </c>
      <c r="L1095">
        <v>367.1687</v>
      </c>
      <c r="M1095">
        <v>0.99985889999999999</v>
      </c>
      <c r="N1095">
        <v>0</v>
      </c>
      <c r="O1095">
        <v>-8.0066300000000007E-3</v>
      </c>
      <c r="P1095">
        <v>0.98308910000000005</v>
      </c>
      <c r="Q1095">
        <v>0.172371</v>
      </c>
      <c r="R1095">
        <v>-6.1840640000000002E-2</v>
      </c>
      <c r="S1095">
        <v>3.0571139999999999</v>
      </c>
      <c r="T1095">
        <v>-0.16672799999999999</v>
      </c>
      <c r="U1095">
        <v>-0.37863160000000001</v>
      </c>
      <c r="V1095">
        <v>5.3915390000000001E-2</v>
      </c>
      <c r="W1095">
        <v>0.18690019999999999</v>
      </c>
      <c r="X1095">
        <v>0.9808983</v>
      </c>
      <c r="Y1095">
        <v>0.11480650000000001</v>
      </c>
      <c r="Z1095">
        <v>-2.6817659999999999E-3</v>
      </c>
      <c r="AA1095">
        <v>0.99338419999999905</v>
      </c>
      <c r="AB1095">
        <v>36</v>
      </c>
      <c r="AC1095">
        <v>20.148499999999899</v>
      </c>
      <c r="AD1095">
        <v>-1.110171677953</v>
      </c>
      <c r="AE1095">
        <v>-2.5194999999999901</v>
      </c>
      <c r="AF1095">
        <v>2.3510522560016698</v>
      </c>
      <c r="AG1095">
        <v>-1.110171677953</v>
      </c>
      <c r="AH1095">
        <v>20.107922121152999</v>
      </c>
      <c r="AI1095">
        <v>93.1387908758592</v>
      </c>
      <c r="AJ1095">
        <v>83.331159774396198</v>
      </c>
      <c r="AK1095">
        <v>20.275316517759499</v>
      </c>
      <c r="AL1095">
        <v>79.228061754661496</v>
      </c>
      <c r="AM1095">
        <v>86.853884867911802</v>
      </c>
      <c r="AN1095">
        <v>1.00000001449089</v>
      </c>
    </row>
    <row r="1096" spans="1:40" x14ac:dyDescent="0.25">
      <c r="A1096" t="str">
        <f>"20190312172913970"</f>
        <v>20190312172913970</v>
      </c>
      <c r="B1096" t="str">
        <f>"1552382953958453"</f>
        <v>1552382953958453</v>
      </c>
      <c r="C1096" t="s">
        <v>40</v>
      </c>
      <c r="D1096">
        <v>3.6500140000000001</v>
      </c>
      <c r="E1096">
        <v>0.52656009999999998</v>
      </c>
      <c r="F1096" t="s">
        <v>41</v>
      </c>
      <c r="G1096">
        <v>-230.9203</v>
      </c>
      <c r="H1096" s="1">
        <v>-4.7601439999999999E-6</v>
      </c>
      <c r="I1096">
        <v>364.64030000000002</v>
      </c>
      <c r="J1096">
        <v>-251.0179</v>
      </c>
      <c r="K1096">
        <v>1.1101730000000001</v>
      </c>
      <c r="L1096">
        <v>367.1669</v>
      </c>
      <c r="M1096">
        <v>0.99985959999999996</v>
      </c>
      <c r="N1096">
        <v>0</v>
      </c>
      <c r="O1096">
        <v>-7.9219830000000005E-3</v>
      </c>
      <c r="P1096">
        <v>0.98309219999999997</v>
      </c>
      <c r="Q1096">
        <v>0.17225779999999999</v>
      </c>
      <c r="R1096">
        <v>-6.2107889999999999E-2</v>
      </c>
      <c r="S1096">
        <v>3.0569459999999999</v>
      </c>
      <c r="T1096">
        <v>-0.1668791</v>
      </c>
      <c r="U1096">
        <v>-0.38006590000000001</v>
      </c>
      <c r="V1096">
        <v>5.4265920000000002E-2</v>
      </c>
      <c r="W1096">
        <v>0.18678449999999999</v>
      </c>
      <c r="X1096">
        <v>0.98090100000000002</v>
      </c>
      <c r="Y1096">
        <v>0.1153551</v>
      </c>
      <c r="Z1096">
        <v>-2.7037649999999999E-3</v>
      </c>
      <c r="AA1096">
        <v>0.9933206</v>
      </c>
      <c r="AB1096">
        <v>36</v>
      </c>
      <c r="AC1096">
        <v>20.0976</v>
      </c>
      <c r="AD1096">
        <v>-1.1101777601439999</v>
      </c>
      <c r="AE1096">
        <v>-2.52659999999997</v>
      </c>
      <c r="AF1096">
        <v>2.36020067224492</v>
      </c>
      <c r="AG1096">
        <v>-1.1101777601439999</v>
      </c>
      <c r="AH1096">
        <v>20.056738502728699</v>
      </c>
      <c r="AI1096">
        <v>93.146527857654405</v>
      </c>
      <c r="AJ1096">
        <v>83.288516604842798</v>
      </c>
      <c r="AK1096">
        <v>20.2256223943597</v>
      </c>
      <c r="AL1096">
        <v>79.234809612093997</v>
      </c>
      <c r="AM1096">
        <v>86.833480642500206</v>
      </c>
      <c r="AN1096">
        <v>1.0000000056573399</v>
      </c>
    </row>
    <row r="1097" spans="1:40" x14ac:dyDescent="0.25">
      <c r="A1097" t="str">
        <f>"20190312172913982"</f>
        <v>20190312172913982</v>
      </c>
      <c r="B1097" t="str">
        <f>"1552382953977974"</f>
        <v>1552382953977974</v>
      </c>
      <c r="C1097" t="s">
        <v>40</v>
      </c>
      <c r="D1097">
        <v>3.3796369999999998</v>
      </c>
      <c r="E1097">
        <v>0.52673190000000003</v>
      </c>
      <c r="F1097" t="s">
        <v>41</v>
      </c>
      <c r="G1097">
        <v>-230.69409999999999</v>
      </c>
      <c r="H1097" s="1">
        <v>-4.8594950000000003E-6</v>
      </c>
      <c r="I1097">
        <v>364.62729999999999</v>
      </c>
      <c r="J1097">
        <v>-250.80950000000001</v>
      </c>
      <c r="K1097">
        <v>1.1101749999999999</v>
      </c>
      <c r="L1097">
        <v>367.1653</v>
      </c>
      <c r="M1097">
        <v>0.99986019999999998</v>
      </c>
      <c r="N1097">
        <v>0</v>
      </c>
      <c r="O1097">
        <v>-7.8481850000000006E-3</v>
      </c>
      <c r="P1097">
        <v>0.98311190000000004</v>
      </c>
      <c r="Q1097">
        <v>0.17217639999999901</v>
      </c>
      <c r="R1097">
        <v>-6.2023580000000002E-2</v>
      </c>
      <c r="S1097">
        <v>3.0567169999999999</v>
      </c>
      <c r="T1097">
        <v>-0.16697129999999999</v>
      </c>
      <c r="U1097">
        <v>-0.38195800000000002</v>
      </c>
      <c r="V1097">
        <v>5.4254219999999999E-2</v>
      </c>
      <c r="W1097">
        <v>0.18670149999999999</v>
      </c>
      <c r="X1097">
        <v>0.9809175</v>
      </c>
      <c r="Y1097">
        <v>0.11604159999999999</v>
      </c>
      <c r="Z1097">
        <v>-2.728032E-3</v>
      </c>
      <c r="AA1097">
        <v>0.99324060000000003</v>
      </c>
      <c r="AB1097">
        <v>36</v>
      </c>
      <c r="AC1097">
        <v>20.115400000000001</v>
      </c>
      <c r="AD1097">
        <v>-1.1101798594950001</v>
      </c>
      <c r="AE1097">
        <v>-2.53800000000001</v>
      </c>
      <c r="AF1097">
        <v>2.3729205827587001</v>
      </c>
      <c r="AG1097">
        <v>-1.1101798594950001</v>
      </c>
      <c r="AH1097">
        <v>20.074512506031301</v>
      </c>
      <c r="AI1097">
        <v>93.143560222390093</v>
      </c>
      <c r="AJ1097">
        <v>83.258597861100398</v>
      </c>
      <c r="AK1097">
        <v>20.244735211094099</v>
      </c>
      <c r="AL1097">
        <v>79.239650865323298</v>
      </c>
      <c r="AM1097">
        <v>86.834215115015994</v>
      </c>
      <c r="AN1097">
        <v>1.0000000561481499</v>
      </c>
    </row>
    <row r="1098" spans="1:40" x14ac:dyDescent="0.25">
      <c r="A1098" t="str">
        <f>"20190312172913997"</f>
        <v>20190312172913997</v>
      </c>
      <c r="B1098" t="str">
        <f>"1552382953988709"</f>
        <v>1552382953988709</v>
      </c>
      <c r="C1098" t="s">
        <v>40</v>
      </c>
      <c r="D1098">
        <v>3.3611749999999998</v>
      </c>
      <c r="E1098">
        <v>0.52682280000000004</v>
      </c>
      <c r="F1098" t="s">
        <v>41</v>
      </c>
      <c r="G1098">
        <v>-230.5042</v>
      </c>
      <c r="H1098" s="1">
        <v>-4.942349E-6</v>
      </c>
      <c r="I1098">
        <v>364.61939999999998</v>
      </c>
      <c r="J1098">
        <v>-250.5702</v>
      </c>
      <c r="K1098">
        <v>1.1101780000000001</v>
      </c>
      <c r="L1098">
        <v>367.1635</v>
      </c>
      <c r="M1098">
        <v>0.99986090000000005</v>
      </c>
      <c r="N1098">
        <v>0</v>
      </c>
      <c r="O1098">
        <v>-7.7632969999999997E-3</v>
      </c>
      <c r="P1098">
        <v>0.98310030000000004</v>
      </c>
      <c r="Q1098">
        <v>0.17222680000000001</v>
      </c>
      <c r="R1098">
        <v>-6.2066009999999998E-2</v>
      </c>
      <c r="S1098">
        <v>3.0565950000000002</v>
      </c>
      <c r="T1098">
        <v>-0.16711699999999999</v>
      </c>
      <c r="U1098">
        <v>-0.38323970000000002</v>
      </c>
      <c r="V1098">
        <v>5.4380409999999997E-2</v>
      </c>
      <c r="W1098">
        <v>0.18674930000000001</v>
      </c>
      <c r="X1098">
        <v>0.98090140000000003</v>
      </c>
      <c r="Y1098">
        <v>0.1165397</v>
      </c>
      <c r="Z1098">
        <v>-2.7486199999999998E-3</v>
      </c>
      <c r="AA1098">
        <v>0.99318220000000002</v>
      </c>
      <c r="AB1098">
        <v>36</v>
      </c>
      <c r="AC1098">
        <v>20.065999999999999</v>
      </c>
      <c r="AD1098">
        <v>-1.1101829423489999</v>
      </c>
      <c r="AE1098">
        <v>-2.54410000000001</v>
      </c>
      <c r="AF1098">
        <v>2.38105485284634</v>
      </c>
      <c r="AG1098">
        <v>-1.1101829423489999</v>
      </c>
      <c r="AH1098">
        <v>20.0248211188803</v>
      </c>
      <c r="AI1098">
        <v>93.151096763683597</v>
      </c>
      <c r="AJ1098">
        <v>83.219072971195303</v>
      </c>
      <c r="AK1098">
        <v>20.1964202080691</v>
      </c>
      <c r="AL1098">
        <v>79.236862956217195</v>
      </c>
      <c r="AM1098">
        <v>86.826814863322596</v>
      </c>
      <c r="AN1098">
        <v>1.0000000432820999</v>
      </c>
    </row>
    <row r="1099" spans="1:40" x14ac:dyDescent="0.25">
      <c r="A1099" t="str">
        <f>"20190312172914015"</f>
        <v>20190312172914015</v>
      </c>
      <c r="B1099" t="str">
        <f>"1552382954008233"</f>
        <v>1552382954008233</v>
      </c>
      <c r="C1099" t="s">
        <v>40</v>
      </c>
      <c r="D1099">
        <v>3.3862640000000002</v>
      </c>
      <c r="E1099">
        <v>0.52698829999999997</v>
      </c>
      <c r="F1099" t="s">
        <v>41</v>
      </c>
      <c r="G1099">
        <v>-230.23480000000001</v>
      </c>
      <c r="H1099" s="1">
        <v>-5.060181E-6</v>
      </c>
      <c r="I1099">
        <v>364.60669999999999</v>
      </c>
      <c r="J1099">
        <v>-250.2895</v>
      </c>
      <c r="K1099">
        <v>1.110185</v>
      </c>
      <c r="L1099">
        <v>367.16140000000001</v>
      </c>
      <c r="M1099">
        <v>0.99986169999999996</v>
      </c>
      <c r="N1099">
        <v>0</v>
      </c>
      <c r="O1099">
        <v>-7.6633909999999899E-3</v>
      </c>
      <c r="P1099">
        <v>0.98303090000000004</v>
      </c>
      <c r="Q1099">
        <v>0.1725111</v>
      </c>
      <c r="R1099">
        <v>-6.2373699999999997E-2</v>
      </c>
      <c r="S1099">
        <v>3.0565340000000001</v>
      </c>
      <c r="T1099">
        <v>-0.166867299999999</v>
      </c>
      <c r="U1099">
        <v>-0.38430789999999998</v>
      </c>
      <c r="V1099">
        <v>5.4787019999999999E-2</v>
      </c>
      <c r="W1099">
        <v>0.18702949999999999</v>
      </c>
      <c r="X1099">
        <v>0.98082539999999996</v>
      </c>
      <c r="Y1099">
        <v>0.1169828</v>
      </c>
      <c r="Z1099">
        <v>-2.7619789999999999E-3</v>
      </c>
      <c r="AA1099">
        <v>0.99313010000000002</v>
      </c>
      <c r="AB1099">
        <v>36</v>
      </c>
      <c r="AC1099">
        <v>20.0547</v>
      </c>
      <c r="AD1099">
        <v>-1.110190060181</v>
      </c>
      <c r="AE1099">
        <v>-2.55470000000002</v>
      </c>
      <c r="AF1099">
        <v>2.3937028038158799</v>
      </c>
      <c r="AG1099">
        <v>-1.110190060181</v>
      </c>
      <c r="AH1099">
        <v>20.0133388714661</v>
      </c>
      <c r="AI1099">
        <v>93.152662119759398</v>
      </c>
      <c r="AJ1099">
        <v>83.179517280265301</v>
      </c>
      <c r="AK1099">
        <v>20.186531843455899</v>
      </c>
      <c r="AL1099">
        <v>79.220520909859204</v>
      </c>
      <c r="AM1099">
        <v>86.802890342869503</v>
      </c>
      <c r="AN1099">
        <v>1.00000005835794</v>
      </c>
    </row>
    <row r="1100" spans="1:40" x14ac:dyDescent="0.25">
      <c r="A1100" t="str">
        <f>"20190312172914025"</f>
        <v>20190312172914025</v>
      </c>
      <c r="B1100" t="str">
        <f>"1552382954017989"</f>
        <v>1552382954017989</v>
      </c>
      <c r="C1100" t="s">
        <v>40</v>
      </c>
      <c r="D1100">
        <v>3.3819469999999998</v>
      </c>
      <c r="E1100">
        <v>0.52707729999999997</v>
      </c>
      <c r="F1100" t="s">
        <v>41</v>
      </c>
      <c r="G1100">
        <v>-229.84280000000001</v>
      </c>
      <c r="H1100" s="1">
        <v>-1.381293E-6</v>
      </c>
      <c r="I1100">
        <v>364.57369999999997</v>
      </c>
      <c r="J1100">
        <v>-250.11580000000001</v>
      </c>
      <c r="K1100">
        <v>1.110188</v>
      </c>
      <c r="L1100">
        <v>367.16019999999997</v>
      </c>
      <c r="M1100">
        <v>0.99986229999999998</v>
      </c>
      <c r="N1100">
        <v>0</v>
      </c>
      <c r="O1100">
        <v>-7.6017539999999996E-3</v>
      </c>
      <c r="P1100">
        <v>0.98300359999999998</v>
      </c>
      <c r="Q1100">
        <v>0.17261850000000001</v>
      </c>
      <c r="R1100">
        <v>-6.2508709999999995E-2</v>
      </c>
      <c r="S1100">
        <v>3.0563660000000001</v>
      </c>
      <c r="T1100">
        <v>-0.16595019999999999</v>
      </c>
      <c r="U1100">
        <v>-0.3868103</v>
      </c>
      <c r="V1100">
        <v>5.4982900000000001E-2</v>
      </c>
      <c r="W1100">
        <v>0.18713489999999999</v>
      </c>
      <c r="X1100">
        <v>0.98079430000000001</v>
      </c>
      <c r="Y1100">
        <v>0.1178515</v>
      </c>
      <c r="Z1100">
        <v>-2.7736359999999999E-3</v>
      </c>
      <c r="AA1100">
        <v>0.99302729999999995</v>
      </c>
      <c r="AB1100">
        <v>36</v>
      </c>
      <c r="AC1100">
        <v>20.273</v>
      </c>
      <c r="AD1100">
        <v>-1.1101893812929999</v>
      </c>
      <c r="AE1100">
        <v>-2.5865</v>
      </c>
      <c r="AF1100">
        <v>2.4251419141964599</v>
      </c>
      <c r="AG1100">
        <v>-1.1101893812929999</v>
      </c>
      <c r="AH1100">
        <v>20.2323756678576</v>
      </c>
      <c r="AI1100">
        <v>93.1185018913189</v>
      </c>
      <c r="AJ1100">
        <v>83.164884767116206</v>
      </c>
      <c r="AK1100">
        <v>20.407421663004001</v>
      </c>
      <c r="AL1100">
        <v>79.214373026635002</v>
      </c>
      <c r="AM1100">
        <v>86.791382031900596</v>
      </c>
      <c r="AN1100">
        <v>1.00000002450145</v>
      </c>
    </row>
    <row r="1101" spans="1:40" x14ac:dyDescent="0.25">
      <c r="A1101" t="str">
        <f>"20190312172914036"</f>
        <v>20190312172914036</v>
      </c>
      <c r="B1101" t="str">
        <f>"1552382954028726"</f>
        <v>1552382954028726</v>
      </c>
      <c r="C1101" t="s">
        <v>40</v>
      </c>
      <c r="D1101">
        <v>3.676946</v>
      </c>
      <c r="E1101">
        <v>0.52707729999999997</v>
      </c>
      <c r="F1101" t="s">
        <v>41</v>
      </c>
      <c r="G1101">
        <v>-229.62459999999999</v>
      </c>
      <c r="H1101" s="1">
        <v>-1.459193E-6</v>
      </c>
      <c r="I1101">
        <v>364.56</v>
      </c>
      <c r="J1101">
        <v>-249.9384</v>
      </c>
      <c r="K1101">
        <v>1.110188</v>
      </c>
      <c r="L1101">
        <v>367.15890000000002</v>
      </c>
      <c r="M1101">
        <v>0.99986260000000005</v>
      </c>
      <c r="N1101">
        <v>0</v>
      </c>
      <c r="O1101">
        <v>-7.5386840000000004E-3</v>
      </c>
      <c r="P1101">
        <v>0.98293750000000002</v>
      </c>
      <c r="Q1101">
        <v>0.172959</v>
      </c>
      <c r="R1101">
        <v>-6.2604279999999998E-2</v>
      </c>
      <c r="S1101">
        <v>3.0562740000000002</v>
      </c>
      <c r="T1101">
        <v>-0.16558529999999999</v>
      </c>
      <c r="U1101">
        <v>-0.38781739999999998</v>
      </c>
      <c r="V1101">
        <v>5.5140889999999998E-2</v>
      </c>
      <c r="W1101">
        <v>0.1874721</v>
      </c>
      <c r="X1101">
        <v>0.98072099999999995</v>
      </c>
      <c r="Y1101">
        <v>0.1182399</v>
      </c>
      <c r="Z1101">
        <v>-2.7814440000000001E-3</v>
      </c>
      <c r="AA1101">
        <v>0.99298109999999995</v>
      </c>
      <c r="AB1101">
        <v>36</v>
      </c>
      <c r="AC1101">
        <v>20.313800000000001</v>
      </c>
      <c r="AD1101">
        <v>-1.1101894591929999</v>
      </c>
      <c r="AE1101">
        <v>-2.5989000000000102</v>
      </c>
      <c r="AF1101">
        <v>2.4385039986510302</v>
      </c>
      <c r="AG1101">
        <v>-1.1101894591929999</v>
      </c>
      <c r="AH1101">
        <v>20.273239316202101</v>
      </c>
      <c r="AI1101">
        <v>93.112075194132998</v>
      </c>
      <c r="AJ1101">
        <v>83.141304011894505</v>
      </c>
      <c r="AK1101">
        <v>20.4495245607018</v>
      </c>
      <c r="AL1101">
        <v>79.194704458568907</v>
      </c>
      <c r="AM1101">
        <v>86.781941614072295</v>
      </c>
      <c r="AN1101">
        <v>0.99999999293470099</v>
      </c>
    </row>
    <row r="1102" spans="1:40" x14ac:dyDescent="0.25">
      <c r="A1102" t="str">
        <f>"20190312172914048"</f>
        <v>20190312172914048</v>
      </c>
      <c r="B1102" t="str">
        <f>"1552382954038486"</f>
        <v>1552382954038486</v>
      </c>
      <c r="C1102" t="s">
        <v>40</v>
      </c>
      <c r="D1102">
        <v>3.6257570000000001</v>
      </c>
      <c r="E1102">
        <v>0.53377940000000001</v>
      </c>
      <c r="F1102" t="s">
        <v>41</v>
      </c>
      <c r="G1102">
        <v>-229.3039</v>
      </c>
      <c r="H1102" s="1">
        <v>-1.574581E-6</v>
      </c>
      <c r="I1102">
        <v>364.53649999999999</v>
      </c>
      <c r="J1102">
        <v>-249.7561</v>
      </c>
      <c r="K1102">
        <v>1.1101939999999999</v>
      </c>
      <c r="L1102">
        <v>367.1576</v>
      </c>
      <c r="M1102">
        <v>0.99986319999999995</v>
      </c>
      <c r="N1102">
        <v>0</v>
      </c>
      <c r="O1102">
        <v>-7.4740630000000004E-3</v>
      </c>
      <c r="P1102">
        <v>0.98290880000000003</v>
      </c>
      <c r="Q1102">
        <v>0.1730833</v>
      </c>
      <c r="R1102">
        <v>-6.2710450000000001E-2</v>
      </c>
      <c r="S1102">
        <v>3.0562740000000002</v>
      </c>
      <c r="T1102">
        <v>-0.16443440000000001</v>
      </c>
      <c r="U1102">
        <v>-0.3883972</v>
      </c>
      <c r="V1102">
        <v>5.5311020000000002E-2</v>
      </c>
      <c r="W1102">
        <v>0.18759390000000001</v>
      </c>
      <c r="X1102">
        <v>0.98068820000000001</v>
      </c>
      <c r="Y1102">
        <v>0.11849129999999999</v>
      </c>
      <c r="Z1102">
        <v>-2.772297E-3</v>
      </c>
      <c r="AA1102">
        <v>0.99295120000000003</v>
      </c>
      <c r="AB1102">
        <v>36</v>
      </c>
      <c r="AC1102">
        <v>20.452200000000001</v>
      </c>
      <c r="AD1102">
        <v>-1.1101955745809999</v>
      </c>
      <c r="AE1102">
        <v>-2.62110000000001</v>
      </c>
      <c r="AF1102">
        <v>2.4610146888233499</v>
      </c>
      <c r="AG1102">
        <v>-1.1101955745809999</v>
      </c>
      <c r="AH1102">
        <v>20.4120470870355</v>
      </c>
      <c r="AI1102">
        <v>93.090866047191497</v>
      </c>
      <c r="AJ1102">
        <v>83.125215905181904</v>
      </c>
      <c r="AK1102">
        <v>20.5898225780548</v>
      </c>
      <c r="AL1102">
        <v>79.187600549562504</v>
      </c>
      <c r="AM1102">
        <v>86.771925946448803</v>
      </c>
      <c r="AN1102">
        <v>1.0000000629349399</v>
      </c>
    </row>
    <row r="1103" spans="1:40" x14ac:dyDescent="0.25">
      <c r="A1103" t="str">
        <f>"20190312172914058"</f>
        <v>20190312172914058</v>
      </c>
      <c r="B1103" t="str">
        <f>"1552382954048245"</f>
        <v>1552382954048245</v>
      </c>
      <c r="C1103" t="s">
        <v>40</v>
      </c>
      <c r="D1103">
        <v>3.3751799999999998</v>
      </c>
      <c r="E1103">
        <v>0.53348090000000004</v>
      </c>
      <c r="F1103" t="s">
        <v>41</v>
      </c>
      <c r="G1103">
        <v>-229.20779999999999</v>
      </c>
      <c r="H1103" s="1">
        <v>-1.701557E-6</v>
      </c>
      <c r="I1103">
        <v>364.18220000000002</v>
      </c>
      <c r="J1103">
        <v>-249.57169999999999</v>
      </c>
      <c r="K1103">
        <v>1.110201</v>
      </c>
      <c r="L1103">
        <v>367.15629999999999</v>
      </c>
      <c r="M1103">
        <v>0.99986370000000002</v>
      </c>
      <c r="N1103">
        <v>0</v>
      </c>
      <c r="O1103">
        <v>-7.4084889999999999E-3</v>
      </c>
      <c r="P1103">
        <v>0.98286519999999999</v>
      </c>
      <c r="Q1103">
        <v>0.17324919999999999</v>
      </c>
      <c r="R1103">
        <v>-6.2935140000000001E-2</v>
      </c>
      <c r="S1103">
        <v>3.0530089999999999</v>
      </c>
      <c r="T1103">
        <v>-0.16494929999999999</v>
      </c>
      <c r="U1103">
        <v>-0.44207760000000001</v>
      </c>
      <c r="V1103">
        <v>5.5600429999999999E-2</v>
      </c>
      <c r="W1103">
        <v>0.18775729999999999</v>
      </c>
      <c r="X1103">
        <v>0.98064050000000003</v>
      </c>
      <c r="Y1103">
        <v>0.13578599999999999</v>
      </c>
      <c r="Z1103">
        <v>-3.2486099999999999E-3</v>
      </c>
      <c r="AA1103">
        <v>0.99073279999999997</v>
      </c>
      <c r="AB1103">
        <v>36</v>
      </c>
      <c r="AC1103">
        <v>20.363900000000001</v>
      </c>
      <c r="AD1103">
        <v>-1.110202701557</v>
      </c>
      <c r="AE1103">
        <v>-2.97409999999996</v>
      </c>
      <c r="AF1103">
        <v>2.8149442769972399</v>
      </c>
      <c r="AG1103">
        <v>-1.110202701557</v>
      </c>
      <c r="AH1103">
        <v>20.326224484748401</v>
      </c>
      <c r="AI1103">
        <v>93.096847015449498</v>
      </c>
      <c r="AJ1103">
        <v>82.115356201388096</v>
      </c>
      <c r="AK1103">
        <v>20.550227812010501</v>
      </c>
      <c r="AL1103">
        <v>79.178068375649602</v>
      </c>
      <c r="AM1103">
        <v>86.754913835028603</v>
      </c>
      <c r="AN1103">
        <v>1.00000000087986</v>
      </c>
    </row>
    <row r="1104" spans="1:40" x14ac:dyDescent="0.25">
      <c r="A1104" t="str">
        <f>"20190312172914070"</f>
        <v>20190312172914070</v>
      </c>
      <c r="B1104" t="str">
        <f>"1552382954058006"</f>
        <v>1552382954058006</v>
      </c>
      <c r="C1104" t="s">
        <v>40</v>
      </c>
      <c r="D1104">
        <v>3.4009390000000002</v>
      </c>
      <c r="E1104">
        <v>0.53362399999999999</v>
      </c>
      <c r="F1104" t="s">
        <v>41</v>
      </c>
      <c r="G1104">
        <v>-228.8639</v>
      </c>
      <c r="H1104" s="1">
        <v>-1.82222E-6</v>
      </c>
      <c r="I1104">
        <v>364.16860000000003</v>
      </c>
      <c r="J1104">
        <v>-249.40209999999999</v>
      </c>
      <c r="K1104">
        <v>1.1102080000000001</v>
      </c>
      <c r="L1104">
        <v>367.1551</v>
      </c>
      <c r="M1104">
        <v>0.99986419999999998</v>
      </c>
      <c r="N1104">
        <v>0</v>
      </c>
      <c r="O1104">
        <v>-7.3482799999999996E-3</v>
      </c>
      <c r="P1104">
        <v>0.98280109999999998</v>
      </c>
      <c r="Q1104">
        <v>0.17358599999999999</v>
      </c>
      <c r="R1104">
        <v>-6.3009549999999998E-2</v>
      </c>
      <c r="S1104">
        <v>3.0529480000000002</v>
      </c>
      <c r="T1104">
        <v>-0.16367570000000001</v>
      </c>
      <c r="U1104">
        <v>-0.44046020000000002</v>
      </c>
      <c r="V1104">
        <v>5.5734470000000001E-2</v>
      </c>
      <c r="W1104">
        <v>0.18809129999999999</v>
      </c>
      <c r="X1104">
        <v>0.98056889999999997</v>
      </c>
      <c r="Y1104">
        <v>0.1353376</v>
      </c>
      <c r="Z1104">
        <v>-3.2150070000000002E-3</v>
      </c>
      <c r="AA1104">
        <v>0.99079430000000002</v>
      </c>
      <c r="AB1104">
        <v>36</v>
      </c>
      <c r="AC1104">
        <v>20.5381999999999</v>
      </c>
      <c r="AD1104">
        <v>-1.1102098222200001</v>
      </c>
      <c r="AE1104">
        <v>-2.9864999999999702</v>
      </c>
      <c r="AF1104">
        <v>2.8273918211347602</v>
      </c>
      <c r="AG1104">
        <v>-1.1102098222200001</v>
      </c>
      <c r="AH1104">
        <v>20.500929396543501</v>
      </c>
      <c r="AI1104">
        <v>93.070764811982798</v>
      </c>
      <c r="AJ1104">
        <v>82.147571407029702</v>
      </c>
      <c r="AK1104">
        <v>20.724739237964702</v>
      </c>
      <c r="AL1104">
        <v>79.158584637608897</v>
      </c>
      <c r="AM1104">
        <v>86.746870437233596</v>
      </c>
      <c r="AN1104">
        <v>1.0000000179645401</v>
      </c>
    </row>
    <row r="1105" spans="1:40" x14ac:dyDescent="0.25">
      <c r="A1105" t="str">
        <f>"20190312172914081"</f>
        <v>20190312172914081</v>
      </c>
      <c r="B1105" t="str">
        <f>"1552382954078663"</f>
        <v>1552382954078663</v>
      </c>
      <c r="C1105" t="s">
        <v>40</v>
      </c>
      <c r="D1105">
        <v>3.4053439999999999</v>
      </c>
      <c r="E1105">
        <v>0.53354009999999996</v>
      </c>
      <c r="F1105" t="s">
        <v>41</v>
      </c>
      <c r="G1105">
        <v>-228.42</v>
      </c>
      <c r="H1105" s="1">
        <v>-1.986909E-6</v>
      </c>
      <c r="I1105">
        <v>364.1173</v>
      </c>
      <c r="J1105">
        <v>-249.21690000000001</v>
      </c>
      <c r="K1105">
        <v>1.110215</v>
      </c>
      <c r="L1105">
        <v>367.15379999999999</v>
      </c>
      <c r="M1105">
        <v>0.99986459999999999</v>
      </c>
      <c r="N1105">
        <v>0</v>
      </c>
      <c r="O1105">
        <v>-7.2824669999999999E-3</v>
      </c>
      <c r="P1105">
        <v>0.98276079999999999</v>
      </c>
      <c r="Q1105">
        <v>0.1737592</v>
      </c>
      <c r="R1105">
        <v>-6.3158590000000001E-2</v>
      </c>
      <c r="S1105">
        <v>3.052673</v>
      </c>
      <c r="T1105">
        <v>-0.16152369999999999</v>
      </c>
      <c r="U1105">
        <v>-0.4419556</v>
      </c>
      <c r="V1105">
        <v>5.5948680000000001E-2</v>
      </c>
      <c r="W1105">
        <v>0.1882617</v>
      </c>
      <c r="X1105">
        <v>0.98052399999999995</v>
      </c>
      <c r="Y1105">
        <v>0.13589470000000001</v>
      </c>
      <c r="Z1105">
        <v>-3.1910789999999999E-3</v>
      </c>
      <c r="AA1105">
        <v>0.99071810000000005</v>
      </c>
      <c r="AB1105">
        <v>36</v>
      </c>
      <c r="AC1105">
        <v>20.796900000000001</v>
      </c>
      <c r="AD1105">
        <v>-1.1102169869089999</v>
      </c>
      <c r="AE1105">
        <v>-3.0364999999999802</v>
      </c>
      <c r="AF1105">
        <v>2.87692263326494</v>
      </c>
      <c r="AG1105">
        <v>-1.1102169869089999</v>
      </c>
      <c r="AH1105">
        <v>20.760535017842599</v>
      </c>
      <c r="AI1105">
        <v>93.032185791469203</v>
      </c>
      <c r="AJ1105">
        <v>82.110396923374594</v>
      </c>
      <c r="AK1105">
        <v>20.988308169618701</v>
      </c>
      <c r="AL1105">
        <v>79.148643853175798</v>
      </c>
      <c r="AM1105">
        <v>86.734245144846597</v>
      </c>
      <c r="AN1105">
        <v>1.00000001852831</v>
      </c>
    </row>
    <row r="1106" spans="1:40" x14ac:dyDescent="0.25">
      <c r="A1106" t="str">
        <f>"20190312172914093"</f>
        <v>20190312172914093</v>
      </c>
      <c r="B1106" t="str">
        <f>"1552382954088423"</f>
        <v>1552382954088423</v>
      </c>
      <c r="C1106" t="s">
        <v>40</v>
      </c>
      <c r="D1106">
        <v>3.3927710000000002</v>
      </c>
      <c r="E1106">
        <v>0.53362339999999997</v>
      </c>
      <c r="F1106" t="s">
        <v>41</v>
      </c>
      <c r="G1106">
        <v>-228.464</v>
      </c>
      <c r="H1106" s="1">
        <v>-1.9635029999999998E-6</v>
      </c>
      <c r="I1106">
        <v>364.149</v>
      </c>
      <c r="J1106">
        <v>-249.03620000000001</v>
      </c>
      <c r="K1106">
        <v>1.110223</v>
      </c>
      <c r="L1106">
        <v>367.15249999999997</v>
      </c>
      <c r="M1106">
        <v>0.99986529999999996</v>
      </c>
      <c r="N1106">
        <v>0</v>
      </c>
      <c r="O1106">
        <v>-7.2184419999999899E-3</v>
      </c>
      <c r="P1106">
        <v>0.9827051</v>
      </c>
      <c r="Q1106">
        <v>0.1740361</v>
      </c>
      <c r="R1106">
        <v>-6.3265749999999996E-2</v>
      </c>
      <c r="S1106">
        <v>3.0531009999999998</v>
      </c>
      <c r="T1106">
        <v>-0.16333129999999901</v>
      </c>
      <c r="U1106">
        <v>-0.44204710000000003</v>
      </c>
      <c r="V1106">
        <v>5.6119040000000002E-2</v>
      </c>
      <c r="W1106">
        <v>0.1885357</v>
      </c>
      <c r="X1106">
        <v>0.98046160000000004</v>
      </c>
      <c r="Y1106">
        <v>0.13596349999999999</v>
      </c>
      <c r="Z1106">
        <v>-3.2315209999999998E-3</v>
      </c>
      <c r="AA1106">
        <v>0.99070860000000005</v>
      </c>
      <c r="AB1106">
        <v>36</v>
      </c>
      <c r="AC1106">
        <v>20.572199999999899</v>
      </c>
      <c r="AD1106">
        <v>-1.1102249635029999</v>
      </c>
      <c r="AE1106">
        <v>-3.0034999999999701</v>
      </c>
      <c r="AF1106">
        <v>2.8467882383379099</v>
      </c>
      <c r="AG1106">
        <v>-1.1102249635029999</v>
      </c>
      <c r="AH1106">
        <v>20.534788235052901</v>
      </c>
      <c r="AI1106">
        <v>93.065455243449904</v>
      </c>
      <c r="AJ1106">
        <v>82.107251959604994</v>
      </c>
      <c r="AK1106">
        <v>20.760884629562099</v>
      </c>
      <c r="AL1106">
        <v>79.132658383797903</v>
      </c>
      <c r="AM1106">
        <v>86.724114739051103</v>
      </c>
      <c r="AN1106">
        <v>1.00000000294978</v>
      </c>
    </row>
    <row r="1107" spans="1:40" x14ac:dyDescent="0.25">
      <c r="A1107" t="str">
        <f>"20190312172914104"</f>
        <v>20190312172914104</v>
      </c>
      <c r="B1107" t="str">
        <f>"1552382954098183"</f>
        <v>1552382954098183</v>
      </c>
      <c r="C1107" t="s">
        <v>40</v>
      </c>
      <c r="D1107">
        <v>3.3815590000000002</v>
      </c>
      <c r="E1107">
        <v>0.53366669999999905</v>
      </c>
      <c r="F1107" t="s">
        <v>41</v>
      </c>
      <c r="G1107">
        <v>-228.15780000000001</v>
      </c>
      <c r="H1107" s="1">
        <v>-2.074285E-6</v>
      </c>
      <c r="I1107">
        <v>364.12430000000001</v>
      </c>
      <c r="J1107">
        <v>-248.8526</v>
      </c>
      <c r="K1107">
        <v>1.1102289999999999</v>
      </c>
      <c r="L1107">
        <v>367.15120000000002</v>
      </c>
      <c r="M1107">
        <v>0.99986569999999997</v>
      </c>
      <c r="N1107">
        <v>0</v>
      </c>
      <c r="O1107">
        <v>-7.1532239999999997E-3</v>
      </c>
      <c r="P1107">
        <v>0.98262669999999996</v>
      </c>
      <c r="Q1107">
        <v>0.17441139999999999</v>
      </c>
      <c r="R1107">
        <v>-6.344603E-2</v>
      </c>
      <c r="S1107">
        <v>3.0530400000000002</v>
      </c>
      <c r="T1107">
        <v>-0.1623472</v>
      </c>
      <c r="U1107">
        <v>-0.44281009999999998</v>
      </c>
      <c r="V1107">
        <v>5.6364099999999903E-2</v>
      </c>
      <c r="W1107">
        <v>0.18890799999999999</v>
      </c>
      <c r="X1107">
        <v>0.98037589999999997</v>
      </c>
      <c r="Y1107">
        <v>0.13627500000000001</v>
      </c>
      <c r="Z1107">
        <v>-3.2237640000000001E-3</v>
      </c>
      <c r="AA1107">
        <v>0.99066580000000004</v>
      </c>
      <c r="AB1107">
        <v>36</v>
      </c>
      <c r="AC1107">
        <v>20.694799999999901</v>
      </c>
      <c r="AD1107">
        <v>-1.1102310742849999</v>
      </c>
      <c r="AE1107">
        <v>-3.0269000000000101</v>
      </c>
      <c r="AF1107">
        <v>2.87068287335613</v>
      </c>
      <c r="AG1107">
        <v>-1.1102310742849999</v>
      </c>
      <c r="AH1107">
        <v>20.657715391674799</v>
      </c>
      <c r="AI1107">
        <v>93.047127571066298</v>
      </c>
      <c r="AJ1107">
        <v>82.0886040475431</v>
      </c>
      <c r="AK1107">
        <v>20.885752042986802</v>
      </c>
      <c r="AL1107">
        <v>79.110937081997804</v>
      </c>
      <c r="AM1107">
        <v>86.7095540197502</v>
      </c>
      <c r="AN1107">
        <v>1.0000000247667999</v>
      </c>
    </row>
    <row r="1108" spans="1:40" x14ac:dyDescent="0.25">
      <c r="A1108" t="str">
        <f>"20190312172914114"</f>
        <v>20190312172914114</v>
      </c>
      <c r="B1108" t="str">
        <f>"1552382954108919"</f>
        <v>1552382954108919</v>
      </c>
      <c r="C1108" t="s">
        <v>40</v>
      </c>
      <c r="D1108">
        <v>3.394679</v>
      </c>
      <c r="E1108">
        <v>0.53364029999999996</v>
      </c>
      <c r="F1108" t="s">
        <v>41</v>
      </c>
      <c r="G1108">
        <v>-228.00579999999999</v>
      </c>
      <c r="H1108" s="1">
        <v>-2.126879E-6</v>
      </c>
      <c r="I1108">
        <v>364.12110000000001</v>
      </c>
      <c r="J1108">
        <v>-248.67779999999999</v>
      </c>
      <c r="K1108">
        <v>1.110233</v>
      </c>
      <c r="L1108">
        <v>367.15</v>
      </c>
      <c r="M1108">
        <v>0.99986620000000004</v>
      </c>
      <c r="N1108">
        <v>0</v>
      </c>
      <c r="O1108">
        <v>-7.0914619999999998E-3</v>
      </c>
      <c r="P1108">
        <v>0.98251279999999996</v>
      </c>
      <c r="Q1108">
        <v>0.17510870000000001</v>
      </c>
      <c r="R1108">
        <v>-6.3290719999999995E-2</v>
      </c>
      <c r="S1108">
        <v>3.0532530000000002</v>
      </c>
      <c r="T1108">
        <v>-0.162605</v>
      </c>
      <c r="U1108">
        <v>-0.44378659999999998</v>
      </c>
      <c r="V1108">
        <v>5.6270090000000002E-2</v>
      </c>
      <c r="W1108">
        <v>0.18960189999999999</v>
      </c>
      <c r="X1108">
        <v>0.98024730000000004</v>
      </c>
      <c r="Y1108">
        <v>0.13663549999999999</v>
      </c>
      <c r="Z1108">
        <v>-3.2413939999999999E-3</v>
      </c>
      <c r="AA1108">
        <v>0.9906161</v>
      </c>
      <c r="AB1108">
        <v>36</v>
      </c>
      <c r="AC1108">
        <v>20.672000000000001</v>
      </c>
      <c r="AD1108">
        <v>-1.1102351268790001</v>
      </c>
      <c r="AE1108">
        <v>-3.0288999999999602</v>
      </c>
      <c r="AF1108">
        <v>2.8740972034958698</v>
      </c>
      <c r="AG1108">
        <v>-1.1102351268790001</v>
      </c>
      <c r="AH1108">
        <v>20.634692713989001</v>
      </c>
      <c r="AI1108">
        <v>93.050398840673196</v>
      </c>
      <c r="AJ1108">
        <v>82.070588782984899</v>
      </c>
      <c r="AK1108">
        <v>20.863451300608201</v>
      </c>
      <c r="AL1108">
        <v>79.070447392815595</v>
      </c>
      <c r="AM1108">
        <v>86.714600128412897</v>
      </c>
      <c r="AN1108">
        <v>0.99999998633475395</v>
      </c>
    </row>
    <row r="1109" spans="1:40" x14ac:dyDescent="0.25">
      <c r="A1109" t="str">
        <f>"20190312172914126"</f>
        <v>20190312172914126</v>
      </c>
      <c r="B1109" t="str">
        <f>"1552382954118679"</f>
        <v>1552382954118679</v>
      </c>
      <c r="C1109" t="s">
        <v>40</v>
      </c>
      <c r="D1109">
        <v>3.3986730000000001</v>
      </c>
      <c r="E1109">
        <v>0.53371440000000003</v>
      </c>
      <c r="F1109" t="s">
        <v>41</v>
      </c>
      <c r="G1109">
        <v>-227.61879999999999</v>
      </c>
      <c r="H1109" s="1">
        <v>-2.2660640000000001E-6</v>
      </c>
      <c r="I1109">
        <v>364.09289999999999</v>
      </c>
      <c r="J1109">
        <v>-248.49600000000001</v>
      </c>
      <c r="K1109">
        <v>1.1102379999999901</v>
      </c>
      <c r="L1109">
        <v>367.14879999999999</v>
      </c>
      <c r="M1109">
        <v>0.9998667</v>
      </c>
      <c r="N1109">
        <v>0</v>
      </c>
      <c r="O1109">
        <v>-7.0269590000000002E-3</v>
      </c>
      <c r="P1109">
        <v>0.98241449999999997</v>
      </c>
      <c r="Q1109">
        <v>0.17541899999999999</v>
      </c>
      <c r="R1109">
        <v>-6.39541E-2</v>
      </c>
      <c r="S1109">
        <v>3.053528</v>
      </c>
      <c r="T1109">
        <v>-0.16098180000000001</v>
      </c>
      <c r="U1109">
        <v>-0.44326779999999999</v>
      </c>
      <c r="V1109">
        <v>5.6997529999999998E-2</v>
      </c>
      <c r="W1109">
        <v>0.18990850000000001</v>
      </c>
      <c r="X1109">
        <v>0.98014590000000001</v>
      </c>
      <c r="Y1109">
        <v>0.1365256</v>
      </c>
      <c r="Z1109">
        <v>-3.2093320000000001E-3</v>
      </c>
      <c r="AA1109">
        <v>0.99063129999999999</v>
      </c>
      <c r="AB1109">
        <v>36</v>
      </c>
      <c r="AC1109">
        <v>20.877199999999899</v>
      </c>
      <c r="AD1109">
        <v>-1.1102402660639901</v>
      </c>
      <c r="AE1109">
        <v>-3.0558999999999998</v>
      </c>
      <c r="AF1109">
        <v>2.9010730455140799</v>
      </c>
      <c r="AG1109">
        <v>-1.1102402660639901</v>
      </c>
      <c r="AH1109">
        <v>20.8404585795938</v>
      </c>
      <c r="AI1109">
        <v>93.020384355347801</v>
      </c>
      <c r="AJ1109">
        <v>82.075131004659099</v>
      </c>
      <c r="AK1109">
        <v>21.070680389383799</v>
      </c>
      <c r="AL1109">
        <v>79.052555265792705</v>
      </c>
      <c r="AM1109">
        <v>86.671878977885399</v>
      </c>
      <c r="AN1109">
        <v>0.99999997104257998</v>
      </c>
    </row>
    <row r="1110" spans="1:40" x14ac:dyDescent="0.25">
      <c r="A1110" t="str">
        <f>"20190312172914140"</f>
        <v>20190312172914140</v>
      </c>
      <c r="B1110" t="str">
        <f>"1552382954128439"</f>
        <v>1552382954128439</v>
      </c>
      <c r="C1110" t="s">
        <v>40</v>
      </c>
      <c r="D1110">
        <v>3.3896320000000002</v>
      </c>
      <c r="E1110">
        <v>0.53374619999999995</v>
      </c>
      <c r="F1110" t="s">
        <v>41</v>
      </c>
      <c r="G1110">
        <v>-227.43639999999999</v>
      </c>
      <c r="H1110" s="1">
        <v>-2.3330259999999998E-6</v>
      </c>
      <c r="I1110">
        <v>364.0745</v>
      </c>
      <c r="J1110">
        <v>-248.28299999999999</v>
      </c>
      <c r="K1110">
        <v>1.1102449999999999</v>
      </c>
      <c r="L1110">
        <v>367.1474</v>
      </c>
      <c r="M1110">
        <v>0.99986710000000001</v>
      </c>
      <c r="N1110">
        <v>0</v>
      </c>
      <c r="O1110">
        <v>-6.9512510000000003E-3</v>
      </c>
      <c r="P1110">
        <v>0.98231520000000005</v>
      </c>
      <c r="Q1110">
        <v>0.1759096</v>
      </c>
      <c r="R1110">
        <v>-6.4127980000000001E-2</v>
      </c>
      <c r="S1110">
        <v>3.0534059999999998</v>
      </c>
      <c r="T1110">
        <v>-0.16097239999999999</v>
      </c>
      <c r="U1110">
        <v>-0.44573970000000002</v>
      </c>
      <c r="V1110">
        <v>5.7246390000000001E-2</v>
      </c>
      <c r="W1110">
        <v>0.19039539999999999</v>
      </c>
      <c r="X1110">
        <v>0.98003700000000005</v>
      </c>
      <c r="Y1110">
        <v>0.13739019999999999</v>
      </c>
      <c r="Z1110">
        <v>-3.2357089999999998E-3</v>
      </c>
      <c r="AA1110">
        <v>0.99051169999999999</v>
      </c>
      <c r="AB1110">
        <v>36</v>
      </c>
      <c r="AC1110">
        <v>20.846599999999899</v>
      </c>
      <c r="AD1110">
        <v>-1.1102473330259901</v>
      </c>
      <c r="AE1110">
        <v>-3.0729000000000002</v>
      </c>
      <c r="AF1110">
        <v>2.9197944212536702</v>
      </c>
      <c r="AG1110">
        <v>-1.1102473330259901</v>
      </c>
      <c r="AH1110">
        <v>20.809689478585799</v>
      </c>
      <c r="AI1110">
        <v>93.024403717274794</v>
      </c>
      <c r="AJ1110">
        <v>82.013005490802897</v>
      </c>
      <c r="AK1110">
        <v>21.0428378503956</v>
      </c>
      <c r="AL1110">
        <v>79.0241402545536</v>
      </c>
      <c r="AM1110">
        <v>86.657010182382905</v>
      </c>
      <c r="AN1110">
        <v>1.00000003943909</v>
      </c>
    </row>
    <row r="1111" spans="1:40" x14ac:dyDescent="0.25">
      <c r="A1111" t="str">
        <f>"20190312172914154"</f>
        <v>20190312172914154</v>
      </c>
      <c r="B1111" t="str">
        <f>"1552382954148935"</f>
        <v>1552382954148935</v>
      </c>
      <c r="C1111" t="s">
        <v>40</v>
      </c>
      <c r="D1111">
        <v>3.3786679999999998</v>
      </c>
      <c r="E1111">
        <v>0.53394160000000002</v>
      </c>
      <c r="F1111" t="s">
        <v>41</v>
      </c>
      <c r="G1111">
        <v>-227.20009999999999</v>
      </c>
      <c r="H1111" s="1">
        <v>-2.4162919999999998E-6</v>
      </c>
      <c r="I1111">
        <v>364.06380000000001</v>
      </c>
      <c r="J1111">
        <v>-248.06139999999999</v>
      </c>
      <c r="K1111">
        <v>1.11025</v>
      </c>
      <c r="L1111">
        <v>367.14589999999998</v>
      </c>
      <c r="M1111">
        <v>0.99986770000000003</v>
      </c>
      <c r="N1111">
        <v>0</v>
      </c>
      <c r="O1111">
        <v>-6.8726830000000001E-3</v>
      </c>
      <c r="P1111">
        <v>0.98222969999999998</v>
      </c>
      <c r="Q1111">
        <v>0.1762763</v>
      </c>
      <c r="R1111">
        <v>-6.4431939999999993E-2</v>
      </c>
      <c r="S1111">
        <v>3.0536650000000001</v>
      </c>
      <c r="T1111">
        <v>-0.1608087</v>
      </c>
      <c r="U1111">
        <v>-0.44662479999999899</v>
      </c>
      <c r="V1111">
        <v>5.7628029999999997E-2</v>
      </c>
      <c r="W1111">
        <v>0.19075810000000001</v>
      </c>
      <c r="X1111">
        <v>0.97994409999999998</v>
      </c>
      <c r="Y1111">
        <v>0.1377369</v>
      </c>
      <c r="Z1111">
        <v>-3.245272E-3</v>
      </c>
      <c r="AA1111">
        <v>0.9904636</v>
      </c>
      <c r="AB1111">
        <v>36</v>
      </c>
      <c r="AC1111">
        <v>20.8613</v>
      </c>
      <c r="AD1111">
        <v>-1.110252416292</v>
      </c>
      <c r="AE1111">
        <v>-3.0820999999999601</v>
      </c>
      <c r="AF1111">
        <v>2.9305153113967402</v>
      </c>
      <c r="AG1111">
        <v>-1.110252416292</v>
      </c>
      <c r="AH1111">
        <v>20.824268295956902</v>
      </c>
      <c r="AI1111">
        <v>93.0221309362651</v>
      </c>
      <c r="AJ1111">
        <v>81.989598371005002</v>
      </c>
      <c r="AK1111">
        <v>21.058744750820502</v>
      </c>
      <c r="AL1111">
        <v>79.002971109604601</v>
      </c>
      <c r="AM1111">
        <v>86.634456491155902</v>
      </c>
      <c r="AN1111">
        <v>1.0000000408410401</v>
      </c>
    </row>
    <row r="1112" spans="1:40" x14ac:dyDescent="0.25">
      <c r="A1112" t="str">
        <f>"20190312172914168"</f>
        <v>20190312172914168</v>
      </c>
      <c r="B1112" t="str">
        <f>"1552382954158695"</f>
        <v>1552382954158695</v>
      </c>
      <c r="C1112" t="s">
        <v>40</v>
      </c>
      <c r="D1112">
        <v>3.410034</v>
      </c>
      <c r="E1112">
        <v>0.53397620000000001</v>
      </c>
      <c r="F1112" t="s">
        <v>41</v>
      </c>
      <c r="G1112">
        <v>-227.0504</v>
      </c>
      <c r="H1112" s="1">
        <v>-2.4688139999999999E-6</v>
      </c>
      <c r="I1112">
        <v>364.05779999999999</v>
      </c>
      <c r="J1112">
        <v>-247.8287</v>
      </c>
      <c r="K1112">
        <v>1.1102529999999999</v>
      </c>
      <c r="L1112">
        <v>367.14440000000002</v>
      </c>
      <c r="M1112">
        <v>0.99986839999999999</v>
      </c>
      <c r="N1112">
        <v>0</v>
      </c>
      <c r="O1112">
        <v>-6.7899429999999997E-3</v>
      </c>
      <c r="P1112">
        <v>0.9821645</v>
      </c>
      <c r="Q1112">
        <v>0.176565</v>
      </c>
      <c r="R1112">
        <v>-6.4636390000000002E-2</v>
      </c>
      <c r="S1112">
        <v>3.0538020000000001</v>
      </c>
      <c r="T1112">
        <v>-0.16136719999999999</v>
      </c>
      <c r="U1112">
        <v>-0.448822</v>
      </c>
      <c r="V1112">
        <v>5.7914399999999998E-2</v>
      </c>
      <c r="W1112">
        <v>0.19104360000000001</v>
      </c>
      <c r="X1112">
        <v>0.97987159999999995</v>
      </c>
      <c r="Y1112">
        <v>0.13850779999999999</v>
      </c>
      <c r="Z1112">
        <v>-3.2808030000000001E-3</v>
      </c>
      <c r="AA1112">
        <v>0.99035589999999996</v>
      </c>
      <c r="AB1112">
        <v>36</v>
      </c>
      <c r="AC1112">
        <v>20.778300000000002</v>
      </c>
      <c r="AD1112">
        <v>-1.1102554688140001</v>
      </c>
      <c r="AE1112">
        <v>-3.08660000000003</v>
      </c>
      <c r="AF1112">
        <v>2.9372249472538798</v>
      </c>
      <c r="AG1112">
        <v>-1.1102554688140001</v>
      </c>
      <c r="AH1112">
        <v>20.740841777040501</v>
      </c>
      <c r="AI1112">
        <v>93.033899731688507</v>
      </c>
      <c r="AJ1112">
        <v>81.939627082739193</v>
      </c>
      <c r="AK1112">
        <v>20.97718940223</v>
      </c>
      <c r="AL1112">
        <v>78.9863067267503</v>
      </c>
      <c r="AM1112">
        <v>86.6175212144651</v>
      </c>
      <c r="AN1112">
        <v>1.0000000436574299</v>
      </c>
    </row>
    <row r="1113" spans="1:40" x14ac:dyDescent="0.25">
      <c r="A1113" t="str">
        <f>"20190312172914182"</f>
        <v>20190312172914182</v>
      </c>
      <c r="B1113" t="str">
        <f>"1552382954178215"</f>
        <v>1552382954178215</v>
      </c>
      <c r="C1113" t="s">
        <v>40</v>
      </c>
      <c r="D1113">
        <v>3.6832560000000001</v>
      </c>
      <c r="E1113">
        <v>0.53410849999999999</v>
      </c>
      <c r="F1113" t="s">
        <v>41</v>
      </c>
      <c r="G1113">
        <v>-226.74189999999999</v>
      </c>
      <c r="H1113" s="1">
        <v>-2.5791329999999999E-6</v>
      </c>
      <c r="I1113">
        <v>364.0378</v>
      </c>
      <c r="J1113">
        <v>-247.61600000000001</v>
      </c>
      <c r="K1113">
        <v>1.1102609999999999</v>
      </c>
      <c r="L1113">
        <v>367.14299999999997</v>
      </c>
      <c r="M1113">
        <v>0.99986900000000001</v>
      </c>
      <c r="N1113">
        <v>0</v>
      </c>
      <c r="O1113">
        <v>-6.7140019999999898E-3</v>
      </c>
      <c r="P1113">
        <v>0.98210430000000004</v>
      </c>
      <c r="Q1113">
        <v>0.17663599999999999</v>
      </c>
      <c r="R1113">
        <v>-6.5352099999999996E-2</v>
      </c>
      <c r="S1113">
        <v>3.0537869999999998</v>
      </c>
      <c r="T1113">
        <v>-0.1607867</v>
      </c>
      <c r="U1113">
        <v>-0.44989010000000001</v>
      </c>
      <c r="V1113">
        <v>5.8705479999999997E-2</v>
      </c>
      <c r="W1113">
        <v>0.19111149999999999</v>
      </c>
      <c r="X1113">
        <v>0.97981130000000005</v>
      </c>
      <c r="Y1113">
        <v>0.1389234</v>
      </c>
      <c r="Z1113">
        <v>-3.2837999999999999E-3</v>
      </c>
      <c r="AA1113">
        <v>0.99029769999999995</v>
      </c>
      <c r="AB1113">
        <v>36</v>
      </c>
      <c r="AC1113">
        <v>20.874099999999999</v>
      </c>
      <c r="AD1113">
        <v>-1.110263579133</v>
      </c>
      <c r="AE1113">
        <v>-3.1052000000000199</v>
      </c>
      <c r="AF1113">
        <v>2.9567823343220501</v>
      </c>
      <c r="AG1113">
        <v>-1.110263579133</v>
      </c>
      <c r="AH1113">
        <v>20.836808378304699</v>
      </c>
      <c r="AI1113">
        <v>93.019854703493905</v>
      </c>
      <c r="AJ1113">
        <v>81.923542543112106</v>
      </c>
      <c r="AK1113">
        <v>21.074815073492299</v>
      </c>
      <c r="AL1113">
        <v>78.982343513275396</v>
      </c>
      <c r="AM1113">
        <v>86.571217325163204</v>
      </c>
      <c r="AN1113">
        <v>1.0000000612109801</v>
      </c>
    </row>
    <row r="1114" spans="1:40" x14ac:dyDescent="0.25">
      <c r="A1114" t="str">
        <f>"20190312172914193"</f>
        <v>20190312172914193</v>
      </c>
      <c r="B1114" t="str">
        <f>"1552382954187975"</f>
        <v>1552382954187975</v>
      </c>
      <c r="C1114" t="s">
        <v>40</v>
      </c>
      <c r="D1114">
        <v>3.4151500000000001</v>
      </c>
      <c r="E1114">
        <v>0.53412680000000001</v>
      </c>
      <c r="F1114" t="s">
        <v>41</v>
      </c>
      <c r="G1114">
        <v>-226.58500000000001</v>
      </c>
      <c r="H1114" s="1">
        <v>-2.636475E-6</v>
      </c>
      <c r="I1114">
        <v>364.02289999999999</v>
      </c>
      <c r="J1114">
        <v>-247.43289999999999</v>
      </c>
      <c r="K1114">
        <v>1.110263</v>
      </c>
      <c r="L1114">
        <v>367.14179999999999</v>
      </c>
      <c r="M1114">
        <v>0.99986929999999996</v>
      </c>
      <c r="N1114">
        <v>0</v>
      </c>
      <c r="O1114">
        <v>-6.6487849999999999E-3</v>
      </c>
      <c r="P1114">
        <v>0.98206490000000002</v>
      </c>
      <c r="Q1114">
        <v>0.17667559999999999</v>
      </c>
      <c r="R1114">
        <v>-6.583551E-2</v>
      </c>
      <c r="S1114">
        <v>3.0535429999999999</v>
      </c>
      <c r="T1114">
        <v>-0.1612016</v>
      </c>
      <c r="U1114">
        <v>-0.45300289999999999</v>
      </c>
      <c r="V1114">
        <v>5.9253020000000003E-2</v>
      </c>
      <c r="W1114">
        <v>0.19114900000000001</v>
      </c>
      <c r="X1114">
        <v>0.97977099999999995</v>
      </c>
      <c r="Y1114">
        <v>0.13998479999999999</v>
      </c>
      <c r="Z1114">
        <v>-3.3235439999999999E-3</v>
      </c>
      <c r="AA1114">
        <v>0.99014809999999998</v>
      </c>
      <c r="AB1114">
        <v>36</v>
      </c>
      <c r="AC1114">
        <v>20.8478999999999</v>
      </c>
      <c r="AD1114">
        <v>-1.1102656364749901</v>
      </c>
      <c r="AE1114">
        <v>-3.1188999999999898</v>
      </c>
      <c r="AF1114">
        <v>2.9719583859070302</v>
      </c>
      <c r="AG1114">
        <v>-1.1102656364749901</v>
      </c>
      <c r="AH1114">
        <v>20.8104487282706</v>
      </c>
      <c r="AI1114">
        <v>93.023295556267897</v>
      </c>
      <c r="AJ1114">
        <v>81.872495613065794</v>
      </c>
      <c r="AK1114">
        <v>21.050890781700499</v>
      </c>
      <c r="AL1114">
        <v>78.980154292175001</v>
      </c>
      <c r="AM1114">
        <v>86.539172786140199</v>
      </c>
      <c r="AN1114">
        <v>1.0000000365105499</v>
      </c>
    </row>
    <row r="1115" spans="1:40" x14ac:dyDescent="0.25">
      <c r="A1115" t="str">
        <f>"20190312172914204"</f>
        <v>20190312172914204</v>
      </c>
      <c r="B1115" t="str">
        <f>"1552382954198711"</f>
        <v>1552382954198711</v>
      </c>
      <c r="C1115" t="s">
        <v>40</v>
      </c>
      <c r="D1115">
        <v>3.4243229999999998</v>
      </c>
      <c r="E1115">
        <v>0.53409709999999999</v>
      </c>
      <c r="F1115" t="s">
        <v>41</v>
      </c>
      <c r="G1115">
        <v>-226.47579999999999</v>
      </c>
      <c r="H1115" s="1">
        <v>-2.6743209999999999E-6</v>
      </c>
      <c r="I1115">
        <v>364.0204</v>
      </c>
      <c r="J1115">
        <v>-247.2518</v>
      </c>
      <c r="K1115">
        <v>1.1102650000000001</v>
      </c>
      <c r="L1115">
        <v>367.14069999999998</v>
      </c>
      <c r="M1115">
        <v>0.99986989999999998</v>
      </c>
      <c r="N1115">
        <v>0</v>
      </c>
      <c r="O1115">
        <v>-6.5847579999999996E-3</v>
      </c>
      <c r="P1115">
        <v>0.98209800000000003</v>
      </c>
      <c r="Q1115">
        <v>0.176318899999999</v>
      </c>
      <c r="R1115">
        <v>-6.6300079999999997E-2</v>
      </c>
      <c r="S1115">
        <v>3.0534059999999998</v>
      </c>
      <c r="T1115">
        <v>-0.16176260000000001</v>
      </c>
      <c r="U1115">
        <v>-0.45477289999999998</v>
      </c>
      <c r="V1115">
        <v>5.9780340000000001E-2</v>
      </c>
      <c r="W1115">
        <v>0.19079090000000001</v>
      </c>
      <c r="X1115">
        <v>0.97980869999999998</v>
      </c>
      <c r="Y1115">
        <v>0.14061390000000001</v>
      </c>
      <c r="Z1115">
        <v>-3.355036E-3</v>
      </c>
      <c r="AA1115">
        <v>0.99005880000000002</v>
      </c>
      <c r="AB1115">
        <v>36</v>
      </c>
      <c r="AC1115">
        <v>20.776</v>
      </c>
      <c r="AD1115">
        <v>-1.110267674321</v>
      </c>
      <c r="AE1115">
        <v>-3.1202999999999799</v>
      </c>
      <c r="AF1115">
        <v>2.9751036179023602</v>
      </c>
      <c r="AG1115">
        <v>-1.110267674321</v>
      </c>
      <c r="AH1115">
        <v>20.7381799519904</v>
      </c>
      <c r="AI1115">
        <v>93.0335413191425</v>
      </c>
      <c r="AJ1115">
        <v>81.836038459906504</v>
      </c>
      <c r="AK1115">
        <v>20.9798961762692</v>
      </c>
      <c r="AL1115">
        <v>79.001055886769393</v>
      </c>
      <c r="AM1115">
        <v>86.508583156933994</v>
      </c>
      <c r="AN1115">
        <v>0.99999997258450701</v>
      </c>
    </row>
    <row r="1116" spans="1:40" x14ac:dyDescent="0.25">
      <c r="A1116" t="str">
        <f>"20190312172914215"</f>
        <v>20190312172914215</v>
      </c>
      <c r="B1116" t="str">
        <f>"1552382954208471"</f>
        <v>1552382954208471</v>
      </c>
      <c r="C1116" t="s">
        <v>40</v>
      </c>
      <c r="D1116">
        <v>3.444296</v>
      </c>
      <c r="E1116">
        <v>0.53409709999999999</v>
      </c>
      <c r="F1116" t="s">
        <v>41</v>
      </c>
      <c r="G1116">
        <v>-226.56739999999999</v>
      </c>
      <c r="H1116" s="1">
        <v>-2.6340830000000001E-6</v>
      </c>
      <c r="I1116">
        <v>364.05439999999999</v>
      </c>
      <c r="J1116">
        <v>-247.07339999999999</v>
      </c>
      <c r="K1116">
        <v>1.110266</v>
      </c>
      <c r="L1116">
        <v>367.13959999999997</v>
      </c>
      <c r="M1116">
        <v>0.99987020000000004</v>
      </c>
      <c r="N1116">
        <v>0</v>
      </c>
      <c r="O1116">
        <v>-6.5210919999999896E-3</v>
      </c>
      <c r="P1116">
        <v>0.98205390000000004</v>
      </c>
      <c r="Q1116">
        <v>0.17639560000000001</v>
      </c>
      <c r="R1116">
        <v>-6.6746260000000002E-2</v>
      </c>
      <c r="S1116">
        <v>3.0533450000000002</v>
      </c>
      <c r="T1116">
        <v>-0.16389239999999999</v>
      </c>
      <c r="U1116">
        <v>-0.45556639999999998</v>
      </c>
      <c r="V1116">
        <v>6.0289309999999999E-2</v>
      </c>
      <c r="W1116">
        <v>0.1908649</v>
      </c>
      <c r="X1116">
        <v>0.97976319999999995</v>
      </c>
      <c r="Y1116">
        <v>0.1409262</v>
      </c>
      <c r="Z1116">
        <v>-3.4108720000000001E-3</v>
      </c>
      <c r="AA1116">
        <v>0.99001430000000001</v>
      </c>
      <c r="AB1116">
        <v>36</v>
      </c>
      <c r="AC1116">
        <v>20.506</v>
      </c>
      <c r="AD1116">
        <v>-1.1102686340829999</v>
      </c>
      <c r="AE1116">
        <v>-3.08519999999998</v>
      </c>
      <c r="AF1116">
        <v>2.9429619486346899</v>
      </c>
      <c r="AG1116">
        <v>-1.1102686340829999</v>
      </c>
      <c r="AH1116">
        <v>20.467013407985998</v>
      </c>
      <c r="AI1116">
        <v>93.073516079977907</v>
      </c>
      <c r="AJ1116">
        <v>81.8174970228105</v>
      </c>
      <c r="AK1116">
        <v>20.707302077132599</v>
      </c>
      <c r="AL1116">
        <v>78.996737705947496</v>
      </c>
      <c r="AM1116">
        <v>86.478768588348601</v>
      </c>
      <c r="AN1116">
        <v>1.00000006951326</v>
      </c>
    </row>
    <row r="1117" spans="1:40" x14ac:dyDescent="0.25">
      <c r="A1117" t="str">
        <f>"20190312172914227"</f>
        <v>20190312172914227</v>
      </c>
      <c r="B1117" t="str">
        <f>"1552382954218231"</f>
        <v>1552382954218231</v>
      </c>
      <c r="C1117" t="s">
        <v>40</v>
      </c>
      <c r="D1117">
        <v>3.3996059999999999</v>
      </c>
      <c r="E1117">
        <v>0.5345761</v>
      </c>
      <c r="F1117" t="s">
        <v>41</v>
      </c>
      <c r="G1117">
        <v>-226.36070000000001</v>
      </c>
      <c r="H1117" s="1">
        <v>-2.7082199999999999E-6</v>
      </c>
      <c r="I1117">
        <v>364.0403</v>
      </c>
      <c r="J1117">
        <v>-246.9023</v>
      </c>
      <c r="K1117">
        <v>1.1102669999999999</v>
      </c>
      <c r="L1117">
        <v>367.13850000000002</v>
      </c>
      <c r="M1117">
        <v>0.9998707</v>
      </c>
      <c r="N1117">
        <v>0</v>
      </c>
      <c r="O1117">
        <v>-6.4601679999999996E-3</v>
      </c>
      <c r="P1117">
        <v>0.98199499999999995</v>
      </c>
      <c r="Q1117">
        <v>0.17646339999999999</v>
      </c>
      <c r="R1117">
        <v>-6.7428479999999999E-2</v>
      </c>
      <c r="S1117">
        <v>3.0531769999999998</v>
      </c>
      <c r="T1117">
        <v>-0.1636591</v>
      </c>
      <c r="U1117">
        <v>-0.45684809999999998</v>
      </c>
      <c r="V1117">
        <v>6.1031809999999999E-2</v>
      </c>
      <c r="W1117">
        <v>0.1909304</v>
      </c>
      <c r="X1117">
        <v>0.97970440000000003</v>
      </c>
      <c r="Y1117">
        <v>0.14140069999999999</v>
      </c>
      <c r="Z1117">
        <v>-3.4219879999999999E-3</v>
      </c>
      <c r="AA1117">
        <v>0.98994649999999995</v>
      </c>
      <c r="AB1117">
        <v>36</v>
      </c>
      <c r="AC1117">
        <v>20.541599999999899</v>
      </c>
      <c r="AD1117">
        <v>-1.1102697082199999</v>
      </c>
      <c r="AE1117">
        <v>-3.0982000000000198</v>
      </c>
      <c r="AF1117">
        <v>2.95697244975308</v>
      </c>
      <c r="AG1117">
        <v>-1.1102697082199999</v>
      </c>
      <c r="AH1117">
        <v>20.502624545455902</v>
      </c>
      <c r="AI1117">
        <v>93.0680035154557</v>
      </c>
      <c r="AJ1117">
        <v>81.793158256767299</v>
      </c>
      <c r="AK1117">
        <v>20.744493200498301</v>
      </c>
      <c r="AL1117">
        <v>78.9929138099385</v>
      </c>
      <c r="AM1117">
        <v>86.435300202219494</v>
      </c>
      <c r="AN1117">
        <v>1.0000000054276901</v>
      </c>
    </row>
    <row r="1118" spans="1:40" x14ac:dyDescent="0.25">
      <c r="A1118" t="str">
        <f>"20190312172914237"</f>
        <v>20190312172914237</v>
      </c>
      <c r="B1118" t="str">
        <f>"1552382954227990"</f>
        <v>1552382954227990</v>
      </c>
      <c r="C1118" t="s">
        <v>40</v>
      </c>
      <c r="D1118">
        <v>3.745247</v>
      </c>
      <c r="E1118">
        <v>0.53478210000000004</v>
      </c>
      <c r="F1118" t="s">
        <v>41</v>
      </c>
      <c r="G1118">
        <v>-228.81</v>
      </c>
      <c r="H1118" s="1">
        <v>-1.777854E-6</v>
      </c>
      <c r="I1118">
        <v>364.40429999999998</v>
      </c>
      <c r="J1118">
        <v>-246.714</v>
      </c>
      <c r="K1118">
        <v>1.110271</v>
      </c>
      <c r="L1118">
        <v>367.13729999999998</v>
      </c>
      <c r="M1118">
        <v>0.99987110000000001</v>
      </c>
      <c r="N1118">
        <v>0</v>
      </c>
      <c r="O1118">
        <v>-6.3932819999999897E-3</v>
      </c>
      <c r="P1118">
        <v>0.98197990000000002</v>
      </c>
      <c r="Q1118">
        <v>0.1762618</v>
      </c>
      <c r="R1118">
        <v>-6.8173689999999995E-2</v>
      </c>
      <c r="S1118">
        <v>3.0569920000000002</v>
      </c>
      <c r="T1118">
        <v>-0.1875964</v>
      </c>
      <c r="U1118">
        <v>-0.46197510000000003</v>
      </c>
      <c r="V1118">
        <v>6.1843000000000002E-2</v>
      </c>
      <c r="W1118">
        <v>0.19072629999999999</v>
      </c>
      <c r="X1118">
        <v>0.97969329999999999</v>
      </c>
      <c r="Y1118">
        <v>0.14284810000000001</v>
      </c>
      <c r="Z1118">
        <v>-3.9645130000000002E-3</v>
      </c>
      <c r="AA1118">
        <v>0.98973670000000002</v>
      </c>
      <c r="AB1118">
        <v>36</v>
      </c>
      <c r="AC1118">
        <v>17.904</v>
      </c>
      <c r="AD1118">
        <v>-1.110272777854</v>
      </c>
      <c r="AE1118">
        <v>-2.7330000000000001</v>
      </c>
      <c r="AF1118">
        <v>2.6086630631993901</v>
      </c>
      <c r="AG1118">
        <v>-1.110272777854</v>
      </c>
      <c r="AH1118">
        <v>17.8540135241538</v>
      </c>
      <c r="AI1118">
        <v>93.521131911229602</v>
      </c>
      <c r="AJ1118">
        <v>81.687292608461306</v>
      </c>
      <c r="AK1118">
        <v>18.07771079366</v>
      </c>
      <c r="AL1118">
        <v>79.004826961945298</v>
      </c>
      <c r="AM1118">
        <v>86.388004622996704</v>
      </c>
      <c r="AN1118">
        <v>1.0000000201127801</v>
      </c>
    </row>
    <row r="1119" spans="1:40" x14ac:dyDescent="0.25">
      <c r="A1119" t="str">
        <f>"20190312172914250"</f>
        <v>20190312172914250</v>
      </c>
      <c r="B1119" t="str">
        <f>"1552382954238728"</f>
        <v>1552382954238728</v>
      </c>
      <c r="C1119" t="s">
        <v>40</v>
      </c>
      <c r="D1119">
        <v>3.4138259999999998</v>
      </c>
      <c r="E1119">
        <v>0.53491060000000001</v>
      </c>
      <c r="F1119" t="s">
        <v>41</v>
      </c>
      <c r="G1119">
        <v>-228.64420000000001</v>
      </c>
      <c r="H1119" s="1">
        <v>-1.839993E-6</v>
      </c>
      <c r="I1119">
        <v>364.38279999999997</v>
      </c>
      <c r="J1119">
        <v>-246.53030000000001</v>
      </c>
      <c r="K1119">
        <v>1.110274</v>
      </c>
      <c r="L1119">
        <v>367.13619999999997</v>
      </c>
      <c r="M1119">
        <v>0.99987159999999997</v>
      </c>
      <c r="N1119">
        <v>0</v>
      </c>
      <c r="O1119">
        <v>-6.3279470000000004E-3</v>
      </c>
      <c r="P1119">
        <v>0.98201079999999996</v>
      </c>
      <c r="Q1119">
        <v>0.17587939999999999</v>
      </c>
      <c r="R1119">
        <v>-6.8711949999999994E-2</v>
      </c>
      <c r="S1119">
        <v>3.0564119999999999</v>
      </c>
      <c r="T1119">
        <v>-0.18779560000000001</v>
      </c>
      <c r="U1119">
        <v>-0.46591189999999999</v>
      </c>
      <c r="V1119">
        <v>6.2445340000000002E-2</v>
      </c>
      <c r="W1119">
        <v>0.1903425</v>
      </c>
      <c r="X1119">
        <v>0.97972969999999904</v>
      </c>
      <c r="Y1119">
        <v>0.14418329999999999</v>
      </c>
      <c r="Z1119">
        <v>-4.0138129999999998E-3</v>
      </c>
      <c r="AA1119">
        <v>0.98954279999999994</v>
      </c>
      <c r="AB1119">
        <v>36</v>
      </c>
      <c r="AC1119">
        <v>17.886099999999999</v>
      </c>
      <c r="AD1119">
        <v>-1.1102758399929999</v>
      </c>
      <c r="AE1119">
        <v>-2.7533999999999899</v>
      </c>
      <c r="AF1119">
        <v>2.6302498321278098</v>
      </c>
      <c r="AG1119">
        <v>-1.1102758399929999</v>
      </c>
      <c r="AH1119">
        <v>17.836030843631701</v>
      </c>
      <c r="AI1119">
        <v>93.523996956235905</v>
      </c>
      <c r="AJ1119">
        <v>81.6111484439094</v>
      </c>
      <c r="AK1119">
        <v>18.063081765724899</v>
      </c>
      <c r="AL1119">
        <v>79.027227072867902</v>
      </c>
      <c r="AM1119">
        <v>86.353054049936205</v>
      </c>
      <c r="AN1119">
        <v>0.99999998642802701</v>
      </c>
    </row>
    <row r="1120" spans="1:40" x14ac:dyDescent="0.25">
      <c r="A1120" t="str">
        <f>"20190312172914263"</f>
        <v>20190312172914263</v>
      </c>
      <c r="B1120" t="str">
        <f>"1552382954258247"</f>
        <v>1552382954258247</v>
      </c>
      <c r="C1120" t="s">
        <v>40</v>
      </c>
      <c r="D1120">
        <v>3.428299</v>
      </c>
      <c r="E1120">
        <v>0.53497589999999995</v>
      </c>
      <c r="F1120" t="s">
        <v>41</v>
      </c>
      <c r="G1120">
        <v>-228.6592</v>
      </c>
      <c r="H1120" s="1">
        <v>-1.830672E-6</v>
      </c>
      <c r="I1120">
        <v>364.39859999999999</v>
      </c>
      <c r="J1120">
        <v>-246.32130000000001</v>
      </c>
      <c r="K1120">
        <v>1.110276</v>
      </c>
      <c r="L1120">
        <v>367.13499999999999</v>
      </c>
      <c r="M1120">
        <v>0.99987210000000004</v>
      </c>
      <c r="N1120">
        <v>0</v>
      </c>
      <c r="O1120">
        <v>-6.2539070000000004E-3</v>
      </c>
      <c r="P1120">
        <v>0.98198969999999997</v>
      </c>
      <c r="Q1120">
        <v>0.17566660000000001</v>
      </c>
      <c r="R1120">
        <v>-6.955414E-2</v>
      </c>
      <c r="S1120">
        <v>3.0562290000000001</v>
      </c>
      <c r="T1120">
        <v>-0.18987329999999999</v>
      </c>
      <c r="U1120">
        <v>-0.46817019999999998</v>
      </c>
      <c r="V1120">
        <v>6.3360589999999994E-2</v>
      </c>
      <c r="W1120">
        <v>0.19012760000000001</v>
      </c>
      <c r="X1120">
        <v>0.97971269999999999</v>
      </c>
      <c r="Y1120">
        <v>0.14497260000000001</v>
      </c>
      <c r="Z1120">
        <v>-4.0870739999999996E-3</v>
      </c>
      <c r="AA1120">
        <v>0.98942719999999995</v>
      </c>
      <c r="AB1120">
        <v>36</v>
      </c>
      <c r="AC1120">
        <v>17.662099999999999</v>
      </c>
      <c r="AD1120">
        <v>-1.110277830672</v>
      </c>
      <c r="AE1120">
        <v>-2.7364000000000002</v>
      </c>
      <c r="AF1120">
        <v>2.6157830130942301</v>
      </c>
      <c r="AG1120">
        <v>-1.110277830672</v>
      </c>
      <c r="AH1120">
        <v>17.610908694357398</v>
      </c>
      <c r="AI1120">
        <v>93.568386962266402</v>
      </c>
      <c r="AJ1120">
        <v>81.551512939464601</v>
      </c>
      <c r="AK1120">
        <v>17.838697897376601</v>
      </c>
      <c r="AL1120">
        <v>79.039769359206005</v>
      </c>
      <c r="AM1120">
        <v>86.299684831692304</v>
      </c>
      <c r="AN1120">
        <v>1.0000000215940901</v>
      </c>
    </row>
    <row r="1121" spans="1:40" x14ac:dyDescent="0.25">
      <c r="A1121" t="str">
        <f>"20190312172914275"</f>
        <v>20190312172914275</v>
      </c>
      <c r="B1121" t="str">
        <f>"1552382954268007"</f>
        <v>1552382954268007</v>
      </c>
      <c r="C1121" t="s">
        <v>40</v>
      </c>
      <c r="D1121">
        <v>3.4299279999999999</v>
      </c>
      <c r="E1121">
        <v>0.53498009999999996</v>
      </c>
      <c r="F1121" t="s">
        <v>41</v>
      </c>
      <c r="G1121">
        <v>-228.4734</v>
      </c>
      <c r="H1121" s="1">
        <v>-1.898073E-6</v>
      </c>
      <c r="I1121">
        <v>364.38290000000001</v>
      </c>
      <c r="J1121">
        <v>-246.12459999999999</v>
      </c>
      <c r="K1121">
        <v>1.110279</v>
      </c>
      <c r="L1121">
        <v>367.13389999999998</v>
      </c>
      <c r="M1121">
        <v>0.9998726</v>
      </c>
      <c r="N1121">
        <v>0</v>
      </c>
      <c r="O1121">
        <v>-6.1838040000000002E-3</v>
      </c>
      <c r="P1121">
        <v>0.9819639</v>
      </c>
      <c r="Q1121">
        <v>0.1753719</v>
      </c>
      <c r="R1121">
        <v>-7.064985E-2</v>
      </c>
      <c r="S1121">
        <v>3.055679</v>
      </c>
      <c r="T1121">
        <v>-0.190086</v>
      </c>
      <c r="U1121">
        <v>-0.47116089999999999</v>
      </c>
      <c r="V1121">
        <v>6.4525490000000005E-2</v>
      </c>
      <c r="W1121">
        <v>0.18983079999999999</v>
      </c>
      <c r="X1121">
        <v>0.97969419999999996</v>
      </c>
      <c r="Y1121">
        <v>0.1460118</v>
      </c>
      <c r="Z1121">
        <v>-4.1284999999999898E-3</v>
      </c>
      <c r="AA1121">
        <v>0.98927419999999999</v>
      </c>
      <c r="AB1121">
        <v>36</v>
      </c>
      <c r="AC1121">
        <v>17.6511999999999</v>
      </c>
      <c r="AD1121">
        <v>-1.1102808980729999</v>
      </c>
      <c r="AE1121">
        <v>-2.7509999999999701</v>
      </c>
      <c r="AF1121">
        <v>2.6316187791719301</v>
      </c>
      <c r="AG1121">
        <v>-1.1102808980729999</v>
      </c>
      <c r="AH1121">
        <v>17.5998923152552</v>
      </c>
      <c r="AI1121">
        <v>93.570109193601994</v>
      </c>
      <c r="AJ1121">
        <v>81.495869165381393</v>
      </c>
      <c r="AK1121">
        <v>17.8301528479174</v>
      </c>
      <c r="AL1121">
        <v>79.057089935426902</v>
      </c>
      <c r="AM1121">
        <v>86.231776915649306</v>
      </c>
      <c r="AN1121">
        <v>0.99999999850100996</v>
      </c>
    </row>
    <row r="1122" spans="1:40" x14ac:dyDescent="0.25">
      <c r="A1122" t="str">
        <f>"20190312172914287"</f>
        <v>20190312172914287</v>
      </c>
      <c r="B1122" t="str">
        <f>"1552382954278743"</f>
        <v>1552382954278743</v>
      </c>
      <c r="C1122" t="s">
        <v>40</v>
      </c>
      <c r="D1122">
        <v>3.4201100000000002</v>
      </c>
      <c r="E1122">
        <v>0.53508109999999998</v>
      </c>
      <c r="F1122" t="s">
        <v>41</v>
      </c>
      <c r="G1122">
        <v>-228.4537</v>
      </c>
      <c r="H1122" s="1">
        <v>-1.9019439999999999E-6</v>
      </c>
      <c r="I1122">
        <v>364.39359999999999</v>
      </c>
      <c r="J1122">
        <v>-245.93440000000001</v>
      </c>
      <c r="K1122">
        <v>1.110282</v>
      </c>
      <c r="L1122">
        <v>367.1327</v>
      </c>
      <c r="M1122">
        <v>0.99987309999999996</v>
      </c>
      <c r="N1122">
        <v>0</v>
      </c>
      <c r="O1122">
        <v>-6.1162050000000004E-3</v>
      </c>
      <c r="P1122">
        <v>0.98195120000000002</v>
      </c>
      <c r="Q1122">
        <v>0.1751529</v>
      </c>
      <c r="R1122">
        <v>-7.1370009999999998E-2</v>
      </c>
      <c r="S1122">
        <v>3.0552980000000001</v>
      </c>
      <c r="T1122">
        <v>-0.19196669999999999</v>
      </c>
      <c r="U1122">
        <v>-0.47378540000000002</v>
      </c>
      <c r="V1122">
        <v>6.5312250000000002E-2</v>
      </c>
      <c r="W1122">
        <v>0.1896098</v>
      </c>
      <c r="X1122">
        <v>0.97968489999999997</v>
      </c>
      <c r="Y1122">
        <v>0.1469201</v>
      </c>
      <c r="Z1122">
        <v>-4.2020640000000001E-3</v>
      </c>
      <c r="AA1122">
        <v>0.9891394</v>
      </c>
      <c r="AB1122">
        <v>36</v>
      </c>
      <c r="AC1122">
        <v>17.480699999999999</v>
      </c>
      <c r="AD1122">
        <v>-1.1102839019440001</v>
      </c>
      <c r="AE1122">
        <v>-2.7391000000000001</v>
      </c>
      <c r="AF1122">
        <v>2.62179841597422</v>
      </c>
      <c r="AG1122">
        <v>-1.1102839019440001</v>
      </c>
      <c r="AH1122">
        <v>17.428503638794101</v>
      </c>
      <c r="AI1122">
        <v>93.604656286268806</v>
      </c>
      <c r="AJ1122">
        <v>81.445048879754495</v>
      </c>
      <c r="AK1122">
        <v>17.6595383961298</v>
      </c>
      <c r="AL1122">
        <v>79.069986929697393</v>
      </c>
      <c r="AM1122">
        <v>86.185929629634501</v>
      </c>
      <c r="AN1122">
        <v>1.0000000347720499</v>
      </c>
    </row>
    <row r="1123" spans="1:40" x14ac:dyDescent="0.25">
      <c r="A1123" t="str">
        <f>"20190312172914301"</f>
        <v>20190312172914301</v>
      </c>
      <c r="B1123" t="str">
        <f>"1552382954298263"</f>
        <v>1552382954298263</v>
      </c>
      <c r="C1123" t="s">
        <v>40</v>
      </c>
      <c r="D1123">
        <v>3.4445760000000001</v>
      </c>
      <c r="E1123">
        <v>0.53529059999999995</v>
      </c>
      <c r="F1123" t="s">
        <v>41</v>
      </c>
      <c r="G1123">
        <v>-228.31739999999999</v>
      </c>
      <c r="H1123" s="1">
        <v>-1.9508559999999999E-6</v>
      </c>
      <c r="I1123">
        <v>364.38400000000001</v>
      </c>
      <c r="J1123">
        <v>-245.71809999999999</v>
      </c>
      <c r="K1123">
        <v>1.110285</v>
      </c>
      <c r="L1123">
        <v>367.13139999999999</v>
      </c>
      <c r="M1123">
        <v>0.99987349999999997</v>
      </c>
      <c r="N1123">
        <v>0</v>
      </c>
      <c r="O1123">
        <v>-6.0390679999999999E-3</v>
      </c>
      <c r="P1123">
        <v>0.98187740000000001</v>
      </c>
      <c r="Q1123">
        <v>0.17514060000000001</v>
      </c>
      <c r="R1123">
        <v>-7.2406399999999996E-2</v>
      </c>
      <c r="S1123">
        <v>3.0548549999999999</v>
      </c>
      <c r="T1123">
        <v>-0.19252739999999999</v>
      </c>
      <c r="U1123">
        <v>-0.47662349999999998</v>
      </c>
      <c r="V1123">
        <v>6.6424979999999995E-2</v>
      </c>
      <c r="W1123">
        <v>0.1895944</v>
      </c>
      <c r="X1123">
        <v>0.97961310000000001</v>
      </c>
      <c r="Y1123">
        <v>0.1479116</v>
      </c>
      <c r="Z1123">
        <v>-4.2504709999999996E-3</v>
      </c>
      <c r="AA1123">
        <v>0.98899139999999996</v>
      </c>
      <c r="AB1123">
        <v>35</v>
      </c>
      <c r="AC1123">
        <v>17.400700000000001</v>
      </c>
      <c r="AD1123">
        <v>-1.110286950856</v>
      </c>
      <c r="AE1123">
        <v>-2.7473999999999701</v>
      </c>
      <c r="AF1123">
        <v>2.6318001751718598</v>
      </c>
      <c r="AG1123">
        <v>-1.110286950856</v>
      </c>
      <c r="AH1123">
        <v>17.348064268980199</v>
      </c>
      <c r="AI1123">
        <v>93.620656303091707</v>
      </c>
      <c r="AJ1123">
        <v>81.373679691240696</v>
      </c>
      <c r="AK1123">
        <v>17.5816507517339</v>
      </c>
      <c r="AL1123">
        <v>79.070885976070599</v>
      </c>
      <c r="AM1123">
        <v>86.1208622869962</v>
      </c>
      <c r="AN1123">
        <v>1.0000000700854801</v>
      </c>
    </row>
    <row r="1124" spans="1:40" x14ac:dyDescent="0.25">
      <c r="A1124" t="str">
        <f>"20190312172914315"</f>
        <v>20190312172914315</v>
      </c>
      <c r="B1124" t="str">
        <f>"1552382954308023"</f>
        <v>1552382954308023</v>
      </c>
      <c r="C1124" t="s">
        <v>40</v>
      </c>
      <c r="D1124">
        <v>3.4497089999999901</v>
      </c>
      <c r="E1124">
        <v>0.53528999999999904</v>
      </c>
      <c r="F1124" t="s">
        <v>41</v>
      </c>
      <c r="G1124">
        <v>-228.1611</v>
      </c>
      <c r="H1124" s="1">
        <v>-2.0099329999999999E-6</v>
      </c>
      <c r="I1124">
        <v>364.36189999999999</v>
      </c>
      <c r="J1124">
        <v>-245.49619999999999</v>
      </c>
      <c r="K1124">
        <v>1.110284</v>
      </c>
      <c r="L1124">
        <v>367.1302</v>
      </c>
      <c r="M1124">
        <v>0.99987409999999999</v>
      </c>
      <c r="N1124">
        <v>0</v>
      </c>
      <c r="O1124">
        <v>-5.9601419999999999E-3</v>
      </c>
      <c r="P1124">
        <v>0.98179470000000002</v>
      </c>
      <c r="Q1124">
        <v>0.17518049999999999</v>
      </c>
      <c r="R1124">
        <v>-7.3425859999999996E-2</v>
      </c>
      <c r="S1124">
        <v>3.0542760000000002</v>
      </c>
      <c r="T1124">
        <v>-0.19314809999999999</v>
      </c>
      <c r="U1124">
        <v>-0.48178100000000001</v>
      </c>
      <c r="V1124">
        <v>6.7522620000000005E-2</v>
      </c>
      <c r="W1124">
        <v>0.18963089999999999</v>
      </c>
      <c r="X1124">
        <v>0.97953089999999998</v>
      </c>
      <c r="Y1124">
        <v>0.14964259999999999</v>
      </c>
      <c r="Z1124">
        <v>-4.3236919999999996E-3</v>
      </c>
      <c r="AA1124">
        <v>0.98873069999999996</v>
      </c>
      <c r="AB1124">
        <v>35</v>
      </c>
      <c r="AC1124">
        <v>17.335099999999901</v>
      </c>
      <c r="AD1124">
        <v>-1.1102860099330001</v>
      </c>
      <c r="AE1124">
        <v>-2.7683</v>
      </c>
      <c r="AF1124">
        <v>2.6543022765744801</v>
      </c>
      <c r="AG1124">
        <v>-1.1102860099330001</v>
      </c>
      <c r="AH1124">
        <v>17.282161360406199</v>
      </c>
      <c r="AI1124">
        <v>93.633406459896705</v>
      </c>
      <c r="AJ1124">
        <v>81.268385643951504</v>
      </c>
      <c r="AK1124">
        <v>17.520021600625899</v>
      </c>
      <c r="AL1124">
        <v>79.068755080161907</v>
      </c>
      <c r="AM1124">
        <v>86.0566321676706</v>
      </c>
      <c r="AN1124">
        <v>0.99999998325064199</v>
      </c>
    </row>
    <row r="1125" spans="1:40" x14ac:dyDescent="0.25">
      <c r="A1125" t="str">
        <f>"20190312172914327"</f>
        <v>20190312172914327</v>
      </c>
      <c r="B1125" t="str">
        <f>"1552382954318760"</f>
        <v>1552382954318760</v>
      </c>
      <c r="C1125" t="s">
        <v>40</v>
      </c>
      <c r="D1125">
        <v>3.466809</v>
      </c>
      <c r="E1125">
        <v>0.53528509999999996</v>
      </c>
      <c r="F1125" t="s">
        <v>41</v>
      </c>
      <c r="G1125">
        <v>-227.91069999999999</v>
      </c>
      <c r="H1125" s="1">
        <v>-2.1016130000000001E-6</v>
      </c>
      <c r="I1125">
        <v>364.33760000000001</v>
      </c>
      <c r="J1125">
        <v>-245.30430000000001</v>
      </c>
      <c r="K1125">
        <v>1.1102879999999999</v>
      </c>
      <c r="L1125">
        <v>367.12909999999999</v>
      </c>
      <c r="M1125">
        <v>0.9998745</v>
      </c>
      <c r="N1125">
        <v>0</v>
      </c>
      <c r="O1125">
        <v>-5.8915900000000004E-3</v>
      </c>
      <c r="P1125">
        <v>0.98159410000000002</v>
      </c>
      <c r="Q1125">
        <v>0.1754473</v>
      </c>
      <c r="R1125">
        <v>-7.5440320000000005E-2</v>
      </c>
      <c r="S1125">
        <v>3.0538020000000001</v>
      </c>
      <c r="T1125">
        <v>-0.19280520000000001</v>
      </c>
      <c r="U1125">
        <v>-0.48492429999999997</v>
      </c>
      <c r="V1125">
        <v>6.9605500000000001E-2</v>
      </c>
      <c r="W1125">
        <v>0.18989349999999999</v>
      </c>
      <c r="X1125">
        <v>0.97933419999999904</v>
      </c>
      <c r="Y1125">
        <v>0.15072539999999901</v>
      </c>
      <c r="Z1125">
        <v>-4.3545789999999999E-3</v>
      </c>
      <c r="AA1125">
        <v>0.9885661</v>
      </c>
      <c r="AB1125">
        <v>35</v>
      </c>
      <c r="AC1125">
        <v>17.393599999999999</v>
      </c>
      <c r="AD1125">
        <v>-1.110290101613</v>
      </c>
      <c r="AE1125">
        <v>-2.7914999999999801</v>
      </c>
      <c r="AF1125">
        <v>2.6783252053414301</v>
      </c>
      <c r="AG1125">
        <v>-1.110290101613</v>
      </c>
      <c r="AH1125">
        <v>17.340861927814199</v>
      </c>
      <c r="AI1125">
        <v>93.620682898712502</v>
      </c>
      <c r="AJ1125">
        <v>81.219949075969396</v>
      </c>
      <c r="AK1125">
        <v>17.5815716707814</v>
      </c>
      <c r="AL1125">
        <v>79.053430632304696</v>
      </c>
      <c r="AM1125">
        <v>85.934578525337201</v>
      </c>
      <c r="AN1125">
        <v>0.99999997113106898</v>
      </c>
    </row>
    <row r="1126" spans="1:40" x14ac:dyDescent="0.25">
      <c r="A1126" t="str">
        <f>"20190312172914338"</f>
        <v>20190312172914338</v>
      </c>
      <c r="B1126" t="str">
        <f>"1552382954328520"</f>
        <v>1552382954328520</v>
      </c>
      <c r="C1126" t="s">
        <v>40</v>
      </c>
      <c r="D1126">
        <v>3.4659219999999999</v>
      </c>
      <c r="E1126">
        <v>0.535273</v>
      </c>
      <c r="F1126" t="s">
        <v>41</v>
      </c>
      <c r="G1126">
        <v>-227.691</v>
      </c>
      <c r="H1126" s="1">
        <v>-2.1865589999999999E-6</v>
      </c>
      <c r="I1126">
        <v>364.29930000000002</v>
      </c>
      <c r="J1126">
        <v>-245.12219999999999</v>
      </c>
      <c r="K1126">
        <v>1.1102860000000001</v>
      </c>
      <c r="L1126">
        <v>367.12810000000002</v>
      </c>
      <c r="M1126">
        <v>0.99987490000000001</v>
      </c>
      <c r="N1126">
        <v>0</v>
      </c>
      <c r="O1126">
        <v>-5.8263789999999996E-3</v>
      </c>
      <c r="P1126">
        <v>0.98139359999999998</v>
      </c>
      <c r="Q1126">
        <v>0.1760736</v>
      </c>
      <c r="R1126">
        <v>-7.6581850000000007E-2</v>
      </c>
      <c r="S1126">
        <v>3.0529630000000001</v>
      </c>
      <c r="T1126">
        <v>-0.19244910000000001</v>
      </c>
      <c r="U1126">
        <v>-0.49047849999999998</v>
      </c>
      <c r="V1126">
        <v>7.0812459999999994E-2</v>
      </c>
      <c r="W1126">
        <v>0.1905152</v>
      </c>
      <c r="X1126">
        <v>0.97912690000000002</v>
      </c>
      <c r="Y1126">
        <v>0.15258269999999999</v>
      </c>
      <c r="Z1126">
        <v>-4.4093020000000004E-3</v>
      </c>
      <c r="AA1126">
        <v>0.98828090000000002</v>
      </c>
      <c r="AB1126">
        <v>35</v>
      </c>
      <c r="AC1126">
        <v>17.4312</v>
      </c>
      <c r="AD1126">
        <v>-1.110288186559</v>
      </c>
      <c r="AE1126">
        <v>-2.8288000000000002</v>
      </c>
      <c r="AF1126">
        <v>2.7164421072854599</v>
      </c>
      <c r="AG1126">
        <v>-1.110288186559</v>
      </c>
      <c r="AH1126">
        <v>17.378689474418099</v>
      </c>
      <c r="AI1126">
        <v>93.611801473541306</v>
      </c>
      <c r="AJ1126">
        <v>81.116052145626099</v>
      </c>
      <c r="AK1126">
        <v>17.624716889291999</v>
      </c>
      <c r="AL1126">
        <v>79.017147422307801</v>
      </c>
      <c r="AM1126">
        <v>85.863454045525003</v>
      </c>
      <c r="AN1126">
        <v>0.99999996611294995</v>
      </c>
    </row>
    <row r="1127" spans="1:40" x14ac:dyDescent="0.25">
      <c r="A1127" t="str">
        <f>"20190312172914352"</f>
        <v>20190312172914352</v>
      </c>
      <c r="B1127" t="str">
        <f>"1552382954348040"</f>
        <v>1552382954348040</v>
      </c>
      <c r="C1127" t="s">
        <v>40</v>
      </c>
      <c r="D1127">
        <v>3.4479419999999998</v>
      </c>
      <c r="E1127">
        <v>0.53521869999999905</v>
      </c>
      <c r="F1127" t="s">
        <v>41</v>
      </c>
      <c r="G1127">
        <v>-227.32509999999999</v>
      </c>
      <c r="H1127" s="1">
        <v>-2.3241610000000001E-6</v>
      </c>
      <c r="I1127">
        <v>364.25020000000001</v>
      </c>
      <c r="J1127">
        <v>-244.91059999999999</v>
      </c>
      <c r="K1127">
        <v>1.1102879999999999</v>
      </c>
      <c r="L1127">
        <v>367.12689999999998</v>
      </c>
      <c r="M1127">
        <v>0.99987539999999997</v>
      </c>
      <c r="N1127">
        <v>0</v>
      </c>
      <c r="O1127">
        <v>-5.7511480000000002E-3</v>
      </c>
      <c r="P1127">
        <v>0.98118070000000002</v>
      </c>
      <c r="Q1127">
        <v>0.17667550000000001</v>
      </c>
      <c r="R1127">
        <v>-7.7913540000000003E-2</v>
      </c>
      <c r="S1127">
        <v>3.052521</v>
      </c>
      <c r="T1127">
        <v>-0.19043350000000001</v>
      </c>
      <c r="U1127">
        <v>-0.49359130000000001</v>
      </c>
      <c r="V1127">
        <v>7.221901E-2</v>
      </c>
      <c r="W1127">
        <v>0.19111249999999999</v>
      </c>
      <c r="X1127">
        <v>0.97890779999999999</v>
      </c>
      <c r="Y1127">
        <v>0.15366529999999901</v>
      </c>
      <c r="Z1127">
        <v>-4.4016609999999899E-3</v>
      </c>
      <c r="AA1127">
        <v>0.98811320000000002</v>
      </c>
      <c r="AB1127">
        <v>35</v>
      </c>
      <c r="AC1127">
        <v>17.5854999999999</v>
      </c>
      <c r="AD1127">
        <v>-1.110290324161</v>
      </c>
      <c r="AE1127">
        <v>-2.8766999999999698</v>
      </c>
      <c r="AF1127">
        <v>2.7647708583805</v>
      </c>
      <c r="AG1127">
        <v>-1.110290324161</v>
      </c>
      <c r="AH1127">
        <v>17.533683295697202</v>
      </c>
      <c r="AI1127">
        <v>93.579212276765503</v>
      </c>
      <c r="AJ1127">
        <v>81.039187745505401</v>
      </c>
      <c r="AK1127">
        <v>17.785014827575601</v>
      </c>
      <c r="AL1127">
        <v>78.982284759754904</v>
      </c>
      <c r="AM1127">
        <v>85.780642680503107</v>
      </c>
      <c r="AN1127">
        <v>1.0000000269812299</v>
      </c>
    </row>
    <row r="1128" spans="1:40" x14ac:dyDescent="0.25">
      <c r="A1128" t="str">
        <f>"20190312172914372"</f>
        <v>20190312172914372</v>
      </c>
      <c r="B1128" t="str">
        <f>"1552382954368535"</f>
        <v>1552382954368535</v>
      </c>
      <c r="C1128" t="s">
        <v>40</v>
      </c>
      <c r="D1128">
        <v>3.4686560000000002</v>
      </c>
      <c r="E1128">
        <v>0.53519209999999995</v>
      </c>
      <c r="F1128" t="s">
        <v>41</v>
      </c>
      <c r="G1128">
        <v>-226.97970000000001</v>
      </c>
      <c r="H1128" s="1">
        <v>-2.4533190000000002E-6</v>
      </c>
      <c r="I1128">
        <v>364.20659999999998</v>
      </c>
      <c r="J1128">
        <v>-244.5992</v>
      </c>
      <c r="K1128">
        <v>1.1102920000000001</v>
      </c>
      <c r="L1128">
        <v>367.12520000000001</v>
      </c>
      <c r="M1128">
        <v>0.99987599999999999</v>
      </c>
      <c r="N1128">
        <v>0</v>
      </c>
      <c r="O1128">
        <v>-5.6403869999999898E-3</v>
      </c>
      <c r="P1128">
        <v>0.98086470000000003</v>
      </c>
      <c r="Q1128">
        <v>0.1772492</v>
      </c>
      <c r="R1128">
        <v>-8.0543219999999999E-2</v>
      </c>
      <c r="S1128">
        <v>3.0521090000000002</v>
      </c>
      <c r="T1128">
        <v>-0.1889874</v>
      </c>
      <c r="U1128">
        <v>-0.49707030000000002</v>
      </c>
      <c r="V1128">
        <v>7.4959059999999994E-2</v>
      </c>
      <c r="W1128">
        <v>0.19167880000000001</v>
      </c>
      <c r="X1128">
        <v>0.97859099999999999</v>
      </c>
      <c r="Y1128">
        <v>0.154894899999999</v>
      </c>
      <c r="Z1128">
        <v>-4.4130710000000002E-3</v>
      </c>
      <c r="AA1128">
        <v>0.9879211</v>
      </c>
      <c r="AB1128">
        <v>35</v>
      </c>
      <c r="AC1128">
        <v>17.619499999999899</v>
      </c>
      <c r="AD1128">
        <v>-1.110294453319</v>
      </c>
      <c r="AE1128">
        <v>-2.9186000000000201</v>
      </c>
      <c r="AF1128">
        <v>2.80830831453458</v>
      </c>
      <c r="AG1128">
        <v>-1.110294453319</v>
      </c>
      <c r="AH1128">
        <v>17.567786514537701</v>
      </c>
      <c r="AI1128">
        <v>93.571097062720497</v>
      </c>
      <c r="AJ1128">
        <v>80.917792607793601</v>
      </c>
      <c r="AK1128">
        <v>17.825444521327501</v>
      </c>
      <c r="AL1128">
        <v>78.949226541597</v>
      </c>
      <c r="AM1128">
        <v>85.619755979995304</v>
      </c>
      <c r="AN1128">
        <v>0.99999998416326097</v>
      </c>
    </row>
    <row r="1129" spans="1:40" x14ac:dyDescent="0.25">
      <c r="A1129" t="str">
        <f>"20190312172914386"</f>
        <v>20190312172914386</v>
      </c>
      <c r="B1129" t="str">
        <f>"1552382954378296"</f>
        <v>1552382954378296</v>
      </c>
      <c r="C1129" t="s">
        <v>40</v>
      </c>
      <c r="D1129">
        <v>3.4324249999999998</v>
      </c>
      <c r="E1129">
        <v>0.53513909999999998</v>
      </c>
      <c r="F1129" t="s">
        <v>41</v>
      </c>
      <c r="G1129">
        <v>-226.55760000000001</v>
      </c>
      <c r="H1129" s="1">
        <v>-2.6133940000000001E-6</v>
      </c>
      <c r="I1129">
        <v>364.1447</v>
      </c>
      <c r="J1129">
        <v>-244.38419999999999</v>
      </c>
      <c r="K1129">
        <v>1.110295</v>
      </c>
      <c r="L1129">
        <v>367.1241</v>
      </c>
      <c r="M1129">
        <v>0.9998764</v>
      </c>
      <c r="N1129">
        <v>0</v>
      </c>
      <c r="O1129">
        <v>-5.5637259999999997E-3</v>
      </c>
      <c r="P1129">
        <v>0.98075219999999996</v>
      </c>
      <c r="Q1129">
        <v>0.1772707</v>
      </c>
      <c r="R1129">
        <v>-8.1856709999999999E-2</v>
      </c>
      <c r="S1129">
        <v>3.0510709999999999</v>
      </c>
      <c r="T1129">
        <v>-0.18776490000000001</v>
      </c>
      <c r="U1129">
        <v>-0.50402829999999998</v>
      </c>
      <c r="V1129">
        <v>7.6348159999999998E-2</v>
      </c>
      <c r="W1129">
        <v>0.19169659999999999</v>
      </c>
      <c r="X1129">
        <v>0.97848020000000002</v>
      </c>
      <c r="Y1129">
        <v>0.15721650000000001</v>
      </c>
      <c r="Z1129">
        <v>-4.4608190000000004E-3</v>
      </c>
      <c r="AA1129">
        <v>0.98755409999999999</v>
      </c>
      <c r="AB1129">
        <v>35</v>
      </c>
      <c r="AC1129">
        <v>17.8265999999999</v>
      </c>
      <c r="AD1129">
        <v>-1.1102976133939999</v>
      </c>
      <c r="AE1129">
        <v>-2.9793999999999898</v>
      </c>
      <c r="AF1129">
        <v>2.8693325956531202</v>
      </c>
      <c r="AG1129">
        <v>-1.1102976133939999</v>
      </c>
      <c r="AH1129">
        <v>17.775820302123101</v>
      </c>
      <c r="AI1129">
        <v>93.528559010628399</v>
      </c>
      <c r="AJ1129">
        <v>80.830538172794306</v>
      </c>
      <c r="AK1129">
        <v>18.0401113563126</v>
      </c>
      <c r="AL1129">
        <v>78.948188310366703</v>
      </c>
      <c r="AM1129">
        <v>85.538405291468806</v>
      </c>
      <c r="AN1129">
        <v>1.00000006488949</v>
      </c>
    </row>
    <row r="1130" spans="1:40" x14ac:dyDescent="0.25">
      <c r="A1130" t="str">
        <f>"20190312172914396"</f>
        <v>20190312172914396</v>
      </c>
      <c r="B1130" t="str">
        <f>"1552382954388055"</f>
        <v>1552382954388055</v>
      </c>
      <c r="C1130" t="s">
        <v>40</v>
      </c>
      <c r="D1130">
        <v>3.452763</v>
      </c>
      <c r="E1130">
        <v>0.53510530000000001</v>
      </c>
      <c r="F1130" t="s">
        <v>41</v>
      </c>
      <c r="G1130">
        <v>-226.37190000000001</v>
      </c>
      <c r="H1130" s="1">
        <v>-2.6807119999999999E-6</v>
      </c>
      <c r="I1130">
        <v>364.12920000000003</v>
      </c>
      <c r="J1130">
        <v>-244.21109999999999</v>
      </c>
      <c r="K1130">
        <v>1.1102970000000001</v>
      </c>
      <c r="L1130">
        <v>367.12310000000002</v>
      </c>
      <c r="M1130">
        <v>0.99987689999999996</v>
      </c>
      <c r="N1130">
        <v>0</v>
      </c>
      <c r="O1130">
        <v>-5.5022069999999899E-3</v>
      </c>
      <c r="P1130">
        <v>0.98063579999999995</v>
      </c>
      <c r="Q1130">
        <v>0.17735119999999999</v>
      </c>
      <c r="R1130">
        <v>-8.3069290000000004E-2</v>
      </c>
      <c r="S1130">
        <v>3.0505520000000002</v>
      </c>
      <c r="T1130">
        <v>-0.1880385</v>
      </c>
      <c r="U1130">
        <v>-0.50720209999999999</v>
      </c>
      <c r="V1130">
        <v>7.7621850000000006E-2</v>
      </c>
      <c r="W1130">
        <v>0.19177420000000001</v>
      </c>
      <c r="X1130">
        <v>0.97836469999999998</v>
      </c>
      <c r="Y1130">
        <v>0.1583012</v>
      </c>
      <c r="Z1130">
        <v>-4.5046119999999999E-3</v>
      </c>
      <c r="AA1130">
        <v>0.98738060000000005</v>
      </c>
      <c r="AB1130">
        <v>35</v>
      </c>
      <c r="AC1130">
        <v>17.839199999999899</v>
      </c>
      <c r="AD1130">
        <v>-1.11029968071199</v>
      </c>
      <c r="AE1130">
        <v>-2.9938999999999898</v>
      </c>
      <c r="AF1130">
        <v>2.88482021065651</v>
      </c>
      <c r="AG1130">
        <v>-1.11029968071199</v>
      </c>
      <c r="AH1130">
        <v>17.788384961180501</v>
      </c>
      <c r="AI1130">
        <v>93.525659914292802</v>
      </c>
      <c r="AJ1130">
        <v>80.788291654238606</v>
      </c>
      <c r="AK1130">
        <v>18.054960331054499</v>
      </c>
      <c r="AL1130">
        <v>78.943657278221394</v>
      </c>
      <c r="AM1130">
        <v>85.4637488649945</v>
      </c>
      <c r="AN1130">
        <v>0.99999999079457602</v>
      </c>
    </row>
    <row r="1131" spans="1:40" x14ac:dyDescent="0.25">
      <c r="A1131" t="str">
        <f>"20190312172914407"</f>
        <v>20190312172914407</v>
      </c>
      <c r="B1131" t="str">
        <f>"1552382954398792"</f>
        <v>1552382954398792</v>
      </c>
      <c r="C1131" t="s">
        <v>40</v>
      </c>
      <c r="D1131">
        <v>3.4143729999999999</v>
      </c>
      <c r="E1131">
        <v>0.53510199999999997</v>
      </c>
      <c r="F1131" t="s">
        <v>41</v>
      </c>
      <c r="G1131">
        <v>-226.1842</v>
      </c>
      <c r="H1131" s="1">
        <v>-2.750722E-6</v>
      </c>
      <c r="I1131">
        <v>364.10610000000003</v>
      </c>
      <c r="J1131">
        <v>-244.0395</v>
      </c>
      <c r="K1131">
        <v>1.110298</v>
      </c>
      <c r="L1131">
        <v>367.1223</v>
      </c>
      <c r="M1131">
        <v>0.99987720000000002</v>
      </c>
      <c r="N1131">
        <v>0</v>
      </c>
      <c r="O1131">
        <v>-5.4410450000000003E-3</v>
      </c>
      <c r="P1131">
        <v>0.98055199999999998</v>
      </c>
      <c r="Q1131">
        <v>0.177190299999999</v>
      </c>
      <c r="R1131">
        <v>-8.4389190000000003E-2</v>
      </c>
      <c r="S1131">
        <v>3.049973</v>
      </c>
      <c r="T1131">
        <v>-0.18785109999999999</v>
      </c>
      <c r="U1131">
        <v>-0.51043700000000003</v>
      </c>
      <c r="V1131">
        <v>7.900248E-2</v>
      </c>
      <c r="W1131">
        <v>0.19161049999999999</v>
      </c>
      <c r="X1131">
        <v>0.97828630000000005</v>
      </c>
      <c r="Y1131">
        <v>0.1594091</v>
      </c>
      <c r="Z1131">
        <v>-4.5381730000000004E-3</v>
      </c>
      <c r="AA1131">
        <v>0.98720220000000003</v>
      </c>
      <c r="AB1131">
        <v>35</v>
      </c>
      <c r="AC1131">
        <v>17.8553</v>
      </c>
      <c r="AD1131">
        <v>-1.110300750722</v>
      </c>
      <c r="AE1131">
        <v>-3.01619999999996</v>
      </c>
      <c r="AF1131">
        <v>2.9080605662300201</v>
      </c>
      <c r="AG1131">
        <v>-1.110300750722</v>
      </c>
      <c r="AH1131">
        <v>17.8045129976759</v>
      </c>
      <c r="AI1131">
        <v>93.521832379985796</v>
      </c>
      <c r="AJ1131">
        <v>80.723632788644906</v>
      </c>
      <c r="AK1131">
        <v>18.074575156786501</v>
      </c>
      <c r="AL1131">
        <v>78.953214263292097</v>
      </c>
      <c r="AM1131">
        <v>85.383041673485494</v>
      </c>
      <c r="AN1131">
        <v>1.00000003016204</v>
      </c>
    </row>
    <row r="1132" spans="1:40" x14ac:dyDescent="0.25">
      <c r="A1132" t="str">
        <f>"20190312172914418"</f>
        <v>20190312172914418</v>
      </c>
      <c r="B1132" t="str">
        <f>"1552382954408552"</f>
        <v>1552382954408552</v>
      </c>
      <c r="C1132" t="s">
        <v>40</v>
      </c>
      <c r="D1132">
        <v>3.4220980000000001</v>
      </c>
      <c r="E1132">
        <v>0.53510259999999998</v>
      </c>
      <c r="F1132" t="s">
        <v>41</v>
      </c>
      <c r="G1132">
        <v>-226.10640000000001</v>
      </c>
      <c r="H1132" s="1">
        <v>-2.7791249999999998E-6</v>
      </c>
      <c r="I1132">
        <v>364.09899999999999</v>
      </c>
      <c r="J1132">
        <v>-243.86160000000001</v>
      </c>
      <c r="K1132">
        <v>1.110301</v>
      </c>
      <c r="L1132">
        <v>367.12130000000002</v>
      </c>
      <c r="M1132">
        <v>0.99987780000000004</v>
      </c>
      <c r="N1132">
        <v>0</v>
      </c>
      <c r="O1132">
        <v>-5.3777369999999996E-3</v>
      </c>
      <c r="P1132">
        <v>0.9804195</v>
      </c>
      <c r="Q1132">
        <v>0.17732210000000001</v>
      </c>
      <c r="R1132">
        <v>-8.5644289999999998E-2</v>
      </c>
      <c r="S1132">
        <v>3.0494080000000001</v>
      </c>
      <c r="T1132">
        <v>-0.1887982</v>
      </c>
      <c r="U1132">
        <v>-0.51406859999999999</v>
      </c>
      <c r="V1132">
        <v>8.0320320000000001E-2</v>
      </c>
      <c r="W1132">
        <v>0.1917392</v>
      </c>
      <c r="X1132">
        <v>0.97815379999999996</v>
      </c>
      <c r="Y1132">
        <v>0.16063929999999901</v>
      </c>
      <c r="Z1132">
        <v>-4.6030669999999997E-3</v>
      </c>
      <c r="AA1132">
        <v>0.98700239999999995</v>
      </c>
      <c r="AB1132">
        <v>35</v>
      </c>
      <c r="AC1132">
        <v>17.755199999999999</v>
      </c>
      <c r="AD1132">
        <v>-1.1103037791249999</v>
      </c>
      <c r="AE1132">
        <v>-3.02230000000002</v>
      </c>
      <c r="AF1132">
        <v>2.9156824858525301</v>
      </c>
      <c r="AG1132">
        <v>-1.1103037791249999</v>
      </c>
      <c r="AH1132">
        <v>17.703916379720301</v>
      </c>
      <c r="AI1132">
        <v>93.541036361178698</v>
      </c>
      <c r="AJ1132">
        <v>80.647829521882898</v>
      </c>
      <c r="AK1132">
        <v>17.976724785688202</v>
      </c>
      <c r="AL1132">
        <v>78.945701385168405</v>
      </c>
      <c r="AM1132">
        <v>85.305734549026596</v>
      </c>
      <c r="AN1132">
        <v>1.0000000655379799</v>
      </c>
    </row>
    <row r="1133" spans="1:40" x14ac:dyDescent="0.25">
      <c r="A1133" t="str">
        <f>"20190312172914430"</f>
        <v>20190312172914430</v>
      </c>
      <c r="B1133" t="str">
        <f>"1552382954418312"</f>
        <v>1552382954418312</v>
      </c>
      <c r="C1133" t="s">
        <v>40</v>
      </c>
      <c r="D1133">
        <v>3.4497900000000001</v>
      </c>
      <c r="E1133">
        <v>0.53509689999999999</v>
      </c>
      <c r="F1133" t="s">
        <v>41</v>
      </c>
      <c r="G1133">
        <v>-225.94049999999999</v>
      </c>
      <c r="H1133" s="1">
        <v>-2.8413440000000002E-6</v>
      </c>
      <c r="I1133">
        <v>364.07729999999998</v>
      </c>
      <c r="J1133">
        <v>-243.6908</v>
      </c>
      <c r="K1133">
        <v>1.110303</v>
      </c>
      <c r="L1133">
        <v>367.12049999999999</v>
      </c>
      <c r="M1133">
        <v>0.99987809999999999</v>
      </c>
      <c r="N1133">
        <v>0</v>
      </c>
      <c r="O1133">
        <v>-5.3170509999999997E-3</v>
      </c>
      <c r="P1133">
        <v>0.98029169999999999</v>
      </c>
      <c r="Q1133">
        <v>0.17741599999999999</v>
      </c>
      <c r="R1133">
        <v>-8.6902889999999997E-2</v>
      </c>
      <c r="S1133">
        <v>3.0488590000000002</v>
      </c>
      <c r="T1133">
        <v>-0.18889120000000001</v>
      </c>
      <c r="U1133">
        <v>-0.5178528</v>
      </c>
      <c r="V1133">
        <v>8.1639149999999994E-2</v>
      </c>
      <c r="W1133">
        <v>0.19182949999999999</v>
      </c>
      <c r="X1133">
        <v>0.97802690000000003</v>
      </c>
      <c r="Y1133">
        <v>0.16191639999999999</v>
      </c>
      <c r="Z1133">
        <v>-4.6486449999999999E-3</v>
      </c>
      <c r="AA1133">
        <v>0.98679349999999999</v>
      </c>
      <c r="AB1133">
        <v>35</v>
      </c>
      <c r="AC1133">
        <v>17.750299999999999</v>
      </c>
      <c r="AD1133">
        <v>-1.1103058413439999</v>
      </c>
      <c r="AE1133">
        <v>-3.0432000000000099</v>
      </c>
      <c r="AF1133">
        <v>2.9376018650247002</v>
      </c>
      <c r="AG1133">
        <v>-1.1103058413439999</v>
      </c>
      <c r="AH1133">
        <v>17.698958720532101</v>
      </c>
      <c r="AI1133">
        <v>93.541301958141204</v>
      </c>
      <c r="AJ1133">
        <v>80.576186461890302</v>
      </c>
      <c r="AK1133">
        <v>17.975411638396999</v>
      </c>
      <c r="AL1133">
        <v>78.940429685185293</v>
      </c>
      <c r="AM1133">
        <v>85.228393210388404</v>
      </c>
      <c r="AN1133">
        <v>1.0000000625032801</v>
      </c>
    </row>
    <row r="1134" spans="1:40" x14ac:dyDescent="0.25">
      <c r="A1134" t="str">
        <f>"20190312172914441"</f>
        <v>20190312172914441</v>
      </c>
      <c r="B1134" t="str">
        <f>"1552382954438807"</f>
        <v>1552382954438807</v>
      </c>
      <c r="C1134" t="s">
        <v>40</v>
      </c>
      <c r="D1134">
        <v>3.4109470000000002</v>
      </c>
      <c r="E1134">
        <v>0.53506290000000001</v>
      </c>
      <c r="F1134" t="s">
        <v>41</v>
      </c>
      <c r="G1134">
        <v>-225.77809999999999</v>
      </c>
      <c r="H1134" s="1">
        <v>-2.9019760000000001E-6</v>
      </c>
      <c r="I1134">
        <v>364.05709999999999</v>
      </c>
      <c r="J1134">
        <v>-243.49510000000001</v>
      </c>
      <c r="K1134">
        <v>1.1103050000000001</v>
      </c>
      <c r="L1134">
        <v>367.11950000000002</v>
      </c>
      <c r="M1134">
        <v>0.9998783</v>
      </c>
      <c r="N1134">
        <v>0</v>
      </c>
      <c r="O1134">
        <v>-5.2474210000000004E-3</v>
      </c>
      <c r="P1134">
        <v>0.98010929999999996</v>
      </c>
      <c r="Q1134">
        <v>0.1776286</v>
      </c>
      <c r="R1134">
        <v>-8.8509569999999996E-2</v>
      </c>
      <c r="S1134">
        <v>3.0482939999999998</v>
      </c>
      <c r="T1134">
        <v>-0.18894620000000001</v>
      </c>
      <c r="U1134">
        <v>-0.52130129999999997</v>
      </c>
      <c r="V1134">
        <v>8.3315100000000003E-2</v>
      </c>
      <c r="W1134">
        <v>0.19203819999999999</v>
      </c>
      <c r="X1134">
        <v>0.97784450000000001</v>
      </c>
      <c r="Y1134">
        <v>0.16309749999999901</v>
      </c>
      <c r="Z1134">
        <v>-4.6909949999999999E-3</v>
      </c>
      <c r="AA1134">
        <v>0.9865988</v>
      </c>
      <c r="AB1134">
        <v>35</v>
      </c>
      <c r="AC1134">
        <v>17.716999999999999</v>
      </c>
      <c r="AD1134">
        <v>-1.1103079019759901</v>
      </c>
      <c r="AE1134">
        <v>-3.0624000000000202</v>
      </c>
      <c r="AF1134">
        <v>2.95809859915749</v>
      </c>
      <c r="AG1134">
        <v>-1.1103079019759901</v>
      </c>
      <c r="AH1134">
        <v>17.665460660909002</v>
      </c>
      <c r="AI1134">
        <v>93.547159965819304</v>
      </c>
      <c r="AJ1134">
        <v>80.493960370828802</v>
      </c>
      <c r="AK1134">
        <v>17.945797037792701</v>
      </c>
      <c r="AL1134">
        <v>78.928244503173303</v>
      </c>
      <c r="AM1134">
        <v>85.130000425085598</v>
      </c>
      <c r="AN1134">
        <v>0.99999997116374895</v>
      </c>
    </row>
    <row r="1135" spans="1:40" x14ac:dyDescent="0.25">
      <c r="A1135" t="str">
        <f>"20190312172914452"</f>
        <v>20190312172914452</v>
      </c>
      <c r="B1135" t="str">
        <f>"1552382954448567"</f>
        <v>1552382954448567</v>
      </c>
      <c r="C1135" t="s">
        <v>40</v>
      </c>
      <c r="D1135">
        <v>3.3791820000000001</v>
      </c>
      <c r="E1135">
        <v>0.53501840000000001</v>
      </c>
      <c r="F1135" t="s">
        <v>41</v>
      </c>
      <c r="G1135">
        <v>-225.57490000000001</v>
      </c>
      <c r="H1135" s="1">
        <v>-2.9784440000000001E-6</v>
      </c>
      <c r="I1135">
        <v>364.02960000000002</v>
      </c>
      <c r="J1135">
        <v>-243.33199999999999</v>
      </c>
      <c r="K1135">
        <v>1.1103069999999999</v>
      </c>
      <c r="L1135">
        <v>367.11869999999999</v>
      </c>
      <c r="M1135">
        <v>0.99987870000000001</v>
      </c>
      <c r="N1135">
        <v>0</v>
      </c>
      <c r="O1135">
        <v>-5.1891230000000003E-3</v>
      </c>
      <c r="P1135">
        <v>0.97996289999999997</v>
      </c>
      <c r="Q1135">
        <v>0.17767859999999999</v>
      </c>
      <c r="R1135">
        <v>-9.0017249999999993E-2</v>
      </c>
      <c r="S1135">
        <v>3.0476529999999999</v>
      </c>
      <c r="T1135">
        <v>-0.1888273</v>
      </c>
      <c r="U1135">
        <v>-0.52548219999999901</v>
      </c>
      <c r="V1135">
        <v>8.4880860000000002E-2</v>
      </c>
      <c r="W1135">
        <v>0.192084</v>
      </c>
      <c r="X1135">
        <v>0.97770080000000004</v>
      </c>
      <c r="Y1135">
        <v>0.1645016</v>
      </c>
      <c r="Z1135">
        <v>-4.7351999999999898E-3</v>
      </c>
      <c r="AA1135">
        <v>0.98636539999999995</v>
      </c>
      <c r="AB1135">
        <v>35</v>
      </c>
      <c r="AC1135">
        <v>17.757099999999902</v>
      </c>
      <c r="AD1135">
        <v>-1.110309978444</v>
      </c>
      <c r="AE1135">
        <v>-3.08909999999997</v>
      </c>
      <c r="AF1135">
        <v>2.98557484056751</v>
      </c>
      <c r="AG1135">
        <v>-1.110309978444</v>
      </c>
      <c r="AH1135">
        <v>17.7057016156743</v>
      </c>
      <c r="AI1135">
        <v>93.5384495764539</v>
      </c>
      <c r="AJ1135">
        <v>80.4286953717166</v>
      </c>
      <c r="AK1135">
        <v>17.989950391264401</v>
      </c>
      <c r="AL1135">
        <v>78.9255702138245</v>
      </c>
      <c r="AM1135">
        <v>85.038204453392197</v>
      </c>
      <c r="AN1135">
        <v>0.99999993888548799</v>
      </c>
    </row>
    <row r="1136" spans="1:40" x14ac:dyDescent="0.25">
      <c r="A1136" t="str">
        <f>"20190312172914465"</f>
        <v>20190312172914465</v>
      </c>
      <c r="B1136" t="str">
        <f>"1552382954458328"</f>
        <v>1552382954458328</v>
      </c>
      <c r="C1136" t="s">
        <v>40</v>
      </c>
      <c r="D1136">
        <v>3.360414</v>
      </c>
      <c r="E1136">
        <v>0.5349621</v>
      </c>
      <c r="F1136" t="s">
        <v>41</v>
      </c>
      <c r="G1136">
        <v>-225.40049999999999</v>
      </c>
      <c r="H1136" s="1">
        <v>-3.0445490000000001E-6</v>
      </c>
      <c r="I1136">
        <v>364.00420000000003</v>
      </c>
      <c r="J1136">
        <v>-243.14109999999999</v>
      </c>
      <c r="K1136">
        <v>1.110306</v>
      </c>
      <c r="L1136">
        <v>367.11770000000001</v>
      </c>
      <c r="M1136">
        <v>0.99987910000000002</v>
      </c>
      <c r="N1136">
        <v>0</v>
      </c>
      <c r="O1136">
        <v>-5.1208109999999899E-3</v>
      </c>
      <c r="P1136">
        <v>0.97980639999999997</v>
      </c>
      <c r="Q1136">
        <v>0.1777755</v>
      </c>
      <c r="R1136">
        <v>-9.1518429999999998E-2</v>
      </c>
      <c r="S1136">
        <v>3.0469360000000001</v>
      </c>
      <c r="T1136">
        <v>-0.18866479999999999</v>
      </c>
      <c r="U1136">
        <v>-0.52920529999999999</v>
      </c>
      <c r="V1136">
        <v>8.6449929999999994E-2</v>
      </c>
      <c r="W1136">
        <v>0.19217709999999999</v>
      </c>
      <c r="X1136">
        <v>0.97754509999999994</v>
      </c>
      <c r="Y1136">
        <v>0.1657759</v>
      </c>
      <c r="Z1136">
        <v>-4.7750559999999997E-3</v>
      </c>
      <c r="AA1136">
        <v>0.98615189999999997</v>
      </c>
      <c r="AB1136">
        <v>35</v>
      </c>
      <c r="AC1136">
        <v>17.740600000000001</v>
      </c>
      <c r="AD1136">
        <v>-1.110309044549</v>
      </c>
      <c r="AE1136">
        <v>-3.1134999999999802</v>
      </c>
      <c r="AF1136">
        <v>3.0111608935141398</v>
      </c>
      <c r="AG1136">
        <v>-1.110309044549</v>
      </c>
      <c r="AH1136">
        <v>17.6890952566322</v>
      </c>
      <c r="AI1136">
        <v>93.540826454841493</v>
      </c>
      <c r="AJ1136">
        <v>80.339316617356005</v>
      </c>
      <c r="AK1136">
        <v>17.9778743765564</v>
      </c>
      <c r="AL1136">
        <v>78.920135679686794</v>
      </c>
      <c r="AM1136">
        <v>84.946152819534802</v>
      </c>
      <c r="AN1136">
        <v>1.0000000253477099</v>
      </c>
    </row>
    <row r="1137" spans="1:40" x14ac:dyDescent="0.25">
      <c r="A1137" t="str">
        <f>"20190312172914475"</f>
        <v>20190312172914475</v>
      </c>
      <c r="B1137" t="str">
        <f>"1552382954468088"</f>
        <v>1552382954468088</v>
      </c>
      <c r="C1137" t="s">
        <v>40</v>
      </c>
      <c r="D1137">
        <v>3.3875419999999998</v>
      </c>
      <c r="E1137">
        <v>0.53490919999999997</v>
      </c>
      <c r="F1137" t="s">
        <v>41</v>
      </c>
      <c r="G1137">
        <v>-225.16669999999999</v>
      </c>
      <c r="H1137" s="1">
        <v>-3.1330189999999998E-6</v>
      </c>
      <c r="I1137">
        <v>363.9708</v>
      </c>
      <c r="J1137">
        <v>-242.9615</v>
      </c>
      <c r="K1137">
        <v>1.110306</v>
      </c>
      <c r="L1137">
        <v>367.11689999999999</v>
      </c>
      <c r="M1137">
        <v>0.99987939999999997</v>
      </c>
      <c r="N1137">
        <v>0</v>
      </c>
      <c r="O1137">
        <v>-5.0566689999999997E-3</v>
      </c>
      <c r="P1137">
        <v>0.97964530000000005</v>
      </c>
      <c r="Q1137">
        <v>0.1778556</v>
      </c>
      <c r="R1137">
        <v>-9.3073669999999997E-2</v>
      </c>
      <c r="S1137">
        <v>3.0461269999999998</v>
      </c>
      <c r="T1137">
        <v>-0.1881632</v>
      </c>
      <c r="U1137">
        <v>-0.53329469999999901</v>
      </c>
      <c r="V1137">
        <v>8.8069010000000003E-2</v>
      </c>
      <c r="W1137">
        <v>0.19225339999999999</v>
      </c>
      <c r="X1137">
        <v>0.97738550000000002</v>
      </c>
      <c r="Y1137">
        <v>0.1671667</v>
      </c>
      <c r="Z1137">
        <v>-4.8096049999999998E-3</v>
      </c>
      <c r="AA1137">
        <v>0.98591689999999998</v>
      </c>
      <c r="AB1137">
        <v>35</v>
      </c>
      <c r="AC1137">
        <v>17.794799999999999</v>
      </c>
      <c r="AD1137">
        <v>-1.110309133019</v>
      </c>
      <c r="AE1137">
        <v>-3.1460999999999899</v>
      </c>
      <c r="AF1137">
        <v>3.04457392572884</v>
      </c>
      <c r="AG1137">
        <v>-1.110309133019</v>
      </c>
      <c r="AH1137">
        <v>17.743498556830598</v>
      </c>
      <c r="AI1137">
        <v>93.529201917560499</v>
      </c>
      <c r="AJ1137">
        <v>80.263540053798394</v>
      </c>
      <c r="AK1137">
        <v>18.037016321896001</v>
      </c>
      <c r="AL1137">
        <v>78.915680299395206</v>
      </c>
      <c r="AM1137">
        <v>84.851169535102301</v>
      </c>
      <c r="AN1137">
        <v>0.99999996797209401</v>
      </c>
    </row>
    <row r="1138" spans="1:40" x14ac:dyDescent="0.25">
      <c r="A1138" t="str">
        <f>"20190312172914487"</f>
        <v>20190312172914487</v>
      </c>
      <c r="B1138" t="str">
        <f>"1552382954478823"</f>
        <v>1552382954478823</v>
      </c>
      <c r="C1138" t="s">
        <v>40</v>
      </c>
      <c r="D1138">
        <v>3.3517899999999998</v>
      </c>
      <c r="E1138">
        <v>0.53485969999999905</v>
      </c>
      <c r="F1138" t="s">
        <v>41</v>
      </c>
      <c r="G1138">
        <v>-225.00020000000001</v>
      </c>
      <c r="H1138" s="1">
        <v>-3.1951909999999999E-6</v>
      </c>
      <c r="I1138">
        <v>363.95</v>
      </c>
      <c r="J1138">
        <v>-242.7775</v>
      </c>
      <c r="K1138">
        <v>1.1103069999999999</v>
      </c>
      <c r="L1138">
        <v>367.11599999999999</v>
      </c>
      <c r="M1138">
        <v>0.99987979999999999</v>
      </c>
      <c r="N1138">
        <v>0</v>
      </c>
      <c r="O1138">
        <v>-4.9909769999999997E-3</v>
      </c>
      <c r="P1138">
        <v>0.97949339999999996</v>
      </c>
      <c r="Q1138">
        <v>0.1778884</v>
      </c>
      <c r="R1138">
        <v>-9.4597399999999998E-2</v>
      </c>
      <c r="S1138">
        <v>3.0454859999999999</v>
      </c>
      <c r="T1138">
        <v>-0.18826119999999999</v>
      </c>
      <c r="U1138">
        <v>-0.53695680000000001</v>
      </c>
      <c r="V1138">
        <v>8.9657730000000005E-2</v>
      </c>
      <c r="W1138">
        <v>0.19228200000000001</v>
      </c>
      <c r="X1138">
        <v>0.97723539999999998</v>
      </c>
      <c r="Y1138">
        <v>0.1684138</v>
      </c>
      <c r="Z1138">
        <v>-4.854845E-3</v>
      </c>
      <c r="AA1138">
        <v>0.98570440000000004</v>
      </c>
      <c r="AB1138">
        <v>35</v>
      </c>
      <c r="AC1138">
        <v>17.777299999999901</v>
      </c>
      <c r="AD1138">
        <v>-1.1103101951909999</v>
      </c>
      <c r="AE1138">
        <v>-3.1659999999999902</v>
      </c>
      <c r="AF1138">
        <v>3.0656340116290899</v>
      </c>
      <c r="AG1138">
        <v>-1.1103101951909999</v>
      </c>
      <c r="AH1138">
        <v>17.7258617554306</v>
      </c>
      <c r="AI1138">
        <v>93.531906886303204</v>
      </c>
      <c r="AJ1138">
        <v>80.187928944991</v>
      </c>
      <c r="AK1138">
        <v>18.023237100905</v>
      </c>
      <c r="AL1138">
        <v>78.914010301078306</v>
      </c>
      <c r="AM1138">
        <v>84.757999458229506</v>
      </c>
      <c r="AN1138">
        <v>0.99999995154295496</v>
      </c>
    </row>
    <row r="1139" spans="1:40" x14ac:dyDescent="0.25">
      <c r="A1139" t="str">
        <f>"20190312172914498"</f>
        <v>20190312172914498</v>
      </c>
      <c r="B1139" t="str">
        <f>"1552382954488583"</f>
        <v>1552382954488583</v>
      </c>
      <c r="C1139" t="s">
        <v>40</v>
      </c>
      <c r="D1139">
        <v>3.3549660000000001</v>
      </c>
      <c r="E1139">
        <v>0.53481540000000005</v>
      </c>
      <c r="F1139" t="s">
        <v>41</v>
      </c>
      <c r="G1139">
        <v>-224.78540000000001</v>
      </c>
      <c r="H1139" s="1">
        <v>-3.2763599999999998E-6</v>
      </c>
      <c r="I1139">
        <v>363.91980000000001</v>
      </c>
      <c r="J1139">
        <v>-242.59739999999999</v>
      </c>
      <c r="K1139">
        <v>1.1103069999999999</v>
      </c>
      <c r="L1139">
        <v>367.11509999999998</v>
      </c>
      <c r="M1139">
        <v>0.99988010000000005</v>
      </c>
      <c r="N1139">
        <v>0</v>
      </c>
      <c r="O1139">
        <v>-4.9265960000000001E-3</v>
      </c>
      <c r="P1139">
        <v>0.9793925</v>
      </c>
      <c r="Q1139">
        <v>0.1775485</v>
      </c>
      <c r="R1139">
        <v>-9.6266989999999997E-2</v>
      </c>
      <c r="S1139">
        <v>3.044708</v>
      </c>
      <c r="T1139">
        <v>-0.18789040000000001</v>
      </c>
      <c r="U1139">
        <v>-0.54086299999999998</v>
      </c>
      <c r="V1139">
        <v>9.139092E-2</v>
      </c>
      <c r="W1139">
        <v>0.1919399</v>
      </c>
      <c r="X1139">
        <v>0.97714219999999896</v>
      </c>
      <c r="Y1139">
        <v>0.16974500000000001</v>
      </c>
      <c r="Z1139">
        <v>-4.8906380000000001E-3</v>
      </c>
      <c r="AA1139">
        <v>0.98547589999999996</v>
      </c>
      <c r="AB1139">
        <v>35</v>
      </c>
      <c r="AC1139">
        <v>17.811999999999902</v>
      </c>
      <c r="AD1139">
        <v>-1.1103102763599999</v>
      </c>
      <c r="AE1139">
        <v>-3.1952999999999698</v>
      </c>
      <c r="AF1139">
        <v>3.0958449143653102</v>
      </c>
      <c r="AG1139">
        <v>-1.1103102763599999</v>
      </c>
      <c r="AH1139">
        <v>17.760667371788099</v>
      </c>
      <c r="AI1139">
        <v>93.524196012546298</v>
      </c>
      <c r="AJ1139">
        <v>80.112171588003804</v>
      </c>
      <c r="AK1139">
        <v>18.062623013695699</v>
      </c>
      <c r="AL1139">
        <v>78.933984348093503</v>
      </c>
      <c r="AM1139">
        <v>84.656739632231705</v>
      </c>
      <c r="AN1139">
        <v>1.00000005224564</v>
      </c>
    </row>
    <row r="1140" spans="1:40" x14ac:dyDescent="0.25">
      <c r="A1140" t="str">
        <f>"20190312172914510"</f>
        <v>20190312172914510</v>
      </c>
      <c r="B1140" t="str">
        <f>"1552382954498343"</f>
        <v>1552382954498343</v>
      </c>
      <c r="C1140" t="s">
        <v>40</v>
      </c>
      <c r="D1140">
        <v>3.37879</v>
      </c>
      <c r="E1140">
        <v>0.53481540000000005</v>
      </c>
      <c r="F1140" t="s">
        <v>41</v>
      </c>
      <c r="G1140">
        <v>-224.74799999999999</v>
      </c>
      <c r="H1140" s="1">
        <v>-3.2893119999999999E-6</v>
      </c>
      <c r="I1140">
        <v>363.91890000000001</v>
      </c>
      <c r="J1140">
        <v>-242.4315</v>
      </c>
      <c r="K1140">
        <v>1.110303</v>
      </c>
      <c r="L1140">
        <v>367.11439999999999</v>
      </c>
      <c r="M1140">
        <v>0.9998804</v>
      </c>
      <c r="N1140">
        <v>0</v>
      </c>
      <c r="O1140">
        <v>-4.8673420000000002E-3</v>
      </c>
      <c r="P1140">
        <v>0.97929540000000004</v>
      </c>
      <c r="Q1140">
        <v>0.1773188</v>
      </c>
      <c r="R1140">
        <v>-9.7667169999999998E-2</v>
      </c>
      <c r="S1140">
        <v>3.0438689999999999</v>
      </c>
      <c r="T1140">
        <v>-0.1893408</v>
      </c>
      <c r="U1140">
        <v>-0.54504390000000003</v>
      </c>
      <c r="V1140">
        <v>9.2849959999999995E-2</v>
      </c>
      <c r="W1140">
        <v>0.1917073</v>
      </c>
      <c r="X1140">
        <v>0.97705019999999998</v>
      </c>
      <c r="Y1140">
        <v>0.17115439999999901</v>
      </c>
      <c r="Z1140">
        <v>-4.9761680000000004E-3</v>
      </c>
      <c r="AA1140">
        <v>0.98523159999999999</v>
      </c>
      <c r="AB1140">
        <v>35</v>
      </c>
      <c r="AC1140">
        <v>17.683499999999999</v>
      </c>
      <c r="AD1140">
        <v>-1.1103062893119999</v>
      </c>
      <c r="AE1140">
        <v>-3.19549999999998</v>
      </c>
      <c r="AF1140">
        <v>3.0975558903224898</v>
      </c>
      <c r="AG1140">
        <v>-1.1103062893119999</v>
      </c>
      <c r="AH1140">
        <v>17.6315350231583</v>
      </c>
      <c r="AI1140">
        <v>93.549102754731393</v>
      </c>
      <c r="AJ1140">
        <v>80.035804726124596</v>
      </c>
      <c r="AK1140">
        <v>17.9359599637882</v>
      </c>
      <c r="AL1140">
        <v>78.947562359200802</v>
      </c>
      <c r="AM1140">
        <v>84.571432893600004</v>
      </c>
      <c r="AN1140">
        <v>0.99999994863266395</v>
      </c>
    </row>
    <row r="1141" spans="1:40" x14ac:dyDescent="0.25">
      <c r="A1141" t="str">
        <f>"20190312172914521"</f>
        <v>20190312172914521</v>
      </c>
      <c r="B1141" t="str">
        <f>"1552382954518839"</f>
        <v>1552382954518839</v>
      </c>
      <c r="C1141" t="s">
        <v>40</v>
      </c>
      <c r="D1141">
        <v>3.3139379999999998</v>
      </c>
      <c r="E1141">
        <v>0.53470410000000002</v>
      </c>
      <c r="F1141" t="s">
        <v>41</v>
      </c>
      <c r="G1141">
        <v>-224.65549999999999</v>
      </c>
      <c r="H1141" s="1">
        <v>-3.323976E-6</v>
      </c>
      <c r="I1141">
        <v>363.90699999999998</v>
      </c>
      <c r="J1141">
        <v>-242.24700000000001</v>
      </c>
      <c r="K1141">
        <v>1.110298</v>
      </c>
      <c r="L1141">
        <v>367.11349999999999</v>
      </c>
      <c r="M1141">
        <v>0.99988089999999996</v>
      </c>
      <c r="N1141">
        <v>0</v>
      </c>
      <c r="O1141">
        <v>-4.8014119999999997E-3</v>
      </c>
      <c r="P1141">
        <v>0.97921659999999999</v>
      </c>
      <c r="Q1141">
        <v>0.17698599999999901</v>
      </c>
      <c r="R1141">
        <v>-9.9051349999999996E-2</v>
      </c>
      <c r="S1141">
        <v>3.0430760000000001</v>
      </c>
      <c r="T1141">
        <v>-0.19007189999999999</v>
      </c>
      <c r="U1141">
        <v>-0.54907229999999996</v>
      </c>
      <c r="V1141">
        <v>9.4299160000000007E-2</v>
      </c>
      <c r="W1141">
        <v>0.19137180000000001</v>
      </c>
      <c r="X1141">
        <v>0.97697719999999999</v>
      </c>
      <c r="Y1141">
        <v>0.17252190000000001</v>
      </c>
      <c r="Z1141">
        <v>-5.0424550000000004E-3</v>
      </c>
      <c r="AA1141">
        <v>0.9849928</v>
      </c>
      <c r="AB1141">
        <v>35</v>
      </c>
      <c r="AC1141">
        <v>17.5915</v>
      </c>
      <c r="AD1141">
        <v>-1.110301323976</v>
      </c>
      <c r="AE1141">
        <v>-3.2065000000000001</v>
      </c>
      <c r="AF1141">
        <v>3.1099992856673802</v>
      </c>
      <c r="AG1141">
        <v>-1.110301323976</v>
      </c>
      <c r="AH1141">
        <v>17.5390725746282</v>
      </c>
      <c r="AI1141">
        <v>93.566752655560293</v>
      </c>
      <c r="AJ1141">
        <v>79.944921238561093</v>
      </c>
      <c r="AK1141">
        <v>17.847238760238199</v>
      </c>
      <c r="AL1141">
        <v>78.967147995641</v>
      </c>
      <c r="AM1141">
        <v>84.486812549023597</v>
      </c>
      <c r="AN1141">
        <v>0.99999997336589197</v>
      </c>
    </row>
    <row r="1142" spans="1:40" x14ac:dyDescent="0.25">
      <c r="A1142" t="str">
        <f>"20190312172914533"</f>
        <v>20190312172914533</v>
      </c>
      <c r="B1142" t="str">
        <f>"1552382954528599"</f>
        <v>1552382954528599</v>
      </c>
      <c r="C1142" t="s">
        <v>40</v>
      </c>
      <c r="D1142">
        <v>3.3006030000000002</v>
      </c>
      <c r="E1142">
        <v>0.53251490000000001</v>
      </c>
      <c r="F1142" t="s">
        <v>41</v>
      </c>
      <c r="G1142">
        <v>-224.6105</v>
      </c>
      <c r="H1142" s="1">
        <v>-3.3377930000000001E-6</v>
      </c>
      <c r="I1142">
        <v>363.9126</v>
      </c>
      <c r="J1142">
        <v>-242.06219999999999</v>
      </c>
      <c r="K1142">
        <v>1.1102939999999999</v>
      </c>
      <c r="L1142">
        <v>367.11270000000002</v>
      </c>
      <c r="M1142">
        <v>0.99988120000000003</v>
      </c>
      <c r="N1142">
        <v>0</v>
      </c>
      <c r="O1142">
        <v>-4.7354780000000004E-3</v>
      </c>
      <c r="P1142">
        <v>0.97922189999999998</v>
      </c>
      <c r="Q1142">
        <v>0.1763325</v>
      </c>
      <c r="R1142">
        <v>-0.10015830000000001</v>
      </c>
      <c r="S1142">
        <v>3.042465</v>
      </c>
      <c r="T1142">
        <v>-0.19153690000000001</v>
      </c>
      <c r="U1142">
        <v>-0.55218509999999998</v>
      </c>
      <c r="V1142">
        <v>9.5470990000000006E-2</v>
      </c>
      <c r="W1142">
        <v>0.19071650000000001</v>
      </c>
      <c r="X1142">
        <v>0.97699150000000001</v>
      </c>
      <c r="Y1142">
        <v>0.17358999999999999</v>
      </c>
      <c r="Z1142">
        <v>-5.1192159999999898E-3</v>
      </c>
      <c r="AA1142">
        <v>0.98480469999999998</v>
      </c>
      <c r="AB1142">
        <v>35</v>
      </c>
      <c r="AC1142">
        <v>17.451699999999899</v>
      </c>
      <c r="AD1142">
        <v>-1.1102973377930001</v>
      </c>
      <c r="AE1142">
        <v>-3.2001000000000199</v>
      </c>
      <c r="AF1142">
        <v>3.1052529693875099</v>
      </c>
      <c r="AG1142">
        <v>-1.1102973377930001</v>
      </c>
      <c r="AH1142">
        <v>17.398527629756099</v>
      </c>
      <c r="AI1142">
        <v>93.594759668877998</v>
      </c>
      <c r="AJ1142">
        <v>79.880520680495493</v>
      </c>
      <c r="AK1142">
        <v>17.7083065216747</v>
      </c>
      <c r="AL1142">
        <v>79.005398092627402</v>
      </c>
      <c r="AM1142">
        <v>84.418812794649</v>
      </c>
      <c r="AN1142">
        <v>0.999999942188038</v>
      </c>
    </row>
    <row r="1143" spans="1:40" x14ac:dyDescent="0.25">
      <c r="A1143" t="str">
        <f>"20190312172914546"</f>
        <v>20190312172914546</v>
      </c>
      <c r="B1143" t="str">
        <f>"1552382954538359"</f>
        <v>1552382954538359</v>
      </c>
      <c r="C1143" t="s">
        <v>40</v>
      </c>
      <c r="D1143">
        <v>3.3152439999999999</v>
      </c>
      <c r="E1143">
        <v>0.53241359999999904</v>
      </c>
      <c r="F1143" t="s">
        <v>41</v>
      </c>
      <c r="G1143">
        <v>-224.99709999999999</v>
      </c>
      <c r="H1143" s="1">
        <v>-3.1570020000000001E-6</v>
      </c>
      <c r="I1143">
        <v>364.0976</v>
      </c>
      <c r="J1143">
        <v>-241.8742</v>
      </c>
      <c r="K1143">
        <v>1.1102909999999999</v>
      </c>
      <c r="L1143">
        <v>367.11180000000002</v>
      </c>
      <c r="M1143">
        <v>0.99988149999999998</v>
      </c>
      <c r="N1143">
        <v>0</v>
      </c>
      <c r="O1143">
        <v>-4.6685909999999997E-3</v>
      </c>
      <c r="P1143">
        <v>0.97920680000000004</v>
      </c>
      <c r="Q1143">
        <v>0.17577690000000001</v>
      </c>
      <c r="R1143">
        <v>-0.101275</v>
      </c>
      <c r="S1143">
        <v>3.0443120000000001</v>
      </c>
      <c r="T1143">
        <v>-0.19806969999999999</v>
      </c>
      <c r="U1143">
        <v>-0.53787229999999997</v>
      </c>
      <c r="V1143">
        <v>9.6653569999999994E-2</v>
      </c>
      <c r="W1143">
        <v>0.19015899999999999</v>
      </c>
      <c r="X1143">
        <v>0.97698399999999996</v>
      </c>
      <c r="Y1143">
        <v>0.16904959999999999</v>
      </c>
      <c r="Z1143">
        <v>-5.1503749999999996E-3</v>
      </c>
      <c r="AA1143">
        <v>0.98559410000000003</v>
      </c>
      <c r="AB1143">
        <v>35</v>
      </c>
      <c r="AC1143">
        <v>16.877099999999999</v>
      </c>
      <c r="AD1143">
        <v>-1.110294157002</v>
      </c>
      <c r="AE1143">
        <v>-3.01420000000001</v>
      </c>
      <c r="AF1143">
        <v>2.9231064358343</v>
      </c>
      <c r="AG1143">
        <v>-1.110294157002</v>
      </c>
      <c r="AH1143">
        <v>16.820442127289901</v>
      </c>
      <c r="AI1143">
        <v>93.720927830379495</v>
      </c>
      <c r="AJ1143">
        <v>80.141426930427798</v>
      </c>
      <c r="AK1143">
        <v>17.108611215051798</v>
      </c>
      <c r="AL1143">
        <v>79.037937122599402</v>
      </c>
      <c r="AM1143">
        <v>84.350081231268106</v>
      </c>
      <c r="AN1143">
        <v>1.00000004706537</v>
      </c>
    </row>
    <row r="1144" spans="1:40" x14ac:dyDescent="0.25">
      <c r="A1144" t="str">
        <f>"20190312172914558"</f>
        <v>20190312172914558</v>
      </c>
      <c r="B1144" t="str">
        <f>"1552382954548120"</f>
        <v>1552382954548120</v>
      </c>
      <c r="C1144" t="s">
        <v>40</v>
      </c>
      <c r="D1144">
        <v>3.3004950000000002</v>
      </c>
      <c r="E1144">
        <v>0.53215239999999997</v>
      </c>
      <c r="F1144" t="s">
        <v>41</v>
      </c>
      <c r="G1144">
        <v>-224.76259999999999</v>
      </c>
      <c r="H1144" s="1">
        <v>-3.242941E-6</v>
      </c>
      <c r="I1144">
        <v>364.07440000000003</v>
      </c>
      <c r="J1144">
        <v>-241.66229999999999</v>
      </c>
      <c r="K1144">
        <v>1.1102860000000001</v>
      </c>
      <c r="L1144">
        <v>367.11090000000002</v>
      </c>
      <c r="M1144">
        <v>0.99988180000000004</v>
      </c>
      <c r="N1144">
        <v>0</v>
      </c>
      <c r="O1144">
        <v>-4.5928829999999999E-3</v>
      </c>
      <c r="P1144">
        <v>0.97914760000000001</v>
      </c>
      <c r="Q1144">
        <v>0.17540810000000001</v>
      </c>
      <c r="R1144">
        <v>-0.102479399999999</v>
      </c>
      <c r="S1144">
        <v>3.0432739999999998</v>
      </c>
      <c r="T1144">
        <v>-0.19746340000000001</v>
      </c>
      <c r="U1144">
        <v>-0.54019169999999905</v>
      </c>
      <c r="V1144">
        <v>9.7932389999999994E-2</v>
      </c>
      <c r="W1144">
        <v>0.18978729999999999</v>
      </c>
      <c r="X1144">
        <v>0.97692889999999999</v>
      </c>
      <c r="Y1144">
        <v>0.16991010000000001</v>
      </c>
      <c r="Z1144">
        <v>-5.168565E-3</v>
      </c>
      <c r="AA1144">
        <v>0.98544600000000004</v>
      </c>
      <c r="AB1144">
        <v>35</v>
      </c>
      <c r="AC1144">
        <v>16.8996999999999</v>
      </c>
      <c r="AD1144">
        <v>-1.1102892429410001</v>
      </c>
      <c r="AE1144">
        <v>-3.0364999999999802</v>
      </c>
      <c r="AF1144">
        <v>2.9465208716413001</v>
      </c>
      <c r="AG1144">
        <v>-1.1102892429410001</v>
      </c>
      <c r="AH1144">
        <v>16.843043087621002</v>
      </c>
      <c r="AI1144">
        <v>93.7152070866982</v>
      </c>
      <c r="AJ1144">
        <v>80.077093706474798</v>
      </c>
      <c r="AK1144">
        <v>17.134842511720599</v>
      </c>
      <c r="AL1144">
        <v>79.059628731320501</v>
      </c>
      <c r="AM1144">
        <v>84.275499868442395</v>
      </c>
      <c r="AN1144">
        <v>1.0000000239538001</v>
      </c>
    </row>
    <row r="1145" spans="1:40" x14ac:dyDescent="0.25">
      <c r="A1145" t="str">
        <f>"20190312172914574"</f>
        <v>20190312172914574</v>
      </c>
      <c r="B1145" t="str">
        <f>"1552382954568616"</f>
        <v>1552382954568616</v>
      </c>
      <c r="C1145" t="s">
        <v>40</v>
      </c>
      <c r="D1145">
        <v>3.2874889999999999</v>
      </c>
      <c r="E1145">
        <v>0.52765039999999996</v>
      </c>
      <c r="F1145" t="s">
        <v>41</v>
      </c>
      <c r="G1145">
        <v>-224.74209999999999</v>
      </c>
      <c r="H1145" s="1">
        <v>-3.24387E-6</v>
      </c>
      <c r="I1145">
        <v>364.09730000000002</v>
      </c>
      <c r="J1145">
        <v>-241.4385</v>
      </c>
      <c r="K1145">
        <v>1.1102730000000001</v>
      </c>
      <c r="L1145">
        <v>367.11</v>
      </c>
      <c r="M1145">
        <v>0.9998823</v>
      </c>
      <c r="N1145">
        <v>0</v>
      </c>
      <c r="O1145">
        <v>-4.5131219999999996E-3</v>
      </c>
      <c r="P1145">
        <v>0.97898289999999999</v>
      </c>
      <c r="Q1145">
        <v>0.17488190000000001</v>
      </c>
      <c r="R1145">
        <v>-0.104924</v>
      </c>
      <c r="S1145">
        <v>3.042923</v>
      </c>
      <c r="T1145">
        <v>-0.1996725</v>
      </c>
      <c r="U1145">
        <v>-0.54196169999999899</v>
      </c>
      <c r="V1145">
        <v>0.100456</v>
      </c>
      <c r="W1145">
        <v>0.1892568</v>
      </c>
      <c r="X1145">
        <v>0.97677550000000002</v>
      </c>
      <c r="Y1145">
        <v>0.1705547</v>
      </c>
      <c r="Z1145">
        <v>-5.2527440000000002E-3</v>
      </c>
      <c r="AA1145">
        <v>0.98533419999999905</v>
      </c>
      <c r="AB1145">
        <v>35</v>
      </c>
      <c r="AC1145">
        <v>16.696400000000001</v>
      </c>
      <c r="AD1145">
        <v>-1.11027624387</v>
      </c>
      <c r="AE1145">
        <v>-3.0126999999999899</v>
      </c>
      <c r="AF1145">
        <v>2.9247828118808599</v>
      </c>
      <c r="AG1145">
        <v>-1.11027624387</v>
      </c>
      <c r="AH1145">
        <v>16.638572672229799</v>
      </c>
      <c r="AI1145">
        <v>93.760150925154406</v>
      </c>
      <c r="AJ1145">
        <v>80.030215445769699</v>
      </c>
      <c r="AK1145">
        <v>16.9301260598805</v>
      </c>
      <c r="AL1145">
        <v>79.090584485366506</v>
      </c>
      <c r="AM1145">
        <v>84.128087817002495</v>
      </c>
      <c r="AN1145">
        <v>0.99999996084124398</v>
      </c>
    </row>
    <row r="1146" spans="1:40" x14ac:dyDescent="0.25">
      <c r="A1146" t="str">
        <f>"20190312172914588"</f>
        <v>20190312172914588</v>
      </c>
      <c r="B1146" t="str">
        <f>"1552382954578375"</f>
        <v>1552382954578375</v>
      </c>
      <c r="C1146" t="s">
        <v>40</v>
      </c>
      <c r="D1146">
        <v>3.2877429999999999</v>
      </c>
      <c r="E1146">
        <v>0.52536329999999998</v>
      </c>
      <c r="F1146" t="s">
        <v>41</v>
      </c>
      <c r="G1146">
        <v>-223.53710000000001</v>
      </c>
      <c r="H1146" s="1">
        <v>-3.7352139999999998E-6</v>
      </c>
      <c r="I1146">
        <v>364.08980000000003</v>
      </c>
      <c r="J1146">
        <v>-241.20689999999999</v>
      </c>
      <c r="K1146">
        <v>1.1102719999999999</v>
      </c>
      <c r="L1146">
        <v>367.10899999999998</v>
      </c>
      <c r="M1146">
        <v>0.99988270000000001</v>
      </c>
      <c r="N1146">
        <v>0</v>
      </c>
      <c r="O1146">
        <v>-4.4305009999999999E-3</v>
      </c>
      <c r="P1146">
        <v>0.97882539999999996</v>
      </c>
      <c r="Q1146">
        <v>0.17512230000000001</v>
      </c>
      <c r="R1146">
        <v>-0.1059871</v>
      </c>
      <c r="S1146">
        <v>3.0431210000000002</v>
      </c>
      <c r="T1146">
        <v>-0.1887385</v>
      </c>
      <c r="U1146">
        <v>-0.5133972</v>
      </c>
      <c r="V1146">
        <v>0.10160089999999999</v>
      </c>
      <c r="W1146">
        <v>0.18949279999999999</v>
      </c>
      <c r="X1146">
        <v>0.97661140000000002</v>
      </c>
      <c r="Y1146">
        <v>0.161692</v>
      </c>
      <c r="Z1146">
        <v>-4.7017140000000001E-3</v>
      </c>
      <c r="AA1146">
        <v>0.98683010000000004</v>
      </c>
      <c r="AB1146">
        <v>35</v>
      </c>
      <c r="AC1146">
        <v>17.669799999999899</v>
      </c>
      <c r="AD1146">
        <v>-1.110275735214</v>
      </c>
      <c r="AE1146">
        <v>-3.0192000000000099</v>
      </c>
      <c r="AF1146">
        <v>2.92963722594228</v>
      </c>
      <c r="AG1146">
        <v>-1.110275735214</v>
      </c>
      <c r="AH1146">
        <v>17.615428366492601</v>
      </c>
      <c r="AI1146">
        <v>93.557762990543907</v>
      </c>
      <c r="AJ1146">
        <v>80.557513591435793</v>
      </c>
      <c r="AK1146">
        <v>17.891864157176698</v>
      </c>
      <c r="AL1146">
        <v>79.076814427687907</v>
      </c>
      <c r="AM1146">
        <v>84.060650333601401</v>
      </c>
      <c r="AN1146">
        <v>1.0000000453713001</v>
      </c>
    </row>
    <row r="1147" spans="1:40" x14ac:dyDescent="0.25">
      <c r="A1147" t="str">
        <f>"20190312172914599"</f>
        <v>20190312172914599</v>
      </c>
      <c r="B1147" t="str">
        <f>"1552382954588179"</f>
        <v>1552382954588179</v>
      </c>
      <c r="C1147" t="s">
        <v>40</v>
      </c>
      <c r="D1147">
        <v>3.2696139999999998</v>
      </c>
      <c r="E1147">
        <v>0.52379449999999905</v>
      </c>
      <c r="F1147" t="s">
        <v>41</v>
      </c>
      <c r="G1147">
        <v>-222.60730000000001</v>
      </c>
      <c r="H1147" s="1">
        <v>-4.1386599999999996E-6</v>
      </c>
      <c r="I1147">
        <v>364.06389999999999</v>
      </c>
      <c r="J1147">
        <v>-241.01779999999999</v>
      </c>
      <c r="K1147">
        <v>1.110274</v>
      </c>
      <c r="L1147">
        <v>367.10820000000001</v>
      </c>
      <c r="M1147">
        <v>0.99988299999999997</v>
      </c>
      <c r="N1147">
        <v>0</v>
      </c>
      <c r="O1147">
        <v>-4.3625479999999999E-3</v>
      </c>
      <c r="P1147">
        <v>0.97866940000000002</v>
      </c>
      <c r="Q1147">
        <v>0.17524600000000001</v>
      </c>
      <c r="R1147">
        <v>-0.10721609999999999</v>
      </c>
      <c r="S1147">
        <v>3.043488</v>
      </c>
      <c r="T1147">
        <v>-0.18167610000000001</v>
      </c>
      <c r="U1147">
        <v>-0.4982605</v>
      </c>
      <c r="V1147">
        <v>0.1028973</v>
      </c>
      <c r="W1147">
        <v>0.18961259999999999</v>
      </c>
      <c r="X1147">
        <v>0.9764524</v>
      </c>
      <c r="Y1147">
        <v>0.15699109999999999</v>
      </c>
      <c r="Z1147">
        <v>-4.3921530000000002E-3</v>
      </c>
      <c r="AA1147">
        <v>0.98759030000000003</v>
      </c>
      <c r="AB1147">
        <v>35</v>
      </c>
      <c r="AC1147">
        <v>18.4104999999999</v>
      </c>
      <c r="AD1147">
        <v>-1.11027813866</v>
      </c>
      <c r="AE1147">
        <v>-3.0443000000000202</v>
      </c>
      <c r="AF1147">
        <v>2.95349001516733</v>
      </c>
      <c r="AG1147">
        <v>-1.11027813866</v>
      </c>
      <c r="AH1147">
        <v>18.358615545060999</v>
      </c>
      <c r="AI1147">
        <v>93.417043835184302</v>
      </c>
      <c r="AJ1147">
        <v>80.860702113686898</v>
      </c>
      <c r="AK1147">
        <v>18.6277906780766</v>
      </c>
      <c r="AL1147">
        <v>79.069823605775298</v>
      </c>
      <c r="AM1147">
        <v>83.984445696946295</v>
      </c>
      <c r="AN1147">
        <v>1.0000000409459</v>
      </c>
    </row>
    <row r="1148" spans="1:40" x14ac:dyDescent="0.25">
      <c r="A1148" t="str">
        <f>"20190312172914612"</f>
        <v>20190312172914612</v>
      </c>
      <c r="B1148" t="str">
        <f>"1552382954608675"</f>
        <v>1552382954608675</v>
      </c>
      <c r="C1148" t="s">
        <v>40</v>
      </c>
      <c r="D1148">
        <v>3.256669</v>
      </c>
      <c r="E1148">
        <v>0.52156069999999999</v>
      </c>
      <c r="F1148" t="s">
        <v>41</v>
      </c>
      <c r="G1148">
        <v>-221.8605</v>
      </c>
      <c r="H1148" s="1">
        <v>-4.4653770000000001E-6</v>
      </c>
      <c r="I1148">
        <v>364.02820000000003</v>
      </c>
      <c r="J1148">
        <v>-240.8347</v>
      </c>
      <c r="K1148">
        <v>1.1102749999999999</v>
      </c>
      <c r="L1148">
        <v>367.10750000000002</v>
      </c>
      <c r="M1148">
        <v>0.99988319999999997</v>
      </c>
      <c r="N1148">
        <v>0</v>
      </c>
      <c r="O1148">
        <v>-4.2968570000000003E-3</v>
      </c>
      <c r="P1148">
        <v>0.97845289999999996</v>
      </c>
      <c r="Q1148">
        <v>0.17585290000000001</v>
      </c>
      <c r="R1148">
        <v>-0.10819230000000001</v>
      </c>
      <c r="S1148">
        <v>3.0433810000000001</v>
      </c>
      <c r="T1148">
        <v>-0.17638099999999901</v>
      </c>
      <c r="U1148">
        <v>-0.48928830000000001</v>
      </c>
      <c r="V1148">
        <v>0.1039388</v>
      </c>
      <c r="W1148">
        <v>0.1902152</v>
      </c>
      <c r="X1148">
        <v>0.9762248</v>
      </c>
      <c r="Y1148">
        <v>0.15424350000000001</v>
      </c>
      <c r="Z1148">
        <v>-4.190231E-3</v>
      </c>
      <c r="AA1148">
        <v>0.98802400000000001</v>
      </c>
      <c r="AB1148">
        <v>35</v>
      </c>
      <c r="AC1148">
        <v>18.9742</v>
      </c>
      <c r="AD1148">
        <v>-1.1102794653769901</v>
      </c>
      <c r="AE1148">
        <v>-3.0792999999999799</v>
      </c>
      <c r="AF1148">
        <v>2.9877656956045402</v>
      </c>
      <c r="AG1148">
        <v>-1.1102794653769901</v>
      </c>
      <c r="AH1148">
        <v>18.924123554779001</v>
      </c>
      <c r="AI1148">
        <v>93.316708627087493</v>
      </c>
      <c r="AJ1148">
        <v>81.028123153571102</v>
      </c>
      <c r="AK1148">
        <v>19.1906726473985</v>
      </c>
      <c r="AL1148">
        <v>79.034656471564503</v>
      </c>
      <c r="AM1148">
        <v>83.922605035895501</v>
      </c>
      <c r="AN1148">
        <v>0.99999997829575904</v>
      </c>
    </row>
    <row r="1149" spans="1:40" x14ac:dyDescent="0.25">
      <c r="A1149" t="str">
        <f>"20190312172914624"</f>
        <v>20190312172914624</v>
      </c>
      <c r="B1149" t="str">
        <f>"1552382954618435"</f>
        <v>1552382954618435</v>
      </c>
      <c r="C1149" t="s">
        <v>40</v>
      </c>
      <c r="D1149">
        <v>3.2696160000000001</v>
      </c>
      <c r="E1149">
        <v>0.52064330000000003</v>
      </c>
      <c r="F1149" t="s">
        <v>41</v>
      </c>
      <c r="G1149">
        <v>-220.70699999999999</v>
      </c>
      <c r="H1149" s="1">
        <v>-4.9707669999999996E-6</v>
      </c>
      <c r="I1149">
        <v>363.96890000000002</v>
      </c>
      <c r="J1149">
        <v>-240.65719999999999</v>
      </c>
      <c r="K1149">
        <v>1.110276</v>
      </c>
      <c r="L1149">
        <v>367.10669999999999</v>
      </c>
      <c r="M1149">
        <v>0.99988359999999998</v>
      </c>
      <c r="N1149">
        <v>0</v>
      </c>
      <c r="O1149">
        <v>-4.233311E-3</v>
      </c>
      <c r="P1149">
        <v>0.97817460000000001</v>
      </c>
      <c r="Q1149">
        <v>0.17680499999999999</v>
      </c>
      <c r="R1149">
        <v>-0.1091553</v>
      </c>
      <c r="S1149">
        <v>3.0437319999999999</v>
      </c>
      <c r="T1149">
        <v>-0.16789660000000001</v>
      </c>
      <c r="U1149">
        <v>-0.47460940000000001</v>
      </c>
      <c r="V1149">
        <v>0.1049648</v>
      </c>
      <c r="W1149">
        <v>0.19116069999999999</v>
      </c>
      <c r="X1149">
        <v>0.97593030000000003</v>
      </c>
      <c r="Y1149">
        <v>0.14966789999999999</v>
      </c>
      <c r="Z1149">
        <v>-3.8681520000000001E-3</v>
      </c>
      <c r="AA1149">
        <v>0.98872879999999996</v>
      </c>
      <c r="AB1149">
        <v>35</v>
      </c>
      <c r="AC1149">
        <v>19.950199999999899</v>
      </c>
      <c r="AD1149">
        <v>-1.1102809707670001</v>
      </c>
      <c r="AE1149">
        <v>-3.1377999999999702</v>
      </c>
      <c r="AF1149">
        <v>3.0441067514390099</v>
      </c>
      <c r="AG1149">
        <v>-1.1102809707670001</v>
      </c>
      <c r="AH1149">
        <v>19.9031496992041</v>
      </c>
      <c r="AI1149">
        <v>93.156261633384602</v>
      </c>
      <c r="AJ1149">
        <v>81.304228147478398</v>
      </c>
      <c r="AK1149">
        <v>20.1651847920403</v>
      </c>
      <c r="AL1149">
        <v>78.979470779349796</v>
      </c>
      <c r="AM1149">
        <v>83.8612317010071</v>
      </c>
      <c r="AN1149">
        <v>0.99999998646081001</v>
      </c>
    </row>
    <row r="1150" spans="1:40" x14ac:dyDescent="0.25">
      <c r="A1150" t="str">
        <f>"20190312172914635"</f>
        <v>20190312172914635</v>
      </c>
      <c r="B1150" t="str">
        <f>"1552382954628195"</f>
        <v>1552382954628195</v>
      </c>
      <c r="C1150" t="s">
        <v>40</v>
      </c>
      <c r="D1150">
        <v>3.2670979999999998</v>
      </c>
      <c r="E1150">
        <v>0.51986829999999995</v>
      </c>
      <c r="F1150" t="s">
        <v>41</v>
      </c>
      <c r="G1150">
        <v>-219.8904</v>
      </c>
      <c r="H1150" s="1">
        <v>-1.5447640000000001E-6</v>
      </c>
      <c r="I1150">
        <v>363.89850000000001</v>
      </c>
      <c r="J1150">
        <v>-240.47409999999999</v>
      </c>
      <c r="K1150">
        <v>1.110277</v>
      </c>
      <c r="L1150">
        <v>367.10599999999999</v>
      </c>
      <c r="M1150">
        <v>0.99988390000000005</v>
      </c>
      <c r="N1150">
        <v>0</v>
      </c>
      <c r="O1150">
        <v>-4.1678540000000004E-3</v>
      </c>
      <c r="P1150">
        <v>0.97791589999999995</v>
      </c>
      <c r="Q1150">
        <v>0.1775813</v>
      </c>
      <c r="R1150">
        <v>-0.1102066</v>
      </c>
      <c r="S1150">
        <v>3.0438839999999998</v>
      </c>
      <c r="T1150">
        <v>-0.16273779999999999</v>
      </c>
      <c r="U1150">
        <v>-0.47024539999999998</v>
      </c>
      <c r="V1150">
        <v>0.1060811</v>
      </c>
      <c r="W1150">
        <v>0.1919315</v>
      </c>
      <c r="X1150">
        <v>0.97565829999999998</v>
      </c>
      <c r="Y1150">
        <v>0.1483555</v>
      </c>
      <c r="Z1150">
        <v>-3.7183170000000001E-3</v>
      </c>
      <c r="AA1150">
        <v>0.98892709999999995</v>
      </c>
      <c r="AB1150">
        <v>35</v>
      </c>
      <c r="AC1150">
        <v>20.5837</v>
      </c>
      <c r="AD1150">
        <v>-1.110278544764</v>
      </c>
      <c r="AE1150">
        <v>-3.20749999999998</v>
      </c>
      <c r="AF1150">
        <v>3.1128310128172498</v>
      </c>
      <c r="AG1150">
        <v>-1.110278544764</v>
      </c>
      <c r="AH1150">
        <v>20.538550902177299</v>
      </c>
      <c r="AI1150">
        <v>93.059427592649996</v>
      </c>
      <c r="AJ1150">
        <v>81.381817404850594</v>
      </c>
      <c r="AK1150">
        <v>20.802752426605601</v>
      </c>
      <c r="AL1150">
        <v>78.934474270484401</v>
      </c>
      <c r="AM1150">
        <v>83.794736350492499</v>
      </c>
      <c r="AN1150">
        <v>1.0000000094141701</v>
      </c>
    </row>
    <row r="1151" spans="1:40" x14ac:dyDescent="0.25">
      <c r="A1151" t="str">
        <f>"20190312172914646"</f>
        <v>20190312172914646</v>
      </c>
      <c r="B1151" t="str">
        <f>"1552382954638931"</f>
        <v>1552382954638931</v>
      </c>
      <c r="C1151" t="s">
        <v>40</v>
      </c>
      <c r="D1151">
        <v>3.279741</v>
      </c>
      <c r="E1151">
        <v>0.51922860000000004</v>
      </c>
      <c r="F1151" t="s">
        <v>41</v>
      </c>
      <c r="G1151">
        <v>-219.2002</v>
      </c>
      <c r="H1151" s="1">
        <v>-1.794702E-6</v>
      </c>
      <c r="I1151">
        <v>363.84190000000001</v>
      </c>
      <c r="J1151">
        <v>-240.30670000000001</v>
      </c>
      <c r="K1151">
        <v>1.110279</v>
      </c>
      <c r="L1151">
        <v>367.1053</v>
      </c>
      <c r="M1151">
        <v>0.99988410000000005</v>
      </c>
      <c r="N1151">
        <v>0</v>
      </c>
      <c r="O1151">
        <v>-4.1078809999999999E-3</v>
      </c>
      <c r="P1151">
        <v>0.97773730000000003</v>
      </c>
      <c r="Q1151">
        <v>0.17798220000000001</v>
      </c>
      <c r="R1151">
        <v>-0.1111405</v>
      </c>
      <c r="S1151">
        <v>3.0439759999999998</v>
      </c>
      <c r="T1151">
        <v>-0.1588638</v>
      </c>
      <c r="U1151">
        <v>-0.46704099999999998</v>
      </c>
      <c r="V1151">
        <v>0.10707419999999999</v>
      </c>
      <c r="W1151">
        <v>0.19232830000000001</v>
      </c>
      <c r="X1151">
        <v>0.97547159999999999</v>
      </c>
      <c r="Y1151">
        <v>0.14740400000000001</v>
      </c>
      <c r="Z1151">
        <v>-3.6085399999999999E-3</v>
      </c>
      <c r="AA1151">
        <v>0.9890698</v>
      </c>
      <c r="AB1151">
        <v>35</v>
      </c>
      <c r="AC1151">
        <v>21.1065</v>
      </c>
      <c r="AD1151">
        <v>-1.1102807947019999</v>
      </c>
      <c r="AE1151">
        <v>-3.2633999999999901</v>
      </c>
      <c r="AF1151">
        <v>3.1680982198107399</v>
      </c>
      <c r="AG1151">
        <v>-1.1102807947019999</v>
      </c>
      <c r="AH1151">
        <v>21.0628057764415</v>
      </c>
      <c r="AI1151">
        <v>92.983928470329403</v>
      </c>
      <c r="AJ1151">
        <v>81.446150760018696</v>
      </c>
      <c r="AK1151">
        <v>21.328651081339999</v>
      </c>
      <c r="AL1151">
        <v>78.911307042841898</v>
      </c>
      <c r="AM1151">
        <v>83.735914857386405</v>
      </c>
      <c r="AN1151">
        <v>0.99999995084654303</v>
      </c>
    </row>
    <row r="1152" spans="1:40" x14ac:dyDescent="0.25">
      <c r="A1152" t="str">
        <f>"20190312172914656"</f>
        <v>20190312172914656</v>
      </c>
      <c r="B1152" t="str">
        <f>"1552382954648692"</f>
        <v>1552382954648692</v>
      </c>
      <c r="C1152" t="s">
        <v>40</v>
      </c>
      <c r="D1152">
        <v>3.2576480000000001</v>
      </c>
      <c r="E1152">
        <v>0.51863179999999998</v>
      </c>
      <c r="F1152" t="s">
        <v>41</v>
      </c>
      <c r="G1152">
        <v>-218.63550000000001</v>
      </c>
      <c r="H1152" s="1">
        <v>-1.9989090000000001E-6</v>
      </c>
      <c r="I1152">
        <v>363.79669999999999</v>
      </c>
      <c r="J1152">
        <v>-240.13570000000001</v>
      </c>
      <c r="K1152">
        <v>1.110277</v>
      </c>
      <c r="L1152">
        <v>367.10469999999998</v>
      </c>
      <c r="M1152">
        <v>0.99988440000000001</v>
      </c>
      <c r="N1152">
        <v>0</v>
      </c>
      <c r="O1152">
        <v>-4.0467180000000004E-3</v>
      </c>
      <c r="P1152">
        <v>0.97754730000000001</v>
      </c>
      <c r="Q1152">
        <v>0.178283</v>
      </c>
      <c r="R1152">
        <v>-0.1123237</v>
      </c>
      <c r="S1152">
        <v>3.0438689999999999</v>
      </c>
      <c r="T1152">
        <v>-0.1559461</v>
      </c>
      <c r="U1152">
        <v>-0.46472170000000002</v>
      </c>
      <c r="V1152">
        <v>0.108317899999999</v>
      </c>
      <c r="W1152">
        <v>0.1926245</v>
      </c>
      <c r="X1152">
        <v>0.97527589999999997</v>
      </c>
      <c r="Y1152">
        <v>0.14674089999999901</v>
      </c>
      <c r="Z1152">
        <v>-3.5289140000000002E-3</v>
      </c>
      <c r="AA1152">
        <v>0.98916859999999995</v>
      </c>
      <c r="AB1152">
        <v>35</v>
      </c>
      <c r="AC1152">
        <v>21.5002</v>
      </c>
      <c r="AD1152">
        <v>-1.1102789989090001</v>
      </c>
      <c r="AE1152">
        <v>-3.3079999999999901</v>
      </c>
      <c r="AF1152">
        <v>3.2125893191933401</v>
      </c>
      <c r="AG1152">
        <v>-1.1102789989090001</v>
      </c>
      <c r="AH1152">
        <v>21.457513732385699</v>
      </c>
      <c r="AI1152">
        <v>92.929428831781493</v>
      </c>
      <c r="AJ1152">
        <v>81.485002233089901</v>
      </c>
      <c r="AK1152">
        <v>21.725062604391599</v>
      </c>
      <c r="AL1152">
        <v>78.894013469465193</v>
      </c>
      <c r="AM1152">
        <v>83.662482890774399</v>
      </c>
      <c r="AN1152">
        <v>1.00000002329073</v>
      </c>
    </row>
    <row r="1153" spans="1:40" x14ac:dyDescent="0.25">
      <c r="A1153" t="str">
        <f>"20190312172914668"</f>
        <v>20190312172914668</v>
      </c>
      <c r="B1153" t="str">
        <f>"1552382954658452"</f>
        <v>1552382954658452</v>
      </c>
      <c r="C1153" t="s">
        <v>40</v>
      </c>
      <c r="D1153">
        <v>3.2691409999999999</v>
      </c>
      <c r="E1153">
        <v>0.5180823</v>
      </c>
      <c r="F1153" t="s">
        <v>41</v>
      </c>
      <c r="G1153">
        <v>-218.1841</v>
      </c>
      <c r="H1153" s="1">
        <v>-2.160994E-6</v>
      </c>
      <c r="I1153">
        <v>363.76479999999998</v>
      </c>
      <c r="J1153">
        <v>-239.96799999999999</v>
      </c>
      <c r="K1153">
        <v>1.110274</v>
      </c>
      <c r="L1153">
        <v>367.10410000000002</v>
      </c>
      <c r="M1153">
        <v>0.99988480000000002</v>
      </c>
      <c r="N1153">
        <v>0</v>
      </c>
      <c r="O1153">
        <v>-3.9867469999999997E-3</v>
      </c>
      <c r="P1153">
        <v>0.97744920000000002</v>
      </c>
      <c r="Q1153">
        <v>0.17813119999999999</v>
      </c>
      <c r="R1153">
        <v>-0.11341279999999999</v>
      </c>
      <c r="S1153">
        <v>3.0437620000000001</v>
      </c>
      <c r="T1153">
        <v>-0.15394829999999901</v>
      </c>
      <c r="U1153">
        <v>-0.46310420000000002</v>
      </c>
      <c r="V1153">
        <v>0.10946649999999999</v>
      </c>
      <c r="W1153">
        <v>0.19246920000000001</v>
      </c>
      <c r="X1153">
        <v>0.97517830000000005</v>
      </c>
      <c r="Y1153">
        <v>0.14629679999999901</v>
      </c>
      <c r="Z1153">
        <v>-3.475877E-3</v>
      </c>
      <c r="AA1153">
        <v>0.98923459999999996</v>
      </c>
      <c r="AB1153">
        <v>35</v>
      </c>
      <c r="AC1153">
        <v>21.7838999999999</v>
      </c>
      <c r="AD1153">
        <v>-1.1102761609939999</v>
      </c>
      <c r="AE1153">
        <v>-3.3393000000000299</v>
      </c>
      <c r="AF1153">
        <v>3.2441832794255299</v>
      </c>
      <c r="AG1153">
        <v>-1.1102761609939999</v>
      </c>
      <c r="AH1153">
        <v>21.741858860621001</v>
      </c>
      <c r="AI1153">
        <v>92.891388196847899</v>
      </c>
      <c r="AJ1153">
        <v>81.513299588003406</v>
      </c>
      <c r="AK1153">
        <v>22.010585294792499</v>
      </c>
      <c r="AL1153">
        <v>78.903081055962701</v>
      </c>
      <c r="AM1153">
        <v>83.595199844634706</v>
      </c>
      <c r="AN1153">
        <v>1.0000000121808901</v>
      </c>
    </row>
    <row r="1154" spans="1:40" x14ac:dyDescent="0.25">
      <c r="A1154" t="str">
        <f>"20190312172914677"</f>
        <v>20190312172914677</v>
      </c>
      <c r="B1154" t="str">
        <f>"1552382954668211"</f>
        <v>1552382954668211</v>
      </c>
      <c r="C1154" t="s">
        <v>40</v>
      </c>
      <c r="D1154">
        <v>3.2619799999999999</v>
      </c>
      <c r="E1154">
        <v>0.51766020000000001</v>
      </c>
      <c r="F1154" t="s">
        <v>41</v>
      </c>
      <c r="G1154">
        <v>-217.91849999999999</v>
      </c>
      <c r="H1154" s="1">
        <v>-2.2534650000000002E-6</v>
      </c>
      <c r="I1154">
        <v>363.75700000000001</v>
      </c>
      <c r="J1154">
        <v>-239.8014</v>
      </c>
      <c r="K1154">
        <v>1.1102730000000001</v>
      </c>
      <c r="L1154">
        <v>367.1035</v>
      </c>
      <c r="M1154">
        <v>0.99988500000000002</v>
      </c>
      <c r="N1154">
        <v>0</v>
      </c>
      <c r="O1154">
        <v>-3.9271330000000002E-3</v>
      </c>
      <c r="P1154">
        <v>0.9773288</v>
      </c>
      <c r="Q1154">
        <v>0.17806150000000001</v>
      </c>
      <c r="R1154">
        <v>-0.114553</v>
      </c>
      <c r="S1154">
        <v>3.043533</v>
      </c>
      <c r="T1154">
        <v>-0.15325339999999901</v>
      </c>
      <c r="U1154">
        <v>-0.46200560000000002</v>
      </c>
      <c r="V1154">
        <v>0.1106654</v>
      </c>
      <c r="W1154">
        <v>0.19239619999999999</v>
      </c>
      <c r="X1154">
        <v>0.97505739999999996</v>
      </c>
      <c r="Y1154">
        <v>0.1460197</v>
      </c>
      <c r="Z1154">
        <v>-3.4566050000000002E-3</v>
      </c>
      <c r="AA1154">
        <v>0.98927560000000003</v>
      </c>
      <c r="AB1154">
        <v>35</v>
      </c>
      <c r="AC1154">
        <v>21.882899999999999</v>
      </c>
      <c r="AD1154">
        <v>-1.110275253465</v>
      </c>
      <c r="AE1154">
        <v>-3.3465000000000402</v>
      </c>
      <c r="AF1154">
        <v>3.25234686775668</v>
      </c>
      <c r="AG1154">
        <v>-1.110275253465</v>
      </c>
      <c r="AH1154">
        <v>21.8409355000727</v>
      </c>
      <c r="AI1154">
        <v>92.878418807960699</v>
      </c>
      <c r="AJ1154">
        <v>81.5302884962299</v>
      </c>
      <c r="AK1154">
        <v>22.109657048561299</v>
      </c>
      <c r="AL1154">
        <v>78.907343519005195</v>
      </c>
      <c r="AM1154">
        <v>83.524849595557797</v>
      </c>
      <c r="AN1154">
        <v>1.00000003091317</v>
      </c>
    </row>
    <row r="1155" spans="1:40" x14ac:dyDescent="0.25">
      <c r="A1155" t="str">
        <f>"20190312172914688"</f>
        <v>20190312172914688</v>
      </c>
      <c r="B1155" t="str">
        <f>"1552382954678947"</f>
        <v>1552382954678947</v>
      </c>
      <c r="C1155" t="s">
        <v>40</v>
      </c>
      <c r="D1155">
        <v>3.2716069999999999</v>
      </c>
      <c r="E1155">
        <v>0.51727159999999905</v>
      </c>
      <c r="F1155" t="s">
        <v>41</v>
      </c>
      <c r="G1155">
        <v>-217.7021</v>
      </c>
      <c r="H1155" s="1">
        <v>-2.3297610000000001E-6</v>
      </c>
      <c r="I1155">
        <v>363.74700000000001</v>
      </c>
      <c r="J1155">
        <v>-239.64660000000001</v>
      </c>
      <c r="K1155">
        <v>1.110271</v>
      </c>
      <c r="L1155">
        <v>367.10289999999998</v>
      </c>
      <c r="M1155">
        <v>0.99988529999999998</v>
      </c>
      <c r="N1155">
        <v>0</v>
      </c>
      <c r="O1155">
        <v>-3.8719309999999999E-3</v>
      </c>
      <c r="P1155">
        <v>0.97720490000000004</v>
      </c>
      <c r="Q1155">
        <v>0.17806089999999999</v>
      </c>
      <c r="R1155">
        <v>-0.11560869999999999</v>
      </c>
      <c r="S1155">
        <v>3.0432890000000001</v>
      </c>
      <c r="T1155">
        <v>-0.1528957</v>
      </c>
      <c r="U1155">
        <v>-0.4622192</v>
      </c>
      <c r="V1155">
        <v>0.1117756</v>
      </c>
      <c r="W1155">
        <v>0.19239239999999999</v>
      </c>
      <c r="X1155">
        <v>0.97493149999999995</v>
      </c>
      <c r="Y1155">
        <v>0.14615449999999999</v>
      </c>
      <c r="Z1155">
        <v>-3.454922E-3</v>
      </c>
      <c r="AA1155">
        <v>0.98925569999999896</v>
      </c>
      <c r="AB1155">
        <v>35</v>
      </c>
      <c r="AC1155">
        <v>21.944500000000001</v>
      </c>
      <c r="AD1155">
        <v>-1.1102733297609999</v>
      </c>
      <c r="AE1155">
        <v>-3.3559000000000201</v>
      </c>
      <c r="AF1155">
        <v>3.2627370000959699</v>
      </c>
      <c r="AG1155">
        <v>-1.1102733297609999</v>
      </c>
      <c r="AH1155">
        <v>21.902545468786599</v>
      </c>
      <c r="AI1155">
        <v>92.870307482956704</v>
      </c>
      <c r="AJ1155">
        <v>81.527177170180494</v>
      </c>
      <c r="AK1155">
        <v>22.172046761876501</v>
      </c>
      <c r="AL1155">
        <v>78.907565321701597</v>
      </c>
      <c r="AM1155">
        <v>83.459613358972504</v>
      </c>
      <c r="AN1155">
        <v>1.0000000250126799</v>
      </c>
    </row>
    <row r="1156" spans="1:40" x14ac:dyDescent="0.25">
      <c r="A1156" t="str">
        <f>"20190312172914699"</f>
        <v>20190312172914699</v>
      </c>
      <c r="B1156" t="str">
        <f>"1552382954688875"</f>
        <v>1552382954688875</v>
      </c>
      <c r="C1156" t="s">
        <v>40</v>
      </c>
      <c r="D1156">
        <v>3.254842</v>
      </c>
      <c r="E1156">
        <v>0.51688599999999996</v>
      </c>
      <c r="F1156" t="s">
        <v>41</v>
      </c>
      <c r="G1156">
        <v>-217.52199999999999</v>
      </c>
      <c r="H1156" s="1">
        <v>-2.3921680000000001E-6</v>
      </c>
      <c r="I1156">
        <v>363.74290000000002</v>
      </c>
      <c r="J1156">
        <v>-239.4742</v>
      </c>
      <c r="K1156">
        <v>1.1102700000000001</v>
      </c>
      <c r="L1156">
        <v>367.10230000000001</v>
      </c>
      <c r="M1156">
        <v>0.99988560000000004</v>
      </c>
      <c r="N1156">
        <v>0</v>
      </c>
      <c r="O1156">
        <v>-3.810173E-3</v>
      </c>
      <c r="P1156">
        <v>0.97710050000000004</v>
      </c>
      <c r="Q1156">
        <v>0.1779287</v>
      </c>
      <c r="R1156">
        <v>-0.11668870000000001</v>
      </c>
      <c r="S1156">
        <v>3.0431210000000002</v>
      </c>
      <c r="T1156">
        <v>-0.1527115</v>
      </c>
      <c r="U1156">
        <v>-0.46215820000000002</v>
      </c>
      <c r="V1156">
        <v>0.1129164</v>
      </c>
      <c r="W1156">
        <v>0.19225719999999999</v>
      </c>
      <c r="X1156">
        <v>0.97482670000000005</v>
      </c>
      <c r="Y1156">
        <v>0.14620459999999999</v>
      </c>
      <c r="Z1156">
        <v>-3.455287E-3</v>
      </c>
      <c r="AA1156">
        <v>0.98924829999999997</v>
      </c>
      <c r="AB1156">
        <v>35</v>
      </c>
      <c r="AC1156">
        <v>21.952199999999898</v>
      </c>
      <c r="AD1156">
        <v>-1.110272392168</v>
      </c>
      <c r="AE1156">
        <v>-3.3593999999999902</v>
      </c>
      <c r="AF1156">
        <v>3.2675577749676901</v>
      </c>
      <c r="AG1156">
        <v>-1.110272392168</v>
      </c>
      <c r="AH1156">
        <v>21.910078102752799</v>
      </c>
      <c r="AI1156">
        <v>92.869249400068</v>
      </c>
      <c r="AJ1156">
        <v>81.517715205531502</v>
      </c>
      <c r="AK1156">
        <v>22.180197498360702</v>
      </c>
      <c r="AL1156">
        <v>78.915459017056804</v>
      </c>
      <c r="AM1156">
        <v>83.392744299031094</v>
      </c>
      <c r="AN1156">
        <v>1.0000000196868399</v>
      </c>
    </row>
    <row r="1157" spans="1:40" x14ac:dyDescent="0.25">
      <c r="A1157" t="str">
        <f>"20190312172914711"</f>
        <v>20190312172914711</v>
      </c>
      <c r="B1157" t="str">
        <f>"1552382954708395"</f>
        <v>1552382954708395</v>
      </c>
      <c r="C1157" t="s">
        <v>40</v>
      </c>
      <c r="D1157">
        <v>3.2846929999999999</v>
      </c>
      <c r="E1157">
        <v>0.5161713</v>
      </c>
      <c r="F1157" t="s">
        <v>41</v>
      </c>
      <c r="G1157">
        <v>-217.3466</v>
      </c>
      <c r="H1157" s="1">
        <v>-2.4535809999999998E-6</v>
      </c>
      <c r="I1157">
        <v>363.7364</v>
      </c>
      <c r="J1157">
        <v>-239.30680000000001</v>
      </c>
      <c r="K1157">
        <v>1.1102700000000001</v>
      </c>
      <c r="L1157">
        <v>367.10169999999999</v>
      </c>
      <c r="M1157">
        <v>0.99988580000000005</v>
      </c>
      <c r="N1157">
        <v>0</v>
      </c>
      <c r="O1157">
        <v>-3.7500849999999998E-3</v>
      </c>
      <c r="P1157">
        <v>0.97700480000000001</v>
      </c>
      <c r="Q1157">
        <v>0.17788129999999999</v>
      </c>
      <c r="R1157">
        <v>-0.11755980000000001</v>
      </c>
      <c r="S1157">
        <v>3.0428310000000001</v>
      </c>
      <c r="T1157">
        <v>-0.1526766</v>
      </c>
      <c r="U1157">
        <v>-0.4628601</v>
      </c>
      <c r="V1157">
        <v>0.113846699999999</v>
      </c>
      <c r="W1157">
        <v>0.19220670000000001</v>
      </c>
      <c r="X1157">
        <v>0.9747285</v>
      </c>
      <c r="Y1157">
        <v>0.14650060000000001</v>
      </c>
      <c r="Z1157">
        <v>-3.4651399999999998E-3</v>
      </c>
      <c r="AA1157">
        <v>0.98920450000000004</v>
      </c>
      <c r="AB1157">
        <v>35</v>
      </c>
      <c r="AC1157">
        <v>21.9602</v>
      </c>
      <c r="AD1157">
        <v>-1.110272453581</v>
      </c>
      <c r="AE1157">
        <v>-3.3652999999999902</v>
      </c>
      <c r="AF1157">
        <v>3.27473623605042</v>
      </c>
      <c r="AG1157">
        <v>-1.110272453581</v>
      </c>
      <c r="AH1157">
        <v>21.9179270518839</v>
      </c>
      <c r="AI1157">
        <v>92.868109171357204</v>
      </c>
      <c r="AJ1157">
        <v>81.502352216911902</v>
      </c>
      <c r="AK1157">
        <v>22.189009184472098</v>
      </c>
      <c r="AL1157">
        <v>78.918407981884798</v>
      </c>
      <c r="AM1157">
        <v>83.338130352142002</v>
      </c>
      <c r="AN1157">
        <v>1.00000006766901</v>
      </c>
    </row>
    <row r="1158" spans="1:40" x14ac:dyDescent="0.25">
      <c r="A1158" t="str">
        <f>"20190312172914723"</f>
        <v>20190312172914723</v>
      </c>
      <c r="B1158" t="str">
        <f>"1552382954718155"</f>
        <v>1552382954718155</v>
      </c>
      <c r="C1158" t="s">
        <v>40</v>
      </c>
      <c r="D1158">
        <v>3.261431</v>
      </c>
      <c r="E1158">
        <v>0.51590420000000003</v>
      </c>
      <c r="F1158" t="s">
        <v>41</v>
      </c>
      <c r="G1158">
        <v>-217.1754</v>
      </c>
      <c r="H1158" s="1">
        <v>-2.5057969999999999E-6</v>
      </c>
      <c r="I1158">
        <v>363.75900000000001</v>
      </c>
      <c r="J1158">
        <v>-239.12559999999999</v>
      </c>
      <c r="K1158">
        <v>1.110269</v>
      </c>
      <c r="L1158">
        <v>367.101</v>
      </c>
      <c r="M1158">
        <v>0.99988600000000005</v>
      </c>
      <c r="N1158">
        <v>0</v>
      </c>
      <c r="O1158">
        <v>-3.684873E-3</v>
      </c>
      <c r="P1158">
        <v>0.97684820000000006</v>
      </c>
      <c r="Q1158">
        <v>0.17801719999999999</v>
      </c>
      <c r="R1158">
        <v>-0.1186494</v>
      </c>
      <c r="S1158">
        <v>3.043091</v>
      </c>
      <c r="T1158">
        <v>-0.1526631</v>
      </c>
      <c r="U1158">
        <v>-0.45962520000000001</v>
      </c>
      <c r="V1158">
        <v>0.1150007</v>
      </c>
      <c r="W1158">
        <v>0.19233819999999999</v>
      </c>
      <c r="X1158">
        <v>0.97456699999999996</v>
      </c>
      <c r="Y1158">
        <v>0.14552579999999901</v>
      </c>
      <c r="Z1158">
        <v>-3.4437679999999998E-3</v>
      </c>
      <c r="AA1158">
        <v>0.98934849999999996</v>
      </c>
      <c r="AB1158">
        <v>35</v>
      </c>
      <c r="AC1158">
        <v>21.950199999999899</v>
      </c>
      <c r="AD1158">
        <v>-1.1102715057969901</v>
      </c>
      <c r="AE1158">
        <v>-3.3419999999999801</v>
      </c>
      <c r="AF1158">
        <v>3.2529508925055302</v>
      </c>
      <c r="AG1158">
        <v>-1.1102715057969901</v>
      </c>
      <c r="AH1158">
        <v>21.907586935277202</v>
      </c>
      <c r="AI1158">
        <v>92.869843859696005</v>
      </c>
      <c r="AJ1158">
        <v>81.554138928902304</v>
      </c>
      <c r="AK1158">
        <v>22.175589228978001</v>
      </c>
      <c r="AL1158">
        <v>78.910729471827196</v>
      </c>
      <c r="AM1158">
        <v>83.270114016249593</v>
      </c>
      <c r="AN1158">
        <v>0.99999999083436497</v>
      </c>
    </row>
    <row r="1159" spans="1:40" x14ac:dyDescent="0.25">
      <c r="A1159" t="str">
        <f>"20190312172914734"</f>
        <v>20190312172914734</v>
      </c>
      <c r="B1159" t="str">
        <f>"1552382954728890"</f>
        <v>1552382954728890</v>
      </c>
      <c r="C1159" t="s">
        <v>40</v>
      </c>
      <c r="D1159">
        <v>3.2992629999999998</v>
      </c>
      <c r="E1159">
        <v>0.51558700000000002</v>
      </c>
      <c r="F1159" t="s">
        <v>41</v>
      </c>
      <c r="G1159">
        <v>-216.95869999999999</v>
      </c>
      <c r="H1159" s="1">
        <v>-2.5829220000000001E-6</v>
      </c>
      <c r="I1159">
        <v>363.74630000000002</v>
      </c>
      <c r="J1159">
        <v>-238.9374</v>
      </c>
      <c r="K1159">
        <v>1.110269</v>
      </c>
      <c r="L1159">
        <v>367.10039999999998</v>
      </c>
      <c r="M1159">
        <v>0.99988630000000001</v>
      </c>
      <c r="N1159">
        <v>0</v>
      </c>
      <c r="O1159">
        <v>-3.6172719999999999E-3</v>
      </c>
      <c r="P1159">
        <v>0.97665349999999995</v>
      </c>
      <c r="Q1159">
        <v>0.1781739</v>
      </c>
      <c r="R1159">
        <v>-0.12000959999999999</v>
      </c>
      <c r="S1159">
        <v>3.0429529999999998</v>
      </c>
      <c r="T1159">
        <v>-0.152411299999999</v>
      </c>
      <c r="U1159">
        <v>-0.46051029999999998</v>
      </c>
      <c r="V1159">
        <v>0.1164278</v>
      </c>
      <c r="W1159">
        <v>0.1924902</v>
      </c>
      <c r="X1159">
        <v>0.9743676</v>
      </c>
      <c r="Y1159">
        <v>0.1458806</v>
      </c>
      <c r="Z1159">
        <v>-3.4503680000000001E-3</v>
      </c>
      <c r="AA1159">
        <v>0.98929619999999996</v>
      </c>
      <c r="AB1159">
        <v>35</v>
      </c>
      <c r="AC1159">
        <v>21.9787</v>
      </c>
      <c r="AD1159">
        <v>-1.110271582922</v>
      </c>
      <c r="AE1159">
        <v>-3.3540999999999599</v>
      </c>
      <c r="AF1159">
        <v>3.2664208964316299</v>
      </c>
      <c r="AG1159">
        <v>-1.110271582922</v>
      </c>
      <c r="AH1159">
        <v>21.935986887121299</v>
      </c>
      <c r="AI1159">
        <v>92.8659591606134</v>
      </c>
      <c r="AJ1159">
        <v>81.530493253524398</v>
      </c>
      <c r="AK1159">
        <v>22.2056238185836</v>
      </c>
      <c r="AL1159">
        <v>78.901855508587005</v>
      </c>
      <c r="AM1159">
        <v>83.185998681127103</v>
      </c>
      <c r="AN1159">
        <v>1.0000000648193099</v>
      </c>
    </row>
    <row r="1160" spans="1:40" x14ac:dyDescent="0.25">
      <c r="A1160" t="str">
        <f>"20190312172914746"</f>
        <v>20190312172914746</v>
      </c>
      <c r="B1160" t="str">
        <f>"1552382954738651"</f>
        <v>1552382954738651</v>
      </c>
      <c r="C1160" t="s">
        <v>40</v>
      </c>
      <c r="D1160">
        <v>3.2875290000000001</v>
      </c>
      <c r="E1160">
        <v>0.51530359999999997</v>
      </c>
      <c r="F1160" t="s">
        <v>41</v>
      </c>
      <c r="G1160">
        <v>-216.71260000000001</v>
      </c>
      <c r="H1160" s="1">
        <v>-2.6729459999999999E-6</v>
      </c>
      <c r="I1160">
        <v>363.72280000000001</v>
      </c>
      <c r="J1160">
        <v>-238.7576</v>
      </c>
      <c r="K1160">
        <v>1.110266</v>
      </c>
      <c r="L1160">
        <v>367.09980000000002</v>
      </c>
      <c r="M1160">
        <v>0.99988690000000002</v>
      </c>
      <c r="N1160">
        <v>0</v>
      </c>
      <c r="O1160">
        <v>-3.628156E-3</v>
      </c>
      <c r="P1160">
        <v>0.9764524</v>
      </c>
      <c r="Q1160">
        <v>0.17834749999999999</v>
      </c>
      <c r="R1160">
        <v>-0.1213819</v>
      </c>
      <c r="S1160">
        <v>3.0426329999999999</v>
      </c>
      <c r="T1160">
        <v>-0.15199860000000001</v>
      </c>
      <c r="U1160">
        <v>-0.46240229999999999</v>
      </c>
      <c r="V1160">
        <v>0.1177877</v>
      </c>
      <c r="W1160">
        <v>0.1926301</v>
      </c>
      <c r="X1160">
        <v>0.97417640000000005</v>
      </c>
      <c r="Y1160">
        <v>0.1464868</v>
      </c>
      <c r="Z1160">
        <v>-3.4557419999999999E-3</v>
      </c>
      <c r="AA1160">
        <v>0.98920660000000005</v>
      </c>
      <c r="AB1160">
        <v>35</v>
      </c>
      <c r="AC1160">
        <v>22.044999999999899</v>
      </c>
      <c r="AD1160">
        <v>-1.1102686729459901</v>
      </c>
      <c r="AE1160">
        <v>-3.3769999999999998</v>
      </c>
      <c r="AF1160">
        <v>3.2888356662012601</v>
      </c>
      <c r="AG1160">
        <v>-1.1102686729459901</v>
      </c>
      <c r="AH1160">
        <v>22.0025783914759</v>
      </c>
      <c r="AI1160">
        <v>92.857055683154002</v>
      </c>
      <c r="AJ1160">
        <v>81.498654359109807</v>
      </c>
      <c r="AK1160">
        <v>22.2747074602214</v>
      </c>
      <c r="AL1160">
        <v>78.893685980093807</v>
      </c>
      <c r="AM1160">
        <v>83.105831295517007</v>
      </c>
      <c r="AN1160">
        <v>0.99999997800712903</v>
      </c>
    </row>
    <row r="1161" spans="1:40" x14ac:dyDescent="0.25">
      <c r="A1161" t="str">
        <f>"20190312172914758"</f>
        <v>20190312172914758</v>
      </c>
      <c r="B1161" t="str">
        <f>"1552382954748411"</f>
        <v>1552382954748411</v>
      </c>
      <c r="C1161" t="s">
        <v>40</v>
      </c>
      <c r="D1161">
        <v>3.3040620000000001</v>
      </c>
      <c r="E1161">
        <v>0.51506260000000004</v>
      </c>
      <c r="F1161" t="s">
        <v>41</v>
      </c>
      <c r="G1161">
        <v>-216.54310000000001</v>
      </c>
      <c r="H1161" s="1">
        <v>-2.7326479999999999E-6</v>
      </c>
      <c r="I1161">
        <v>363.71510000000001</v>
      </c>
      <c r="J1161">
        <v>-238.5684</v>
      </c>
      <c r="K1161">
        <v>1.110252</v>
      </c>
      <c r="L1161">
        <v>367.0992</v>
      </c>
      <c r="M1161">
        <v>0.99988770000000005</v>
      </c>
      <c r="N1161">
        <v>0</v>
      </c>
      <c r="O1161">
        <v>-3.8579399999999998E-3</v>
      </c>
      <c r="P1161">
        <v>0.97610110000000005</v>
      </c>
      <c r="Q1161">
        <v>0.1791933</v>
      </c>
      <c r="R1161">
        <v>-0.1229484</v>
      </c>
      <c r="S1161">
        <v>3.0425110000000002</v>
      </c>
      <c r="T1161">
        <v>-0.152063</v>
      </c>
      <c r="U1161">
        <v>-0.46356199999999997</v>
      </c>
      <c r="V1161">
        <v>0.1191218</v>
      </c>
      <c r="W1161">
        <v>0.19335630000000001</v>
      </c>
      <c r="X1161">
        <v>0.97387029999999997</v>
      </c>
      <c r="Y1161">
        <v>0.14663380000000001</v>
      </c>
      <c r="Z1161">
        <v>-3.4494830000000001E-3</v>
      </c>
      <c r="AA1161">
        <v>0.98918490000000003</v>
      </c>
      <c r="AB1161">
        <v>35</v>
      </c>
      <c r="AC1161">
        <v>22.025299999999898</v>
      </c>
      <c r="AD1161">
        <v>-1.1102547326479999</v>
      </c>
      <c r="AE1161">
        <v>-3.3840999999999801</v>
      </c>
      <c r="AF1161">
        <v>3.2909242883664001</v>
      </c>
      <c r="AG1161">
        <v>-1.1102547326479999</v>
      </c>
      <c r="AH1161">
        <v>21.983621372052902</v>
      </c>
      <c r="AI1161">
        <v>92.859385941843698</v>
      </c>
      <c r="AJ1161">
        <v>81.486106376367104</v>
      </c>
      <c r="AK1161">
        <v>22.2562902765243</v>
      </c>
      <c r="AL1161">
        <v>78.8512809445497</v>
      </c>
      <c r="AM1161">
        <v>83.026340332504503</v>
      </c>
      <c r="AN1161">
        <v>1.0000000116035099</v>
      </c>
    </row>
    <row r="1162" spans="1:40" x14ac:dyDescent="0.25">
      <c r="A1162" t="str">
        <f>"20190312172914775"</f>
        <v>20190312172914775</v>
      </c>
      <c r="B1162" t="str">
        <f>"1552382954768906"</f>
        <v>1552382954768906</v>
      </c>
      <c r="C1162" t="s">
        <v>40</v>
      </c>
      <c r="D1162">
        <v>3.3385859999999998</v>
      </c>
      <c r="E1162">
        <v>0.51452489999999995</v>
      </c>
      <c r="F1162" t="s">
        <v>41</v>
      </c>
      <c r="G1162">
        <v>-215.96619999999999</v>
      </c>
      <c r="H1162" s="1">
        <v>-2.9500199999999998E-6</v>
      </c>
      <c r="I1162">
        <v>363.63600000000002</v>
      </c>
      <c r="J1162">
        <v>-238.3185</v>
      </c>
      <c r="K1162">
        <v>1.110169</v>
      </c>
      <c r="L1162">
        <v>367.09840000000003</v>
      </c>
      <c r="M1162">
        <v>0.9998882</v>
      </c>
      <c r="N1162">
        <v>0</v>
      </c>
      <c r="O1162">
        <v>-3.8732390000000001E-3</v>
      </c>
      <c r="P1162">
        <v>0.97545740000000003</v>
      </c>
      <c r="Q1162">
        <v>0.18029229999999999</v>
      </c>
      <c r="R1162">
        <v>-0.12640209999999999</v>
      </c>
      <c r="S1162">
        <v>3.0421909999999999</v>
      </c>
      <c r="T1162">
        <v>-0.1494365</v>
      </c>
      <c r="U1162">
        <v>-0.46612550000000003</v>
      </c>
      <c r="V1162">
        <v>0.1225871</v>
      </c>
      <c r="W1162">
        <v>0.19439519999999999</v>
      </c>
      <c r="X1162">
        <v>0.97323320000000002</v>
      </c>
      <c r="Y1162">
        <v>0.14745369999999999</v>
      </c>
      <c r="Z1162">
        <v>-3.409371E-3</v>
      </c>
      <c r="AA1162">
        <v>0.98906309999999997</v>
      </c>
      <c r="AB1162">
        <v>35</v>
      </c>
      <c r="AC1162">
        <v>22.3523</v>
      </c>
      <c r="AD1162">
        <v>-1.11017195002</v>
      </c>
      <c r="AE1162">
        <v>-3.4624000000000499</v>
      </c>
      <c r="AF1162">
        <v>3.3676764284186902</v>
      </c>
      <c r="AG1162">
        <v>-1.11017195002</v>
      </c>
      <c r="AH1162">
        <v>22.311795079336399</v>
      </c>
      <c r="AI1162">
        <v>92.8166752558013</v>
      </c>
      <c r="AJ1162">
        <v>81.416734285994096</v>
      </c>
      <c r="AK1162">
        <v>22.5918110373524</v>
      </c>
      <c r="AL1162">
        <v>78.790604697222406</v>
      </c>
      <c r="AM1162">
        <v>82.820910791433107</v>
      </c>
      <c r="AN1162">
        <v>0.99999997622584402</v>
      </c>
    </row>
    <row r="1163" spans="1:40" x14ac:dyDescent="0.25">
      <c r="A1163" t="str">
        <f>"20190312172914789"</f>
        <v>20190312172914789</v>
      </c>
      <c r="B1163" t="str">
        <f>"1552382954778666"</f>
        <v>1552382954778666</v>
      </c>
      <c r="C1163" t="s">
        <v>40</v>
      </c>
      <c r="D1163">
        <v>3.3198270000000001</v>
      </c>
      <c r="E1163">
        <v>0.51429250000000004</v>
      </c>
      <c r="F1163" t="s">
        <v>41</v>
      </c>
      <c r="G1163">
        <v>-215.30090000000001</v>
      </c>
      <c r="H1163" s="1">
        <v>-3.204086E-6</v>
      </c>
      <c r="I1163">
        <v>363.53210000000001</v>
      </c>
      <c r="J1163">
        <v>-238.0986</v>
      </c>
      <c r="K1163">
        <v>1.110058</v>
      </c>
      <c r="L1163">
        <v>367.09780000000001</v>
      </c>
      <c r="M1163">
        <v>0.99988849999999996</v>
      </c>
      <c r="N1163">
        <v>0</v>
      </c>
      <c r="O1163">
        <v>-3.6742950000000002E-3</v>
      </c>
      <c r="P1163">
        <v>0.9750221</v>
      </c>
      <c r="Q1163">
        <v>0.18136730000000001</v>
      </c>
      <c r="R1163">
        <v>-0.12821160000000001</v>
      </c>
      <c r="S1163">
        <v>3.0415190000000001</v>
      </c>
      <c r="T1163">
        <v>-0.14669679999999999</v>
      </c>
      <c r="U1163">
        <v>-0.47125240000000002</v>
      </c>
      <c r="V1163">
        <v>0.1246342</v>
      </c>
      <c r="W1163">
        <v>0.19547139999999999</v>
      </c>
      <c r="X1163">
        <v>0.9727576</v>
      </c>
      <c r="Y1163">
        <v>0.14931520000000001</v>
      </c>
      <c r="Z1163">
        <v>-3.401374E-3</v>
      </c>
      <c r="AA1163">
        <v>0.98878379999999999</v>
      </c>
      <c r="AB1163">
        <v>35</v>
      </c>
      <c r="AC1163">
        <v>22.797699999999899</v>
      </c>
      <c r="AD1163">
        <v>-1.1100612040860001</v>
      </c>
      <c r="AE1163">
        <v>-3.5656999999999899</v>
      </c>
      <c r="AF1163">
        <v>3.4738621918536401</v>
      </c>
      <c r="AG1163">
        <v>-1.1100612040860001</v>
      </c>
      <c r="AH1163">
        <v>22.757980586716702</v>
      </c>
      <c r="AI1163">
        <v>92.760565695321503</v>
      </c>
      <c r="AJ1163">
        <v>81.321152858347702</v>
      </c>
      <c r="AK1163">
        <v>23.048332581559599</v>
      </c>
      <c r="AL1163">
        <v>78.727737795677001</v>
      </c>
      <c r="AM1163">
        <v>82.698778576486404</v>
      </c>
      <c r="AN1163">
        <v>1.00000005019267</v>
      </c>
    </row>
    <row r="1164" spans="1:40" x14ac:dyDescent="0.25">
      <c r="A1164" t="str">
        <f>"20190312172914808"</f>
        <v>20190312172914808</v>
      </c>
      <c r="B1164" t="str">
        <f>"1552382954798695"</f>
        <v>1552382954798695</v>
      </c>
      <c r="C1164" t="s">
        <v>40</v>
      </c>
      <c r="D1164">
        <v>3.3490280000000001</v>
      </c>
      <c r="E1164">
        <v>0.51389079999999998</v>
      </c>
      <c r="F1164" t="s">
        <v>41</v>
      </c>
      <c r="G1164">
        <v>-214.65260000000001</v>
      </c>
      <c r="H1164" s="1">
        <v>-3.4486880000000002E-6</v>
      </c>
      <c r="I1164">
        <v>363.44200000000001</v>
      </c>
      <c r="J1164">
        <v>-237.81</v>
      </c>
      <c r="K1164">
        <v>1.109907</v>
      </c>
      <c r="L1164">
        <v>367.09690000000001</v>
      </c>
      <c r="M1164">
        <v>0.99988900000000003</v>
      </c>
      <c r="N1164">
        <v>0</v>
      </c>
      <c r="O1164">
        <v>-3.205215E-3</v>
      </c>
      <c r="P1164">
        <v>0.9744912</v>
      </c>
      <c r="Q1164">
        <v>0.18159810000000001</v>
      </c>
      <c r="R1164">
        <v>-0.1318685</v>
      </c>
      <c r="S1164">
        <v>3.0412750000000002</v>
      </c>
      <c r="T1164">
        <v>-0.14399039999999999</v>
      </c>
      <c r="U1164">
        <v>-0.47421259999999998</v>
      </c>
      <c r="V1164">
        <v>0.12880839999999999</v>
      </c>
      <c r="W1164">
        <v>0.19572809999999999</v>
      </c>
      <c r="X1164">
        <v>0.97216190000000002</v>
      </c>
      <c r="Y1164">
        <v>0.1507346</v>
      </c>
      <c r="Z1164">
        <v>-3.3941520000000001E-3</v>
      </c>
      <c r="AA1164">
        <v>0.98856840000000001</v>
      </c>
      <c r="AB1164">
        <v>34</v>
      </c>
      <c r="AC1164">
        <v>23.157399999999999</v>
      </c>
      <c r="AD1164">
        <v>-1.109910448688</v>
      </c>
      <c r="AE1164">
        <v>-3.6549000000000502</v>
      </c>
      <c r="AF1164">
        <v>3.5726413606796701</v>
      </c>
      <c r="AG1164">
        <v>-1.109910448688</v>
      </c>
      <c r="AH1164">
        <v>23.1171831927531</v>
      </c>
      <c r="AI1164">
        <v>92.716593447072796</v>
      </c>
      <c r="AJ1164">
        <v>81.214735712992194</v>
      </c>
      <c r="AK1164">
        <v>23.4179381300629</v>
      </c>
      <c r="AL1164">
        <v>78.712738859509798</v>
      </c>
      <c r="AM1164">
        <v>82.452450982391099</v>
      </c>
      <c r="AN1164">
        <v>0.99999992642588698</v>
      </c>
    </row>
    <row r="1165" spans="1:40" x14ac:dyDescent="0.25">
      <c r="A1165" t="str">
        <f>"20190312172914819"</f>
        <v>20190312172914819</v>
      </c>
      <c r="B1165" t="str">
        <f>"1552382954808455"</f>
        <v>1552382954808455</v>
      </c>
      <c r="C1165" t="s">
        <v>40</v>
      </c>
      <c r="D1165">
        <v>3.344255</v>
      </c>
      <c r="E1165">
        <v>0.5136868</v>
      </c>
      <c r="F1165" t="s">
        <v>41</v>
      </c>
      <c r="G1165">
        <v>-214.4913</v>
      </c>
      <c r="H1165" s="1">
        <v>-3.512499E-6</v>
      </c>
      <c r="I1165">
        <v>363.40839999999997</v>
      </c>
      <c r="J1165">
        <v>-237.63030000000001</v>
      </c>
      <c r="K1165">
        <v>1.1098460000000001</v>
      </c>
      <c r="L1165">
        <v>367.09629999999999</v>
      </c>
      <c r="M1165">
        <v>0.99988940000000004</v>
      </c>
      <c r="N1165">
        <v>0</v>
      </c>
      <c r="O1165">
        <v>-2.9181260000000001E-3</v>
      </c>
      <c r="P1165">
        <v>0.97432289999999999</v>
      </c>
      <c r="Q1165">
        <v>0.18135809999999999</v>
      </c>
      <c r="R1165">
        <v>-0.13343239999999901</v>
      </c>
      <c r="S1165">
        <v>3.0404360000000001</v>
      </c>
      <c r="T1165">
        <v>-0.1447167</v>
      </c>
      <c r="U1165">
        <v>-0.48092649999999998</v>
      </c>
      <c r="V1165">
        <v>0.13066920000000001</v>
      </c>
      <c r="W1165">
        <v>0.19549340000000001</v>
      </c>
      <c r="X1165">
        <v>0.97196079999999996</v>
      </c>
      <c r="Y1165">
        <v>0.15318519999999999</v>
      </c>
      <c r="Z1165">
        <v>-3.4831060000000001E-3</v>
      </c>
      <c r="AA1165">
        <v>0.98819140000000005</v>
      </c>
      <c r="AB1165">
        <v>34</v>
      </c>
      <c r="AC1165">
        <v>23.138999999999999</v>
      </c>
      <c r="AD1165">
        <v>-1.109849512499</v>
      </c>
      <c r="AE1165">
        <v>-3.6879000000000102</v>
      </c>
      <c r="AF1165">
        <v>3.6122501625683499</v>
      </c>
      <c r="AG1165">
        <v>-1.109849512499</v>
      </c>
      <c r="AH1165">
        <v>23.0978421139034</v>
      </c>
      <c r="AI1165">
        <v>92.717955880106501</v>
      </c>
      <c r="AJ1165">
        <v>81.111562509205697</v>
      </c>
      <c r="AK1165">
        <v>23.404923146555699</v>
      </c>
      <c r="AL1165">
        <v>78.726451381471094</v>
      </c>
      <c r="AM1165">
        <v>82.343135967825603</v>
      </c>
      <c r="AN1165">
        <v>0.99999995300441802</v>
      </c>
    </row>
    <row r="1166" spans="1:40" x14ac:dyDescent="0.25">
      <c r="A1166" t="str">
        <f>"20190312172914830"</f>
        <v>20190312172914830</v>
      </c>
      <c r="B1166" t="str">
        <f>"1552382954828952"</f>
        <v>1552382954828952</v>
      </c>
      <c r="C1166" t="s">
        <v>40</v>
      </c>
      <c r="D1166">
        <v>3.350047</v>
      </c>
      <c r="E1166">
        <v>0.51331150000000003</v>
      </c>
      <c r="F1166" t="s">
        <v>41</v>
      </c>
      <c r="G1166">
        <v>-214.5779</v>
      </c>
      <c r="H1166" s="1">
        <v>-3.4778E-6</v>
      </c>
      <c r="I1166">
        <v>363.42809999999997</v>
      </c>
      <c r="J1166">
        <v>-237.44929999999999</v>
      </c>
      <c r="K1166">
        <v>1.1098220000000001</v>
      </c>
      <c r="L1166">
        <v>367.09570000000002</v>
      </c>
      <c r="M1166">
        <v>0.9998901</v>
      </c>
      <c r="N1166">
        <v>0</v>
      </c>
      <c r="O1166">
        <v>-2.7257240000000001E-3</v>
      </c>
      <c r="P1166">
        <v>0.97410790000000003</v>
      </c>
      <c r="Q1166">
        <v>0.1812116</v>
      </c>
      <c r="R1166">
        <v>-0.13519139999999999</v>
      </c>
      <c r="S1166">
        <v>3.0400700000000001</v>
      </c>
      <c r="T1166">
        <v>-0.14636250000000001</v>
      </c>
      <c r="U1166">
        <v>-0.4837341</v>
      </c>
      <c r="V1166">
        <v>0.13261319999999999</v>
      </c>
      <c r="W1166">
        <v>0.19534280000000001</v>
      </c>
      <c r="X1166">
        <v>0.97172780000000003</v>
      </c>
      <c r="Y1166">
        <v>0.15427859999999999</v>
      </c>
      <c r="Z1166">
        <v>-3.5581779999999999E-3</v>
      </c>
      <c r="AA1166">
        <v>0.98802100000000004</v>
      </c>
      <c r="AB1166">
        <v>34</v>
      </c>
      <c r="AC1166">
        <v>22.871399999999898</v>
      </c>
      <c r="AD1166">
        <v>-1.1098254777999901</v>
      </c>
      <c r="AE1166">
        <v>-3.6676000000000499</v>
      </c>
      <c r="AF1166">
        <v>3.5969813759051199</v>
      </c>
      <c r="AG1166">
        <v>-1.1098254777999901</v>
      </c>
      <c r="AH1166">
        <v>22.8289067677532</v>
      </c>
      <c r="AI1166">
        <v>92.749372793988897</v>
      </c>
      <c r="AJ1166">
        <v>81.045942777890502</v>
      </c>
      <c r="AK1166">
        <v>23.137177265616199</v>
      </c>
      <c r="AL1166">
        <v>78.7352502244715</v>
      </c>
      <c r="AM1166">
        <v>82.228763892206899</v>
      </c>
      <c r="AN1166">
        <v>0.99999999380946003</v>
      </c>
    </row>
    <row r="1167" spans="1:40" x14ac:dyDescent="0.25">
      <c r="A1167" t="str">
        <f>"20190312172914841"</f>
        <v>20190312172914841</v>
      </c>
      <c r="B1167" t="str">
        <f>"1552382954838711"</f>
        <v>1552382954838711</v>
      </c>
      <c r="C1167" t="s">
        <v>40</v>
      </c>
      <c r="D1167">
        <v>3.3687670000000001</v>
      </c>
      <c r="E1167">
        <v>0.51315449999999996</v>
      </c>
      <c r="F1167" t="s">
        <v>41</v>
      </c>
      <c r="G1167">
        <v>-214.71860000000001</v>
      </c>
      <c r="H1167" s="1">
        <v>-3.4201289999999998E-6</v>
      </c>
      <c r="I1167">
        <v>363.46499999999997</v>
      </c>
      <c r="J1167">
        <v>-237.28479999999999</v>
      </c>
      <c r="K1167">
        <v>1.109818</v>
      </c>
      <c r="L1167">
        <v>367.09519999999998</v>
      </c>
      <c r="M1167">
        <v>0.99989059999999996</v>
      </c>
      <c r="N1167">
        <v>0</v>
      </c>
      <c r="O1167">
        <v>-2.5908789999999999E-3</v>
      </c>
      <c r="P1167">
        <v>0.97399029999999998</v>
      </c>
      <c r="Q1167">
        <v>0.18053420000000001</v>
      </c>
      <c r="R1167">
        <v>-0.13693150000000001</v>
      </c>
      <c r="S1167">
        <v>3.0399479999999999</v>
      </c>
      <c r="T1167">
        <v>-0.1484241</v>
      </c>
      <c r="U1167">
        <v>-0.48556519999999997</v>
      </c>
      <c r="V1167">
        <v>0.13447390000000001</v>
      </c>
      <c r="W1167">
        <v>0.1946599</v>
      </c>
      <c r="X1167">
        <v>0.9716091</v>
      </c>
      <c r="Y1167">
        <v>0.15499250000000001</v>
      </c>
      <c r="Z1167">
        <v>-3.632059E-3</v>
      </c>
      <c r="AA1167">
        <v>0.98790900000000004</v>
      </c>
      <c r="AB1167">
        <v>34</v>
      </c>
      <c r="AC1167">
        <v>22.566199999999899</v>
      </c>
      <c r="AD1167">
        <v>-1.109821420129</v>
      </c>
      <c r="AE1167">
        <v>-3.6301999999999999</v>
      </c>
      <c r="AF1167">
        <v>3.5633140018673801</v>
      </c>
      <c r="AG1167">
        <v>-1.109821420129</v>
      </c>
      <c r="AH1167">
        <v>22.5224289406267</v>
      </c>
      <c r="AI1167">
        <v>92.786438356671397</v>
      </c>
      <c r="AJ1167">
        <v>81.009649808146506</v>
      </c>
      <c r="AK1167">
        <v>22.829557938034199</v>
      </c>
      <c r="AL1167">
        <v>78.775143126815294</v>
      </c>
      <c r="AM1167">
        <v>82.120135091173296</v>
      </c>
      <c r="AN1167">
        <v>0.99999997482601399</v>
      </c>
    </row>
    <row r="1168" spans="1:40" x14ac:dyDescent="0.25">
      <c r="A1168" t="str">
        <f>"20190312172914853"</f>
        <v>20190312172914853</v>
      </c>
      <c r="B1168" t="str">
        <f>"1552382954848471"</f>
        <v>1552382954848471</v>
      </c>
      <c r="C1168" t="s">
        <v>40</v>
      </c>
      <c r="D1168">
        <v>3.3954900000000001</v>
      </c>
      <c r="E1168">
        <v>0.51298029999999994</v>
      </c>
      <c r="F1168" t="s">
        <v>41</v>
      </c>
      <c r="G1168">
        <v>-215.10319999999999</v>
      </c>
      <c r="H1168" s="1">
        <v>-3.2730330000000001E-6</v>
      </c>
      <c r="I1168">
        <v>363.52589999999998</v>
      </c>
      <c r="J1168">
        <v>-237.11789999999999</v>
      </c>
      <c r="K1168">
        <v>1.109836</v>
      </c>
      <c r="L1168">
        <v>367.09480000000002</v>
      </c>
      <c r="M1168">
        <v>0.99989090000000003</v>
      </c>
      <c r="N1168">
        <v>0</v>
      </c>
      <c r="O1168">
        <v>-2.5588619999999999E-3</v>
      </c>
      <c r="P1168">
        <v>0.97377130000000001</v>
      </c>
      <c r="Q1168">
        <v>0.17990400000000001</v>
      </c>
      <c r="R1168">
        <v>-0.1392989</v>
      </c>
      <c r="S1168">
        <v>3.039536</v>
      </c>
      <c r="T1168">
        <v>-0.15207789999999999</v>
      </c>
      <c r="U1168">
        <v>-0.48910520000000002</v>
      </c>
      <c r="V1168">
        <v>0.13685240000000001</v>
      </c>
      <c r="W1168">
        <v>0.1940238</v>
      </c>
      <c r="X1168">
        <v>0.9714043</v>
      </c>
      <c r="Y1168">
        <v>0.1561563</v>
      </c>
      <c r="Z1168">
        <v>-3.7520219999999998E-3</v>
      </c>
      <c r="AA1168">
        <v>0.98772519999999997</v>
      </c>
      <c r="AB1168">
        <v>34</v>
      </c>
      <c r="AC1168">
        <v>22.014700000000001</v>
      </c>
      <c r="AD1168">
        <v>-1.109839273033</v>
      </c>
      <c r="AE1168">
        <v>-3.5689000000000402</v>
      </c>
      <c r="AF1168">
        <v>3.5038726316314701</v>
      </c>
      <c r="AG1168">
        <v>-1.109839273033</v>
      </c>
      <c r="AH1168">
        <v>21.969355346930101</v>
      </c>
      <c r="AI1168">
        <v>92.855953108289697</v>
      </c>
      <c r="AJ1168">
        <v>80.938267301006206</v>
      </c>
      <c r="AK1168">
        <v>22.2746816136696</v>
      </c>
      <c r="AL1168">
        <v>78.812298374381299</v>
      </c>
      <c r="AM1168">
        <v>81.980888897663505</v>
      </c>
      <c r="AN1168">
        <v>1.0000000642053399</v>
      </c>
    </row>
    <row r="1169" spans="1:40" x14ac:dyDescent="0.25">
      <c r="A1169" t="str">
        <f>"20190312172914865"</f>
        <v>20190312172914865</v>
      </c>
      <c r="B1169" t="str">
        <f>"1552382954858231"</f>
        <v>1552382954858231</v>
      </c>
      <c r="C1169" t="s">
        <v>40</v>
      </c>
      <c r="D1169">
        <v>3.383146</v>
      </c>
      <c r="E1169">
        <v>0.51277539999999999</v>
      </c>
      <c r="F1169" t="s">
        <v>41</v>
      </c>
      <c r="G1169">
        <v>-215.36510000000001</v>
      </c>
      <c r="H1169" s="1">
        <v>-3.1760810000000001E-6</v>
      </c>
      <c r="I1169">
        <v>363.55529999999999</v>
      </c>
      <c r="J1169">
        <v>-236.9425</v>
      </c>
      <c r="K1169">
        <v>1.1098589999999999</v>
      </c>
      <c r="L1169">
        <v>367.09429999999998</v>
      </c>
      <c r="M1169">
        <v>0.99989130000000004</v>
      </c>
      <c r="N1169">
        <v>0</v>
      </c>
      <c r="O1169">
        <v>-2.5439400000000002E-3</v>
      </c>
      <c r="P1169">
        <v>0.97350449999999999</v>
      </c>
      <c r="Q1169">
        <v>0.1796519</v>
      </c>
      <c r="R1169">
        <v>-0.14147290000000001</v>
      </c>
      <c r="S1169">
        <v>3.0387270000000002</v>
      </c>
      <c r="T1169">
        <v>-0.15503699999999901</v>
      </c>
      <c r="U1169">
        <v>-0.49444579999999999</v>
      </c>
      <c r="V1169">
        <v>0.13901929999999901</v>
      </c>
      <c r="W1169">
        <v>0.19376660000000001</v>
      </c>
      <c r="X1169">
        <v>0.97114780000000001</v>
      </c>
      <c r="Y1169">
        <v>0.15789410000000001</v>
      </c>
      <c r="Z1169">
        <v>-3.8701759999999999E-3</v>
      </c>
      <c r="AA1169">
        <v>0.98744849999999995</v>
      </c>
      <c r="AB1169">
        <v>34</v>
      </c>
      <c r="AC1169">
        <v>21.577399999999901</v>
      </c>
      <c r="AD1169">
        <v>-1.1098621760809999</v>
      </c>
      <c r="AE1169">
        <v>-3.5389999999999802</v>
      </c>
      <c r="AF1169">
        <v>3.4751378382931501</v>
      </c>
      <c r="AG1169">
        <v>-1.1098621760809999</v>
      </c>
      <c r="AH1169">
        <v>21.530862240204598</v>
      </c>
      <c r="AI1169">
        <v>92.913207052404204</v>
      </c>
      <c r="AJ1169">
        <v>80.831381355808006</v>
      </c>
      <c r="AK1169">
        <v>21.837728953618299</v>
      </c>
      <c r="AL1169">
        <v>78.827318690129403</v>
      </c>
      <c r="AM1169">
        <v>81.853483776043802</v>
      </c>
      <c r="AN1169">
        <v>0.99999995524644403</v>
      </c>
    </row>
    <row r="1170" spans="1:40" x14ac:dyDescent="0.25">
      <c r="A1170" t="str">
        <f>"20190312172914875"</f>
        <v>20190312172914875</v>
      </c>
      <c r="B1170" t="str">
        <f>"1552382954868967"</f>
        <v>1552382954868967</v>
      </c>
      <c r="C1170" t="s">
        <v>40</v>
      </c>
      <c r="D1170">
        <v>3.3959950000000001</v>
      </c>
      <c r="E1170">
        <v>0.51277539999999999</v>
      </c>
      <c r="F1170" t="s">
        <v>41</v>
      </c>
      <c r="G1170">
        <v>-215.44730000000001</v>
      </c>
      <c r="H1170" s="1">
        <v>-3.1457229999999998E-6</v>
      </c>
      <c r="I1170">
        <v>363.56420000000003</v>
      </c>
      <c r="J1170">
        <v>-236.76169999999999</v>
      </c>
      <c r="K1170">
        <v>1.109885</v>
      </c>
      <c r="L1170">
        <v>367.09390000000002</v>
      </c>
      <c r="M1170">
        <v>0.99989139999999999</v>
      </c>
      <c r="N1170">
        <v>0</v>
      </c>
      <c r="O1170">
        <v>-2.573283E-3</v>
      </c>
      <c r="P1170">
        <v>0.97326380000000001</v>
      </c>
      <c r="Q1170">
        <v>0.17895429999999901</v>
      </c>
      <c r="R1170">
        <v>-0.14399000000000001</v>
      </c>
      <c r="S1170">
        <v>3.0380859999999998</v>
      </c>
      <c r="T1170">
        <v>-0.1568649</v>
      </c>
      <c r="U1170">
        <v>-0.49893189999999998</v>
      </c>
      <c r="V1170">
        <v>0.14148939999999999</v>
      </c>
      <c r="W1170">
        <v>0.1930653</v>
      </c>
      <c r="X1170">
        <v>0.97093079999999998</v>
      </c>
      <c r="Y1170">
        <v>0.1593116</v>
      </c>
      <c r="Z1170">
        <v>-3.9509200000000001E-3</v>
      </c>
      <c r="AA1170">
        <v>0.98722049999999995</v>
      </c>
      <c r="AB1170">
        <v>34</v>
      </c>
      <c r="AC1170">
        <v>21.3143999999999</v>
      </c>
      <c r="AD1170">
        <v>-1.1098881457230001</v>
      </c>
      <c r="AE1170">
        <v>-3.5296999999999898</v>
      </c>
      <c r="AF1170">
        <v>3.4656881140606601</v>
      </c>
      <c r="AG1170">
        <v>-1.1098881457230001</v>
      </c>
      <c r="AH1170">
        <v>21.267285930198</v>
      </c>
      <c r="AI1170">
        <v>92.948593614993896</v>
      </c>
      <c r="AJ1170">
        <v>80.744513214309507</v>
      </c>
      <c r="AK1170">
        <v>21.576382844136699</v>
      </c>
      <c r="AL1170">
        <v>78.868274529072906</v>
      </c>
      <c r="AM1170">
        <v>81.708903486582201</v>
      </c>
      <c r="AN1170">
        <v>1.0000000393825399</v>
      </c>
    </row>
    <row r="1171" spans="1:40" x14ac:dyDescent="0.25">
      <c r="A1171" t="str">
        <f>"20190312172914886"</f>
        <v>20190312172914886</v>
      </c>
      <c r="B1171" t="str">
        <f>"1552382954878727"</f>
        <v>1552382954878727</v>
      </c>
      <c r="C1171" t="s">
        <v>40</v>
      </c>
      <c r="D1171">
        <v>3.3969369999999999</v>
      </c>
      <c r="E1171">
        <v>0.50508719999999996</v>
      </c>
      <c r="F1171" t="s">
        <v>41</v>
      </c>
      <c r="G1171">
        <v>-215.57650000000001</v>
      </c>
      <c r="H1171" s="1">
        <v>-3.1010820000000002E-6</v>
      </c>
      <c r="I1171">
        <v>363.56670000000003</v>
      </c>
      <c r="J1171">
        <v>-236.60849999999999</v>
      </c>
      <c r="K1171">
        <v>1.1099019999999999</v>
      </c>
      <c r="L1171">
        <v>367.09359999999998</v>
      </c>
      <c r="M1171">
        <v>0.99989159999999999</v>
      </c>
      <c r="N1171">
        <v>0</v>
      </c>
      <c r="O1171">
        <v>-2.593691E-3</v>
      </c>
      <c r="P1171">
        <v>0.97299919999999995</v>
      </c>
      <c r="Q1171">
        <v>0.17845839999999999</v>
      </c>
      <c r="R1171">
        <v>-0.1463757</v>
      </c>
      <c r="S1171">
        <v>3.0368499999999998</v>
      </c>
      <c r="T1171">
        <v>-0.15909980000000001</v>
      </c>
      <c r="U1171">
        <v>-0.50561520000000004</v>
      </c>
      <c r="V1171">
        <v>0.14384279999999999</v>
      </c>
      <c r="W1171">
        <v>0.19256509999999999</v>
      </c>
      <c r="X1171">
        <v>0.97068430000000006</v>
      </c>
      <c r="Y1171">
        <v>0.1614614</v>
      </c>
      <c r="Z1171">
        <v>-4.0628590000000003E-3</v>
      </c>
      <c r="AA1171">
        <v>0.98687060000000004</v>
      </c>
      <c r="AB1171">
        <v>34</v>
      </c>
      <c r="AC1171">
        <v>21.031999999999901</v>
      </c>
      <c r="AD1171">
        <v>-1.109905101082</v>
      </c>
      <c r="AE1171">
        <v>-3.5268999999999502</v>
      </c>
      <c r="AF1171">
        <v>3.4629516774726401</v>
      </c>
      <c r="AG1171">
        <v>-1.109905101082</v>
      </c>
      <c r="AH1171">
        <v>20.9842371596914</v>
      </c>
      <c r="AI1171">
        <v>92.987355273124606</v>
      </c>
      <c r="AJ1171">
        <v>80.629146212066303</v>
      </c>
      <c r="AK1171">
        <v>21.296998211675099</v>
      </c>
      <c r="AL1171">
        <v>78.897481953841705</v>
      </c>
      <c r="AM1171">
        <v>81.570852425857495</v>
      </c>
      <c r="AN1171">
        <v>1.0000000395581601</v>
      </c>
    </row>
    <row r="1172" spans="1:40" x14ac:dyDescent="0.25">
      <c r="A1172" t="str">
        <f>"20190312172914897"</f>
        <v>20190312172914897</v>
      </c>
      <c r="B1172" t="str">
        <f>"1552382954888487"</f>
        <v>1552382954888487</v>
      </c>
      <c r="C1172" t="s">
        <v>40</v>
      </c>
      <c r="D1172">
        <v>3.4311310000000002</v>
      </c>
      <c r="E1172">
        <v>0.50508719999999996</v>
      </c>
      <c r="F1172" t="s">
        <v>41</v>
      </c>
      <c r="G1172">
        <v>-219.4905</v>
      </c>
      <c r="H1172" s="1">
        <v>-1.5027199999999999E-6</v>
      </c>
      <c r="I1172">
        <v>364.56799999999998</v>
      </c>
      <c r="J1172">
        <v>-236.43549999999999</v>
      </c>
      <c r="K1172">
        <v>1.109907</v>
      </c>
      <c r="L1172">
        <v>367.0933</v>
      </c>
      <c r="M1172">
        <v>0.99989170000000005</v>
      </c>
      <c r="N1172">
        <v>0</v>
      </c>
      <c r="O1172">
        <v>-2.6032579999999998E-3</v>
      </c>
      <c r="P1172">
        <v>0.97278189999999998</v>
      </c>
      <c r="Q1172">
        <v>0.17798659999999999</v>
      </c>
      <c r="R1172">
        <v>-0.14837990000000001</v>
      </c>
      <c r="S1172">
        <v>3.0517880000000002</v>
      </c>
      <c r="T1172">
        <v>-0.1978723</v>
      </c>
      <c r="U1172">
        <v>-0.4502563</v>
      </c>
      <c r="V1172">
        <v>0.1458313</v>
      </c>
      <c r="W1172">
        <v>0.1920868</v>
      </c>
      <c r="X1172">
        <v>0.97048230000000002</v>
      </c>
      <c r="Y1172">
        <v>0.14309369999999999</v>
      </c>
      <c r="Z1172">
        <v>-4.4415110000000004E-3</v>
      </c>
      <c r="AA1172">
        <v>0.9896992</v>
      </c>
      <c r="AB1172">
        <v>34</v>
      </c>
      <c r="AC1172">
        <v>16.944999999999901</v>
      </c>
      <c r="AD1172">
        <v>-1.10990850272</v>
      </c>
      <c r="AE1172">
        <v>-2.5252999999999499</v>
      </c>
      <c r="AF1172">
        <v>2.47080434797406</v>
      </c>
      <c r="AG1172">
        <v>-1.10990850272</v>
      </c>
      <c r="AH1172">
        <v>16.880667110508099</v>
      </c>
      <c r="AI1172">
        <v>93.722250723225798</v>
      </c>
      <c r="AJ1172">
        <v>81.672811725692995</v>
      </c>
      <c r="AK1172">
        <v>17.096598875395301</v>
      </c>
      <c r="AL1172">
        <v>78.925407434750397</v>
      </c>
      <c r="AM1172">
        <v>81.454283088935597</v>
      </c>
      <c r="AN1172">
        <v>1.0000000007036101</v>
      </c>
    </row>
    <row r="1173" spans="1:40" x14ac:dyDescent="0.25">
      <c r="A1173" t="str">
        <f>"20190312172914908"</f>
        <v>20190312172914908</v>
      </c>
      <c r="B1173" t="str">
        <f>"1552382954899223"</f>
        <v>1552382954899223</v>
      </c>
      <c r="C1173" t="s">
        <v>40</v>
      </c>
      <c r="D1173">
        <v>3.4764330000000001</v>
      </c>
      <c r="E1173">
        <v>0.51160609999999995</v>
      </c>
      <c r="F1173" t="s">
        <v>41</v>
      </c>
      <c r="G1173">
        <v>-219.44990000000001</v>
      </c>
      <c r="H1173" s="1">
        <v>-1.5205089999999999E-6</v>
      </c>
      <c r="I1173">
        <v>364.55309999999997</v>
      </c>
      <c r="J1173">
        <v>-236.26589999999999</v>
      </c>
      <c r="K1173">
        <v>1.10991</v>
      </c>
      <c r="L1173">
        <v>367.09289999999999</v>
      </c>
      <c r="M1173">
        <v>0.9998918</v>
      </c>
      <c r="N1173">
        <v>0</v>
      </c>
      <c r="O1173">
        <v>-2.5923700000000001E-3</v>
      </c>
      <c r="P1173">
        <v>0.9725589</v>
      </c>
      <c r="Q1173">
        <v>0.1773517</v>
      </c>
      <c r="R1173">
        <v>-0.150585</v>
      </c>
      <c r="S1173">
        <v>3.050827</v>
      </c>
      <c r="T1173">
        <v>-0.1993529</v>
      </c>
      <c r="U1173">
        <v>-0.45623780000000003</v>
      </c>
      <c r="V1173">
        <v>0.148044799999999</v>
      </c>
      <c r="W1173">
        <v>0.19144430000000001</v>
      </c>
      <c r="X1173">
        <v>0.97027410000000003</v>
      </c>
      <c r="Y1173">
        <v>0.14503920000000001</v>
      </c>
      <c r="Z1173">
        <v>-4.539281E-3</v>
      </c>
      <c r="AA1173">
        <v>0.9894155</v>
      </c>
      <c r="AB1173">
        <v>34</v>
      </c>
      <c r="AC1173">
        <v>16.815999999999899</v>
      </c>
      <c r="AD1173">
        <v>-1.109911520509</v>
      </c>
      <c r="AE1173">
        <v>-2.5398000000000098</v>
      </c>
      <c r="AF1173">
        <v>2.4856067157161101</v>
      </c>
      <c r="AG1173">
        <v>-1.109911520509</v>
      </c>
      <c r="AH1173">
        <v>16.7511803840077</v>
      </c>
      <c r="AI1173">
        <v>93.749865089644601</v>
      </c>
      <c r="AJ1173">
        <v>81.559809787764607</v>
      </c>
      <c r="AK1173">
        <v>16.970921854340599</v>
      </c>
      <c r="AL1173">
        <v>78.962916164922206</v>
      </c>
      <c r="AM1173">
        <v>81.324697310297097</v>
      </c>
      <c r="AN1173">
        <v>1.0000000059701699</v>
      </c>
    </row>
    <row r="1174" spans="1:40" x14ac:dyDescent="0.25">
      <c r="A1174" t="str">
        <f>"20190312172914920"</f>
        <v>20190312172914920</v>
      </c>
      <c r="B1174" t="str">
        <f>"1552382954908984"</f>
        <v>1552382954908984</v>
      </c>
      <c r="C1174" t="s">
        <v>40</v>
      </c>
      <c r="D1174">
        <v>3.4458959999999998</v>
      </c>
      <c r="E1174">
        <v>0.51160609999999995</v>
      </c>
      <c r="F1174" t="s">
        <v>41</v>
      </c>
      <c r="G1174">
        <v>-219.8193</v>
      </c>
      <c r="H1174" s="1">
        <v>-1.458451E-6</v>
      </c>
      <c r="I1174">
        <v>364.31380000000001</v>
      </c>
      <c r="J1174">
        <v>-236.0789</v>
      </c>
      <c r="K1174">
        <v>1.109907</v>
      </c>
      <c r="L1174">
        <v>367.09249999999997</v>
      </c>
      <c r="M1174">
        <v>0.99989189999999994</v>
      </c>
      <c r="N1174">
        <v>0</v>
      </c>
      <c r="O1174">
        <v>-2.5559129999999999E-3</v>
      </c>
      <c r="P1174">
        <v>0.97231140000000005</v>
      </c>
      <c r="Q1174">
        <v>0.17698949999999999</v>
      </c>
      <c r="R1174">
        <v>-0.1525967</v>
      </c>
      <c r="S1174">
        <v>3.0425110000000002</v>
      </c>
      <c r="T1174">
        <v>-0.2053256</v>
      </c>
      <c r="U1174">
        <v>-0.51409910000000003</v>
      </c>
      <c r="V1174">
        <v>0.15009400000000001</v>
      </c>
      <c r="W1174">
        <v>0.1910722</v>
      </c>
      <c r="X1174">
        <v>0.97003260000000002</v>
      </c>
      <c r="Y1174">
        <v>0.16373279999999901</v>
      </c>
      <c r="Z1174">
        <v>-5.3087280000000004E-3</v>
      </c>
      <c r="AA1174">
        <v>0.98649039999999999</v>
      </c>
      <c r="AB1174">
        <v>34</v>
      </c>
      <c r="AC1174">
        <v>16.259599999999999</v>
      </c>
      <c r="AD1174">
        <v>-1.1099084584509999</v>
      </c>
      <c r="AE1174">
        <v>-2.77869999999995</v>
      </c>
      <c r="AF1174">
        <v>2.72479211361992</v>
      </c>
      <c r="AG1174">
        <v>-1.1099084584509999</v>
      </c>
      <c r="AH1174">
        <v>16.193335412743199</v>
      </c>
      <c r="AI1174">
        <v>93.866790555781506</v>
      </c>
      <c r="AJ1174">
        <v>80.448527631185399</v>
      </c>
      <c r="AK1174">
        <v>16.458447698315599</v>
      </c>
      <c r="AL1174">
        <v>78.984637048330697</v>
      </c>
      <c r="AM1174">
        <v>81.204325181134195</v>
      </c>
      <c r="AN1174">
        <v>1.0000000197557899</v>
      </c>
    </row>
    <row r="1175" spans="1:40" x14ac:dyDescent="0.25">
      <c r="A1175" t="str">
        <f>"20190312172914942"</f>
        <v>20190312172914942</v>
      </c>
      <c r="B1175" t="str">
        <f>"1552382954938263"</f>
        <v>1552382954938263</v>
      </c>
      <c r="C1175" t="s">
        <v>40</v>
      </c>
      <c r="D1175">
        <v>3.4752890000000001</v>
      </c>
      <c r="E1175">
        <v>0.53391060000000001</v>
      </c>
      <c r="F1175" t="s">
        <v>41</v>
      </c>
      <c r="G1175">
        <v>-219.72980000000001</v>
      </c>
      <c r="H1175" s="1">
        <v>-1.4941E-6</v>
      </c>
      <c r="I1175">
        <v>364.2944</v>
      </c>
      <c r="J1175">
        <v>-235.761</v>
      </c>
      <c r="K1175">
        <v>1.109899</v>
      </c>
      <c r="L1175">
        <v>367.09179999999998</v>
      </c>
      <c r="M1175">
        <v>0.99989220000000001</v>
      </c>
      <c r="N1175">
        <v>0</v>
      </c>
      <c r="O1175">
        <v>-2.437785E-3</v>
      </c>
      <c r="P1175">
        <v>0.97185359999999998</v>
      </c>
      <c r="Q1175">
        <v>0.1761363</v>
      </c>
      <c r="R1175">
        <v>-0.156449799999999</v>
      </c>
      <c r="S1175">
        <v>3.0413359999999998</v>
      </c>
      <c r="T1175">
        <v>-0.20646880000000001</v>
      </c>
      <c r="U1175">
        <v>-0.52050779999999996</v>
      </c>
      <c r="V1175">
        <v>0.1540707</v>
      </c>
      <c r="W1175">
        <v>0.1902016</v>
      </c>
      <c r="X1175">
        <v>0.96958009999999994</v>
      </c>
      <c r="Y1175">
        <v>0.1659226</v>
      </c>
      <c r="Z1175">
        <v>-5.4209740000000003E-3</v>
      </c>
      <c r="AA1175">
        <v>0.98612390000000005</v>
      </c>
      <c r="AB1175">
        <v>34</v>
      </c>
      <c r="AC1175">
        <v>16.031199999999899</v>
      </c>
      <c r="AD1175">
        <v>-1.1099004940999999</v>
      </c>
      <c r="AE1175">
        <v>-2.7973999999999801</v>
      </c>
      <c r="AF1175">
        <v>2.7455356293778199</v>
      </c>
      <c r="AG1175">
        <v>-1.1099004940999999</v>
      </c>
      <c r="AH1175">
        <v>15.9637145111656</v>
      </c>
      <c r="AI1175">
        <v>93.919805765468197</v>
      </c>
      <c r="AJ1175">
        <v>80.241397040442294</v>
      </c>
      <c r="AK1175">
        <v>16.2360717537521</v>
      </c>
      <c r="AL1175">
        <v>79.035450422881198</v>
      </c>
      <c r="AM1175">
        <v>80.9709309028989</v>
      </c>
      <c r="AN1175">
        <v>0.99999999977852905</v>
      </c>
    </row>
    <row r="1176" spans="1:40" x14ac:dyDescent="0.25">
      <c r="A1176" t="str">
        <f>"20190312172914953"</f>
        <v>20190312172914953</v>
      </c>
      <c r="B1176" t="str">
        <f>"1552382954949000"</f>
        <v>1552382954949000</v>
      </c>
      <c r="C1176" t="s">
        <v>40</v>
      </c>
      <c r="D1176">
        <v>3.4729990000000002</v>
      </c>
      <c r="E1176">
        <v>0.53383819999999904</v>
      </c>
      <c r="F1176" t="s">
        <v>41</v>
      </c>
      <c r="G1176">
        <v>-218.68809999999999</v>
      </c>
      <c r="H1176" s="1">
        <v>-2.1755519999999999E-6</v>
      </c>
      <c r="I1176">
        <v>363.06549999999999</v>
      </c>
      <c r="J1176">
        <v>-235.57660000000001</v>
      </c>
      <c r="K1176">
        <v>1.1099019999999999</v>
      </c>
      <c r="L1176">
        <v>367.09140000000002</v>
      </c>
      <c r="M1176">
        <v>0.99989249999999996</v>
      </c>
      <c r="N1176">
        <v>0</v>
      </c>
      <c r="O1176">
        <v>-2.354568E-3</v>
      </c>
      <c r="P1176">
        <v>0.9716745</v>
      </c>
      <c r="Q1176">
        <v>0.1756568</v>
      </c>
      <c r="R1176">
        <v>-0.1580935</v>
      </c>
      <c r="S1176">
        <v>3.0081180000000001</v>
      </c>
      <c r="T1176">
        <v>-0.19555639999999999</v>
      </c>
      <c r="U1176">
        <v>-0.70941160000000003</v>
      </c>
      <c r="V1176">
        <v>0.15579870000000001</v>
      </c>
      <c r="W1176">
        <v>0.1897161</v>
      </c>
      <c r="X1176">
        <v>0.96939909999999996</v>
      </c>
      <c r="Y1176">
        <v>0.22679440000000001</v>
      </c>
      <c r="Z1176">
        <v>-7.1139430000000002E-3</v>
      </c>
      <c r="AA1176">
        <v>0.97391660000000002</v>
      </c>
      <c r="AB1176">
        <v>34</v>
      </c>
      <c r="AC1176">
        <v>16.888500000000001</v>
      </c>
      <c r="AD1176">
        <v>-1.109904175552</v>
      </c>
      <c r="AE1176">
        <v>-4.0259000000000302</v>
      </c>
      <c r="AF1176">
        <v>3.96989530406504</v>
      </c>
      <c r="AG1176">
        <v>-1.109904175552</v>
      </c>
      <c r="AH1176">
        <v>16.8291556947852</v>
      </c>
      <c r="AI1176">
        <v>93.672748907422502</v>
      </c>
      <c r="AJ1176">
        <v>76.726921767938805</v>
      </c>
      <c r="AK1176">
        <v>17.326639530026199</v>
      </c>
      <c r="AL1176">
        <v>79.063783681165305</v>
      </c>
      <c r="AM1176">
        <v>80.869684312792202</v>
      </c>
      <c r="AN1176">
        <v>1.00000002430085</v>
      </c>
    </row>
    <row r="1177" spans="1:40" x14ac:dyDescent="0.25">
      <c r="A1177" t="str">
        <f>"20190312172914967"</f>
        <v>20190312172914967</v>
      </c>
      <c r="B1177" t="str">
        <f>"1552382954958758"</f>
        <v>1552382954958758</v>
      </c>
      <c r="C1177" t="s">
        <v>40</v>
      </c>
      <c r="D1177">
        <v>3.505884</v>
      </c>
      <c r="E1177">
        <v>0.53386769999999995</v>
      </c>
      <c r="F1177" t="s">
        <v>41</v>
      </c>
      <c r="G1177">
        <v>-218.57839999999999</v>
      </c>
      <c r="H1177" s="1">
        <v>-2.216695E-6</v>
      </c>
      <c r="I1177">
        <v>363.05119999999999</v>
      </c>
      <c r="J1177">
        <v>-235.37739999999999</v>
      </c>
      <c r="K1177">
        <v>1.109909</v>
      </c>
      <c r="L1177">
        <v>367.09100000000001</v>
      </c>
      <c r="M1177">
        <v>0.99989280000000003</v>
      </c>
      <c r="N1177">
        <v>0</v>
      </c>
      <c r="O1177">
        <v>-2.2642780000000002E-3</v>
      </c>
      <c r="P1177">
        <v>0.97147729999999999</v>
      </c>
      <c r="Q1177">
        <v>0.1753487</v>
      </c>
      <c r="R1177">
        <v>-0.15964130000000001</v>
      </c>
      <c r="S1177">
        <v>3.006653</v>
      </c>
      <c r="T1177">
        <v>-0.19631960000000001</v>
      </c>
      <c r="U1177">
        <v>-0.71463009999999905</v>
      </c>
      <c r="V1177">
        <v>0.1574362</v>
      </c>
      <c r="W1177">
        <v>0.18940380000000001</v>
      </c>
      <c r="X1177">
        <v>0.96919549999999999</v>
      </c>
      <c r="Y1177">
        <v>0.22858110000000001</v>
      </c>
      <c r="Z1177">
        <v>-7.2069040000000001E-3</v>
      </c>
      <c r="AA1177">
        <v>0.97349819999999998</v>
      </c>
      <c r="AB1177">
        <v>34</v>
      </c>
      <c r="AC1177">
        <v>16.798999999999999</v>
      </c>
      <c r="AD1177">
        <v>-1.109911216695</v>
      </c>
      <c r="AE1177">
        <v>-4.0398000000000103</v>
      </c>
      <c r="AF1177">
        <v>3.98530225450427</v>
      </c>
      <c r="AG1177">
        <v>-1.109911216695</v>
      </c>
      <c r="AH1177">
        <v>16.7390296146861</v>
      </c>
      <c r="AI1177">
        <v>93.690682994192699</v>
      </c>
      <c r="AJ1177">
        <v>76.608088510856902</v>
      </c>
      <c r="AK1177">
        <v>17.242669439795002</v>
      </c>
      <c r="AL1177">
        <v>79.082006601042806</v>
      </c>
      <c r="AM1177">
        <v>80.773458312888096</v>
      </c>
      <c r="AN1177">
        <v>0.99999993687256294</v>
      </c>
    </row>
    <row r="1178" spans="1:40" x14ac:dyDescent="0.25">
      <c r="A1178" t="str">
        <f>"20190312172914989"</f>
        <v>20190312172914989</v>
      </c>
      <c r="B1178" t="str">
        <f>"1552382954978279"</f>
        <v>1552382954978279</v>
      </c>
      <c r="C1178" t="s">
        <v>40</v>
      </c>
      <c r="D1178">
        <v>3.4969250000000001</v>
      </c>
      <c r="E1178">
        <v>0.53364690000000004</v>
      </c>
      <c r="F1178" t="s">
        <v>41</v>
      </c>
      <c r="G1178">
        <v>-218.41849999999999</v>
      </c>
      <c r="H1178" s="1">
        <v>-2.2776099999999999E-6</v>
      </c>
      <c r="I1178">
        <v>363.02670000000001</v>
      </c>
      <c r="J1178">
        <v>-235.06450000000001</v>
      </c>
      <c r="K1178">
        <v>1.109934</v>
      </c>
      <c r="L1178">
        <v>367.09030000000001</v>
      </c>
      <c r="M1178">
        <v>0.99989300000000003</v>
      </c>
      <c r="N1178">
        <v>0</v>
      </c>
      <c r="O1178">
        <v>-2.134843E-3</v>
      </c>
      <c r="P1178">
        <v>0.9710529</v>
      </c>
      <c r="Q1178">
        <v>0.17482729999999999</v>
      </c>
      <c r="R1178">
        <v>-0.16276309999999999</v>
      </c>
      <c r="S1178">
        <v>3.0052490000000001</v>
      </c>
      <c r="T1178">
        <v>-0.196685</v>
      </c>
      <c r="U1178">
        <v>-0.72021480000000004</v>
      </c>
      <c r="V1178">
        <v>0.16068180000000001</v>
      </c>
      <c r="W1178">
        <v>0.1888822</v>
      </c>
      <c r="X1178">
        <v>0.96876459999999998</v>
      </c>
      <c r="Y1178">
        <v>0.23051440000000001</v>
      </c>
      <c r="Z1178">
        <v>-7.2926939999999997E-3</v>
      </c>
      <c r="AA1178">
        <v>0.97304159999999995</v>
      </c>
      <c r="AB1178">
        <v>34</v>
      </c>
      <c r="AC1178">
        <v>16.646000000000001</v>
      </c>
      <c r="AD1178">
        <v>-1.1099362776099999</v>
      </c>
      <c r="AE1178">
        <v>-4.0636000000000001</v>
      </c>
      <c r="AF1178">
        <v>4.0112192905591701</v>
      </c>
      <c r="AG1178">
        <v>-1.1099362776099999</v>
      </c>
      <c r="AH1178">
        <v>16.585047039907298</v>
      </c>
      <c r="AI1178">
        <v>93.721757947627495</v>
      </c>
      <c r="AJ1178">
        <v>76.403674469086994</v>
      </c>
      <c r="AK1178">
        <v>17.099287238164301</v>
      </c>
      <c r="AL1178">
        <v>79.112442010932099</v>
      </c>
      <c r="AM1178">
        <v>80.582509012819401</v>
      </c>
      <c r="AN1178">
        <v>0.99999998827061898</v>
      </c>
    </row>
    <row r="1179" spans="1:40" x14ac:dyDescent="0.25">
      <c r="A1179" t="str">
        <f>"20190312172915009"</f>
        <v>20190312172915009</v>
      </c>
      <c r="B1179" t="str">
        <f>"1552382954998304"</f>
        <v>1552382954998304</v>
      </c>
      <c r="C1179" t="s">
        <v>40</v>
      </c>
      <c r="D1179">
        <v>3.5227379999999999</v>
      </c>
      <c r="E1179">
        <v>0.53321189999999996</v>
      </c>
      <c r="F1179" t="s">
        <v>41</v>
      </c>
      <c r="G1179">
        <v>-218.25370000000001</v>
      </c>
      <c r="H1179" s="1">
        <v>-2.3383620000000001E-6</v>
      </c>
      <c r="I1179">
        <v>363.00920000000002</v>
      </c>
      <c r="J1179">
        <v>-234.73740000000001</v>
      </c>
      <c r="K1179">
        <v>1.109972</v>
      </c>
      <c r="L1179">
        <v>367.08969999999999</v>
      </c>
      <c r="M1179">
        <v>0.99989309999999998</v>
      </c>
      <c r="N1179">
        <v>0</v>
      </c>
      <c r="O1179">
        <v>-2.020979E-3</v>
      </c>
      <c r="P1179">
        <v>0.97056799999999999</v>
      </c>
      <c r="Q1179">
        <v>0.1747291</v>
      </c>
      <c r="R1179">
        <v>-0.1657344</v>
      </c>
      <c r="S1179">
        <v>3.002945</v>
      </c>
      <c r="T1179">
        <v>-0.1982689</v>
      </c>
      <c r="U1179">
        <v>-0.72900390000000004</v>
      </c>
      <c r="V1179">
        <v>0.16375680000000001</v>
      </c>
      <c r="W1179">
        <v>0.1887876</v>
      </c>
      <c r="X1179">
        <v>0.96826800000000002</v>
      </c>
      <c r="Y1179">
        <v>0.2334705</v>
      </c>
      <c r="Z1179">
        <v>-7.4577849999999998E-3</v>
      </c>
      <c r="AA1179">
        <v>0.97233530000000001</v>
      </c>
      <c r="AB1179">
        <v>34</v>
      </c>
      <c r="AC1179">
        <v>16.483699999999999</v>
      </c>
      <c r="AD1179">
        <v>-1.109974338362</v>
      </c>
      <c r="AE1179">
        <v>-4.0804999999999696</v>
      </c>
      <c r="AF1179">
        <v>4.0299567911933298</v>
      </c>
      <c r="AG1179">
        <v>-1.109974338362</v>
      </c>
      <c r="AH1179">
        <v>16.421751140751301</v>
      </c>
      <c r="AI1179">
        <v>93.755734296780105</v>
      </c>
      <c r="AJ1179">
        <v>76.211886414312303</v>
      </c>
      <c r="AK1179">
        <v>16.9453977616188</v>
      </c>
      <c r="AL1179">
        <v>79.117961442601896</v>
      </c>
      <c r="AM1179">
        <v>80.400775112675603</v>
      </c>
      <c r="AN1179">
        <v>0.99999998364199905</v>
      </c>
    </row>
    <row r="1180" spans="1:40" x14ac:dyDescent="0.25">
      <c r="A1180" t="str">
        <f>"20190312172915019"</f>
        <v>20190312172915019</v>
      </c>
      <c r="B1180" t="str">
        <f>"1552382955008065"</f>
        <v>1552382955008065</v>
      </c>
      <c r="C1180" t="s">
        <v>40</v>
      </c>
      <c r="D1180">
        <v>3.5055689999999999</v>
      </c>
      <c r="E1180">
        <v>0.53294790000000003</v>
      </c>
      <c r="F1180" t="s">
        <v>41</v>
      </c>
      <c r="G1180">
        <v>-217.989</v>
      </c>
      <c r="H1180" s="1">
        <v>-2.4341550000000002E-6</v>
      </c>
      <c r="I1180">
        <v>362.98779999999999</v>
      </c>
      <c r="J1180">
        <v>-234.5617</v>
      </c>
      <c r="K1180">
        <v>1.1099950000000001</v>
      </c>
      <c r="L1180">
        <v>367.08940000000001</v>
      </c>
      <c r="M1180">
        <v>0.99989320000000004</v>
      </c>
      <c r="N1180">
        <v>0</v>
      </c>
      <c r="O1180">
        <v>-1.966102E-3</v>
      </c>
      <c r="P1180">
        <v>0.97030039999999995</v>
      </c>
      <c r="Q1180">
        <v>0.17472190000000001</v>
      </c>
      <c r="R1180">
        <v>-0.1673017</v>
      </c>
      <c r="S1180">
        <v>3.0012660000000002</v>
      </c>
      <c r="T1180">
        <v>-0.19890360000000001</v>
      </c>
      <c r="U1180">
        <v>-0.73504639999999999</v>
      </c>
      <c r="V1180">
        <v>0.16537299999999999</v>
      </c>
      <c r="W1180">
        <v>0.1887839</v>
      </c>
      <c r="X1180">
        <v>0.96799400000000002</v>
      </c>
      <c r="Y1180">
        <v>0.23548810000000001</v>
      </c>
      <c r="Z1180">
        <v>-7.55330699999999E-3</v>
      </c>
      <c r="AA1180">
        <v>0.97184789999999999</v>
      </c>
      <c r="AB1180">
        <v>34</v>
      </c>
      <c r="AC1180">
        <v>16.572699999999902</v>
      </c>
      <c r="AD1180">
        <v>-1.1099974341550001</v>
      </c>
      <c r="AE1180">
        <v>-4.1016000000000101</v>
      </c>
      <c r="AF1180">
        <v>4.0518774863611897</v>
      </c>
      <c r="AG1180">
        <v>-1.1099974341550001</v>
      </c>
      <c r="AH1180">
        <v>16.510940158193499</v>
      </c>
      <c r="AI1180">
        <v>93.735579880783902</v>
      </c>
      <c r="AJ1180">
        <v>76.211777128553805</v>
      </c>
      <c r="AK1180">
        <v>17.037046409978402</v>
      </c>
      <c r="AL1180">
        <v>79.118177356151605</v>
      </c>
      <c r="AM1180">
        <v>80.305132524374898</v>
      </c>
      <c r="AN1180">
        <v>0.99999998703210502</v>
      </c>
    </row>
    <row r="1181" spans="1:40" x14ac:dyDescent="0.25">
      <c r="A1181" t="str">
        <f>"20190312172915031"</f>
        <v>20190312172915031</v>
      </c>
      <c r="B1181" t="str">
        <f>"1552382955028560"</f>
        <v>1552382955028560</v>
      </c>
      <c r="C1181" t="s">
        <v>40</v>
      </c>
      <c r="D1181">
        <v>3.5386120000000001</v>
      </c>
      <c r="E1181">
        <v>0.53248469999999903</v>
      </c>
      <c r="F1181" t="s">
        <v>41</v>
      </c>
      <c r="G1181">
        <v>-217.8468</v>
      </c>
      <c r="H1181" s="1">
        <v>-2.4850879999999998E-6</v>
      </c>
      <c r="I1181">
        <v>362.97809999999998</v>
      </c>
      <c r="J1181">
        <v>-234.39279999999999</v>
      </c>
      <c r="K1181">
        <v>1.1100099999999999</v>
      </c>
      <c r="L1181">
        <v>367.08909999999997</v>
      </c>
      <c r="M1181">
        <v>0.99989320000000004</v>
      </c>
      <c r="N1181">
        <v>0</v>
      </c>
      <c r="O1181">
        <v>-1.9143529999999999E-3</v>
      </c>
      <c r="P1181">
        <v>0.96999840000000004</v>
      </c>
      <c r="Q1181">
        <v>0.1751162</v>
      </c>
      <c r="R1181">
        <v>-0.16863439999999999</v>
      </c>
      <c r="S1181">
        <v>3.0004729999999999</v>
      </c>
      <c r="T1181">
        <v>-0.19925419999999999</v>
      </c>
      <c r="U1181">
        <v>-0.73800659999999996</v>
      </c>
      <c r="V1181">
        <v>0.1667526</v>
      </c>
      <c r="W1181">
        <v>0.18917999999999999</v>
      </c>
      <c r="X1181">
        <v>0.96767999999999998</v>
      </c>
      <c r="Y1181">
        <v>0.23649800000000001</v>
      </c>
      <c r="Z1181">
        <v>-7.6040439999999999E-3</v>
      </c>
      <c r="AA1181">
        <v>0.97160230000000003</v>
      </c>
      <c r="AB1181">
        <v>34</v>
      </c>
      <c r="AC1181">
        <v>16.5459999999999</v>
      </c>
      <c r="AD1181">
        <v>-1.110012485088</v>
      </c>
      <c r="AE1181">
        <v>-4.11099999999999</v>
      </c>
      <c r="AF1181">
        <v>4.0620953724278897</v>
      </c>
      <c r="AG1181">
        <v>-1.110012485088</v>
      </c>
      <c r="AH1181">
        <v>16.483966249666299</v>
      </c>
      <c r="AI1181">
        <v>93.740842258320797</v>
      </c>
      <c r="AJ1181">
        <v>76.156590172179193</v>
      </c>
      <c r="AK1181">
        <v>17.013344464034301</v>
      </c>
      <c r="AL1181">
        <v>79.095066653555804</v>
      </c>
      <c r="AM1181">
        <v>80.222697870181705</v>
      </c>
      <c r="AN1181">
        <v>1.0000000422033699</v>
      </c>
    </row>
    <row r="1182" spans="1:40" x14ac:dyDescent="0.25">
      <c r="A1182" t="str">
        <f>"20190312172915042"</f>
        <v>20190312172915042</v>
      </c>
      <c r="B1182" t="str">
        <f>"1552382955038321"</f>
        <v>1552382955038321</v>
      </c>
      <c r="C1182" t="s">
        <v>40</v>
      </c>
      <c r="D1182">
        <v>3.5300440000000002</v>
      </c>
      <c r="E1182">
        <v>0.53223379999999998</v>
      </c>
      <c r="F1182" t="s">
        <v>41</v>
      </c>
      <c r="G1182">
        <v>-217.59030000000001</v>
      </c>
      <c r="H1182" s="1">
        <v>-2.5790389999999998E-6</v>
      </c>
      <c r="I1182">
        <v>362.95310000000001</v>
      </c>
      <c r="J1182">
        <v>-234.21700000000001</v>
      </c>
      <c r="K1182">
        <v>1.1100289999999999</v>
      </c>
      <c r="L1182">
        <v>367.08879999999999</v>
      </c>
      <c r="M1182">
        <v>0.99989329999999998</v>
      </c>
      <c r="N1182">
        <v>0</v>
      </c>
      <c r="O1182">
        <v>-1.8606989999999999E-3</v>
      </c>
      <c r="P1182">
        <v>0.9696901</v>
      </c>
      <c r="Q1182">
        <v>0.17530209999999999</v>
      </c>
      <c r="R1182">
        <v>-0.17020729999999901</v>
      </c>
      <c r="S1182">
        <v>3.0001370000000001</v>
      </c>
      <c r="T1182">
        <v>-0.19819580000000001</v>
      </c>
      <c r="U1182">
        <v>-0.73849489999999995</v>
      </c>
      <c r="V1182">
        <v>0.168374</v>
      </c>
      <c r="W1182">
        <v>0.1893678</v>
      </c>
      <c r="X1182">
        <v>0.96736239999999996</v>
      </c>
      <c r="Y1182">
        <v>0.23672889999999999</v>
      </c>
      <c r="Z1182">
        <v>-7.5754119999999897E-3</v>
      </c>
      <c r="AA1182">
        <v>0.97154620000000003</v>
      </c>
      <c r="AB1182">
        <v>34</v>
      </c>
      <c r="AC1182">
        <v>16.6267</v>
      </c>
      <c r="AD1182">
        <v>-1.1100315790390001</v>
      </c>
      <c r="AE1182">
        <v>-4.1356999999999804</v>
      </c>
      <c r="AF1182">
        <v>4.0875947802750403</v>
      </c>
      <c r="AG1182">
        <v>-1.1100315790390001</v>
      </c>
      <c r="AH1182">
        <v>16.5648370248649</v>
      </c>
      <c r="AI1182">
        <v>93.722404328801304</v>
      </c>
      <c r="AJ1182">
        <v>76.138426449487994</v>
      </c>
      <c r="AK1182">
        <v>17.097790116109501</v>
      </c>
      <c r="AL1182">
        <v>79.084107855222996</v>
      </c>
      <c r="AM1182">
        <v>80.126313610758899</v>
      </c>
      <c r="AN1182">
        <v>0.999999990243299</v>
      </c>
    </row>
    <row r="1183" spans="1:40" x14ac:dyDescent="0.25">
      <c r="A1183" t="str">
        <f>"20190312172915053"</f>
        <v>20190312172915053</v>
      </c>
      <c r="B1183" t="str">
        <f>"1552382955048081"</f>
        <v>1552382955048081</v>
      </c>
      <c r="C1183" t="s">
        <v>40</v>
      </c>
      <c r="D1183">
        <v>3.5314909999999999</v>
      </c>
      <c r="E1183">
        <v>0.53223379999999998</v>
      </c>
      <c r="F1183" t="s">
        <v>41</v>
      </c>
      <c r="G1183">
        <v>-217.3349</v>
      </c>
      <c r="H1183" s="1">
        <v>-2.6760470000000001E-6</v>
      </c>
      <c r="I1183">
        <v>362.9153</v>
      </c>
      <c r="J1183">
        <v>-234.0506</v>
      </c>
      <c r="K1183">
        <v>1.110044</v>
      </c>
      <c r="L1183">
        <v>367.08850000000001</v>
      </c>
      <c r="M1183">
        <v>0.99989340000000004</v>
      </c>
      <c r="N1183">
        <v>0</v>
      </c>
      <c r="O1183">
        <v>-1.8073379999999999E-3</v>
      </c>
      <c r="P1183">
        <v>0.96941379999999999</v>
      </c>
      <c r="Q1183">
        <v>0.17546579999999901</v>
      </c>
      <c r="R1183">
        <v>-0.1716065</v>
      </c>
      <c r="S1183">
        <v>2.9992519999999998</v>
      </c>
      <c r="T1183">
        <v>-0.19720589999999999</v>
      </c>
      <c r="U1183">
        <v>-0.74145509999999903</v>
      </c>
      <c r="V1183">
        <v>0.169823</v>
      </c>
      <c r="W1183">
        <v>0.18953249999999999</v>
      </c>
      <c r="X1183">
        <v>0.96707679999999996</v>
      </c>
      <c r="Y1183">
        <v>0.23775350000000001</v>
      </c>
      <c r="Z1183">
        <v>-7.5755369999999898E-3</v>
      </c>
      <c r="AA1183">
        <v>0.97129600000000005</v>
      </c>
      <c r="AB1183">
        <v>34</v>
      </c>
      <c r="AC1183">
        <v>16.715699999999998</v>
      </c>
      <c r="AD1183">
        <v>-1.110046676047</v>
      </c>
      <c r="AE1183">
        <v>-4.1731999999999996</v>
      </c>
      <c r="AF1183">
        <v>4.1258518276445404</v>
      </c>
      <c r="AG1183">
        <v>-1.110046676047</v>
      </c>
      <c r="AH1183">
        <v>16.654081333981001</v>
      </c>
      <c r="AI1183">
        <v>93.701724343875796</v>
      </c>
      <c r="AJ1183">
        <v>76.085790839115404</v>
      </c>
      <c r="AK1183">
        <v>17.193408097452199</v>
      </c>
      <c r="AL1183">
        <v>79.0744970644636</v>
      </c>
      <c r="AM1183">
        <v>80.040154014501297</v>
      </c>
      <c r="AN1183">
        <v>0.99999997849174405</v>
      </c>
    </row>
    <row r="1184" spans="1:40" x14ac:dyDescent="0.25">
      <c r="A1184" t="str">
        <f>"20190312172915065"</f>
        <v>20190312172915065</v>
      </c>
      <c r="B1184" t="str">
        <f>"1552382955058817"</f>
        <v>1552382955058817</v>
      </c>
      <c r="C1184" t="s">
        <v>40</v>
      </c>
      <c r="D1184">
        <v>3.5388449999999998</v>
      </c>
      <c r="E1184">
        <v>0.5283369</v>
      </c>
      <c r="F1184" t="s">
        <v>41</v>
      </c>
      <c r="G1184">
        <v>-217.1353</v>
      </c>
      <c r="H1184" s="1">
        <v>-2.7528670000000001E-6</v>
      </c>
      <c r="I1184">
        <v>362.8818</v>
      </c>
      <c r="J1184">
        <v>-233.87780000000001</v>
      </c>
      <c r="K1184">
        <v>1.110055</v>
      </c>
      <c r="L1184">
        <v>367.0883</v>
      </c>
      <c r="M1184">
        <v>0.99989340000000004</v>
      </c>
      <c r="N1184">
        <v>0</v>
      </c>
      <c r="O1184">
        <v>-1.750765E-3</v>
      </c>
      <c r="P1184">
        <v>0.96913640000000001</v>
      </c>
      <c r="Q1184">
        <v>0.17547699999999999</v>
      </c>
      <c r="R1184">
        <v>-0.17315440000000001</v>
      </c>
      <c r="S1184">
        <v>2.9982600000000001</v>
      </c>
      <c r="T1184">
        <v>-0.19675580000000001</v>
      </c>
      <c r="U1184">
        <v>-0.74563599999999997</v>
      </c>
      <c r="V1184">
        <v>0.17142389999999999</v>
      </c>
      <c r="W1184">
        <v>0.1895452</v>
      </c>
      <c r="X1184">
        <v>0.96679179999999998</v>
      </c>
      <c r="Y1184">
        <v>0.23915810000000001</v>
      </c>
      <c r="Z1184">
        <v>-7.6084630000000002E-3</v>
      </c>
      <c r="AA1184">
        <v>0.9709508</v>
      </c>
      <c r="AB1184">
        <v>34</v>
      </c>
      <c r="AC1184">
        <v>16.7425</v>
      </c>
      <c r="AD1184">
        <v>-1.1100577528669999</v>
      </c>
      <c r="AE1184">
        <v>-4.2065000000000001</v>
      </c>
      <c r="AF1184">
        <v>4.1599771514775501</v>
      </c>
      <c r="AG1184">
        <v>-1.1100577528669999</v>
      </c>
      <c r="AH1184">
        <v>16.680865798719498</v>
      </c>
      <c r="AI1184">
        <v>93.694412154545205</v>
      </c>
      <c r="AJ1184">
        <v>75.996862628730895</v>
      </c>
      <c r="AK1184">
        <v>17.227562854635099</v>
      </c>
      <c r="AL1184">
        <v>79.073755774818196</v>
      </c>
      <c r="AM1184">
        <v>79.945267128542099</v>
      </c>
      <c r="AN1184">
        <v>0.99999996044074402</v>
      </c>
    </row>
    <row r="1185" spans="1:40" x14ac:dyDescent="0.25">
      <c r="A1185" t="str">
        <f>"20190312172915076"</f>
        <v>20190312172915076</v>
      </c>
      <c r="B1185" t="str">
        <f>"1552382955068576"</f>
        <v>1552382955068576</v>
      </c>
      <c r="C1185" t="s">
        <v>40</v>
      </c>
      <c r="D1185">
        <v>3.5416979999999998</v>
      </c>
      <c r="E1185">
        <v>0.52837109999999998</v>
      </c>
      <c r="F1185" t="s">
        <v>41</v>
      </c>
      <c r="G1185">
        <v>-216.79810000000001</v>
      </c>
      <c r="H1185" s="1">
        <v>-2.838054E-6</v>
      </c>
      <c r="I1185">
        <v>362.99279999999999</v>
      </c>
      <c r="J1185">
        <v>-233.70410000000001</v>
      </c>
      <c r="K1185">
        <v>1.1100669999999999</v>
      </c>
      <c r="L1185">
        <v>367.08800000000002</v>
      </c>
      <c r="M1185">
        <v>0.99989349999999999</v>
      </c>
      <c r="N1185">
        <v>0</v>
      </c>
      <c r="O1185">
        <v>-1.690413E-3</v>
      </c>
      <c r="P1185">
        <v>0.96890469999999895</v>
      </c>
      <c r="Q1185">
        <v>0.1752707</v>
      </c>
      <c r="R1185">
        <v>-0.17465510000000001</v>
      </c>
      <c r="S1185">
        <v>3.0022129999999998</v>
      </c>
      <c r="T1185">
        <v>-0.1951222</v>
      </c>
      <c r="U1185">
        <v>-0.71987919999999905</v>
      </c>
      <c r="V1185">
        <v>0.17298179999999999</v>
      </c>
      <c r="W1185">
        <v>0.1893397</v>
      </c>
      <c r="X1185">
        <v>0.96655460000000004</v>
      </c>
      <c r="Y1185">
        <v>0.23107140000000001</v>
      </c>
      <c r="Z1185">
        <v>-7.2883440000000004E-3</v>
      </c>
      <c r="AA1185">
        <v>0.97290949999999998</v>
      </c>
      <c r="AB1185">
        <v>34</v>
      </c>
      <c r="AC1185">
        <v>16.905999999999999</v>
      </c>
      <c r="AD1185">
        <v>-1.1100698380539999</v>
      </c>
      <c r="AE1185">
        <v>-4.0952000000000304</v>
      </c>
      <c r="AF1185">
        <v>4.05011912994045</v>
      </c>
      <c r="AG1185">
        <v>-1.1100698380539999</v>
      </c>
      <c r="AH1185">
        <v>16.844301633704301</v>
      </c>
      <c r="AI1185">
        <v>93.666249866220696</v>
      </c>
      <c r="AJ1185">
        <v>76.480190018192005</v>
      </c>
      <c r="AK1185">
        <v>17.359902578622901</v>
      </c>
      <c r="AL1185">
        <v>79.0857477478786</v>
      </c>
      <c r="AM1185">
        <v>79.853341373415006</v>
      </c>
      <c r="AN1185">
        <v>1.0000000099542401</v>
      </c>
    </row>
    <row r="1186" spans="1:40" x14ac:dyDescent="0.25">
      <c r="A1186" t="str">
        <f>"20190312172915089"</f>
        <v>20190312172915089</v>
      </c>
      <c r="B1186" t="str">
        <f>"1552382955078336"</f>
        <v>1552382955078336</v>
      </c>
      <c r="C1186" t="s">
        <v>40</v>
      </c>
      <c r="D1186">
        <v>3.5083660000000001</v>
      </c>
      <c r="E1186">
        <v>0.52824499999999996</v>
      </c>
      <c r="F1186" t="s">
        <v>41</v>
      </c>
      <c r="G1186">
        <v>-216.85069999999999</v>
      </c>
      <c r="H1186" s="1">
        <v>-2.8128570000000001E-6</v>
      </c>
      <c r="I1186">
        <v>363.02030000000002</v>
      </c>
      <c r="J1186">
        <v>-233.52330000000001</v>
      </c>
      <c r="K1186">
        <v>1.110074</v>
      </c>
      <c r="L1186">
        <v>367.08769999999998</v>
      </c>
      <c r="M1186">
        <v>0.99989349999999999</v>
      </c>
      <c r="N1186">
        <v>0</v>
      </c>
      <c r="O1186">
        <v>-1.6261349999999999E-3</v>
      </c>
      <c r="P1186">
        <v>0.96857360000000003</v>
      </c>
      <c r="Q1186">
        <v>0.17542249999999901</v>
      </c>
      <c r="R1186">
        <v>-0.1763305</v>
      </c>
      <c r="S1186">
        <v>3.001465</v>
      </c>
      <c r="T1186">
        <v>-0.19769439999999999</v>
      </c>
      <c r="U1186">
        <v>-0.72442629999999997</v>
      </c>
      <c r="V1186">
        <v>0.17471879999999901</v>
      </c>
      <c r="W1186">
        <v>0.18949089999999999</v>
      </c>
      <c r="X1186">
        <v>0.96621250000000003</v>
      </c>
      <c r="Y1186">
        <v>0.23256650000000001</v>
      </c>
      <c r="Z1186">
        <v>-7.437384E-3</v>
      </c>
      <c r="AA1186">
        <v>0.97255210000000003</v>
      </c>
      <c r="AB1186">
        <v>34</v>
      </c>
      <c r="AC1186">
        <v>16.672599999999999</v>
      </c>
      <c r="AD1186">
        <v>-1.110076812857</v>
      </c>
      <c r="AE1186">
        <v>-4.0673999999999602</v>
      </c>
      <c r="AF1186">
        <v>4.0234457514389304</v>
      </c>
      <c r="AG1186">
        <v>-1.110076812857</v>
      </c>
      <c r="AH1186">
        <v>16.609697721078899</v>
      </c>
      <c r="AI1186">
        <v>93.7163995323927</v>
      </c>
      <c r="AJ1186">
        <v>76.383260779681507</v>
      </c>
      <c r="AK1186">
        <v>17.126074991977202</v>
      </c>
      <c r="AL1186">
        <v>79.076925103057704</v>
      </c>
      <c r="AM1186">
        <v>79.7500506554845</v>
      </c>
      <c r="AN1186">
        <v>1.00000002770624</v>
      </c>
    </row>
    <row r="1187" spans="1:40" x14ac:dyDescent="0.25">
      <c r="A1187" t="str">
        <f>"20190312172915100"</f>
        <v>20190312172915100</v>
      </c>
      <c r="B1187" t="str">
        <f>"1552382955088096"</f>
        <v>1552382955088096</v>
      </c>
      <c r="C1187" t="s">
        <v>40</v>
      </c>
      <c r="D1187">
        <v>3.521817</v>
      </c>
      <c r="E1187">
        <v>0.52822550000000001</v>
      </c>
      <c r="F1187" t="s">
        <v>41</v>
      </c>
      <c r="G1187">
        <v>-216.66480000000001</v>
      </c>
      <c r="H1187" s="1">
        <v>-2.882978E-6</v>
      </c>
      <c r="I1187">
        <v>362.99450000000002</v>
      </c>
      <c r="J1187">
        <v>-233.3442</v>
      </c>
      <c r="K1187">
        <v>1.1100859999999999</v>
      </c>
      <c r="L1187">
        <v>367.08749999999998</v>
      </c>
      <c r="M1187">
        <v>0.99989349999999999</v>
      </c>
      <c r="N1187">
        <v>0</v>
      </c>
      <c r="O1187">
        <v>-1.561034E-3</v>
      </c>
      <c r="P1187">
        <v>0.96835919999999998</v>
      </c>
      <c r="Q1187">
        <v>0.175032299999999</v>
      </c>
      <c r="R1187">
        <v>-0.1778884</v>
      </c>
      <c r="S1187">
        <v>3.0005039999999998</v>
      </c>
      <c r="T1187">
        <v>-0.1975731</v>
      </c>
      <c r="U1187">
        <v>-0.72851560000000004</v>
      </c>
      <c r="V1187">
        <v>0.17633929999999901</v>
      </c>
      <c r="W1187">
        <v>0.1891013</v>
      </c>
      <c r="X1187">
        <v>0.96599440000000003</v>
      </c>
      <c r="Y1187">
        <v>0.2339503</v>
      </c>
      <c r="Z1187">
        <v>-7.4830490000000003E-3</v>
      </c>
      <c r="AA1187">
        <v>0.97221979999999997</v>
      </c>
      <c r="AB1187">
        <v>34</v>
      </c>
      <c r="AC1187">
        <v>16.679399999999902</v>
      </c>
      <c r="AD1187">
        <v>-1.110088882978</v>
      </c>
      <c r="AE1187">
        <v>-4.09299999999996</v>
      </c>
      <c r="AF1187">
        <v>4.05003445655404</v>
      </c>
      <c r="AG1187">
        <v>-1.110088882978</v>
      </c>
      <c r="AH1187">
        <v>16.616347953643</v>
      </c>
      <c r="AI1187">
        <v>93.713679129450497</v>
      </c>
      <c r="AJ1187">
        <v>76.301935112680894</v>
      </c>
      <c r="AK1187">
        <v>17.1387892146418</v>
      </c>
      <c r="AL1187">
        <v>79.099658424502394</v>
      </c>
      <c r="AM1187">
        <v>79.654741355903795</v>
      </c>
      <c r="AN1187">
        <v>1.0000000156087601</v>
      </c>
    </row>
    <row r="1188" spans="1:40" x14ac:dyDescent="0.25">
      <c r="A1188" t="str">
        <f>"20190312172915113"</f>
        <v>20190312172915113</v>
      </c>
      <c r="B1188" t="str">
        <f>"1552382955108593"</f>
        <v>1552382955108593</v>
      </c>
      <c r="C1188" t="s">
        <v>40</v>
      </c>
      <c r="D1188">
        <v>3.4912570000000001</v>
      </c>
      <c r="E1188">
        <v>0.5282789</v>
      </c>
      <c r="F1188" t="s">
        <v>41</v>
      </c>
      <c r="G1188">
        <v>-216.88659999999999</v>
      </c>
      <c r="H1188" s="1">
        <v>-2.788958E-6</v>
      </c>
      <c r="I1188">
        <v>363.06420000000003</v>
      </c>
      <c r="J1188">
        <v>-233.15610000000001</v>
      </c>
      <c r="K1188">
        <v>1.1100939999999999</v>
      </c>
      <c r="L1188">
        <v>367.0872</v>
      </c>
      <c r="M1188">
        <v>0.99989380000000005</v>
      </c>
      <c r="N1188">
        <v>0</v>
      </c>
      <c r="O1188">
        <v>-1.492001E-3</v>
      </c>
      <c r="P1188">
        <v>0.96807690000000002</v>
      </c>
      <c r="Q1188">
        <v>0.17487659999999999</v>
      </c>
      <c r="R1188">
        <v>-0.1795707</v>
      </c>
      <c r="S1188">
        <v>2.999908</v>
      </c>
      <c r="T1188">
        <v>-0.20234759999999999</v>
      </c>
      <c r="U1188">
        <v>-0.73336789999999996</v>
      </c>
      <c r="V1188">
        <v>0.1780881</v>
      </c>
      <c r="W1188">
        <v>0.1889449</v>
      </c>
      <c r="X1188">
        <v>0.96570409999999995</v>
      </c>
      <c r="Y1188">
        <v>0.23551900000000001</v>
      </c>
      <c r="Z1188">
        <v>-7.7201939999999997E-3</v>
      </c>
      <c r="AA1188">
        <v>0.97183909999999996</v>
      </c>
      <c r="AB1188">
        <v>34</v>
      </c>
      <c r="AC1188">
        <v>16.269500000000001</v>
      </c>
      <c r="AD1188">
        <v>-1.110096788958</v>
      </c>
      <c r="AE1188">
        <v>-4.0229999999999597</v>
      </c>
      <c r="AF1188">
        <v>3.9812518432253898</v>
      </c>
      <c r="AG1188">
        <v>-1.110096788958</v>
      </c>
      <c r="AH1188">
        <v>16.2043910270101</v>
      </c>
      <c r="AI1188">
        <v>93.806132523242994</v>
      </c>
      <c r="AJ1188">
        <v>76.196426470255702</v>
      </c>
      <c r="AK1188">
        <v>16.723186588574801</v>
      </c>
      <c r="AL1188">
        <v>79.108783576035293</v>
      </c>
      <c r="AM1188">
        <v>79.551321556368904</v>
      </c>
      <c r="AN1188">
        <v>0.99999997767721405</v>
      </c>
    </row>
    <row r="1189" spans="1:40" x14ac:dyDescent="0.25">
      <c r="A1189" t="str">
        <f>"20190312172915127"</f>
        <v>20190312172915127</v>
      </c>
      <c r="B1189" t="str">
        <f>"1552382955118352"</f>
        <v>1552382955118352</v>
      </c>
      <c r="C1189" t="s">
        <v>40</v>
      </c>
      <c r="D1189">
        <v>3.5138099999999999</v>
      </c>
      <c r="E1189">
        <v>0.52827659999999999</v>
      </c>
      <c r="F1189" t="s">
        <v>41</v>
      </c>
      <c r="G1189">
        <v>-217.1207</v>
      </c>
      <c r="H1189" s="1">
        <v>-2.6904129999999998E-6</v>
      </c>
      <c r="I1189">
        <v>363.1352</v>
      </c>
      <c r="J1189">
        <v>-232.95500000000001</v>
      </c>
      <c r="K1189">
        <v>1.1101049999999999</v>
      </c>
      <c r="L1189">
        <v>367.08699999999999</v>
      </c>
      <c r="M1189">
        <v>0.9998937</v>
      </c>
      <c r="N1189">
        <v>0</v>
      </c>
      <c r="O1189">
        <v>-1.4177219999999999E-3</v>
      </c>
      <c r="P1189">
        <v>0.96782020000000002</v>
      </c>
      <c r="Q1189">
        <v>0.1746279</v>
      </c>
      <c r="R1189">
        <v>-0.18118899999999999</v>
      </c>
      <c r="S1189">
        <v>2.9993129999999999</v>
      </c>
      <c r="T1189">
        <v>-0.20763470000000001</v>
      </c>
      <c r="U1189">
        <v>-0.73919679999999999</v>
      </c>
      <c r="V1189">
        <v>0.17977770000000001</v>
      </c>
      <c r="W1189">
        <v>0.1886958</v>
      </c>
      <c r="X1189">
        <v>0.96543970000000001</v>
      </c>
      <c r="Y1189">
        <v>0.23738570000000001</v>
      </c>
      <c r="Z1189">
        <v>-7.9898279999999992E-3</v>
      </c>
      <c r="AA1189">
        <v>0.97138259999999998</v>
      </c>
      <c r="AB1189">
        <v>34</v>
      </c>
      <c r="AC1189">
        <v>15.834300000000001</v>
      </c>
      <c r="AD1189">
        <v>-1.1101076904129901</v>
      </c>
      <c r="AE1189">
        <v>-3.9517999999999902</v>
      </c>
      <c r="AF1189">
        <v>3.9112480408985499</v>
      </c>
      <c r="AG1189">
        <v>-1.1101076904129901</v>
      </c>
      <c r="AH1189">
        <v>15.766935059261</v>
      </c>
      <c r="AI1189">
        <v>93.909293156275695</v>
      </c>
      <c r="AJ1189">
        <v>76.068069925323897</v>
      </c>
      <c r="AK1189">
        <v>16.282703752285801</v>
      </c>
      <c r="AL1189">
        <v>79.123317313821701</v>
      </c>
      <c r="AM1189">
        <v>79.451580702890496</v>
      </c>
      <c r="AN1189">
        <v>0.99999997034550903</v>
      </c>
    </row>
    <row r="1190" spans="1:40" x14ac:dyDescent="0.25">
      <c r="A1190" t="str">
        <f>"20190312172915142"</f>
        <v>20190312172915142</v>
      </c>
      <c r="B1190" t="str">
        <f>"1552382955138848"</f>
        <v>1552382955138848</v>
      </c>
      <c r="C1190" t="s">
        <v>40</v>
      </c>
      <c r="D1190">
        <v>3.4947270000000001</v>
      </c>
      <c r="E1190">
        <v>0.52810590000000002</v>
      </c>
      <c r="F1190" t="s">
        <v>41</v>
      </c>
      <c r="G1190">
        <v>-217.10310000000001</v>
      </c>
      <c r="H1190" s="1">
        <v>-2.6919419999999999E-6</v>
      </c>
      <c r="I1190">
        <v>363.15190000000001</v>
      </c>
      <c r="J1190">
        <v>-232.71010000000001</v>
      </c>
      <c r="K1190">
        <v>1.1101190000000001</v>
      </c>
      <c r="L1190">
        <v>367.08670000000001</v>
      </c>
      <c r="M1190">
        <v>0.99989380000000005</v>
      </c>
      <c r="N1190">
        <v>0</v>
      </c>
      <c r="O1190">
        <v>-1.3281829999999999E-3</v>
      </c>
      <c r="P1190">
        <v>0.9672191</v>
      </c>
      <c r="Q1190">
        <v>0.1743345</v>
      </c>
      <c r="R1190">
        <v>-0.18464829999999999</v>
      </c>
      <c r="S1190">
        <v>2.998291</v>
      </c>
      <c r="T1190">
        <v>-0.20996960000000001</v>
      </c>
      <c r="U1190">
        <v>-0.74429319999999999</v>
      </c>
      <c r="V1190">
        <v>0.18332380000000001</v>
      </c>
      <c r="W1190">
        <v>0.1883975</v>
      </c>
      <c r="X1190">
        <v>0.96483090000000005</v>
      </c>
      <c r="Y1190">
        <v>0.239089</v>
      </c>
      <c r="Z1190">
        <v>-8.1453659999999994E-3</v>
      </c>
      <c r="AA1190">
        <v>0.97096349999999998</v>
      </c>
      <c r="AB1190">
        <v>34</v>
      </c>
      <c r="AC1190">
        <v>15.606999999999999</v>
      </c>
      <c r="AD1190">
        <v>-1.1101216919419901</v>
      </c>
      <c r="AE1190">
        <v>-3.9347999999999899</v>
      </c>
      <c r="AF1190">
        <v>3.8955340891499999</v>
      </c>
      <c r="AG1190">
        <v>-1.1101216919419901</v>
      </c>
      <c r="AH1190">
        <v>15.5382962501035</v>
      </c>
      <c r="AI1190">
        <v>93.964235134134498</v>
      </c>
      <c r="AJ1190">
        <v>75.925726230481004</v>
      </c>
      <c r="AK1190">
        <v>16.057590303860401</v>
      </c>
      <c r="AL1190">
        <v>79.140720562360798</v>
      </c>
      <c r="AM1190">
        <v>79.241693090216998</v>
      </c>
      <c r="AN1190">
        <v>0.99999994962374805</v>
      </c>
    </row>
    <row r="1191" spans="1:40" x14ac:dyDescent="0.25">
      <c r="A1191" t="str">
        <f>"20190312172915154"</f>
        <v>20190312172915154</v>
      </c>
      <c r="B1191" t="str">
        <f>"1552382955148608"</f>
        <v>1552382955148608</v>
      </c>
      <c r="C1191" t="s">
        <v>40</v>
      </c>
      <c r="D1191">
        <v>3.5071500000000002</v>
      </c>
      <c r="E1191">
        <v>0.52802590000000005</v>
      </c>
      <c r="F1191" t="s">
        <v>41</v>
      </c>
      <c r="G1191">
        <v>-217.07239999999999</v>
      </c>
      <c r="H1191" s="1">
        <v>-2.7026390000000002E-6</v>
      </c>
      <c r="I1191">
        <v>363.15100000000001</v>
      </c>
      <c r="J1191">
        <v>-232.5386</v>
      </c>
      <c r="K1191">
        <v>1.110125</v>
      </c>
      <c r="L1191">
        <v>367.0865</v>
      </c>
      <c r="M1191">
        <v>0.99989380000000005</v>
      </c>
      <c r="N1191">
        <v>0</v>
      </c>
      <c r="O1191">
        <v>-1.2664180000000001E-3</v>
      </c>
      <c r="P1191">
        <v>0.96689060000000004</v>
      </c>
      <c r="Q1191">
        <v>0.17438210000000001</v>
      </c>
      <c r="R1191">
        <v>-0.18631490000000001</v>
      </c>
      <c r="S1191">
        <v>2.9960779999999998</v>
      </c>
      <c r="T1191">
        <v>-0.21269080000000001</v>
      </c>
      <c r="U1191">
        <v>-0.75405880000000003</v>
      </c>
      <c r="V1191">
        <v>0.1850501</v>
      </c>
      <c r="W1191">
        <v>0.188443</v>
      </c>
      <c r="X1191">
        <v>0.96449240000000003</v>
      </c>
      <c r="Y1191">
        <v>0.2422716</v>
      </c>
      <c r="Z1191">
        <v>-8.3687850000000001E-3</v>
      </c>
      <c r="AA1191">
        <v>0.97017229999999999</v>
      </c>
      <c r="AB1191">
        <v>34</v>
      </c>
      <c r="AC1191">
        <v>15.466200000000001</v>
      </c>
      <c r="AD1191">
        <v>-1.110127702639</v>
      </c>
      <c r="AE1191">
        <v>-3.93549999999999</v>
      </c>
      <c r="AF1191">
        <v>3.8970513240376401</v>
      </c>
      <c r="AG1191">
        <v>-1.110127702639</v>
      </c>
      <c r="AH1191">
        <v>15.3966717646239</v>
      </c>
      <c r="AI1191">
        <v>93.998332717646306</v>
      </c>
      <c r="AJ1191">
        <v>75.796172457486804</v>
      </c>
      <c r="AK1191">
        <v>15.920957696254201</v>
      </c>
      <c r="AL1191">
        <v>79.138066026035006</v>
      </c>
      <c r="AM1191">
        <v>79.139062791577601</v>
      </c>
      <c r="AN1191">
        <v>0.99999994670838299</v>
      </c>
    </row>
    <row r="1192" spans="1:40" x14ac:dyDescent="0.25">
      <c r="A1192" t="str">
        <f>"20190312172915166"</f>
        <v>20190312172915166</v>
      </c>
      <c r="B1192" t="str">
        <f>"1552382955158369"</f>
        <v>1552382955158369</v>
      </c>
      <c r="C1192" t="s">
        <v>40</v>
      </c>
      <c r="D1192">
        <v>3.7267169999999998</v>
      </c>
      <c r="E1192">
        <v>0.52791169999999898</v>
      </c>
      <c r="F1192" t="s">
        <v>41</v>
      </c>
      <c r="G1192">
        <v>-216.98249999999999</v>
      </c>
      <c r="H1192" s="1">
        <v>-2.7350070000000001E-6</v>
      </c>
      <c r="I1192">
        <v>363.14429999999999</v>
      </c>
      <c r="J1192">
        <v>-232.3586</v>
      </c>
      <c r="K1192">
        <v>1.1101289999999999</v>
      </c>
      <c r="L1192">
        <v>367.08640000000003</v>
      </c>
      <c r="M1192">
        <v>0.99989399999999995</v>
      </c>
      <c r="N1192">
        <v>0</v>
      </c>
      <c r="O1192">
        <v>-1.201793E-3</v>
      </c>
      <c r="P1192">
        <v>0.96663149999999998</v>
      </c>
      <c r="Q1192">
        <v>0.1741664</v>
      </c>
      <c r="R1192">
        <v>-0.1878571</v>
      </c>
      <c r="S1192">
        <v>2.9950100000000002</v>
      </c>
      <c r="T1192">
        <v>-0.21373220000000001</v>
      </c>
      <c r="U1192">
        <v>-0.75900269999999903</v>
      </c>
      <c r="V1192">
        <v>0.18665390000000001</v>
      </c>
      <c r="W1192">
        <v>0.18822620000000001</v>
      </c>
      <c r="X1192">
        <v>0.96422569999999996</v>
      </c>
      <c r="Y1192">
        <v>0.2439115</v>
      </c>
      <c r="Z1192">
        <v>-8.4729650000000007E-3</v>
      </c>
      <c r="AA1192">
        <v>0.96976050000000003</v>
      </c>
      <c r="AB1192">
        <v>34</v>
      </c>
      <c r="AC1192">
        <v>15.376099999999999</v>
      </c>
      <c r="AD1192">
        <v>-1.1101317350069999</v>
      </c>
      <c r="AE1192">
        <v>-3.9421000000000301</v>
      </c>
      <c r="AF1192">
        <v>3.9045187956379599</v>
      </c>
      <c r="AG1192">
        <v>-1.1101317350069999</v>
      </c>
      <c r="AH1192">
        <v>15.3059634727706</v>
      </c>
      <c r="AI1192">
        <v>94.020063520671499</v>
      </c>
      <c r="AJ1192">
        <v>75.689182700805404</v>
      </c>
      <c r="AK1192">
        <v>15.835093221208</v>
      </c>
      <c r="AL1192">
        <v>79.150714572304693</v>
      </c>
      <c r="AM1192">
        <v>79.044243661577596</v>
      </c>
      <c r="AN1192">
        <v>0.99999999064606904</v>
      </c>
    </row>
    <row r="1193" spans="1:40" x14ac:dyDescent="0.25">
      <c r="A1193" t="str">
        <f>"20190312172915178"</f>
        <v>20190312172915178</v>
      </c>
      <c r="B1193" t="str">
        <f>"1552382955168128"</f>
        <v>1552382955168128</v>
      </c>
      <c r="C1193" t="s">
        <v>40</v>
      </c>
      <c r="D1193">
        <v>3.4834800000000001</v>
      </c>
      <c r="E1193">
        <v>0.52783359999999901</v>
      </c>
      <c r="F1193" t="s">
        <v>41</v>
      </c>
      <c r="G1193">
        <v>-216.86070000000001</v>
      </c>
      <c r="H1193" s="1">
        <v>-2.778968E-6</v>
      </c>
      <c r="I1193">
        <v>363.13490000000002</v>
      </c>
      <c r="J1193">
        <v>-232.15450000000001</v>
      </c>
      <c r="K1193">
        <v>1.1101369999999999</v>
      </c>
      <c r="L1193">
        <v>367.08620000000002</v>
      </c>
      <c r="M1193">
        <v>0.99989399999999995</v>
      </c>
      <c r="N1193">
        <v>0</v>
      </c>
      <c r="O1193">
        <v>-1.128708E-3</v>
      </c>
      <c r="P1193">
        <v>0.96631520000000004</v>
      </c>
      <c r="Q1193">
        <v>0.17441879999999901</v>
      </c>
      <c r="R1193">
        <v>-0.18924469999999999</v>
      </c>
      <c r="S1193">
        <v>2.9938660000000001</v>
      </c>
      <c r="T1193">
        <v>-0.21445230000000001</v>
      </c>
      <c r="U1193">
        <v>-0.76333619999999902</v>
      </c>
      <c r="V1193">
        <v>0.1881119</v>
      </c>
      <c r="W1193">
        <v>0.18847620000000001</v>
      </c>
      <c r="X1193">
        <v>0.96389349999999996</v>
      </c>
      <c r="Y1193">
        <v>0.24538099999999999</v>
      </c>
      <c r="Z1193">
        <v>-8.5599790000000005E-3</v>
      </c>
      <c r="AA1193">
        <v>0.9693889</v>
      </c>
      <c r="AB1193">
        <v>34</v>
      </c>
      <c r="AC1193">
        <v>15.293799999999999</v>
      </c>
      <c r="AD1193">
        <v>-1.1101397789679901</v>
      </c>
      <c r="AE1193">
        <v>-3.9512999999999998</v>
      </c>
      <c r="AF1193">
        <v>3.9146977145328998</v>
      </c>
      <c r="AG1193">
        <v>-1.1101397789679901</v>
      </c>
      <c r="AH1193">
        <v>15.2230599203605</v>
      </c>
      <c r="AI1193">
        <v>94.039921136896197</v>
      </c>
      <c r="AJ1193">
        <v>75.578532842212198</v>
      </c>
      <c r="AK1193">
        <v>15.7575004954435</v>
      </c>
      <c r="AL1193">
        <v>79.136129927298995</v>
      </c>
      <c r="AM1193">
        <v>78.957048822950597</v>
      </c>
      <c r="AN1193">
        <v>1.0000000221151399</v>
      </c>
    </row>
    <row r="1194" spans="1:40" x14ac:dyDescent="0.25">
      <c r="A1194" t="str">
        <f>"20190312172915192"</f>
        <v>20190312172915192</v>
      </c>
      <c r="B1194" t="str">
        <f>"1552382955188624"</f>
        <v>1552382955188624</v>
      </c>
      <c r="C1194" t="s">
        <v>40</v>
      </c>
      <c r="D1194">
        <v>3.495349</v>
      </c>
      <c r="E1194">
        <v>0.52756910000000001</v>
      </c>
      <c r="F1194" t="s">
        <v>41</v>
      </c>
      <c r="G1194">
        <v>-216.61799999999999</v>
      </c>
      <c r="H1194" s="1">
        <v>-2.870435E-6</v>
      </c>
      <c r="I1194">
        <v>363.10160000000002</v>
      </c>
      <c r="J1194">
        <v>-231.96250000000001</v>
      </c>
      <c r="K1194">
        <v>1.110144</v>
      </c>
      <c r="L1194">
        <v>367.08609999999999</v>
      </c>
      <c r="M1194">
        <v>0.99989419999999996</v>
      </c>
      <c r="N1194">
        <v>0</v>
      </c>
      <c r="O1194">
        <v>-1.060395E-3</v>
      </c>
      <c r="P1194">
        <v>0.96607200000000004</v>
      </c>
      <c r="Q1194">
        <v>0.17457800000000001</v>
      </c>
      <c r="R1194">
        <v>-0.1903368</v>
      </c>
      <c r="S1194">
        <v>2.9928439999999998</v>
      </c>
      <c r="T1194">
        <v>-0.2138487</v>
      </c>
      <c r="U1194">
        <v>-0.76757810000000004</v>
      </c>
      <c r="V1194">
        <v>0.18926979999999999</v>
      </c>
      <c r="W1194">
        <v>0.1886331</v>
      </c>
      <c r="X1194">
        <v>0.9636361</v>
      </c>
      <c r="Y1194">
        <v>0.24681539999999999</v>
      </c>
      <c r="Z1194">
        <v>-8.5924609999999992E-3</v>
      </c>
      <c r="AA1194">
        <v>0.96902440000000001</v>
      </c>
      <c r="AB1194">
        <v>34</v>
      </c>
      <c r="AC1194">
        <v>15.3445</v>
      </c>
      <c r="AD1194">
        <v>-1.1101468704349999</v>
      </c>
      <c r="AE1194">
        <v>-3.9844999999999602</v>
      </c>
      <c r="AF1194">
        <v>3.9488611069727799</v>
      </c>
      <c r="AG1194">
        <v>-1.1101468704349999</v>
      </c>
      <c r="AH1194">
        <v>15.2738199720135</v>
      </c>
      <c r="AI1194">
        <v>94.025224131534799</v>
      </c>
      <c r="AJ1194">
        <v>75.504280264510498</v>
      </c>
      <c r="AK1194">
        <v>15.815040520137</v>
      </c>
      <c r="AL1194">
        <v>79.126975982637703</v>
      </c>
      <c r="AM1194">
        <v>78.887867579060895</v>
      </c>
      <c r="AN1194">
        <v>1.0000000184154201</v>
      </c>
    </row>
    <row r="1195" spans="1:40" x14ac:dyDescent="0.25">
      <c r="A1195" t="str">
        <f>"20190312172915210"</f>
        <v>20190312172915210</v>
      </c>
      <c r="B1195" t="str">
        <f>"1552382955198386"</f>
        <v>1552382955198386</v>
      </c>
      <c r="C1195" t="s">
        <v>40</v>
      </c>
      <c r="D1195">
        <v>3.5102959999999999</v>
      </c>
      <c r="E1195">
        <v>0.52743830000000003</v>
      </c>
      <c r="F1195" t="s">
        <v>41</v>
      </c>
      <c r="G1195">
        <v>-216.4785</v>
      </c>
      <c r="H1195" s="1">
        <v>-2.916849E-6</v>
      </c>
      <c r="I1195">
        <v>363.10550000000001</v>
      </c>
      <c r="J1195">
        <v>-231.6934</v>
      </c>
      <c r="K1195">
        <v>1.110152</v>
      </c>
      <c r="L1195">
        <v>367.08589999999998</v>
      </c>
      <c r="M1195">
        <v>0.99989410000000001</v>
      </c>
      <c r="N1195">
        <v>0</v>
      </c>
      <c r="O1195">
        <v>-9.6383370000000001E-4</v>
      </c>
      <c r="P1195">
        <v>0.96570860000000003</v>
      </c>
      <c r="Q1195">
        <v>0.17502179999999901</v>
      </c>
      <c r="R1195">
        <v>-0.19176679999999999</v>
      </c>
      <c r="S1195">
        <v>2.9925540000000002</v>
      </c>
      <c r="T1195">
        <v>-0.21455440000000001</v>
      </c>
      <c r="U1195">
        <v>-0.76931759999999905</v>
      </c>
      <c r="V1195">
        <v>0.19079309999999999</v>
      </c>
      <c r="W1195">
        <v>0.1890733</v>
      </c>
      <c r="X1195">
        <v>0.96324929999999997</v>
      </c>
      <c r="Y1195">
        <v>0.24745429999999999</v>
      </c>
      <c r="Z1195">
        <v>-8.6502599999999999E-3</v>
      </c>
      <c r="AA1195">
        <v>0.96886090000000002</v>
      </c>
      <c r="AB1195">
        <v>34</v>
      </c>
      <c r="AC1195">
        <v>15.2149</v>
      </c>
      <c r="AD1195">
        <v>-1.1101549168489999</v>
      </c>
      <c r="AE1195">
        <v>-3.9803999999999702</v>
      </c>
      <c r="AF1195">
        <v>3.9460692689513999</v>
      </c>
      <c r="AG1195">
        <v>-1.1101549168489999</v>
      </c>
      <c r="AH1195">
        <v>15.1432730032734</v>
      </c>
      <c r="AI1195">
        <v>94.057827385528299</v>
      </c>
      <c r="AJ1195">
        <v>75.394536180152798</v>
      </c>
      <c r="AK1195">
        <v>15.688295760420701</v>
      </c>
      <c r="AL1195">
        <v>79.101291641030997</v>
      </c>
      <c r="AM1195">
        <v>78.796302345509503</v>
      </c>
      <c r="AN1195">
        <v>0.99999996686549397</v>
      </c>
    </row>
    <row r="1196" spans="1:40" x14ac:dyDescent="0.25">
      <c r="A1196" t="str">
        <f>"20190312172915221"</f>
        <v>20190312172915221</v>
      </c>
      <c r="B1196" t="str">
        <f>"1552382955218880"</f>
        <v>1552382955218880</v>
      </c>
      <c r="C1196" t="s">
        <v>40</v>
      </c>
      <c r="D1196">
        <v>3.4690439999999998</v>
      </c>
      <c r="E1196">
        <v>0.52723549999999997</v>
      </c>
      <c r="F1196" t="s">
        <v>41</v>
      </c>
      <c r="G1196">
        <v>-216.13720000000001</v>
      </c>
      <c r="H1196" s="1">
        <v>-3.043862E-6</v>
      </c>
      <c r="I1196">
        <v>363.06470000000002</v>
      </c>
      <c r="J1196">
        <v>-231.51179999999999</v>
      </c>
      <c r="K1196">
        <v>1.1101559999999999</v>
      </c>
      <c r="L1196">
        <v>367.08580000000001</v>
      </c>
      <c r="M1196">
        <v>0.99989410000000001</v>
      </c>
      <c r="N1196">
        <v>0</v>
      </c>
      <c r="O1196">
        <v>-8.983916E-4</v>
      </c>
      <c r="P1196">
        <v>0.96561929999999996</v>
      </c>
      <c r="Q1196">
        <v>0.17506540000000001</v>
      </c>
      <c r="R1196">
        <v>-0.19217580000000001</v>
      </c>
      <c r="S1196">
        <v>2.9916529999999999</v>
      </c>
      <c r="T1196">
        <v>-0.2134955</v>
      </c>
      <c r="U1196">
        <v>-0.77331539999999999</v>
      </c>
      <c r="V1196">
        <v>0.1912652</v>
      </c>
      <c r="W1196">
        <v>0.1891168</v>
      </c>
      <c r="X1196">
        <v>0.96314719999999998</v>
      </c>
      <c r="Y1196">
        <v>0.2488042</v>
      </c>
      <c r="Z1196">
        <v>-8.6606819999999994E-3</v>
      </c>
      <c r="AA1196">
        <v>0.96851509999999996</v>
      </c>
      <c r="AB1196">
        <v>34</v>
      </c>
      <c r="AC1196">
        <v>15.3745999999999</v>
      </c>
      <c r="AD1196">
        <v>-1.1101590438619999</v>
      </c>
      <c r="AE1196">
        <v>-4.0210999999999899</v>
      </c>
      <c r="AF1196">
        <v>3.9878235980073402</v>
      </c>
      <c r="AG1196">
        <v>-1.1101590438619999</v>
      </c>
      <c r="AH1196">
        <v>15.3035242295231</v>
      </c>
      <c r="AI1196">
        <v>94.015490632422896</v>
      </c>
      <c r="AJ1196">
        <v>75.394551283108299</v>
      </c>
      <c r="AK1196">
        <v>15.8534868087463</v>
      </c>
      <c r="AL1196">
        <v>79.098754232957006</v>
      </c>
      <c r="AM1196">
        <v>78.768123374943897</v>
      </c>
      <c r="AN1196">
        <v>1.00000003482055</v>
      </c>
    </row>
    <row r="1197" spans="1:40" x14ac:dyDescent="0.25">
      <c r="A1197" t="str">
        <f>"20190312172915234"</f>
        <v>20190312172915234</v>
      </c>
      <c r="B1197" t="str">
        <f>"1552382955228641"</f>
        <v>1552382955228641</v>
      </c>
      <c r="C1197" t="s">
        <v>40</v>
      </c>
      <c r="D1197">
        <v>3.4558990000000001</v>
      </c>
      <c r="E1197">
        <v>0.52712490000000001</v>
      </c>
      <c r="F1197" t="s">
        <v>41</v>
      </c>
      <c r="G1197">
        <v>-215.97829999999999</v>
      </c>
      <c r="H1197" s="1">
        <v>-3.096939E-6</v>
      </c>
      <c r="I1197">
        <v>363.0684</v>
      </c>
      <c r="J1197">
        <v>-231.3338</v>
      </c>
      <c r="K1197">
        <v>1.1101529999999999</v>
      </c>
      <c r="L1197">
        <v>367.08569999999997</v>
      </c>
      <c r="M1197">
        <v>0.99989419999999996</v>
      </c>
      <c r="N1197">
        <v>0</v>
      </c>
      <c r="O1197">
        <v>-8.3414100000000005E-4</v>
      </c>
      <c r="P1197">
        <v>0.96563370000000004</v>
      </c>
      <c r="Q1197">
        <v>0.17494960000000001</v>
      </c>
      <c r="R1197">
        <v>-0.19220899999999999</v>
      </c>
      <c r="S1197">
        <v>2.9916079999999998</v>
      </c>
      <c r="T1197">
        <v>-0.21380540000000001</v>
      </c>
      <c r="U1197">
        <v>-0.77371219999999996</v>
      </c>
      <c r="V1197">
        <v>0.19136059999999999</v>
      </c>
      <c r="W1197">
        <v>0.18900110000000001</v>
      </c>
      <c r="X1197">
        <v>0.96315090000000003</v>
      </c>
      <c r="Y1197">
        <v>0.24898799999999999</v>
      </c>
      <c r="Z1197">
        <v>-8.6841809999999992E-3</v>
      </c>
      <c r="AA1197">
        <v>0.96846770000000004</v>
      </c>
      <c r="AB1197">
        <v>34</v>
      </c>
      <c r="AC1197">
        <v>15.355499999999999</v>
      </c>
      <c r="AD1197">
        <v>-1.1101560969390001</v>
      </c>
      <c r="AE1197">
        <v>-4.0172999999999703</v>
      </c>
      <c r="AF1197">
        <v>3.9849939358751998</v>
      </c>
      <c r="AG1197">
        <v>-1.1101560969390001</v>
      </c>
      <c r="AH1197">
        <v>15.284076025184801</v>
      </c>
      <c r="AI1197">
        <v>94.020429525855207</v>
      </c>
      <c r="AJ1197">
        <v>75.386694709263907</v>
      </c>
      <c r="AK1197">
        <v>15.8340014895844</v>
      </c>
      <c r="AL1197">
        <v>79.105504448287206</v>
      </c>
      <c r="AM1197">
        <v>78.762705697192203</v>
      </c>
      <c r="AN1197">
        <v>0.99999997560218901</v>
      </c>
    </row>
    <row r="1198" spans="1:40" x14ac:dyDescent="0.25">
      <c r="A1198" t="str">
        <f>"20190312172915247"</f>
        <v>20190312172915247</v>
      </c>
      <c r="B1198" t="str">
        <f>"1552382955238400"</f>
        <v>1552382955238400</v>
      </c>
      <c r="C1198" t="s">
        <v>40</v>
      </c>
      <c r="D1198">
        <v>3.4583469999999998</v>
      </c>
      <c r="E1198">
        <v>0.52702789999999999</v>
      </c>
      <c r="F1198" t="s">
        <v>41</v>
      </c>
      <c r="G1198">
        <v>-215.8672</v>
      </c>
      <c r="H1198" s="1">
        <v>-3.1289830000000002E-6</v>
      </c>
      <c r="I1198">
        <v>363.09</v>
      </c>
      <c r="J1198">
        <v>-231.14789999999999</v>
      </c>
      <c r="K1198">
        <v>1.1101570000000001</v>
      </c>
      <c r="L1198">
        <v>367.0856</v>
      </c>
      <c r="M1198">
        <v>0.99989430000000001</v>
      </c>
      <c r="N1198">
        <v>0</v>
      </c>
      <c r="O1198">
        <v>-7.670299E-4</v>
      </c>
      <c r="P1198">
        <v>0.96560880000000004</v>
      </c>
      <c r="Q1198">
        <v>0.17489489999999999</v>
      </c>
      <c r="R1198">
        <v>-0.1923841</v>
      </c>
      <c r="S1198">
        <v>2.9918520000000002</v>
      </c>
      <c r="T1198">
        <v>-0.2147483</v>
      </c>
      <c r="U1198">
        <v>-0.77291869999999996</v>
      </c>
      <c r="V1198">
        <v>0.1916003</v>
      </c>
      <c r="W1198">
        <v>0.1889468</v>
      </c>
      <c r="X1198">
        <v>0.96311389999999997</v>
      </c>
      <c r="Y1198">
        <v>0.24878829999999999</v>
      </c>
      <c r="Z1198">
        <v>-8.7196659999999992E-3</v>
      </c>
      <c r="AA1198">
        <v>0.96851869999999995</v>
      </c>
      <c r="AB1198">
        <v>34</v>
      </c>
      <c r="AC1198">
        <v>15.2806999999999</v>
      </c>
      <c r="AD1198">
        <v>-1.1101601289830001</v>
      </c>
      <c r="AE1198">
        <v>-3.99560000000002</v>
      </c>
      <c r="AF1198">
        <v>3.9642916399615</v>
      </c>
      <c r="AG1198">
        <v>-1.1101601289830001</v>
      </c>
      <c r="AH1198">
        <v>15.2086238532862</v>
      </c>
      <c r="AI1198">
        <v>94.040390745368398</v>
      </c>
      <c r="AJ1198">
        <v>75.390327291544494</v>
      </c>
      <c r="AK1198">
        <v>15.7559608792799</v>
      </c>
      <c r="AL1198">
        <v>79.108672701823906</v>
      </c>
      <c r="AM1198">
        <v>78.748567407768505</v>
      </c>
      <c r="AN1198">
        <v>0.99999997628176895</v>
      </c>
    </row>
    <row r="1199" spans="1:40" x14ac:dyDescent="0.25">
      <c r="A1199" t="str">
        <f>"20190312172915259"</f>
        <v>20190312172915259</v>
      </c>
      <c r="B1199" t="str">
        <f>"1552382955248161"</f>
        <v>1552382955248161</v>
      </c>
      <c r="C1199" t="s">
        <v>40</v>
      </c>
      <c r="D1199">
        <v>3.4832939999999999</v>
      </c>
      <c r="E1199">
        <v>0.52697550000000004</v>
      </c>
      <c r="F1199" t="s">
        <v>41</v>
      </c>
      <c r="G1199">
        <v>-215.727</v>
      </c>
      <c r="H1199" s="1">
        <v>-3.1730770000000002E-6</v>
      </c>
      <c r="I1199">
        <v>363.1037</v>
      </c>
      <c r="J1199">
        <v>-230.94</v>
      </c>
      <c r="K1199">
        <v>1.1101620000000001</v>
      </c>
      <c r="L1199">
        <v>367.08550000000002</v>
      </c>
      <c r="M1199">
        <v>0.99989430000000001</v>
      </c>
      <c r="N1199">
        <v>0</v>
      </c>
      <c r="O1199">
        <v>-6.9157509999999997E-4</v>
      </c>
      <c r="P1199">
        <v>0.96569740000000004</v>
      </c>
      <c r="Q1199">
        <v>0.17491319999999999</v>
      </c>
      <c r="R1199">
        <v>-0.19192229999999999</v>
      </c>
      <c r="S1199">
        <v>2.9919280000000001</v>
      </c>
      <c r="T1199">
        <v>-0.21538850000000001</v>
      </c>
      <c r="U1199">
        <v>-0.77255249999999998</v>
      </c>
      <c r="V1199">
        <v>0.19121109999999999</v>
      </c>
      <c r="W1199">
        <v>0.18896689999999999</v>
      </c>
      <c r="X1199">
        <v>0.96318729999999997</v>
      </c>
      <c r="Y1199">
        <v>0.24874060000000001</v>
      </c>
      <c r="Z1199">
        <v>-8.7491679999999999E-3</v>
      </c>
      <c r="AA1199">
        <v>0.96853069999999997</v>
      </c>
      <c r="AB1199">
        <v>34</v>
      </c>
      <c r="AC1199">
        <v>15.2129999999999</v>
      </c>
      <c r="AD1199">
        <v>-1.1101651730769999</v>
      </c>
      <c r="AE1199">
        <v>-3.9818000000000202</v>
      </c>
      <c r="AF1199">
        <v>3.9515827513208599</v>
      </c>
      <c r="AG1199">
        <v>-1.1101651730769999</v>
      </c>
      <c r="AH1199">
        <v>15.1402928081782</v>
      </c>
      <c r="AI1199">
        <v>94.058250484874094</v>
      </c>
      <c r="AJ1199">
        <v>75.372248348322103</v>
      </c>
      <c r="AK1199">
        <v>15.686807810049199</v>
      </c>
      <c r="AL1199">
        <v>79.107499909619307</v>
      </c>
      <c r="AM1199">
        <v>78.771675218952097</v>
      </c>
      <c r="AN1199">
        <v>0.99999997447005395</v>
      </c>
    </row>
    <row r="1200" spans="1:40" x14ac:dyDescent="0.25">
      <c r="A1200" t="str">
        <f>"20190312172915273"</f>
        <v>20190312172915273</v>
      </c>
      <c r="B1200" t="str">
        <f>"1552382955268658"</f>
        <v>1552382955268658</v>
      </c>
      <c r="C1200" t="s">
        <v>40</v>
      </c>
      <c r="D1200">
        <v>3.4867620000000001</v>
      </c>
      <c r="E1200">
        <v>0.52688939999999995</v>
      </c>
      <c r="F1200" t="s">
        <v>41</v>
      </c>
      <c r="G1200">
        <v>-215.53809999999999</v>
      </c>
      <c r="H1200" s="1">
        <v>-3.233804E-6</v>
      </c>
      <c r="I1200">
        <v>363.11709999999999</v>
      </c>
      <c r="J1200">
        <v>-230.7561</v>
      </c>
      <c r="K1200">
        <v>1.1101700000000001</v>
      </c>
      <c r="L1200">
        <v>367.08539999999999</v>
      </c>
      <c r="M1200">
        <v>0.99989430000000001</v>
      </c>
      <c r="N1200">
        <v>0</v>
      </c>
      <c r="O1200">
        <v>-6.2517789999999996E-4</v>
      </c>
      <c r="P1200">
        <v>0.96579610000000005</v>
      </c>
      <c r="Q1200">
        <v>0.1750448</v>
      </c>
      <c r="R1200">
        <v>-0.19130520000000001</v>
      </c>
      <c r="S1200">
        <v>2.992416</v>
      </c>
      <c r="T1200">
        <v>-0.2156913</v>
      </c>
      <c r="U1200">
        <v>-0.77102660000000001</v>
      </c>
      <c r="V1200">
        <v>0.1906581</v>
      </c>
      <c r="W1200">
        <v>0.1890995</v>
      </c>
      <c r="X1200">
        <v>0.96327090000000004</v>
      </c>
      <c r="Y1200">
        <v>0.24830289999999999</v>
      </c>
      <c r="Z1200">
        <v>-8.7498039999999999E-3</v>
      </c>
      <c r="AA1200">
        <v>0.96864300000000003</v>
      </c>
      <c r="AB1200">
        <v>34</v>
      </c>
      <c r="AC1200">
        <v>15.218</v>
      </c>
      <c r="AD1200">
        <v>-1.110173233804</v>
      </c>
      <c r="AE1200">
        <v>-3.9682999999999899</v>
      </c>
      <c r="AF1200">
        <v>3.93915521926932</v>
      </c>
      <c r="AG1200">
        <v>-1.110173233804</v>
      </c>
      <c r="AH1200">
        <v>15.1450096997395</v>
      </c>
      <c r="AI1200">
        <v>94.057909945766994</v>
      </c>
      <c r="AJ1200">
        <v>75.420636146091894</v>
      </c>
      <c r="AK1200">
        <v>15.688235951048</v>
      </c>
      <c r="AL1200">
        <v>79.099763052220993</v>
      </c>
      <c r="AM1200">
        <v>78.804274156999497</v>
      </c>
      <c r="AN1200">
        <v>0.999999979391334</v>
      </c>
    </row>
    <row r="1201" spans="1:40" x14ac:dyDescent="0.25">
      <c r="A1201" t="str">
        <f>"20190312172915288"</f>
        <v>20190312172915288</v>
      </c>
      <c r="B1201" t="str">
        <f>"1552382955278417"</f>
        <v>1552382955278417</v>
      </c>
      <c r="C1201" t="s">
        <v>40</v>
      </c>
      <c r="D1201">
        <v>3.5107970000000002</v>
      </c>
      <c r="E1201">
        <v>0.52687869999999903</v>
      </c>
      <c r="F1201" t="s">
        <v>41</v>
      </c>
      <c r="G1201">
        <v>-215.36410000000001</v>
      </c>
      <c r="H1201" s="1">
        <v>-3.2886179999999998E-6</v>
      </c>
      <c r="I1201">
        <v>363.13350000000003</v>
      </c>
      <c r="J1201">
        <v>-230.52269999999999</v>
      </c>
      <c r="K1201">
        <v>1.110177</v>
      </c>
      <c r="L1201">
        <v>367.08539999999999</v>
      </c>
      <c r="M1201">
        <v>0.99989430000000001</v>
      </c>
      <c r="N1201">
        <v>0</v>
      </c>
      <c r="O1201">
        <v>-5.4065989999999996E-4</v>
      </c>
      <c r="P1201">
        <v>0.96609959999999995</v>
      </c>
      <c r="Q1201">
        <v>0.174818</v>
      </c>
      <c r="R1201">
        <v>-0.18997359999999999</v>
      </c>
      <c r="S1201">
        <v>2.9931489999999998</v>
      </c>
      <c r="T1201">
        <v>-0.21588489999999999</v>
      </c>
      <c r="U1201">
        <v>-0.76849369999999995</v>
      </c>
      <c r="V1201">
        <v>0.18940799999999999</v>
      </c>
      <c r="W1201">
        <v>0.18887609999999999</v>
      </c>
      <c r="X1201">
        <v>0.96356140000000001</v>
      </c>
      <c r="Y1201">
        <v>0.2475591</v>
      </c>
      <c r="Z1201">
        <v>-8.7361030000000003E-3</v>
      </c>
      <c r="AA1201">
        <v>0.96883339999999996</v>
      </c>
      <c r="AB1201">
        <v>34</v>
      </c>
      <c r="AC1201">
        <v>15.1585999999999</v>
      </c>
      <c r="AD1201">
        <v>-1.1101802886180001</v>
      </c>
      <c r="AE1201">
        <v>-3.9518999999999598</v>
      </c>
      <c r="AF1201">
        <v>3.9239950379027801</v>
      </c>
      <c r="AG1201">
        <v>-1.1101802886180001</v>
      </c>
      <c r="AH1201">
        <v>15.0849718830624</v>
      </c>
      <c r="AI1201">
        <v>94.074001991515999</v>
      </c>
      <c r="AJ1201">
        <v>75.419016021559102</v>
      </c>
      <c r="AK1201">
        <v>15.6264715800946</v>
      </c>
      <c r="AL1201">
        <v>79.112798839681005</v>
      </c>
      <c r="AM1201">
        <v>78.879115341280396</v>
      </c>
      <c r="AN1201">
        <v>1.0000000715925801</v>
      </c>
    </row>
    <row r="1202" spans="1:40" x14ac:dyDescent="0.25">
      <c r="A1202" t="str">
        <f>"20190312172915310"</f>
        <v>20190312172915310</v>
      </c>
      <c r="B1202" t="str">
        <f>"1552382955298913"</f>
        <v>1552382955298913</v>
      </c>
      <c r="C1202" t="s">
        <v>40</v>
      </c>
      <c r="D1202">
        <v>3.4981610000000001</v>
      </c>
      <c r="E1202">
        <v>0.5269471</v>
      </c>
      <c r="F1202" t="s">
        <v>41</v>
      </c>
      <c r="G1202">
        <v>-215.18770000000001</v>
      </c>
      <c r="H1202" s="1">
        <v>-3.339679E-6</v>
      </c>
      <c r="I1202">
        <v>363.16730000000001</v>
      </c>
      <c r="J1202">
        <v>-230.1936</v>
      </c>
      <c r="K1202">
        <v>1.110179</v>
      </c>
      <c r="L1202">
        <v>367.08539999999999</v>
      </c>
      <c r="M1202">
        <v>0.99989450000000002</v>
      </c>
      <c r="N1202">
        <v>0</v>
      </c>
      <c r="O1202">
        <v>-4.2192789999999998E-4</v>
      </c>
      <c r="P1202">
        <v>0.96654150000000005</v>
      </c>
      <c r="Q1202">
        <v>0.17453750000000001</v>
      </c>
      <c r="R1202">
        <v>-0.187974</v>
      </c>
      <c r="S1202">
        <v>2.994049</v>
      </c>
      <c r="T1202">
        <v>-0.216754</v>
      </c>
      <c r="U1202">
        <v>-0.76498409999999994</v>
      </c>
      <c r="V1202">
        <v>0.1875231</v>
      </c>
      <c r="W1202">
        <v>0.1886012</v>
      </c>
      <c r="X1202">
        <v>0.96398379999999995</v>
      </c>
      <c r="Y1202">
        <v>0.24653559999999999</v>
      </c>
      <c r="Z1202">
        <v>-8.7419190000000008E-3</v>
      </c>
      <c r="AA1202">
        <v>0.96909429999999996</v>
      </c>
      <c r="AB1202">
        <v>33</v>
      </c>
      <c r="AC1202">
        <v>15.005899999999899</v>
      </c>
      <c r="AD1202">
        <v>-1.110182339679</v>
      </c>
      <c r="AE1202">
        <v>-3.9180999999999799</v>
      </c>
      <c r="AF1202">
        <v>3.89182527132458</v>
      </c>
      <c r="AG1202">
        <v>-1.110182339679</v>
      </c>
      <c r="AH1202">
        <v>14.931043058880601</v>
      </c>
      <c r="AI1202">
        <v>94.115338878463007</v>
      </c>
      <c r="AJ1202">
        <v>75.390729533225496</v>
      </c>
      <c r="AK1202">
        <v>15.469804639878401</v>
      </c>
      <c r="AL1202">
        <v>79.128837429547502</v>
      </c>
      <c r="AM1202">
        <v>78.991774127634201</v>
      </c>
      <c r="AN1202">
        <v>1.0000000461687399</v>
      </c>
    </row>
    <row r="1203" spans="1:40" x14ac:dyDescent="0.25">
      <c r="A1203" t="str">
        <f>"20190312172915321"</f>
        <v>20190312172915321</v>
      </c>
      <c r="B1203" t="str">
        <f>"1552382955318433"</f>
        <v>1552382955318433</v>
      </c>
      <c r="C1203" t="s">
        <v>40</v>
      </c>
      <c r="D1203">
        <v>3.5283690000000001</v>
      </c>
      <c r="E1203">
        <v>0.52704169999999995</v>
      </c>
      <c r="F1203" t="s">
        <v>41</v>
      </c>
      <c r="G1203">
        <v>-214.91739999999999</v>
      </c>
      <c r="H1203" s="1">
        <v>-3.4198540000000001E-6</v>
      </c>
      <c r="I1203">
        <v>363.21159999999998</v>
      </c>
      <c r="J1203">
        <v>-230.01840000000001</v>
      </c>
      <c r="K1203">
        <v>1.1101810000000001</v>
      </c>
      <c r="L1203">
        <v>367.08530000000002</v>
      </c>
      <c r="M1203">
        <v>0.99989450000000002</v>
      </c>
      <c r="N1203">
        <v>0</v>
      </c>
      <c r="O1203">
        <v>-3.5839090000000002E-4</v>
      </c>
      <c r="P1203">
        <v>0.9666747</v>
      </c>
      <c r="Q1203">
        <v>0.17474149999999999</v>
      </c>
      <c r="R1203">
        <v>-0.18709799999999999</v>
      </c>
      <c r="S1203">
        <v>2.995438</v>
      </c>
      <c r="T1203">
        <v>-0.21768940000000001</v>
      </c>
      <c r="U1203">
        <v>-0.75958249999999905</v>
      </c>
      <c r="V1203">
        <v>0.18670829999999999</v>
      </c>
      <c r="W1203">
        <v>0.18880630000000001</v>
      </c>
      <c r="X1203">
        <v>0.96410169999999995</v>
      </c>
      <c r="Y1203">
        <v>0.2448468</v>
      </c>
      <c r="Z1203">
        <v>-8.7217349999999996E-3</v>
      </c>
      <c r="AA1203">
        <v>0.96952249999999995</v>
      </c>
      <c r="AB1203">
        <v>33</v>
      </c>
      <c r="AC1203">
        <v>15.101000000000001</v>
      </c>
      <c r="AD1203">
        <v>-1.1101844198539901</v>
      </c>
      <c r="AE1203">
        <v>-3.8737000000000399</v>
      </c>
      <c r="AF1203">
        <v>3.8487696218229899</v>
      </c>
      <c r="AG1203">
        <v>-1.1101844198539901</v>
      </c>
      <c r="AH1203">
        <v>15.026188164385699</v>
      </c>
      <c r="AI1203">
        <v>94.093837386483798</v>
      </c>
      <c r="AJ1203">
        <v>75.633272401511803</v>
      </c>
      <c r="AK1203">
        <v>15.5509442735635</v>
      </c>
      <c r="AL1203">
        <v>79.116869998384104</v>
      </c>
      <c r="AM1203">
        <v>79.039752552735393</v>
      </c>
      <c r="AN1203">
        <v>0.999999948075733</v>
      </c>
    </row>
    <row r="1204" spans="1:40" x14ac:dyDescent="0.25">
      <c r="A1204" t="str">
        <f>"20190312172915334"</f>
        <v>20190312172915334</v>
      </c>
      <c r="B1204" t="str">
        <f>"1552382955328193"</f>
        <v>1552382955328193</v>
      </c>
      <c r="C1204" t="s">
        <v>40</v>
      </c>
      <c r="D1204">
        <v>3.5277620000000001</v>
      </c>
      <c r="E1204">
        <v>0.52710369999999995</v>
      </c>
      <c r="F1204" t="s">
        <v>41</v>
      </c>
      <c r="G1204">
        <v>-214.72239999999999</v>
      </c>
      <c r="H1204" s="1">
        <v>-3.4849150000000001E-6</v>
      </c>
      <c r="I1204">
        <v>363.21660000000003</v>
      </c>
      <c r="J1204">
        <v>-229.8442</v>
      </c>
      <c r="K1204">
        <v>1.1101890000000001</v>
      </c>
      <c r="L1204">
        <v>367.08539999999999</v>
      </c>
      <c r="M1204">
        <v>0.99989470000000003</v>
      </c>
      <c r="N1204">
        <v>0</v>
      </c>
      <c r="O1204">
        <v>-2.9568539999999999E-4</v>
      </c>
      <c r="P1204">
        <v>0.96682259999999998</v>
      </c>
      <c r="Q1204">
        <v>0.17464830000000001</v>
      </c>
      <c r="R1204">
        <v>-0.1864198</v>
      </c>
      <c r="S1204">
        <v>2.9960629999999999</v>
      </c>
      <c r="T1204">
        <v>-0.2174536</v>
      </c>
      <c r="U1204">
        <v>-0.75778199999999996</v>
      </c>
      <c r="V1204">
        <v>0.1860907</v>
      </c>
      <c r="W1204">
        <v>0.1887141</v>
      </c>
      <c r="X1204">
        <v>0.96423919999999996</v>
      </c>
      <c r="Y1204">
        <v>0.24431439999999999</v>
      </c>
      <c r="Z1204">
        <v>-8.6966619999999904E-3</v>
      </c>
      <c r="AA1204">
        <v>0.96965710000000005</v>
      </c>
      <c r="AB1204">
        <v>33</v>
      </c>
      <c r="AC1204">
        <v>15.1218</v>
      </c>
      <c r="AD1204">
        <v>-1.11019248491499</v>
      </c>
      <c r="AE1204">
        <v>-3.8687999999999598</v>
      </c>
      <c r="AF1204">
        <v>3.8448772950448502</v>
      </c>
      <c r="AG1204">
        <v>-1.11019248491499</v>
      </c>
      <c r="AH1204">
        <v>15.046823345815501</v>
      </c>
      <c r="AI1204">
        <v>94.088868530419603</v>
      </c>
      <c r="AJ1204">
        <v>75.666073000554505</v>
      </c>
      <c r="AK1204">
        <v>15.5699229788619</v>
      </c>
      <c r="AL1204">
        <v>79.122249917511397</v>
      </c>
      <c r="AM1204">
        <v>79.076653866746696</v>
      </c>
      <c r="AN1204">
        <v>0.99999999749096902</v>
      </c>
    </row>
    <row r="1205" spans="1:40" x14ac:dyDescent="0.25">
      <c r="A1205" t="str">
        <f>"20190312172915345"</f>
        <v>20190312172915345</v>
      </c>
      <c r="B1205" t="str">
        <f>"1552382955338929"</f>
        <v>1552382955338929</v>
      </c>
      <c r="C1205" t="s">
        <v>40</v>
      </c>
      <c r="D1205">
        <v>3.561671</v>
      </c>
      <c r="E1205">
        <v>0.52710369999999995</v>
      </c>
      <c r="F1205" t="s">
        <v>41</v>
      </c>
      <c r="G1205">
        <v>-214.5932</v>
      </c>
      <c r="H1205" s="1">
        <v>-3.5231339999999999E-6</v>
      </c>
      <c r="I1205">
        <v>363.23809999999997</v>
      </c>
      <c r="J1205">
        <v>-229.67500000000001</v>
      </c>
      <c r="K1205">
        <v>1.11019</v>
      </c>
      <c r="L1205">
        <v>367.08530000000002</v>
      </c>
      <c r="M1205">
        <v>0.99989470000000003</v>
      </c>
      <c r="N1205">
        <v>0</v>
      </c>
      <c r="O1205">
        <v>-2.3476780000000001E-4</v>
      </c>
      <c r="P1205">
        <v>0.96686950000000005</v>
      </c>
      <c r="Q1205">
        <v>0.1748517</v>
      </c>
      <c r="R1205">
        <v>-0.1859856</v>
      </c>
      <c r="S1205">
        <v>2.9965820000000001</v>
      </c>
      <c r="T1205">
        <v>-0.218135</v>
      </c>
      <c r="U1205">
        <v>-0.75592040000000005</v>
      </c>
      <c r="V1205">
        <v>0.1857152</v>
      </c>
      <c r="W1205">
        <v>0.1889178</v>
      </c>
      <c r="X1205">
        <v>0.96427169999999895</v>
      </c>
      <c r="Y1205">
        <v>0.2437648</v>
      </c>
      <c r="Z1205">
        <v>-8.7077249999999995E-3</v>
      </c>
      <c r="AA1205">
        <v>0.96979530000000003</v>
      </c>
      <c r="AB1205">
        <v>33</v>
      </c>
      <c r="AC1205">
        <v>15.081799999999999</v>
      </c>
      <c r="AD1205">
        <v>-1.1101935231340001</v>
      </c>
      <c r="AE1205">
        <v>-3.8472000000000399</v>
      </c>
      <c r="AF1205">
        <v>3.82420279638223</v>
      </c>
      <c r="AG1205">
        <v>-1.1101935231340001</v>
      </c>
      <c r="AH1205">
        <v>15.006356578975</v>
      </c>
      <c r="AI1205">
        <v>94.100535192188204</v>
      </c>
      <c r="AJ1205">
        <v>75.703117456570496</v>
      </c>
      <c r="AK1205">
        <v>15.525713975917901</v>
      </c>
      <c r="AL1205">
        <v>79.110364915843505</v>
      </c>
      <c r="AM1205">
        <v>79.098525326308604</v>
      </c>
      <c r="AN1205">
        <v>0.99999999104438397</v>
      </c>
    </row>
    <row r="1206" spans="1:40" x14ac:dyDescent="0.25">
      <c r="A1206" t="str">
        <f>"20190312172915356"</f>
        <v>20190312172915356</v>
      </c>
      <c r="B1206" t="str">
        <f>"1552382955348688"</f>
        <v>1552382955348688</v>
      </c>
      <c r="C1206" t="s">
        <v>40</v>
      </c>
      <c r="D1206">
        <v>3.505798</v>
      </c>
      <c r="E1206">
        <v>0.52737849999999997</v>
      </c>
      <c r="F1206" t="s">
        <v>41</v>
      </c>
      <c r="G1206">
        <v>-214.37729999999999</v>
      </c>
      <c r="H1206" s="1">
        <v>-3.5981939999999898E-6</v>
      </c>
      <c r="I1206">
        <v>363.23219999999998</v>
      </c>
      <c r="J1206">
        <v>-229.50540000000001</v>
      </c>
      <c r="K1206">
        <v>1.1101920000000001</v>
      </c>
      <c r="L1206">
        <v>367.08539999999999</v>
      </c>
      <c r="M1206">
        <v>0.99989470000000003</v>
      </c>
      <c r="N1206">
        <v>0</v>
      </c>
      <c r="O1206">
        <v>-1.7337279999999901E-4</v>
      </c>
      <c r="P1206">
        <v>0.96696519999999997</v>
      </c>
      <c r="Q1206">
        <v>0.17477719999999999</v>
      </c>
      <c r="R1206">
        <v>-0.18555730000000001</v>
      </c>
      <c r="S1206">
        <v>2.996918</v>
      </c>
      <c r="T1206">
        <v>-0.21749279999999999</v>
      </c>
      <c r="U1206">
        <v>-0.75485230000000003</v>
      </c>
      <c r="V1206">
        <v>0.18534639999999999</v>
      </c>
      <c r="W1206">
        <v>0.18884339999999999</v>
      </c>
      <c r="X1206">
        <v>0.96435729999999997</v>
      </c>
      <c r="Y1206">
        <v>0.24347779999999999</v>
      </c>
      <c r="Z1206">
        <v>-8.6757239999999992E-3</v>
      </c>
      <c r="AA1206">
        <v>0.9698677</v>
      </c>
      <c r="AB1206">
        <v>33</v>
      </c>
      <c r="AC1206">
        <v>15.1281</v>
      </c>
      <c r="AD1206">
        <v>-1.1101955981939999</v>
      </c>
      <c r="AE1206">
        <v>-3.85320000000001</v>
      </c>
      <c r="AF1206">
        <v>3.8312007503611998</v>
      </c>
      <c r="AG1206">
        <v>-1.1101955981939999</v>
      </c>
      <c r="AH1206">
        <v>15.0526398770245</v>
      </c>
      <c r="AI1206">
        <v>94.088287966682003</v>
      </c>
      <c r="AJ1206">
        <v>75.720263779396106</v>
      </c>
      <c r="AK1206">
        <v>15.5721739241253</v>
      </c>
      <c r="AL1206">
        <v>79.114706617138594</v>
      </c>
      <c r="AM1206">
        <v>79.120599401589701</v>
      </c>
      <c r="AN1206">
        <v>1.0000000598898999</v>
      </c>
    </row>
    <row r="1207" spans="1:40" x14ac:dyDescent="0.25">
      <c r="A1207" t="str">
        <f>"20190312172915368"</f>
        <v>20190312172915368</v>
      </c>
      <c r="B1207" t="str">
        <f>"1552382955358449"</f>
        <v>1552382955358449</v>
      </c>
      <c r="C1207" t="s">
        <v>40</v>
      </c>
      <c r="D1207">
        <v>3.4932110000000001</v>
      </c>
      <c r="E1207">
        <v>0.52748289999999998</v>
      </c>
      <c r="F1207" t="s">
        <v>41</v>
      </c>
      <c r="G1207">
        <v>-214.40969999999999</v>
      </c>
      <c r="H1207" s="1">
        <v>-3.5752429999999998E-6</v>
      </c>
      <c r="I1207">
        <v>363.27699999999999</v>
      </c>
      <c r="J1207">
        <v>-229.3305</v>
      </c>
      <c r="K1207">
        <v>1.110193</v>
      </c>
      <c r="L1207">
        <v>367.08539999999999</v>
      </c>
      <c r="M1207">
        <v>0.99989459999999997</v>
      </c>
      <c r="N1207">
        <v>0</v>
      </c>
      <c r="O1207">
        <v>-1.104268E-4</v>
      </c>
      <c r="P1207">
        <v>0.96703709999999998</v>
      </c>
      <c r="Q1207">
        <v>0.17474879999999901</v>
      </c>
      <c r="R1207">
        <v>-0.1852076</v>
      </c>
      <c r="S1207">
        <v>2.997223</v>
      </c>
      <c r="T1207">
        <v>-0.22042580000000001</v>
      </c>
      <c r="U1207">
        <v>-0.75613399999999997</v>
      </c>
      <c r="V1207">
        <v>0.18505779999999999</v>
      </c>
      <c r="W1207">
        <v>0.18881519999999999</v>
      </c>
      <c r="X1207">
        <v>0.9644182</v>
      </c>
      <c r="Y1207">
        <v>0.2438881</v>
      </c>
      <c r="Z1207">
        <v>-8.8104940000000003E-3</v>
      </c>
      <c r="AA1207">
        <v>0.96976329999999999</v>
      </c>
      <c r="AB1207">
        <v>33</v>
      </c>
      <c r="AC1207">
        <v>14.9208</v>
      </c>
      <c r="AD1207">
        <v>-1.1101965752429901</v>
      </c>
      <c r="AE1207">
        <v>-3.8083999999999998</v>
      </c>
      <c r="AF1207">
        <v>3.78706835577221</v>
      </c>
      <c r="AG1207">
        <v>-1.1101965752429901</v>
      </c>
      <c r="AH1207">
        <v>14.844066494170599</v>
      </c>
      <c r="AI1207">
        <v>94.144940872896697</v>
      </c>
      <c r="AJ1207">
        <v>75.687811024346999</v>
      </c>
      <c r="AK1207">
        <v>15.359711366114</v>
      </c>
      <c r="AL1207">
        <v>79.116351483029007</v>
      </c>
      <c r="AM1207">
        <v>79.137805843591494</v>
      </c>
      <c r="AN1207">
        <v>1.0000000167915599</v>
      </c>
    </row>
    <row r="1208" spans="1:40" x14ac:dyDescent="0.25">
      <c r="A1208" t="str">
        <f>"20190312172915381"</f>
        <v>20190312172915381</v>
      </c>
      <c r="B1208" t="str">
        <f>"1552382955378945"</f>
        <v>1552382955378945</v>
      </c>
      <c r="C1208" t="s">
        <v>40</v>
      </c>
      <c r="D1208">
        <v>3.524435</v>
      </c>
      <c r="E1208">
        <v>0.52779100000000001</v>
      </c>
      <c r="F1208" t="s">
        <v>41</v>
      </c>
      <c r="G1208">
        <v>-214.22720000000001</v>
      </c>
      <c r="H1208" s="1">
        <v>-3.637858E-6</v>
      </c>
      <c r="I1208">
        <v>363.27510000000001</v>
      </c>
      <c r="J1208">
        <v>-229.11840000000001</v>
      </c>
      <c r="K1208">
        <v>1.110195</v>
      </c>
      <c r="L1208">
        <v>367.08539999999999</v>
      </c>
      <c r="M1208">
        <v>0.99989470000000003</v>
      </c>
      <c r="N1208">
        <v>0</v>
      </c>
      <c r="O1208" s="1">
        <v>-3.4186310000000002E-5</v>
      </c>
      <c r="P1208">
        <v>0.96713720000000003</v>
      </c>
      <c r="Q1208">
        <v>0.17452860000000001</v>
      </c>
      <c r="R1208">
        <v>-0.18489449999999999</v>
      </c>
      <c r="S1208">
        <v>2.9972530000000002</v>
      </c>
      <c r="T1208">
        <v>-0.22031709999999999</v>
      </c>
      <c r="U1208">
        <v>-0.75613399999999997</v>
      </c>
      <c r="V1208">
        <v>0.18481800000000001</v>
      </c>
      <c r="W1208">
        <v>0.1885947</v>
      </c>
      <c r="X1208">
        <v>0.96450729999999996</v>
      </c>
      <c r="Y1208">
        <v>0.24395990000000001</v>
      </c>
      <c r="Z1208">
        <v>-8.8141780000000006E-3</v>
      </c>
      <c r="AA1208">
        <v>0.96974530000000003</v>
      </c>
      <c r="AB1208">
        <v>33</v>
      </c>
      <c r="AC1208">
        <v>14.8911999999999</v>
      </c>
      <c r="AD1208">
        <v>-1.110198637858</v>
      </c>
      <c r="AE1208">
        <v>-3.8102999999999798</v>
      </c>
      <c r="AF1208">
        <v>3.7900192987367101</v>
      </c>
      <c r="AG1208">
        <v>-1.110198637858</v>
      </c>
      <c r="AH1208">
        <v>14.8140491248818</v>
      </c>
      <c r="AI1208">
        <v>94.152607213823202</v>
      </c>
      <c r="AJ1208">
        <v>75.649292790117201</v>
      </c>
      <c r="AK1208">
        <v>15.3314330306958</v>
      </c>
      <c r="AL1208">
        <v>79.129216071153607</v>
      </c>
      <c r="AM1208">
        <v>79.152525380862102</v>
      </c>
      <c r="AN1208">
        <v>0.99999999287268904</v>
      </c>
    </row>
    <row r="1209" spans="1:40" x14ac:dyDescent="0.25">
      <c r="A1209" t="str">
        <f>"20190312172915400"</f>
        <v>20190312172915400</v>
      </c>
      <c r="B1209" t="str">
        <f>"1552382955388704"</f>
        <v>1552382955388704</v>
      </c>
      <c r="C1209" t="s">
        <v>40</v>
      </c>
      <c r="D1209">
        <v>3.741803</v>
      </c>
      <c r="E1209">
        <v>0.52793350000000006</v>
      </c>
      <c r="F1209" t="s">
        <v>41</v>
      </c>
      <c r="G1209">
        <v>-214.0744</v>
      </c>
      <c r="H1209" s="1">
        <v>-3.687929E-6</v>
      </c>
      <c r="I1209">
        <v>363.28230000000002</v>
      </c>
      <c r="J1209">
        <v>-228.85919999999999</v>
      </c>
      <c r="K1209">
        <v>1.1101989999999999</v>
      </c>
      <c r="L1209">
        <v>367.08550000000002</v>
      </c>
      <c r="M1209">
        <v>0.99989459999999997</v>
      </c>
      <c r="N1209">
        <v>0</v>
      </c>
      <c r="O1209" s="1">
        <v>5.9396969999999897E-5</v>
      </c>
      <c r="P1209">
        <v>0.96727770000000002</v>
      </c>
      <c r="Q1209">
        <v>0.17399400000000001</v>
      </c>
      <c r="R1209">
        <v>-0.18466160000000001</v>
      </c>
      <c r="S1209">
        <v>2.9970089999999998</v>
      </c>
      <c r="T1209">
        <v>-0.22116820000000001</v>
      </c>
      <c r="U1209">
        <v>-0.75762940000000001</v>
      </c>
      <c r="V1209">
        <v>0.18467600000000001</v>
      </c>
      <c r="W1209">
        <v>0.1880608</v>
      </c>
      <c r="X1209">
        <v>0.96463880000000002</v>
      </c>
      <c r="Y1209">
        <v>0.2445177</v>
      </c>
      <c r="Z1209">
        <v>-8.8753359999999993E-3</v>
      </c>
      <c r="AA1209">
        <v>0.96960420000000003</v>
      </c>
      <c r="AB1209">
        <v>33</v>
      </c>
      <c r="AC1209">
        <v>14.784799999999899</v>
      </c>
      <c r="AD1209">
        <v>-1.1102026879289999</v>
      </c>
      <c r="AE1209">
        <v>-3.8031999999999999</v>
      </c>
      <c r="AF1209">
        <v>3.7840655692105298</v>
      </c>
      <c r="AG1209">
        <v>-1.1102026879289999</v>
      </c>
      <c r="AH1209">
        <v>14.7067946101283</v>
      </c>
      <c r="AI1209">
        <v>94.181334106781094</v>
      </c>
      <c r="AJ1209">
        <v>75.570755255254198</v>
      </c>
      <c r="AK1209">
        <v>15.226342631928</v>
      </c>
      <c r="AL1209">
        <v>79.160364283988002</v>
      </c>
      <c r="AM1209">
        <v>79.162104863878696</v>
      </c>
      <c r="AN1209">
        <v>1.00000005196903</v>
      </c>
    </row>
    <row r="1210" spans="1:40" x14ac:dyDescent="0.25">
      <c r="A1210" t="str">
        <f>"20190312172915415"</f>
        <v>20190312172915415</v>
      </c>
      <c r="B1210" t="str">
        <f>"1552382955408224"</f>
        <v>1552382955408224</v>
      </c>
      <c r="C1210" t="s">
        <v>40</v>
      </c>
      <c r="D1210">
        <v>3.5067119999999998</v>
      </c>
      <c r="E1210">
        <v>0.52822579999999997</v>
      </c>
      <c r="F1210" t="s">
        <v>41</v>
      </c>
      <c r="G1210">
        <v>-213.9091</v>
      </c>
      <c r="H1210" s="1">
        <v>-3.7394659999999998E-6</v>
      </c>
      <c r="I1210">
        <v>363.30009999999999</v>
      </c>
      <c r="J1210">
        <v>-228.64179999999999</v>
      </c>
      <c r="K1210">
        <v>1.110201</v>
      </c>
      <c r="L1210">
        <v>367.0856</v>
      </c>
      <c r="M1210">
        <v>0.99989470000000003</v>
      </c>
      <c r="N1210">
        <v>0</v>
      </c>
      <c r="O1210">
        <v>1.3748459999999999E-4</v>
      </c>
      <c r="P1210">
        <v>0.96733579999999997</v>
      </c>
      <c r="Q1210">
        <v>0.173821</v>
      </c>
      <c r="R1210">
        <v>-0.18452160000000001</v>
      </c>
      <c r="S1210">
        <v>2.9966740000000001</v>
      </c>
      <c r="T1210">
        <v>-0.2225326</v>
      </c>
      <c r="U1210">
        <v>-0.7587585</v>
      </c>
      <c r="V1210">
        <v>0.18461140000000001</v>
      </c>
      <c r="W1210">
        <v>0.1878871</v>
      </c>
      <c r="X1210">
        <v>0.96468500000000001</v>
      </c>
      <c r="Y1210">
        <v>0.24495349999999999</v>
      </c>
      <c r="Z1210">
        <v>-8.9521189999999997E-3</v>
      </c>
      <c r="AA1210">
        <v>0.96949350000000001</v>
      </c>
      <c r="AB1210">
        <v>33</v>
      </c>
      <c r="AC1210">
        <v>14.7326999999999</v>
      </c>
      <c r="AD1210">
        <v>-1.110204739466</v>
      </c>
      <c r="AE1210">
        <v>-3.7855000000000101</v>
      </c>
      <c r="AF1210">
        <v>3.76745677698724</v>
      </c>
      <c r="AG1210">
        <v>-1.110204739466</v>
      </c>
      <c r="AH1210">
        <v>14.6541181246167</v>
      </c>
      <c r="AI1210">
        <v>94.196528986756903</v>
      </c>
      <c r="AJ1210">
        <v>75.581959200872205</v>
      </c>
      <c r="AK1210">
        <v>15.1713368936366</v>
      </c>
      <c r="AL1210">
        <v>79.170497061397199</v>
      </c>
      <c r="AM1210">
        <v>79.166312822468598</v>
      </c>
      <c r="AN1210">
        <v>1.0000000402906799</v>
      </c>
    </row>
    <row r="1211" spans="1:40" x14ac:dyDescent="0.25">
      <c r="A1211" t="str">
        <f>"20190312172915426"</f>
        <v>20190312172915426</v>
      </c>
      <c r="B1211" t="str">
        <f>"1552382955418961"</f>
        <v>1552382955418961</v>
      </c>
      <c r="C1211" t="s">
        <v>40</v>
      </c>
      <c r="D1211">
        <v>3.5150090000000001</v>
      </c>
      <c r="E1211">
        <v>0.52839740000000002</v>
      </c>
      <c r="F1211" t="s">
        <v>41</v>
      </c>
      <c r="G1211">
        <v>-213.7396</v>
      </c>
      <c r="H1211" s="1">
        <v>-3.7969969999999999E-6</v>
      </c>
      <c r="I1211">
        <v>363.30059999999997</v>
      </c>
      <c r="J1211">
        <v>-228.45859999999999</v>
      </c>
      <c r="K1211">
        <v>1.110198</v>
      </c>
      <c r="L1211">
        <v>367.08569999999997</v>
      </c>
      <c r="M1211">
        <v>0.99989459999999997</v>
      </c>
      <c r="N1211">
        <v>0</v>
      </c>
      <c r="O1211">
        <v>2.0353170000000001E-4</v>
      </c>
      <c r="P1211">
        <v>0.96735369999999998</v>
      </c>
      <c r="Q1211">
        <v>0.17388139999999999</v>
      </c>
      <c r="R1211">
        <v>-0.18436930000000001</v>
      </c>
      <c r="S1211">
        <v>2.9962620000000002</v>
      </c>
      <c r="T1211">
        <v>-0.22321820000000001</v>
      </c>
      <c r="U1211">
        <v>-0.76101680000000005</v>
      </c>
      <c r="V1211">
        <v>0.1845232</v>
      </c>
      <c r="W1211">
        <v>0.18794649999999999</v>
      </c>
      <c r="X1211">
        <v>0.9646903</v>
      </c>
      <c r="Y1211">
        <v>0.24572949999999999</v>
      </c>
      <c r="Z1211">
        <v>-9.0132589999999992E-3</v>
      </c>
      <c r="AA1211">
        <v>0.96929650000000001</v>
      </c>
      <c r="AB1211">
        <v>33</v>
      </c>
      <c r="AC1211">
        <v>14.7189999999999</v>
      </c>
      <c r="AD1211">
        <v>-1.1102017969969999</v>
      </c>
      <c r="AE1211">
        <v>-3.7850999999999999</v>
      </c>
      <c r="AF1211">
        <v>3.76798904556063</v>
      </c>
      <c r="AG1211">
        <v>-1.1102017969969999</v>
      </c>
      <c r="AH1211">
        <v>14.6401057932678</v>
      </c>
      <c r="AI1211">
        <v>94.200234913195203</v>
      </c>
      <c r="AJ1211">
        <v>75.566781735826297</v>
      </c>
      <c r="AK1211">
        <v>15.1579347905839</v>
      </c>
      <c r="AL1211">
        <v>79.167031920372096</v>
      </c>
      <c r="AM1211">
        <v>79.1714244105235</v>
      </c>
      <c r="AN1211">
        <v>1.0000000365572801</v>
      </c>
    </row>
    <row r="1212" spans="1:40" x14ac:dyDescent="0.25">
      <c r="A1212" t="str">
        <f>"20190312172915439"</f>
        <v>20190312172915439</v>
      </c>
      <c r="B1212" t="str">
        <f>"1552382955428721"</f>
        <v>1552382955428721</v>
      </c>
      <c r="C1212" t="s">
        <v>40</v>
      </c>
      <c r="D1212">
        <v>3.5059520000000002</v>
      </c>
      <c r="E1212">
        <v>0.5285531</v>
      </c>
      <c r="F1212" t="s">
        <v>41</v>
      </c>
      <c r="G1212">
        <v>-213.5496</v>
      </c>
      <c r="H1212" s="1">
        <v>-3.8711110000000002E-6</v>
      </c>
      <c r="I1212">
        <v>363.29349999999999</v>
      </c>
      <c r="J1212">
        <v>-228.2739</v>
      </c>
      <c r="K1212">
        <v>1.110188</v>
      </c>
      <c r="L1212">
        <v>367.08580000000001</v>
      </c>
      <c r="M1212">
        <v>0.99989459999999997</v>
      </c>
      <c r="N1212">
        <v>0</v>
      </c>
      <c r="O1212">
        <v>2.6993610000000001E-4</v>
      </c>
      <c r="P1212">
        <v>0.96739640000000005</v>
      </c>
      <c r="Q1212">
        <v>0.17369519999999999</v>
      </c>
      <c r="R1212">
        <v>-0.18432119999999999</v>
      </c>
      <c r="S1212">
        <v>2.996124</v>
      </c>
      <c r="T1212">
        <v>-0.22310579999999999</v>
      </c>
      <c r="U1212">
        <v>-0.76208500000000001</v>
      </c>
      <c r="V1212">
        <v>0.18453919999999999</v>
      </c>
      <c r="W1212">
        <v>0.18775919999999999</v>
      </c>
      <c r="X1212">
        <v>0.96472360000000001</v>
      </c>
      <c r="Y1212">
        <v>0.2461285</v>
      </c>
      <c r="Z1212">
        <v>-9.0282069999999999E-3</v>
      </c>
      <c r="AA1212">
        <v>0.96919520000000003</v>
      </c>
      <c r="AB1212">
        <v>33</v>
      </c>
      <c r="AC1212">
        <v>14.724299999999999</v>
      </c>
      <c r="AD1212">
        <v>-1.1101918711109999</v>
      </c>
      <c r="AE1212">
        <v>-3.7923000000000102</v>
      </c>
      <c r="AF1212">
        <v>3.7761431302927599</v>
      </c>
      <c r="AG1212">
        <v>-1.1101918711109999</v>
      </c>
      <c r="AH1212">
        <v>14.6451976625203</v>
      </c>
      <c r="AI1212">
        <v>94.198270125993105</v>
      </c>
      <c r="AJ1212">
        <v>75.541674128462304</v>
      </c>
      <c r="AK1212">
        <v>15.164880398652301</v>
      </c>
      <c r="AL1212">
        <v>79.177956754812399</v>
      </c>
      <c r="AM1212">
        <v>79.170872637153906</v>
      </c>
      <c r="AN1212">
        <v>0.99999992895911705</v>
      </c>
    </row>
    <row r="1213" spans="1:40" x14ac:dyDescent="0.25">
      <c r="A1213" t="str">
        <f>"20190312172915451"</f>
        <v>20190312172915451</v>
      </c>
      <c r="B1213" t="str">
        <f>"1552382955448241"</f>
        <v>1552382955448241</v>
      </c>
      <c r="C1213" t="s">
        <v>40</v>
      </c>
      <c r="D1213">
        <v>3.534316</v>
      </c>
      <c r="E1213">
        <v>0.5288948</v>
      </c>
      <c r="F1213" t="s">
        <v>41</v>
      </c>
      <c r="G1213">
        <v>-213.40809999999999</v>
      </c>
      <c r="H1213" s="1">
        <v>-3.9305690000000003E-6</v>
      </c>
      <c r="I1213">
        <v>363.30040000000002</v>
      </c>
      <c r="J1213">
        <v>-228.10140000000001</v>
      </c>
      <c r="K1213">
        <v>1.11019</v>
      </c>
      <c r="L1213">
        <v>367.08589999999998</v>
      </c>
      <c r="M1213">
        <v>0.99989470000000003</v>
      </c>
      <c r="N1213">
        <v>0</v>
      </c>
      <c r="O1213">
        <v>3.319873E-4</v>
      </c>
      <c r="P1213">
        <v>0.96747119999999998</v>
      </c>
      <c r="Q1213">
        <v>0.1733654</v>
      </c>
      <c r="R1213">
        <v>-0.18423880000000001</v>
      </c>
      <c r="S1213">
        <v>2.9959259999999999</v>
      </c>
      <c r="T1213">
        <v>-0.22373870000000001</v>
      </c>
      <c r="U1213">
        <v>-0.76287839999999996</v>
      </c>
      <c r="V1213">
        <v>0.18451719999999999</v>
      </c>
      <c r="W1213">
        <v>0.18743000000000001</v>
      </c>
      <c r="X1213">
        <v>0.96479190000000004</v>
      </c>
      <c r="Y1213">
        <v>0.2464404</v>
      </c>
      <c r="Z1213">
        <v>-9.0700429999999999E-3</v>
      </c>
      <c r="AA1213">
        <v>0.96911550000000002</v>
      </c>
      <c r="AB1213">
        <v>33</v>
      </c>
      <c r="AC1213">
        <v>14.693300000000001</v>
      </c>
      <c r="AD1213">
        <v>-1.1101939305689901</v>
      </c>
      <c r="AE1213">
        <v>-3.7854999999999501</v>
      </c>
      <c r="AF1213">
        <v>3.7701940468681201</v>
      </c>
      <c r="AG1213">
        <v>-1.1101939305689901</v>
      </c>
      <c r="AH1213">
        <v>14.6138053243365</v>
      </c>
      <c r="AI1213">
        <v>94.207115167783897</v>
      </c>
      <c r="AJ1213">
        <v>75.533788211015406</v>
      </c>
      <c r="AK1213">
        <v>15.133082956625801</v>
      </c>
      <c r="AL1213">
        <v>79.1971602849422</v>
      </c>
      <c r="AM1213">
        <v>79.172881532418202</v>
      </c>
      <c r="AN1213">
        <v>1.0000000061507199</v>
      </c>
    </row>
    <row r="1214" spans="1:40" x14ac:dyDescent="0.25">
      <c r="A1214" t="str">
        <f>"20190312172915462"</f>
        <v>20190312172915462</v>
      </c>
      <c r="B1214" t="str">
        <f>"1552382955458977"</f>
        <v>1552382955458977</v>
      </c>
      <c r="C1214" t="s">
        <v>40</v>
      </c>
      <c r="D1214">
        <v>3.4957039999999999</v>
      </c>
      <c r="E1214">
        <v>0.52914799999999995</v>
      </c>
      <c r="F1214" t="s">
        <v>41</v>
      </c>
      <c r="G1214">
        <v>-213.31460000000001</v>
      </c>
      <c r="H1214" s="1">
        <v>-3.9694539999999999E-6</v>
      </c>
      <c r="I1214">
        <v>363.30739999999997</v>
      </c>
      <c r="J1214">
        <v>-227.92140000000001</v>
      </c>
      <c r="K1214">
        <v>1.110187</v>
      </c>
      <c r="L1214">
        <v>367.08609999999999</v>
      </c>
      <c r="M1214">
        <v>0.99989479999999997</v>
      </c>
      <c r="N1214">
        <v>0</v>
      </c>
      <c r="O1214">
        <v>3.9689860000000001E-4</v>
      </c>
      <c r="P1214">
        <v>0.96756189999999997</v>
      </c>
      <c r="Q1214">
        <v>0.1730642</v>
      </c>
      <c r="R1214">
        <v>-0.18404699999999999</v>
      </c>
      <c r="S1214">
        <v>2.995422</v>
      </c>
      <c r="T1214">
        <v>-0.22489490000000001</v>
      </c>
      <c r="U1214">
        <v>-0.76541139999999996</v>
      </c>
      <c r="V1214">
        <v>0.1843882</v>
      </c>
      <c r="W1214">
        <v>0.1871283</v>
      </c>
      <c r="X1214">
        <v>0.96487509999999999</v>
      </c>
      <c r="Y1214">
        <v>0.24730240000000001</v>
      </c>
      <c r="Z1214">
        <v>-9.1539310000000006E-3</v>
      </c>
      <c r="AA1214">
        <v>0.96889510000000001</v>
      </c>
      <c r="AB1214">
        <v>33</v>
      </c>
      <c r="AC1214">
        <v>14.6067999999999</v>
      </c>
      <c r="AD1214">
        <v>-1.110190969454</v>
      </c>
      <c r="AE1214">
        <v>-3.7787000000000099</v>
      </c>
      <c r="AF1214">
        <v>3.76411720739579</v>
      </c>
      <c r="AG1214">
        <v>-1.110190969454</v>
      </c>
      <c r="AH1214">
        <v>14.5266455268158</v>
      </c>
      <c r="AI1214">
        <v>94.231100874120003</v>
      </c>
      <c r="AJ1214">
        <v>75.4731220723055</v>
      </c>
      <c r="AK1214">
        <v>15.047409498030801</v>
      </c>
      <c r="AL1214">
        <v>79.214757534558402</v>
      </c>
      <c r="AM1214">
        <v>79.181183224089096</v>
      </c>
      <c r="AN1214">
        <v>0.99999998378006905</v>
      </c>
    </row>
    <row r="1215" spans="1:40" x14ac:dyDescent="0.25">
      <c r="A1215" t="str">
        <f>"20190312172915478"</f>
        <v>20190312172915478</v>
      </c>
      <c r="B1215" t="str">
        <f>"1552382955468736"</f>
        <v>1552382955468736</v>
      </c>
      <c r="C1215" t="s">
        <v>40</v>
      </c>
      <c r="D1215">
        <v>3.5359859999999999</v>
      </c>
      <c r="E1215">
        <v>0.52934619999999999</v>
      </c>
      <c r="F1215" t="s">
        <v>41</v>
      </c>
      <c r="G1215">
        <v>-213.29589999999999</v>
      </c>
      <c r="H1215" s="1">
        <v>-3.9716140000000002E-6</v>
      </c>
      <c r="I1215">
        <v>363.34030000000001</v>
      </c>
      <c r="J1215">
        <v>-227.6953</v>
      </c>
      <c r="K1215">
        <v>1.1101890000000001</v>
      </c>
      <c r="L1215">
        <v>367.08620000000002</v>
      </c>
      <c r="M1215">
        <v>0.99989470000000003</v>
      </c>
      <c r="N1215">
        <v>0</v>
      </c>
      <c r="O1215">
        <v>4.7897329999999999E-4</v>
      </c>
      <c r="P1215">
        <v>0.96775359999999999</v>
      </c>
      <c r="Q1215">
        <v>0.17253279999999999</v>
      </c>
      <c r="R1215">
        <v>-0.18353620000000001</v>
      </c>
      <c r="S1215">
        <v>2.9953159999999999</v>
      </c>
      <c r="T1215">
        <v>-0.22736700000000001</v>
      </c>
      <c r="U1215">
        <v>-0.76712040000000004</v>
      </c>
      <c r="V1215">
        <v>0.1839576</v>
      </c>
      <c r="W1215">
        <v>0.1865975</v>
      </c>
      <c r="X1215">
        <v>0.96506009999999998</v>
      </c>
      <c r="Y1215">
        <v>0.2478928</v>
      </c>
      <c r="Z1215">
        <v>-9.282106E-3</v>
      </c>
      <c r="AA1215">
        <v>0.96874300000000002</v>
      </c>
      <c r="AB1215">
        <v>33</v>
      </c>
      <c r="AC1215">
        <v>14.3994</v>
      </c>
      <c r="AD1215">
        <v>-1.11019297161399</v>
      </c>
      <c r="AE1215">
        <v>-3.7458999999999998</v>
      </c>
      <c r="AF1215">
        <v>3.73201877145463</v>
      </c>
      <c r="AG1215">
        <v>-1.11019297161399</v>
      </c>
      <c r="AH1215">
        <v>14.317887454586501</v>
      </c>
      <c r="AI1215">
        <v>94.2909710789244</v>
      </c>
      <c r="AJ1215">
        <v>75.390675138547095</v>
      </c>
      <c r="AK1215">
        <v>14.837870255091101</v>
      </c>
      <c r="AL1215">
        <v>79.245715724907996</v>
      </c>
      <c r="AM1215">
        <v>79.2078746719328</v>
      </c>
      <c r="AN1215">
        <v>1.0000000111080001</v>
      </c>
    </row>
    <row r="1216" spans="1:40" x14ac:dyDescent="0.25">
      <c r="A1216" t="str">
        <f>"20190312172915490"</f>
        <v>20190312172915490</v>
      </c>
      <c r="B1216" t="str">
        <f>"1552382955478498"</f>
        <v>1552382955478498</v>
      </c>
      <c r="C1216" t="s">
        <v>40</v>
      </c>
      <c r="D1216">
        <v>3.5156320000000001</v>
      </c>
      <c r="E1216">
        <v>0.52953669999999997</v>
      </c>
      <c r="F1216" t="s">
        <v>41</v>
      </c>
      <c r="G1216">
        <v>-213.16550000000001</v>
      </c>
      <c r="H1216" s="1">
        <v>-4.023544E-6</v>
      </c>
      <c r="I1216">
        <v>363.36290000000002</v>
      </c>
      <c r="J1216">
        <v>-227.52430000000001</v>
      </c>
      <c r="K1216">
        <v>1.1101890000000001</v>
      </c>
      <c r="L1216">
        <v>367.08640000000003</v>
      </c>
      <c r="M1216">
        <v>0.99989470000000003</v>
      </c>
      <c r="N1216">
        <v>0</v>
      </c>
      <c r="O1216">
        <v>5.4084589999999996E-4</v>
      </c>
      <c r="P1216">
        <v>0.96792069999999997</v>
      </c>
      <c r="Q1216">
        <v>0.17229630000000001</v>
      </c>
      <c r="R1216">
        <v>-0.1828765</v>
      </c>
      <c r="S1216">
        <v>2.995193</v>
      </c>
      <c r="T1216">
        <v>-0.22885630000000001</v>
      </c>
      <c r="U1216">
        <v>-0.76751709999999995</v>
      </c>
      <c r="V1216">
        <v>0.18335770000000001</v>
      </c>
      <c r="W1216">
        <v>0.1863619</v>
      </c>
      <c r="X1216">
        <v>0.96521970000000001</v>
      </c>
      <c r="Y1216">
        <v>0.24807309999999999</v>
      </c>
      <c r="Z1216">
        <v>-9.3543729999999992E-3</v>
      </c>
      <c r="AA1216">
        <v>0.96869609999999995</v>
      </c>
      <c r="AB1216">
        <v>33</v>
      </c>
      <c r="AC1216">
        <v>14.3588</v>
      </c>
      <c r="AD1216">
        <v>-1.1101930235439901</v>
      </c>
      <c r="AE1216">
        <v>-3.7235</v>
      </c>
      <c r="AF1216">
        <v>3.71048229495094</v>
      </c>
      <c r="AG1216">
        <v>-1.1101930235439901</v>
      </c>
      <c r="AH1216">
        <v>14.2768137816599</v>
      </c>
      <c r="AI1216">
        <v>94.304062718777701</v>
      </c>
      <c r="AJ1216">
        <v>75.431382313482203</v>
      </c>
      <c r="AK1216">
        <v>14.792823231785899</v>
      </c>
      <c r="AL1216">
        <v>79.259454814751507</v>
      </c>
      <c r="AM1216">
        <v>79.243983319364801</v>
      </c>
      <c r="AN1216">
        <v>0.99999993659449304</v>
      </c>
    </row>
    <row r="1217" spans="1:40" x14ac:dyDescent="0.25">
      <c r="A1217" t="str">
        <f>"20190312172915501"</f>
        <v>20190312172915501</v>
      </c>
      <c r="B1217" t="str">
        <f>"1552382955498993"</f>
        <v>1552382955498993</v>
      </c>
      <c r="C1217" t="s">
        <v>40</v>
      </c>
      <c r="D1217">
        <v>3.4965069999999998</v>
      </c>
      <c r="E1217">
        <v>0.52998440000000002</v>
      </c>
      <c r="F1217" t="s">
        <v>41</v>
      </c>
      <c r="G1217">
        <v>-213.0258</v>
      </c>
      <c r="H1217" s="1">
        <v>-4.0814590000000002E-6</v>
      </c>
      <c r="I1217">
        <v>363.37439999999998</v>
      </c>
      <c r="J1217">
        <v>-227.33959999999999</v>
      </c>
      <c r="K1217">
        <v>1.1101890000000001</v>
      </c>
      <c r="L1217">
        <v>367.0865</v>
      </c>
      <c r="M1217">
        <v>0.99989459999999997</v>
      </c>
      <c r="N1217">
        <v>0</v>
      </c>
      <c r="O1217">
        <v>6.0754949999999896E-4</v>
      </c>
      <c r="P1217">
        <v>0.96799219999999997</v>
      </c>
      <c r="Q1217">
        <v>0.17220569999999999</v>
      </c>
      <c r="R1217">
        <v>-0.18258199999999999</v>
      </c>
      <c r="S1217">
        <v>2.9953609999999999</v>
      </c>
      <c r="T1217">
        <v>-0.22936319999999999</v>
      </c>
      <c r="U1217">
        <v>-0.76687620000000001</v>
      </c>
      <c r="V1217">
        <v>0.18312800000000001</v>
      </c>
      <c r="W1217">
        <v>0.18627099999999999</v>
      </c>
      <c r="X1217">
        <v>0.9652809</v>
      </c>
      <c r="Y1217">
        <v>0.24792739999999999</v>
      </c>
      <c r="Z1217">
        <v>-9.3743070000000001E-3</v>
      </c>
      <c r="AA1217">
        <v>0.96873330000000002</v>
      </c>
      <c r="AB1217">
        <v>33</v>
      </c>
      <c r="AC1217">
        <v>14.313799999999899</v>
      </c>
      <c r="AD1217">
        <v>-1.110193081459</v>
      </c>
      <c r="AE1217">
        <v>-3.7121000000000199</v>
      </c>
      <c r="AF1217">
        <v>3.6999414137947499</v>
      </c>
      <c r="AG1217">
        <v>-1.110193081459</v>
      </c>
      <c r="AH1217">
        <v>14.231325285059899</v>
      </c>
      <c r="AI1217">
        <v>94.317674048521198</v>
      </c>
      <c r="AJ1217">
        <v>75.426549943697694</v>
      </c>
      <c r="AK1217">
        <v>14.7462779884558</v>
      </c>
      <c r="AL1217">
        <v>79.2647563258638</v>
      </c>
      <c r="AM1217">
        <v>79.257809320609994</v>
      </c>
      <c r="AN1217">
        <v>0.99999998286490399</v>
      </c>
    </row>
    <row r="1218" spans="1:40" x14ac:dyDescent="0.25">
      <c r="A1218" t="str">
        <f>"20190312172915514"</f>
        <v>20190312172915514</v>
      </c>
      <c r="B1218" t="str">
        <f>"1552382955508949"</f>
        <v>1552382955508949</v>
      </c>
      <c r="C1218" t="s">
        <v>40</v>
      </c>
      <c r="D1218">
        <v>3.6341299999999999</v>
      </c>
      <c r="E1218">
        <v>0.53014659999999902</v>
      </c>
      <c r="F1218" t="s">
        <v>41</v>
      </c>
      <c r="G1218">
        <v>-212.9204</v>
      </c>
      <c r="H1218" s="1">
        <v>-4.1256330000000002E-6</v>
      </c>
      <c r="I1218">
        <v>363.3802</v>
      </c>
      <c r="J1218">
        <v>-227.16820000000001</v>
      </c>
      <c r="K1218">
        <v>1.1101939999999999</v>
      </c>
      <c r="L1218">
        <v>367.08670000000001</v>
      </c>
      <c r="M1218">
        <v>0.99989459999999997</v>
      </c>
      <c r="N1218">
        <v>0</v>
      </c>
      <c r="O1218">
        <v>6.6978079999999998E-4</v>
      </c>
      <c r="P1218">
        <v>0.9680974</v>
      </c>
      <c r="Q1218">
        <v>0.17218</v>
      </c>
      <c r="R1218">
        <v>-0.1820483</v>
      </c>
      <c r="S1218">
        <v>2.9950260000000002</v>
      </c>
      <c r="T1218">
        <v>-0.23059950000000001</v>
      </c>
      <c r="U1218">
        <v>-0.76983639999999998</v>
      </c>
      <c r="V1218">
        <v>0.1826547</v>
      </c>
      <c r="W1218">
        <v>0.18624479999999999</v>
      </c>
      <c r="X1218">
        <v>0.96537569999999995</v>
      </c>
      <c r="Y1218">
        <v>0.24890180000000001</v>
      </c>
      <c r="Z1218">
        <v>-9.4661480000000006E-3</v>
      </c>
      <c r="AA1218">
        <v>0.96848239999999997</v>
      </c>
      <c r="AB1218">
        <v>33</v>
      </c>
      <c r="AC1218">
        <v>14.2478</v>
      </c>
      <c r="AD1218">
        <v>-1.110198125633</v>
      </c>
      <c r="AE1218">
        <v>-3.7065000000000001</v>
      </c>
      <c r="AF1218">
        <v>3.6950302703868099</v>
      </c>
      <c r="AG1218">
        <v>-1.110198125633</v>
      </c>
      <c r="AH1218">
        <v>14.1647621883218</v>
      </c>
      <c r="AI1218">
        <v>94.336983966214603</v>
      </c>
      <c r="AJ1218">
        <v>75.379599729602404</v>
      </c>
      <c r="AK1218">
        <v>14.680813207344601</v>
      </c>
      <c r="AL1218">
        <v>79.266284979732106</v>
      </c>
      <c r="AM1218">
        <v>79.285957085109999</v>
      </c>
      <c r="AN1218">
        <v>1.0000000535547999</v>
      </c>
    </row>
    <row r="1219" spans="1:40" x14ac:dyDescent="0.25">
      <c r="A1219" t="str">
        <f>"20190312172915526"</f>
        <v>20190312172915526</v>
      </c>
      <c r="B1219" t="str">
        <f>"1552382955518512"</f>
        <v>1552382955518512</v>
      </c>
      <c r="C1219" t="s">
        <v>40</v>
      </c>
      <c r="D1219">
        <v>3.5466139999999999</v>
      </c>
      <c r="E1219">
        <v>0.53034899999999996</v>
      </c>
      <c r="F1219" t="s">
        <v>41</v>
      </c>
      <c r="G1219">
        <v>-212.84219999999999</v>
      </c>
      <c r="H1219" s="1">
        <v>-4.1546939999999996E-6</v>
      </c>
      <c r="I1219">
        <v>363.40570000000002</v>
      </c>
      <c r="J1219">
        <v>-226.9948</v>
      </c>
      <c r="K1219">
        <v>1.1101939999999999</v>
      </c>
      <c r="L1219">
        <v>367.08690000000001</v>
      </c>
      <c r="M1219">
        <v>0.99989459999999997</v>
      </c>
      <c r="N1219">
        <v>0</v>
      </c>
      <c r="O1219">
        <v>7.3231030000000001E-4</v>
      </c>
      <c r="P1219">
        <v>0.96810819999999997</v>
      </c>
      <c r="Q1219">
        <v>0.1725708</v>
      </c>
      <c r="R1219">
        <v>-0.18162039999999999</v>
      </c>
      <c r="S1219">
        <v>2.9953919999999998</v>
      </c>
      <c r="T1219">
        <v>-0.23212669999999999</v>
      </c>
      <c r="U1219">
        <v>-0.76965329999999998</v>
      </c>
      <c r="V1219">
        <v>0.18228720000000001</v>
      </c>
      <c r="W1219">
        <v>0.1866341</v>
      </c>
      <c r="X1219">
        <v>0.9653699</v>
      </c>
      <c r="Y1219">
        <v>0.24886920000000001</v>
      </c>
      <c r="Z1219">
        <v>-9.5311279999999998E-3</v>
      </c>
      <c r="AA1219">
        <v>0.96849019999999997</v>
      </c>
      <c r="AB1219">
        <v>33</v>
      </c>
      <c r="AC1219">
        <v>14.1526</v>
      </c>
      <c r="AD1219">
        <v>-1.1101981546940001</v>
      </c>
      <c r="AE1219">
        <v>-3.6811999999999898</v>
      </c>
      <c r="AF1219">
        <v>3.67040926281841</v>
      </c>
      <c r="AG1219">
        <v>-1.1101981546940001</v>
      </c>
      <c r="AH1219">
        <v>14.068812505622001</v>
      </c>
      <c r="AI1219">
        <v>94.3664175758433</v>
      </c>
      <c r="AJ1219">
        <v>75.378042114183103</v>
      </c>
      <c r="AK1219">
        <v>14.5820413323243</v>
      </c>
      <c r="AL1219">
        <v>79.243580833064996</v>
      </c>
      <c r="AM1219">
        <v>79.306953352908806</v>
      </c>
      <c r="AN1219">
        <v>0.99999997719632905</v>
      </c>
    </row>
    <row r="1220" spans="1:40" x14ac:dyDescent="0.25">
      <c r="A1220" t="str">
        <f>"20190312172915539"</f>
        <v>20190312172915539</v>
      </c>
      <c r="B1220" t="str">
        <f>"1552382955528273"</f>
        <v>1552382955528273</v>
      </c>
      <c r="C1220" t="s">
        <v>40</v>
      </c>
      <c r="D1220">
        <v>3.5233379999999999</v>
      </c>
      <c r="E1220">
        <v>0.53056490000000001</v>
      </c>
      <c r="F1220" t="s">
        <v>41</v>
      </c>
      <c r="G1220">
        <v>-212.57050000000001</v>
      </c>
      <c r="H1220" s="1">
        <v>-4.2763479999999997E-6</v>
      </c>
      <c r="I1220">
        <v>363.3768</v>
      </c>
      <c r="J1220">
        <v>-226.8021</v>
      </c>
      <c r="K1220">
        <v>1.1101989999999999</v>
      </c>
      <c r="L1220">
        <v>367.08710000000002</v>
      </c>
      <c r="M1220">
        <v>0.99989459999999997</v>
      </c>
      <c r="N1220">
        <v>0</v>
      </c>
      <c r="O1220">
        <v>8.0205339999999997E-4</v>
      </c>
      <c r="P1220">
        <v>0.96816939999999996</v>
      </c>
      <c r="Q1220">
        <v>0.17266879999999901</v>
      </c>
      <c r="R1220">
        <v>-0.18120159999999999</v>
      </c>
      <c r="S1220">
        <v>2.9953919999999998</v>
      </c>
      <c r="T1220">
        <v>-0.23054559999999999</v>
      </c>
      <c r="U1220">
        <v>-0.77044679999999999</v>
      </c>
      <c r="V1220">
        <v>0.18193599999999999</v>
      </c>
      <c r="W1220">
        <v>0.1867306</v>
      </c>
      <c r="X1220">
        <v>0.96541750000000004</v>
      </c>
      <c r="Y1220">
        <v>0.24918580000000001</v>
      </c>
      <c r="Z1220">
        <v>-9.4833360000000002E-3</v>
      </c>
      <c r="AA1220">
        <v>0.96840919999999997</v>
      </c>
      <c r="AB1220">
        <v>33</v>
      </c>
      <c r="AC1220">
        <v>14.231599999999901</v>
      </c>
      <c r="AD1220">
        <v>-1.1102032763480001</v>
      </c>
      <c r="AE1220">
        <v>-3.7103000000000099</v>
      </c>
      <c r="AF1220">
        <v>3.7006275332873502</v>
      </c>
      <c r="AG1220">
        <v>-1.1102032763480001</v>
      </c>
      <c r="AH1220">
        <v>14.148000882182</v>
      </c>
      <c r="AI1220">
        <v>94.341377201724796</v>
      </c>
      <c r="AJ1220">
        <v>75.341804162158994</v>
      </c>
      <c r="AK1220">
        <v>14.6660534710999</v>
      </c>
      <c r="AL1220">
        <v>79.237952960976202</v>
      </c>
      <c r="AM1220">
        <v>79.327595322293405</v>
      </c>
      <c r="AN1220">
        <v>0.99999998718930405</v>
      </c>
    </row>
    <row r="1221" spans="1:40" x14ac:dyDescent="0.25">
      <c r="A1221" t="str">
        <f>"20190312172915551"</f>
        <v>20190312172915551</v>
      </c>
      <c r="B1221" t="str">
        <f>"1552382955548769"</f>
        <v>1552382955548769</v>
      </c>
      <c r="C1221" t="s">
        <v>40</v>
      </c>
      <c r="D1221">
        <v>3.5372659999999998</v>
      </c>
      <c r="E1221">
        <v>0.53101290000000001</v>
      </c>
      <c r="F1221" t="s">
        <v>41</v>
      </c>
      <c r="G1221">
        <v>-212.34270000000001</v>
      </c>
      <c r="H1221" s="1">
        <v>-4.3759979999999996E-6</v>
      </c>
      <c r="I1221">
        <v>363.36590000000001</v>
      </c>
      <c r="J1221">
        <v>-226.62139999999999</v>
      </c>
      <c r="K1221">
        <v>1.1102030000000001</v>
      </c>
      <c r="L1221">
        <v>367.0874</v>
      </c>
      <c r="M1221">
        <v>0.99989459999999997</v>
      </c>
      <c r="N1221">
        <v>0</v>
      </c>
      <c r="O1221">
        <v>8.6762199999999997E-4</v>
      </c>
      <c r="P1221">
        <v>0.96815839999999997</v>
      </c>
      <c r="Q1221">
        <v>0.1730091</v>
      </c>
      <c r="R1221">
        <v>-0.1809354</v>
      </c>
      <c r="S1221">
        <v>2.9953919999999998</v>
      </c>
      <c r="T1221">
        <v>-0.22998769999999999</v>
      </c>
      <c r="U1221">
        <v>-0.77087399999999995</v>
      </c>
      <c r="V1221">
        <v>0.18173339999999999</v>
      </c>
      <c r="W1221">
        <v>0.18706929999999999</v>
      </c>
      <c r="X1221">
        <v>0.96539010000000003</v>
      </c>
      <c r="Y1221">
        <v>0.24938160000000001</v>
      </c>
      <c r="Z1221">
        <v>-9.4726159999999997E-3</v>
      </c>
      <c r="AA1221">
        <v>0.96835899999999997</v>
      </c>
      <c r="AB1221">
        <v>33</v>
      </c>
      <c r="AC1221">
        <v>14.278699999999899</v>
      </c>
      <c r="AD1221">
        <v>-1.110207375998</v>
      </c>
      <c r="AE1221">
        <v>-3.72149999999999</v>
      </c>
      <c r="AF1221">
        <v>3.71287009295534</v>
      </c>
      <c r="AG1221">
        <v>-1.110207375998</v>
      </c>
      <c r="AH1221">
        <v>14.195107827374599</v>
      </c>
      <c r="AI1221">
        <v>94.327046791880505</v>
      </c>
      <c r="AJ1221">
        <v>75.342102564084996</v>
      </c>
      <c r="AK1221">
        <v>14.714586333827899</v>
      </c>
      <c r="AL1221">
        <v>79.218198913570902</v>
      </c>
      <c r="AM1221">
        <v>79.338911686307696</v>
      </c>
      <c r="AN1221">
        <v>0.999999998428029</v>
      </c>
    </row>
    <row r="1222" spans="1:40" x14ac:dyDescent="0.25">
      <c r="A1222" t="str">
        <f>"20190312172915563"</f>
        <v>20190312172915563</v>
      </c>
      <c r="B1222" t="str">
        <f>"1552382955558529"</f>
        <v>1552382955558529</v>
      </c>
      <c r="C1222" t="s">
        <v>40</v>
      </c>
      <c r="D1222">
        <v>3.534789</v>
      </c>
      <c r="E1222">
        <v>0.53125359999999999</v>
      </c>
      <c r="F1222" t="s">
        <v>41</v>
      </c>
      <c r="G1222">
        <v>-212.066</v>
      </c>
      <c r="H1222" s="1">
        <v>-4.5019309999999998E-6</v>
      </c>
      <c r="I1222">
        <v>363.3252</v>
      </c>
      <c r="J1222">
        <v>-226.43610000000001</v>
      </c>
      <c r="K1222">
        <v>1.110209</v>
      </c>
      <c r="L1222">
        <v>367.08760000000001</v>
      </c>
      <c r="M1222">
        <v>0.99989450000000002</v>
      </c>
      <c r="N1222">
        <v>0</v>
      </c>
      <c r="O1222">
        <v>9.3521640000000003E-4</v>
      </c>
      <c r="P1222">
        <v>0.96815960000000001</v>
      </c>
      <c r="Q1222">
        <v>0.17353969999999999</v>
      </c>
      <c r="R1222">
        <v>-0.18041940000000001</v>
      </c>
      <c r="S1222">
        <v>2.994812</v>
      </c>
      <c r="T1222">
        <v>-0.2284273</v>
      </c>
      <c r="U1222">
        <v>-0.77407840000000006</v>
      </c>
      <c r="V1222">
        <v>0.18128279999999999</v>
      </c>
      <c r="W1222">
        <v>0.1875976</v>
      </c>
      <c r="X1222">
        <v>0.96537229999999996</v>
      </c>
      <c r="Y1222">
        <v>0.25046970000000002</v>
      </c>
      <c r="Z1222">
        <v>-9.4548879999999998E-3</v>
      </c>
      <c r="AA1222">
        <v>0.96807829999999995</v>
      </c>
      <c r="AB1222">
        <v>33</v>
      </c>
      <c r="AC1222">
        <v>14.370100000000001</v>
      </c>
      <c r="AD1222">
        <v>-1.110213501931</v>
      </c>
      <c r="AE1222">
        <v>-3.7624000000000102</v>
      </c>
      <c r="AF1222">
        <v>3.7548643697375499</v>
      </c>
      <c r="AG1222">
        <v>-1.110213501931</v>
      </c>
      <c r="AH1222">
        <v>14.286769259589599</v>
      </c>
      <c r="AI1222">
        <v>94.298088143241202</v>
      </c>
      <c r="AJ1222">
        <v>75.274485935122598</v>
      </c>
      <c r="AK1222">
        <v>14.813620635474299</v>
      </c>
      <c r="AL1222">
        <v>79.1873839839634</v>
      </c>
      <c r="AM1222">
        <v>79.364550031104102</v>
      </c>
      <c r="AN1222">
        <v>0.99999999535444395</v>
      </c>
    </row>
    <row r="1223" spans="1:40" x14ac:dyDescent="0.25">
      <c r="A1223" t="str">
        <f>"20190312172915579"</f>
        <v>20190312172915579</v>
      </c>
      <c r="B1223" t="str">
        <f>"1552382955568289"</f>
        <v>1552382955568289</v>
      </c>
      <c r="C1223" t="s">
        <v>40</v>
      </c>
      <c r="D1223">
        <v>3.5595940000000001</v>
      </c>
      <c r="E1223">
        <v>0.53149179999999996</v>
      </c>
      <c r="F1223" t="s">
        <v>41</v>
      </c>
      <c r="G1223">
        <v>-211.75299999999999</v>
      </c>
      <c r="H1223" s="1">
        <v>-4.6429019999999997E-6</v>
      </c>
      <c r="I1223">
        <v>363.2876</v>
      </c>
      <c r="J1223">
        <v>-226.20750000000001</v>
      </c>
      <c r="K1223">
        <v>1.110209</v>
      </c>
      <c r="L1223">
        <v>367.08789999999999</v>
      </c>
      <c r="M1223">
        <v>0.99989439999999996</v>
      </c>
      <c r="N1223">
        <v>0</v>
      </c>
      <c r="O1223">
        <v>1.0180740000000001E-3</v>
      </c>
      <c r="P1223">
        <v>0.96812279999999995</v>
      </c>
      <c r="Q1223">
        <v>0.17428150000000001</v>
      </c>
      <c r="R1223">
        <v>-0.17990010000000001</v>
      </c>
      <c r="S1223">
        <v>2.9948429999999999</v>
      </c>
      <c r="T1223">
        <v>-0.2264438</v>
      </c>
      <c r="U1223">
        <v>-0.77505489999999999</v>
      </c>
      <c r="V1223">
        <v>0.1808437</v>
      </c>
      <c r="W1223">
        <v>0.18833710000000001</v>
      </c>
      <c r="X1223">
        <v>0.96531060000000002</v>
      </c>
      <c r="Y1223">
        <v>0.25085400000000002</v>
      </c>
      <c r="Z1223">
        <v>-9.3929770000000003E-3</v>
      </c>
      <c r="AA1223">
        <v>0.96797940000000005</v>
      </c>
      <c r="AB1223">
        <v>33</v>
      </c>
      <c r="AC1223">
        <v>14.454499999999999</v>
      </c>
      <c r="AD1223">
        <v>-1.110213642902</v>
      </c>
      <c r="AE1223">
        <v>-3.8002999999999898</v>
      </c>
      <c r="AF1223">
        <v>3.79407973274725</v>
      </c>
      <c r="AG1223">
        <v>-1.110213642902</v>
      </c>
      <c r="AH1223">
        <v>14.3713226763803</v>
      </c>
      <c r="AI1223">
        <v>94.271655177373006</v>
      </c>
      <c r="AJ1223">
        <v>75.211133997717099</v>
      </c>
      <c r="AK1223">
        <v>14.905117605036599</v>
      </c>
      <c r="AL1223">
        <v>79.144244100249693</v>
      </c>
      <c r="AM1223">
        <v>79.389062641346996</v>
      </c>
      <c r="AN1223">
        <v>0.999999930769227</v>
      </c>
    </row>
    <row r="1224" spans="1:40" x14ac:dyDescent="0.25">
      <c r="A1224" t="str">
        <f>"20190312172915593"</f>
        <v>20190312172915593</v>
      </c>
      <c r="B1224" t="str">
        <f>"1552382955588785"</f>
        <v>1552382955588785</v>
      </c>
      <c r="C1224" t="s">
        <v>40</v>
      </c>
      <c r="D1224">
        <v>3.5893269999999902</v>
      </c>
      <c r="E1224">
        <v>0.53195769999999998</v>
      </c>
      <c r="F1224" t="s">
        <v>41</v>
      </c>
      <c r="G1224">
        <v>-211.34800000000001</v>
      </c>
      <c r="H1224" s="1">
        <v>-4.8254859999999998E-6</v>
      </c>
      <c r="I1224">
        <v>363.23759999999999</v>
      </c>
      <c r="J1224">
        <v>-226.0027</v>
      </c>
      <c r="K1224">
        <v>1.110212</v>
      </c>
      <c r="L1224">
        <v>367.08819999999997</v>
      </c>
      <c r="M1224">
        <v>0.99989430000000001</v>
      </c>
      <c r="N1224">
        <v>0</v>
      </c>
      <c r="O1224">
        <v>1.092408E-3</v>
      </c>
      <c r="P1224">
        <v>0.9681459</v>
      </c>
      <c r="Q1224">
        <v>0.17458199999999999</v>
      </c>
      <c r="R1224">
        <v>-0.17948420000000001</v>
      </c>
      <c r="S1224">
        <v>2.9948429999999999</v>
      </c>
      <c r="T1224">
        <v>-0.2237566</v>
      </c>
      <c r="U1224">
        <v>-0.77600100000000005</v>
      </c>
      <c r="V1224">
        <v>0.18049979999999999</v>
      </c>
      <c r="W1224">
        <v>0.18863540000000001</v>
      </c>
      <c r="X1224">
        <v>0.96531679999999997</v>
      </c>
      <c r="Y1224">
        <v>0.25122729999999999</v>
      </c>
      <c r="Z1224">
        <v>-9.3006040000000005E-3</v>
      </c>
      <c r="AA1224">
        <v>0.96788339999999995</v>
      </c>
      <c r="AB1224">
        <v>33</v>
      </c>
      <c r="AC1224">
        <v>14.6547</v>
      </c>
      <c r="AD1224">
        <v>-1.1102168254860001</v>
      </c>
      <c r="AE1224">
        <v>-3.85059999999998</v>
      </c>
      <c r="AF1224">
        <v>3.8459605584659999</v>
      </c>
      <c r="AG1224">
        <v>-1.1102168254860001</v>
      </c>
      <c r="AH1224">
        <v>14.572250611587</v>
      </c>
      <c r="AI1224">
        <v>94.213064296511007</v>
      </c>
      <c r="AJ1224">
        <v>75.215415691803699</v>
      </c>
      <c r="AK1224">
        <v>15.112064117908099</v>
      </c>
      <c r="AL1224">
        <v>79.126841680299194</v>
      </c>
      <c r="AM1224">
        <v>79.408850383635894</v>
      </c>
      <c r="AN1224">
        <v>1.0000000081477101</v>
      </c>
    </row>
    <row r="1225" spans="1:40" x14ac:dyDescent="0.25">
      <c r="A1225" t="str">
        <f>"20190312172915608"</f>
        <v>20190312172915608</v>
      </c>
      <c r="B1225" t="str">
        <f>"1552382955598545"</f>
        <v>1552382955598545</v>
      </c>
      <c r="C1225" t="s">
        <v>40</v>
      </c>
      <c r="D1225">
        <v>3.5449160000000002</v>
      </c>
      <c r="E1225">
        <v>0.5321785</v>
      </c>
      <c r="F1225" t="s">
        <v>41</v>
      </c>
      <c r="G1225">
        <v>-211.06729999999999</v>
      </c>
      <c r="H1225" s="1">
        <v>-4.9520080000000004E-6</v>
      </c>
      <c r="I1225">
        <v>363.20319999999998</v>
      </c>
      <c r="J1225">
        <v>-225.79769999999999</v>
      </c>
      <c r="K1225">
        <v>1.1102110000000001</v>
      </c>
      <c r="L1225">
        <v>367.08850000000001</v>
      </c>
      <c r="M1225">
        <v>0.99989430000000001</v>
      </c>
      <c r="N1225">
        <v>0</v>
      </c>
      <c r="O1225">
        <v>1.1665639999999999E-3</v>
      </c>
      <c r="P1225">
        <v>0.96821190000000001</v>
      </c>
      <c r="Q1225">
        <v>0.17447789999999999</v>
      </c>
      <c r="R1225">
        <v>-0.17923020000000001</v>
      </c>
      <c r="S1225">
        <v>2.9944760000000001</v>
      </c>
      <c r="T1225">
        <v>-0.2225925</v>
      </c>
      <c r="U1225">
        <v>-0.77890009999999998</v>
      </c>
      <c r="V1225">
        <v>0.18031749999999999</v>
      </c>
      <c r="W1225">
        <v>0.18853049999999999</v>
      </c>
      <c r="X1225">
        <v>0.96537139999999999</v>
      </c>
      <c r="Y1225">
        <v>0.25220969999999998</v>
      </c>
      <c r="Z1225">
        <v>-9.2936189999999995E-3</v>
      </c>
      <c r="AA1225">
        <v>0.96762789999999999</v>
      </c>
      <c r="AB1225">
        <v>33</v>
      </c>
      <c r="AC1225">
        <v>14.730399999999999</v>
      </c>
      <c r="AD1225">
        <v>-1.1102159520079999</v>
      </c>
      <c r="AE1225">
        <v>-3.88530000000002</v>
      </c>
      <c r="AF1225">
        <v>3.8818665001363799</v>
      </c>
      <c r="AG1225">
        <v>-1.1102159520079999</v>
      </c>
      <c r="AH1225">
        <v>14.648061112763299</v>
      </c>
      <c r="AI1225">
        <v>94.190214121102102</v>
      </c>
      <c r="AJ1225">
        <v>75.157296699348706</v>
      </c>
      <c r="AK1225">
        <v>15.194313454323</v>
      </c>
      <c r="AL1225">
        <v>79.132962225868695</v>
      </c>
      <c r="AM1225">
        <v>79.419890426363494</v>
      </c>
      <c r="AN1225">
        <v>1.00000004508722</v>
      </c>
    </row>
    <row r="1226" spans="1:40" x14ac:dyDescent="0.25">
      <c r="A1226" t="str">
        <f>"20190312172915623"</f>
        <v>20190312172915623</v>
      </c>
      <c r="B1226" t="str">
        <f>"1552382955618065"</f>
        <v>1552382955618065</v>
      </c>
      <c r="C1226" t="s">
        <v>40</v>
      </c>
      <c r="D1226">
        <v>3.5682140000000002</v>
      </c>
      <c r="E1226">
        <v>0.53269709999999904</v>
      </c>
      <c r="F1226" t="s">
        <v>41</v>
      </c>
      <c r="G1226">
        <v>-210.86789999999999</v>
      </c>
      <c r="H1226" s="1">
        <v>-5.0386530000000003E-6</v>
      </c>
      <c r="I1226">
        <v>363.197</v>
      </c>
      <c r="J1226">
        <v>-225.5582</v>
      </c>
      <c r="K1226">
        <v>1.1102080000000001</v>
      </c>
      <c r="L1226">
        <v>367.08890000000002</v>
      </c>
      <c r="M1226">
        <v>0.99989430000000001</v>
      </c>
      <c r="N1226">
        <v>0</v>
      </c>
      <c r="O1226">
        <v>1.253358E-3</v>
      </c>
      <c r="P1226">
        <v>0.96834200000000004</v>
      </c>
      <c r="Q1226">
        <v>0.1741887</v>
      </c>
      <c r="R1226">
        <v>-0.17880760000000001</v>
      </c>
      <c r="S1226">
        <v>2.9941409999999999</v>
      </c>
      <c r="T1226">
        <v>-0.2226505</v>
      </c>
      <c r="U1226">
        <v>-0.78042599999999995</v>
      </c>
      <c r="V1226">
        <v>0.17997939999999901</v>
      </c>
      <c r="W1226">
        <v>0.18824070000000001</v>
      </c>
      <c r="X1226">
        <v>0.96549099999999999</v>
      </c>
      <c r="Y1226">
        <v>0.2527798</v>
      </c>
      <c r="Z1226">
        <v>-9.3236180000000005E-3</v>
      </c>
      <c r="AA1226">
        <v>0.96747890000000003</v>
      </c>
      <c r="AB1226">
        <v>33</v>
      </c>
      <c r="AC1226">
        <v>14.690300000000001</v>
      </c>
      <c r="AD1226">
        <v>-1.110213038653</v>
      </c>
      <c r="AE1226">
        <v>-3.8919000000000699</v>
      </c>
      <c r="AF1226">
        <v>3.8895528183236001</v>
      </c>
      <c r="AG1226">
        <v>-1.110213038653</v>
      </c>
      <c r="AH1226">
        <v>14.6074510969987</v>
      </c>
      <c r="AI1226">
        <v>94.200498817450296</v>
      </c>
      <c r="AJ1226">
        <v>75.089705160489402</v>
      </c>
      <c r="AK1226">
        <v>15.1571376476211</v>
      </c>
      <c r="AL1226">
        <v>79.149868856371896</v>
      </c>
      <c r="AM1226">
        <v>79.440560517115301</v>
      </c>
      <c r="AN1226">
        <v>1.00000000832092</v>
      </c>
    </row>
    <row r="1227" spans="1:40" x14ac:dyDescent="0.25">
      <c r="A1227" t="str">
        <f>"20190312172915635"</f>
        <v>20190312172915635</v>
      </c>
      <c r="B1227" t="str">
        <f>"1552382955628803"</f>
        <v>1552382955628803</v>
      </c>
      <c r="C1227" t="s">
        <v>40</v>
      </c>
      <c r="D1227">
        <v>3.5677240000000001</v>
      </c>
      <c r="E1227">
        <v>0.53295179999999998</v>
      </c>
      <c r="F1227" t="s">
        <v>41</v>
      </c>
      <c r="G1227">
        <v>-210.67609999999999</v>
      </c>
      <c r="H1227" s="1">
        <v>-5.1226129999999996E-6</v>
      </c>
      <c r="I1227">
        <v>363.18759999999997</v>
      </c>
      <c r="J1227">
        <v>-225.37440000000001</v>
      </c>
      <c r="K1227">
        <v>1.1102069999999999</v>
      </c>
      <c r="L1227">
        <v>367.08909999999997</v>
      </c>
      <c r="M1227">
        <v>0.99989410000000001</v>
      </c>
      <c r="N1227">
        <v>0</v>
      </c>
      <c r="O1227">
        <v>1.32006299999999E-3</v>
      </c>
      <c r="P1227">
        <v>0.96841379999999999</v>
      </c>
      <c r="Q1227">
        <v>0.17369129999999899</v>
      </c>
      <c r="R1227">
        <v>-0.17890210000000001</v>
      </c>
      <c r="S1227">
        <v>2.9933169999999998</v>
      </c>
      <c r="T1227">
        <v>-0.22330130000000001</v>
      </c>
      <c r="U1227">
        <v>-0.78466800000000003</v>
      </c>
      <c r="V1227">
        <v>0.18013850000000001</v>
      </c>
      <c r="W1227">
        <v>0.1877423</v>
      </c>
      <c r="X1227">
        <v>0.96555840000000004</v>
      </c>
      <c r="Y1227">
        <v>0.25418469999999999</v>
      </c>
      <c r="Z1227">
        <v>-9.4079929999999999E-3</v>
      </c>
      <c r="AA1227">
        <v>0.96710989999999997</v>
      </c>
      <c r="AB1227">
        <v>33</v>
      </c>
      <c r="AC1227">
        <v>14.6983</v>
      </c>
      <c r="AD1227">
        <v>-1.110212122613</v>
      </c>
      <c r="AE1227">
        <v>-3.9014999999999902</v>
      </c>
      <c r="AF1227">
        <v>3.90011462041103</v>
      </c>
      <c r="AG1227">
        <v>-1.110212122613</v>
      </c>
      <c r="AH1227">
        <v>14.615240606787999</v>
      </c>
      <c r="AI1227">
        <v>94.1976600472927</v>
      </c>
      <c r="AJ1227">
        <v>75.058638579634703</v>
      </c>
      <c r="AK1227">
        <v>15.167357152907201</v>
      </c>
      <c r="AL1227">
        <v>79.178943769188905</v>
      </c>
      <c r="AM1227">
        <v>79.432157393809007</v>
      </c>
      <c r="AN1227">
        <v>1.00000003710104</v>
      </c>
    </row>
    <row r="1228" spans="1:40" x14ac:dyDescent="0.25">
      <c r="A1228" t="str">
        <f>"20190312172915647"</f>
        <v>20190312172915647</v>
      </c>
      <c r="B1228" t="str">
        <f>"1552382955638562"</f>
        <v>1552382955638562</v>
      </c>
      <c r="C1228" t="s">
        <v>40</v>
      </c>
      <c r="D1228">
        <v>3.5530430000000002</v>
      </c>
      <c r="E1228">
        <v>0.53295179999999998</v>
      </c>
      <c r="F1228" t="s">
        <v>41</v>
      </c>
      <c r="G1228">
        <v>-210.5967</v>
      </c>
      <c r="H1228" s="1">
        <v>-5.154272E-6</v>
      </c>
      <c r="I1228">
        <v>363.2011</v>
      </c>
      <c r="J1228">
        <v>-225.20769999999999</v>
      </c>
      <c r="K1228">
        <v>1.110206</v>
      </c>
      <c r="L1228">
        <v>367.08949999999999</v>
      </c>
      <c r="M1228">
        <v>0.99989430000000001</v>
      </c>
      <c r="N1228">
        <v>0</v>
      </c>
      <c r="O1228">
        <v>1.380388E-3</v>
      </c>
      <c r="P1228">
        <v>0.96858560000000005</v>
      </c>
      <c r="Q1228">
        <v>0.17297799999999999</v>
      </c>
      <c r="R1228">
        <v>-0.178665299999999</v>
      </c>
      <c r="S1228">
        <v>2.9927060000000001</v>
      </c>
      <c r="T1228">
        <v>-0.2248338</v>
      </c>
      <c r="U1228">
        <v>-0.78738399999999997</v>
      </c>
      <c r="V1228">
        <v>0.1799606</v>
      </c>
      <c r="W1228">
        <v>0.18702949999999999</v>
      </c>
      <c r="X1228">
        <v>0.96572979999999997</v>
      </c>
      <c r="Y1228">
        <v>0.25510060000000001</v>
      </c>
      <c r="Z1228">
        <v>-9.5114190000000001E-3</v>
      </c>
      <c r="AA1228">
        <v>0.9668677</v>
      </c>
      <c r="AB1228">
        <v>33</v>
      </c>
      <c r="AC1228">
        <v>14.610999999999899</v>
      </c>
      <c r="AD1228">
        <v>-1.1102111542719999</v>
      </c>
      <c r="AE1228">
        <v>-3.8883999999999901</v>
      </c>
      <c r="AF1228">
        <v>3.8876060948540299</v>
      </c>
      <c r="AG1228">
        <v>-1.1102111542719999</v>
      </c>
      <c r="AH1228">
        <v>14.5272898948511</v>
      </c>
      <c r="AI1228">
        <v>94.222186276788307</v>
      </c>
      <c r="AJ1228">
        <v>75.018288389728596</v>
      </c>
      <c r="AK1228">
        <v>15.0793965941896</v>
      </c>
      <c r="AL1228">
        <v>79.220519717096494</v>
      </c>
      <c r="AM1228">
        <v>79.444190840080694</v>
      </c>
      <c r="AN1228">
        <v>0.99999994901532296</v>
      </c>
    </row>
    <row r="1229" spans="1:40" x14ac:dyDescent="0.25">
      <c r="A1229" t="str">
        <f>"20190312172915667"</f>
        <v>20190312172915667</v>
      </c>
      <c r="B1229" t="str">
        <f>"1552382955658080"</f>
        <v>1552382955658080</v>
      </c>
      <c r="C1229" t="s">
        <v>40</v>
      </c>
      <c r="D1229">
        <v>3.5618669999999999</v>
      </c>
      <c r="E1229">
        <v>0.54804240000000004</v>
      </c>
      <c r="F1229" t="s">
        <v>41</v>
      </c>
      <c r="G1229">
        <v>-210.56829999999999</v>
      </c>
      <c r="H1229" s="1">
        <v>-5.1595219999999997E-6</v>
      </c>
      <c r="I1229">
        <v>363.24029999999999</v>
      </c>
      <c r="J1229">
        <v>-224.91059999999999</v>
      </c>
      <c r="K1229">
        <v>1.110195</v>
      </c>
      <c r="L1229">
        <v>367.09</v>
      </c>
      <c r="M1229">
        <v>0.99989410000000001</v>
      </c>
      <c r="N1229">
        <v>0</v>
      </c>
      <c r="O1229">
        <v>1.4878580000000001E-3</v>
      </c>
      <c r="P1229">
        <v>0.96882489999999999</v>
      </c>
      <c r="Q1229">
        <v>0.17157349999999999</v>
      </c>
      <c r="R1229">
        <v>-0.17872209999999999</v>
      </c>
      <c r="S1229">
        <v>2.9926759999999999</v>
      </c>
      <c r="T1229">
        <v>-0.22695460000000001</v>
      </c>
      <c r="U1229">
        <v>-0.78686519999999904</v>
      </c>
      <c r="V1229">
        <v>0.18012230000000001</v>
      </c>
      <c r="W1229">
        <v>0.1856254</v>
      </c>
      <c r="X1229">
        <v>0.96597060000000001</v>
      </c>
      <c r="Y1229">
        <v>0.25503720000000002</v>
      </c>
      <c r="Z1229">
        <v>-9.6068349999999993E-3</v>
      </c>
      <c r="AA1229">
        <v>0.96688350000000001</v>
      </c>
      <c r="AB1229">
        <v>33</v>
      </c>
      <c r="AC1229">
        <v>14.3422999999999</v>
      </c>
      <c r="AD1229">
        <v>-1.1102001595219999</v>
      </c>
      <c r="AE1229">
        <v>-3.8496999999999799</v>
      </c>
      <c r="AF1229">
        <v>3.8495214619956299</v>
      </c>
      <c r="AG1229">
        <v>-1.1102001595219999</v>
      </c>
      <c r="AH1229">
        <v>14.2568709414049</v>
      </c>
      <c r="AI1229">
        <v>94.299348071586095</v>
      </c>
      <c r="AJ1229">
        <v>74.889801931439294</v>
      </c>
      <c r="AK1229">
        <v>14.8091096599506</v>
      </c>
      <c r="AL1229">
        <v>79.302403417952505</v>
      </c>
      <c r="AM1229">
        <v>79.437493997033101</v>
      </c>
      <c r="AN1229">
        <v>1.0000000160733999</v>
      </c>
    </row>
    <row r="1230" spans="1:40" x14ac:dyDescent="0.25">
      <c r="A1230" t="str">
        <f>"20190312172915678"</f>
        <v>20190312172915678</v>
      </c>
      <c r="B1230" t="str">
        <f>"1552382955668818"</f>
        <v>1552382955668818</v>
      </c>
      <c r="C1230" t="s">
        <v>40</v>
      </c>
      <c r="D1230">
        <v>3.599129</v>
      </c>
      <c r="E1230">
        <v>0.54862639999999996</v>
      </c>
      <c r="F1230" t="s">
        <v>41</v>
      </c>
      <c r="G1230">
        <v>-211.1909</v>
      </c>
      <c r="H1230" s="1">
        <v>-4.9515330000000002E-6</v>
      </c>
      <c r="I1230">
        <v>362.90699999999998</v>
      </c>
      <c r="J1230">
        <v>-224.74010000000001</v>
      </c>
      <c r="K1230">
        <v>1.1101939999999999</v>
      </c>
      <c r="L1230">
        <v>367.09030000000001</v>
      </c>
      <c r="M1230">
        <v>0.99989399999999995</v>
      </c>
      <c r="N1230">
        <v>0</v>
      </c>
      <c r="O1230">
        <v>1.5483529999999999E-3</v>
      </c>
      <c r="P1230">
        <v>0.96889110000000001</v>
      </c>
      <c r="Q1230">
        <v>0.1710264</v>
      </c>
      <c r="R1230">
        <v>-0.17888519999999999</v>
      </c>
      <c r="S1230">
        <v>2.9719850000000001</v>
      </c>
      <c r="T1230">
        <v>-0.2404925</v>
      </c>
      <c r="U1230">
        <v>-0.90612789999999999</v>
      </c>
      <c r="V1230">
        <v>0.1803449</v>
      </c>
      <c r="W1230">
        <v>0.18507760000000001</v>
      </c>
      <c r="X1230">
        <v>0.96603419999999895</v>
      </c>
      <c r="Y1230">
        <v>0.2922381</v>
      </c>
      <c r="Z1230">
        <v>-1.166591E-2</v>
      </c>
      <c r="AA1230">
        <v>0.95627439999999997</v>
      </c>
      <c r="AB1230">
        <v>33</v>
      </c>
      <c r="AC1230">
        <v>13.549200000000001</v>
      </c>
      <c r="AD1230">
        <v>-1.110198951533</v>
      </c>
      <c r="AE1230">
        <v>-4.1833000000000302</v>
      </c>
      <c r="AF1230">
        <v>4.1786626652230403</v>
      </c>
      <c r="AG1230">
        <v>-1.110198951533</v>
      </c>
      <c r="AH1230">
        <v>13.4602004261715</v>
      </c>
      <c r="AI1230">
        <v>94.503977241958097</v>
      </c>
      <c r="AJ1230">
        <v>72.753263805296299</v>
      </c>
      <c r="AK1230">
        <v>14.137565522197299</v>
      </c>
      <c r="AL1230">
        <v>79.3343437339649</v>
      </c>
      <c r="AM1230">
        <v>79.425415372917598</v>
      </c>
      <c r="AN1230">
        <v>1.0000000382737</v>
      </c>
    </row>
    <row r="1231" spans="1:40" x14ac:dyDescent="0.25">
      <c r="A1231" t="str">
        <f>"20190312172915691"</f>
        <v>20190312172915691</v>
      </c>
      <c r="B1231" t="str">
        <f>"1552382955678578"</f>
        <v>1552382955678578</v>
      </c>
      <c r="C1231" t="s">
        <v>40</v>
      </c>
      <c r="D1231">
        <v>3.5703480000000001</v>
      </c>
      <c r="E1231">
        <v>0.54919399999999996</v>
      </c>
      <c r="F1231" t="s">
        <v>41</v>
      </c>
      <c r="G1231">
        <v>-211.2903</v>
      </c>
      <c r="H1231" s="1">
        <v>-4.8988490000000003E-6</v>
      </c>
      <c r="I1231">
        <v>362.96370000000002</v>
      </c>
      <c r="J1231">
        <v>-224.57050000000001</v>
      </c>
      <c r="K1231">
        <v>1.1101920000000001</v>
      </c>
      <c r="L1231">
        <v>367.09059999999999</v>
      </c>
      <c r="M1231">
        <v>0.99989380000000005</v>
      </c>
      <c r="N1231">
        <v>0</v>
      </c>
      <c r="O1231">
        <v>1.6065729999999901E-3</v>
      </c>
      <c r="P1231">
        <v>0.96893300000000004</v>
      </c>
      <c r="Q1231">
        <v>0.1707082</v>
      </c>
      <c r="R1231">
        <v>-0.1789625</v>
      </c>
      <c r="S1231">
        <v>2.9712830000000001</v>
      </c>
      <c r="T1231">
        <v>-0.24525959999999999</v>
      </c>
      <c r="U1231">
        <v>-0.91162109999999996</v>
      </c>
      <c r="V1231">
        <v>0.18047920000000001</v>
      </c>
      <c r="W1231">
        <v>0.18475759999999999</v>
      </c>
      <c r="X1231">
        <v>0.9660704</v>
      </c>
      <c r="Y1231">
        <v>0.29393259999999899</v>
      </c>
      <c r="Z1231">
        <v>-1.1968929999999999E-2</v>
      </c>
      <c r="AA1231">
        <v>0.95575120000000002</v>
      </c>
      <c r="AB1231">
        <v>33</v>
      </c>
      <c r="AC1231">
        <v>13.280200000000001</v>
      </c>
      <c r="AD1231">
        <v>-1.1101968988490001</v>
      </c>
      <c r="AE1231">
        <v>-4.1268999999999698</v>
      </c>
      <c r="AF1231">
        <v>4.1219625998554603</v>
      </c>
      <c r="AG1231">
        <v>-1.1101968988490001</v>
      </c>
      <c r="AH1231">
        <v>13.1894932604218</v>
      </c>
      <c r="AI1231">
        <v>94.593325747603402</v>
      </c>
      <c r="AJ1231">
        <v>72.645001981904898</v>
      </c>
      <c r="AK1231">
        <v>13.8631109530124</v>
      </c>
      <c r="AL1231">
        <v>79.353000419113101</v>
      </c>
      <c r="AM1231">
        <v>79.418106026154007</v>
      </c>
      <c r="AN1231">
        <v>1.0000000650732701</v>
      </c>
    </row>
    <row r="1232" spans="1:40" x14ac:dyDescent="0.25">
      <c r="A1232" t="str">
        <f>"20190312172915702"</f>
        <v>20190312172915702</v>
      </c>
      <c r="B1232" t="str">
        <f>"1552382955698097"</f>
        <v>1552382955698097</v>
      </c>
      <c r="C1232" t="s">
        <v>40</v>
      </c>
      <c r="D1232">
        <v>3.571939</v>
      </c>
      <c r="E1232">
        <v>0.54994339999999997</v>
      </c>
      <c r="F1232" t="s">
        <v>41</v>
      </c>
      <c r="G1232">
        <v>-211.18709999999999</v>
      </c>
      <c r="H1232" s="1">
        <v>-4.9437480000000003E-6</v>
      </c>
      <c r="I1232">
        <v>362.96010000000001</v>
      </c>
      <c r="J1232">
        <v>-224.40299999999999</v>
      </c>
      <c r="K1232">
        <v>1.1101890000000001</v>
      </c>
      <c r="L1232">
        <v>367.09089999999998</v>
      </c>
      <c r="M1232">
        <v>0.99989380000000005</v>
      </c>
      <c r="N1232">
        <v>0</v>
      </c>
      <c r="O1232">
        <v>1.6633570000000001E-3</v>
      </c>
      <c r="P1232">
        <v>0.96894899999999995</v>
      </c>
      <c r="Q1232">
        <v>0.17046159999999999</v>
      </c>
      <c r="R1232">
        <v>-0.17911189999999999</v>
      </c>
      <c r="S1232">
        <v>2.970291</v>
      </c>
      <c r="T1232">
        <v>-0.2463938</v>
      </c>
      <c r="U1232">
        <v>-0.91671749999999996</v>
      </c>
      <c r="V1232">
        <v>0.18068429999999999</v>
      </c>
      <c r="W1232">
        <v>0.18450920000000001</v>
      </c>
      <c r="X1232">
        <v>0.96607949999999998</v>
      </c>
      <c r="Y1232">
        <v>0.29555999999999999</v>
      </c>
      <c r="Z1232">
        <v>-1.2095430000000001E-2</v>
      </c>
      <c r="AA1232">
        <v>0.95524759999999997</v>
      </c>
      <c r="AB1232">
        <v>33</v>
      </c>
      <c r="AC1232">
        <v>13.2159</v>
      </c>
      <c r="AD1232">
        <v>-1.110193943748</v>
      </c>
      <c r="AE1232">
        <v>-4.1307999999999598</v>
      </c>
      <c r="AF1232">
        <v>4.1262529579806504</v>
      </c>
      <c r="AG1232">
        <v>-1.110193943748</v>
      </c>
      <c r="AH1232">
        <v>13.1246358168773</v>
      </c>
      <c r="AI1232">
        <v>94.613460350371</v>
      </c>
      <c r="AJ1232">
        <v>72.547378898709496</v>
      </c>
      <c r="AK1232">
        <v>13.8027011628752</v>
      </c>
      <c r="AL1232">
        <v>79.367481289749605</v>
      </c>
      <c r="AM1232">
        <v>79.406450138768605</v>
      </c>
      <c r="AN1232">
        <v>1.00000003073568</v>
      </c>
    </row>
    <row r="1233" spans="1:40" x14ac:dyDescent="0.25">
      <c r="A1233" t="str">
        <f>"20190312172915712"</f>
        <v>20190312172915712</v>
      </c>
      <c r="B1233" t="str">
        <f>"1552382955708833"</f>
        <v>1552382955708833</v>
      </c>
      <c r="C1233" t="s">
        <v>40</v>
      </c>
      <c r="D1233">
        <v>3.5537399999999999</v>
      </c>
      <c r="E1233">
        <v>0.55030749999999995</v>
      </c>
      <c r="F1233" t="s">
        <v>41</v>
      </c>
      <c r="G1233">
        <v>-211.00370000000001</v>
      </c>
      <c r="H1233" s="1">
        <v>-5.028959E-6</v>
      </c>
      <c r="I1233">
        <v>362.92320000000001</v>
      </c>
      <c r="J1233">
        <v>-224.2473</v>
      </c>
      <c r="K1233">
        <v>1.1101829999999999</v>
      </c>
      <c r="L1233">
        <v>367.09120000000001</v>
      </c>
      <c r="M1233">
        <v>0.99989380000000005</v>
      </c>
      <c r="N1233">
        <v>0</v>
      </c>
      <c r="O1233">
        <v>1.707926E-3</v>
      </c>
      <c r="P1233">
        <v>0.9689757</v>
      </c>
      <c r="Q1233">
        <v>0.1703742</v>
      </c>
      <c r="R1233">
        <v>-0.17905179999999901</v>
      </c>
      <c r="S1233">
        <v>2.9687190000000001</v>
      </c>
      <c r="T1233">
        <v>-0.24597169999999999</v>
      </c>
      <c r="U1233">
        <v>-0.92340089999999997</v>
      </c>
      <c r="V1233">
        <v>0.18066950000000001</v>
      </c>
      <c r="W1233">
        <v>0.18441830000000001</v>
      </c>
      <c r="X1233">
        <v>0.96609959999999995</v>
      </c>
      <c r="Y1233">
        <v>0.29770259999999998</v>
      </c>
      <c r="Z1233">
        <v>-1.216713E-2</v>
      </c>
      <c r="AA1233">
        <v>0.95458109999999996</v>
      </c>
      <c r="AB1233">
        <v>33</v>
      </c>
      <c r="AC1233">
        <v>13.243599999999899</v>
      </c>
      <c r="AD1233">
        <v>-1.11018802895899</v>
      </c>
      <c r="AE1233">
        <v>-4.1680000000000001</v>
      </c>
      <c r="AF1233">
        <v>4.1639913143240497</v>
      </c>
      <c r="AG1233">
        <v>-1.11018802895899</v>
      </c>
      <c r="AH1233">
        <v>13.1523666361793</v>
      </c>
      <c r="AI1233">
        <v>94.600849422112901</v>
      </c>
      <c r="AJ1233">
        <v>72.432402788384493</v>
      </c>
      <c r="AK1233">
        <v>13.8403789419904</v>
      </c>
      <c r="AL1233">
        <v>79.372780161225705</v>
      </c>
      <c r="AM1233">
        <v>79.407513623715701</v>
      </c>
      <c r="AN1233">
        <v>1.0000000073626401</v>
      </c>
    </row>
    <row r="1234" spans="1:40" x14ac:dyDescent="0.25">
      <c r="A1234" t="str">
        <f>"20190312172915725"</f>
        <v>20190312172915725</v>
      </c>
      <c r="B1234" t="str">
        <f>"1552382955718593"</f>
        <v>1552382955718593</v>
      </c>
      <c r="C1234" t="s">
        <v>40</v>
      </c>
      <c r="D1234">
        <v>3.557871</v>
      </c>
      <c r="E1234">
        <v>0.55061419999999905</v>
      </c>
      <c r="F1234" t="s">
        <v>41</v>
      </c>
      <c r="G1234">
        <v>-210.82810000000001</v>
      </c>
      <c r="H1234" s="1">
        <v>-5.1084500000000002E-6</v>
      </c>
      <c r="I1234">
        <v>362.89980000000003</v>
      </c>
      <c r="J1234">
        <v>-224.07400000000001</v>
      </c>
      <c r="K1234">
        <v>1.110177</v>
      </c>
      <c r="L1234">
        <v>367.09160000000003</v>
      </c>
      <c r="M1234">
        <v>0.99989380000000005</v>
      </c>
      <c r="N1234">
        <v>0</v>
      </c>
      <c r="O1234">
        <v>1.7547960000000001E-3</v>
      </c>
      <c r="P1234">
        <v>0.96894159999999996</v>
      </c>
      <c r="Q1234">
        <v>0.17043229999999901</v>
      </c>
      <c r="R1234">
        <v>-0.17918020000000001</v>
      </c>
      <c r="S1234">
        <v>2.967911</v>
      </c>
      <c r="T1234">
        <v>-0.2455386</v>
      </c>
      <c r="U1234">
        <v>-0.92700199999999999</v>
      </c>
      <c r="V1234">
        <v>0.18084620000000001</v>
      </c>
      <c r="W1234">
        <v>0.1844712</v>
      </c>
      <c r="X1234">
        <v>0.96605640000000004</v>
      </c>
      <c r="Y1234">
        <v>0.29887590000000003</v>
      </c>
      <c r="Z1234">
        <v>-1.2197909999999999E-2</v>
      </c>
      <c r="AA1234">
        <v>0.95421400000000001</v>
      </c>
      <c r="AB1234">
        <v>33</v>
      </c>
      <c r="AC1234">
        <v>13.245900000000001</v>
      </c>
      <c r="AD1234">
        <v>-1.1101821084500001</v>
      </c>
      <c r="AE1234">
        <v>-4.1917999999999997</v>
      </c>
      <c r="AF1234">
        <v>4.1882967018854496</v>
      </c>
      <c r="AG1234">
        <v>-1.1101821084500001</v>
      </c>
      <c r="AH1234">
        <v>13.154528730597701</v>
      </c>
      <c r="AI1234">
        <v>94.597700488879099</v>
      </c>
      <c r="AJ1234">
        <v>72.338941051007893</v>
      </c>
      <c r="AK1234">
        <v>13.8497638861125</v>
      </c>
      <c r="AL1234">
        <v>79.369695900823103</v>
      </c>
      <c r="AM1234">
        <v>79.396925268861395</v>
      </c>
      <c r="AN1234">
        <v>0.99999996983241901</v>
      </c>
    </row>
    <row r="1235" spans="1:40" x14ac:dyDescent="0.25">
      <c r="A1235" t="str">
        <f>"20190312172915736"</f>
        <v>20190312172915736</v>
      </c>
      <c r="B1235" t="str">
        <f>"1552382955728353"</f>
        <v>1552382955728353</v>
      </c>
      <c r="C1235" t="s">
        <v>40</v>
      </c>
      <c r="D1235">
        <v>3.546065</v>
      </c>
      <c r="E1235">
        <v>0.55101650000000002</v>
      </c>
      <c r="F1235" t="s">
        <v>41</v>
      </c>
      <c r="G1235">
        <v>-210.61969999999999</v>
      </c>
      <c r="H1235" s="1">
        <v>-5.2026900000000003E-6</v>
      </c>
      <c r="I1235">
        <v>362.87270000000001</v>
      </c>
      <c r="J1235">
        <v>-223.9015</v>
      </c>
      <c r="K1235">
        <v>1.110171</v>
      </c>
      <c r="L1235">
        <v>367.09199999999998</v>
      </c>
      <c r="M1235">
        <v>0.9998937</v>
      </c>
      <c r="N1235">
        <v>0</v>
      </c>
      <c r="O1235">
        <v>1.79034299999999E-3</v>
      </c>
      <c r="P1235">
        <v>0.96885279999999996</v>
      </c>
      <c r="Q1235">
        <v>0.17049029999999901</v>
      </c>
      <c r="R1235">
        <v>-0.17960419999999999</v>
      </c>
      <c r="S1235">
        <v>2.9671479999999999</v>
      </c>
      <c r="T1235">
        <v>-0.24483279999999999</v>
      </c>
      <c r="U1235">
        <v>-0.93041989999999997</v>
      </c>
      <c r="V1235">
        <v>0.18130879999999999</v>
      </c>
      <c r="W1235">
        <v>0.1845223</v>
      </c>
      <c r="X1235">
        <v>0.96596000000000004</v>
      </c>
      <c r="Y1235">
        <v>0.29998229999999998</v>
      </c>
      <c r="Z1235">
        <v>-1.221126E-2</v>
      </c>
      <c r="AA1235">
        <v>0.95386660000000001</v>
      </c>
      <c r="AB1235">
        <v>33</v>
      </c>
      <c r="AC1235">
        <v>13.2818</v>
      </c>
      <c r="AD1235">
        <v>-1.1101762026899999</v>
      </c>
      <c r="AE1235">
        <v>-4.2192999999999703</v>
      </c>
      <c r="AF1235">
        <v>4.2163170276254602</v>
      </c>
      <c r="AG1235">
        <v>-1.1101762026899999</v>
      </c>
      <c r="AH1235">
        <v>13.1905140174092</v>
      </c>
      <c r="AI1235">
        <v>94.583527011337594</v>
      </c>
      <c r="AJ1235">
        <v>72.273642306258495</v>
      </c>
      <c r="AK1235">
        <v>13.892425293012501</v>
      </c>
      <c r="AL1235">
        <v>79.366717711303096</v>
      </c>
      <c r="AM1235">
        <v>79.369383552489396</v>
      </c>
      <c r="AN1235">
        <v>1.0000000408773599</v>
      </c>
    </row>
    <row r="1236" spans="1:40" x14ac:dyDescent="0.25">
      <c r="A1236" t="str">
        <f>"20190312172915748"</f>
        <v>20190312172915748</v>
      </c>
      <c r="B1236" t="str">
        <f>"1552382955739089"</f>
        <v>1552382955739089</v>
      </c>
      <c r="C1236" t="s">
        <v>40</v>
      </c>
      <c r="D1236">
        <v>3.5443370000000001</v>
      </c>
      <c r="E1236">
        <v>0.55142619999999998</v>
      </c>
      <c r="F1236" t="s">
        <v>41</v>
      </c>
      <c r="G1236">
        <v>-210.39830000000001</v>
      </c>
      <c r="H1236" s="1">
        <v>-5.304193E-6</v>
      </c>
      <c r="I1236">
        <v>362.83569999999997</v>
      </c>
      <c r="J1236">
        <v>-223.7242</v>
      </c>
      <c r="K1236">
        <v>1.1101650000000001</v>
      </c>
      <c r="L1236">
        <v>367.09230000000002</v>
      </c>
      <c r="M1236">
        <v>0.99989349999999999</v>
      </c>
      <c r="N1236">
        <v>0</v>
      </c>
      <c r="O1236">
        <v>1.821336E-3</v>
      </c>
      <c r="P1236">
        <v>0.96884950000000003</v>
      </c>
      <c r="Q1236">
        <v>0.17041879999999901</v>
      </c>
      <c r="R1236">
        <v>-0.17968789999999901</v>
      </c>
      <c r="S1236">
        <v>2.9660340000000001</v>
      </c>
      <c r="T1236">
        <v>-0.2438544</v>
      </c>
      <c r="U1236">
        <v>-0.93490600000000001</v>
      </c>
      <c r="V1236">
        <v>0.1814277</v>
      </c>
      <c r="W1236">
        <v>0.184444</v>
      </c>
      <c r="X1236">
        <v>0.96595260000000005</v>
      </c>
      <c r="Y1236">
        <v>0.30142950000000002</v>
      </c>
      <c r="Z1236">
        <v>-1.222475E-2</v>
      </c>
      <c r="AA1236">
        <v>0.95341010000000004</v>
      </c>
      <c r="AB1236">
        <v>33</v>
      </c>
      <c r="AC1236">
        <v>13.325899999999899</v>
      </c>
      <c r="AD1236">
        <v>-1.110170304193</v>
      </c>
      <c r="AE1236">
        <v>-4.2566000000000397</v>
      </c>
      <c r="AF1236">
        <v>4.2540749022144402</v>
      </c>
      <c r="AG1236">
        <v>-1.110170304193</v>
      </c>
      <c r="AH1236">
        <v>13.234773770818601</v>
      </c>
      <c r="AI1236">
        <v>94.565881353007597</v>
      </c>
      <c r="AJ1236">
        <v>72.180952266652795</v>
      </c>
      <c r="AK1236">
        <v>13.945926578851299</v>
      </c>
      <c r="AL1236">
        <v>79.371282013447001</v>
      </c>
      <c r="AM1236">
        <v>79.362491545372606</v>
      </c>
      <c r="AN1236">
        <v>1.0000000124550199</v>
      </c>
    </row>
    <row r="1237" spans="1:40" x14ac:dyDescent="0.25">
      <c r="A1237" t="str">
        <f>"20190312172915761"</f>
        <v>20190312172915761</v>
      </c>
      <c r="B1237" t="str">
        <f>"1552382955758609"</f>
        <v>1552382955758609</v>
      </c>
      <c r="C1237" t="s">
        <v>40</v>
      </c>
      <c r="D1237">
        <v>3.5502349999999998</v>
      </c>
      <c r="E1237">
        <v>0.55217930000000004</v>
      </c>
      <c r="F1237" t="s">
        <v>41</v>
      </c>
      <c r="G1237">
        <v>-210.21100000000001</v>
      </c>
      <c r="H1237" s="1">
        <v>-5.3882850000000004E-6</v>
      </c>
      <c r="I1237">
        <v>362.81470000000002</v>
      </c>
      <c r="J1237">
        <v>-223.5428</v>
      </c>
      <c r="K1237">
        <v>1.1101540000000001</v>
      </c>
      <c r="L1237">
        <v>367.09269999999998</v>
      </c>
      <c r="M1237">
        <v>0.99989360000000005</v>
      </c>
      <c r="N1237">
        <v>0</v>
      </c>
      <c r="O1237">
        <v>1.846042E-3</v>
      </c>
      <c r="P1237">
        <v>0.96873889999999996</v>
      </c>
      <c r="Q1237">
        <v>0.17051810000000001</v>
      </c>
      <c r="R1237">
        <v>-0.18019099999999999</v>
      </c>
      <c r="S1237">
        <v>2.9652250000000002</v>
      </c>
      <c r="T1237">
        <v>-0.24360480000000001</v>
      </c>
      <c r="U1237">
        <v>-0.93862920000000005</v>
      </c>
      <c r="V1237">
        <v>0.18196000000000001</v>
      </c>
      <c r="W1237">
        <v>0.184534</v>
      </c>
      <c r="X1237">
        <v>0.96583529999999995</v>
      </c>
      <c r="Y1237">
        <v>0.30261389999999999</v>
      </c>
      <c r="Z1237">
        <v>-1.22626E-2</v>
      </c>
      <c r="AA1237">
        <v>0.9530343</v>
      </c>
      <c r="AB1237">
        <v>33</v>
      </c>
      <c r="AC1237">
        <v>13.331799999999999</v>
      </c>
      <c r="AD1237">
        <v>-1.110159388285</v>
      </c>
      <c r="AE1237">
        <v>-4.2779999999999596</v>
      </c>
      <c r="AF1237">
        <v>4.2757256931471499</v>
      </c>
      <c r="AG1237">
        <v>-1.110159388285</v>
      </c>
      <c r="AH1237">
        <v>13.240637770488901</v>
      </c>
      <c r="AI1237">
        <v>94.561843327594403</v>
      </c>
      <c r="AJ1237">
        <v>72.103463142430698</v>
      </c>
      <c r="AK1237">
        <v>13.9581077743272</v>
      </c>
      <c r="AL1237">
        <v>79.366035550087105</v>
      </c>
      <c r="AM1237">
        <v>79.330731053294897</v>
      </c>
      <c r="AN1237">
        <v>1.0000000327410401</v>
      </c>
    </row>
    <row r="1238" spans="1:40" x14ac:dyDescent="0.25">
      <c r="A1238" t="str">
        <f>"20190312172915773"</f>
        <v>20190312172915773</v>
      </c>
      <c r="B1238" t="str">
        <f>"1552382955768369"</f>
        <v>1552382955768369</v>
      </c>
      <c r="C1238" t="s">
        <v>40</v>
      </c>
      <c r="D1238">
        <v>3.5458270000000001</v>
      </c>
      <c r="E1238">
        <v>0.55239579999999999</v>
      </c>
      <c r="F1238" t="s">
        <v>41</v>
      </c>
      <c r="G1238">
        <v>-209.97540000000001</v>
      </c>
      <c r="H1238" s="1">
        <v>-5.4990079999999996E-6</v>
      </c>
      <c r="I1238">
        <v>362.76029999999997</v>
      </c>
      <c r="J1238">
        <v>-223.375</v>
      </c>
      <c r="K1238">
        <v>1.110134</v>
      </c>
      <c r="L1238">
        <v>367.09300000000002</v>
      </c>
      <c r="M1238">
        <v>0.9998937</v>
      </c>
      <c r="N1238">
        <v>0</v>
      </c>
      <c r="O1238">
        <v>1.84016E-3</v>
      </c>
      <c r="P1238">
        <v>0.96865590000000001</v>
      </c>
      <c r="Q1238">
        <v>0.17042070000000001</v>
      </c>
      <c r="R1238">
        <v>-0.18072830000000001</v>
      </c>
      <c r="S1238">
        <v>2.96347</v>
      </c>
      <c r="T1238">
        <v>-0.24248549999999999</v>
      </c>
      <c r="U1238">
        <v>-0.94628909999999999</v>
      </c>
      <c r="V1238">
        <v>0.1825003</v>
      </c>
      <c r="W1238">
        <v>0.18442529999999999</v>
      </c>
      <c r="X1238">
        <v>0.96575409999999995</v>
      </c>
      <c r="Y1238">
        <v>0.305008</v>
      </c>
      <c r="Z1238">
        <v>-1.230361E-2</v>
      </c>
      <c r="AA1238">
        <v>0.95227030000000001</v>
      </c>
      <c r="AB1238">
        <v>33</v>
      </c>
      <c r="AC1238">
        <v>13.3995999999999</v>
      </c>
      <c r="AD1238">
        <v>-1.110139499008</v>
      </c>
      <c r="AE1238">
        <v>-4.33270000000004</v>
      </c>
      <c r="AF1238">
        <v>4.3304424191843998</v>
      </c>
      <c r="AG1238">
        <v>-1.110139499008</v>
      </c>
      <c r="AH1238">
        <v>13.308899462794701</v>
      </c>
      <c r="AI1238">
        <v>94.5352090934865</v>
      </c>
      <c r="AJ1238">
        <v>71.976176578216098</v>
      </c>
      <c r="AK1238">
        <v>14.039656198208901</v>
      </c>
      <c r="AL1238">
        <v>79.372372186489997</v>
      </c>
      <c r="AM1238">
        <v>79.298901993007604</v>
      </c>
      <c r="AN1238">
        <v>1.0000000162234901</v>
      </c>
    </row>
    <row r="1239" spans="1:40" x14ac:dyDescent="0.25">
      <c r="A1239" t="str">
        <f>"20190312172915785"</f>
        <v>20190312172915785</v>
      </c>
      <c r="B1239" t="str">
        <f>"1552382955778129"</f>
        <v>1552382955778129</v>
      </c>
      <c r="C1239" t="s">
        <v>40</v>
      </c>
      <c r="D1239">
        <v>3.5556299999999998</v>
      </c>
      <c r="E1239">
        <v>0.55267390000000005</v>
      </c>
      <c r="F1239" t="s">
        <v>45</v>
      </c>
      <c r="G1239">
        <v>-209.77189999999999</v>
      </c>
      <c r="H1239" s="1">
        <v>-6.2839049999999996E-6</v>
      </c>
      <c r="I1239">
        <v>362.73259999999999</v>
      </c>
      <c r="J1239">
        <v>-223.1883</v>
      </c>
      <c r="K1239">
        <v>1.110112</v>
      </c>
      <c r="L1239">
        <v>367.0933</v>
      </c>
      <c r="M1239">
        <v>0.99989380000000005</v>
      </c>
      <c r="N1239">
        <v>0</v>
      </c>
      <c r="O1239">
        <v>1.812187E-3</v>
      </c>
      <c r="P1239">
        <v>0.96854229999999997</v>
      </c>
      <c r="Q1239">
        <v>0.1705797</v>
      </c>
      <c r="R1239">
        <v>-0.18118699999999999</v>
      </c>
      <c r="S1239">
        <v>2.962418</v>
      </c>
      <c r="T1239">
        <v>-0.24176159999999999</v>
      </c>
      <c r="U1239">
        <v>-0.94958500000000001</v>
      </c>
      <c r="V1239">
        <v>0.18294489999999999</v>
      </c>
      <c r="W1239">
        <v>0.1845678</v>
      </c>
      <c r="X1239">
        <v>0.96564280000000002</v>
      </c>
      <c r="Y1239">
        <v>0.3060426</v>
      </c>
      <c r="Z1239">
        <v>-1.2308009999999999E-2</v>
      </c>
      <c r="AA1239">
        <v>0.95193830000000002</v>
      </c>
      <c r="AB1239">
        <v>33</v>
      </c>
      <c r="AC1239">
        <v>13.416399999999999</v>
      </c>
      <c r="AD1239">
        <v>-1.1101182839049999</v>
      </c>
      <c r="AE1239">
        <v>-4.3606999999999996</v>
      </c>
      <c r="AF1239">
        <v>4.35802224774707</v>
      </c>
      <c r="AG1239">
        <v>-1.1101182839049999</v>
      </c>
      <c r="AH1239">
        <v>13.325956484325101</v>
      </c>
      <c r="AI1239">
        <v>94.527144166850505</v>
      </c>
      <c r="AJ1239">
        <v>71.890567665725399</v>
      </c>
      <c r="AK1239">
        <v>14.0643462961577</v>
      </c>
      <c r="AL1239">
        <v>79.364065434275304</v>
      </c>
      <c r="AM1239">
        <v>79.272228928443795</v>
      </c>
      <c r="AN1239">
        <v>1.00000006321234</v>
      </c>
    </row>
    <row r="1240" spans="1:40" x14ac:dyDescent="0.25">
      <c r="A1240" t="str">
        <f>"20190312172915801"</f>
        <v>20190312172915801</v>
      </c>
      <c r="B1240" t="str">
        <f>"1552382955798626"</f>
        <v>1552382955798626</v>
      </c>
      <c r="C1240" t="s">
        <v>40</v>
      </c>
      <c r="D1240">
        <v>3.5574370000000002</v>
      </c>
      <c r="E1240">
        <v>0.55775540000000001</v>
      </c>
      <c r="F1240" t="s">
        <v>45</v>
      </c>
      <c r="G1240">
        <v>-209.5154</v>
      </c>
      <c r="H1240" s="1">
        <v>-6.2048030000000002E-6</v>
      </c>
      <c r="I1240">
        <v>362.68920000000003</v>
      </c>
      <c r="J1240">
        <v>-222.95320000000001</v>
      </c>
      <c r="K1240">
        <v>1.1100540000000001</v>
      </c>
      <c r="L1240">
        <v>367.09370000000001</v>
      </c>
      <c r="M1240">
        <v>0.99989399999999995</v>
      </c>
      <c r="N1240">
        <v>0</v>
      </c>
      <c r="O1240">
        <v>1.69438799999999E-3</v>
      </c>
      <c r="P1240">
        <v>0.96817450000000005</v>
      </c>
      <c r="Q1240">
        <v>0.1712641</v>
      </c>
      <c r="R1240">
        <v>-0.18250160000000001</v>
      </c>
      <c r="S1240">
        <v>2.9613339999999999</v>
      </c>
      <c r="T1240">
        <v>-0.2404345</v>
      </c>
      <c r="U1240">
        <v>-0.95385739999999997</v>
      </c>
      <c r="V1240">
        <v>0.18417330000000001</v>
      </c>
      <c r="W1240">
        <v>0.18521679999999999</v>
      </c>
      <c r="X1240">
        <v>0.9652849</v>
      </c>
      <c r="Y1240">
        <v>0.30728290000000003</v>
      </c>
      <c r="Z1240">
        <v>-1.228199E-2</v>
      </c>
      <c r="AA1240">
        <v>0.95153900000000002</v>
      </c>
      <c r="AB1240">
        <v>33</v>
      </c>
      <c r="AC1240">
        <v>13.437799999999999</v>
      </c>
      <c r="AD1240">
        <v>-1.1100602048029999</v>
      </c>
      <c r="AE1240">
        <v>-4.4044999999999801</v>
      </c>
      <c r="AF1240">
        <v>4.4001513187763104</v>
      </c>
      <c r="AG1240">
        <v>-1.1100602048029999</v>
      </c>
      <c r="AH1240">
        <v>13.348066653016</v>
      </c>
      <c r="AI1240">
        <v>94.515954606180699</v>
      </c>
      <c r="AJ1240">
        <v>71.755346528033996</v>
      </c>
      <c r="AK1240">
        <v>14.0983846117126</v>
      </c>
      <c r="AL1240">
        <v>79.326227461457805</v>
      </c>
      <c r="AM1240">
        <v>79.197975023334706</v>
      </c>
      <c r="AN1240">
        <v>1.0000000028015601</v>
      </c>
    </row>
    <row r="1241" spans="1:40" x14ac:dyDescent="0.25">
      <c r="A1241" t="str">
        <f>"20190312172915817"</f>
        <v>20190312172915817</v>
      </c>
      <c r="B1241" t="str">
        <f>"1552382955808385"</f>
        <v>1552382955808385</v>
      </c>
      <c r="C1241" t="s">
        <v>40</v>
      </c>
      <c r="D1241">
        <v>3.538354</v>
      </c>
      <c r="E1241">
        <v>0.55791749999999996</v>
      </c>
      <c r="F1241" t="s">
        <v>45</v>
      </c>
      <c r="G1241">
        <v>-209.00200000000001</v>
      </c>
      <c r="H1241" s="1">
        <v>-6.082522E-6</v>
      </c>
      <c r="I1241">
        <v>362.37169999999998</v>
      </c>
      <c r="J1241">
        <v>-222.74170000000001</v>
      </c>
      <c r="K1241">
        <v>1.109979</v>
      </c>
      <c r="L1241">
        <v>367.09390000000002</v>
      </c>
      <c r="M1241">
        <v>0.99989430000000001</v>
      </c>
      <c r="N1241">
        <v>0</v>
      </c>
      <c r="O1241">
        <v>1.4931569999999999E-3</v>
      </c>
      <c r="P1241">
        <v>0.96792990000000001</v>
      </c>
      <c r="Q1241">
        <v>0.1715679</v>
      </c>
      <c r="R1241">
        <v>-0.1835117</v>
      </c>
      <c r="S1241">
        <v>2.9518430000000002</v>
      </c>
      <c r="T1241">
        <v>-0.2348703</v>
      </c>
      <c r="U1241">
        <v>-0.99908450000000004</v>
      </c>
      <c r="V1241">
        <v>0.18502479999999999</v>
      </c>
      <c r="W1241">
        <v>0.18547830000000001</v>
      </c>
      <c r="X1241">
        <v>0.96507189999999998</v>
      </c>
      <c r="Y1241">
        <v>0.32109500000000002</v>
      </c>
      <c r="Z1241">
        <v>-1.2525420000000001E-2</v>
      </c>
      <c r="AA1241">
        <v>0.94696409999999998</v>
      </c>
      <c r="AB1241">
        <v>33</v>
      </c>
      <c r="AC1241">
        <v>13.739699999999999</v>
      </c>
      <c r="AD1241">
        <v>-1.1099850825219999</v>
      </c>
      <c r="AE1241">
        <v>-4.7222000000000399</v>
      </c>
      <c r="AF1241">
        <v>4.7151898131857299</v>
      </c>
      <c r="AG1241">
        <v>-1.1099850825219999</v>
      </c>
      <c r="AH1241">
        <v>13.6529406446274</v>
      </c>
      <c r="AI1241">
        <v>94.394329805384999</v>
      </c>
      <c r="AJ1241">
        <v>70.947096780342207</v>
      </c>
      <c r="AK1241">
        <v>14.4868171143116</v>
      </c>
      <c r="AL1241">
        <v>79.310981203270998</v>
      </c>
      <c r="AM1241">
        <v>79.146878308403103</v>
      </c>
      <c r="AN1241">
        <v>1.0000000742777599</v>
      </c>
    </row>
    <row r="1242" spans="1:40" x14ac:dyDescent="0.25">
      <c r="A1242" t="str">
        <f>"20190312172915830"</f>
        <v>20190312172915830</v>
      </c>
      <c r="B1242" t="str">
        <f>"1552382955828882"</f>
        <v>1552382955828882</v>
      </c>
      <c r="C1242" t="s">
        <v>40</v>
      </c>
      <c r="D1242">
        <v>3.562249</v>
      </c>
      <c r="E1242">
        <v>0.55830239999999998</v>
      </c>
      <c r="F1242" t="s">
        <v>45</v>
      </c>
      <c r="G1242">
        <v>-208.70840000000001</v>
      </c>
      <c r="H1242" s="1">
        <v>-5.9924310000000002E-6</v>
      </c>
      <c r="I1242">
        <v>362.31939999999997</v>
      </c>
      <c r="J1242">
        <v>-222.53530000000001</v>
      </c>
      <c r="K1242">
        <v>1.10988</v>
      </c>
      <c r="L1242">
        <v>367.09390000000002</v>
      </c>
      <c r="M1242">
        <v>0.99989479999999997</v>
      </c>
      <c r="N1242">
        <v>0</v>
      </c>
      <c r="O1242">
        <v>1.204253E-3</v>
      </c>
      <c r="P1242">
        <v>0.96767780000000003</v>
      </c>
      <c r="Q1242">
        <v>0.171826799999999</v>
      </c>
      <c r="R1242">
        <v>-0.18459529999999999</v>
      </c>
      <c r="S1242">
        <v>2.9504389999999998</v>
      </c>
      <c r="T1242">
        <v>-0.23336879999999999</v>
      </c>
      <c r="U1242">
        <v>-1.0038149999999999</v>
      </c>
      <c r="V1242">
        <v>0.1858754</v>
      </c>
      <c r="W1242">
        <v>0.1856863</v>
      </c>
      <c r="X1242">
        <v>0.96486839999999996</v>
      </c>
      <c r="Y1242">
        <v>0.32232820000000001</v>
      </c>
      <c r="Z1242">
        <v>-1.247323E-2</v>
      </c>
      <c r="AA1242">
        <v>0.94654579999999999</v>
      </c>
      <c r="AB1242">
        <v>33</v>
      </c>
      <c r="AC1242">
        <v>13.826899999999901</v>
      </c>
      <c r="AD1242">
        <v>-1.1098859924310001</v>
      </c>
      <c r="AE1242">
        <v>-4.7745000000000397</v>
      </c>
      <c r="AF1242">
        <v>4.7637252702631701</v>
      </c>
      <c r="AG1242">
        <v>-1.1098859924310001</v>
      </c>
      <c r="AH1242">
        <v>13.7420287493829</v>
      </c>
      <c r="AI1242">
        <v>94.363826957036196</v>
      </c>
      <c r="AJ1242">
        <v>70.880936311514802</v>
      </c>
      <c r="AK1242">
        <v>14.5865787460804</v>
      </c>
      <c r="AL1242">
        <v>79.298852713250895</v>
      </c>
      <c r="AM1242">
        <v>79.095932831553299</v>
      </c>
      <c r="AN1242">
        <v>1.0000000478257001</v>
      </c>
    </row>
    <row r="1243" spans="1:40" x14ac:dyDescent="0.25">
      <c r="A1243" t="str">
        <f>"20190312172915843"</f>
        <v>20190312172915843</v>
      </c>
      <c r="B1243" t="str">
        <f>"1552382955838641"</f>
        <v>1552382955838641</v>
      </c>
      <c r="C1243" t="s">
        <v>40</v>
      </c>
      <c r="D1243">
        <v>3.5685669999999998</v>
      </c>
      <c r="E1243">
        <v>0.5582857</v>
      </c>
      <c r="F1243" t="s">
        <v>45</v>
      </c>
      <c r="G1243">
        <v>-208.55009999999999</v>
      </c>
      <c r="H1243" s="1">
        <v>-5.9423909999999996E-6</v>
      </c>
      <c r="I1243">
        <v>362.30040000000002</v>
      </c>
      <c r="J1243">
        <v>-222.3484</v>
      </c>
      <c r="K1243">
        <v>1.109769</v>
      </c>
      <c r="L1243">
        <v>367.09390000000002</v>
      </c>
      <c r="M1243">
        <v>0.99989499999999998</v>
      </c>
      <c r="N1243">
        <v>0</v>
      </c>
      <c r="O1243">
        <v>8.7009770000000004E-4</v>
      </c>
      <c r="P1243">
        <v>0.96735499999999996</v>
      </c>
      <c r="Q1243">
        <v>0.1722139</v>
      </c>
      <c r="R1243">
        <v>-0.185921</v>
      </c>
      <c r="S1243">
        <v>2.9489749999999999</v>
      </c>
      <c r="T1243">
        <v>-0.23403450000000001</v>
      </c>
      <c r="U1243">
        <v>-1.0107729999999999</v>
      </c>
      <c r="V1243">
        <v>0.18692819999999999</v>
      </c>
      <c r="W1243">
        <v>0.18601709999999999</v>
      </c>
      <c r="X1243">
        <v>0.96460119999999905</v>
      </c>
      <c r="Y1243">
        <v>0.32414530000000003</v>
      </c>
      <c r="Z1243">
        <v>-1.255421E-2</v>
      </c>
      <c r="AA1243">
        <v>0.94592399999999999</v>
      </c>
      <c r="AB1243">
        <v>32</v>
      </c>
      <c r="AC1243">
        <v>13.798299999999999</v>
      </c>
      <c r="AD1243">
        <v>-1.1097749423909999</v>
      </c>
      <c r="AE1243">
        <v>-4.7934999999999901</v>
      </c>
      <c r="AF1243">
        <v>4.7779265674648901</v>
      </c>
      <c r="AG1243">
        <v>-1.1097749423909999</v>
      </c>
      <c r="AH1243">
        <v>13.7149592004818</v>
      </c>
      <c r="AI1243">
        <v>94.369649261667007</v>
      </c>
      <c r="AJ1243">
        <v>70.793023905072403</v>
      </c>
      <c r="AK1243">
        <v>14.5657230708855</v>
      </c>
      <c r="AL1243">
        <v>79.279562623462795</v>
      </c>
      <c r="AM1243">
        <v>79.032701277677603</v>
      </c>
      <c r="AN1243">
        <v>0.999999994244544</v>
      </c>
    </row>
    <row r="1244" spans="1:40" x14ac:dyDescent="0.25">
      <c r="A1244" t="str">
        <f>"20190312172915857"</f>
        <v>20190312172915857</v>
      </c>
      <c r="B1244" t="str">
        <f>"1552382955848401"</f>
        <v>1552382955848401</v>
      </c>
      <c r="C1244" t="s">
        <v>40</v>
      </c>
      <c r="D1244">
        <v>3.5717249999999998</v>
      </c>
      <c r="E1244">
        <v>0.5583555</v>
      </c>
      <c r="F1244" t="s">
        <v>45</v>
      </c>
      <c r="G1244">
        <v>-208.39869999999999</v>
      </c>
      <c r="H1244" s="1">
        <v>-5.8933799999999996E-6</v>
      </c>
      <c r="I1244">
        <v>362.28989999999999</v>
      </c>
      <c r="J1244">
        <v>-222.14400000000001</v>
      </c>
      <c r="K1244">
        <v>1.1096200000000001</v>
      </c>
      <c r="L1244">
        <v>367.09359999999998</v>
      </c>
      <c r="M1244">
        <v>0.99989550000000005</v>
      </c>
      <c r="N1244">
        <v>0</v>
      </c>
      <c r="O1244">
        <v>3.2805280000000001E-4</v>
      </c>
      <c r="P1244">
        <v>0.96690480000000001</v>
      </c>
      <c r="Q1244">
        <v>0.172037</v>
      </c>
      <c r="R1244">
        <v>-0.18841050000000001</v>
      </c>
      <c r="S1244">
        <v>2.9478909999999998</v>
      </c>
      <c r="T1244">
        <v>-0.23452249999999999</v>
      </c>
      <c r="U1244">
        <v>-1.015198</v>
      </c>
      <c r="V1244">
        <v>0.18896360000000001</v>
      </c>
      <c r="W1244">
        <v>0.18576129999999999</v>
      </c>
      <c r="X1244">
        <v>0.96425380000000005</v>
      </c>
      <c r="Y1244">
        <v>0.32500440000000003</v>
      </c>
      <c r="Z1244">
        <v>-1.2573000000000001E-2</v>
      </c>
      <c r="AA1244">
        <v>0.94562889999999999</v>
      </c>
      <c r="AB1244">
        <v>32</v>
      </c>
      <c r="AC1244">
        <v>13.7453</v>
      </c>
      <c r="AD1244">
        <v>-1.1096258933800001</v>
      </c>
      <c r="AE1244">
        <v>-4.8036999999999903</v>
      </c>
      <c r="AF1244">
        <v>4.7804463124110104</v>
      </c>
      <c r="AG1244">
        <v>-1.1096258933800001</v>
      </c>
      <c r="AH1244">
        <v>13.664365589386501</v>
      </c>
      <c r="AI1244">
        <v>94.383175051618593</v>
      </c>
      <c r="AJ1244">
        <v>70.717730096260297</v>
      </c>
      <c r="AK1244">
        <v>14.5189126152585</v>
      </c>
      <c r="AL1244">
        <v>79.294478349066097</v>
      </c>
      <c r="AM1244">
        <v>78.912329407716399</v>
      </c>
      <c r="AN1244">
        <v>0.99999994675854298</v>
      </c>
    </row>
    <row r="1245" spans="1:40" x14ac:dyDescent="0.25">
      <c r="A1245" t="str">
        <f>"20190312172915868"</f>
        <v>20190312172915868</v>
      </c>
      <c r="B1245" t="str">
        <f>"1552382955858161"</f>
        <v>1552382955858161</v>
      </c>
      <c r="C1245" t="s">
        <v>40</v>
      </c>
      <c r="D1245">
        <v>3.5721519999999898</v>
      </c>
      <c r="E1245">
        <v>0.5583555</v>
      </c>
      <c r="F1245" t="s">
        <v>45</v>
      </c>
      <c r="G1245">
        <v>-208.3023</v>
      </c>
      <c r="H1245" s="1">
        <v>-5.8630060000000002E-6</v>
      </c>
      <c r="I1245">
        <v>362.27769999999998</v>
      </c>
      <c r="J1245">
        <v>-221.98320000000001</v>
      </c>
      <c r="K1245">
        <v>1.1094889999999999</v>
      </c>
      <c r="L1245">
        <v>367.09320000000002</v>
      </c>
      <c r="M1245">
        <v>0.99989550000000005</v>
      </c>
      <c r="N1245">
        <v>0</v>
      </c>
      <c r="O1245">
        <v>-1.747598E-4</v>
      </c>
      <c r="P1245">
        <v>0.96656189999999997</v>
      </c>
      <c r="Q1245">
        <v>0.17238220000000001</v>
      </c>
      <c r="R1245">
        <v>-0.18984889999999999</v>
      </c>
      <c r="S1245">
        <v>2.9450379999999998</v>
      </c>
      <c r="T1245">
        <v>-0.2360901</v>
      </c>
      <c r="U1245">
        <v>-1.0246580000000001</v>
      </c>
      <c r="V1245">
        <v>0.18997520000000001</v>
      </c>
      <c r="W1245">
        <v>0.1860415</v>
      </c>
      <c r="X1245">
        <v>0.964001</v>
      </c>
      <c r="Y1245">
        <v>0.32750370000000001</v>
      </c>
      <c r="Z1245">
        <v>-1.271999E-2</v>
      </c>
      <c r="AA1245">
        <v>0.9447643</v>
      </c>
      <c r="AB1245">
        <v>32</v>
      </c>
      <c r="AC1245">
        <v>13.680899999999999</v>
      </c>
      <c r="AD1245">
        <v>-1.109494863006</v>
      </c>
      <c r="AE1245">
        <v>-4.8155000000000401</v>
      </c>
      <c r="AF1245">
        <v>4.7851069246334497</v>
      </c>
      <c r="AG1245">
        <v>-1.109494863006</v>
      </c>
      <c r="AH1245">
        <v>13.6021432985403</v>
      </c>
      <c r="AI1245">
        <v>94.399968247048207</v>
      </c>
      <c r="AJ1245">
        <v>70.618604348470598</v>
      </c>
      <c r="AK1245">
        <v>14.461899233684299</v>
      </c>
      <c r="AL1245">
        <v>79.278139529882594</v>
      </c>
      <c r="AM1245">
        <v>78.851605238501506</v>
      </c>
      <c r="AN1245">
        <v>0.99999997216914405</v>
      </c>
    </row>
    <row r="1246" spans="1:40" x14ac:dyDescent="0.25">
      <c r="A1246" t="str">
        <f>"20190312172915879"</f>
        <v>20190312172915879</v>
      </c>
      <c r="B1246" t="str">
        <f>"1552382955868897"</f>
        <v>1552382955868897</v>
      </c>
      <c r="C1246" t="s">
        <v>40</v>
      </c>
      <c r="D1246">
        <v>3.5327069999999998</v>
      </c>
      <c r="E1246">
        <v>0.56008219999999997</v>
      </c>
      <c r="F1246" t="s">
        <v>45</v>
      </c>
      <c r="G1246">
        <v>-208.05789999999999</v>
      </c>
      <c r="H1246" s="1">
        <v>-5.7901050000000002E-6</v>
      </c>
      <c r="I1246">
        <v>362.22059999999999</v>
      </c>
      <c r="J1246">
        <v>-221.81809999999999</v>
      </c>
      <c r="K1246">
        <v>1.1093550000000001</v>
      </c>
      <c r="L1246">
        <v>367.09269999999998</v>
      </c>
      <c r="M1246">
        <v>0.99989530000000004</v>
      </c>
      <c r="N1246">
        <v>0</v>
      </c>
      <c r="O1246">
        <v>-7.734517E-4</v>
      </c>
      <c r="P1246">
        <v>0.96629379999999998</v>
      </c>
      <c r="Q1246">
        <v>0.17220729999999901</v>
      </c>
      <c r="R1246">
        <v>-0.19136629999999999</v>
      </c>
      <c r="S1246">
        <v>2.9433289999999999</v>
      </c>
      <c r="T1246">
        <v>-0.2345091</v>
      </c>
      <c r="U1246">
        <v>-1.0299069999999999</v>
      </c>
      <c r="V1246">
        <v>0.1909778</v>
      </c>
      <c r="W1246">
        <v>0.1857983</v>
      </c>
      <c r="X1246">
        <v>0.96384979999999998</v>
      </c>
      <c r="Y1246">
        <v>0.32862079999999999</v>
      </c>
      <c r="Z1246">
        <v>-1.2635270000000001E-2</v>
      </c>
      <c r="AA1246">
        <v>0.94437740000000003</v>
      </c>
      <c r="AB1246">
        <v>32</v>
      </c>
      <c r="AC1246">
        <v>13.7601999999999</v>
      </c>
      <c r="AD1246">
        <v>-1.10936079010499</v>
      </c>
      <c r="AE1246">
        <v>-4.8720999999999801</v>
      </c>
      <c r="AF1246">
        <v>4.8335376867668201</v>
      </c>
      <c r="AG1246">
        <v>-1.10936079010499</v>
      </c>
      <c r="AH1246">
        <v>13.684925068434699</v>
      </c>
      <c r="AI1246">
        <v>94.371002822778195</v>
      </c>
      <c r="AJ1246">
        <v>70.546696938139505</v>
      </c>
      <c r="AK1246">
        <v>14.555787236034</v>
      </c>
      <c r="AL1246">
        <v>79.2923212350521</v>
      </c>
      <c r="AM1246">
        <v>78.792541025509493</v>
      </c>
      <c r="AN1246">
        <v>0.99999998266788404</v>
      </c>
    </row>
    <row r="1247" spans="1:40" x14ac:dyDescent="0.25">
      <c r="A1247" t="str">
        <f>"20190312172915891"</f>
        <v>20190312172915891</v>
      </c>
      <c r="B1247" t="str">
        <f>"1552382955888552"</f>
        <v>1552382955888552</v>
      </c>
      <c r="C1247" t="s">
        <v>40</v>
      </c>
      <c r="D1247">
        <v>3.5492210000000002</v>
      </c>
      <c r="E1247">
        <v>0.56053699999999995</v>
      </c>
      <c r="F1247" t="s">
        <v>45</v>
      </c>
      <c r="G1247">
        <v>-208.70089999999999</v>
      </c>
      <c r="H1247" s="1">
        <v>-5.9750559999999901E-6</v>
      </c>
      <c r="I1247">
        <v>362.41460000000001</v>
      </c>
      <c r="J1247">
        <v>-221.65010000000001</v>
      </c>
      <c r="K1247">
        <v>1.109197</v>
      </c>
      <c r="L1247">
        <v>367.09179999999998</v>
      </c>
      <c r="M1247">
        <v>0.99989430000000001</v>
      </c>
      <c r="N1247">
        <v>0</v>
      </c>
      <c r="O1247">
        <v>-1.5319369999999999E-3</v>
      </c>
      <c r="P1247">
        <v>0.96581980000000001</v>
      </c>
      <c r="Q1247">
        <v>0.17230799999999999</v>
      </c>
      <c r="R1247">
        <v>-0.19365479999999999</v>
      </c>
      <c r="S1247">
        <v>2.9412379999999998</v>
      </c>
      <c r="T1247">
        <v>-0.24874869999999999</v>
      </c>
      <c r="U1247">
        <v>-1.04895</v>
      </c>
      <c r="V1247">
        <v>0.19260569999999999</v>
      </c>
      <c r="W1247">
        <v>0.18581800000000001</v>
      </c>
      <c r="X1247">
        <v>0.96352210000000005</v>
      </c>
      <c r="Y1247">
        <v>0.33341799999999999</v>
      </c>
      <c r="Z1247">
        <v>-1.35294E-2</v>
      </c>
      <c r="AA1247">
        <v>0.94268200000000002</v>
      </c>
      <c r="AB1247">
        <v>32</v>
      </c>
      <c r="AC1247">
        <v>12.949199999999999</v>
      </c>
      <c r="AD1247">
        <v>-1.109202975056</v>
      </c>
      <c r="AE1247">
        <v>-4.6771999999999698</v>
      </c>
      <c r="AF1247">
        <v>4.6273213230111701</v>
      </c>
      <c r="AG1247">
        <v>-1.109202975056</v>
      </c>
      <c r="AH1247">
        <v>12.8727994708943</v>
      </c>
      <c r="AI1247">
        <v>94.6357838465903</v>
      </c>
      <c r="AJ1247">
        <v>70.228262821830896</v>
      </c>
      <c r="AK1247">
        <v>13.724117461029101</v>
      </c>
      <c r="AL1247">
        <v>79.291173352895399</v>
      </c>
      <c r="AM1247">
        <v>78.695712231826207</v>
      </c>
      <c r="AN1247">
        <v>1.00000006099244</v>
      </c>
    </row>
    <row r="1248" spans="1:40" x14ac:dyDescent="0.25">
      <c r="A1248" t="str">
        <f>"20190312172915903"</f>
        <v>20190312172915903</v>
      </c>
      <c r="B1248" t="str">
        <f>"1552382955898312"</f>
        <v>1552382955898312</v>
      </c>
      <c r="C1248" t="s">
        <v>40</v>
      </c>
      <c r="D1248">
        <v>3.5649730000000002</v>
      </c>
      <c r="E1248">
        <v>0.56077980000000005</v>
      </c>
      <c r="F1248" t="s">
        <v>45</v>
      </c>
      <c r="G1248">
        <v>-208.3115</v>
      </c>
      <c r="H1248" s="1">
        <v>-5.8659780000000001E-6</v>
      </c>
      <c r="I1248">
        <v>362.27839999999998</v>
      </c>
      <c r="J1248">
        <v>-221.4821</v>
      </c>
      <c r="K1248">
        <v>1.10903</v>
      </c>
      <c r="L1248">
        <v>367.09089999999998</v>
      </c>
      <c r="M1248">
        <v>0.99989269999999997</v>
      </c>
      <c r="N1248">
        <v>0</v>
      </c>
      <c r="O1248">
        <v>-2.3469979999999999E-3</v>
      </c>
      <c r="P1248">
        <v>0.96535090000000001</v>
      </c>
      <c r="Q1248">
        <v>0.17237140000000001</v>
      </c>
      <c r="R1248">
        <v>-0.19592370000000001</v>
      </c>
      <c r="S1248">
        <v>2.9372099999999999</v>
      </c>
      <c r="T1248">
        <v>-0.24425089999999999</v>
      </c>
      <c r="U1248">
        <v>-1.0599369999999999</v>
      </c>
      <c r="V1248">
        <v>0.19416249999999999</v>
      </c>
      <c r="W1248">
        <v>0.1857974</v>
      </c>
      <c r="X1248">
        <v>0.96321349999999994</v>
      </c>
      <c r="Y1248">
        <v>0.33621129999999999</v>
      </c>
      <c r="Z1248">
        <v>-1.334135E-2</v>
      </c>
      <c r="AA1248">
        <v>0.94169210000000003</v>
      </c>
      <c r="AB1248">
        <v>32</v>
      </c>
      <c r="AC1248">
        <v>13.1706</v>
      </c>
      <c r="AD1248">
        <v>-1.109035865978</v>
      </c>
      <c r="AE1248">
        <v>-4.8125</v>
      </c>
      <c r="AF1248">
        <v>4.75184759088918</v>
      </c>
      <c r="AG1248">
        <v>-1.109035865978</v>
      </c>
      <c r="AH1248">
        <v>13.0999150578663</v>
      </c>
      <c r="AI1248">
        <v>94.550329066193996</v>
      </c>
      <c r="AJ1248">
        <v>70.062326672407906</v>
      </c>
      <c r="AK1248">
        <v>13.9791913429346</v>
      </c>
      <c r="AL1248">
        <v>79.292373885670003</v>
      </c>
      <c r="AM1248">
        <v>78.6031672649803</v>
      </c>
      <c r="AN1248">
        <v>0.99999999841762899</v>
      </c>
    </row>
    <row r="1249" spans="1:40" x14ac:dyDescent="0.25">
      <c r="A1249" t="str">
        <f>"20190312172915914"</f>
        <v>20190312172915914</v>
      </c>
      <c r="B1249" t="str">
        <f>"1552382955909048"</f>
        <v>1552382955909048</v>
      </c>
      <c r="C1249" t="s">
        <v>40</v>
      </c>
      <c r="D1249">
        <v>3.5372970000000001</v>
      </c>
      <c r="E1249">
        <v>0.56099140000000003</v>
      </c>
      <c r="F1249" t="s">
        <v>45</v>
      </c>
      <c r="G1249">
        <v>-208.15379999999999</v>
      </c>
      <c r="H1249" s="1">
        <v>-5.8200399999999996E-6</v>
      </c>
      <c r="I1249">
        <v>362.23439999999999</v>
      </c>
      <c r="J1249">
        <v>-221.3021</v>
      </c>
      <c r="K1249">
        <v>1.10884</v>
      </c>
      <c r="L1249">
        <v>367.08929999999998</v>
      </c>
      <c r="M1249">
        <v>0.99988940000000004</v>
      </c>
      <c r="N1249">
        <v>0</v>
      </c>
      <c r="O1249">
        <v>-3.463332E-3</v>
      </c>
      <c r="P1249">
        <v>0.96482559999999995</v>
      </c>
      <c r="Q1249">
        <v>0.17223629999999901</v>
      </c>
      <c r="R1249">
        <v>-0.1986115</v>
      </c>
      <c r="S1249">
        <v>2.9342649999999999</v>
      </c>
      <c r="T1249">
        <v>-0.24415600000000001</v>
      </c>
      <c r="U1249">
        <v>-1.069153</v>
      </c>
      <c r="V1249">
        <v>0.1958616</v>
      </c>
      <c r="W1249">
        <v>0.18556349999999999</v>
      </c>
      <c r="X1249">
        <v>0.96291450000000001</v>
      </c>
      <c r="Y1249">
        <v>0.33807310000000002</v>
      </c>
      <c r="Z1249">
        <v>-1.3326930000000001E-2</v>
      </c>
      <c r="AA1249">
        <v>0.94102549999999996</v>
      </c>
      <c r="AB1249">
        <v>32</v>
      </c>
      <c r="AC1249">
        <v>13.148300000000001</v>
      </c>
      <c r="AD1249">
        <v>-1.10884582004</v>
      </c>
      <c r="AE1249">
        <v>-4.8548999999999802</v>
      </c>
      <c r="AF1249">
        <v>4.7794155055554999</v>
      </c>
      <c r="AG1249">
        <v>-1.10884582004</v>
      </c>
      <c r="AH1249">
        <v>13.0831514393258</v>
      </c>
      <c r="AI1249">
        <v>94.551608980849295</v>
      </c>
      <c r="AJ1249">
        <v>69.932209315163703</v>
      </c>
      <c r="AK1249">
        <v>13.9728738351026</v>
      </c>
      <c r="AL1249">
        <v>79.306012089827405</v>
      </c>
      <c r="AM1249">
        <v>78.502603727231303</v>
      </c>
      <c r="AN1249">
        <v>0.99999995659852903</v>
      </c>
    </row>
    <row r="1250" spans="1:40" x14ac:dyDescent="0.25">
      <c r="A1250" t="str">
        <f>"20190312172915927"</f>
        <v>20190312172915927</v>
      </c>
      <c r="B1250" t="str">
        <f>"1552382955918808"</f>
        <v>1552382955918808</v>
      </c>
      <c r="C1250" t="s">
        <v>40</v>
      </c>
      <c r="D1250">
        <v>3.5171670000000002</v>
      </c>
      <c r="E1250">
        <v>0.5611273</v>
      </c>
      <c r="F1250" t="s">
        <v>45</v>
      </c>
      <c r="G1250">
        <v>-208.00280000000001</v>
      </c>
      <c r="H1250" s="1">
        <v>-5.7764329999999997E-6</v>
      </c>
      <c r="I1250">
        <v>362.1902</v>
      </c>
      <c r="J1250">
        <v>-221.1353</v>
      </c>
      <c r="K1250">
        <v>1.1086560000000001</v>
      </c>
      <c r="L1250">
        <v>367.08780000000002</v>
      </c>
      <c r="M1250">
        <v>0.99988500000000002</v>
      </c>
      <c r="N1250">
        <v>0</v>
      </c>
      <c r="O1250">
        <v>-4.5691309999999997E-3</v>
      </c>
      <c r="P1250">
        <v>0.96421760000000001</v>
      </c>
      <c r="Q1250">
        <v>0.172536299999999</v>
      </c>
      <c r="R1250">
        <v>-0.20128699999999999</v>
      </c>
      <c r="S1250">
        <v>2.9307249999999998</v>
      </c>
      <c r="T1250">
        <v>-0.2443535</v>
      </c>
      <c r="U1250">
        <v>-1.07962</v>
      </c>
      <c r="V1250">
        <v>0.19755510000000001</v>
      </c>
      <c r="W1250">
        <v>0.1857683</v>
      </c>
      <c r="X1250">
        <v>0.96252899999999997</v>
      </c>
      <c r="Y1250">
        <v>0.340354299999999</v>
      </c>
      <c r="Z1250">
        <v>-1.3347690000000001E-2</v>
      </c>
      <c r="AA1250">
        <v>0.94020250000000005</v>
      </c>
      <c r="AB1250">
        <v>32</v>
      </c>
      <c r="AC1250">
        <v>13.132499999999901</v>
      </c>
      <c r="AD1250">
        <v>-1.10866177643299</v>
      </c>
      <c r="AE1250">
        <v>-4.8976000000000104</v>
      </c>
      <c r="AF1250">
        <v>4.80745944547074</v>
      </c>
      <c r="AG1250">
        <v>-1.10866177643299</v>
      </c>
      <c r="AH1250">
        <v>13.0729489371607</v>
      </c>
      <c r="AI1250">
        <v>94.550833377096396</v>
      </c>
      <c r="AJ1250">
        <v>69.809455086449304</v>
      </c>
      <c r="AK1250">
        <v>13.972930657810499</v>
      </c>
      <c r="AL1250">
        <v>79.294070505158899</v>
      </c>
      <c r="AM1250">
        <v>78.4013553736511</v>
      </c>
      <c r="AN1250">
        <v>0.99999997733094903</v>
      </c>
    </row>
    <row r="1251" spans="1:40" x14ac:dyDescent="0.25">
      <c r="A1251" t="str">
        <f>"20190312172915940"</f>
        <v>20190312172915940</v>
      </c>
      <c r="B1251" t="str">
        <f>"1552382955928569"</f>
        <v>1552382955928569</v>
      </c>
      <c r="C1251" t="s">
        <v>40</v>
      </c>
      <c r="D1251">
        <v>3.5514269999999999</v>
      </c>
      <c r="E1251">
        <v>0.56138069999999995</v>
      </c>
      <c r="F1251" t="s">
        <v>45</v>
      </c>
      <c r="G1251">
        <v>-207.73580000000001</v>
      </c>
      <c r="H1251" s="1">
        <v>-5.7007469999999997E-6</v>
      </c>
      <c r="I1251">
        <v>362.10250000000002</v>
      </c>
      <c r="J1251">
        <v>-220.95070000000001</v>
      </c>
      <c r="K1251">
        <v>1.108447</v>
      </c>
      <c r="L1251">
        <v>367.08569999999997</v>
      </c>
      <c r="M1251">
        <v>0.99987749999999997</v>
      </c>
      <c r="N1251">
        <v>0</v>
      </c>
      <c r="O1251">
        <v>-5.9434099999999997E-3</v>
      </c>
      <c r="P1251">
        <v>0.96355950000000001</v>
      </c>
      <c r="Q1251">
        <v>0.17245920000000001</v>
      </c>
      <c r="R1251">
        <v>-0.20447750000000001</v>
      </c>
      <c r="S1251">
        <v>2.927292</v>
      </c>
      <c r="T1251">
        <v>-0.242202</v>
      </c>
      <c r="U1251">
        <v>-1.0891109999999999</v>
      </c>
      <c r="V1251">
        <v>0.1995152</v>
      </c>
      <c r="W1251">
        <v>0.18558459999999999</v>
      </c>
      <c r="X1251">
        <v>0.96216009999999996</v>
      </c>
      <c r="Y1251">
        <v>0.34211599999999998</v>
      </c>
      <c r="Z1251">
        <v>-1.319846E-2</v>
      </c>
      <c r="AA1251">
        <v>0.93956499999999998</v>
      </c>
      <c r="AB1251">
        <v>32</v>
      </c>
      <c r="AC1251">
        <v>13.2149</v>
      </c>
      <c r="AD1251">
        <v>-1.108452700747</v>
      </c>
      <c r="AE1251">
        <v>-4.9831999999999503</v>
      </c>
      <c r="AF1251">
        <v>4.8745360559820901</v>
      </c>
      <c r="AG1251">
        <v>-1.108452700747</v>
      </c>
      <c r="AH1251">
        <v>13.1632043077836</v>
      </c>
      <c r="AI1251">
        <v>94.515149691521799</v>
      </c>
      <c r="AJ1251">
        <v>69.679637507462104</v>
      </c>
      <c r="AK1251">
        <v>14.080472889761801</v>
      </c>
      <c r="AL1251">
        <v>79.304782339331197</v>
      </c>
      <c r="AM1251">
        <v>78.285073524780799</v>
      </c>
      <c r="AN1251">
        <v>1.0000000084100999</v>
      </c>
    </row>
    <row r="1252" spans="1:40" x14ac:dyDescent="0.25">
      <c r="A1252" t="str">
        <f>"20190312172915951"</f>
        <v>20190312172915951</v>
      </c>
      <c r="B1252" t="str">
        <f>"1552382955948088"</f>
        <v>1552382955948088</v>
      </c>
      <c r="C1252" t="s">
        <v>40</v>
      </c>
      <c r="D1252">
        <v>3.541928</v>
      </c>
      <c r="E1252">
        <v>0.56161919999999899</v>
      </c>
      <c r="F1252" t="s">
        <v>45</v>
      </c>
      <c r="G1252">
        <v>-207.62780000000001</v>
      </c>
      <c r="H1252" s="1">
        <v>-5.6699709999999998E-6</v>
      </c>
      <c r="I1252">
        <v>362.06810000000002</v>
      </c>
      <c r="J1252">
        <v>-220.78139999999999</v>
      </c>
      <c r="K1252">
        <v>1.108258</v>
      </c>
      <c r="L1252">
        <v>367.08339999999998</v>
      </c>
      <c r="M1252">
        <v>0.99986819999999998</v>
      </c>
      <c r="N1252">
        <v>0</v>
      </c>
      <c r="O1252">
        <v>-7.3515999999999998E-3</v>
      </c>
      <c r="P1252">
        <v>0.96286260000000001</v>
      </c>
      <c r="Q1252">
        <v>0.17241689999999901</v>
      </c>
      <c r="R1252">
        <v>-0.20777090000000001</v>
      </c>
      <c r="S1252">
        <v>2.9233250000000002</v>
      </c>
      <c r="T1252">
        <v>-0.24321950000000001</v>
      </c>
      <c r="U1252">
        <v>-1.100983</v>
      </c>
      <c r="V1252">
        <v>0.20153850000000001</v>
      </c>
      <c r="W1252">
        <v>0.1854422</v>
      </c>
      <c r="X1252">
        <v>0.9617658</v>
      </c>
      <c r="Y1252">
        <v>0.34454240000000003</v>
      </c>
      <c r="Z1252">
        <v>-1.324584E-2</v>
      </c>
      <c r="AA1252">
        <v>0.93867730000000005</v>
      </c>
      <c r="AB1252">
        <v>32</v>
      </c>
      <c r="AC1252">
        <v>13.1535999999999</v>
      </c>
      <c r="AD1252">
        <v>-1.108263669971</v>
      </c>
      <c r="AE1252">
        <v>-5.0152999999999599</v>
      </c>
      <c r="AF1252">
        <v>4.8881577954240099</v>
      </c>
      <c r="AG1252">
        <v>-1.108263669971</v>
      </c>
      <c r="AH1252">
        <v>13.108870822539499</v>
      </c>
      <c r="AI1252">
        <v>94.529223903913504</v>
      </c>
      <c r="AJ1252">
        <v>69.550052288189605</v>
      </c>
      <c r="AK1252">
        <v>14.034415885143501</v>
      </c>
      <c r="AL1252">
        <v>79.313085459087404</v>
      </c>
      <c r="AM1252">
        <v>78.164890005109399</v>
      </c>
      <c r="AN1252">
        <v>1.00000001528636</v>
      </c>
    </row>
    <row r="1253" spans="1:40" x14ac:dyDescent="0.25">
      <c r="A1253" t="str">
        <f>"20190312172915963"</f>
        <v>20190312172915963</v>
      </c>
      <c r="B1253" t="str">
        <f>"1552382955958824"</f>
        <v>1552382955958824</v>
      </c>
      <c r="C1253" t="s">
        <v>40</v>
      </c>
      <c r="D1253">
        <v>3.5398559999999999</v>
      </c>
      <c r="E1253">
        <v>0.56166949999999904</v>
      </c>
      <c r="F1253" t="s">
        <v>45</v>
      </c>
      <c r="G1253">
        <v>-207.44569999999999</v>
      </c>
      <c r="H1253" s="1">
        <v>-5.6202129999999997E-6</v>
      </c>
      <c r="I1253">
        <v>361.99630000000002</v>
      </c>
      <c r="J1253">
        <v>-220.60640000000001</v>
      </c>
      <c r="K1253">
        <v>1.108066</v>
      </c>
      <c r="L1253">
        <v>367.08080000000001</v>
      </c>
      <c r="M1253">
        <v>0.99985579999999996</v>
      </c>
      <c r="N1253">
        <v>0</v>
      </c>
      <c r="O1253">
        <v>-8.8756530000000007E-3</v>
      </c>
      <c r="P1253">
        <v>0.96218340000000002</v>
      </c>
      <c r="Q1253">
        <v>0.172121</v>
      </c>
      <c r="R1253">
        <v>-0.21113460000000001</v>
      </c>
      <c r="S1253">
        <v>2.9188999999999998</v>
      </c>
      <c r="T1253">
        <v>-0.24257500000000001</v>
      </c>
      <c r="U1253">
        <v>-1.113464</v>
      </c>
      <c r="V1253">
        <v>0.20352310000000001</v>
      </c>
      <c r="W1253">
        <v>0.18504290000000001</v>
      </c>
      <c r="X1253">
        <v>0.96142470000000002</v>
      </c>
      <c r="Y1253">
        <v>0.34709050000000002</v>
      </c>
      <c r="Z1253">
        <v>-1.319993E-2</v>
      </c>
      <c r="AA1253">
        <v>0.93773879999999998</v>
      </c>
      <c r="AB1253">
        <v>32</v>
      </c>
      <c r="AC1253">
        <v>13.1607</v>
      </c>
      <c r="AD1253">
        <v>-1.1080716202130001</v>
      </c>
      <c r="AE1253">
        <v>-5.0844999999999896</v>
      </c>
      <c r="AF1253">
        <v>4.9370249640430499</v>
      </c>
      <c r="AG1253">
        <v>-1.1080716202130001</v>
      </c>
      <c r="AH1253">
        <v>13.124360511465699</v>
      </c>
      <c r="AI1253">
        <v>94.518264913621707</v>
      </c>
      <c r="AJ1253">
        <v>69.385074992179298</v>
      </c>
      <c r="AK1253">
        <v>14.0659474279561</v>
      </c>
      <c r="AL1253">
        <v>79.336366325979796</v>
      </c>
      <c r="AM1253">
        <v>78.047563475449294</v>
      </c>
      <c r="AN1253">
        <v>0.99999999042205501</v>
      </c>
    </row>
    <row r="1254" spans="1:40" x14ac:dyDescent="0.25">
      <c r="A1254" t="str">
        <f>"20190312172915975"</f>
        <v>20190312172915975</v>
      </c>
      <c r="B1254" t="str">
        <f>"1552382955968584"</f>
        <v>1552382955968584</v>
      </c>
      <c r="C1254" t="s">
        <v>40</v>
      </c>
      <c r="D1254">
        <v>3.527218</v>
      </c>
      <c r="E1254">
        <v>0.5617375</v>
      </c>
      <c r="F1254" t="s">
        <v>45</v>
      </c>
      <c r="G1254">
        <v>-207.3177</v>
      </c>
      <c r="H1254" s="1">
        <v>-5.5837239999999901E-6</v>
      </c>
      <c r="I1254">
        <v>361.95569999999998</v>
      </c>
      <c r="J1254">
        <v>-220.4323</v>
      </c>
      <c r="K1254">
        <v>1.1078749999999999</v>
      </c>
      <c r="L1254">
        <v>367.07760000000002</v>
      </c>
      <c r="M1254">
        <v>0.99983909999999998</v>
      </c>
      <c r="N1254">
        <v>0</v>
      </c>
      <c r="O1254">
        <v>-1.058368E-2</v>
      </c>
      <c r="P1254">
        <v>0.96145369999999997</v>
      </c>
      <c r="Q1254">
        <v>0.17167579999999999</v>
      </c>
      <c r="R1254">
        <v>-0.21479000000000001</v>
      </c>
      <c r="S1254">
        <v>2.9147189999999998</v>
      </c>
      <c r="T1254">
        <v>-0.2430426</v>
      </c>
      <c r="U1254">
        <v>-1.1241460000000001</v>
      </c>
      <c r="V1254">
        <v>0.20561879999999999</v>
      </c>
      <c r="W1254">
        <v>0.18449650000000001</v>
      </c>
      <c r="X1254">
        <v>0.96108380000000004</v>
      </c>
      <c r="Y1254">
        <v>0.34892610000000002</v>
      </c>
      <c r="Z1254">
        <v>-1.3171209999999999E-2</v>
      </c>
      <c r="AA1254">
        <v>0.93705769999999999</v>
      </c>
      <c r="AB1254">
        <v>32</v>
      </c>
      <c r="AC1254">
        <v>13.1145999999999</v>
      </c>
      <c r="AD1254">
        <v>-1.107880583724</v>
      </c>
      <c r="AE1254">
        <v>-5.1219000000000303</v>
      </c>
      <c r="AF1254">
        <v>4.9521346531179802</v>
      </c>
      <c r="AG1254">
        <v>-1.107880583724</v>
      </c>
      <c r="AH1254">
        <v>13.087045861894399</v>
      </c>
      <c r="AI1254">
        <v>94.526998954725101</v>
      </c>
      <c r="AJ1254">
        <v>69.273370872673695</v>
      </c>
      <c r="AK1254">
        <v>14.0364456470195</v>
      </c>
      <c r="AL1254">
        <v>79.368221971774204</v>
      </c>
      <c r="AM1254">
        <v>77.923924271287902</v>
      </c>
      <c r="AN1254">
        <v>1.0000000600240599</v>
      </c>
    </row>
    <row r="1255" spans="1:40" x14ac:dyDescent="0.25">
      <c r="A1255" t="str">
        <f>"20190312172915988"</f>
        <v>20190312172915988</v>
      </c>
      <c r="B1255" t="str">
        <f>"1552382955978345"</f>
        <v>1552382955978345</v>
      </c>
      <c r="C1255" t="s">
        <v>40</v>
      </c>
      <c r="D1255">
        <v>3.5283030000000002</v>
      </c>
      <c r="E1255">
        <v>0.56180909999999995</v>
      </c>
      <c r="F1255" t="s">
        <v>45</v>
      </c>
      <c r="G1255">
        <v>-207.23150000000001</v>
      </c>
      <c r="H1255" s="1">
        <v>-5.5599849999999999E-6</v>
      </c>
      <c r="I1255">
        <v>361.92290000000003</v>
      </c>
      <c r="J1255">
        <v>-220.25229999999999</v>
      </c>
      <c r="K1255">
        <v>1.1076919999999999</v>
      </c>
      <c r="L1255">
        <v>367.07400000000001</v>
      </c>
      <c r="M1255">
        <v>0.99981770000000003</v>
      </c>
      <c r="N1255">
        <v>0</v>
      </c>
      <c r="O1255">
        <v>-1.242411E-2</v>
      </c>
      <c r="P1255">
        <v>0.96066419999999997</v>
      </c>
      <c r="Q1255">
        <v>0.17124159999999999</v>
      </c>
      <c r="R1255">
        <v>-0.21863379999999999</v>
      </c>
      <c r="S1255">
        <v>2.9100190000000001</v>
      </c>
      <c r="T1255">
        <v>-0.24422440000000001</v>
      </c>
      <c r="U1255">
        <v>-1.1363219999999901</v>
      </c>
      <c r="V1255">
        <v>0.2077775</v>
      </c>
      <c r="W1255">
        <v>0.18395900000000001</v>
      </c>
      <c r="X1255">
        <v>0.96072239999999998</v>
      </c>
      <c r="Y1255">
        <v>0.35110380000000002</v>
      </c>
      <c r="Z1255">
        <v>-1.3184710000000001E-2</v>
      </c>
      <c r="AA1255">
        <v>0.93624370000000001</v>
      </c>
      <c r="AB1255">
        <v>32</v>
      </c>
      <c r="AC1255">
        <v>13.0207999999999</v>
      </c>
      <c r="AD1255">
        <v>-1.1076975599850001</v>
      </c>
      <c r="AE1255">
        <v>-5.15109999999998</v>
      </c>
      <c r="AF1255">
        <v>4.95788813118115</v>
      </c>
      <c r="AG1255">
        <v>-1.1076975599850001</v>
      </c>
      <c r="AH1255">
        <v>13.0024330575708</v>
      </c>
      <c r="AI1255">
        <v>94.551212652218098</v>
      </c>
      <c r="AJ1255">
        <v>69.127918620816004</v>
      </c>
      <c r="AK1255">
        <v>13.9596172591627</v>
      </c>
      <c r="AL1255">
        <v>79.399553754210501</v>
      </c>
      <c r="AM1255">
        <v>77.796469611326103</v>
      </c>
      <c r="AN1255">
        <v>0.99999996652450396</v>
      </c>
    </row>
    <row r="1256" spans="1:40" x14ac:dyDescent="0.25">
      <c r="A1256" t="str">
        <f>"20190312172916004"</f>
        <v>20190312172916004</v>
      </c>
      <c r="B1256" t="str">
        <f>"1552382955998372"</f>
        <v>1552382955998372</v>
      </c>
      <c r="C1256" t="s">
        <v>40</v>
      </c>
      <c r="D1256">
        <v>3.5313020000000002</v>
      </c>
      <c r="E1256">
        <v>0.56186899999999995</v>
      </c>
      <c r="F1256" t="s">
        <v>45</v>
      </c>
      <c r="G1256">
        <v>-207.13630000000001</v>
      </c>
      <c r="H1256" s="1">
        <v>-5.5337479999999997E-6</v>
      </c>
      <c r="I1256">
        <v>361.88679999999999</v>
      </c>
      <c r="J1256">
        <v>-220.03380000000001</v>
      </c>
      <c r="K1256">
        <v>1.1074759999999999</v>
      </c>
      <c r="L1256">
        <v>367.06920000000002</v>
      </c>
      <c r="M1256">
        <v>0.99978540000000005</v>
      </c>
      <c r="N1256">
        <v>0</v>
      </c>
      <c r="O1256">
        <v>-1.4790330000000001E-2</v>
      </c>
      <c r="P1256">
        <v>0.95932680000000004</v>
      </c>
      <c r="Q1256">
        <v>0.16979259999999999</v>
      </c>
      <c r="R1256">
        <v>-0.22552800000000001</v>
      </c>
      <c r="S1256">
        <v>2.905106</v>
      </c>
      <c r="T1256">
        <v>-0.24534819999999999</v>
      </c>
      <c r="U1256">
        <v>-1.1489259999999999</v>
      </c>
      <c r="V1256">
        <v>0.21249489999999999</v>
      </c>
      <c r="W1256">
        <v>0.1823689</v>
      </c>
      <c r="X1256">
        <v>0.95999350000000006</v>
      </c>
      <c r="Y1256">
        <v>0.35293330000000001</v>
      </c>
      <c r="Z1256">
        <v>-1.3138189999999999E-2</v>
      </c>
      <c r="AA1256">
        <v>0.93555619999999995</v>
      </c>
      <c r="AB1256">
        <v>32</v>
      </c>
      <c r="AC1256">
        <v>12.897500000000001</v>
      </c>
      <c r="AD1256">
        <v>-1.107481533748</v>
      </c>
      <c r="AE1256">
        <v>-5.1824000000000296</v>
      </c>
      <c r="AF1256">
        <v>4.9595696681966297</v>
      </c>
      <c r="AG1256">
        <v>-1.107481533748</v>
      </c>
      <c r="AH1256">
        <v>12.890910628697201</v>
      </c>
      <c r="AI1256">
        <v>94.584295857516295</v>
      </c>
      <c r="AJ1256">
        <v>68.956576360065199</v>
      </c>
      <c r="AK1256">
        <v>13.8563856571022</v>
      </c>
      <c r="AL1256">
        <v>79.492228061062207</v>
      </c>
      <c r="AM1256">
        <v>77.518804706636502</v>
      </c>
      <c r="AN1256">
        <v>1.0000000091277299</v>
      </c>
    </row>
    <row r="1257" spans="1:40" x14ac:dyDescent="0.25">
      <c r="A1257" t="str">
        <f>"20190312172916017"</f>
        <v>20190312172916017</v>
      </c>
      <c r="B1257" t="str">
        <f>"1552382956008133"</f>
        <v>1552382956008133</v>
      </c>
      <c r="C1257" t="s">
        <v>40</v>
      </c>
      <c r="D1257">
        <v>3.4988459999999999</v>
      </c>
      <c r="E1257">
        <v>0.56185220000000002</v>
      </c>
      <c r="F1257" t="s">
        <v>45</v>
      </c>
      <c r="G1257">
        <v>-207.20509999999999</v>
      </c>
      <c r="H1257" s="1">
        <v>-5.5572489999999998E-6</v>
      </c>
      <c r="I1257">
        <v>361.88380000000001</v>
      </c>
      <c r="J1257">
        <v>-219.83090000000001</v>
      </c>
      <c r="K1257">
        <v>1.107302</v>
      </c>
      <c r="L1257">
        <v>367.06380000000001</v>
      </c>
      <c r="M1257">
        <v>0.99974750000000001</v>
      </c>
      <c r="N1257">
        <v>0</v>
      </c>
      <c r="O1257">
        <v>-1.7163379999999999E-2</v>
      </c>
      <c r="P1257">
        <v>0.95833190000000001</v>
      </c>
      <c r="Q1257">
        <v>0.16941879999999901</v>
      </c>
      <c r="R1257">
        <v>-0.22999559999999999</v>
      </c>
      <c r="S1257">
        <v>2.8962249999999998</v>
      </c>
      <c r="T1257">
        <v>-0.2500269</v>
      </c>
      <c r="U1257">
        <v>-1.1706540000000001</v>
      </c>
      <c r="V1257">
        <v>0.2147683</v>
      </c>
      <c r="W1257">
        <v>0.18188969999999999</v>
      </c>
      <c r="X1257">
        <v>0.95957840000000005</v>
      </c>
      <c r="Y1257">
        <v>0.35768850000000002</v>
      </c>
      <c r="Z1257">
        <v>-1.3408720000000001E-2</v>
      </c>
      <c r="AA1257">
        <v>0.93374469999999998</v>
      </c>
      <c r="AB1257">
        <v>32</v>
      </c>
      <c r="AC1257">
        <v>12.6258</v>
      </c>
      <c r="AD1257">
        <v>-1.1073075572490001</v>
      </c>
      <c r="AE1257">
        <v>-5.18</v>
      </c>
      <c r="AF1257">
        <v>4.93005565614052</v>
      </c>
      <c r="AG1257">
        <v>-1.1073075572490001</v>
      </c>
      <c r="AH1257">
        <v>12.6297079385752</v>
      </c>
      <c r="AI1257">
        <v>94.669147439715402</v>
      </c>
      <c r="AJ1257">
        <v>68.676618844990401</v>
      </c>
      <c r="AK1257">
        <v>13.6029813428047</v>
      </c>
      <c r="AL1257">
        <v>79.5201510827048</v>
      </c>
      <c r="AM1257">
        <v>77.384241991309807</v>
      </c>
      <c r="AN1257">
        <v>0.99999999569876996</v>
      </c>
    </row>
    <row r="1258" spans="1:40" x14ac:dyDescent="0.25">
      <c r="A1258" t="str">
        <f>"20190312172916037"</f>
        <v>20190312172916037</v>
      </c>
      <c r="B1258" t="str">
        <f>"1552382956028628"</f>
        <v>1552382956028628</v>
      </c>
      <c r="C1258" t="s">
        <v>40</v>
      </c>
      <c r="D1258">
        <v>3.4906760000000001</v>
      </c>
      <c r="E1258">
        <v>0.56180289999999999</v>
      </c>
      <c r="F1258" t="s">
        <v>45</v>
      </c>
      <c r="G1258">
        <v>-207.1069</v>
      </c>
      <c r="H1258" s="1">
        <v>-5.5295360000000003E-6</v>
      </c>
      <c r="I1258">
        <v>361.85079999999999</v>
      </c>
      <c r="J1258">
        <v>-219.5566</v>
      </c>
      <c r="K1258">
        <v>1.1070879999999901</v>
      </c>
      <c r="L1258">
        <v>367.05579999999998</v>
      </c>
      <c r="M1258">
        <v>0.99968420000000002</v>
      </c>
      <c r="N1258">
        <v>0</v>
      </c>
      <c r="O1258">
        <v>-2.0511830000000002E-2</v>
      </c>
      <c r="P1258">
        <v>0.95643940000000005</v>
      </c>
      <c r="Q1258">
        <v>0.16888800000000001</v>
      </c>
      <c r="R1258">
        <v>-0.2381191</v>
      </c>
      <c r="S1258">
        <v>2.890717</v>
      </c>
      <c r="T1258">
        <v>-0.25156509999999999</v>
      </c>
      <c r="U1258">
        <v>-1.184326</v>
      </c>
      <c r="V1258">
        <v>0.2197952</v>
      </c>
      <c r="W1258">
        <v>0.18120420000000001</v>
      </c>
      <c r="X1258">
        <v>0.95856929999999996</v>
      </c>
      <c r="Y1258">
        <v>0.3589599</v>
      </c>
      <c r="Z1258">
        <v>-1.327715E-2</v>
      </c>
      <c r="AA1258">
        <v>0.93325860000000005</v>
      </c>
      <c r="AB1258">
        <v>32</v>
      </c>
      <c r="AC1258">
        <v>12.4497</v>
      </c>
      <c r="AD1258">
        <v>-1.1070935295359901</v>
      </c>
      <c r="AE1258">
        <v>-5.2049999999999796</v>
      </c>
      <c r="AF1258">
        <v>4.9154251595863796</v>
      </c>
      <c r="AG1258">
        <v>-1.1070935295359901</v>
      </c>
      <c r="AH1258">
        <v>12.469918539790401</v>
      </c>
      <c r="AI1258">
        <v>94.721676495159102</v>
      </c>
      <c r="AJ1258">
        <v>68.486502998409193</v>
      </c>
      <c r="AK1258">
        <v>13.449383962533201</v>
      </c>
      <c r="AL1258">
        <v>79.560091070627493</v>
      </c>
      <c r="AM1258">
        <v>77.085602482335105</v>
      </c>
      <c r="AN1258">
        <v>0.99999999747158397</v>
      </c>
    </row>
    <row r="1259" spans="1:40" x14ac:dyDescent="0.25">
      <c r="A1259" t="str">
        <f>"20190312172916049"</f>
        <v>20190312172916049</v>
      </c>
      <c r="B1259" t="str">
        <f>"1552382956038389"</f>
        <v>1552382956038389</v>
      </c>
      <c r="C1259" t="s">
        <v>40</v>
      </c>
      <c r="D1259">
        <v>3.4916999999999998</v>
      </c>
      <c r="E1259">
        <v>0.5617953</v>
      </c>
      <c r="F1259" t="s">
        <v>45</v>
      </c>
      <c r="G1259">
        <v>-206.90979999999999</v>
      </c>
      <c r="H1259" s="1">
        <v>-5.4805560000000001E-6</v>
      </c>
      <c r="I1259">
        <v>361.74180000000001</v>
      </c>
      <c r="J1259">
        <v>-219.3751</v>
      </c>
      <c r="K1259">
        <v>1.106962</v>
      </c>
      <c r="L1259">
        <v>367.05</v>
      </c>
      <c r="M1259">
        <v>0.99963409999999997</v>
      </c>
      <c r="N1259">
        <v>0</v>
      </c>
      <c r="O1259">
        <v>-2.2820469999999999E-2</v>
      </c>
      <c r="P1259">
        <v>0.95519980000000004</v>
      </c>
      <c r="Q1259">
        <v>0.16883489999999901</v>
      </c>
      <c r="R1259">
        <v>-0.24308099999999999</v>
      </c>
      <c r="S1259">
        <v>2.879883</v>
      </c>
      <c r="T1259">
        <v>-0.25210290000000002</v>
      </c>
      <c r="U1259">
        <v>-1.210083</v>
      </c>
      <c r="V1259">
        <v>0.22261900000000001</v>
      </c>
      <c r="W1259">
        <v>0.18105689999999999</v>
      </c>
      <c r="X1259">
        <v>0.9579453</v>
      </c>
      <c r="Y1259">
        <v>0.36512519999999998</v>
      </c>
      <c r="Z1259">
        <v>-1.339508E-2</v>
      </c>
      <c r="AA1259">
        <v>0.93086199999999997</v>
      </c>
      <c r="AB1259">
        <v>32</v>
      </c>
      <c r="AC1259">
        <v>12.465299999999999</v>
      </c>
      <c r="AD1259">
        <v>-1.1069674805559999</v>
      </c>
      <c r="AE1259">
        <v>-5.3081999999999896</v>
      </c>
      <c r="AF1259">
        <v>4.9890186647607297</v>
      </c>
      <c r="AG1259">
        <v>-1.1069674805559999</v>
      </c>
      <c r="AH1259">
        <v>12.499758150911299</v>
      </c>
      <c r="AI1259">
        <v>94.701979327168203</v>
      </c>
      <c r="AJ1259">
        <v>68.241614007437704</v>
      </c>
      <c r="AK1259">
        <v>13.504060058797601</v>
      </c>
      <c r="AL1259">
        <v>79.568672808530806</v>
      </c>
      <c r="AM1259">
        <v>76.9171279731911</v>
      </c>
      <c r="AN1259">
        <v>1.00000000899535</v>
      </c>
    </row>
    <row r="1260" spans="1:40" x14ac:dyDescent="0.25">
      <c r="A1260" t="str">
        <f>"20190312172916060"</f>
        <v>20190312172916060</v>
      </c>
      <c r="B1260" t="str">
        <f>"1552382956058885"</f>
        <v>1552382956058885</v>
      </c>
      <c r="C1260" t="s">
        <v>40</v>
      </c>
      <c r="D1260">
        <v>3.5011320000000001</v>
      </c>
      <c r="E1260">
        <v>0.56181999999999999</v>
      </c>
      <c r="F1260" t="s">
        <v>45</v>
      </c>
      <c r="G1260">
        <v>-206.75319999999999</v>
      </c>
      <c r="H1260" s="1">
        <v>-5.440069E-6</v>
      </c>
      <c r="I1260">
        <v>361.66559999999998</v>
      </c>
      <c r="J1260">
        <v>-219.20089999999999</v>
      </c>
      <c r="K1260">
        <v>1.1068499999999999</v>
      </c>
      <c r="L1260">
        <v>367.04390000000001</v>
      </c>
      <c r="M1260">
        <v>0.99957969999999896</v>
      </c>
      <c r="N1260">
        <v>0</v>
      </c>
      <c r="O1260">
        <v>-2.5091579999999999E-2</v>
      </c>
      <c r="P1260">
        <v>0.9539647</v>
      </c>
      <c r="Q1260">
        <v>0.16875760000000001</v>
      </c>
      <c r="R1260">
        <v>-0.24793670000000001</v>
      </c>
      <c r="S1260">
        <v>2.8733219999999999</v>
      </c>
      <c r="T1260">
        <v>-0.2519979</v>
      </c>
      <c r="U1260">
        <v>-1.2257389999999999</v>
      </c>
      <c r="V1260">
        <v>0.22536990000000001</v>
      </c>
      <c r="W1260">
        <v>0.18089230000000001</v>
      </c>
      <c r="X1260">
        <v>0.95733299999999999</v>
      </c>
      <c r="Y1260">
        <v>0.36806480000000003</v>
      </c>
      <c r="Z1260">
        <v>-1.333729E-2</v>
      </c>
      <c r="AA1260">
        <v>0.92970450000000004</v>
      </c>
      <c r="AB1260">
        <v>32</v>
      </c>
      <c r="AC1260">
        <v>12.4476999999999</v>
      </c>
      <c r="AD1260">
        <v>-1.1068554400689901</v>
      </c>
      <c r="AE1260">
        <v>-5.3783000000000198</v>
      </c>
      <c r="AF1260">
        <v>5.0307213927795704</v>
      </c>
      <c r="AG1260">
        <v>-1.1068554400689901</v>
      </c>
      <c r="AH1260">
        <v>12.4954873351525</v>
      </c>
      <c r="AI1260">
        <v>94.697491353285997</v>
      </c>
      <c r="AJ1260">
        <v>68.070133491815596</v>
      </c>
      <c r="AK1260">
        <v>13.5155647473547</v>
      </c>
      <c r="AL1260">
        <v>79.578262406949094</v>
      </c>
      <c r="AM1260">
        <v>76.752954303754805</v>
      </c>
      <c r="AN1260">
        <v>1.00000004445714</v>
      </c>
    </row>
    <row r="1261" spans="1:40" x14ac:dyDescent="0.25">
      <c r="A1261" t="str">
        <f>"20190312172916073"</f>
        <v>20190312172916073</v>
      </c>
      <c r="B1261" t="str">
        <f>"1552382956068644"</f>
        <v>1552382956068644</v>
      </c>
      <c r="C1261" t="s">
        <v>40</v>
      </c>
      <c r="D1261">
        <v>3.4847959999999998</v>
      </c>
      <c r="E1261">
        <v>0.56179789999999996</v>
      </c>
      <c r="F1261" t="s">
        <v>45</v>
      </c>
      <c r="G1261">
        <v>-206.62819999999999</v>
      </c>
      <c r="H1261" s="1">
        <v>-5.4081879999999998E-6</v>
      </c>
      <c r="I1261">
        <v>361.60169999999999</v>
      </c>
      <c r="J1261">
        <v>-219.0307</v>
      </c>
      <c r="K1261">
        <v>1.1067530000000001</v>
      </c>
      <c r="L1261">
        <v>367.03739999999999</v>
      </c>
      <c r="M1261">
        <v>0.99951920000000005</v>
      </c>
      <c r="N1261">
        <v>0</v>
      </c>
      <c r="O1261">
        <v>-2.7386879999999999E-2</v>
      </c>
      <c r="P1261">
        <v>0.95255540000000005</v>
      </c>
      <c r="Q1261">
        <v>0.16903660000000001</v>
      </c>
      <c r="R1261">
        <v>-0.25311080000000002</v>
      </c>
      <c r="S1261">
        <v>2.8669129999999998</v>
      </c>
      <c r="T1261">
        <v>-0.25239210000000001</v>
      </c>
      <c r="U1261">
        <v>-1.2409669999999999</v>
      </c>
      <c r="V1261">
        <v>0.22842100000000001</v>
      </c>
      <c r="W1261">
        <v>0.18108550000000001</v>
      </c>
      <c r="X1261">
        <v>0.95657300000000001</v>
      </c>
      <c r="Y1261">
        <v>0.37083949999999999</v>
      </c>
      <c r="Z1261">
        <v>-1.3296290000000001E-2</v>
      </c>
      <c r="AA1261">
        <v>0.92860180000000003</v>
      </c>
      <c r="AB1261">
        <v>32</v>
      </c>
      <c r="AC1261">
        <v>12.4025</v>
      </c>
      <c r="AD1261">
        <v>-1.106758408188</v>
      </c>
      <c r="AE1261">
        <v>-5.43569999999999</v>
      </c>
      <c r="AF1261">
        <v>5.0601568791536797</v>
      </c>
      <c r="AG1261">
        <v>-1.106758408188</v>
      </c>
      <c r="AH1261">
        <v>12.463472847083301</v>
      </c>
      <c r="AI1261">
        <v>94.703563595576298</v>
      </c>
      <c r="AJ1261">
        <v>67.902899234550006</v>
      </c>
      <c r="AK1261">
        <v>13.4969721502908</v>
      </c>
      <c r="AL1261">
        <v>79.567006595789593</v>
      </c>
      <c r="AM1261">
        <v>76.569783899868</v>
      </c>
      <c r="AN1261">
        <v>1.0000000079401199</v>
      </c>
    </row>
    <row r="1262" spans="1:40" x14ac:dyDescent="0.25">
      <c r="A1262" t="str">
        <f>"20190312172916086"</f>
        <v>20190312172916086</v>
      </c>
      <c r="B1262" t="str">
        <f>"1552382956078405"</f>
        <v>1552382956078405</v>
      </c>
      <c r="C1262" t="s">
        <v>40</v>
      </c>
      <c r="D1262">
        <v>3.5007809999999999</v>
      </c>
      <c r="E1262">
        <v>0.56180319999999995</v>
      </c>
      <c r="F1262" t="s">
        <v>45</v>
      </c>
      <c r="G1262">
        <v>-206.41370000000001</v>
      </c>
      <c r="H1262" s="1">
        <v>-5.3533190000000004E-6</v>
      </c>
      <c r="I1262">
        <v>361.49329999999998</v>
      </c>
      <c r="J1262">
        <v>-218.85210000000001</v>
      </c>
      <c r="K1262">
        <v>1.1066560000000001</v>
      </c>
      <c r="L1262">
        <v>367.03030000000001</v>
      </c>
      <c r="M1262">
        <v>0.99944949999999999</v>
      </c>
      <c r="N1262">
        <v>0</v>
      </c>
      <c r="O1262">
        <v>-2.9824549999999998E-2</v>
      </c>
      <c r="P1262">
        <v>0.95099679999999998</v>
      </c>
      <c r="Q1262">
        <v>0.1697012</v>
      </c>
      <c r="R1262">
        <v>-0.25847039999999999</v>
      </c>
      <c r="S1262">
        <v>2.859985</v>
      </c>
      <c r="T1262">
        <v>-0.25087690000000001</v>
      </c>
      <c r="U1262">
        <v>-1.2567440000000001</v>
      </c>
      <c r="V1262">
        <v>0.23153360000000001</v>
      </c>
      <c r="W1262">
        <v>0.1816604</v>
      </c>
      <c r="X1262">
        <v>0.95571519999999999</v>
      </c>
      <c r="Y1262">
        <v>0.37370619999999999</v>
      </c>
      <c r="Z1262">
        <v>-1.3148730000000001E-2</v>
      </c>
      <c r="AA1262">
        <v>0.92745390000000005</v>
      </c>
      <c r="AB1262">
        <v>32</v>
      </c>
      <c r="AC1262">
        <v>12.4384</v>
      </c>
      <c r="AD1262">
        <v>-1.106661353319</v>
      </c>
      <c r="AE1262">
        <v>-5.5370000000000301</v>
      </c>
      <c r="AF1262">
        <v>5.1296374727122602</v>
      </c>
      <c r="AG1262">
        <v>-1.106661353319</v>
      </c>
      <c r="AH1262">
        <v>12.515336426487099</v>
      </c>
      <c r="AI1262">
        <v>94.677444444071796</v>
      </c>
      <c r="AJ1262">
        <v>67.712839670478402</v>
      </c>
      <c r="AK1262">
        <v>13.5709810190914</v>
      </c>
      <c r="AL1262">
        <v>79.533510853427103</v>
      </c>
      <c r="AM1262">
        <v>76.381778252510003</v>
      </c>
      <c r="AN1262">
        <v>0.99999992618407696</v>
      </c>
    </row>
    <row r="1263" spans="1:40" x14ac:dyDescent="0.25">
      <c r="A1263" t="str">
        <f>"20190312172916097"</f>
        <v>20190312172916097</v>
      </c>
      <c r="B1263" t="str">
        <f>"1552382956088164"</f>
        <v>1552382956088164</v>
      </c>
      <c r="C1263" t="s">
        <v>40</v>
      </c>
      <c r="D1263">
        <v>3.4551530000000001</v>
      </c>
      <c r="E1263">
        <v>0.56170050000000005</v>
      </c>
      <c r="F1263" t="s">
        <v>45</v>
      </c>
      <c r="G1263">
        <v>-206.1464</v>
      </c>
      <c r="H1263" s="1">
        <v>-5.2848739999999997E-6</v>
      </c>
      <c r="I1263">
        <v>361.35860000000002</v>
      </c>
      <c r="J1263">
        <v>-218.6764</v>
      </c>
      <c r="K1263">
        <v>1.1065700000000001</v>
      </c>
      <c r="L1263">
        <v>367.02269999999999</v>
      </c>
      <c r="M1263">
        <v>0.99937299999999996</v>
      </c>
      <c r="N1263">
        <v>0</v>
      </c>
      <c r="O1263">
        <v>-3.2284010000000002E-2</v>
      </c>
      <c r="P1263">
        <v>0.94949139999999999</v>
      </c>
      <c r="Q1263">
        <v>0.16985510000000001</v>
      </c>
      <c r="R1263">
        <v>-0.26384679999999999</v>
      </c>
      <c r="S1263">
        <v>2.8527830000000001</v>
      </c>
      <c r="T1263">
        <v>-0.24847559999999999</v>
      </c>
      <c r="U1263">
        <v>-1.273468</v>
      </c>
      <c r="V1263">
        <v>0.2346366</v>
      </c>
      <c r="W1263">
        <v>0.1817307</v>
      </c>
      <c r="X1263">
        <v>0.95494480000000004</v>
      </c>
      <c r="Y1263">
        <v>0.37684529999999999</v>
      </c>
      <c r="Z1263">
        <v>-1.296546E-2</v>
      </c>
      <c r="AA1263">
        <v>0.92618549999999999</v>
      </c>
      <c r="AB1263">
        <v>32</v>
      </c>
      <c r="AC1263">
        <v>12.53</v>
      </c>
      <c r="AD1263">
        <v>-1.106575284874</v>
      </c>
      <c r="AE1263">
        <v>-5.6640999999999604</v>
      </c>
      <c r="AF1263">
        <v>5.2227626550999604</v>
      </c>
      <c r="AG1263">
        <v>-1.106575284874</v>
      </c>
      <c r="AH1263">
        <v>12.624589002303001</v>
      </c>
      <c r="AI1263">
        <v>94.630563917480302</v>
      </c>
      <c r="AJ1263">
        <v>67.525235870586002</v>
      </c>
      <c r="AK1263">
        <v>13.7070057302706</v>
      </c>
      <c r="AL1263">
        <v>79.529415309750306</v>
      </c>
      <c r="AM1263">
        <v>76.195492504374101</v>
      </c>
      <c r="AN1263">
        <v>0.99999997621454395</v>
      </c>
    </row>
    <row r="1264" spans="1:40" x14ac:dyDescent="0.25">
      <c r="A1264" t="str">
        <f>"20190312172916109"</f>
        <v>20190312172916109</v>
      </c>
      <c r="B1264" t="str">
        <f>"1552382956098901"</f>
        <v>1552382956098901</v>
      </c>
      <c r="C1264" t="s">
        <v>40</v>
      </c>
      <c r="D1264">
        <v>3.4727239999999999</v>
      </c>
      <c r="E1264">
        <v>0.56159729999999997</v>
      </c>
      <c r="F1264" t="s">
        <v>45</v>
      </c>
      <c r="G1264">
        <v>-205.98310000000001</v>
      </c>
      <c r="H1264" s="1">
        <v>-5.243628E-6</v>
      </c>
      <c r="I1264">
        <v>361.27269999999999</v>
      </c>
      <c r="J1264">
        <v>-218.5104</v>
      </c>
      <c r="K1264">
        <v>1.1064929999999999</v>
      </c>
      <c r="L1264">
        <v>367.01519999999999</v>
      </c>
      <c r="M1264">
        <v>0.99929420000000002</v>
      </c>
      <c r="N1264">
        <v>0</v>
      </c>
      <c r="O1264">
        <v>-3.4639709999999997E-2</v>
      </c>
      <c r="P1264">
        <v>0.94801170000000001</v>
      </c>
      <c r="Q1264">
        <v>0.17023450000000001</v>
      </c>
      <c r="R1264">
        <v>-0.26887490000000003</v>
      </c>
      <c r="S1264">
        <v>2.845764</v>
      </c>
      <c r="T1264">
        <v>-0.24808759999999999</v>
      </c>
      <c r="U1264">
        <v>-1.2891239999999999</v>
      </c>
      <c r="V1264">
        <v>0.2374927</v>
      </c>
      <c r="W1264">
        <v>0.18203269999999999</v>
      </c>
      <c r="X1264">
        <v>0.95418099999999995</v>
      </c>
      <c r="Y1264">
        <v>0.37974750000000002</v>
      </c>
      <c r="Z1264">
        <v>-1.28862E-2</v>
      </c>
      <c r="AA1264">
        <v>0.92500039999999994</v>
      </c>
      <c r="AB1264">
        <v>32</v>
      </c>
      <c r="AC1264">
        <v>12.527299999999901</v>
      </c>
      <c r="AD1264">
        <v>-1.106498243628</v>
      </c>
      <c r="AE1264">
        <v>-5.7424999999999997</v>
      </c>
      <c r="AF1264">
        <v>5.27108269477423</v>
      </c>
      <c r="AG1264">
        <v>-1.106498243628</v>
      </c>
      <c r="AH1264">
        <v>12.637248113416399</v>
      </c>
      <c r="AI1264">
        <v>94.620065653375804</v>
      </c>
      <c r="AJ1264">
        <v>67.358648854438499</v>
      </c>
      <c r="AK1264">
        <v>13.737128193998499</v>
      </c>
      <c r="AL1264">
        <v>79.511819084626197</v>
      </c>
      <c r="AM1264">
        <v>76.023256707333204</v>
      </c>
      <c r="AN1264">
        <v>1.00000003359178</v>
      </c>
    </row>
    <row r="1265" spans="1:40" x14ac:dyDescent="0.25">
      <c r="A1265" t="str">
        <f>"20190312172916121"</f>
        <v>20190312172916121</v>
      </c>
      <c r="B1265" t="str">
        <f>"1552382956118421"</f>
        <v>1552382956118421</v>
      </c>
      <c r="C1265" t="s">
        <v>40</v>
      </c>
      <c r="D1265">
        <v>3.4709850000000002</v>
      </c>
      <c r="E1265">
        <v>0.56147599999999998</v>
      </c>
      <c r="F1265" t="s">
        <v>45</v>
      </c>
      <c r="G1265">
        <v>-205.77610000000001</v>
      </c>
      <c r="H1265" s="1">
        <v>-5.1897700000000003E-6</v>
      </c>
      <c r="I1265">
        <v>361.16750000000002</v>
      </c>
      <c r="J1265">
        <v>-218.34039999999999</v>
      </c>
      <c r="K1265">
        <v>1.1064210000000001</v>
      </c>
      <c r="L1265">
        <v>367.00709999999998</v>
      </c>
      <c r="M1265">
        <v>0.9992065</v>
      </c>
      <c r="N1265">
        <v>0</v>
      </c>
      <c r="O1265">
        <v>-3.707916E-2</v>
      </c>
      <c r="P1265">
        <v>0.94646019999999997</v>
      </c>
      <c r="Q1265">
        <v>0.1706819</v>
      </c>
      <c r="R1265">
        <v>-0.27400869999999999</v>
      </c>
      <c r="S1265">
        <v>2.8390659999999999</v>
      </c>
      <c r="T1265">
        <v>-0.24668880000000001</v>
      </c>
      <c r="U1265">
        <v>-1.3037110000000001</v>
      </c>
      <c r="V1265">
        <v>0.2403805</v>
      </c>
      <c r="W1265">
        <v>0.18240310000000001</v>
      </c>
      <c r="X1265">
        <v>0.95338679999999998</v>
      </c>
      <c r="Y1265">
        <v>0.38225189999999998</v>
      </c>
      <c r="Z1265">
        <v>-1.27311E-2</v>
      </c>
      <c r="AA1265">
        <v>0.92397050000000003</v>
      </c>
      <c r="AB1265">
        <v>32</v>
      </c>
      <c r="AC1265">
        <v>12.5642999999999</v>
      </c>
      <c r="AD1265">
        <v>-1.1064261897699901</v>
      </c>
      <c r="AE1265">
        <v>-5.8395999999999599</v>
      </c>
      <c r="AF1265">
        <v>5.3356342011735602</v>
      </c>
      <c r="AG1265">
        <v>-1.1064261897699901</v>
      </c>
      <c r="AH1265">
        <v>12.6912739840811</v>
      </c>
      <c r="AI1265">
        <v>94.594784974169997</v>
      </c>
      <c r="AJ1265">
        <v>67.1972612423492</v>
      </c>
      <c r="AK1265">
        <v>13.8116474969917</v>
      </c>
      <c r="AL1265">
        <v>79.490235371988604</v>
      </c>
      <c r="AM1265">
        <v>75.848778655232294</v>
      </c>
      <c r="AN1265">
        <v>1.00000003304204</v>
      </c>
    </row>
    <row r="1266" spans="1:40" x14ac:dyDescent="0.25">
      <c r="A1266" t="str">
        <f>"20190312172916134"</f>
        <v>20190312172916134</v>
      </c>
      <c r="B1266" t="str">
        <f>"1552382956128181"</f>
        <v>1552382956128181</v>
      </c>
      <c r="C1266" t="s">
        <v>40</v>
      </c>
      <c r="D1266">
        <v>3.4434960000000001</v>
      </c>
      <c r="E1266">
        <v>0.55708829999999998</v>
      </c>
      <c r="F1266" t="s">
        <v>45</v>
      </c>
      <c r="G1266">
        <v>-205.5531</v>
      </c>
      <c r="H1266" s="1">
        <v>-5.1112049999999998E-6</v>
      </c>
      <c r="I1266">
        <v>361.05349999999999</v>
      </c>
      <c r="J1266">
        <v>-218.15809999999999</v>
      </c>
      <c r="K1266">
        <v>1.1063510000000001</v>
      </c>
      <c r="L1266">
        <v>366.99770000000001</v>
      </c>
      <c r="M1266">
        <v>0.99910410000000005</v>
      </c>
      <c r="N1266">
        <v>0</v>
      </c>
      <c r="O1266">
        <v>-3.9742850000000003E-2</v>
      </c>
      <c r="P1266">
        <v>0.94484979999999996</v>
      </c>
      <c r="Q1266">
        <v>0.1711066</v>
      </c>
      <c r="R1266">
        <v>-0.27925149999999999</v>
      </c>
      <c r="S1266">
        <v>2.8321689999999999</v>
      </c>
      <c r="T1266">
        <v>-0.24505479999999999</v>
      </c>
      <c r="U1266">
        <v>-1.3186340000000001</v>
      </c>
      <c r="V1266">
        <v>0.24316850000000001</v>
      </c>
      <c r="W1266">
        <v>0.18275330000000001</v>
      </c>
      <c r="X1266">
        <v>0.95261229999999997</v>
      </c>
      <c r="Y1266">
        <v>0.3846639</v>
      </c>
      <c r="Z1266">
        <v>-1.2543E-2</v>
      </c>
      <c r="AA1266">
        <v>0.92297149999999994</v>
      </c>
      <c r="AB1266">
        <v>32</v>
      </c>
      <c r="AC1266">
        <v>12.604999999999899</v>
      </c>
      <c r="AD1266">
        <v>-1.106356111205</v>
      </c>
      <c r="AE1266">
        <v>-5.9442000000000199</v>
      </c>
      <c r="AF1266">
        <v>5.4044309471310203</v>
      </c>
      <c r="AG1266">
        <v>-1.106356111205</v>
      </c>
      <c r="AH1266">
        <v>12.7509437504202</v>
      </c>
      <c r="AI1266">
        <v>94.567496536689603</v>
      </c>
      <c r="AJ1266">
        <v>67.030556085441305</v>
      </c>
      <c r="AK1266">
        <v>13.8931085158609</v>
      </c>
      <c r="AL1266">
        <v>79.469826379711606</v>
      </c>
      <c r="AM1266">
        <v>75.680197143795297</v>
      </c>
      <c r="AN1266">
        <v>0.99999994108221302</v>
      </c>
    </row>
    <row r="1267" spans="1:40" x14ac:dyDescent="0.25">
      <c r="A1267" t="str">
        <f>"20190312172916148"</f>
        <v>20190312172916148</v>
      </c>
      <c r="B1267" t="str">
        <f>"1552382956138917"</f>
        <v>1552382956138917</v>
      </c>
      <c r="C1267" t="s">
        <v>40</v>
      </c>
      <c r="D1267">
        <v>3.4521510000000002</v>
      </c>
      <c r="E1267">
        <v>0.55646269999999998</v>
      </c>
      <c r="F1267" t="s">
        <v>45</v>
      </c>
      <c r="G1267">
        <v>-204.96469999999999</v>
      </c>
      <c r="H1267" s="1">
        <v>-4.8608960000000002E-6</v>
      </c>
      <c r="I1267">
        <v>360.9402</v>
      </c>
      <c r="J1267">
        <v>-217.95760000000001</v>
      </c>
      <c r="K1267">
        <v>1.106279</v>
      </c>
      <c r="L1267">
        <v>366.98700000000002</v>
      </c>
      <c r="M1267">
        <v>0.99898200000000004</v>
      </c>
      <c r="N1267">
        <v>0</v>
      </c>
      <c r="O1267">
        <v>-4.2698800000000002E-2</v>
      </c>
      <c r="P1267">
        <v>0.94245029999999996</v>
      </c>
      <c r="Q1267">
        <v>0.17150650000000001</v>
      </c>
      <c r="R1267">
        <v>-0.28700710000000001</v>
      </c>
      <c r="S1267">
        <v>2.8335880000000002</v>
      </c>
      <c r="T1267">
        <v>-0.2376161</v>
      </c>
      <c r="U1267">
        <v>-1.3009949999999999</v>
      </c>
      <c r="V1267">
        <v>0.2482277</v>
      </c>
      <c r="W1267">
        <v>0.18304680000000001</v>
      </c>
      <c r="X1267">
        <v>0.95125020000000005</v>
      </c>
      <c r="Y1267">
        <v>0.37710159999999998</v>
      </c>
      <c r="Z1267">
        <v>-1.163692E-2</v>
      </c>
      <c r="AA1267">
        <v>0.9260988</v>
      </c>
      <c r="AB1267">
        <v>32</v>
      </c>
      <c r="AC1267">
        <v>12.992900000000001</v>
      </c>
      <c r="AD1267">
        <v>-1.1062838608959999</v>
      </c>
      <c r="AE1267">
        <v>-6.0467999999999602</v>
      </c>
      <c r="AF1267">
        <v>5.45394380643621</v>
      </c>
      <c r="AG1267">
        <v>-1.1062838608959999</v>
      </c>
      <c r="AH1267">
        <v>13.1608402570021</v>
      </c>
      <c r="AI1267">
        <v>94.440384087716495</v>
      </c>
      <c r="AJ1267">
        <v>67.490542517812003</v>
      </c>
      <c r="AK1267">
        <v>14.2890546676458</v>
      </c>
      <c r="AL1267">
        <v>79.452722509919994</v>
      </c>
      <c r="AM1267">
        <v>75.374869796487999</v>
      </c>
      <c r="AN1267">
        <v>1.0000000325187799</v>
      </c>
    </row>
    <row r="1268" spans="1:40" x14ac:dyDescent="0.25">
      <c r="A1268" t="str">
        <f>"20190312172916160"</f>
        <v>20190312172916160</v>
      </c>
      <c r="B1268" t="str">
        <f>"1552382956148677"</f>
        <v>1552382956148677</v>
      </c>
      <c r="C1268" t="s">
        <v>40</v>
      </c>
      <c r="D1268">
        <v>3.4737680000000002</v>
      </c>
      <c r="E1268">
        <v>0.55612519999999999</v>
      </c>
      <c r="F1268" t="s">
        <v>45</v>
      </c>
      <c r="G1268">
        <v>-204.71619999999999</v>
      </c>
      <c r="H1268" s="1">
        <v>-4.7685080000000004E-6</v>
      </c>
      <c r="I1268">
        <v>360.7928</v>
      </c>
      <c r="J1268">
        <v>-217.78729999999999</v>
      </c>
      <c r="K1268">
        <v>1.106222</v>
      </c>
      <c r="L1268">
        <v>366.97730000000001</v>
      </c>
      <c r="M1268">
        <v>0.99887029999999999</v>
      </c>
      <c r="N1268">
        <v>0</v>
      </c>
      <c r="O1268">
        <v>-4.5238359999999998E-2</v>
      </c>
      <c r="P1268">
        <v>0.94105450000000002</v>
      </c>
      <c r="Q1268">
        <v>0.17142289999999999</v>
      </c>
      <c r="R1268">
        <v>-0.29160029999999998</v>
      </c>
      <c r="S1268">
        <v>2.8238829999999999</v>
      </c>
      <c r="T1268">
        <v>-0.23592750000000001</v>
      </c>
      <c r="U1268">
        <v>-1.3209839999999999</v>
      </c>
      <c r="V1268">
        <v>0.25047750000000002</v>
      </c>
      <c r="W1268">
        <v>0.18290239999999999</v>
      </c>
      <c r="X1268">
        <v>0.95068810000000004</v>
      </c>
      <c r="Y1268">
        <v>0.38134980000000002</v>
      </c>
      <c r="Z1268">
        <v>-1.154237E-2</v>
      </c>
      <c r="AA1268">
        <v>0.92435869999999998</v>
      </c>
      <c r="AB1268">
        <v>32</v>
      </c>
      <c r="AC1268">
        <v>13.071099999999999</v>
      </c>
      <c r="AD1268">
        <v>-1.1062267685079901</v>
      </c>
      <c r="AE1268">
        <v>-6.1845000000000097</v>
      </c>
      <c r="AF1268">
        <v>5.5542837487126704</v>
      </c>
      <c r="AG1268">
        <v>-1.1062267685079901</v>
      </c>
      <c r="AH1268">
        <v>13.2599197201442</v>
      </c>
      <c r="AI1268">
        <v>94.400148025841204</v>
      </c>
      <c r="AJ1268">
        <v>67.272280441894495</v>
      </c>
      <c r="AK1268">
        <v>14.4187127237229</v>
      </c>
      <c r="AL1268">
        <v>79.461138438247005</v>
      </c>
      <c r="AM1268">
        <v>75.239730867242002</v>
      </c>
      <c r="AN1268">
        <v>1.0000000647067999</v>
      </c>
    </row>
    <row r="1269" spans="1:40" x14ac:dyDescent="0.25">
      <c r="A1269" t="str">
        <f>"20190312172916172"</f>
        <v>20190312172916172</v>
      </c>
      <c r="B1269" t="str">
        <f>"1552382956168196"</f>
        <v>1552382956168196</v>
      </c>
      <c r="C1269" t="s">
        <v>40</v>
      </c>
      <c r="D1269">
        <v>3.4513579999999999</v>
      </c>
      <c r="E1269">
        <v>0.55522939999999998</v>
      </c>
      <c r="F1269" t="s">
        <v>45</v>
      </c>
      <c r="G1269">
        <v>-204.65639999999999</v>
      </c>
      <c r="H1269" s="1">
        <v>-4.744291E-6</v>
      </c>
      <c r="I1269">
        <v>360.76639999999998</v>
      </c>
      <c r="J1269">
        <v>-217.6249</v>
      </c>
      <c r="K1269">
        <v>1.1061719999999999</v>
      </c>
      <c r="L1269">
        <v>366.9676</v>
      </c>
      <c r="M1269">
        <v>0.99875630000000004</v>
      </c>
      <c r="N1269">
        <v>0</v>
      </c>
      <c r="O1269">
        <v>-4.7686970000000002E-2</v>
      </c>
      <c r="P1269">
        <v>0.93968490000000005</v>
      </c>
      <c r="Q1269">
        <v>0.1714031</v>
      </c>
      <c r="R1269">
        <v>-0.29599599999999998</v>
      </c>
      <c r="S1269">
        <v>2.8180999999999998</v>
      </c>
      <c r="T1269">
        <v>-0.2374144</v>
      </c>
      <c r="U1269">
        <v>-1.3329470000000001</v>
      </c>
      <c r="V1269">
        <v>0.25261640000000002</v>
      </c>
      <c r="W1269">
        <v>0.1828274</v>
      </c>
      <c r="X1269">
        <v>0.95013639999999999</v>
      </c>
      <c r="Y1269">
        <v>0.38301249999999998</v>
      </c>
      <c r="Z1269">
        <v>-1.149853E-2</v>
      </c>
      <c r="AA1269">
        <v>0.92367160000000004</v>
      </c>
      <c r="AB1269">
        <v>32</v>
      </c>
      <c r="AC1269">
        <v>12.968500000000001</v>
      </c>
      <c r="AD1269">
        <v>-1.106176744291</v>
      </c>
      <c r="AE1269">
        <v>-6.2012000000000196</v>
      </c>
      <c r="AF1269">
        <v>5.5428270390506302</v>
      </c>
      <c r="AG1269">
        <v>-1.106176744291</v>
      </c>
      <c r="AH1269">
        <v>13.1714940441391</v>
      </c>
      <c r="AI1269">
        <v>94.426313897667299</v>
      </c>
      <c r="AJ1269">
        <v>67.177672418205702</v>
      </c>
      <c r="AK1269">
        <v>14.3329973811912</v>
      </c>
      <c r="AL1269">
        <v>79.465509072302893</v>
      </c>
      <c r="AM1269">
        <v>75.111001742736406</v>
      </c>
      <c r="AN1269">
        <v>1.00000004117233</v>
      </c>
    </row>
    <row r="1270" spans="1:40" x14ac:dyDescent="0.25">
      <c r="A1270" t="str">
        <f>"20190312172916184"</f>
        <v>20190312172916184</v>
      </c>
      <c r="B1270" t="str">
        <f>"1552382956178932"</f>
        <v>1552382956178932</v>
      </c>
      <c r="C1270" t="s">
        <v>40</v>
      </c>
      <c r="D1270">
        <v>3.4472990000000001</v>
      </c>
      <c r="E1270">
        <v>0.55522939999999998</v>
      </c>
      <c r="F1270" t="s">
        <v>45</v>
      </c>
      <c r="G1270">
        <v>-204.50489999999999</v>
      </c>
      <c r="H1270" s="1">
        <v>-4.6784610000000002E-6</v>
      </c>
      <c r="I1270">
        <v>360.71949999999998</v>
      </c>
      <c r="J1270">
        <v>-217.44210000000001</v>
      </c>
      <c r="K1270">
        <v>1.106123</v>
      </c>
      <c r="L1270">
        <v>366.9563</v>
      </c>
      <c r="M1270">
        <v>0.99862019999999996</v>
      </c>
      <c r="N1270">
        <v>0</v>
      </c>
      <c r="O1270">
        <v>-5.0456210000000001E-2</v>
      </c>
      <c r="P1270">
        <v>0.93829560000000001</v>
      </c>
      <c r="Q1270">
        <v>0.17154359999999999</v>
      </c>
      <c r="R1270">
        <v>-0.30029050000000002</v>
      </c>
      <c r="S1270">
        <v>2.8137210000000001</v>
      </c>
      <c r="T1270">
        <v>-0.237232</v>
      </c>
      <c r="U1270">
        <v>-1.339966</v>
      </c>
      <c r="V1270">
        <v>0.25435629999999998</v>
      </c>
      <c r="W1270">
        <v>0.18291550000000001</v>
      </c>
      <c r="X1270">
        <v>0.94965509999999997</v>
      </c>
      <c r="Y1270">
        <v>0.38289640000000003</v>
      </c>
      <c r="Z1270">
        <v>-1.127561E-2</v>
      </c>
      <c r="AA1270">
        <v>0.92372240000000005</v>
      </c>
      <c r="AB1270">
        <v>32</v>
      </c>
      <c r="AC1270">
        <v>12.937200000000001</v>
      </c>
      <c r="AD1270">
        <v>-1.1061276784609999</v>
      </c>
      <c r="AE1270">
        <v>-6.2368000000000103</v>
      </c>
      <c r="AF1270">
        <v>5.5431430104488397</v>
      </c>
      <c r="AG1270">
        <v>-1.1061276784609999</v>
      </c>
      <c r="AH1270">
        <v>13.157391396305901</v>
      </c>
      <c r="AI1270">
        <v>94.430093788256499</v>
      </c>
      <c r="AJ1270">
        <v>67.154552060518796</v>
      </c>
      <c r="AK1270">
        <v>14.3201571650219</v>
      </c>
      <c r="AL1270">
        <v>79.460374381878196</v>
      </c>
      <c r="AM1270">
        <v>75.005799165724</v>
      </c>
      <c r="AN1270">
        <v>1.0000000082229701</v>
      </c>
    </row>
    <row r="1271" spans="1:40" x14ac:dyDescent="0.25">
      <c r="A1271" t="str">
        <f>"20190312172916196"</f>
        <v>20190312172916196</v>
      </c>
      <c r="B1271" t="str">
        <f>"1552382956188692"</f>
        <v>1552382956188692</v>
      </c>
      <c r="C1271" t="s">
        <v>40</v>
      </c>
      <c r="D1271">
        <v>3.4304839999999999</v>
      </c>
      <c r="E1271">
        <v>0.55105879999999996</v>
      </c>
      <c r="F1271" t="s">
        <v>45</v>
      </c>
      <c r="G1271">
        <v>-204.29929999999999</v>
      </c>
      <c r="H1271" s="1">
        <v>-4.5972910000000004E-6</v>
      </c>
      <c r="I1271">
        <v>360.61880000000002</v>
      </c>
      <c r="J1271">
        <v>-217.2747</v>
      </c>
      <c r="K1271">
        <v>1.1060840000000001</v>
      </c>
      <c r="L1271">
        <v>366.94529999999997</v>
      </c>
      <c r="M1271">
        <v>0.99848720000000002</v>
      </c>
      <c r="N1271">
        <v>0</v>
      </c>
      <c r="O1271">
        <v>-5.3024429999999997E-2</v>
      </c>
      <c r="P1271">
        <v>0.93705419999999995</v>
      </c>
      <c r="Q1271">
        <v>0.17163800000000001</v>
      </c>
      <c r="R1271">
        <v>-0.30408980000000002</v>
      </c>
      <c r="S1271">
        <v>2.8072659999999998</v>
      </c>
      <c r="T1271">
        <v>-0.2362648</v>
      </c>
      <c r="U1271">
        <v>-1.3536680000000001</v>
      </c>
      <c r="V1271">
        <v>0.25578469999999998</v>
      </c>
      <c r="W1271">
        <v>0.18296760000000001</v>
      </c>
      <c r="X1271">
        <v>0.94926129999999997</v>
      </c>
      <c r="Y1271">
        <v>0.38501760000000002</v>
      </c>
      <c r="Z1271">
        <v>-1.1123249999999999E-2</v>
      </c>
      <c r="AA1271">
        <v>0.92284219999999895</v>
      </c>
      <c r="AB1271">
        <v>32</v>
      </c>
      <c r="AC1271">
        <v>12.9754</v>
      </c>
      <c r="AD1271">
        <v>-1.106088597291</v>
      </c>
      <c r="AE1271">
        <v>-6.3264999999999496</v>
      </c>
      <c r="AF1271">
        <v>5.5966540985485302</v>
      </c>
      <c r="AG1271">
        <v>-1.106088597291</v>
      </c>
      <c r="AH1271">
        <v>13.2150515397852</v>
      </c>
      <c r="AI1271">
        <v>94.407205050912495</v>
      </c>
      <c r="AJ1271">
        <v>67.047049079153098</v>
      </c>
      <c r="AK1271">
        <v>14.3938721782235</v>
      </c>
      <c r="AL1271">
        <v>79.4573377878108</v>
      </c>
      <c r="AM1271">
        <v>74.919449143756196</v>
      </c>
      <c r="AN1271">
        <v>0.99999998554076996</v>
      </c>
    </row>
    <row r="1272" spans="1:40" x14ac:dyDescent="0.25">
      <c r="A1272" t="str">
        <f>"20190312172916210"</f>
        <v>20190312172916210</v>
      </c>
      <c r="B1272" t="str">
        <f>"1552382956198452"</f>
        <v>1552382956198452</v>
      </c>
      <c r="C1272" t="s">
        <v>40</v>
      </c>
      <c r="D1272">
        <v>3.403988</v>
      </c>
      <c r="E1272">
        <v>0.55059060000000004</v>
      </c>
      <c r="F1272" t="s">
        <v>45</v>
      </c>
      <c r="G1272">
        <v>-204.304</v>
      </c>
      <c r="H1272" s="1">
        <v>-4.5616700000000003E-6</v>
      </c>
      <c r="I1272">
        <v>360.7901</v>
      </c>
      <c r="J1272">
        <v>-217.0772</v>
      </c>
      <c r="K1272">
        <v>1.1060399999999999</v>
      </c>
      <c r="L1272">
        <v>366.93189999999998</v>
      </c>
      <c r="M1272">
        <v>0.9983206</v>
      </c>
      <c r="N1272">
        <v>0</v>
      </c>
      <c r="O1272">
        <v>-5.6070420000000003E-2</v>
      </c>
      <c r="P1272">
        <v>0.93575260000000005</v>
      </c>
      <c r="Q1272">
        <v>0.17188249999999999</v>
      </c>
      <c r="R1272">
        <v>-0.30793429999999999</v>
      </c>
      <c r="S1272">
        <v>2.8123629999999999</v>
      </c>
      <c r="T1272">
        <v>-0.2398257</v>
      </c>
      <c r="U1272">
        <v>-1.334595</v>
      </c>
      <c r="V1272">
        <v>0.25681310000000002</v>
      </c>
      <c r="W1272">
        <v>0.183172</v>
      </c>
      <c r="X1272">
        <v>0.94894420000000002</v>
      </c>
      <c r="Y1272">
        <v>0.37644260000000002</v>
      </c>
      <c r="Z1272">
        <v>-1.069641E-2</v>
      </c>
      <c r="AA1272">
        <v>0.92637820000000004</v>
      </c>
      <c r="AB1272">
        <v>32</v>
      </c>
      <c r="AC1272">
        <v>12.773199999999999</v>
      </c>
      <c r="AD1272">
        <v>-1.1060445616700001</v>
      </c>
      <c r="AE1272">
        <v>-6.1417999999999804</v>
      </c>
      <c r="AF1272">
        <v>5.3830782384108096</v>
      </c>
      <c r="AG1272">
        <v>-1.1060445616700001</v>
      </c>
      <c r="AH1272">
        <v>13.0182301093988</v>
      </c>
      <c r="AI1272">
        <v>94.489290124496506</v>
      </c>
      <c r="AJ1272">
        <v>67.534754901243701</v>
      </c>
      <c r="AK1272">
        <v>14.130646873887599</v>
      </c>
      <c r="AL1272">
        <v>79.445425599262407</v>
      </c>
      <c r="AM1272">
        <v>74.856767870225497</v>
      </c>
      <c r="AN1272">
        <v>1.0000000223146199</v>
      </c>
    </row>
    <row r="1273" spans="1:40" x14ac:dyDescent="0.25">
      <c r="A1273" t="str">
        <f>"20190312172916223"</f>
        <v>20190312172916223</v>
      </c>
      <c r="B1273" t="str">
        <f>"1552382956218949"</f>
        <v>1552382956218949</v>
      </c>
      <c r="C1273" t="s">
        <v>40</v>
      </c>
      <c r="D1273">
        <v>3.426828</v>
      </c>
      <c r="E1273">
        <v>0.54995780000000005</v>
      </c>
      <c r="F1273" t="s">
        <v>45</v>
      </c>
      <c r="G1273">
        <v>-204.0027</v>
      </c>
      <c r="H1273" s="1">
        <v>-4.4356539999999997E-6</v>
      </c>
      <c r="I1273">
        <v>360.6748</v>
      </c>
      <c r="J1273">
        <v>-216.88249999999999</v>
      </c>
      <c r="K1273">
        <v>1.106004</v>
      </c>
      <c r="L1273">
        <v>366.91820000000001</v>
      </c>
      <c r="M1273">
        <v>0.99814630000000004</v>
      </c>
      <c r="N1273">
        <v>0</v>
      </c>
      <c r="O1273">
        <v>-5.9093069999999998E-2</v>
      </c>
      <c r="P1273">
        <v>0.93455659999999896</v>
      </c>
      <c r="Q1273">
        <v>0.1718875</v>
      </c>
      <c r="R1273">
        <v>-0.31154290000000001</v>
      </c>
      <c r="S1273">
        <v>2.8074949999999999</v>
      </c>
      <c r="T1273">
        <v>-0.23750209999999999</v>
      </c>
      <c r="U1273">
        <v>-1.3435969999999999</v>
      </c>
      <c r="V1273">
        <v>0.25762160000000001</v>
      </c>
      <c r="W1273">
        <v>0.18314240000000001</v>
      </c>
      <c r="X1273">
        <v>0.94873070000000004</v>
      </c>
      <c r="Y1273">
        <v>0.37670559999999997</v>
      </c>
      <c r="Z1273">
        <v>-1.037304E-2</v>
      </c>
      <c r="AA1273">
        <v>0.92627499999999996</v>
      </c>
      <c r="AB1273">
        <v>32</v>
      </c>
      <c r="AC1273">
        <v>12.8797999999999</v>
      </c>
      <c r="AD1273">
        <v>-1.1060084356540001</v>
      </c>
      <c r="AE1273">
        <v>-6.2434000000000003</v>
      </c>
      <c r="AF1273">
        <v>5.4388249049913204</v>
      </c>
      <c r="AG1273">
        <v>-1.1060084356540001</v>
      </c>
      <c r="AH1273">
        <v>13.147764242879999</v>
      </c>
      <c r="AI1273">
        <v>94.4448346569378</v>
      </c>
      <c r="AJ1273">
        <v>67.526627954078506</v>
      </c>
      <c r="AK1273">
        <v>14.271221937635399</v>
      </c>
      <c r="AL1273">
        <v>79.447150331524995</v>
      </c>
      <c r="AM1273">
        <v>74.808032923191504</v>
      </c>
      <c r="AN1273">
        <v>0.99999998429340398</v>
      </c>
    </row>
    <row r="1274" spans="1:40" x14ac:dyDescent="0.25">
      <c r="A1274" t="str">
        <f>"20190312172916237"</f>
        <v>20190312172916237</v>
      </c>
      <c r="B1274" t="str">
        <f>"1552382956228709"</f>
        <v>1552382956228709</v>
      </c>
      <c r="C1274" t="s">
        <v>40</v>
      </c>
      <c r="D1274">
        <v>3.4070740000000002</v>
      </c>
      <c r="E1274">
        <v>0.54956749999999999</v>
      </c>
      <c r="F1274" t="s">
        <v>45</v>
      </c>
      <c r="G1274">
        <v>-203.80529999999999</v>
      </c>
      <c r="H1274" s="1">
        <v>-4.3492069999999998E-6</v>
      </c>
      <c r="I1274">
        <v>360.61669999999998</v>
      </c>
      <c r="J1274">
        <v>-216.67920000000001</v>
      </c>
      <c r="K1274">
        <v>1.105963</v>
      </c>
      <c r="L1274">
        <v>366.90300000000002</v>
      </c>
      <c r="M1274">
        <v>0.99795219999999996</v>
      </c>
      <c r="N1274">
        <v>0</v>
      </c>
      <c r="O1274">
        <v>-6.228384E-2</v>
      </c>
      <c r="P1274">
        <v>0.93314450000000004</v>
      </c>
      <c r="Q1274">
        <v>0.17217569999999999</v>
      </c>
      <c r="R1274">
        <v>-0.31558960000000003</v>
      </c>
      <c r="S1274">
        <v>2.8033600000000001</v>
      </c>
      <c r="T1274">
        <v>-0.237096</v>
      </c>
      <c r="U1274">
        <v>-1.3508610000000001</v>
      </c>
      <c r="V1274">
        <v>0.25872580000000001</v>
      </c>
      <c r="W1274">
        <v>0.18339269999999999</v>
      </c>
      <c r="X1274">
        <v>0.94838180000000005</v>
      </c>
      <c r="Y1274">
        <v>0.37623960000000001</v>
      </c>
      <c r="Z1274">
        <v>-1.009173E-2</v>
      </c>
      <c r="AA1274">
        <v>0.92646740000000005</v>
      </c>
      <c r="AB1274">
        <v>32</v>
      </c>
      <c r="AC1274">
        <v>12.873900000000001</v>
      </c>
      <c r="AD1274">
        <v>-1.1059673492069999</v>
      </c>
      <c r="AE1274">
        <v>-6.2863000000000397</v>
      </c>
      <c r="AF1274">
        <v>5.4397546000076202</v>
      </c>
      <c r="AG1274">
        <v>-1.1059673492069999</v>
      </c>
      <c r="AH1274">
        <v>13.162040349577699</v>
      </c>
      <c r="AI1274">
        <v>94.4404589683258</v>
      </c>
      <c r="AJ1274">
        <v>67.545126005874906</v>
      </c>
      <c r="AK1274">
        <v>14.284726110420401</v>
      </c>
      <c r="AL1274">
        <v>79.432562075284295</v>
      </c>
      <c r="AM1274">
        <v>74.740595504217893</v>
      </c>
      <c r="AN1274">
        <v>0.99999998028508497</v>
      </c>
    </row>
    <row r="1275" spans="1:40" x14ac:dyDescent="0.25">
      <c r="A1275" t="str">
        <f>"20190312172916251"</f>
        <v>20190312172916251</v>
      </c>
      <c r="B1275" t="str">
        <f>"1552382956248230"</f>
        <v>1552382956248230</v>
      </c>
      <c r="C1275" t="s">
        <v>40</v>
      </c>
      <c r="D1275">
        <v>3.4248180000000001</v>
      </c>
      <c r="E1275">
        <v>0.549203</v>
      </c>
      <c r="F1275" t="s">
        <v>45</v>
      </c>
      <c r="G1275">
        <v>-203.46719999999999</v>
      </c>
      <c r="H1275" s="1">
        <v>-4.211244E-6</v>
      </c>
      <c r="I1275">
        <v>360.47129999999999</v>
      </c>
      <c r="J1275">
        <v>-216.49359999999999</v>
      </c>
      <c r="K1275">
        <v>1.105931</v>
      </c>
      <c r="L1275">
        <v>366.88850000000002</v>
      </c>
      <c r="M1275">
        <v>0.99776480000000001</v>
      </c>
      <c r="N1275">
        <v>0</v>
      </c>
      <c r="O1275">
        <v>-6.5216150000000001E-2</v>
      </c>
      <c r="P1275">
        <v>0.93202839999999998</v>
      </c>
      <c r="Q1275">
        <v>0.17235839999999999</v>
      </c>
      <c r="R1275">
        <v>-0.31877220000000001</v>
      </c>
      <c r="S1275">
        <v>2.7975460000000001</v>
      </c>
      <c r="T1275">
        <v>-0.23418</v>
      </c>
      <c r="U1275">
        <v>-1.361847</v>
      </c>
      <c r="V1275">
        <v>0.25919520000000001</v>
      </c>
      <c r="W1275">
        <v>0.18354980000000001</v>
      </c>
      <c r="X1275">
        <v>0.94822320000000004</v>
      </c>
      <c r="Y1275">
        <v>0.37724269999999999</v>
      </c>
      <c r="Z1275">
        <v>-9.7883099999999997E-3</v>
      </c>
      <c r="AA1275">
        <v>0.92606279999999996</v>
      </c>
      <c r="AB1275">
        <v>32</v>
      </c>
      <c r="AC1275">
        <v>13.026399999999899</v>
      </c>
      <c r="AD1275">
        <v>-1.105935211244</v>
      </c>
      <c r="AE1275">
        <v>-6.4172000000000304</v>
      </c>
      <c r="AF1275">
        <v>5.5218855493268899</v>
      </c>
      <c r="AG1275">
        <v>-1.105935211244</v>
      </c>
      <c r="AH1275">
        <v>13.3398375874248</v>
      </c>
      <c r="AI1275">
        <v>94.380381138957006</v>
      </c>
      <c r="AJ1275">
        <v>67.513404877042603</v>
      </c>
      <c r="AK1275">
        <v>14.479833547738201</v>
      </c>
      <c r="AL1275">
        <v>79.423405246766706</v>
      </c>
      <c r="AM1275">
        <v>74.711767650527605</v>
      </c>
      <c r="AN1275">
        <v>0.99999995890065896</v>
      </c>
    </row>
    <row r="1276" spans="1:40" x14ac:dyDescent="0.25">
      <c r="A1276" t="str">
        <f>"20190312172916264"</f>
        <v>20190312172916264</v>
      </c>
      <c r="B1276" t="str">
        <f>"1552382956258964"</f>
        <v>1552382956258964</v>
      </c>
      <c r="C1276" t="s">
        <v>40</v>
      </c>
      <c r="D1276">
        <v>3.3960919999999999</v>
      </c>
      <c r="E1276">
        <v>0.54610259999999999</v>
      </c>
      <c r="F1276" t="s">
        <v>45</v>
      </c>
      <c r="G1276">
        <v>-203.19540000000001</v>
      </c>
      <c r="H1276" s="1">
        <v>-4.0967960000000002E-6</v>
      </c>
      <c r="I1276">
        <v>360.3707</v>
      </c>
      <c r="J1276">
        <v>-216.303</v>
      </c>
      <c r="K1276">
        <v>1.105898</v>
      </c>
      <c r="L1276">
        <v>366.87329999999997</v>
      </c>
      <c r="M1276">
        <v>0.99756250000000002</v>
      </c>
      <c r="N1276">
        <v>0</v>
      </c>
      <c r="O1276">
        <v>-6.824239E-2</v>
      </c>
      <c r="P1276">
        <v>0.93100400000000005</v>
      </c>
      <c r="Q1276">
        <v>0.172281399999999</v>
      </c>
      <c r="R1276">
        <v>-0.32179370000000002</v>
      </c>
      <c r="S1276">
        <v>2.793488</v>
      </c>
      <c r="T1276">
        <v>-0.23231840000000001</v>
      </c>
      <c r="U1276">
        <v>-1.3691709999999999</v>
      </c>
      <c r="V1276">
        <v>0.25940800000000003</v>
      </c>
      <c r="W1276">
        <v>0.1834509</v>
      </c>
      <c r="X1276">
        <v>0.94818420000000003</v>
      </c>
      <c r="Y1276">
        <v>0.3769459</v>
      </c>
      <c r="Z1276">
        <v>-9.4709579999999998E-3</v>
      </c>
      <c r="AA1276">
        <v>0.92618690000000004</v>
      </c>
      <c r="AB1276">
        <v>32</v>
      </c>
      <c r="AC1276">
        <v>13.1075999999999</v>
      </c>
      <c r="AD1276">
        <v>-1.105902096796</v>
      </c>
      <c r="AE1276">
        <v>-6.50259999999997</v>
      </c>
      <c r="AF1276">
        <v>5.5610809125784098</v>
      </c>
      <c r="AG1276">
        <v>-1.105902096796</v>
      </c>
      <c r="AH1276">
        <v>13.4440368163316</v>
      </c>
      <c r="AI1276">
        <v>94.346879527783997</v>
      </c>
      <c r="AJ1276">
        <v>67.527729969017201</v>
      </c>
      <c r="AK1276">
        <v>14.590776753923</v>
      </c>
      <c r="AL1276">
        <v>79.429170229763002</v>
      </c>
      <c r="AM1276">
        <v>74.699204176011904</v>
      </c>
      <c r="AN1276">
        <v>1.00000001015222</v>
      </c>
    </row>
    <row r="1277" spans="1:40" x14ac:dyDescent="0.25">
      <c r="A1277" t="str">
        <f>"20190312172916277"</f>
        <v>20190312172916277</v>
      </c>
      <c r="B1277" t="str">
        <f>"1552382956268724"</f>
        <v>1552382956268724</v>
      </c>
      <c r="C1277" t="s">
        <v>40</v>
      </c>
      <c r="D1277">
        <v>3.4171580000000001</v>
      </c>
      <c r="E1277">
        <v>0.54612059999999996</v>
      </c>
      <c r="F1277" t="s">
        <v>45</v>
      </c>
      <c r="G1277">
        <v>-202.87039999999999</v>
      </c>
      <c r="H1277" s="1">
        <v>-3.9344349999999999E-6</v>
      </c>
      <c r="I1277">
        <v>360.3655</v>
      </c>
      <c r="J1277">
        <v>-216.1208</v>
      </c>
      <c r="K1277">
        <v>1.1058619999999999</v>
      </c>
      <c r="L1277">
        <v>366.85789999999997</v>
      </c>
      <c r="M1277">
        <v>0.99735810000000003</v>
      </c>
      <c r="N1277">
        <v>0</v>
      </c>
      <c r="O1277">
        <v>-7.1164279999999996E-2</v>
      </c>
      <c r="P1277">
        <v>0.93007550000000005</v>
      </c>
      <c r="Q1277">
        <v>0.17229939999999999</v>
      </c>
      <c r="R1277">
        <v>-0.32445740000000001</v>
      </c>
      <c r="S1277">
        <v>2.796646</v>
      </c>
      <c r="T1277">
        <v>-0.23024810000000001</v>
      </c>
      <c r="U1277">
        <v>-1.354919</v>
      </c>
      <c r="V1277">
        <v>0.2593589</v>
      </c>
      <c r="W1277">
        <v>0.1834528</v>
      </c>
      <c r="X1277">
        <v>0.94819719999999996</v>
      </c>
      <c r="Y1277">
        <v>0.37003619999999998</v>
      </c>
      <c r="Z1277">
        <v>-8.8925159999999996E-3</v>
      </c>
      <c r="AA1277">
        <v>0.92897470000000004</v>
      </c>
      <c r="AB1277">
        <v>32</v>
      </c>
      <c r="AC1277">
        <v>13.250400000000001</v>
      </c>
      <c r="AD1277">
        <v>-1.1058659344349999</v>
      </c>
      <c r="AE1277">
        <v>-6.4923999999999698</v>
      </c>
      <c r="AF1277">
        <v>5.5019762182245397</v>
      </c>
      <c r="AG1277">
        <v>-1.1058659344349999</v>
      </c>
      <c r="AH1277">
        <v>13.60247002835</v>
      </c>
      <c r="AI1277">
        <v>94.310065780046003</v>
      </c>
      <c r="AJ1277">
        <v>67.977474782283494</v>
      </c>
      <c r="AK1277">
        <v>14.7146822134565</v>
      </c>
      <c r="AL1277">
        <v>79.429058839429104</v>
      </c>
      <c r="AM1277">
        <v>74.702164475959904</v>
      </c>
      <c r="AN1277">
        <v>0.99999994946244297</v>
      </c>
    </row>
    <row r="1278" spans="1:40" x14ac:dyDescent="0.25">
      <c r="A1278" t="str">
        <f>"20190312172916290"</f>
        <v>20190312172916290</v>
      </c>
      <c r="B1278" t="str">
        <f>"1552382956278485"</f>
        <v>1552382956278485</v>
      </c>
      <c r="C1278" t="s">
        <v>40</v>
      </c>
      <c r="D1278">
        <v>3.4245239999999999</v>
      </c>
      <c r="E1278">
        <v>0.54612059999999996</v>
      </c>
      <c r="F1278" t="s">
        <v>45</v>
      </c>
      <c r="G1278">
        <v>-202.66640000000001</v>
      </c>
      <c r="H1278" s="1">
        <v>-3.8481410000000001E-6</v>
      </c>
      <c r="I1278">
        <v>360.29149999999998</v>
      </c>
      <c r="J1278">
        <v>-215.94579999999999</v>
      </c>
      <c r="K1278">
        <v>1.1058319999999999</v>
      </c>
      <c r="L1278">
        <v>366.84269999999998</v>
      </c>
      <c r="M1278">
        <v>0.99715259999999994</v>
      </c>
      <c r="N1278">
        <v>0</v>
      </c>
      <c r="O1278">
        <v>-7.3989929999999995E-2</v>
      </c>
      <c r="P1278">
        <v>0.92917079999999996</v>
      </c>
      <c r="Q1278">
        <v>0.1722796</v>
      </c>
      <c r="R1278">
        <v>-0.3270499</v>
      </c>
      <c r="S1278">
        <v>2.7926030000000002</v>
      </c>
      <c r="T1278">
        <v>-0.22953319999999999</v>
      </c>
      <c r="U1278">
        <v>-1.3629150000000001</v>
      </c>
      <c r="V1278">
        <v>0.25932929999999998</v>
      </c>
      <c r="W1278">
        <v>0.18341569999999999</v>
      </c>
      <c r="X1278">
        <v>0.94821250000000001</v>
      </c>
      <c r="Y1278">
        <v>0.3700949</v>
      </c>
      <c r="Z1278">
        <v>-8.6563749999999991E-3</v>
      </c>
      <c r="AA1278">
        <v>0.92895360000000005</v>
      </c>
      <c r="AB1278">
        <v>32</v>
      </c>
      <c r="AC1278">
        <v>13.2793999999999</v>
      </c>
      <c r="AD1278">
        <v>-1.105835848141</v>
      </c>
      <c r="AE1278">
        <v>-6.5511999999999899</v>
      </c>
      <c r="AF1278">
        <v>5.5198077578647897</v>
      </c>
      <c r="AG1278">
        <v>-1.105835848141</v>
      </c>
      <c r="AH1278">
        <v>13.6516289136254</v>
      </c>
      <c r="AI1278">
        <v>94.294710770584601</v>
      </c>
      <c r="AJ1278">
        <v>67.984878018166597</v>
      </c>
      <c r="AK1278">
        <v>14.766791208727501</v>
      </c>
      <c r="AL1278">
        <v>79.431221477014105</v>
      </c>
      <c r="AM1278">
        <v>74.704063846829499</v>
      </c>
      <c r="AN1278">
        <v>0.99999997500061399</v>
      </c>
    </row>
    <row r="1279" spans="1:40" x14ac:dyDescent="0.25">
      <c r="A1279" t="str">
        <f>"20190312172916305"</f>
        <v>20190312172916305</v>
      </c>
      <c r="B1279" t="str">
        <f>"1552382956298981"</f>
        <v>1552382956298981</v>
      </c>
      <c r="C1279" t="s">
        <v>40</v>
      </c>
      <c r="D1279">
        <v>3.3565459999999998</v>
      </c>
      <c r="E1279">
        <v>0.54598429999999998</v>
      </c>
      <c r="F1279" t="s">
        <v>45</v>
      </c>
      <c r="G1279">
        <v>-202.505</v>
      </c>
      <c r="H1279" s="1">
        <v>-3.7795699999999998E-6</v>
      </c>
      <c r="I1279">
        <v>360.2346</v>
      </c>
      <c r="J1279">
        <v>-215.733</v>
      </c>
      <c r="K1279">
        <v>1.1057950000000001</v>
      </c>
      <c r="L1279">
        <v>366.82350000000002</v>
      </c>
      <c r="M1279">
        <v>0.99689000000000005</v>
      </c>
      <c r="N1279">
        <v>0</v>
      </c>
      <c r="O1279">
        <v>-7.7447589999999997E-2</v>
      </c>
      <c r="P1279">
        <v>0.92820279999999999</v>
      </c>
      <c r="Q1279">
        <v>0.1719289</v>
      </c>
      <c r="R1279">
        <v>-0.32996989999999998</v>
      </c>
      <c r="S1279">
        <v>2.788681</v>
      </c>
      <c r="T1279">
        <v>-0.22943839999999999</v>
      </c>
      <c r="U1279">
        <v>-1.3710329999999999</v>
      </c>
      <c r="V1279">
        <v>0.25902910000000001</v>
      </c>
      <c r="W1279">
        <v>0.1830505</v>
      </c>
      <c r="X1279">
        <v>0.94836520000000002</v>
      </c>
      <c r="Y1279">
        <v>0.36958020000000003</v>
      </c>
      <c r="Z1279">
        <v>-8.3728229999999997E-3</v>
      </c>
      <c r="AA1279">
        <v>0.92916109999999996</v>
      </c>
      <c r="AB1279">
        <v>32</v>
      </c>
      <c r="AC1279">
        <v>13.228</v>
      </c>
      <c r="AD1279">
        <v>-1.1057987795699999</v>
      </c>
      <c r="AE1279">
        <v>-6.5889000000000202</v>
      </c>
      <c r="AF1279">
        <v>5.5136490482123097</v>
      </c>
      <c r="AG1279">
        <v>-1.1057987795699999</v>
      </c>
      <c r="AH1279">
        <v>13.622337044041</v>
      </c>
      <c r="AI1279">
        <v>94.303145207195797</v>
      </c>
      <c r="AJ1279">
        <v>67.964329756749805</v>
      </c>
      <c r="AK1279">
        <v>14.737407618343299</v>
      </c>
      <c r="AL1279">
        <v>79.452507126696503</v>
      </c>
      <c r="AM1279">
        <v>74.723287599685406</v>
      </c>
      <c r="AN1279">
        <v>1.0000000563840401</v>
      </c>
    </row>
    <row r="1280" spans="1:40" x14ac:dyDescent="0.25">
      <c r="A1280" t="str">
        <f>"20190312172916317"</f>
        <v>20190312172916317</v>
      </c>
      <c r="B1280" t="str">
        <f>"1552382956308741"</f>
        <v>1552382956308741</v>
      </c>
      <c r="C1280" t="s">
        <v>40</v>
      </c>
      <c r="D1280">
        <v>3.3960699999999999</v>
      </c>
      <c r="E1280">
        <v>0.55041430000000002</v>
      </c>
      <c r="F1280" t="s">
        <v>45</v>
      </c>
      <c r="G1280">
        <v>-202.3562</v>
      </c>
      <c r="H1280" s="1">
        <v>-3.7126529999999998E-6</v>
      </c>
      <c r="I1280">
        <v>360.19850000000002</v>
      </c>
      <c r="J1280">
        <v>-215.55009999999999</v>
      </c>
      <c r="K1280">
        <v>1.1057589999999999</v>
      </c>
      <c r="L1280">
        <v>366.8064</v>
      </c>
      <c r="M1280">
        <v>0.99665170000000003</v>
      </c>
      <c r="N1280">
        <v>0</v>
      </c>
      <c r="O1280">
        <v>-8.0453339999999998E-2</v>
      </c>
      <c r="P1280">
        <v>0.92724850000000003</v>
      </c>
      <c r="Q1280">
        <v>0.17183760000000001</v>
      </c>
      <c r="R1280">
        <v>-0.3326887</v>
      </c>
      <c r="S1280">
        <v>2.7844540000000002</v>
      </c>
      <c r="T1280">
        <v>-0.23017750000000001</v>
      </c>
      <c r="U1280">
        <v>-1.3790279999999999</v>
      </c>
      <c r="V1280">
        <v>0.25896079999999999</v>
      </c>
      <c r="W1280">
        <v>0.1829413</v>
      </c>
      <c r="X1280">
        <v>0.94840480000000005</v>
      </c>
      <c r="Y1280">
        <v>0.36948510000000001</v>
      </c>
      <c r="Z1280">
        <v>-8.1706999999999995E-3</v>
      </c>
      <c r="AA1280">
        <v>0.92920069999999999</v>
      </c>
      <c r="AB1280">
        <v>32</v>
      </c>
      <c r="AC1280">
        <v>13.1938999999999</v>
      </c>
      <c r="AD1280">
        <v>-1.1057627126530001</v>
      </c>
      <c r="AE1280">
        <v>-6.6078999999999697</v>
      </c>
      <c r="AF1280">
        <v>5.4940179180807798</v>
      </c>
      <c r="AG1280">
        <v>-1.1057627126530001</v>
      </c>
      <c r="AH1280">
        <v>13.606400302573901</v>
      </c>
      <c r="AI1280">
        <v>94.309471283626195</v>
      </c>
      <c r="AJ1280">
        <v>68.012036300679995</v>
      </c>
      <c r="AK1280">
        <v>14.715334629384801</v>
      </c>
      <c r="AL1280">
        <v>79.458870051151706</v>
      </c>
      <c r="AM1280">
        <v>74.727735502509901</v>
      </c>
      <c r="AN1280">
        <v>0.99999993992268299</v>
      </c>
    </row>
    <row r="1281" spans="1:40" x14ac:dyDescent="0.25">
      <c r="A1281" t="str">
        <f>"20190312172916338"</f>
        <v>20190312172916338</v>
      </c>
      <c r="B1281" t="str">
        <f>"1552382956328260"</f>
        <v>1552382956328260</v>
      </c>
      <c r="C1281" t="s">
        <v>40</v>
      </c>
      <c r="D1281">
        <v>3.370946</v>
      </c>
      <c r="E1281">
        <v>0.5538843</v>
      </c>
      <c r="F1281" t="s">
        <v>45</v>
      </c>
      <c r="G1281">
        <v>-202.6163</v>
      </c>
      <c r="H1281" s="1">
        <v>-3.8504950000000003E-6</v>
      </c>
      <c r="I1281">
        <v>360.16719999999998</v>
      </c>
      <c r="J1281">
        <v>-215.2568</v>
      </c>
      <c r="K1281">
        <v>1.1057129999999999</v>
      </c>
      <c r="L1281">
        <v>366.77769999999998</v>
      </c>
      <c r="M1281">
        <v>0.99624699999999999</v>
      </c>
      <c r="N1281">
        <v>0</v>
      </c>
      <c r="O1281">
        <v>-8.5320679999999996E-2</v>
      </c>
      <c r="P1281">
        <v>0.92567699999999997</v>
      </c>
      <c r="Q1281">
        <v>0.17171529999999999</v>
      </c>
      <c r="R1281">
        <v>-0.3370998</v>
      </c>
      <c r="S1281">
        <v>2.769196</v>
      </c>
      <c r="T1281">
        <v>-0.23674809999999999</v>
      </c>
      <c r="U1281">
        <v>-1.421478</v>
      </c>
      <c r="V1281">
        <v>0.25886389999999998</v>
      </c>
      <c r="W1281">
        <v>0.18279129999999999</v>
      </c>
      <c r="X1281">
        <v>0.94846019999999998</v>
      </c>
      <c r="Y1281">
        <v>0.37825160000000002</v>
      </c>
      <c r="Z1281">
        <v>-8.3840819999999993E-3</v>
      </c>
      <c r="AA1281">
        <v>0.92566479999999995</v>
      </c>
      <c r="AB1281">
        <v>32</v>
      </c>
      <c r="AC1281">
        <v>12.640499999999999</v>
      </c>
      <c r="AD1281">
        <v>-1.1057168504949999</v>
      </c>
      <c r="AE1281">
        <v>-6.6105</v>
      </c>
      <c r="AF1281">
        <v>5.4748837204521097</v>
      </c>
      <c r="AG1281">
        <v>-1.1057168504949999</v>
      </c>
      <c r="AH1281">
        <v>13.0798792829302</v>
      </c>
      <c r="AI1281">
        <v>94.458906151345602</v>
      </c>
      <c r="AJ1281">
        <v>67.287132949498002</v>
      </c>
      <c r="AK1281">
        <v>14.2225245143739</v>
      </c>
      <c r="AL1281">
        <v>79.467612086374402</v>
      </c>
      <c r="AM1281">
        <v>74.734033608646698</v>
      </c>
      <c r="AN1281">
        <v>0.999999964531469</v>
      </c>
    </row>
    <row r="1282" spans="1:40" x14ac:dyDescent="0.25">
      <c r="A1282" t="str">
        <f>"20190312172916351"</f>
        <v>20190312172916351</v>
      </c>
      <c r="B1282" t="str">
        <f>"1552382956348757"</f>
        <v>1552382956348757</v>
      </c>
      <c r="C1282" t="s">
        <v>40</v>
      </c>
      <c r="D1282">
        <v>3.3775550000000001</v>
      </c>
      <c r="E1282">
        <v>0.55591029999999997</v>
      </c>
      <c r="F1282" t="s">
        <v>45</v>
      </c>
      <c r="G1282">
        <v>-202.6378</v>
      </c>
      <c r="H1282" s="1">
        <v>-3.8799690000000003E-6</v>
      </c>
      <c r="I1282">
        <v>360.08319999999998</v>
      </c>
      <c r="J1282">
        <v>-215.0735</v>
      </c>
      <c r="K1282">
        <v>1.10568</v>
      </c>
      <c r="L1282">
        <v>366.75900000000001</v>
      </c>
      <c r="M1282">
        <v>0.99597829999999998</v>
      </c>
      <c r="N1282">
        <v>0</v>
      </c>
      <c r="O1282">
        <v>-8.8399679999999994E-2</v>
      </c>
      <c r="P1282">
        <v>0.92473450000000001</v>
      </c>
      <c r="Q1282">
        <v>0.1713277</v>
      </c>
      <c r="R1282">
        <v>-0.33987230000000002</v>
      </c>
      <c r="S1282">
        <v>2.7536619999999998</v>
      </c>
      <c r="T1282">
        <v>-0.24128440000000001</v>
      </c>
      <c r="U1282">
        <v>-1.4608460000000001</v>
      </c>
      <c r="V1282">
        <v>0.25877850000000002</v>
      </c>
      <c r="W1282">
        <v>0.18238670000000001</v>
      </c>
      <c r="X1282">
        <v>0.9485614</v>
      </c>
      <c r="Y1282">
        <v>0.38782509999999998</v>
      </c>
      <c r="Z1282">
        <v>-8.7049269999999995E-3</v>
      </c>
      <c r="AA1282">
        <v>0.92169190000000001</v>
      </c>
      <c r="AB1282">
        <v>31</v>
      </c>
      <c r="AC1282">
        <v>12.435699999999899</v>
      </c>
      <c r="AD1282">
        <v>-1.1056838799690001</v>
      </c>
      <c r="AE1282">
        <v>-6.6758000000000299</v>
      </c>
      <c r="AF1282">
        <v>5.5163773009218096</v>
      </c>
      <c r="AG1282">
        <v>-1.1056838799690001</v>
      </c>
      <c r="AH1282">
        <v>12.898053057484301</v>
      </c>
      <c r="AI1282">
        <v>94.506661751671203</v>
      </c>
      <c r="AJ1282">
        <v>66.8440549421654</v>
      </c>
      <c r="AK1282">
        <v>14.071699543489</v>
      </c>
      <c r="AL1282">
        <v>79.491190436915502</v>
      </c>
      <c r="AM1282">
        <v>74.740387284200693</v>
      </c>
      <c r="AN1282">
        <v>0.99999997498454896</v>
      </c>
    </row>
    <row r="1283" spans="1:40" x14ac:dyDescent="0.25">
      <c r="A1283" t="str">
        <f>"20190312172916364"</f>
        <v>20190312172916364</v>
      </c>
      <c r="B1283" t="str">
        <f>"1552382956358517"</f>
        <v>1552382956358517</v>
      </c>
      <c r="C1283" t="s">
        <v>40</v>
      </c>
      <c r="D1283">
        <v>3.3701699999999999</v>
      </c>
      <c r="E1283">
        <v>0.55668329999999999</v>
      </c>
      <c r="F1283" t="s">
        <v>45</v>
      </c>
      <c r="G1283">
        <v>-202.72380000000001</v>
      </c>
      <c r="H1283" s="1">
        <v>-3.9242779999999997E-6</v>
      </c>
      <c r="I1283">
        <v>360.07850000000002</v>
      </c>
      <c r="J1283">
        <v>-214.89330000000001</v>
      </c>
      <c r="K1283">
        <v>1.1056440000000001</v>
      </c>
      <c r="L1283">
        <v>366.74009999999998</v>
      </c>
      <c r="M1283">
        <v>0.99570349999999996</v>
      </c>
      <c r="N1283">
        <v>0</v>
      </c>
      <c r="O1283">
        <v>-9.14441E-2</v>
      </c>
      <c r="P1283">
        <v>0.92356830000000001</v>
      </c>
      <c r="Q1283">
        <v>0.1711433</v>
      </c>
      <c r="R1283">
        <v>-0.34312110000000001</v>
      </c>
      <c r="S1283">
        <v>2.74411</v>
      </c>
      <c r="T1283">
        <v>-0.24568390000000001</v>
      </c>
      <c r="U1283">
        <v>-1.4844059999999999</v>
      </c>
      <c r="V1283">
        <v>0.25922430000000002</v>
      </c>
      <c r="W1283">
        <v>0.1821776</v>
      </c>
      <c r="X1283">
        <v>0.94847990000000004</v>
      </c>
      <c r="Y1283">
        <v>0.39243650000000002</v>
      </c>
      <c r="Z1283">
        <v>-8.8159650000000003E-3</v>
      </c>
      <c r="AA1283">
        <v>0.91973689999999997</v>
      </c>
      <c r="AB1283">
        <v>31</v>
      </c>
      <c r="AC1283">
        <v>12.169499999999999</v>
      </c>
      <c r="AD1283">
        <v>-1.105647924278</v>
      </c>
      <c r="AE1283">
        <v>-6.66159999999996</v>
      </c>
      <c r="AF1283">
        <v>5.4858935752080802</v>
      </c>
      <c r="AG1283">
        <v>-1.105647924278</v>
      </c>
      <c r="AH1283">
        <v>12.6474028440513</v>
      </c>
      <c r="AI1283">
        <v>94.585375299881207</v>
      </c>
      <c r="AJ1283">
        <v>66.550896254411995</v>
      </c>
      <c r="AK1283">
        <v>13.830194660621601</v>
      </c>
      <c r="AL1283">
        <v>79.5033755822882</v>
      </c>
      <c r="AM1283">
        <v>74.714076061715403</v>
      </c>
      <c r="AN1283">
        <v>1.0000000181781299</v>
      </c>
    </row>
    <row r="1284" spans="1:40" x14ac:dyDescent="0.25">
      <c r="A1284" t="str">
        <f>"20190312172916376"</f>
        <v>20190312172916376</v>
      </c>
      <c r="B1284" t="str">
        <f>"1552382956368277"</f>
        <v>1552382956368277</v>
      </c>
      <c r="C1284" t="s">
        <v>40</v>
      </c>
      <c r="D1284">
        <v>3.3709229999999999</v>
      </c>
      <c r="E1284">
        <v>0.55725530000000001</v>
      </c>
      <c r="F1284" t="s">
        <v>45</v>
      </c>
      <c r="G1284">
        <v>-202.6798</v>
      </c>
      <c r="H1284" s="1">
        <v>-3.9091670000000003E-6</v>
      </c>
      <c r="I1284">
        <v>360.04689999999999</v>
      </c>
      <c r="J1284">
        <v>-214.72890000000001</v>
      </c>
      <c r="K1284">
        <v>1.1056090000000001</v>
      </c>
      <c r="L1284">
        <v>366.72219999999999</v>
      </c>
      <c r="M1284">
        <v>0.99544120000000003</v>
      </c>
      <c r="N1284">
        <v>0</v>
      </c>
      <c r="O1284">
        <v>-9.4256480000000004E-2</v>
      </c>
      <c r="P1284">
        <v>0.9225892</v>
      </c>
      <c r="Q1284">
        <v>0.17090849999999999</v>
      </c>
      <c r="R1284">
        <v>-0.34586099999999997</v>
      </c>
      <c r="S1284">
        <v>2.7369379999999999</v>
      </c>
      <c r="T1284">
        <v>-0.24776699999999999</v>
      </c>
      <c r="U1284">
        <v>-1.499908</v>
      </c>
      <c r="V1284">
        <v>0.25936789999999998</v>
      </c>
      <c r="W1284">
        <v>0.18192349999999999</v>
      </c>
      <c r="X1284">
        <v>0.94848940000000004</v>
      </c>
      <c r="Y1284">
        <v>0.3948468</v>
      </c>
      <c r="Z1284">
        <v>-8.7679339999999998E-3</v>
      </c>
      <c r="AA1284">
        <v>0.9187052</v>
      </c>
      <c r="AB1284">
        <v>31</v>
      </c>
      <c r="AC1284">
        <v>12.049099999999999</v>
      </c>
      <c r="AD1284">
        <v>-1.1056129091669999</v>
      </c>
      <c r="AE1284">
        <v>-6.6752999999999902</v>
      </c>
      <c r="AF1284">
        <v>5.4744797474017401</v>
      </c>
      <c r="AG1284">
        <v>-1.1056129091669999</v>
      </c>
      <c r="AH1284">
        <v>12.543890001773599</v>
      </c>
      <c r="AI1284">
        <v>94.618411987814994</v>
      </c>
      <c r="AJ1284">
        <v>66.422292206086993</v>
      </c>
      <c r="AK1284">
        <v>13.7310409214387</v>
      </c>
      <c r="AL1284">
        <v>79.5181817215406</v>
      </c>
      <c r="AM1284">
        <v>74.706150711589501</v>
      </c>
      <c r="AN1284">
        <v>1.0000000046575099</v>
      </c>
    </row>
    <row r="1285" spans="1:40" x14ac:dyDescent="0.25">
      <c r="A1285" t="str">
        <f>"20190312172916387"</f>
        <v>20190312172916387</v>
      </c>
      <c r="B1285" t="str">
        <f>"1552382956379013"</f>
        <v>1552382956379013</v>
      </c>
      <c r="C1285" t="s">
        <v>40</v>
      </c>
      <c r="D1285">
        <v>3.3774920000000002</v>
      </c>
      <c r="E1285">
        <v>0.55781199999999997</v>
      </c>
      <c r="F1285" t="s">
        <v>45</v>
      </c>
      <c r="G1285">
        <v>-202.62530000000001</v>
      </c>
      <c r="H1285" s="1">
        <v>-3.8878819999999996E-6</v>
      </c>
      <c r="I1285">
        <v>360.01909999999998</v>
      </c>
      <c r="J1285">
        <v>-214.57579999999999</v>
      </c>
      <c r="K1285">
        <v>1.1055809999999999</v>
      </c>
      <c r="L1285">
        <v>366.70519999999999</v>
      </c>
      <c r="M1285">
        <v>0.99518830000000003</v>
      </c>
      <c r="N1285">
        <v>0</v>
      </c>
      <c r="O1285">
        <v>-9.6887920000000002E-2</v>
      </c>
      <c r="P1285">
        <v>0.92166970000000004</v>
      </c>
      <c r="Q1285">
        <v>0.17039279999999901</v>
      </c>
      <c r="R1285">
        <v>-0.34855649999999999</v>
      </c>
      <c r="S1285">
        <v>2.730972</v>
      </c>
      <c r="T1285">
        <v>-0.2494624</v>
      </c>
      <c r="U1285">
        <v>-1.512451</v>
      </c>
      <c r="V1285">
        <v>0.259631</v>
      </c>
      <c r="W1285">
        <v>0.18138940000000001</v>
      </c>
      <c r="X1285">
        <v>0.94851969999999997</v>
      </c>
      <c r="Y1285">
        <v>0.39648850000000002</v>
      </c>
      <c r="Z1285">
        <v>-8.6852849999999992E-3</v>
      </c>
      <c r="AA1285">
        <v>0.9179986</v>
      </c>
      <c r="AB1285">
        <v>31</v>
      </c>
      <c r="AC1285">
        <v>11.9504999999999</v>
      </c>
      <c r="AD1285">
        <v>-1.1055848878819901</v>
      </c>
      <c r="AE1285">
        <v>-6.6860999999999997</v>
      </c>
      <c r="AF1285">
        <v>5.4610574684225197</v>
      </c>
      <c r="AG1285">
        <v>-1.1055848878819901</v>
      </c>
      <c r="AH1285">
        <v>12.4609106998732</v>
      </c>
      <c r="AI1285">
        <v>94.645808070781499</v>
      </c>
      <c r="AJ1285">
        <v>66.334319671857699</v>
      </c>
      <c r="AK1285">
        <v>13.6498997098125</v>
      </c>
      <c r="AL1285">
        <v>79.549301069002894</v>
      </c>
      <c r="AM1285">
        <v>74.691830410551404</v>
      </c>
      <c r="AN1285">
        <v>0.99999999594072497</v>
      </c>
    </row>
    <row r="1286" spans="1:40" x14ac:dyDescent="0.25">
      <c r="A1286" t="str">
        <f>"20190312172916399"</f>
        <v>20190312172916399</v>
      </c>
      <c r="B1286" t="str">
        <f>"1552382956388773"</f>
        <v>1552382956388773</v>
      </c>
      <c r="C1286" t="s">
        <v>40</v>
      </c>
      <c r="D1286">
        <v>3.3620930000000002</v>
      </c>
      <c r="E1286">
        <v>0.55825139999999995</v>
      </c>
      <c r="F1286" t="s">
        <v>45</v>
      </c>
      <c r="G1286">
        <v>-202.56829999999999</v>
      </c>
      <c r="H1286" s="1">
        <v>-3.866609E-6</v>
      </c>
      <c r="I1286">
        <v>359.98570000000001</v>
      </c>
      <c r="J1286">
        <v>-214.3999</v>
      </c>
      <c r="K1286">
        <v>1.1055489999999999</v>
      </c>
      <c r="L1286">
        <v>366.68520000000001</v>
      </c>
      <c r="M1286">
        <v>0.99488690000000002</v>
      </c>
      <c r="N1286">
        <v>0</v>
      </c>
      <c r="O1286">
        <v>-9.9935159999999995E-2</v>
      </c>
      <c r="P1286">
        <v>0.92049259999999999</v>
      </c>
      <c r="Q1286">
        <v>0.17024249999999999</v>
      </c>
      <c r="R1286">
        <v>-0.35172520000000002</v>
      </c>
      <c r="S1286">
        <v>2.724701</v>
      </c>
      <c r="T1286">
        <v>-0.25087670000000001</v>
      </c>
      <c r="U1286">
        <v>-1.52478</v>
      </c>
      <c r="V1286">
        <v>0.26000010000000001</v>
      </c>
      <c r="W1286">
        <v>0.1812164</v>
      </c>
      <c r="X1286">
        <v>0.94845170000000001</v>
      </c>
      <c r="Y1286">
        <v>0.39773639999999999</v>
      </c>
      <c r="Z1286">
        <v>-8.5400189999999994E-3</v>
      </c>
      <c r="AA1286">
        <v>0.91746000000000005</v>
      </c>
      <c r="AB1286">
        <v>31</v>
      </c>
      <c r="AC1286">
        <v>11.8316</v>
      </c>
      <c r="AD1286">
        <v>-1.105552866609</v>
      </c>
      <c r="AE1286">
        <v>-6.6994999999999996</v>
      </c>
      <c r="AF1286">
        <v>5.4474210215424703</v>
      </c>
      <c r="AG1286">
        <v>-1.105552866609</v>
      </c>
      <c r="AH1286">
        <v>12.3602264960703</v>
      </c>
      <c r="AI1286">
        <v>94.679114861370905</v>
      </c>
      <c r="AJ1286">
        <v>66.215867489730897</v>
      </c>
      <c r="AK1286">
        <v>13.5525585023997</v>
      </c>
      <c r="AL1286">
        <v>79.559380653306803</v>
      </c>
      <c r="AM1286">
        <v>74.670043534567995</v>
      </c>
      <c r="AN1286">
        <v>1.0000000314309201</v>
      </c>
    </row>
    <row r="1287" spans="1:40" x14ac:dyDescent="0.25">
      <c r="A1287" t="str">
        <f>"20190312172916411"</f>
        <v>20190312172916411</v>
      </c>
      <c r="B1287" t="str">
        <f>"1552382956408294"</f>
        <v>1552382956408294</v>
      </c>
      <c r="C1287" t="s">
        <v>40</v>
      </c>
      <c r="D1287">
        <v>3.367076</v>
      </c>
      <c r="E1287">
        <v>0.55893559999999998</v>
      </c>
      <c r="F1287" t="s">
        <v>45</v>
      </c>
      <c r="G1287">
        <v>-202.48339999999999</v>
      </c>
      <c r="H1287" s="1">
        <v>-3.8332510000000003E-6</v>
      </c>
      <c r="I1287">
        <v>359.9434</v>
      </c>
      <c r="J1287">
        <v>-214.2345</v>
      </c>
      <c r="K1287">
        <v>1.1055200000000001</v>
      </c>
      <c r="L1287">
        <v>366.66570000000002</v>
      </c>
      <c r="M1287">
        <v>0.99459249999999999</v>
      </c>
      <c r="N1287">
        <v>0</v>
      </c>
      <c r="O1287">
        <v>-0.1028254</v>
      </c>
      <c r="P1287">
        <v>0.91946859999999997</v>
      </c>
      <c r="Q1287">
        <v>0.17007079999999999</v>
      </c>
      <c r="R1287">
        <v>-0.35447719999999999</v>
      </c>
      <c r="S1287">
        <v>2.7181700000000002</v>
      </c>
      <c r="T1287">
        <v>-0.25217810000000002</v>
      </c>
      <c r="U1287">
        <v>-1.537811</v>
      </c>
      <c r="V1287">
        <v>0.26008910000000002</v>
      </c>
      <c r="W1287">
        <v>0.18102779999999999</v>
      </c>
      <c r="X1287">
        <v>0.94846330000000001</v>
      </c>
      <c r="Y1287">
        <v>0.39934209999999998</v>
      </c>
      <c r="Z1287">
        <v>-8.417519E-3</v>
      </c>
      <c r="AA1287">
        <v>0.91676329999999995</v>
      </c>
      <c r="AB1287">
        <v>31</v>
      </c>
      <c r="AC1287">
        <v>11.751099999999999</v>
      </c>
      <c r="AD1287">
        <v>-1.105523833251</v>
      </c>
      <c r="AE1287">
        <v>-6.7223000000000104</v>
      </c>
      <c r="AF1287">
        <v>5.4419308422039396</v>
      </c>
      <c r="AG1287">
        <v>-1.105523833251</v>
      </c>
      <c r="AH1287">
        <v>12.2980862745713</v>
      </c>
      <c r="AI1287">
        <v>94.699449745357001</v>
      </c>
      <c r="AJ1287">
        <v>66.130502148443696</v>
      </c>
      <c r="AK1287">
        <v>13.4936918689443</v>
      </c>
      <c r="AL1287">
        <v>79.570368224075807</v>
      </c>
      <c r="AM1287">
        <v>74.665221694517996</v>
      </c>
      <c r="AN1287">
        <v>1.0000000178792601</v>
      </c>
    </row>
    <row r="1288" spans="1:40" x14ac:dyDescent="0.25">
      <c r="A1288" t="str">
        <f>"20190312172916424"</f>
        <v>20190312172916424</v>
      </c>
      <c r="B1288" t="str">
        <f>"1552382956419028"</f>
        <v>1552382956419028</v>
      </c>
      <c r="C1288" t="s">
        <v>40</v>
      </c>
      <c r="D1288">
        <v>3.4094250000000001</v>
      </c>
      <c r="E1288">
        <v>0.55922469999999902</v>
      </c>
      <c r="F1288" t="s">
        <v>45</v>
      </c>
      <c r="G1288">
        <v>-202.38140000000001</v>
      </c>
      <c r="H1288" s="1">
        <v>-3.7954059999999999E-6</v>
      </c>
      <c r="I1288">
        <v>359.88249999999999</v>
      </c>
      <c r="J1288">
        <v>-214.04900000000001</v>
      </c>
      <c r="K1288">
        <v>1.1054870000000001</v>
      </c>
      <c r="L1288">
        <v>366.64339999999999</v>
      </c>
      <c r="M1288">
        <v>0.99424979999999996</v>
      </c>
      <c r="N1288">
        <v>0</v>
      </c>
      <c r="O1288">
        <v>-0.1060859</v>
      </c>
      <c r="P1288">
        <v>0.91818750000000005</v>
      </c>
      <c r="Q1288">
        <v>0.1698366</v>
      </c>
      <c r="R1288">
        <v>-0.35789280000000001</v>
      </c>
      <c r="S1288">
        <v>2.7113339999999999</v>
      </c>
      <c r="T1288">
        <v>-0.25288129999999998</v>
      </c>
      <c r="U1288">
        <v>-1.5516049999999999</v>
      </c>
      <c r="V1288">
        <v>0.26051289999999999</v>
      </c>
      <c r="W1288">
        <v>0.18076990000000001</v>
      </c>
      <c r="X1288">
        <v>0.94839609999999996</v>
      </c>
      <c r="Y1288">
        <v>0.40084769999999997</v>
      </c>
      <c r="Z1288">
        <v>-8.2380919999999903E-3</v>
      </c>
      <c r="AA1288">
        <v>0.91610769999999997</v>
      </c>
      <c r="AB1288">
        <v>31</v>
      </c>
      <c r="AC1288">
        <v>11.667599999999901</v>
      </c>
      <c r="AD1288">
        <v>-1.105490795406</v>
      </c>
      <c r="AE1288">
        <v>-6.7608999999999897</v>
      </c>
      <c r="AF1288">
        <v>5.4482242346019802</v>
      </c>
      <c r="AG1288">
        <v>-1.105490795406</v>
      </c>
      <c r="AH1288">
        <v>12.236817919821799</v>
      </c>
      <c r="AI1288">
        <v>94.717976046704905</v>
      </c>
      <c r="AJ1288">
        <v>65.999836349060104</v>
      </c>
      <c r="AK1288">
        <v>13.4404229848656</v>
      </c>
      <c r="AL1288">
        <v>79.585391917468399</v>
      </c>
      <c r="AM1288">
        <v>74.640376700396203</v>
      </c>
      <c r="AN1288">
        <v>0.99999994515381296</v>
      </c>
    </row>
    <row r="1289" spans="1:40" x14ac:dyDescent="0.25">
      <c r="A1289" t="str">
        <f>"20190312172916438"</f>
        <v>20190312172916438</v>
      </c>
      <c r="B1289" t="str">
        <f>"1552382956428788"</f>
        <v>1552382956428788</v>
      </c>
      <c r="C1289" t="s">
        <v>40</v>
      </c>
      <c r="D1289">
        <v>3.3964349999999999</v>
      </c>
      <c r="E1289">
        <v>0.55951280000000003</v>
      </c>
      <c r="F1289" t="s">
        <v>45</v>
      </c>
      <c r="G1289">
        <v>-202.27430000000001</v>
      </c>
      <c r="H1289" s="1">
        <v>-3.7515169999999998E-6</v>
      </c>
      <c r="I1289">
        <v>359.8374</v>
      </c>
      <c r="J1289">
        <v>-213.84649999999999</v>
      </c>
      <c r="K1289">
        <v>1.1054550000000001</v>
      </c>
      <c r="L1289">
        <v>366.6182</v>
      </c>
      <c r="M1289">
        <v>0.9938591</v>
      </c>
      <c r="N1289">
        <v>0</v>
      </c>
      <c r="O1289">
        <v>-0.1096864</v>
      </c>
      <c r="P1289">
        <v>0.91674990000000001</v>
      </c>
      <c r="Q1289">
        <v>0.169458</v>
      </c>
      <c r="R1289">
        <v>-0.36173709999999998</v>
      </c>
      <c r="S1289">
        <v>2.7048800000000002</v>
      </c>
      <c r="T1289">
        <v>-0.25395259999999997</v>
      </c>
      <c r="U1289">
        <v>-1.563477</v>
      </c>
      <c r="V1289">
        <v>0.26105630000000002</v>
      </c>
      <c r="W1289">
        <v>0.1803652</v>
      </c>
      <c r="X1289">
        <v>0.94832380000000005</v>
      </c>
      <c r="Y1289">
        <v>0.40149269999999998</v>
      </c>
      <c r="Z1289">
        <v>-8.0027750000000002E-3</v>
      </c>
      <c r="AA1289">
        <v>0.91582730000000001</v>
      </c>
      <c r="AB1289">
        <v>31</v>
      </c>
      <c r="AC1289">
        <v>11.572199999999899</v>
      </c>
      <c r="AD1289">
        <v>-1.10545875151699</v>
      </c>
      <c r="AE1289">
        <v>-6.7807999999999904</v>
      </c>
      <c r="AF1289">
        <v>5.4335191574398101</v>
      </c>
      <c r="AG1289">
        <v>-1.10545875151699</v>
      </c>
      <c r="AH1289">
        <v>12.1635740410329</v>
      </c>
      <c r="AI1289">
        <v>94.743533026378799</v>
      </c>
      <c r="AJ1289">
        <v>65.929485689734193</v>
      </c>
      <c r="AK1289">
        <v>13.367786014791699</v>
      </c>
      <c r="AL1289">
        <v>79.608967751865194</v>
      </c>
      <c r="AM1289">
        <v>74.608738096518607</v>
      </c>
      <c r="AN1289">
        <v>1.00000001339358</v>
      </c>
    </row>
    <row r="1290" spans="1:40" x14ac:dyDescent="0.25">
      <c r="A1290" t="str">
        <f>"20190312172916453"</f>
        <v>20190312172916453</v>
      </c>
      <c r="B1290" t="str">
        <f>"1552382956448309"</f>
        <v>1552382956448309</v>
      </c>
      <c r="C1290" t="s">
        <v>40</v>
      </c>
      <c r="D1290">
        <v>3.3936160000000002</v>
      </c>
      <c r="E1290">
        <v>0.55999129999999997</v>
      </c>
      <c r="F1290" t="s">
        <v>45</v>
      </c>
      <c r="G1290">
        <v>-202.184</v>
      </c>
      <c r="H1290" s="1">
        <v>-3.7139339999999998E-6</v>
      </c>
      <c r="I1290">
        <v>359.80200000000002</v>
      </c>
      <c r="J1290">
        <v>-213.66419999999999</v>
      </c>
      <c r="K1290">
        <v>1.105426</v>
      </c>
      <c r="L1290">
        <v>366.59480000000002</v>
      </c>
      <c r="M1290">
        <v>0.99349299999999996</v>
      </c>
      <c r="N1290">
        <v>0</v>
      </c>
      <c r="O1290">
        <v>-0.1129542</v>
      </c>
      <c r="P1290">
        <v>0.91561879999999995</v>
      </c>
      <c r="Q1290">
        <v>0.16911129999999999</v>
      </c>
      <c r="R1290">
        <v>-0.36475200000000002</v>
      </c>
      <c r="S1290">
        <v>2.6975859999999998</v>
      </c>
      <c r="T1290">
        <v>-0.25569750000000002</v>
      </c>
      <c r="U1290">
        <v>-1.5765990000000001</v>
      </c>
      <c r="V1290">
        <v>0.26106020000000002</v>
      </c>
      <c r="W1290">
        <v>0.1800021</v>
      </c>
      <c r="X1290">
        <v>0.94839169999999995</v>
      </c>
      <c r="Y1290">
        <v>0.4028737</v>
      </c>
      <c r="Z1290">
        <v>-7.8474530000000008E-3</v>
      </c>
      <c r="AA1290">
        <v>0.91522199999999998</v>
      </c>
      <c r="AB1290">
        <v>31</v>
      </c>
      <c r="AC1290">
        <v>11.4801999999999</v>
      </c>
      <c r="AD1290">
        <v>-1.1054297139339999</v>
      </c>
      <c r="AE1290">
        <v>-6.7928000000000504</v>
      </c>
      <c r="AF1290">
        <v>5.4152541764855799</v>
      </c>
      <c r="AG1290">
        <v>-1.1054297139339999</v>
      </c>
      <c r="AH1290">
        <v>12.091035662181</v>
      </c>
      <c r="AI1290">
        <v>94.769665759533495</v>
      </c>
      <c r="AJ1290">
        <v>65.873658200636697</v>
      </c>
      <c r="AK1290">
        <v>13.294363318057901</v>
      </c>
      <c r="AL1290">
        <v>79.6301178789234</v>
      </c>
      <c r="AM1290">
        <v>74.609568768033796</v>
      </c>
      <c r="AN1290">
        <v>1.00000000032867</v>
      </c>
    </row>
    <row r="1291" spans="1:40" x14ac:dyDescent="0.25">
      <c r="A1291" t="str">
        <f>"20190312172916464"</f>
        <v>20190312172916464</v>
      </c>
      <c r="B1291" t="str">
        <f>"1552382956459046"</f>
        <v>1552382956459046</v>
      </c>
      <c r="C1291" t="s">
        <v>40</v>
      </c>
      <c r="D1291">
        <v>3.411146</v>
      </c>
      <c r="E1291">
        <v>0.56017819999999996</v>
      </c>
      <c r="F1291" t="s">
        <v>45</v>
      </c>
      <c r="G1291">
        <v>-202.08760000000001</v>
      </c>
      <c r="H1291" s="1">
        <v>-3.6755560000000001E-6</v>
      </c>
      <c r="I1291">
        <v>359.75630000000001</v>
      </c>
      <c r="J1291">
        <v>-213.49080000000001</v>
      </c>
      <c r="K1291">
        <v>1.1053959999999901</v>
      </c>
      <c r="L1291">
        <v>366.57220000000001</v>
      </c>
      <c r="M1291">
        <v>0.99313280000000004</v>
      </c>
      <c r="N1291">
        <v>0</v>
      </c>
      <c r="O1291">
        <v>-0.1160769</v>
      </c>
      <c r="P1291">
        <v>0.91460980000000003</v>
      </c>
      <c r="Q1291">
        <v>0.1687929</v>
      </c>
      <c r="R1291">
        <v>-0.36742049999999998</v>
      </c>
      <c r="S1291">
        <v>2.69075</v>
      </c>
      <c r="T1291">
        <v>-0.25693490000000002</v>
      </c>
      <c r="U1291">
        <v>-1.5894779999999999</v>
      </c>
      <c r="V1291">
        <v>0.26084590000000002</v>
      </c>
      <c r="W1291">
        <v>0.1796719</v>
      </c>
      <c r="X1291">
        <v>0.9485133</v>
      </c>
      <c r="Y1291">
        <v>0.40425909999999998</v>
      </c>
      <c r="Z1291">
        <v>-7.6856019999999997E-3</v>
      </c>
      <c r="AA1291">
        <v>0.91461219999999999</v>
      </c>
      <c r="AB1291">
        <v>31</v>
      </c>
      <c r="AC1291">
        <v>11.403199999999901</v>
      </c>
      <c r="AD1291">
        <v>-1.1053996755559901</v>
      </c>
      <c r="AE1291">
        <v>-6.8158999999999903</v>
      </c>
      <c r="AF1291">
        <v>5.4085810438250403</v>
      </c>
      <c r="AG1291">
        <v>-1.1053996755559901</v>
      </c>
      <c r="AH1291">
        <v>12.034036907690201</v>
      </c>
      <c r="AI1291">
        <v>94.789232233050399</v>
      </c>
      <c r="AJ1291">
        <v>65.798928867079894</v>
      </c>
      <c r="AK1291">
        <v>13.239815015550301</v>
      </c>
      <c r="AL1291">
        <v>79.649350792836202</v>
      </c>
      <c r="AM1291">
        <v>74.623482418098206</v>
      </c>
      <c r="AN1291">
        <v>1.0000000277366501</v>
      </c>
    </row>
    <row r="1292" spans="1:40" x14ac:dyDescent="0.25">
      <c r="A1292" t="str">
        <f>"20190312172916475"</f>
        <v>20190312172916475</v>
      </c>
      <c r="B1292" t="str">
        <f>"1552382956468805"</f>
        <v>1552382956468805</v>
      </c>
      <c r="C1292" t="s">
        <v>40</v>
      </c>
      <c r="D1292">
        <v>3.3811659999999999</v>
      </c>
      <c r="E1292">
        <v>0.56033829999999996</v>
      </c>
      <c r="F1292" t="s">
        <v>45</v>
      </c>
      <c r="G1292">
        <v>-201.9752</v>
      </c>
      <c r="H1292" s="1">
        <v>-3.628153E-6</v>
      </c>
      <c r="I1292">
        <v>359.7149</v>
      </c>
      <c r="J1292">
        <v>-213.32730000000001</v>
      </c>
      <c r="K1292">
        <v>1.1053710000000001</v>
      </c>
      <c r="L1292">
        <v>366.55009999999999</v>
      </c>
      <c r="M1292">
        <v>0.99278010000000005</v>
      </c>
      <c r="N1292">
        <v>0</v>
      </c>
      <c r="O1292">
        <v>-0.119056</v>
      </c>
      <c r="P1292">
        <v>0.91367770000000004</v>
      </c>
      <c r="Q1292">
        <v>0.16837289999999999</v>
      </c>
      <c r="R1292">
        <v>-0.36992390000000003</v>
      </c>
      <c r="S1292">
        <v>2.6853030000000002</v>
      </c>
      <c r="T1292">
        <v>-0.25776470000000001</v>
      </c>
      <c r="U1292">
        <v>-1.59903</v>
      </c>
      <c r="V1292">
        <v>0.26059510000000002</v>
      </c>
      <c r="W1292">
        <v>0.17924179999999901</v>
      </c>
      <c r="X1292">
        <v>0.94866360000000005</v>
      </c>
      <c r="Y1292">
        <v>0.40473510000000001</v>
      </c>
      <c r="Z1292">
        <v>-7.4806150000000004E-3</v>
      </c>
      <c r="AA1292">
        <v>0.91440339999999998</v>
      </c>
      <c r="AB1292">
        <v>31</v>
      </c>
      <c r="AC1292">
        <v>11.3521</v>
      </c>
      <c r="AD1292">
        <v>-1.1053746281529999</v>
      </c>
      <c r="AE1292">
        <v>-6.83519999999998</v>
      </c>
      <c r="AF1292">
        <v>5.3973370479134397</v>
      </c>
      <c r="AG1292">
        <v>-1.1053746281529999</v>
      </c>
      <c r="AH1292">
        <v>12.001685401399699</v>
      </c>
      <c r="AI1292">
        <v>94.801482521751097</v>
      </c>
      <c r="AJ1292">
        <v>65.785839170572601</v>
      </c>
      <c r="AK1292">
        <v>13.205815111212001</v>
      </c>
      <c r="AL1292">
        <v>79.674400363153794</v>
      </c>
      <c r="AM1292">
        <v>74.639886939777895</v>
      </c>
      <c r="AN1292">
        <v>1.0000000274881</v>
      </c>
    </row>
    <row r="1293" spans="1:40" x14ac:dyDescent="0.25">
      <c r="A1293" t="str">
        <f>"20190312172916488"</f>
        <v>20190312172916488</v>
      </c>
      <c r="B1293" t="str">
        <f>"1552382956478565"</f>
        <v>1552382956478565</v>
      </c>
      <c r="C1293" t="s">
        <v>40</v>
      </c>
      <c r="D1293">
        <v>3.3828480000000001</v>
      </c>
      <c r="E1293">
        <v>0.56052349999999995</v>
      </c>
      <c r="F1293" t="s">
        <v>45</v>
      </c>
      <c r="G1293">
        <v>-201.881</v>
      </c>
      <c r="H1293" s="1">
        <v>-3.5880429999999999E-6</v>
      </c>
      <c r="I1293">
        <v>359.68209999999999</v>
      </c>
      <c r="J1293">
        <v>-213.1694</v>
      </c>
      <c r="K1293">
        <v>1.1053459999999999</v>
      </c>
      <c r="L1293">
        <v>366.52839999999998</v>
      </c>
      <c r="M1293">
        <v>0.99242929999999996</v>
      </c>
      <c r="N1293">
        <v>0</v>
      </c>
      <c r="O1293">
        <v>-0.12194530000000001</v>
      </c>
      <c r="P1293">
        <v>0.91273269999999995</v>
      </c>
      <c r="Q1293">
        <v>0.16829129999999901</v>
      </c>
      <c r="R1293">
        <v>-0.37228600000000001</v>
      </c>
      <c r="S1293">
        <v>2.6800380000000001</v>
      </c>
      <c r="T1293">
        <v>-0.2588125</v>
      </c>
      <c r="U1293">
        <v>-1.608063</v>
      </c>
      <c r="V1293">
        <v>0.26029570000000002</v>
      </c>
      <c r="W1293">
        <v>0.179149799999999</v>
      </c>
      <c r="X1293">
        <v>0.94876309999999997</v>
      </c>
      <c r="Y1293">
        <v>0.40513300000000002</v>
      </c>
      <c r="Z1293">
        <v>-7.2842540000000004E-3</v>
      </c>
      <c r="AA1293">
        <v>0.91422870000000001</v>
      </c>
      <c r="AB1293">
        <v>31</v>
      </c>
      <c r="AC1293">
        <v>11.288399999999999</v>
      </c>
      <c r="AD1293">
        <v>-1.105349588043</v>
      </c>
      <c r="AE1293">
        <v>-6.8462999999999798</v>
      </c>
      <c r="AF1293">
        <v>5.3807618651476696</v>
      </c>
      <c r="AG1293">
        <v>-1.105349588043</v>
      </c>
      <c r="AH1293">
        <v>11.955294225029901</v>
      </c>
      <c r="AI1293">
        <v>94.8192741605382</v>
      </c>
      <c r="AJ1293">
        <v>65.768749719897201</v>
      </c>
      <c r="AK1293">
        <v>13.156878655982499</v>
      </c>
      <c r="AL1293">
        <v>79.679757608715093</v>
      </c>
      <c r="AM1293">
        <v>74.658235480727399</v>
      </c>
      <c r="AN1293">
        <v>0.99999996110006895</v>
      </c>
    </row>
    <row r="1294" spans="1:40" x14ac:dyDescent="0.25">
      <c r="A1294" t="str">
        <f>"20190312172916499"</f>
        <v>20190312172916499</v>
      </c>
      <c r="B1294" t="str">
        <f>"1552382956488325"</f>
        <v>1552382956488325</v>
      </c>
      <c r="C1294" t="s">
        <v>40</v>
      </c>
      <c r="D1294">
        <v>3.4017330000000001</v>
      </c>
      <c r="E1294">
        <v>0.5607221</v>
      </c>
      <c r="F1294" t="s">
        <v>45</v>
      </c>
      <c r="G1294">
        <v>-201.74969999999999</v>
      </c>
      <c r="H1294" s="1">
        <v>-3.5348049999999999E-6</v>
      </c>
      <c r="I1294">
        <v>359.62419999999997</v>
      </c>
      <c r="J1294">
        <v>-213.00309999999999</v>
      </c>
      <c r="K1294">
        <v>1.1053170000000001</v>
      </c>
      <c r="L1294">
        <v>366.505</v>
      </c>
      <c r="M1294">
        <v>0.99204789999999998</v>
      </c>
      <c r="N1294">
        <v>0</v>
      </c>
      <c r="O1294">
        <v>-0.1250116</v>
      </c>
      <c r="P1294">
        <v>0.91169610000000001</v>
      </c>
      <c r="Q1294">
        <v>0.16807620000000001</v>
      </c>
      <c r="R1294">
        <v>-0.37491479999999999</v>
      </c>
      <c r="S1294">
        <v>2.6749269999999998</v>
      </c>
      <c r="T1294">
        <v>-0.25891320000000001</v>
      </c>
      <c r="U1294">
        <v>-1.617218</v>
      </c>
      <c r="V1294">
        <v>0.2601021</v>
      </c>
      <c r="W1294">
        <v>0.17892269999999999</v>
      </c>
      <c r="X1294">
        <v>0.94885909999999996</v>
      </c>
      <c r="Y1294">
        <v>0.40538229999999997</v>
      </c>
      <c r="Z1294">
        <v>-7.0376419999999898E-3</v>
      </c>
      <c r="AA1294">
        <v>0.91412009999999999</v>
      </c>
      <c r="AB1294">
        <v>31</v>
      </c>
      <c r="AC1294">
        <v>11.253399999999999</v>
      </c>
      <c r="AD1294">
        <v>-1.1053205348049999</v>
      </c>
      <c r="AE1294">
        <v>-6.8808000000000202</v>
      </c>
      <c r="AF1294">
        <v>5.3820617713155903</v>
      </c>
      <c r="AG1294">
        <v>-1.1053205348049999</v>
      </c>
      <c r="AH1294">
        <v>11.941518445989701</v>
      </c>
      <c r="AI1294">
        <v>94.823552121479594</v>
      </c>
      <c r="AJ1294">
        <v>65.738832970936897</v>
      </c>
      <c r="AK1294">
        <v>13.144891980949501</v>
      </c>
      <c r="AL1294">
        <v>79.692983717326598</v>
      </c>
      <c r="AM1294">
        <v>74.670587253389002</v>
      </c>
      <c r="AN1294">
        <v>1.0000000133262501</v>
      </c>
    </row>
    <row r="1295" spans="1:40" x14ac:dyDescent="0.25">
      <c r="A1295" t="str">
        <f>"20190312172916510"</f>
        <v>20190312172916510</v>
      </c>
      <c r="B1295" t="str">
        <f>"1552382956498085"</f>
        <v>1552382956498085</v>
      </c>
      <c r="C1295" t="s">
        <v>40</v>
      </c>
      <c r="D1295">
        <v>3.3961510000000001</v>
      </c>
      <c r="E1295">
        <v>0.56090329999999999</v>
      </c>
      <c r="F1295" t="s">
        <v>45</v>
      </c>
      <c r="G1295">
        <v>-201.62540000000001</v>
      </c>
      <c r="H1295" s="1">
        <v>-6.1881460000000001E-6</v>
      </c>
      <c r="I1295">
        <v>359.57190000000003</v>
      </c>
      <c r="J1295">
        <v>-212.8518</v>
      </c>
      <c r="K1295">
        <v>1.1052879999999901</v>
      </c>
      <c r="L1295">
        <v>366.48309999999998</v>
      </c>
      <c r="M1295">
        <v>0.99168880000000004</v>
      </c>
      <c r="N1295">
        <v>0</v>
      </c>
      <c r="O1295">
        <v>-0.12782689999999999</v>
      </c>
      <c r="P1295">
        <v>0.91057109999999997</v>
      </c>
      <c r="Q1295">
        <v>0.16819790000000001</v>
      </c>
      <c r="R1295">
        <v>-0.37758429999999998</v>
      </c>
      <c r="S1295">
        <v>2.6694490000000002</v>
      </c>
      <c r="T1295">
        <v>-0.2593319</v>
      </c>
      <c r="U1295">
        <v>-1.6266480000000001</v>
      </c>
      <c r="V1295">
        <v>0.26020539999999998</v>
      </c>
      <c r="W1295">
        <v>0.17902689999999999</v>
      </c>
      <c r="X1295">
        <v>0.94881110000000002</v>
      </c>
      <c r="Y1295">
        <v>0.40598089999999998</v>
      </c>
      <c r="Z1295">
        <v>-6.8371019999999899E-3</v>
      </c>
      <c r="AA1295">
        <v>0.913856</v>
      </c>
      <c r="AB1295">
        <v>31</v>
      </c>
      <c r="AC1295">
        <v>11.2263999999999</v>
      </c>
      <c r="AD1295">
        <v>-1.1052941881459999</v>
      </c>
      <c r="AE1295">
        <v>-6.9111999999999503</v>
      </c>
      <c r="AF1295">
        <v>5.38147437991248</v>
      </c>
      <c r="AG1295">
        <v>-1.1052941881459999</v>
      </c>
      <c r="AH1295">
        <v>11.9339284707858</v>
      </c>
      <c r="AI1295">
        <v>94.826063603877103</v>
      </c>
      <c r="AJ1295">
        <v>65.727527238915997</v>
      </c>
      <c r="AK1295">
        <v>13.1377543929636</v>
      </c>
      <c r="AL1295">
        <v>79.686915298721004</v>
      </c>
      <c r="AM1295">
        <v>74.6640464372542</v>
      </c>
      <c r="AN1295">
        <v>0.99999999229798997</v>
      </c>
    </row>
    <row r="1296" spans="1:40" x14ac:dyDescent="0.25">
      <c r="A1296" t="str">
        <f>"20190312172916522"</f>
        <v>20190312172916522</v>
      </c>
      <c r="B1296" t="str">
        <f>"1552382956518581"</f>
        <v>1552382956518581</v>
      </c>
      <c r="C1296" t="s">
        <v>40</v>
      </c>
      <c r="D1296">
        <v>3.4044759999999998</v>
      </c>
      <c r="E1296">
        <v>0.56123940000000005</v>
      </c>
      <c r="F1296" t="s">
        <v>45</v>
      </c>
      <c r="G1296">
        <v>-201.4666</v>
      </c>
      <c r="H1296" s="1">
        <v>-6.2285630000000004E-6</v>
      </c>
      <c r="I1296">
        <v>359.4907</v>
      </c>
      <c r="J1296">
        <v>-212.6858</v>
      </c>
      <c r="K1296">
        <v>1.1052569999999999</v>
      </c>
      <c r="L1296">
        <v>366.4588</v>
      </c>
      <c r="M1296">
        <v>0.9912841</v>
      </c>
      <c r="N1296">
        <v>0</v>
      </c>
      <c r="O1296">
        <v>-0.13092909999999999</v>
      </c>
      <c r="P1296">
        <v>0.90940759999999998</v>
      </c>
      <c r="Q1296">
        <v>0.16807359999999999</v>
      </c>
      <c r="R1296">
        <v>-0.38043320000000003</v>
      </c>
      <c r="S1296">
        <v>2.6639560000000002</v>
      </c>
      <c r="T1296">
        <v>-0.25861990000000001</v>
      </c>
      <c r="U1296">
        <v>-1.6361079999999999</v>
      </c>
      <c r="V1296">
        <v>0.2602159</v>
      </c>
      <c r="W1296">
        <v>0.17888519999999999</v>
      </c>
      <c r="X1296">
        <v>0.94883499999999998</v>
      </c>
      <c r="Y1296">
        <v>0.40633350000000001</v>
      </c>
      <c r="Z1296">
        <v>-6.570981E-3</v>
      </c>
      <c r="AA1296">
        <v>0.91370119999999999</v>
      </c>
      <c r="AB1296">
        <v>31</v>
      </c>
      <c r="AC1296">
        <v>11.219200000000001</v>
      </c>
      <c r="AD1296">
        <v>-1.105263228563</v>
      </c>
      <c r="AE1296">
        <v>-6.96809999999999</v>
      </c>
      <c r="AF1296">
        <v>5.40119937524861</v>
      </c>
      <c r="AG1296">
        <v>-1.105263228563</v>
      </c>
      <c r="AH1296">
        <v>11.9513232482843</v>
      </c>
      <c r="AI1296">
        <v>94.817150442275803</v>
      </c>
      <c r="AJ1296">
        <v>65.680211279932493</v>
      </c>
      <c r="AK1296">
        <v>13.161637013706899</v>
      </c>
      <c r="AL1296">
        <v>79.695167853998697</v>
      </c>
      <c r="AM1296">
        <v>74.663824847892997</v>
      </c>
      <c r="AN1296">
        <v>1.00000004330842</v>
      </c>
    </row>
    <row r="1297" spans="1:40" x14ac:dyDescent="0.25">
      <c r="A1297" t="str">
        <f>"20190312172916533"</f>
        <v>20190312172916533</v>
      </c>
      <c r="B1297" t="str">
        <f>"1552382956528341"</f>
        <v>1552382956528341</v>
      </c>
      <c r="C1297" t="s">
        <v>40</v>
      </c>
      <c r="D1297">
        <v>3.3684889999999998</v>
      </c>
      <c r="E1297">
        <v>0.56138030000000005</v>
      </c>
      <c r="F1297" t="s">
        <v>45</v>
      </c>
      <c r="G1297">
        <v>-201.3373</v>
      </c>
      <c r="H1297" s="1">
        <v>-6.2614839999999997E-6</v>
      </c>
      <c r="I1297">
        <v>359.42469999999997</v>
      </c>
      <c r="J1297">
        <v>-212.53460000000001</v>
      </c>
      <c r="K1297">
        <v>1.105226</v>
      </c>
      <c r="L1297">
        <v>366.4359</v>
      </c>
      <c r="M1297">
        <v>0.9909019</v>
      </c>
      <c r="N1297">
        <v>0</v>
      </c>
      <c r="O1297">
        <v>-0.1337904</v>
      </c>
      <c r="P1297">
        <v>0.90813600000000005</v>
      </c>
      <c r="Q1297">
        <v>0.16806389999999999</v>
      </c>
      <c r="R1297">
        <v>-0.38346279999999999</v>
      </c>
      <c r="S1297">
        <v>2.657578</v>
      </c>
      <c r="T1297">
        <v>-0.25883040000000002</v>
      </c>
      <c r="U1297">
        <v>-1.6472469999999999</v>
      </c>
      <c r="V1297">
        <v>0.26065389999999999</v>
      </c>
      <c r="W1297">
        <v>0.17885190000000001</v>
      </c>
      <c r="X1297">
        <v>0.94872100000000004</v>
      </c>
      <c r="Y1297">
        <v>0.40744900000000001</v>
      </c>
      <c r="Z1297">
        <v>-6.3844729999999999E-3</v>
      </c>
      <c r="AA1297">
        <v>0.91320559999999995</v>
      </c>
      <c r="AB1297">
        <v>31</v>
      </c>
      <c r="AC1297">
        <v>11.1973</v>
      </c>
      <c r="AD1297">
        <v>-1.105232261484</v>
      </c>
      <c r="AE1297">
        <v>-7.0112000000000299</v>
      </c>
      <c r="AF1297">
        <v>5.4120246595656401</v>
      </c>
      <c r="AG1297">
        <v>-1.105232261484</v>
      </c>
      <c r="AH1297">
        <v>11.951099347067199</v>
      </c>
      <c r="AI1297">
        <v>94.815460097779507</v>
      </c>
      <c r="AJ1297">
        <v>65.636727093392196</v>
      </c>
      <c r="AK1297">
        <v>13.1658772921154</v>
      </c>
      <c r="AL1297">
        <v>79.697106592649703</v>
      </c>
      <c r="AM1297">
        <v>74.637470472620905</v>
      </c>
      <c r="AN1297">
        <v>0.99999999677991003</v>
      </c>
    </row>
    <row r="1298" spans="1:40" x14ac:dyDescent="0.25">
      <c r="A1298" t="str">
        <f>"20190312172916544"</f>
        <v>20190312172916544</v>
      </c>
      <c r="B1298" t="str">
        <f>"1552382956539077"</f>
        <v>1552382956539077</v>
      </c>
      <c r="C1298" t="s">
        <v>40</v>
      </c>
      <c r="D1298">
        <v>3.3867609999999999</v>
      </c>
      <c r="E1298">
        <v>0.56153199999999903</v>
      </c>
      <c r="F1298" t="s">
        <v>45</v>
      </c>
      <c r="G1298">
        <v>-201.20609999999999</v>
      </c>
      <c r="H1298" s="1">
        <v>-6.2943089999999996E-6</v>
      </c>
      <c r="I1298">
        <v>359.35570000000001</v>
      </c>
      <c r="J1298">
        <v>-212.3758</v>
      </c>
      <c r="K1298">
        <v>1.1051959999999901</v>
      </c>
      <c r="L1298">
        <v>366.4117</v>
      </c>
      <c r="M1298">
        <v>0.99048999999999998</v>
      </c>
      <c r="N1298">
        <v>0</v>
      </c>
      <c r="O1298">
        <v>-0.13680610000000001</v>
      </c>
      <c r="P1298">
        <v>0.90688840000000004</v>
      </c>
      <c r="Q1298">
        <v>0.16811199999999901</v>
      </c>
      <c r="R1298">
        <v>-0.38638289999999997</v>
      </c>
      <c r="S1298">
        <v>2.6515960000000001</v>
      </c>
      <c r="T1298">
        <v>-0.25869449999999999</v>
      </c>
      <c r="U1298">
        <v>-1.657227</v>
      </c>
      <c r="V1298">
        <v>0.26083499999999998</v>
      </c>
      <c r="W1298">
        <v>0.1788787</v>
      </c>
      <c r="X1298">
        <v>0.94866620000000002</v>
      </c>
      <c r="Y1298">
        <v>0.40807579999999999</v>
      </c>
      <c r="Z1298">
        <v>-6.153698E-3</v>
      </c>
      <c r="AA1298">
        <v>0.9129273</v>
      </c>
      <c r="AB1298">
        <v>31</v>
      </c>
      <c r="AC1298">
        <v>11.169700000000001</v>
      </c>
      <c r="AD1298">
        <v>-1.1052022943090001</v>
      </c>
      <c r="AE1298">
        <v>-7.0559999999999796</v>
      </c>
      <c r="AF1298">
        <v>5.4234452719697197</v>
      </c>
      <c r="AG1298">
        <v>-1.1052022943090001</v>
      </c>
      <c r="AH1298">
        <v>11.946465466463</v>
      </c>
      <c r="AI1298">
        <v>94.815149033320395</v>
      </c>
      <c r="AJ1298">
        <v>65.582945687998901</v>
      </c>
      <c r="AK1298">
        <v>13.1663688187286</v>
      </c>
      <c r="AL1298">
        <v>79.695546168160604</v>
      </c>
      <c r="AM1298">
        <v>74.626455488090699</v>
      </c>
      <c r="AN1298">
        <v>1.0000000227805601</v>
      </c>
    </row>
    <row r="1299" spans="1:40" x14ac:dyDescent="0.25">
      <c r="A1299" t="str">
        <f>"20190312172916555"</f>
        <v>20190312172916555</v>
      </c>
      <c r="B1299" t="str">
        <f>"1552382956548837"</f>
        <v>1552382956548837</v>
      </c>
      <c r="C1299" t="s">
        <v>40</v>
      </c>
      <c r="D1299">
        <v>3.3681079999999999</v>
      </c>
      <c r="E1299">
        <v>0.56171879999999996</v>
      </c>
      <c r="F1299" t="s">
        <v>45</v>
      </c>
      <c r="G1299">
        <v>-201.06120000000001</v>
      </c>
      <c r="H1299" s="1">
        <v>-6.331499E-6</v>
      </c>
      <c r="I1299">
        <v>359.28280000000001</v>
      </c>
      <c r="J1299">
        <v>-212.2252</v>
      </c>
      <c r="K1299">
        <v>1.105164</v>
      </c>
      <c r="L1299">
        <v>366.3879</v>
      </c>
      <c r="M1299">
        <v>0.9900852</v>
      </c>
      <c r="N1299">
        <v>0</v>
      </c>
      <c r="O1299">
        <v>-0.13970529999999901</v>
      </c>
      <c r="P1299">
        <v>0.90573570000000003</v>
      </c>
      <c r="Q1299">
        <v>0.1677215</v>
      </c>
      <c r="R1299">
        <v>-0.38924639999999999</v>
      </c>
      <c r="S1299">
        <v>2.6457060000000001</v>
      </c>
      <c r="T1299">
        <v>-0.25843050000000001</v>
      </c>
      <c r="U1299">
        <v>-1.6669619999999901</v>
      </c>
      <c r="V1299">
        <v>0.26105529999999999</v>
      </c>
      <c r="W1299">
        <v>0.17846719999999999</v>
      </c>
      <c r="X1299">
        <v>0.9486831</v>
      </c>
      <c r="Y1299">
        <v>0.40873399999999999</v>
      </c>
      <c r="Z1299">
        <v>-5.9314839999999999E-3</v>
      </c>
      <c r="AA1299">
        <v>0.91263430000000001</v>
      </c>
      <c r="AB1299">
        <v>31</v>
      </c>
      <c r="AC1299">
        <v>11.1639999999999</v>
      </c>
      <c r="AD1299">
        <v>-1.105170331499</v>
      </c>
      <c r="AE1299">
        <v>-7.1050999999999904</v>
      </c>
      <c r="AF1299">
        <v>5.4376432942320401</v>
      </c>
      <c r="AG1299">
        <v>-1.105170331499</v>
      </c>
      <c r="AH1299">
        <v>11.9637743133895</v>
      </c>
      <c r="AI1299">
        <v>94.807122032085601</v>
      </c>
      <c r="AJ1299">
        <v>65.557775508980399</v>
      </c>
      <c r="AK1299">
        <v>13.1879210597672</v>
      </c>
      <c r="AL1299">
        <v>79.719508925118106</v>
      </c>
      <c r="AM1299">
        <v>74.614347197126804</v>
      </c>
      <c r="AN1299">
        <v>1.0000000176797601</v>
      </c>
    </row>
    <row r="1300" spans="1:40" x14ac:dyDescent="0.25">
      <c r="A1300" t="str">
        <f>"20190312172916567"</f>
        <v>20190312172916567</v>
      </c>
      <c r="B1300" t="str">
        <f>"1552382956558597"</f>
        <v>1552382956558597</v>
      </c>
      <c r="C1300" t="s">
        <v>40</v>
      </c>
      <c r="D1300">
        <v>3.3472330000000001</v>
      </c>
      <c r="E1300">
        <v>0.56186519999999995</v>
      </c>
      <c r="F1300" t="s">
        <v>45</v>
      </c>
      <c r="G1300">
        <v>-200.98179999999999</v>
      </c>
      <c r="H1300" s="1">
        <v>-6.3520259999999998E-6</v>
      </c>
      <c r="I1300">
        <v>359.2432</v>
      </c>
      <c r="J1300">
        <v>-212.07210000000001</v>
      </c>
      <c r="K1300">
        <v>1.105124</v>
      </c>
      <c r="L1300">
        <v>366.36360000000002</v>
      </c>
      <c r="M1300">
        <v>0.98966319999999997</v>
      </c>
      <c r="N1300">
        <v>0</v>
      </c>
      <c r="O1300">
        <v>-0.14266479999999901</v>
      </c>
      <c r="P1300">
        <v>0.90443289999999998</v>
      </c>
      <c r="Q1300">
        <v>0.16781699999999999</v>
      </c>
      <c r="R1300">
        <v>-0.39222319999999999</v>
      </c>
      <c r="S1300">
        <v>2.639481</v>
      </c>
      <c r="T1300">
        <v>-0.25944699999999998</v>
      </c>
      <c r="U1300">
        <v>-1.6772769999999999</v>
      </c>
      <c r="V1300">
        <v>0.26135819999999998</v>
      </c>
      <c r="W1300">
        <v>0.17853849999999999</v>
      </c>
      <c r="X1300">
        <v>0.94858629999999999</v>
      </c>
      <c r="Y1300">
        <v>0.40952100000000002</v>
      </c>
      <c r="Z1300">
        <v>-5.7385810000000004E-3</v>
      </c>
      <c r="AA1300">
        <v>0.91228260000000005</v>
      </c>
      <c r="AB1300">
        <v>31</v>
      </c>
      <c r="AC1300">
        <v>11.090299999999999</v>
      </c>
      <c r="AD1300">
        <v>-1.1051303520260001</v>
      </c>
      <c r="AE1300">
        <v>-7.1204000000000098</v>
      </c>
      <c r="AF1300">
        <v>5.4270264310233802</v>
      </c>
      <c r="AG1300">
        <v>-1.1051303520260001</v>
      </c>
      <c r="AH1300">
        <v>11.909035698752</v>
      </c>
      <c r="AI1300">
        <v>94.826769768010493</v>
      </c>
      <c r="AJ1300">
        <v>65.500931466818102</v>
      </c>
      <c r="AK1300">
        <v>13.1338897609255</v>
      </c>
      <c r="AL1300">
        <v>79.715357251456595</v>
      </c>
      <c r="AM1300">
        <v>74.595845508033193</v>
      </c>
      <c r="AN1300">
        <v>1.0000000366185799</v>
      </c>
    </row>
    <row r="1301" spans="1:40" x14ac:dyDescent="0.25">
      <c r="A1301" t="str">
        <f>"20190312172916577"</f>
        <v>20190312172916577</v>
      </c>
      <c r="B1301" t="str">
        <f>"1552382956568357"</f>
        <v>1552382956568357</v>
      </c>
      <c r="C1301" t="s">
        <v>40</v>
      </c>
      <c r="D1301">
        <v>3.3670589999999998</v>
      </c>
      <c r="E1301">
        <v>0.5620174</v>
      </c>
      <c r="F1301" t="s">
        <v>45</v>
      </c>
      <c r="G1301">
        <v>-200.81700000000001</v>
      </c>
      <c r="H1301" s="1">
        <v>-6.3919840000000004E-6</v>
      </c>
      <c r="I1301">
        <v>359.15230000000003</v>
      </c>
      <c r="J1301">
        <v>-211.92169999999999</v>
      </c>
      <c r="K1301">
        <v>1.105091</v>
      </c>
      <c r="L1301">
        <v>366.339</v>
      </c>
      <c r="M1301">
        <v>0.98923519999999998</v>
      </c>
      <c r="N1301">
        <v>0</v>
      </c>
      <c r="O1301">
        <v>-0.14560219999999999</v>
      </c>
      <c r="P1301">
        <v>0.90316220000000003</v>
      </c>
      <c r="Q1301">
        <v>0.16766349999999999</v>
      </c>
      <c r="R1301">
        <v>-0.39520539999999998</v>
      </c>
      <c r="S1301">
        <v>2.6333009999999999</v>
      </c>
      <c r="T1301">
        <v>-0.25856230000000002</v>
      </c>
      <c r="U1301">
        <v>-1.687195</v>
      </c>
      <c r="V1301">
        <v>0.26168219999999998</v>
      </c>
      <c r="W1301">
        <v>0.17836070000000001</v>
      </c>
      <c r="X1301">
        <v>0.9485304</v>
      </c>
      <c r="Y1301">
        <v>0.41023500000000002</v>
      </c>
      <c r="Z1301">
        <v>-5.5022029999999998E-3</v>
      </c>
      <c r="AA1301">
        <v>0.91196330000000003</v>
      </c>
      <c r="AB1301">
        <v>31</v>
      </c>
      <c r="AC1301">
        <v>11.1046999999999</v>
      </c>
      <c r="AD1301">
        <v>-1.1050973919839999</v>
      </c>
      <c r="AE1301">
        <v>-7.1866999999999699</v>
      </c>
      <c r="AF1301">
        <v>5.4549791725077901</v>
      </c>
      <c r="AG1301">
        <v>-1.1050973919839999</v>
      </c>
      <c r="AH1301">
        <v>11.9494383765637</v>
      </c>
      <c r="AI1301">
        <v>94.808940592631302</v>
      </c>
      <c r="AJ1301">
        <v>65.463061999540699</v>
      </c>
      <c r="AK1301">
        <v>13.1820755396697</v>
      </c>
      <c r="AL1301">
        <v>79.725710412225098</v>
      </c>
      <c r="AM1301">
        <v>74.576792288684601</v>
      </c>
      <c r="AN1301">
        <v>1.0000000164127401</v>
      </c>
    </row>
    <row r="1302" spans="1:40" x14ac:dyDescent="0.25">
      <c r="A1302" t="str">
        <f>"20190312172916588"</f>
        <v>20190312172916588</v>
      </c>
      <c r="B1302" t="str">
        <f>"1552382956579093"</f>
        <v>1552382956579093</v>
      </c>
      <c r="C1302" t="s">
        <v>40</v>
      </c>
      <c r="D1302">
        <v>3.3823569999999998</v>
      </c>
      <c r="E1302">
        <v>0.56218570000000001</v>
      </c>
      <c r="F1302" t="s">
        <v>45</v>
      </c>
      <c r="G1302">
        <v>-200.70930000000001</v>
      </c>
      <c r="H1302" s="1">
        <v>-6.4184460000000002E-6</v>
      </c>
      <c r="I1302">
        <v>359.09390000000002</v>
      </c>
      <c r="J1302">
        <v>-211.77359999999999</v>
      </c>
      <c r="K1302">
        <v>1.105057</v>
      </c>
      <c r="L1302">
        <v>366.3143</v>
      </c>
      <c r="M1302">
        <v>0.98880190000000001</v>
      </c>
      <c r="N1302">
        <v>0</v>
      </c>
      <c r="O1302">
        <v>-0.14851639999999999</v>
      </c>
      <c r="P1302">
        <v>0.90187899999999999</v>
      </c>
      <c r="Q1302">
        <v>0.1677102</v>
      </c>
      <c r="R1302">
        <v>-0.39810580000000001</v>
      </c>
      <c r="S1302">
        <v>2.6269529999999999</v>
      </c>
      <c r="T1302">
        <v>-0.25891389999999997</v>
      </c>
      <c r="U1302">
        <v>-1.697449</v>
      </c>
      <c r="V1302">
        <v>0.26195269999999998</v>
      </c>
      <c r="W1302">
        <v>0.17838370000000001</v>
      </c>
      <c r="X1302">
        <v>0.94845139999999994</v>
      </c>
      <c r="Y1302">
        <v>0.4110684</v>
      </c>
      <c r="Z1302">
        <v>-5.2997809999999999E-3</v>
      </c>
      <c r="AA1302">
        <v>0.91158910000000004</v>
      </c>
      <c r="AB1302">
        <v>31</v>
      </c>
      <c r="AC1302">
        <v>11.0642999999999</v>
      </c>
      <c r="AD1302">
        <v>-1.105063418446</v>
      </c>
      <c r="AE1302">
        <v>-7.2203999999999802</v>
      </c>
      <c r="AF1302">
        <v>5.4587136173439701</v>
      </c>
      <c r="AG1302">
        <v>-1.105063418446</v>
      </c>
      <c r="AH1302">
        <v>11.9305665684701</v>
      </c>
      <c r="AI1302">
        <v>94.814488679539096</v>
      </c>
      <c r="AJ1302">
        <v>65.4140014761293</v>
      </c>
      <c r="AK1302">
        <v>13.1665157942282</v>
      </c>
      <c r="AL1302">
        <v>79.724371062830897</v>
      </c>
      <c r="AM1302">
        <v>74.560384987783394</v>
      </c>
      <c r="AN1302">
        <v>1.0000000098124699</v>
      </c>
    </row>
    <row r="1303" spans="1:40" x14ac:dyDescent="0.25">
      <c r="A1303" t="str">
        <f>"20190312172916598"</f>
        <v>20190312172916598</v>
      </c>
      <c r="B1303" t="str">
        <f>"1552382956588854"</f>
        <v>1552382956588854</v>
      </c>
      <c r="C1303" t="s">
        <v>40</v>
      </c>
      <c r="D1303">
        <v>3.3500489999999998</v>
      </c>
      <c r="E1303">
        <v>0.56232329999999997</v>
      </c>
      <c r="F1303" t="s">
        <v>45</v>
      </c>
      <c r="G1303">
        <v>-200.56039999999999</v>
      </c>
      <c r="H1303" s="1">
        <v>-6.4520250000000003E-6</v>
      </c>
      <c r="I1303">
        <v>359.00790000000001</v>
      </c>
      <c r="J1303">
        <v>-211.626</v>
      </c>
      <c r="K1303">
        <v>1.1050230000000001</v>
      </c>
      <c r="L1303">
        <v>366.28930000000003</v>
      </c>
      <c r="M1303">
        <v>0.98835770000000001</v>
      </c>
      <c r="N1303">
        <v>0</v>
      </c>
      <c r="O1303">
        <v>-0.15144360000000001</v>
      </c>
      <c r="P1303">
        <v>0.90048119999999998</v>
      </c>
      <c r="Q1303">
        <v>0.16776849999999999</v>
      </c>
      <c r="R1303">
        <v>-0.40123239999999999</v>
      </c>
      <c r="S1303">
        <v>2.6206510000000001</v>
      </c>
      <c r="T1303">
        <v>-0.25826510000000003</v>
      </c>
      <c r="U1303">
        <v>-1.707581</v>
      </c>
      <c r="V1303">
        <v>0.26245390000000002</v>
      </c>
      <c r="W1303">
        <v>0.1784142</v>
      </c>
      <c r="X1303">
        <v>0.94830709999999996</v>
      </c>
      <c r="Y1303">
        <v>0.41185749999999999</v>
      </c>
      <c r="Z1303">
        <v>-5.0738340000000002E-3</v>
      </c>
      <c r="AA1303">
        <v>0.91123410000000005</v>
      </c>
      <c r="AB1303">
        <v>31</v>
      </c>
      <c r="AC1303">
        <v>11.0655999999999</v>
      </c>
      <c r="AD1303">
        <v>-1.1050294520249999</v>
      </c>
      <c r="AE1303">
        <v>-7.2814000000000103</v>
      </c>
      <c r="AF1303">
        <v>5.4832454469121501</v>
      </c>
      <c r="AG1303">
        <v>-1.1050294520249999</v>
      </c>
      <c r="AH1303">
        <v>11.957566103642201</v>
      </c>
      <c r="AI1303">
        <v>94.801678539078694</v>
      </c>
      <c r="AJ1303">
        <v>65.365767262607406</v>
      </c>
      <c r="AK1303">
        <v>13.201153655794499</v>
      </c>
      <c r="AL1303">
        <v>79.722595117045003</v>
      </c>
      <c r="AM1303">
        <v>74.530016360204002</v>
      </c>
      <c r="AN1303">
        <v>1.00000001614863</v>
      </c>
    </row>
    <row r="1304" spans="1:40" x14ac:dyDescent="0.25">
      <c r="A1304" t="str">
        <f>"20190312172916610"</f>
        <v>20190312172916610</v>
      </c>
      <c r="B1304" t="str">
        <f>"1552382956598449"</f>
        <v>1552382956598449</v>
      </c>
      <c r="C1304" t="s">
        <v>40</v>
      </c>
      <c r="D1304">
        <v>3.365999</v>
      </c>
      <c r="E1304">
        <v>0.56245699999999998</v>
      </c>
      <c r="F1304" t="s">
        <v>45</v>
      </c>
      <c r="G1304">
        <v>-200.41120000000001</v>
      </c>
      <c r="H1304" s="1">
        <v>-6.4753989999999996E-6</v>
      </c>
      <c r="I1304">
        <v>358.9196</v>
      </c>
      <c r="J1304">
        <v>-211.482</v>
      </c>
      <c r="K1304">
        <v>1.104989</v>
      </c>
      <c r="L1304">
        <v>366.26440000000002</v>
      </c>
      <c r="M1304">
        <v>0.98791099999999998</v>
      </c>
      <c r="N1304">
        <v>0</v>
      </c>
      <c r="O1304">
        <v>-0.15433050000000001</v>
      </c>
      <c r="P1304">
        <v>0.89904509999999904</v>
      </c>
      <c r="Q1304">
        <v>0.1677632</v>
      </c>
      <c r="R1304">
        <v>-0.40444259999999999</v>
      </c>
      <c r="S1304">
        <v>2.6141049999999999</v>
      </c>
      <c r="T1304">
        <v>-0.25757619999999998</v>
      </c>
      <c r="U1304">
        <v>-1.7178340000000001</v>
      </c>
      <c r="V1304">
        <v>0.26308350000000003</v>
      </c>
      <c r="W1304">
        <v>0.1783785</v>
      </c>
      <c r="X1304">
        <v>0.94813930000000002</v>
      </c>
      <c r="Y1304">
        <v>0.41275010000000001</v>
      </c>
      <c r="Z1304">
        <v>-4.8564609999999899E-3</v>
      </c>
      <c r="AA1304">
        <v>0.91083139999999996</v>
      </c>
      <c r="AB1304">
        <v>31</v>
      </c>
      <c r="AC1304">
        <v>11.070799999999901</v>
      </c>
      <c r="AD1304">
        <v>-1.1049954753989999</v>
      </c>
      <c r="AE1304">
        <v>-7.3448000000000198</v>
      </c>
      <c r="AF1304">
        <v>5.5099247485362097</v>
      </c>
      <c r="AG1304">
        <v>-1.1049954753989999</v>
      </c>
      <c r="AH1304">
        <v>11.988849264151099</v>
      </c>
      <c r="AI1304">
        <v>94.787201946500005</v>
      </c>
      <c r="AJ1304">
        <v>65.317081707618101</v>
      </c>
      <c r="AK1304">
        <v>13.240573719205701</v>
      </c>
      <c r="AL1304">
        <v>79.724673492749503</v>
      </c>
      <c r="AM1304">
        <v>74.492076950079493</v>
      </c>
      <c r="AN1304">
        <v>0.99999997471949398</v>
      </c>
    </row>
    <row r="1305" spans="1:40" x14ac:dyDescent="0.25">
      <c r="A1305" t="str">
        <f>"20190312172916622"</f>
        <v>20190312172916622</v>
      </c>
      <c r="B1305" t="str">
        <f>"1552382956618945"</f>
        <v>1552382956618945</v>
      </c>
      <c r="C1305" t="s">
        <v>40</v>
      </c>
      <c r="D1305">
        <v>3.3822049999999999</v>
      </c>
      <c r="E1305">
        <v>0.56911089999999998</v>
      </c>
      <c r="F1305" t="s">
        <v>45</v>
      </c>
      <c r="G1305">
        <v>-200.27760000000001</v>
      </c>
      <c r="H1305" s="1">
        <v>-6.4942409999999899E-6</v>
      </c>
      <c r="I1305">
        <v>358.83440000000002</v>
      </c>
      <c r="J1305">
        <v>-211.29839999999999</v>
      </c>
      <c r="K1305">
        <v>1.104943</v>
      </c>
      <c r="L1305">
        <v>366.23219999999998</v>
      </c>
      <c r="M1305">
        <v>0.98732500000000001</v>
      </c>
      <c r="N1305">
        <v>0</v>
      </c>
      <c r="O1305">
        <v>-0.15803599999999901</v>
      </c>
      <c r="P1305">
        <v>0.89711430000000003</v>
      </c>
      <c r="Q1305">
        <v>0.1679678</v>
      </c>
      <c r="R1305">
        <v>-0.40862310000000002</v>
      </c>
      <c r="S1305">
        <v>2.607132</v>
      </c>
      <c r="T1305">
        <v>-0.25712069999999998</v>
      </c>
      <c r="U1305">
        <v>-1.728882</v>
      </c>
      <c r="V1305">
        <v>0.26397080000000001</v>
      </c>
      <c r="W1305">
        <v>0.178540899999999</v>
      </c>
      <c r="X1305">
        <v>0.94786210000000004</v>
      </c>
      <c r="Y1305">
        <v>0.41315010000000002</v>
      </c>
      <c r="Z1305">
        <v>-4.5515920000000001E-3</v>
      </c>
      <c r="AA1305">
        <v>0.91065160000000001</v>
      </c>
      <c r="AB1305">
        <v>31</v>
      </c>
      <c r="AC1305">
        <v>11.0207999999999</v>
      </c>
      <c r="AD1305">
        <v>-1.1049494942409901</v>
      </c>
      <c r="AE1305">
        <v>-7.3977999999999602</v>
      </c>
      <c r="AF1305">
        <v>5.5246606430748004</v>
      </c>
      <c r="AG1305">
        <v>-1.1049494942409901</v>
      </c>
      <c r="AH1305">
        <v>11.968580730213599</v>
      </c>
      <c r="AI1305">
        <v>94.791429620144697</v>
      </c>
      <c r="AJ1305">
        <v>65.222095730308098</v>
      </c>
      <c r="AK1305">
        <v>13.228367748955399</v>
      </c>
      <c r="AL1305">
        <v>79.715217098971806</v>
      </c>
      <c r="AM1305">
        <v>74.437973441868195</v>
      </c>
      <c r="AN1305">
        <v>0.99999999842093001</v>
      </c>
    </row>
    <row r="1306" spans="1:40" x14ac:dyDescent="0.25">
      <c r="A1306" t="str">
        <f>"20190312172916636"</f>
        <v>20190312172916636</v>
      </c>
      <c r="B1306" t="str">
        <f>"1552382956628704"</f>
        <v>1552382956628704</v>
      </c>
      <c r="C1306" t="s">
        <v>40</v>
      </c>
      <c r="D1306">
        <v>3.3758900000000001</v>
      </c>
      <c r="E1306">
        <v>0.56841609999999998</v>
      </c>
      <c r="F1306" t="s">
        <v>45</v>
      </c>
      <c r="G1306">
        <v>-199.72190000000001</v>
      </c>
      <c r="H1306" s="1">
        <v>-6.3339170000000003E-6</v>
      </c>
      <c r="I1306">
        <v>358.1909</v>
      </c>
      <c r="J1306">
        <v>-211.1225</v>
      </c>
      <c r="K1306">
        <v>1.104894</v>
      </c>
      <c r="L1306">
        <v>366.20030000000003</v>
      </c>
      <c r="M1306">
        <v>0.98673949999999999</v>
      </c>
      <c r="N1306">
        <v>0</v>
      </c>
      <c r="O1306">
        <v>-0.16165099999999999</v>
      </c>
      <c r="P1306">
        <v>0.89518390000000003</v>
      </c>
      <c r="Q1306">
        <v>0.168339299999999</v>
      </c>
      <c r="R1306">
        <v>-0.41268359999999898</v>
      </c>
      <c r="S1306">
        <v>2.5752869999999999</v>
      </c>
      <c r="T1306">
        <v>-0.24580669999999999</v>
      </c>
      <c r="U1306">
        <v>-1.7888489999999999</v>
      </c>
      <c r="V1306">
        <v>0.2648336</v>
      </c>
      <c r="W1306">
        <v>0.17886969999999999</v>
      </c>
      <c r="X1306">
        <v>0.94755940000000005</v>
      </c>
      <c r="Y1306">
        <v>0.4294076</v>
      </c>
      <c r="Z1306">
        <v>-4.775095E-3</v>
      </c>
      <c r="AA1306">
        <v>0.90309819999999996</v>
      </c>
      <c r="AB1306">
        <v>31</v>
      </c>
      <c r="AC1306">
        <v>11.400599999999899</v>
      </c>
      <c r="AD1306">
        <v>-1.104900333917</v>
      </c>
      <c r="AE1306">
        <v>-8.0094000000000207</v>
      </c>
      <c r="AF1306">
        <v>6.0230442400707203</v>
      </c>
      <c r="AG1306">
        <v>-1.104900333917</v>
      </c>
      <c r="AH1306">
        <v>12.467090190406299</v>
      </c>
      <c r="AI1306">
        <v>94.562566603975498</v>
      </c>
      <c r="AJ1306">
        <v>64.214092772836096</v>
      </c>
      <c r="AK1306">
        <v>13.8897877766892</v>
      </c>
      <c r="AL1306">
        <v>79.696070159337097</v>
      </c>
      <c r="AM1306">
        <v>74.384841089008901</v>
      </c>
      <c r="AN1306">
        <v>1.0000000108977001</v>
      </c>
    </row>
    <row r="1307" spans="1:40" x14ac:dyDescent="0.25">
      <c r="A1307" t="str">
        <f>"20190312172916651"</f>
        <v>20190312172916651</v>
      </c>
      <c r="B1307" t="str">
        <f>"1552382956638465"</f>
        <v>1552382956638465</v>
      </c>
      <c r="C1307" t="s">
        <v>40</v>
      </c>
      <c r="D1307">
        <v>3.3686519999999902</v>
      </c>
      <c r="E1307">
        <v>0.56841609999999998</v>
      </c>
      <c r="F1307" t="s">
        <v>45</v>
      </c>
      <c r="G1307">
        <v>-199.6011</v>
      </c>
      <c r="H1307" s="1">
        <v>-6.3004709999999999E-6</v>
      </c>
      <c r="I1307">
        <v>358.1474</v>
      </c>
      <c r="J1307">
        <v>-210.9203</v>
      </c>
      <c r="K1307">
        <v>1.10483</v>
      </c>
      <c r="L1307">
        <v>366.16289999999998</v>
      </c>
      <c r="M1307">
        <v>0.98604230000000004</v>
      </c>
      <c r="N1307">
        <v>0</v>
      </c>
      <c r="O1307">
        <v>-0.16585069999999999</v>
      </c>
      <c r="P1307">
        <v>0.89250289999999999</v>
      </c>
      <c r="Q1307">
        <v>0.16847500000000001</v>
      </c>
      <c r="R1307">
        <v>-0.41839599999999999</v>
      </c>
      <c r="S1307">
        <v>2.5696409999999998</v>
      </c>
      <c r="T1307">
        <v>-0.24642829999999999</v>
      </c>
      <c r="U1307">
        <v>-1.7960509999999901</v>
      </c>
      <c r="V1307">
        <v>0.2668915</v>
      </c>
      <c r="W1307">
        <v>0.1789364</v>
      </c>
      <c r="X1307">
        <v>0.94696919999999996</v>
      </c>
      <c r="Y1307">
        <v>0.42820659999999999</v>
      </c>
      <c r="Z1307">
        <v>-4.3918020000000002E-3</v>
      </c>
      <c r="AA1307">
        <v>0.90367019999999998</v>
      </c>
      <c r="AB1307">
        <v>31</v>
      </c>
      <c r="AC1307">
        <v>11.319199999999899</v>
      </c>
      <c r="AD1307">
        <v>-1.104836300471</v>
      </c>
      <c r="AE1307">
        <v>-8.0154999999999692</v>
      </c>
      <c r="AF1307">
        <v>5.9889682603571597</v>
      </c>
      <c r="AG1307">
        <v>-1.104836300471</v>
      </c>
      <c r="AH1307">
        <v>12.4131584611204</v>
      </c>
      <c r="AI1307">
        <v>94.5831954217809</v>
      </c>
      <c r="AJ1307">
        <v>64.244116167090496</v>
      </c>
      <c r="AK1307">
        <v>13.826601428235699</v>
      </c>
      <c r="AL1307">
        <v>79.692185614175401</v>
      </c>
      <c r="AM1307">
        <v>74.260169340212499</v>
      </c>
      <c r="AN1307">
        <v>0.99999998688292402</v>
      </c>
    </row>
    <row r="1308" spans="1:40" x14ac:dyDescent="0.25">
      <c r="A1308" t="str">
        <f>"20190312172916663"</f>
        <v>20190312172916663</v>
      </c>
      <c r="B1308" t="str">
        <f>"1552382956658960"</f>
        <v>1552382956658960</v>
      </c>
      <c r="C1308" t="s">
        <v>40</v>
      </c>
      <c r="D1308">
        <v>3.3626559999999999</v>
      </c>
      <c r="E1308">
        <v>0.59082139999999905</v>
      </c>
      <c r="F1308" t="s">
        <v>45</v>
      </c>
      <c r="G1308">
        <v>-199.42750000000001</v>
      </c>
      <c r="H1308" s="1">
        <v>-6.2306460000000001E-6</v>
      </c>
      <c r="I1308">
        <v>358.01979999999998</v>
      </c>
      <c r="J1308">
        <v>-210.7433</v>
      </c>
      <c r="K1308">
        <v>1.1047750000000001</v>
      </c>
      <c r="L1308">
        <v>366.12959999999998</v>
      </c>
      <c r="M1308">
        <v>0.98541020000000001</v>
      </c>
      <c r="N1308">
        <v>0</v>
      </c>
      <c r="O1308">
        <v>-0.16956559999999901</v>
      </c>
      <c r="P1308">
        <v>0.8904244</v>
      </c>
      <c r="Q1308">
        <v>0.1683887</v>
      </c>
      <c r="R1308">
        <v>-0.42283589999999999</v>
      </c>
      <c r="S1308">
        <v>2.5580750000000001</v>
      </c>
      <c r="T1308">
        <v>-0.24591589999999999</v>
      </c>
      <c r="U1308">
        <v>-1.8125</v>
      </c>
      <c r="V1308">
        <v>0.26806210000000003</v>
      </c>
      <c r="W1308">
        <v>0.1787984</v>
      </c>
      <c r="X1308">
        <v>0.94666459999999997</v>
      </c>
      <c r="Y1308">
        <v>0.43060229999999999</v>
      </c>
      <c r="Z1308">
        <v>-4.1881280000000002E-3</v>
      </c>
      <c r="AA1308">
        <v>0.90253209999999995</v>
      </c>
      <c r="AB1308">
        <v>31</v>
      </c>
      <c r="AC1308">
        <v>11.3157999999999</v>
      </c>
      <c r="AD1308">
        <v>-1.1047812306460001</v>
      </c>
      <c r="AE1308">
        <v>-8.1097999999999999</v>
      </c>
      <c r="AF1308">
        <v>6.0353527121428803</v>
      </c>
      <c r="AG1308">
        <v>-1.1047812306460001</v>
      </c>
      <c r="AH1308">
        <v>12.4487945948602</v>
      </c>
      <c r="AI1308">
        <v>94.565723796026006</v>
      </c>
      <c r="AJ1308">
        <v>64.135232524265007</v>
      </c>
      <c r="AK1308">
        <v>13.878707100900201</v>
      </c>
      <c r="AL1308">
        <v>79.700222285787504</v>
      </c>
      <c r="AM1308">
        <v>74.189744678356902</v>
      </c>
      <c r="AN1308">
        <v>1.0000000110960601</v>
      </c>
    </row>
    <row r="1309" spans="1:40" x14ac:dyDescent="0.25">
      <c r="A1309" t="str">
        <f>"20190312172916674"</f>
        <v>20190312172916674</v>
      </c>
      <c r="B1309" t="str">
        <f>"1552382956668720"</f>
        <v>1552382956668720</v>
      </c>
      <c r="C1309" t="s">
        <v>40</v>
      </c>
      <c r="D1309">
        <v>3.3464170000000002</v>
      </c>
      <c r="E1309">
        <v>0.5964682</v>
      </c>
      <c r="F1309" t="s">
        <v>45</v>
      </c>
      <c r="G1309">
        <v>-197.77160000000001</v>
      </c>
      <c r="H1309" s="1">
        <v>-5.1932679999999999E-6</v>
      </c>
      <c r="I1309">
        <v>355.69929999999999</v>
      </c>
      <c r="J1309">
        <v>-210.58459999999999</v>
      </c>
      <c r="K1309">
        <v>1.104722</v>
      </c>
      <c r="L1309">
        <v>366.09879999999998</v>
      </c>
      <c r="M1309">
        <v>0.98481989999999997</v>
      </c>
      <c r="N1309">
        <v>0</v>
      </c>
      <c r="O1309">
        <v>-0.172959</v>
      </c>
      <c r="P1309">
        <v>0.88842579999999904</v>
      </c>
      <c r="Q1309">
        <v>0.16823940000000001</v>
      </c>
      <c r="R1309">
        <v>-0.4270775</v>
      </c>
      <c r="S1309">
        <v>2.4669490000000001</v>
      </c>
      <c r="T1309">
        <v>-0.21010680000000001</v>
      </c>
      <c r="U1309">
        <v>-1.983643</v>
      </c>
      <c r="V1309">
        <v>0.26933459999999998</v>
      </c>
      <c r="W1309">
        <v>0.1785986</v>
      </c>
      <c r="X1309">
        <v>0.94634110000000005</v>
      </c>
      <c r="Y1309">
        <v>0.48172540000000003</v>
      </c>
      <c r="Z1309">
        <v>-5.2975469999999997E-3</v>
      </c>
      <c r="AA1309">
        <v>0.87630620000000004</v>
      </c>
      <c r="AB1309">
        <v>31</v>
      </c>
      <c r="AC1309">
        <v>12.812999999999899</v>
      </c>
      <c r="AD1309">
        <v>-1.1047271932680001</v>
      </c>
      <c r="AE1309">
        <v>-10.3994999999999</v>
      </c>
      <c r="AF1309">
        <v>7.9905635969839999</v>
      </c>
      <c r="AG1309">
        <v>-1.1047271932680001</v>
      </c>
      <c r="AH1309">
        <v>14.3544045119441</v>
      </c>
      <c r="AI1309">
        <v>93.8470204782287</v>
      </c>
      <c r="AJ1309">
        <v>60.8969388271233</v>
      </c>
      <c r="AK1309">
        <v>16.465675135308398</v>
      </c>
      <c r="AL1309">
        <v>79.711857478957199</v>
      </c>
      <c r="AM1309">
        <v>74.113315188532695</v>
      </c>
      <c r="AN1309">
        <v>1.00000003211416</v>
      </c>
    </row>
    <row r="1310" spans="1:40" x14ac:dyDescent="0.25">
      <c r="A1310" t="str">
        <f>"20190312172916686"</f>
        <v>20190312172916686</v>
      </c>
      <c r="B1310" t="str">
        <f>"1552382956678480"</f>
        <v>1552382956678480</v>
      </c>
      <c r="C1310" t="s">
        <v>40</v>
      </c>
      <c r="D1310">
        <v>3.3627729999999998</v>
      </c>
      <c r="E1310">
        <v>0.59950099999999995</v>
      </c>
      <c r="F1310" t="s">
        <v>45</v>
      </c>
      <c r="G1310">
        <v>-197.24520000000001</v>
      </c>
      <c r="H1310" s="1">
        <v>-4.7316489999999996E-6</v>
      </c>
      <c r="I1310">
        <v>354.95890000000003</v>
      </c>
      <c r="J1310">
        <v>-210.4436</v>
      </c>
      <c r="K1310">
        <v>1.104676</v>
      </c>
      <c r="L1310">
        <v>366.0711</v>
      </c>
      <c r="M1310">
        <v>0.98428389999999999</v>
      </c>
      <c r="N1310">
        <v>0</v>
      </c>
      <c r="O1310">
        <v>-0.1759849</v>
      </c>
      <c r="P1310">
        <v>0.88660669999999897</v>
      </c>
      <c r="Q1310">
        <v>0.16797960000000001</v>
      </c>
      <c r="R1310">
        <v>-0.43094260000000001</v>
      </c>
      <c r="S1310">
        <v>2.4367369999999999</v>
      </c>
      <c r="T1310">
        <v>-0.2018028</v>
      </c>
      <c r="U1310">
        <v>-2.0349430000000002</v>
      </c>
      <c r="V1310">
        <v>0.27055839999999998</v>
      </c>
      <c r="W1310">
        <v>0.1782926</v>
      </c>
      <c r="X1310">
        <v>0.94604960000000005</v>
      </c>
      <c r="Y1310">
        <v>0.49526550000000003</v>
      </c>
      <c r="Z1310">
        <v>-5.3911280000000002E-3</v>
      </c>
      <c r="AA1310">
        <v>0.86872490000000002</v>
      </c>
      <c r="AB1310">
        <v>31</v>
      </c>
      <c r="AC1310">
        <v>13.1983999999999</v>
      </c>
      <c r="AD1310">
        <v>-1.1046807316489999</v>
      </c>
      <c r="AE1310">
        <v>-11.1121999999999</v>
      </c>
      <c r="AF1310">
        <v>8.5805889166823697</v>
      </c>
      <c r="AG1310">
        <v>-1.1046807316489999</v>
      </c>
      <c r="AH1310">
        <v>14.887126402101</v>
      </c>
      <c r="AI1310">
        <v>93.678450872888902</v>
      </c>
      <c r="AJ1310">
        <v>60.041864875332699</v>
      </c>
      <c r="AK1310">
        <v>17.2184017315227</v>
      </c>
      <c r="AL1310">
        <v>79.729675357294497</v>
      </c>
      <c r="AM1310">
        <v>74.040130313712694</v>
      </c>
      <c r="AN1310">
        <v>0.99999997234273896</v>
      </c>
    </row>
    <row r="1311" spans="1:40" x14ac:dyDescent="0.25">
      <c r="A1311" t="str">
        <f>"20190312172916696"</f>
        <v>20190312172916696</v>
      </c>
      <c r="B1311" t="str">
        <f>"1552382956688240"</f>
        <v>1552382956688240</v>
      </c>
      <c r="C1311" t="s">
        <v>40</v>
      </c>
      <c r="D1311">
        <v>3.392439</v>
      </c>
      <c r="E1311">
        <v>0.60173390000000004</v>
      </c>
      <c r="F1311" t="s">
        <v>45</v>
      </c>
      <c r="G1311">
        <v>-196.84610000000001</v>
      </c>
      <c r="H1311" s="1">
        <v>-4.394783E-6</v>
      </c>
      <c r="I1311">
        <v>354.43860000000001</v>
      </c>
      <c r="J1311">
        <v>-210.29480000000001</v>
      </c>
      <c r="K1311">
        <v>1.1046279999999999</v>
      </c>
      <c r="L1311">
        <v>366.04129999999998</v>
      </c>
      <c r="M1311">
        <v>0.98369910000000005</v>
      </c>
      <c r="N1311">
        <v>0</v>
      </c>
      <c r="O1311">
        <v>-0.17922399999999999</v>
      </c>
      <c r="P1311">
        <v>0.88461420000000002</v>
      </c>
      <c r="Q1311">
        <v>0.1681079</v>
      </c>
      <c r="R1311">
        <v>-0.43496829999999997</v>
      </c>
      <c r="S1311">
        <v>2.4161679999999999</v>
      </c>
      <c r="T1311">
        <v>-0.1962941</v>
      </c>
      <c r="U1311">
        <v>-2.0670169999999999</v>
      </c>
      <c r="V1311">
        <v>0.27177449999999997</v>
      </c>
      <c r="W1311">
        <v>0.17837239999999999</v>
      </c>
      <c r="X1311">
        <v>0.94568589999999997</v>
      </c>
      <c r="Y1311">
        <v>0.5027412</v>
      </c>
      <c r="Z1311">
        <v>-5.307076E-3</v>
      </c>
      <c r="AA1311">
        <v>0.86442070000000004</v>
      </c>
      <c r="AB1311">
        <v>31</v>
      </c>
      <c r="AC1311">
        <v>13.448700000000001</v>
      </c>
      <c r="AD1311">
        <v>-1.1046323947829999</v>
      </c>
      <c r="AE1311">
        <v>-11.602699999999899</v>
      </c>
      <c r="AF1311">
        <v>8.9695118798576399</v>
      </c>
      <c r="AG1311">
        <v>-1.1046323947829999</v>
      </c>
      <c r="AH1311">
        <v>15.2516128868783</v>
      </c>
      <c r="AI1311">
        <v>93.572404788229605</v>
      </c>
      <c r="AJ1311">
        <v>59.5401074356487</v>
      </c>
      <c r="AK1311">
        <v>17.728058318431401</v>
      </c>
      <c r="AL1311">
        <v>79.725028506338703</v>
      </c>
      <c r="AM1311">
        <v>73.966223572335096</v>
      </c>
      <c r="AN1311">
        <v>0.99999995669540898</v>
      </c>
    </row>
    <row r="1312" spans="1:40" x14ac:dyDescent="0.25">
      <c r="A1312" t="str">
        <f>"20190312172916708"</f>
        <v>20190312172916708</v>
      </c>
      <c r="B1312" t="str">
        <f>"1552382956698659"</f>
        <v>1552382956698659</v>
      </c>
      <c r="C1312" t="s">
        <v>40</v>
      </c>
      <c r="D1312">
        <v>3.3484929999999999</v>
      </c>
      <c r="E1312">
        <v>0.60311490000000001</v>
      </c>
      <c r="F1312" t="s">
        <v>45</v>
      </c>
      <c r="G1312">
        <v>-196.5162</v>
      </c>
      <c r="H1312" s="1">
        <v>-4.1058779999999998E-6</v>
      </c>
      <c r="I1312">
        <v>354.00990000000002</v>
      </c>
      <c r="J1312">
        <v>-210.1386</v>
      </c>
      <c r="K1312">
        <v>1.104584</v>
      </c>
      <c r="L1312">
        <v>366.00940000000003</v>
      </c>
      <c r="M1312">
        <v>0.98306819999999895</v>
      </c>
      <c r="N1312">
        <v>0</v>
      </c>
      <c r="O1312">
        <v>-0.18265239999999999</v>
      </c>
      <c r="P1312">
        <v>0.88270349999999997</v>
      </c>
      <c r="Q1312">
        <v>0.16781219999999999</v>
      </c>
      <c r="R1312">
        <v>-0.43894630000000001</v>
      </c>
      <c r="S1312">
        <v>2.3981780000000001</v>
      </c>
      <c r="T1312">
        <v>-0.1922632</v>
      </c>
      <c r="U1312">
        <v>-2.0940859999999999</v>
      </c>
      <c r="V1312">
        <v>0.27274520000000002</v>
      </c>
      <c r="W1312">
        <v>0.178031299999999</v>
      </c>
      <c r="X1312">
        <v>0.94547079999999994</v>
      </c>
      <c r="Y1312">
        <v>0.50849650000000002</v>
      </c>
      <c r="Z1312">
        <v>-5.1869120000000001E-3</v>
      </c>
      <c r="AA1312">
        <v>0.86104849999999999</v>
      </c>
      <c r="AB1312">
        <v>31</v>
      </c>
      <c r="AC1312">
        <v>13.622400000000001</v>
      </c>
      <c r="AD1312">
        <v>-1.104588105878</v>
      </c>
      <c r="AE1312">
        <v>-11.999499999999999</v>
      </c>
      <c r="AF1312">
        <v>9.2748256773749507</v>
      </c>
      <c r="AG1312">
        <v>-1.104588105878</v>
      </c>
      <c r="AH1312">
        <v>15.5276735516575</v>
      </c>
      <c r="AI1312">
        <v>93.4948058538872</v>
      </c>
      <c r="AJ1312">
        <v>59.149730162759603</v>
      </c>
      <c r="AK1312">
        <v>18.120462250069199</v>
      </c>
      <c r="AL1312">
        <v>79.744891080650802</v>
      </c>
      <c r="AM1312">
        <v>73.9084430272421</v>
      </c>
      <c r="AN1312">
        <v>1.00000006077768</v>
      </c>
    </row>
    <row r="1313" spans="1:40" x14ac:dyDescent="0.25">
      <c r="A1313" t="str">
        <f>"20190312172916719"</f>
        <v>20190312172916719</v>
      </c>
      <c r="B1313" t="str">
        <f>"1552382956708420"</f>
        <v>1552382956708420</v>
      </c>
      <c r="C1313" t="s">
        <v>40</v>
      </c>
      <c r="D1313">
        <v>3.3344170000000002</v>
      </c>
      <c r="E1313">
        <v>0.60419849999999997</v>
      </c>
      <c r="F1313" t="s">
        <v>45</v>
      </c>
      <c r="G1313">
        <v>-196.2022</v>
      </c>
      <c r="H1313" s="1">
        <v>-3.8514680000000003E-6</v>
      </c>
      <c r="I1313">
        <v>353.64269999999999</v>
      </c>
      <c r="J1313">
        <v>-209.9872</v>
      </c>
      <c r="K1313">
        <v>1.1045339999999999</v>
      </c>
      <c r="L1313">
        <v>365.97800000000001</v>
      </c>
      <c r="M1313">
        <v>0.98243729999999996</v>
      </c>
      <c r="N1313">
        <v>0</v>
      </c>
      <c r="O1313">
        <v>-0.1860156</v>
      </c>
      <c r="P1313">
        <v>0.88051579999999996</v>
      </c>
      <c r="Q1313">
        <v>0.16778650000000001</v>
      </c>
      <c r="R1313">
        <v>-0.44332830000000001</v>
      </c>
      <c r="S1313">
        <v>2.3829799999999999</v>
      </c>
      <c r="T1313">
        <v>-0.1888735</v>
      </c>
      <c r="U1313">
        <v>-2.1145939999999999</v>
      </c>
      <c r="V1313">
        <v>0.274233</v>
      </c>
      <c r="W1313">
        <v>0.17794969999999999</v>
      </c>
      <c r="X1313">
        <v>0.94505570000000005</v>
      </c>
      <c r="Y1313">
        <v>0.51243989999999995</v>
      </c>
      <c r="Z1313">
        <v>-5.0262390000000001E-3</v>
      </c>
      <c r="AA1313">
        <v>0.85870840000000004</v>
      </c>
      <c r="AB1313">
        <v>31</v>
      </c>
      <c r="AC1313">
        <v>13.784999999999901</v>
      </c>
      <c r="AD1313">
        <v>-1.104537851468</v>
      </c>
      <c r="AE1313">
        <v>-12.3353</v>
      </c>
      <c r="AF1313">
        <v>9.5215144596204198</v>
      </c>
      <c r="AG1313">
        <v>-1.104537851468</v>
      </c>
      <c r="AH1313">
        <v>15.7828892516295</v>
      </c>
      <c r="AI1313">
        <v>93.429247616766006</v>
      </c>
      <c r="AJ1313">
        <v>58.898224781853202</v>
      </c>
      <c r="AK1313">
        <v>18.465612218372002</v>
      </c>
      <c r="AL1313">
        <v>79.7496422229421</v>
      </c>
      <c r="AM1313">
        <v>73.818510723691205</v>
      </c>
      <c r="AN1313">
        <v>1.0000000550607799</v>
      </c>
    </row>
    <row r="1314" spans="1:40" x14ac:dyDescent="0.25">
      <c r="A1314" t="str">
        <f>"20190312172916730"</f>
        <v>20190312172916730</v>
      </c>
      <c r="B1314" t="str">
        <f>"1552382956719157"</f>
        <v>1552382956719157</v>
      </c>
      <c r="C1314" t="s">
        <v>40</v>
      </c>
      <c r="D1314">
        <v>3.3284440000000002</v>
      </c>
      <c r="E1314">
        <v>0.60509499999999905</v>
      </c>
      <c r="F1314" t="s">
        <v>45</v>
      </c>
      <c r="G1314">
        <v>-196.00640000000001</v>
      </c>
      <c r="H1314" s="1">
        <v>-3.6746969999999999E-6</v>
      </c>
      <c r="I1314">
        <v>353.3777</v>
      </c>
      <c r="J1314">
        <v>-209.84229999999999</v>
      </c>
      <c r="K1314">
        <v>1.1044849999999999</v>
      </c>
      <c r="L1314">
        <v>365.94729999999998</v>
      </c>
      <c r="M1314">
        <v>0.98181399999999996</v>
      </c>
      <c r="N1314">
        <v>0</v>
      </c>
      <c r="O1314">
        <v>-0.18927820000000001</v>
      </c>
      <c r="P1314">
        <v>0.87848680000000001</v>
      </c>
      <c r="Q1314">
        <v>0.16747049999999999</v>
      </c>
      <c r="R1314">
        <v>-0.44745390000000002</v>
      </c>
      <c r="S1314">
        <v>2.3681489999999998</v>
      </c>
      <c r="T1314">
        <v>-0.1870927</v>
      </c>
      <c r="U1314">
        <v>-2.1343079999999999</v>
      </c>
      <c r="V1314">
        <v>0.27553650000000002</v>
      </c>
      <c r="W1314">
        <v>0.17758180000000001</v>
      </c>
      <c r="X1314">
        <v>0.94474570000000002</v>
      </c>
      <c r="Y1314">
        <v>0.51621510000000004</v>
      </c>
      <c r="Z1314">
        <v>-4.9106940000000002E-3</v>
      </c>
      <c r="AA1314">
        <v>0.85644489999999995</v>
      </c>
      <c r="AB1314">
        <v>31</v>
      </c>
      <c r="AC1314">
        <v>13.835899999999899</v>
      </c>
      <c r="AD1314">
        <v>-1.104488674697</v>
      </c>
      <c r="AE1314">
        <v>-12.5695999999999</v>
      </c>
      <c r="AF1314">
        <v>9.6893935277805099</v>
      </c>
      <c r="AG1314">
        <v>-1.104488674697</v>
      </c>
      <c r="AH1314">
        <v>15.9096056769479</v>
      </c>
      <c r="AI1314">
        <v>93.393212596448706</v>
      </c>
      <c r="AJ1314">
        <v>58.657419720465498</v>
      </c>
      <c r="AK1314">
        <v>18.660648299689399</v>
      </c>
      <c r="AL1314">
        <v>79.771062431566307</v>
      </c>
      <c r="AM1314">
        <v>73.740596181703197</v>
      </c>
      <c r="AN1314">
        <v>1.0000000480959801</v>
      </c>
    </row>
    <row r="1315" spans="1:40" x14ac:dyDescent="0.25">
      <c r="A1315" t="str">
        <f>"20190312172916740"</f>
        <v>20190312172916740</v>
      </c>
      <c r="B1315" t="str">
        <f>"1552382956728915"</f>
        <v>1552382956728915</v>
      </c>
      <c r="C1315" t="s">
        <v>40</v>
      </c>
      <c r="D1315">
        <v>3.3533019999999998</v>
      </c>
      <c r="E1315">
        <v>0.60572300000000001</v>
      </c>
      <c r="F1315" t="s">
        <v>45</v>
      </c>
      <c r="G1315">
        <v>-195.87970000000001</v>
      </c>
      <c r="H1315" s="1">
        <v>-3.5516130000000002E-6</v>
      </c>
      <c r="I1315">
        <v>353.18889999999999</v>
      </c>
      <c r="J1315">
        <v>-209.69059999999999</v>
      </c>
      <c r="K1315">
        <v>1.10443</v>
      </c>
      <c r="L1315">
        <v>365.91469999999998</v>
      </c>
      <c r="M1315">
        <v>0.98114409999999996</v>
      </c>
      <c r="N1315">
        <v>0</v>
      </c>
      <c r="O1315">
        <v>-0.19272030000000001</v>
      </c>
      <c r="P1315">
        <v>0.87629840000000003</v>
      </c>
      <c r="Q1315">
        <v>0.16746900000000001</v>
      </c>
      <c r="R1315">
        <v>-0.4517253</v>
      </c>
      <c r="S1315">
        <v>2.3545989999999999</v>
      </c>
      <c r="T1315">
        <v>-0.1862569</v>
      </c>
      <c r="U1315">
        <v>-2.1515200000000001</v>
      </c>
      <c r="V1315">
        <v>0.27684920000000002</v>
      </c>
      <c r="W1315">
        <v>0.1775254</v>
      </c>
      <c r="X1315">
        <v>0.9443724</v>
      </c>
      <c r="Y1315">
        <v>0.51908350000000003</v>
      </c>
      <c r="Z1315">
        <v>-4.7781469999999999E-3</v>
      </c>
      <c r="AA1315">
        <v>0.85471019999999898</v>
      </c>
      <c r="AB1315">
        <v>31</v>
      </c>
      <c r="AC1315">
        <v>13.810899999999901</v>
      </c>
      <c r="AD1315">
        <v>-1.1044335516129999</v>
      </c>
      <c r="AE1315">
        <v>-12.7257999999999</v>
      </c>
      <c r="AF1315">
        <v>9.7913960607236596</v>
      </c>
      <c r="AG1315">
        <v>-1.1044335516129999</v>
      </c>
      <c r="AH1315">
        <v>15.9495629533059</v>
      </c>
      <c r="AI1315">
        <v>93.377252826664602</v>
      </c>
      <c r="AJ1315">
        <v>58.454342135593301</v>
      </c>
      <c r="AK1315">
        <v>18.747793701909298</v>
      </c>
      <c r="AL1315">
        <v>79.774345471326697</v>
      </c>
      <c r="AM1315">
        <v>73.661141642830302</v>
      </c>
      <c r="AN1315">
        <v>0.99999998853377903</v>
      </c>
    </row>
    <row r="1316" spans="1:40" x14ac:dyDescent="0.25">
      <c r="A1316" t="str">
        <f>"20190312172916752"</f>
        <v>20190312172916752</v>
      </c>
      <c r="B1316" t="str">
        <f>"1552382956748436"</f>
        <v>1552382956748436</v>
      </c>
      <c r="C1316" t="s">
        <v>40</v>
      </c>
      <c r="D1316">
        <v>3.363912</v>
      </c>
      <c r="E1316">
        <v>0.60661659999999995</v>
      </c>
      <c r="F1316" t="s">
        <v>45</v>
      </c>
      <c r="G1316">
        <v>-195.7123</v>
      </c>
      <c r="H1316" s="1">
        <v>-3.4056040000000002E-6</v>
      </c>
      <c r="I1316">
        <v>352.97250000000003</v>
      </c>
      <c r="J1316">
        <v>-209.54570000000001</v>
      </c>
      <c r="K1316">
        <v>1.104374</v>
      </c>
      <c r="L1316">
        <v>365.88279999999997</v>
      </c>
      <c r="M1316">
        <v>0.98048020000000002</v>
      </c>
      <c r="N1316">
        <v>0</v>
      </c>
      <c r="O1316">
        <v>-0.1960693</v>
      </c>
      <c r="P1316">
        <v>0.87410859999999901</v>
      </c>
      <c r="Q1316">
        <v>0.16724429999999901</v>
      </c>
      <c r="R1316">
        <v>-0.45603070000000001</v>
      </c>
      <c r="S1316">
        <v>2.3413539999999999</v>
      </c>
      <c r="T1316">
        <v>-0.1849923</v>
      </c>
      <c r="U1316">
        <v>-2.1678160000000002</v>
      </c>
      <c r="V1316">
        <v>0.27828649999999999</v>
      </c>
      <c r="W1316">
        <v>0.1772425</v>
      </c>
      <c r="X1316">
        <v>0.94400300000000004</v>
      </c>
      <c r="Y1316">
        <v>0.52178639999999998</v>
      </c>
      <c r="Z1316">
        <v>-4.6360330000000003E-3</v>
      </c>
      <c r="AA1316">
        <v>0.85306360000000003</v>
      </c>
      <c r="AB1316">
        <v>31</v>
      </c>
      <c r="AC1316">
        <v>13.833399999999999</v>
      </c>
      <c r="AD1316">
        <v>-1.1043774056040001</v>
      </c>
      <c r="AE1316">
        <v>-12.9102999999999</v>
      </c>
      <c r="AF1316">
        <v>9.9132905074453301</v>
      </c>
      <c r="AG1316">
        <v>-1.1043774056040001</v>
      </c>
      <c r="AH1316">
        <v>16.041776142115499</v>
      </c>
      <c r="AI1316">
        <v>93.351631238526807</v>
      </c>
      <c r="AJ1316">
        <v>58.285297235232498</v>
      </c>
      <c r="AK1316">
        <v>18.889985704937899</v>
      </c>
      <c r="AL1316">
        <v>79.790815464875394</v>
      </c>
      <c r="AM1316">
        <v>73.574794948361998</v>
      </c>
      <c r="AN1316">
        <v>0.99999997194874901</v>
      </c>
    </row>
    <row r="1317" spans="1:40" x14ac:dyDescent="0.25">
      <c r="A1317" t="str">
        <f>"20190312172916765"</f>
        <v>20190312172916765</v>
      </c>
      <c r="B1317" t="str">
        <f>"1552382956759172"</f>
        <v>1552382956759172</v>
      </c>
      <c r="C1317" t="s">
        <v>40</v>
      </c>
      <c r="D1317">
        <v>3.333326</v>
      </c>
      <c r="E1317">
        <v>0.60689780000000004</v>
      </c>
      <c r="F1317" t="s">
        <v>45</v>
      </c>
      <c r="G1317">
        <v>-195.6523</v>
      </c>
      <c r="H1317" s="1">
        <v>-3.3251129999999999E-6</v>
      </c>
      <c r="I1317">
        <v>352.839</v>
      </c>
      <c r="J1317">
        <v>-209.3717</v>
      </c>
      <c r="K1317">
        <v>1.104306</v>
      </c>
      <c r="L1317">
        <v>365.84410000000003</v>
      </c>
      <c r="M1317">
        <v>0.979661</v>
      </c>
      <c r="N1317">
        <v>0</v>
      </c>
      <c r="O1317">
        <v>-0.2001211</v>
      </c>
      <c r="P1317">
        <v>0.87157369999999901</v>
      </c>
      <c r="Q1317">
        <v>0.1669938</v>
      </c>
      <c r="R1317">
        <v>-0.460947</v>
      </c>
      <c r="S1317">
        <v>2.3274689999999998</v>
      </c>
      <c r="T1317">
        <v>-0.18500910000000001</v>
      </c>
      <c r="U1317">
        <v>-2.1851500000000001</v>
      </c>
      <c r="V1317">
        <v>0.27972170000000002</v>
      </c>
      <c r="W1317">
        <v>0.1769252</v>
      </c>
      <c r="X1317">
        <v>0.94363830000000004</v>
      </c>
      <c r="Y1317">
        <v>0.52417970000000003</v>
      </c>
      <c r="Z1317">
        <v>-4.4720180000000003E-3</v>
      </c>
      <c r="AA1317">
        <v>0.85159589999999996</v>
      </c>
      <c r="AB1317">
        <v>31</v>
      </c>
      <c r="AC1317">
        <v>13.7194</v>
      </c>
      <c r="AD1317">
        <v>-1.1043093251130001</v>
      </c>
      <c r="AE1317">
        <v>-13.005100000000001</v>
      </c>
      <c r="AF1317">
        <v>9.9621303315611396</v>
      </c>
      <c r="AG1317">
        <v>-1.1043093251130001</v>
      </c>
      <c r="AH1317">
        <v>15.990120443085701</v>
      </c>
      <c r="AI1317">
        <v>93.354645137997906</v>
      </c>
      <c r="AJ1317">
        <v>58.076357358662598</v>
      </c>
      <c r="AK1317">
        <v>18.871870379295402</v>
      </c>
      <c r="AL1317">
        <v>79.809287624128203</v>
      </c>
      <c r="AM1317">
        <v>73.488652363658801</v>
      </c>
      <c r="AN1317">
        <v>0.99999999853640997</v>
      </c>
    </row>
    <row r="1318" spans="1:40" x14ac:dyDescent="0.25">
      <c r="A1318" t="str">
        <f>"20190312172916775"</f>
        <v>20190312172916775</v>
      </c>
      <c r="B1318" t="str">
        <f>"1552382956768933"</f>
        <v>1552382956768933</v>
      </c>
      <c r="C1318" t="s">
        <v>40</v>
      </c>
      <c r="D1318">
        <v>3.35182</v>
      </c>
      <c r="E1318">
        <v>0.60709349999999995</v>
      </c>
      <c r="F1318" t="s">
        <v>45</v>
      </c>
      <c r="G1318">
        <v>-195.6414</v>
      </c>
      <c r="H1318" s="1">
        <v>-3.297103E-6</v>
      </c>
      <c r="I1318">
        <v>352.78809999999999</v>
      </c>
      <c r="J1318">
        <v>-209.21860000000001</v>
      </c>
      <c r="K1318">
        <v>1.1042400000000001</v>
      </c>
      <c r="L1318">
        <v>365.8091</v>
      </c>
      <c r="M1318">
        <v>0.97891019999999895</v>
      </c>
      <c r="N1318">
        <v>0</v>
      </c>
      <c r="O1318">
        <v>-0.20376150000000001</v>
      </c>
      <c r="P1318">
        <v>0.86928729999999999</v>
      </c>
      <c r="Q1318">
        <v>0.16692650000000001</v>
      </c>
      <c r="R1318">
        <v>-0.46526899999999899</v>
      </c>
      <c r="S1318">
        <v>2.3139949999999998</v>
      </c>
      <c r="T1318">
        <v>-0.18611159999999999</v>
      </c>
      <c r="U1318">
        <v>-2.200348</v>
      </c>
      <c r="V1318">
        <v>0.2809276</v>
      </c>
      <c r="W1318">
        <v>0.1767966</v>
      </c>
      <c r="X1318">
        <v>0.94330409999999998</v>
      </c>
      <c r="Y1318">
        <v>0.52642270000000002</v>
      </c>
      <c r="Z1318">
        <v>-4.3544940000000004E-3</v>
      </c>
      <c r="AA1318">
        <v>0.85021190000000002</v>
      </c>
      <c r="AB1318">
        <v>31</v>
      </c>
      <c r="AC1318">
        <v>13.577199999999999</v>
      </c>
      <c r="AD1318">
        <v>-1.1042432971029901</v>
      </c>
      <c r="AE1318">
        <v>-13.021000000000001</v>
      </c>
      <c r="AF1318">
        <v>9.94668511117953</v>
      </c>
      <c r="AG1318">
        <v>-1.1042432971029901</v>
      </c>
      <c r="AH1318">
        <v>15.8910067706096</v>
      </c>
      <c r="AI1318">
        <v>93.370913155346898</v>
      </c>
      <c r="AJ1318">
        <v>57.956244873526202</v>
      </c>
      <c r="AK1318">
        <v>18.779776200575899</v>
      </c>
      <c r="AL1318">
        <v>79.816773784223699</v>
      </c>
      <c r="AM1318">
        <v>73.415819173891805</v>
      </c>
      <c r="AN1318">
        <v>0.99999998964506498</v>
      </c>
    </row>
    <row r="1319" spans="1:40" x14ac:dyDescent="0.25">
      <c r="A1319" t="str">
        <f>"20190312172916786"</f>
        <v>20190312172916786</v>
      </c>
      <c r="B1319" t="str">
        <f>"1552382956778691"</f>
        <v>1552382956778691</v>
      </c>
      <c r="C1319" t="s">
        <v>40</v>
      </c>
      <c r="D1319">
        <v>3.3354810000000001</v>
      </c>
      <c r="E1319">
        <v>0.60731539999999995</v>
      </c>
      <c r="F1319" t="s">
        <v>45</v>
      </c>
      <c r="G1319">
        <v>-195.5907</v>
      </c>
      <c r="H1319" s="1">
        <v>-3.2456910000000001E-6</v>
      </c>
      <c r="I1319">
        <v>352.70830000000001</v>
      </c>
      <c r="J1319">
        <v>-209.07740000000001</v>
      </c>
      <c r="K1319">
        <v>1.1041780000000001</v>
      </c>
      <c r="L1319">
        <v>365.77640000000002</v>
      </c>
      <c r="M1319">
        <v>0.97819990000000001</v>
      </c>
      <c r="N1319">
        <v>0</v>
      </c>
      <c r="O1319">
        <v>-0.20714399999999999</v>
      </c>
      <c r="P1319">
        <v>0.86711329999999998</v>
      </c>
      <c r="Q1319">
        <v>0.1665421</v>
      </c>
      <c r="R1319">
        <v>-0.46944449999999999</v>
      </c>
      <c r="S1319">
        <v>2.3023069999999999</v>
      </c>
      <c r="T1319">
        <v>-0.18655189999999999</v>
      </c>
      <c r="U1319">
        <v>-2.213257</v>
      </c>
      <c r="V1319">
        <v>0.28221309999999999</v>
      </c>
      <c r="W1319">
        <v>0.17635309999999901</v>
      </c>
      <c r="X1319">
        <v>0.94300340000000005</v>
      </c>
      <c r="Y1319">
        <v>0.52811750000000002</v>
      </c>
      <c r="Z1319">
        <v>-4.216455E-3</v>
      </c>
      <c r="AA1319">
        <v>0.8491609</v>
      </c>
      <c r="AB1319">
        <v>31</v>
      </c>
      <c r="AC1319">
        <v>13.486700000000001</v>
      </c>
      <c r="AD1319">
        <v>-1.1041812456910001</v>
      </c>
      <c r="AE1319">
        <v>-13.068099999999999</v>
      </c>
      <c r="AF1319">
        <v>9.9561858538310801</v>
      </c>
      <c r="AG1319">
        <v>-1.1041812456910001</v>
      </c>
      <c r="AH1319">
        <v>15.846603177277901</v>
      </c>
      <c r="AI1319">
        <v>93.376576986187203</v>
      </c>
      <c r="AJ1319">
        <v>57.859462582484497</v>
      </c>
      <c r="AK1319">
        <v>18.747258072514899</v>
      </c>
      <c r="AL1319">
        <v>79.842590534343998</v>
      </c>
      <c r="AM1319">
        <v>73.3391095266104</v>
      </c>
      <c r="AN1319">
        <v>1.0000000310513799</v>
      </c>
    </row>
    <row r="1320" spans="1:40" x14ac:dyDescent="0.25">
      <c r="A1320" t="str">
        <f>"20190312172916798"</f>
        <v>20190312172916798</v>
      </c>
      <c r="B1320" t="str">
        <f>"1552382956788452"</f>
        <v>1552382956788452</v>
      </c>
      <c r="C1320" t="s">
        <v>40</v>
      </c>
      <c r="D1320">
        <v>3.3604769999999902</v>
      </c>
      <c r="E1320">
        <v>0.60747079999999998</v>
      </c>
      <c r="F1320" t="s">
        <v>45</v>
      </c>
      <c r="G1320">
        <v>-195.57259999999999</v>
      </c>
      <c r="H1320" s="1">
        <v>-3.2148749999999999E-6</v>
      </c>
      <c r="I1320">
        <v>352.6551</v>
      </c>
      <c r="J1320">
        <v>-208.92359999999999</v>
      </c>
      <c r="K1320">
        <v>1.104109</v>
      </c>
      <c r="L1320">
        <v>365.74009999999998</v>
      </c>
      <c r="M1320">
        <v>0.97740079999999996</v>
      </c>
      <c r="N1320">
        <v>0</v>
      </c>
      <c r="O1320">
        <v>-0.2108816</v>
      </c>
      <c r="P1320">
        <v>0.86473670000000002</v>
      </c>
      <c r="Q1320">
        <v>0.16645109999999999</v>
      </c>
      <c r="R1320">
        <v>-0.47383999999999998</v>
      </c>
      <c r="S1320">
        <v>2.290756</v>
      </c>
      <c r="T1320">
        <v>-0.18729709999999999</v>
      </c>
      <c r="U1320">
        <v>-2.225708</v>
      </c>
      <c r="V1320">
        <v>0.28342289999999998</v>
      </c>
      <c r="W1320">
        <v>0.17619960000000001</v>
      </c>
      <c r="X1320">
        <v>0.94266919999999998</v>
      </c>
      <c r="Y1320">
        <v>0.52938569999999996</v>
      </c>
      <c r="Z1320">
        <v>-4.0466859999999999E-3</v>
      </c>
      <c r="AA1320">
        <v>0.8483716</v>
      </c>
      <c r="AB1320">
        <v>31</v>
      </c>
      <c r="AC1320">
        <v>13.351000000000001</v>
      </c>
      <c r="AD1320">
        <v>-1.104112214875</v>
      </c>
      <c r="AE1320">
        <v>-13.0849999999999</v>
      </c>
      <c r="AF1320">
        <v>9.9402146786950691</v>
      </c>
      <c r="AG1320">
        <v>-1.104112214875</v>
      </c>
      <c r="AH1320">
        <v>15.755415865221099</v>
      </c>
      <c r="AI1320">
        <v>93.391858352941796</v>
      </c>
      <c r="AJ1320">
        <v>57.751853066841299</v>
      </c>
      <c r="AK1320">
        <v>18.661727163573101</v>
      </c>
      <c r="AL1320">
        <v>79.851525337784693</v>
      </c>
      <c r="AM1320">
        <v>73.266070421815201</v>
      </c>
      <c r="AN1320">
        <v>1.0000000299566001</v>
      </c>
    </row>
    <row r="1321" spans="1:40" x14ac:dyDescent="0.25">
      <c r="A1321" t="str">
        <f>"20190312172916808"</f>
        <v>20190312172916808</v>
      </c>
      <c r="B1321" t="str">
        <f>"1552382956798212"</f>
        <v>1552382956798212</v>
      </c>
      <c r="C1321" t="s">
        <v>40</v>
      </c>
      <c r="D1321">
        <v>3.3404660000000002</v>
      </c>
      <c r="E1321">
        <v>0.60750170000000003</v>
      </c>
      <c r="F1321" t="s">
        <v>45</v>
      </c>
      <c r="G1321">
        <v>-195.50380000000001</v>
      </c>
      <c r="H1321" s="1">
        <v>-3.1512800000000001E-6</v>
      </c>
      <c r="I1321">
        <v>352.55900000000003</v>
      </c>
      <c r="J1321">
        <v>-208.78270000000001</v>
      </c>
      <c r="K1321">
        <v>1.1040449999999999</v>
      </c>
      <c r="L1321">
        <v>365.70609999999999</v>
      </c>
      <c r="M1321">
        <v>0.97664609999999996</v>
      </c>
      <c r="N1321">
        <v>0</v>
      </c>
      <c r="O1321">
        <v>-0.21434900000000001</v>
      </c>
      <c r="P1321">
        <v>0.86275959999999996</v>
      </c>
      <c r="Q1321">
        <v>0.16623160000000001</v>
      </c>
      <c r="R1321">
        <v>-0.47750740000000003</v>
      </c>
      <c r="S1321">
        <v>2.2788539999999999</v>
      </c>
      <c r="T1321">
        <v>-0.1874923</v>
      </c>
      <c r="U1321">
        <v>-2.2383120000000001</v>
      </c>
      <c r="V1321">
        <v>0.28409669999999998</v>
      </c>
      <c r="W1321">
        <v>0.1759307</v>
      </c>
      <c r="X1321">
        <v>0.94251660000000004</v>
      </c>
      <c r="Y1321">
        <v>0.53097930000000004</v>
      </c>
      <c r="Z1321">
        <v>-3.8927139999999998E-3</v>
      </c>
      <c r="AA1321">
        <v>0.84737580000000001</v>
      </c>
      <c r="AB1321">
        <v>31</v>
      </c>
      <c r="AC1321">
        <v>13.278899999999901</v>
      </c>
      <c r="AD1321">
        <v>-1.10404815128</v>
      </c>
      <c r="AE1321">
        <v>-13.147099999999901</v>
      </c>
      <c r="AF1321">
        <v>9.9600598421394704</v>
      </c>
      <c r="AG1321">
        <v>-1.10404815128</v>
      </c>
      <c r="AH1321">
        <v>15.7336420774812</v>
      </c>
      <c r="AI1321">
        <v>93.393080156460002</v>
      </c>
      <c r="AJ1321">
        <v>57.664462249269903</v>
      </c>
      <c r="AK1321">
        <v>18.653932759652299</v>
      </c>
      <c r="AL1321">
        <v>79.867176810376193</v>
      </c>
      <c r="AM1321">
        <v>73.225956273926698</v>
      </c>
      <c r="AN1321">
        <v>1.0000000437144601</v>
      </c>
    </row>
    <row r="1322" spans="1:40" x14ac:dyDescent="0.25">
      <c r="A1322" t="str">
        <f>"20190312172916818"</f>
        <v>20190312172916818</v>
      </c>
      <c r="B1322" t="str">
        <f>"1552382956808947"</f>
        <v>1552382956808947</v>
      </c>
      <c r="C1322" t="s">
        <v>40</v>
      </c>
      <c r="D1322">
        <v>3.3547739999999999</v>
      </c>
      <c r="E1322">
        <v>0.60750760000000004</v>
      </c>
      <c r="F1322" t="s">
        <v>45</v>
      </c>
      <c r="G1322">
        <v>-195.47049999999999</v>
      </c>
      <c r="H1322" s="1">
        <v>-3.1212069999999998E-6</v>
      </c>
      <c r="I1322">
        <v>352.51389999999998</v>
      </c>
      <c r="J1322">
        <v>-208.6422</v>
      </c>
      <c r="K1322">
        <v>1.1039779999999999</v>
      </c>
      <c r="L1322">
        <v>365.67200000000003</v>
      </c>
      <c r="M1322">
        <v>0.97587279999999998</v>
      </c>
      <c r="N1322">
        <v>0</v>
      </c>
      <c r="O1322">
        <v>-0.2178428</v>
      </c>
      <c r="P1322">
        <v>0.86052299999999904</v>
      </c>
      <c r="Q1322">
        <v>0.16594059999999999</v>
      </c>
      <c r="R1322">
        <v>-0.48162670000000002</v>
      </c>
      <c r="S1322">
        <v>2.268967</v>
      </c>
      <c r="T1322">
        <v>-0.18817809999999999</v>
      </c>
      <c r="U1322">
        <v>-2.248535</v>
      </c>
      <c r="V1322">
        <v>0.28524369999999999</v>
      </c>
      <c r="W1322">
        <v>0.1755805</v>
      </c>
      <c r="X1322">
        <v>0.94223539999999995</v>
      </c>
      <c r="Y1322">
        <v>0.53172019999999998</v>
      </c>
      <c r="Z1322">
        <v>-3.715182E-3</v>
      </c>
      <c r="AA1322">
        <v>0.84691190000000005</v>
      </c>
      <c r="AB1322">
        <v>31</v>
      </c>
      <c r="AC1322">
        <v>13.1717</v>
      </c>
      <c r="AD1322">
        <v>-1.1039811212070001</v>
      </c>
      <c r="AE1322">
        <v>-13.1580999999999</v>
      </c>
      <c r="AF1322">
        <v>9.9374122257507693</v>
      </c>
      <c r="AG1322">
        <v>-1.1039811212070001</v>
      </c>
      <c r="AH1322">
        <v>15.666919353241701</v>
      </c>
      <c r="AI1322">
        <v>93.405369072476603</v>
      </c>
      <c r="AJ1322">
        <v>57.613342949997303</v>
      </c>
      <c r="AK1322">
        <v>18.585566929245399</v>
      </c>
      <c r="AL1322">
        <v>79.887558768601806</v>
      </c>
      <c r="AM1322">
        <v>73.157318233697396</v>
      </c>
      <c r="AN1322">
        <v>1.00000001469155</v>
      </c>
    </row>
    <row r="1323" spans="1:40" x14ac:dyDescent="0.25">
      <c r="A1323" t="str">
        <f>"20190312172916832"</f>
        <v>20190312172916832</v>
      </c>
      <c r="B1323" t="str">
        <f>"1552382956828468"</f>
        <v>1552382956828468</v>
      </c>
      <c r="C1323" t="s">
        <v>40</v>
      </c>
      <c r="D1323">
        <v>3.328144</v>
      </c>
      <c r="E1323">
        <v>0.607379</v>
      </c>
      <c r="F1323" t="s">
        <v>45</v>
      </c>
      <c r="G1323">
        <v>-195.43889999999999</v>
      </c>
      <c r="H1323" s="1">
        <v>-3.086668E-6</v>
      </c>
      <c r="I1323">
        <v>352.45920000000001</v>
      </c>
      <c r="J1323">
        <v>-208.4794</v>
      </c>
      <c r="K1323">
        <v>1.1038950000000001</v>
      </c>
      <c r="L1323">
        <v>365.63130000000001</v>
      </c>
      <c r="M1323">
        <v>0.97494510000000001</v>
      </c>
      <c r="N1323">
        <v>0</v>
      </c>
      <c r="O1323">
        <v>-0.2219573</v>
      </c>
      <c r="P1323">
        <v>0.85800100000000001</v>
      </c>
      <c r="Q1323">
        <v>0.16590009999999999</v>
      </c>
      <c r="R1323">
        <v>-0.48611919999999997</v>
      </c>
      <c r="S1323">
        <v>2.257965</v>
      </c>
      <c r="T1323">
        <v>-0.18879760000000001</v>
      </c>
      <c r="U1323">
        <v>-2.2595830000000001</v>
      </c>
      <c r="V1323">
        <v>0.286228599999999</v>
      </c>
      <c r="W1323">
        <v>0.17547579999999999</v>
      </c>
      <c r="X1323">
        <v>0.94195620000000002</v>
      </c>
      <c r="Y1323">
        <v>0.53228379999999997</v>
      </c>
      <c r="Z1323">
        <v>-3.4893429999999998E-3</v>
      </c>
      <c r="AA1323">
        <v>0.8465587</v>
      </c>
      <c r="AB1323">
        <v>31</v>
      </c>
      <c r="AC1323">
        <v>13.0405</v>
      </c>
      <c r="AD1323">
        <v>-1.1038980866679999</v>
      </c>
      <c r="AE1323">
        <v>-13.1721</v>
      </c>
      <c r="AF1323">
        <v>9.9135566892432898</v>
      </c>
      <c r="AG1323">
        <v>-1.1038980866679999</v>
      </c>
      <c r="AH1323">
        <v>15.5838370210995</v>
      </c>
      <c r="AI1323">
        <v>93.420364678691399</v>
      </c>
      <c r="AJ1323">
        <v>57.537785844908498</v>
      </c>
      <c r="AK1323">
        <v>18.502788263307298</v>
      </c>
      <c r="AL1323">
        <v>79.893652349519499</v>
      </c>
      <c r="AM1323">
        <v>73.097748927683</v>
      </c>
      <c r="AN1323">
        <v>1.00000002528101</v>
      </c>
    </row>
    <row r="1324" spans="1:40" x14ac:dyDescent="0.25">
      <c r="A1324" t="str">
        <f>"20190312172916846"</f>
        <v>20190312172916846</v>
      </c>
      <c r="B1324" t="str">
        <f>"1552382956838228"</f>
        <v>1552382956838228</v>
      </c>
      <c r="C1324" t="s">
        <v>40</v>
      </c>
      <c r="D1324">
        <v>3.3739970000000001</v>
      </c>
      <c r="E1324">
        <v>0.60717790000000005</v>
      </c>
      <c r="F1324" t="s">
        <v>45</v>
      </c>
      <c r="G1324">
        <v>-195.32650000000001</v>
      </c>
      <c r="H1324" s="1">
        <v>-3.0002550000000001E-6</v>
      </c>
      <c r="I1324">
        <v>352.33699999999999</v>
      </c>
      <c r="J1324">
        <v>-208.28639999999999</v>
      </c>
      <c r="K1324">
        <v>1.1038030000000001</v>
      </c>
      <c r="L1324">
        <v>365.58240000000001</v>
      </c>
      <c r="M1324">
        <v>0.97380659999999997</v>
      </c>
      <c r="N1324">
        <v>0</v>
      </c>
      <c r="O1324">
        <v>-0.2268994</v>
      </c>
      <c r="P1324">
        <v>0.85509230000000003</v>
      </c>
      <c r="Q1324">
        <v>0.16598209999999999</v>
      </c>
      <c r="R1324">
        <v>-0.49118970000000001</v>
      </c>
      <c r="S1324">
        <v>2.2464900000000001</v>
      </c>
      <c r="T1324">
        <v>-0.1885425</v>
      </c>
      <c r="U1324">
        <v>-2.2706300000000001</v>
      </c>
      <c r="V1324">
        <v>0.2870741</v>
      </c>
      <c r="W1324">
        <v>0.17548659999999999</v>
      </c>
      <c r="X1324">
        <v>0.9416968</v>
      </c>
      <c r="Y1324">
        <v>0.53222100000000006</v>
      </c>
      <c r="Z1324">
        <v>-3.1717009999999999E-3</v>
      </c>
      <c r="AA1324">
        <v>0.84659959999999901</v>
      </c>
      <c r="AB1324">
        <v>31</v>
      </c>
      <c r="AC1324">
        <v>12.9598999999999</v>
      </c>
      <c r="AD1324">
        <v>-1.1038060002550001</v>
      </c>
      <c r="AE1324">
        <v>-13.2454</v>
      </c>
      <c r="AF1324">
        <v>9.9237372555136307</v>
      </c>
      <c r="AG1324">
        <v>-1.1038060002550001</v>
      </c>
      <c r="AH1324">
        <v>15.572257388767801</v>
      </c>
      <c r="AI1324">
        <v>93.420874557872807</v>
      </c>
      <c r="AJ1324">
        <v>57.491847831518797</v>
      </c>
      <c r="AK1324">
        <v>18.498490451512499</v>
      </c>
      <c r="AL1324">
        <v>79.893023282153706</v>
      </c>
      <c r="AM1324">
        <v>73.046278135516104</v>
      </c>
      <c r="AN1324">
        <v>0.99999997440030397</v>
      </c>
    </row>
    <row r="1325" spans="1:40" x14ac:dyDescent="0.25">
      <c r="A1325" t="str">
        <f>"20190312172916858"</f>
        <v>20190312172916858</v>
      </c>
      <c r="B1325" t="str">
        <f>"1552382956848964"</f>
        <v>1552382956848964</v>
      </c>
      <c r="C1325" t="s">
        <v>40</v>
      </c>
      <c r="D1325">
        <v>3.3414540000000001</v>
      </c>
      <c r="E1325">
        <v>0.60705520000000002</v>
      </c>
      <c r="F1325" t="s">
        <v>45</v>
      </c>
      <c r="G1325">
        <v>-195.22970000000001</v>
      </c>
      <c r="H1325" s="1">
        <v>-2.9305449999999999E-6</v>
      </c>
      <c r="I1325">
        <v>352.24110000000002</v>
      </c>
      <c r="J1325">
        <v>-208.10910000000001</v>
      </c>
      <c r="K1325">
        <v>1.103712</v>
      </c>
      <c r="L1325">
        <v>365.53640000000001</v>
      </c>
      <c r="M1325">
        <v>0.97271529999999995</v>
      </c>
      <c r="N1325">
        <v>0</v>
      </c>
      <c r="O1325">
        <v>-0.23153280000000001</v>
      </c>
      <c r="P1325">
        <v>0.85222980000000004</v>
      </c>
      <c r="Q1325">
        <v>0.16621729999999901</v>
      </c>
      <c r="R1325">
        <v>-0.49606109999999998</v>
      </c>
      <c r="S1325">
        <v>2.2338710000000002</v>
      </c>
      <c r="T1325">
        <v>-0.1888504</v>
      </c>
      <c r="U1325">
        <v>-2.282562</v>
      </c>
      <c r="V1325">
        <v>0.28801939999999998</v>
      </c>
      <c r="W1325">
        <v>0.17565</v>
      </c>
      <c r="X1325">
        <v>0.94137760000000004</v>
      </c>
      <c r="Y1325">
        <v>0.53279809999999905</v>
      </c>
      <c r="Z1325">
        <v>-2.9060470000000001E-3</v>
      </c>
      <c r="AA1325">
        <v>0.84623740000000003</v>
      </c>
      <c r="AB1325">
        <v>30</v>
      </c>
      <c r="AC1325">
        <v>12.8794</v>
      </c>
      <c r="AD1325">
        <v>-1.103714930545</v>
      </c>
      <c r="AE1325">
        <v>-13.2952999999999</v>
      </c>
      <c r="AF1325">
        <v>9.9163653108947294</v>
      </c>
      <c r="AG1325">
        <v>-1.103714930545</v>
      </c>
      <c r="AH1325">
        <v>15.5526912060218</v>
      </c>
      <c r="AI1325">
        <v>93.424378551144002</v>
      </c>
      <c r="AJ1325">
        <v>57.478495808409001</v>
      </c>
      <c r="AK1325">
        <v>18.4780597297685</v>
      </c>
      <c r="AL1325">
        <v>79.883513101469504</v>
      </c>
      <c r="AM1325">
        <v>72.988234836310795</v>
      </c>
      <c r="AN1325">
        <v>0.99999994152905802</v>
      </c>
    </row>
    <row r="1326" spans="1:40" x14ac:dyDescent="0.25">
      <c r="A1326" t="str">
        <f>"20190312172916874"</f>
        <v>20190312172916874</v>
      </c>
      <c r="B1326" t="str">
        <f>"1552382956868483"</f>
        <v>1552382956868483</v>
      </c>
      <c r="C1326" t="s">
        <v>40</v>
      </c>
      <c r="D1326">
        <v>3.3755120000000001</v>
      </c>
      <c r="E1326">
        <v>0.60652779999999995</v>
      </c>
      <c r="F1326" t="s">
        <v>45</v>
      </c>
      <c r="G1326">
        <v>-195.05709999999999</v>
      </c>
      <c r="H1326" s="1">
        <v>-2.7939839999999998E-6</v>
      </c>
      <c r="I1326">
        <v>352.04969999999997</v>
      </c>
      <c r="J1326">
        <v>-207.90479999999999</v>
      </c>
      <c r="K1326">
        <v>1.1036140000000001</v>
      </c>
      <c r="L1326">
        <v>365.48200000000003</v>
      </c>
      <c r="M1326">
        <v>0.97140559999999998</v>
      </c>
      <c r="N1326">
        <v>0</v>
      </c>
      <c r="O1326">
        <v>-0.23696619999999999</v>
      </c>
      <c r="P1326">
        <v>0.84845079999999995</v>
      </c>
      <c r="Q1326">
        <v>0.16617589999999999</v>
      </c>
      <c r="R1326">
        <v>-0.50251049999999997</v>
      </c>
      <c r="S1326">
        <v>2.220993</v>
      </c>
      <c r="T1326">
        <v>-0.1878127</v>
      </c>
      <c r="U1326">
        <v>-2.2949519999999999</v>
      </c>
      <c r="V1326">
        <v>0.28994399999999998</v>
      </c>
      <c r="W1326">
        <v>0.17550959999999999</v>
      </c>
      <c r="X1326">
        <v>0.94081289999999995</v>
      </c>
      <c r="Y1326">
        <v>0.53281780000000001</v>
      </c>
      <c r="Z1326">
        <v>-2.5493740000000001E-3</v>
      </c>
      <c r="AA1326">
        <v>0.84622619999999904</v>
      </c>
      <c r="AB1326">
        <v>30</v>
      </c>
      <c r="AC1326">
        <v>12.8477</v>
      </c>
      <c r="AD1326">
        <v>-1.10361679398399</v>
      </c>
      <c r="AE1326">
        <v>-13.4322999999999</v>
      </c>
      <c r="AF1326">
        <v>9.9696857486159693</v>
      </c>
      <c r="AG1326">
        <v>-1.10361679398399</v>
      </c>
      <c r="AH1326">
        <v>15.6100072258634</v>
      </c>
      <c r="AI1326">
        <v>93.409873952017406</v>
      </c>
      <c r="AJ1326">
        <v>57.434739242459599</v>
      </c>
      <c r="AK1326">
        <v>18.5549165868679</v>
      </c>
      <c r="AL1326">
        <v>79.891685249779499</v>
      </c>
      <c r="AM1326">
        <v>72.871510416024904</v>
      </c>
      <c r="AN1326">
        <v>1.00000002781728</v>
      </c>
    </row>
    <row r="1327" spans="1:40" x14ac:dyDescent="0.25">
      <c r="A1327" t="str">
        <f>"20190312172916886"</f>
        <v>20190312172916886</v>
      </c>
      <c r="B1327" t="str">
        <f>"1552382956878243"</f>
        <v>1552382956878243</v>
      </c>
      <c r="C1327" t="s">
        <v>40</v>
      </c>
      <c r="D1327">
        <v>3.34545</v>
      </c>
      <c r="E1327">
        <v>0.60638210000000003</v>
      </c>
      <c r="F1327" t="s">
        <v>45</v>
      </c>
      <c r="G1327">
        <v>-194.9641</v>
      </c>
      <c r="H1327" s="1">
        <v>-2.7066559999999999E-6</v>
      </c>
      <c r="I1327">
        <v>351.94389999999999</v>
      </c>
      <c r="J1327">
        <v>-207.75360000000001</v>
      </c>
      <c r="K1327">
        <v>1.103537</v>
      </c>
      <c r="L1327">
        <v>365.44110000000001</v>
      </c>
      <c r="M1327">
        <v>0.97040360000000003</v>
      </c>
      <c r="N1327">
        <v>0</v>
      </c>
      <c r="O1327">
        <v>-0.24103579999999999</v>
      </c>
      <c r="P1327">
        <v>0.84591070000000002</v>
      </c>
      <c r="Q1327">
        <v>0.16596150000000001</v>
      </c>
      <c r="R1327">
        <v>-0.5068452</v>
      </c>
      <c r="S1327">
        <v>2.205902</v>
      </c>
      <c r="T1327">
        <v>-0.1881256</v>
      </c>
      <c r="U1327">
        <v>-2.3077390000000002</v>
      </c>
      <c r="V1327">
        <v>0.2908365</v>
      </c>
      <c r="W1327">
        <v>0.1752321</v>
      </c>
      <c r="X1327">
        <v>0.94058909999999996</v>
      </c>
      <c r="Y1327">
        <v>0.53450299999999995</v>
      </c>
      <c r="Z1327">
        <v>-2.3596189999999999E-3</v>
      </c>
      <c r="AA1327">
        <v>0.84516329999999995</v>
      </c>
      <c r="AB1327">
        <v>30</v>
      </c>
      <c r="AC1327">
        <v>12.7895</v>
      </c>
      <c r="AD1327">
        <v>-1.103539706656</v>
      </c>
      <c r="AE1327">
        <v>-13.497199999999999</v>
      </c>
      <c r="AF1327">
        <v>9.9809436134948601</v>
      </c>
      <c r="AG1327">
        <v>-1.103539706656</v>
      </c>
      <c r="AH1327">
        <v>15.611011847198901</v>
      </c>
      <c r="AI1327">
        <v>93.408368056758405</v>
      </c>
      <c r="AJ1327">
        <v>57.407072650942801</v>
      </c>
      <c r="AK1327">
        <v>18.561808268412701</v>
      </c>
      <c r="AL1327">
        <v>79.907834897441006</v>
      </c>
      <c r="AM1327">
        <v>72.818038116485496</v>
      </c>
      <c r="AN1327">
        <v>1.00000000682073</v>
      </c>
    </row>
    <row r="1328" spans="1:40" x14ac:dyDescent="0.25">
      <c r="A1328" t="str">
        <f>"20190312172916896"</f>
        <v>20190312172916896</v>
      </c>
      <c r="B1328" t="str">
        <f>"1552382956888979"</f>
        <v>1552382956888979</v>
      </c>
      <c r="C1328" t="s">
        <v>40</v>
      </c>
      <c r="D1328">
        <v>3.280799</v>
      </c>
      <c r="E1328">
        <v>0.60619089999999998</v>
      </c>
      <c r="F1328" t="s">
        <v>45</v>
      </c>
      <c r="G1328">
        <v>-194.8768</v>
      </c>
      <c r="H1328" s="1">
        <v>-2.6193699999999999E-6</v>
      </c>
      <c r="I1328">
        <v>351.83569999999997</v>
      </c>
      <c r="J1328">
        <v>-207.61060000000001</v>
      </c>
      <c r="K1328">
        <v>1.103459</v>
      </c>
      <c r="L1328">
        <v>365.40159999999997</v>
      </c>
      <c r="M1328">
        <v>0.96942039999999996</v>
      </c>
      <c r="N1328">
        <v>0</v>
      </c>
      <c r="O1328">
        <v>-0.2449595</v>
      </c>
      <c r="P1328">
        <v>0.84342739999999905</v>
      </c>
      <c r="Q1328">
        <v>0.1657275</v>
      </c>
      <c r="R1328">
        <v>-0.51104289999999997</v>
      </c>
      <c r="S1328">
        <v>2.194229</v>
      </c>
      <c r="T1328">
        <v>-0.18804560000000001</v>
      </c>
      <c r="U1328">
        <v>-2.31839</v>
      </c>
      <c r="V1328">
        <v>0.29172599999999999</v>
      </c>
      <c r="W1328">
        <v>0.17493549999999999</v>
      </c>
      <c r="X1328">
        <v>0.9403688</v>
      </c>
      <c r="Y1328">
        <v>0.53527190000000002</v>
      </c>
      <c r="Z1328">
        <v>-2.1392410000000001E-3</v>
      </c>
      <c r="AA1328">
        <v>0.84467709999999996</v>
      </c>
      <c r="AB1328">
        <v>30</v>
      </c>
      <c r="AC1328">
        <v>12.7338</v>
      </c>
      <c r="AD1328">
        <v>-1.10346161937</v>
      </c>
      <c r="AE1328">
        <v>-13.565899999999999</v>
      </c>
      <c r="AF1328">
        <v>9.9977283178352199</v>
      </c>
      <c r="AG1328">
        <v>-1.10346161937</v>
      </c>
      <c r="AH1328">
        <v>15.6142968750913</v>
      </c>
      <c r="AI1328">
        <v>93.405961085595095</v>
      </c>
      <c r="AJ1328">
        <v>57.368840327116303</v>
      </c>
      <c r="AK1328">
        <v>18.573595935255799</v>
      </c>
      <c r="AL1328">
        <v>79.925095208918904</v>
      </c>
      <c r="AM1328">
        <v>72.7647983192916</v>
      </c>
      <c r="AN1328">
        <v>0.99999998412484403</v>
      </c>
    </row>
    <row r="1329" spans="1:40" x14ac:dyDescent="0.25">
      <c r="A1329" t="str">
        <f>"20190312172916908"</f>
        <v>20190312172916908</v>
      </c>
      <c r="B1329" t="str">
        <f>"1552382956898740"</f>
        <v>1552382956898740</v>
      </c>
      <c r="C1329" t="s">
        <v>40</v>
      </c>
      <c r="D1329">
        <v>3.2806579999999999</v>
      </c>
      <c r="E1329">
        <v>0.60606319999999902</v>
      </c>
      <c r="F1329" t="s">
        <v>45</v>
      </c>
      <c r="G1329">
        <v>-194.821</v>
      </c>
      <c r="H1329" s="1">
        <v>-2.5630549999999999E-6</v>
      </c>
      <c r="I1329">
        <v>351.76569999999998</v>
      </c>
      <c r="J1329">
        <v>-207.45699999999999</v>
      </c>
      <c r="K1329">
        <v>1.10337</v>
      </c>
      <c r="L1329">
        <v>365.35849999999999</v>
      </c>
      <c r="M1329">
        <v>0.96833380000000002</v>
      </c>
      <c r="N1329">
        <v>0</v>
      </c>
      <c r="O1329">
        <v>-0.24922</v>
      </c>
      <c r="P1329">
        <v>0.84088539999999901</v>
      </c>
      <c r="Q1329">
        <v>0.1652971</v>
      </c>
      <c r="R1329">
        <v>-0.51535339999999996</v>
      </c>
      <c r="S1329">
        <v>2.1834410000000002</v>
      </c>
      <c r="T1329">
        <v>-0.18838240000000001</v>
      </c>
      <c r="U1329">
        <v>-2.3279109999999998</v>
      </c>
      <c r="V1329">
        <v>0.29241339999999999</v>
      </c>
      <c r="W1329">
        <v>0.1744434</v>
      </c>
      <c r="X1329">
        <v>0.94024669999999999</v>
      </c>
      <c r="Y1329">
        <v>0.53536870000000003</v>
      </c>
      <c r="Z1329">
        <v>-1.8770239999999999E-3</v>
      </c>
      <c r="AA1329">
        <v>0.84461640000000004</v>
      </c>
      <c r="AB1329">
        <v>30</v>
      </c>
      <c r="AC1329">
        <v>12.6359999999999</v>
      </c>
      <c r="AD1329">
        <v>-1.103372563055</v>
      </c>
      <c r="AE1329">
        <v>-13.5928</v>
      </c>
      <c r="AF1329">
        <v>9.9790486807722996</v>
      </c>
      <c r="AG1329">
        <v>-1.103372563055</v>
      </c>
      <c r="AH1329">
        <v>15.5701407204762</v>
      </c>
      <c r="AI1329">
        <v>93.4143689918224</v>
      </c>
      <c r="AJ1329">
        <v>57.343810217301503</v>
      </c>
      <c r="AK1329">
        <v>18.526416967173098</v>
      </c>
      <c r="AL1329">
        <v>79.953730698705897</v>
      </c>
      <c r="AM1329">
        <v>72.724490875688105</v>
      </c>
      <c r="AN1329">
        <v>0.99999997658200401</v>
      </c>
    </row>
    <row r="1330" spans="1:40" x14ac:dyDescent="0.25">
      <c r="A1330" t="str">
        <f>"20190312172916918"</f>
        <v>20190312172916918</v>
      </c>
      <c r="B1330" t="str">
        <f>"1552382956908500"</f>
        <v>1552382956908500</v>
      </c>
      <c r="C1330" t="s">
        <v>40</v>
      </c>
      <c r="D1330">
        <v>3.3095279999999998</v>
      </c>
      <c r="E1330">
        <v>0.60590379999999999</v>
      </c>
      <c r="F1330" t="s">
        <v>45</v>
      </c>
      <c r="G1330">
        <v>-194.76759999999999</v>
      </c>
      <c r="H1330" s="1">
        <v>-2.5083920000000002E-6</v>
      </c>
      <c r="I1330">
        <v>351.69729999999998</v>
      </c>
      <c r="J1330">
        <v>-207.3151</v>
      </c>
      <c r="K1330">
        <v>1.1032900000000001</v>
      </c>
      <c r="L1330">
        <v>365.31790000000001</v>
      </c>
      <c r="M1330">
        <v>0.96729860000000001</v>
      </c>
      <c r="N1330">
        <v>0</v>
      </c>
      <c r="O1330">
        <v>-0.25320819999999999</v>
      </c>
      <c r="P1330">
        <v>0.83846989999999999</v>
      </c>
      <c r="Q1330">
        <v>0.16502539999999999</v>
      </c>
      <c r="R1330">
        <v>-0.51936040000000006</v>
      </c>
      <c r="S1330">
        <v>2.1718139999999999</v>
      </c>
      <c r="T1330">
        <v>-0.1888444</v>
      </c>
      <c r="U1330">
        <v>-2.3381349999999999</v>
      </c>
      <c r="V1330">
        <v>0.2930429</v>
      </c>
      <c r="W1330">
        <v>0.17411380000000001</v>
      </c>
      <c r="X1330">
        <v>0.94011180000000005</v>
      </c>
      <c r="Y1330">
        <v>0.53598669999999904</v>
      </c>
      <c r="Z1330">
        <v>-1.650957E-3</v>
      </c>
      <c r="AA1330">
        <v>0.8442248</v>
      </c>
      <c r="AB1330">
        <v>30</v>
      </c>
      <c r="AC1330">
        <v>12.547499999999999</v>
      </c>
      <c r="AD1330">
        <v>-1.10329250839199</v>
      </c>
      <c r="AE1330">
        <v>-13.6206</v>
      </c>
      <c r="AF1330">
        <v>9.9637884896134707</v>
      </c>
      <c r="AG1330">
        <v>-1.10329250839199</v>
      </c>
      <c r="AH1330">
        <v>15.5326047654702</v>
      </c>
      <c r="AI1330">
        <v>93.421474291440205</v>
      </c>
      <c r="AJ1330">
        <v>57.320814643097997</v>
      </c>
      <c r="AK1330">
        <v>18.486647782254501</v>
      </c>
      <c r="AL1330">
        <v>79.972908883382203</v>
      </c>
      <c r="AM1330">
        <v>72.687185130416594</v>
      </c>
      <c r="AN1330">
        <v>0.99999997654504402</v>
      </c>
    </row>
    <row r="1331" spans="1:40" x14ac:dyDescent="0.25">
      <c r="A1331" t="str">
        <f>"20190312172916929"</f>
        <v>20190312172916929</v>
      </c>
      <c r="B1331" t="str">
        <f>"1552382956918259"</f>
        <v>1552382956918259</v>
      </c>
      <c r="C1331" t="s">
        <v>40</v>
      </c>
      <c r="D1331">
        <v>3.2963019999999998</v>
      </c>
      <c r="E1331">
        <v>0.60577490000000001</v>
      </c>
      <c r="F1331" t="s">
        <v>45</v>
      </c>
      <c r="G1331">
        <v>-194.68430000000001</v>
      </c>
      <c r="H1331" s="1">
        <v>-2.426118E-6</v>
      </c>
      <c r="I1331">
        <v>351.59570000000002</v>
      </c>
      <c r="J1331">
        <v>-207.1695</v>
      </c>
      <c r="K1331">
        <v>1.10321</v>
      </c>
      <c r="L1331">
        <v>365.27550000000002</v>
      </c>
      <c r="M1331">
        <v>0.96620079999999997</v>
      </c>
      <c r="N1331">
        <v>0</v>
      </c>
      <c r="O1331">
        <v>-0.25736479999999901</v>
      </c>
      <c r="P1331">
        <v>0.83586990000000005</v>
      </c>
      <c r="Q1331">
        <v>0.16453779999999901</v>
      </c>
      <c r="R1331">
        <v>-0.52368859999999995</v>
      </c>
      <c r="S1331">
        <v>2.1609189999999998</v>
      </c>
      <c r="T1331">
        <v>-0.1887549</v>
      </c>
      <c r="U1331">
        <v>-2.347626</v>
      </c>
      <c r="V1331">
        <v>0.29386489999999998</v>
      </c>
      <c r="W1331">
        <v>0.17356350000000001</v>
      </c>
      <c r="X1331">
        <v>0.93995700000000004</v>
      </c>
      <c r="Y1331">
        <v>0.53618500000000002</v>
      </c>
      <c r="Z1331">
        <v>-1.3930839999999999E-3</v>
      </c>
      <c r="AA1331">
        <v>0.8440993</v>
      </c>
      <c r="AB1331">
        <v>30</v>
      </c>
      <c r="AC1331">
        <v>12.485199999999899</v>
      </c>
      <c r="AD1331">
        <v>-1.1032124261180001</v>
      </c>
      <c r="AE1331">
        <v>-13.6798</v>
      </c>
      <c r="AF1331">
        <v>9.9699054514938901</v>
      </c>
      <c r="AG1331">
        <v>-1.1032124261180001</v>
      </c>
      <c r="AH1331">
        <v>15.5305141953635</v>
      </c>
      <c r="AI1331">
        <v>93.420940954689101</v>
      </c>
      <c r="AJ1331">
        <v>57.3013257604564</v>
      </c>
      <c r="AK1331">
        <v>18.488184430637201</v>
      </c>
      <c r="AL1331">
        <v>80.004926631093696</v>
      </c>
      <c r="AM1331">
        <v>72.638848721084301</v>
      </c>
      <c r="AN1331">
        <v>1.0000000149166299</v>
      </c>
    </row>
    <row r="1332" spans="1:40" x14ac:dyDescent="0.25">
      <c r="A1332" t="str">
        <f>"20190312172916940"</f>
        <v>20190312172916940</v>
      </c>
      <c r="B1332" t="str">
        <f>"1552382956928995"</f>
        <v>1552382956928995</v>
      </c>
      <c r="C1332" t="s">
        <v>40</v>
      </c>
      <c r="D1332">
        <v>3.303728</v>
      </c>
      <c r="E1332">
        <v>0.6057205</v>
      </c>
      <c r="F1332" t="s">
        <v>45</v>
      </c>
      <c r="G1332">
        <v>-194.65299999999999</v>
      </c>
      <c r="H1332" s="1">
        <v>-2.386969E-6</v>
      </c>
      <c r="I1332">
        <v>351.5437</v>
      </c>
      <c r="J1332">
        <v>-207.02510000000001</v>
      </c>
      <c r="K1332">
        <v>1.103127</v>
      </c>
      <c r="L1332">
        <v>365.23289999999997</v>
      </c>
      <c r="M1332">
        <v>0.96508249999999995</v>
      </c>
      <c r="N1332">
        <v>0</v>
      </c>
      <c r="O1332">
        <v>-0.26152599999999998</v>
      </c>
      <c r="P1332">
        <v>0.83321469999999898</v>
      </c>
      <c r="Q1332">
        <v>0.1645577</v>
      </c>
      <c r="R1332">
        <v>-0.52789629999999998</v>
      </c>
      <c r="S1332">
        <v>2.149124</v>
      </c>
      <c r="T1332">
        <v>-0.18942439999999999</v>
      </c>
      <c r="U1332">
        <v>-2.3577880000000002</v>
      </c>
      <c r="V1332">
        <v>0.2945913</v>
      </c>
      <c r="W1332">
        <v>0.17352029999999999</v>
      </c>
      <c r="X1332">
        <v>0.93973759999999995</v>
      </c>
      <c r="Y1332">
        <v>0.53666729999999996</v>
      </c>
      <c r="Z1332">
        <v>-1.149773E-3</v>
      </c>
      <c r="AA1332">
        <v>0.84379319999999902</v>
      </c>
      <c r="AB1332">
        <v>30</v>
      </c>
      <c r="AC1332">
        <v>12.3721</v>
      </c>
      <c r="AD1332">
        <v>-1.103129386969</v>
      </c>
      <c r="AE1332">
        <v>-13.6891999999999</v>
      </c>
      <c r="AF1332">
        <v>9.94114664888113</v>
      </c>
      <c r="AG1332">
        <v>-1.103129386969</v>
      </c>
      <c r="AH1332">
        <v>15.4666045386119</v>
      </c>
      <c r="AI1332">
        <v>93.433549205022402</v>
      </c>
      <c r="AJ1332">
        <v>57.269152838776797</v>
      </c>
      <c r="AK1332">
        <v>18.4189887641196</v>
      </c>
      <c r="AL1332">
        <v>80.007440225009802</v>
      </c>
      <c r="AM1332">
        <v>72.594704464950198</v>
      </c>
      <c r="AN1332">
        <v>1.00000004270076</v>
      </c>
    </row>
    <row r="1333" spans="1:40" x14ac:dyDescent="0.25">
      <c r="A1333" t="str">
        <f>"20190312172916952"</f>
        <v>20190312172916952</v>
      </c>
      <c r="B1333" t="str">
        <f>"1552382956948515"</f>
        <v>1552382956948515</v>
      </c>
      <c r="C1333" t="s">
        <v>40</v>
      </c>
      <c r="D1333">
        <v>3.2788949999999999</v>
      </c>
      <c r="E1333">
        <v>0.60552439999999996</v>
      </c>
      <c r="F1333" t="s">
        <v>45</v>
      </c>
      <c r="G1333">
        <v>-194.52199999999999</v>
      </c>
      <c r="H1333" s="1">
        <v>-2.2536930000000001E-6</v>
      </c>
      <c r="I1333">
        <v>351.37740000000002</v>
      </c>
      <c r="J1333">
        <v>-206.87889999999999</v>
      </c>
      <c r="K1333">
        <v>1.1030420000000001</v>
      </c>
      <c r="L1333">
        <v>365.18880000000001</v>
      </c>
      <c r="M1333">
        <v>0.96390670000000001</v>
      </c>
      <c r="N1333">
        <v>0</v>
      </c>
      <c r="O1333">
        <v>-0.2658259</v>
      </c>
      <c r="P1333">
        <v>0.8305207</v>
      </c>
      <c r="Q1333">
        <v>0.16443079999999999</v>
      </c>
      <c r="R1333">
        <v>-0.53216330000000001</v>
      </c>
      <c r="S1333">
        <v>2.1372070000000001</v>
      </c>
      <c r="T1333">
        <v>-0.18856229999999999</v>
      </c>
      <c r="U1333">
        <v>-2.3683779999999999</v>
      </c>
      <c r="V1333">
        <v>0.2952515</v>
      </c>
      <c r="W1333">
        <v>0.1733305</v>
      </c>
      <c r="X1333">
        <v>0.9395654</v>
      </c>
      <c r="Y1333">
        <v>0.53713239999999995</v>
      </c>
      <c r="Z1333">
        <v>-8.8742189999999998E-4</v>
      </c>
      <c r="AA1333">
        <v>0.84349750000000001</v>
      </c>
      <c r="AB1333">
        <v>30</v>
      </c>
      <c r="AC1333">
        <v>12.3568999999999</v>
      </c>
      <c r="AD1333">
        <v>-1.1030442536929901</v>
      </c>
      <c r="AE1333">
        <v>-13.8113999999999</v>
      </c>
      <c r="AF1333">
        <v>9.9938181862248605</v>
      </c>
      <c r="AG1333">
        <v>-1.1030442536929901</v>
      </c>
      <c r="AH1333">
        <v>15.529030960611699</v>
      </c>
      <c r="AI1333">
        <v>93.418262145396199</v>
      </c>
      <c r="AJ1333">
        <v>57.236405362771698</v>
      </c>
      <c r="AK1333">
        <v>18.499835435499499</v>
      </c>
      <c r="AL1333">
        <v>80.018482112085394</v>
      </c>
      <c r="AM1333">
        <v>72.555058370193294</v>
      </c>
      <c r="AN1333">
        <v>1.00000002567982</v>
      </c>
    </row>
    <row r="1334" spans="1:40" x14ac:dyDescent="0.25">
      <c r="A1334" t="str">
        <f>"20190312172916964"</f>
        <v>20190312172916964</v>
      </c>
      <c r="B1334" t="str">
        <f>"1552382956958275"</f>
        <v>1552382956958275</v>
      </c>
      <c r="C1334" t="s">
        <v>40</v>
      </c>
      <c r="D1334">
        <v>3.2415349999999998</v>
      </c>
      <c r="E1334">
        <v>0.60539480000000001</v>
      </c>
      <c r="F1334" t="s">
        <v>45</v>
      </c>
      <c r="G1334">
        <v>-194.3878</v>
      </c>
      <c r="H1334" s="1">
        <v>-2.1212699999999999E-6</v>
      </c>
      <c r="I1334">
        <v>351.214</v>
      </c>
      <c r="J1334">
        <v>-206.72470000000001</v>
      </c>
      <c r="K1334">
        <v>1.1029519999999999</v>
      </c>
      <c r="L1334">
        <v>365.14170000000001</v>
      </c>
      <c r="M1334">
        <v>0.96263670000000001</v>
      </c>
      <c r="N1334">
        <v>0</v>
      </c>
      <c r="O1334">
        <v>-0.27038800000000002</v>
      </c>
      <c r="P1334">
        <v>0.82747409999999999</v>
      </c>
      <c r="Q1334">
        <v>0.16450190000000001</v>
      </c>
      <c r="R1334">
        <v>-0.53686690000000004</v>
      </c>
      <c r="S1334">
        <v>2.1255950000000001</v>
      </c>
      <c r="T1334">
        <v>-0.1877046</v>
      </c>
      <c r="U1334">
        <v>-2.378082</v>
      </c>
      <c r="V1334">
        <v>0.29617830000000001</v>
      </c>
      <c r="W1334">
        <v>0.1733277</v>
      </c>
      <c r="X1334">
        <v>0.9392741</v>
      </c>
      <c r="Y1334">
        <v>0.53714819999999996</v>
      </c>
      <c r="Z1334">
        <v>-5.9405160000000005E-4</v>
      </c>
      <c r="AA1334">
        <v>0.84348769999999995</v>
      </c>
      <c r="AB1334">
        <v>30</v>
      </c>
      <c r="AC1334">
        <v>12.3369</v>
      </c>
      <c r="AD1334">
        <v>-1.10295412127</v>
      </c>
      <c r="AE1334">
        <v>-13.9277</v>
      </c>
      <c r="AF1334">
        <v>10.037405747156701</v>
      </c>
      <c r="AG1334">
        <v>-1.10295412127</v>
      </c>
      <c r="AH1334">
        <v>15.588783278697599</v>
      </c>
      <c r="AI1334">
        <v>93.404404050881794</v>
      </c>
      <c r="AJ1334">
        <v>57.223065194715801</v>
      </c>
      <c r="AK1334">
        <v>18.573534559606198</v>
      </c>
      <c r="AL1334">
        <v>80.018644302749493</v>
      </c>
      <c r="AM1334">
        <v>72.498540009248302</v>
      </c>
      <c r="AN1334">
        <v>0.99999995595449398</v>
      </c>
    </row>
    <row r="1335" spans="1:40" x14ac:dyDescent="0.25">
      <c r="A1335" t="str">
        <f>"20190312172916974"</f>
        <v>20190312172916974</v>
      </c>
      <c r="B1335" t="str">
        <f>"1552382956969011"</f>
        <v>1552382956969011</v>
      </c>
      <c r="C1335" t="s">
        <v>40</v>
      </c>
      <c r="D1335">
        <v>3.2680009999999999</v>
      </c>
      <c r="E1335">
        <v>0.60527589999999998</v>
      </c>
      <c r="F1335" t="s">
        <v>45</v>
      </c>
      <c r="G1335">
        <v>-194.2517</v>
      </c>
      <c r="H1335" s="1">
        <v>-1.9789779999999998E-6</v>
      </c>
      <c r="I1335">
        <v>351.03480000000002</v>
      </c>
      <c r="J1335">
        <v>-206.57550000000001</v>
      </c>
      <c r="K1335">
        <v>1.1028610000000001</v>
      </c>
      <c r="L1335">
        <v>365.09500000000003</v>
      </c>
      <c r="M1335">
        <v>0.96135459999999995</v>
      </c>
      <c r="N1335">
        <v>0</v>
      </c>
      <c r="O1335">
        <v>-0.27491130000000003</v>
      </c>
      <c r="P1335">
        <v>0.82447490000000001</v>
      </c>
      <c r="Q1335">
        <v>0.1645672</v>
      </c>
      <c r="R1335">
        <v>-0.54144190000000003</v>
      </c>
      <c r="S1335">
        <v>2.1125029999999998</v>
      </c>
      <c r="T1335">
        <v>-0.1868042</v>
      </c>
      <c r="U1335">
        <v>-2.3892519999999999</v>
      </c>
      <c r="V1335">
        <v>0.29700959999999899</v>
      </c>
      <c r="W1335">
        <v>0.17332210000000001</v>
      </c>
      <c r="X1335">
        <v>0.93901259999999998</v>
      </c>
      <c r="Y1335">
        <v>0.53774270000000002</v>
      </c>
      <c r="Z1335">
        <v>-3.2614919999999998E-4</v>
      </c>
      <c r="AA1335">
        <v>0.843109</v>
      </c>
      <c r="AB1335">
        <v>30</v>
      </c>
      <c r="AC1335">
        <v>12.3238</v>
      </c>
      <c r="AD1335">
        <v>-1.102862978978</v>
      </c>
      <c r="AE1335">
        <v>-14.0602</v>
      </c>
      <c r="AF1335">
        <v>10.0948810769305</v>
      </c>
      <c r="AG1335">
        <v>-1.102862978978</v>
      </c>
      <c r="AH1335">
        <v>15.6600980435644</v>
      </c>
      <c r="AI1335">
        <v>93.387521806484699</v>
      </c>
      <c r="AJ1335">
        <v>57.193184794131</v>
      </c>
      <c r="AK1335">
        <v>18.6644475257593</v>
      </c>
      <c r="AL1335">
        <v>80.0189701096307</v>
      </c>
      <c r="AM1335">
        <v>72.447841743475493</v>
      </c>
      <c r="AN1335">
        <v>0.999999957899664</v>
      </c>
    </row>
    <row r="1336" spans="1:40" x14ac:dyDescent="0.25">
      <c r="A1336" t="str">
        <f>"20190312172916988"</f>
        <v>20190312172916988</v>
      </c>
      <c r="B1336" t="str">
        <f>"1552382956978771"</f>
        <v>1552382956978771</v>
      </c>
      <c r="C1336" t="s">
        <v>40</v>
      </c>
      <c r="D1336">
        <v>3.2702640000000001</v>
      </c>
      <c r="E1336">
        <v>0.60513050000000002</v>
      </c>
      <c r="F1336" t="s">
        <v>45</v>
      </c>
      <c r="G1336">
        <v>-194.13829999999999</v>
      </c>
      <c r="H1336" s="1">
        <v>-1.8573030000000001E-6</v>
      </c>
      <c r="I1336">
        <v>350.8802</v>
      </c>
      <c r="J1336">
        <v>-206.4136</v>
      </c>
      <c r="K1336">
        <v>1.10276</v>
      </c>
      <c r="L1336">
        <v>365.04360000000003</v>
      </c>
      <c r="M1336">
        <v>0.95992489999999997</v>
      </c>
      <c r="N1336">
        <v>0</v>
      </c>
      <c r="O1336">
        <v>-0.27986149999999999</v>
      </c>
      <c r="P1336">
        <v>0.82111690000000004</v>
      </c>
      <c r="Q1336">
        <v>0.16483819999999999</v>
      </c>
      <c r="R1336">
        <v>-0.54643929999999996</v>
      </c>
      <c r="S1336">
        <v>2.0997919999999999</v>
      </c>
      <c r="T1336">
        <v>-0.18619759999999999</v>
      </c>
      <c r="U1336">
        <v>-2.399902</v>
      </c>
      <c r="V1336">
        <v>0.29793829999999999</v>
      </c>
      <c r="W1336">
        <v>0.17351459999999999</v>
      </c>
      <c r="X1336">
        <v>0.93868289999999999</v>
      </c>
      <c r="Y1336">
        <v>0.53779160000000004</v>
      </c>
      <c r="Z1336" s="1">
        <v>-1.371466E-5</v>
      </c>
      <c r="AA1336">
        <v>0.84307779999999999</v>
      </c>
      <c r="AB1336">
        <v>30</v>
      </c>
      <c r="AC1336">
        <v>12.2753</v>
      </c>
      <c r="AD1336">
        <v>-1.102761857303</v>
      </c>
      <c r="AE1336">
        <v>-14.163399999999999</v>
      </c>
      <c r="AF1336">
        <v>10.1264870286783</v>
      </c>
      <c r="AG1336">
        <v>-1.102761857303</v>
      </c>
      <c r="AH1336">
        <v>15.6945708514499</v>
      </c>
      <c r="AI1336">
        <v>93.378871073954301</v>
      </c>
      <c r="AJ1336">
        <v>57.168990231249403</v>
      </c>
      <c r="AK1336">
        <v>18.7104617117561</v>
      </c>
      <c r="AL1336">
        <v>80.007772085440905</v>
      </c>
      <c r="AM1336">
        <v>72.390542470568107</v>
      </c>
      <c r="AN1336">
        <v>1.0000000668862199</v>
      </c>
    </row>
    <row r="1337" spans="1:40" x14ac:dyDescent="0.25">
      <c r="A1337" t="str">
        <f>"20190312172917000"</f>
        <v>20190312172917000</v>
      </c>
      <c r="B1337" t="str">
        <f>"1552382956988532"</f>
        <v>1552382956988532</v>
      </c>
      <c r="C1337" t="s">
        <v>40</v>
      </c>
      <c r="D1337">
        <v>3.2880940000000001</v>
      </c>
      <c r="E1337">
        <v>0.60497299999999998</v>
      </c>
      <c r="F1337" t="s">
        <v>45</v>
      </c>
      <c r="G1337">
        <v>-193.9872</v>
      </c>
      <c r="H1337" s="1">
        <v>-1.694506E-6</v>
      </c>
      <c r="I1337">
        <v>350.67309999999998</v>
      </c>
      <c r="J1337">
        <v>-206.24850000000001</v>
      </c>
      <c r="K1337">
        <v>1.1026579999999999</v>
      </c>
      <c r="L1337">
        <v>364.99020000000002</v>
      </c>
      <c r="M1337">
        <v>0.95841739999999997</v>
      </c>
      <c r="N1337">
        <v>0</v>
      </c>
      <c r="O1337">
        <v>-0.28498030000000002</v>
      </c>
      <c r="P1337">
        <v>0.81767330000000005</v>
      </c>
      <c r="Q1337">
        <v>0.16483719999999999</v>
      </c>
      <c r="R1337">
        <v>-0.55157889999999998</v>
      </c>
      <c r="S1337">
        <v>2.0856319999999999</v>
      </c>
      <c r="T1337">
        <v>-0.185086</v>
      </c>
      <c r="U1337">
        <v>-2.4119259999999998</v>
      </c>
      <c r="V1337">
        <v>0.29886119999999999</v>
      </c>
      <c r="W1337">
        <v>0.1734357</v>
      </c>
      <c r="X1337">
        <v>0.93840400000000002</v>
      </c>
      <c r="Y1337">
        <v>0.53821589999999997</v>
      </c>
      <c r="Z1337">
        <v>2.9363300000000001E-4</v>
      </c>
      <c r="AA1337">
        <v>0.84280699999999997</v>
      </c>
      <c r="AB1337">
        <v>30</v>
      </c>
      <c r="AC1337">
        <v>12.2613</v>
      </c>
      <c r="AD1337">
        <v>-1.1026596945060001</v>
      </c>
      <c r="AE1337">
        <v>-14.3171</v>
      </c>
      <c r="AF1337">
        <v>10.1937839607737</v>
      </c>
      <c r="AG1337">
        <v>-1.1026596945060001</v>
      </c>
      <c r="AH1337">
        <v>15.779299943829599</v>
      </c>
      <c r="AI1337">
        <v>93.359236393554198</v>
      </c>
      <c r="AJ1337">
        <v>57.136627401445203</v>
      </c>
      <c r="AK1337">
        <v>18.817954101287299</v>
      </c>
      <c r="AL1337">
        <v>80.012361774979397</v>
      </c>
      <c r="AM1337">
        <v>72.334457748761494</v>
      </c>
      <c r="AN1337">
        <v>1.00000001305796</v>
      </c>
    </row>
    <row r="1338" spans="1:40" x14ac:dyDescent="0.25">
      <c r="A1338" t="str">
        <f>"20190312172917012"</f>
        <v>20190312172917012</v>
      </c>
      <c r="B1338" t="str">
        <f>"1552382957009027"</f>
        <v>1552382957009027</v>
      </c>
      <c r="C1338" t="s">
        <v>40</v>
      </c>
      <c r="D1338">
        <v>3.2691720000000002</v>
      </c>
      <c r="E1338">
        <v>0.6046726</v>
      </c>
      <c r="F1338" t="s">
        <v>45</v>
      </c>
      <c r="G1338">
        <v>-193.87629999999999</v>
      </c>
      <c r="H1338" s="1">
        <v>-1.567567E-6</v>
      </c>
      <c r="I1338">
        <v>350.50850000000003</v>
      </c>
      <c r="J1338">
        <v>-206.09110000000001</v>
      </c>
      <c r="K1338">
        <v>1.1025640000000001</v>
      </c>
      <c r="L1338">
        <v>364.93810000000002</v>
      </c>
      <c r="M1338">
        <v>0.956924</v>
      </c>
      <c r="N1338">
        <v>0</v>
      </c>
      <c r="O1338">
        <v>-0.28995490000000002</v>
      </c>
      <c r="P1338">
        <v>0.81432879999999996</v>
      </c>
      <c r="Q1338">
        <v>0.1651022</v>
      </c>
      <c r="R1338">
        <v>-0.55642639999999999</v>
      </c>
      <c r="S1338">
        <v>2.0709689999999998</v>
      </c>
      <c r="T1338">
        <v>-0.18457229999999999</v>
      </c>
      <c r="U1338">
        <v>-2.4240719999999998</v>
      </c>
      <c r="V1338">
        <v>0.29962349999999999</v>
      </c>
      <c r="W1338">
        <v>0.1736287</v>
      </c>
      <c r="X1338">
        <v>0.93812519999999999</v>
      </c>
      <c r="Y1338">
        <v>0.53887890000000005</v>
      </c>
      <c r="Z1338">
        <v>5.8223870000000003E-4</v>
      </c>
      <c r="AA1338">
        <v>0.84238310000000005</v>
      </c>
      <c r="AB1338">
        <v>30</v>
      </c>
      <c r="AC1338">
        <v>12.2148</v>
      </c>
      <c r="AD1338">
        <v>-1.1025655675670001</v>
      </c>
      <c r="AE1338">
        <v>-14.429599999999899</v>
      </c>
      <c r="AF1338">
        <v>10.2326287798699</v>
      </c>
      <c r="AG1338">
        <v>-1.1025655675670001</v>
      </c>
      <c r="AH1338">
        <v>15.8205262211614</v>
      </c>
      <c r="AI1338">
        <v>93.349041169159705</v>
      </c>
      <c r="AJ1338">
        <v>57.105434924072597</v>
      </c>
      <c r="AK1338">
        <v>18.873563322591298</v>
      </c>
      <c r="AL1338">
        <v>80.001133495456003</v>
      </c>
      <c r="AM1338">
        <v>72.287276662756895</v>
      </c>
      <c r="AN1338">
        <v>1.00000002904548</v>
      </c>
    </row>
    <row r="1339" spans="1:40" x14ac:dyDescent="0.25">
      <c r="A1339" t="str">
        <f>"20190312172917023"</f>
        <v>20190312172917023</v>
      </c>
      <c r="B1339" t="str">
        <f>"1552382957018788"</f>
        <v>1552382957018788</v>
      </c>
      <c r="C1339" t="s">
        <v>40</v>
      </c>
      <c r="D1339">
        <v>3.2720220000000002</v>
      </c>
      <c r="E1339">
        <v>0.60450409999999999</v>
      </c>
      <c r="F1339" t="s">
        <v>45</v>
      </c>
      <c r="G1339">
        <v>-193.7311</v>
      </c>
      <c r="H1339" s="1">
        <v>-1.414917E-6</v>
      </c>
      <c r="I1339">
        <v>350.3159</v>
      </c>
      <c r="J1339">
        <v>-205.94640000000001</v>
      </c>
      <c r="K1339">
        <v>1.102479</v>
      </c>
      <c r="L1339">
        <v>364.88979999999998</v>
      </c>
      <c r="M1339">
        <v>0.95551870000000005</v>
      </c>
      <c r="N1339">
        <v>0</v>
      </c>
      <c r="O1339">
        <v>-0.29455160000000002</v>
      </c>
      <c r="P1339">
        <v>0.81119819999999998</v>
      </c>
      <c r="Q1339">
        <v>0.1651511</v>
      </c>
      <c r="R1339">
        <v>-0.56096569999999901</v>
      </c>
      <c r="S1339">
        <v>2.0577999999999999</v>
      </c>
      <c r="T1339">
        <v>-0.1835657</v>
      </c>
      <c r="U1339">
        <v>-2.4344480000000002</v>
      </c>
      <c r="V1339">
        <v>0.30039589999999999</v>
      </c>
      <c r="W1339">
        <v>0.17360989999999901</v>
      </c>
      <c r="X1339">
        <v>0.93788159999999998</v>
      </c>
      <c r="Y1339">
        <v>0.53926669999999999</v>
      </c>
      <c r="Z1339">
        <v>8.5362610000000005E-4</v>
      </c>
      <c r="AA1339">
        <v>0.84213459999999996</v>
      </c>
      <c r="AB1339">
        <v>30</v>
      </c>
      <c r="AC1339">
        <v>12.215299999999999</v>
      </c>
      <c r="AD1339">
        <v>-1.102480414917</v>
      </c>
      <c r="AE1339">
        <v>-14.573899999999901</v>
      </c>
      <c r="AF1339">
        <v>10.294150395766</v>
      </c>
      <c r="AG1339">
        <v>-1.102480414917</v>
      </c>
      <c r="AH1339">
        <v>15.9130090953468</v>
      </c>
      <c r="AI1339">
        <v>93.329202398010295</v>
      </c>
      <c r="AJ1339">
        <v>57.101108893216797</v>
      </c>
      <c r="AK1339">
        <v>18.984437150058302</v>
      </c>
      <c r="AL1339">
        <v>80.002226922139798</v>
      </c>
      <c r="AM1339">
        <v>72.240157416743997</v>
      </c>
      <c r="AN1339">
        <v>0.99999999486669</v>
      </c>
    </row>
    <row r="1340" spans="1:40" x14ac:dyDescent="0.25">
      <c r="A1340" t="str">
        <f>"20190312172917036"</f>
        <v>20190312172917036</v>
      </c>
      <c r="B1340" t="str">
        <f>"1552382957028547"</f>
        <v>1552382957028547</v>
      </c>
      <c r="C1340" t="s">
        <v>40</v>
      </c>
      <c r="D1340">
        <v>3.2770589999999902</v>
      </c>
      <c r="E1340">
        <v>0.60431780000000002</v>
      </c>
      <c r="F1340" t="s">
        <v>45</v>
      </c>
      <c r="G1340">
        <v>-193.65979999999999</v>
      </c>
      <c r="H1340" s="1">
        <v>-1.3269050000000001E-6</v>
      </c>
      <c r="I1340">
        <v>350.19920000000002</v>
      </c>
      <c r="J1340">
        <v>-205.78819999999999</v>
      </c>
      <c r="K1340">
        <v>1.1023879999999999</v>
      </c>
      <c r="L1340">
        <v>364.83539999999999</v>
      </c>
      <c r="M1340">
        <v>0.95391729999999997</v>
      </c>
      <c r="N1340">
        <v>0</v>
      </c>
      <c r="O1340">
        <v>-0.2996973</v>
      </c>
      <c r="P1340">
        <v>0.80766159999999998</v>
      </c>
      <c r="Q1340">
        <v>0.16546720000000001</v>
      </c>
      <c r="R1340">
        <v>-0.56595390000000001</v>
      </c>
      <c r="S1340">
        <v>2.0448460000000002</v>
      </c>
      <c r="T1340">
        <v>-0.18348400000000001</v>
      </c>
      <c r="U1340">
        <v>-2.4449160000000001</v>
      </c>
      <c r="V1340">
        <v>0.30118859999999997</v>
      </c>
      <c r="W1340">
        <v>0.173851799999999</v>
      </c>
      <c r="X1340">
        <v>0.93758249999999999</v>
      </c>
      <c r="Y1340">
        <v>0.53913580000000005</v>
      </c>
      <c r="Z1340">
        <v>1.1809469999999999E-3</v>
      </c>
      <c r="AA1340">
        <v>0.84221800000000002</v>
      </c>
      <c r="AB1340">
        <v>30</v>
      </c>
      <c r="AC1340">
        <v>12.128399999999999</v>
      </c>
      <c r="AD1340">
        <v>-1.102389326905</v>
      </c>
      <c r="AE1340">
        <v>-14.636199999999899</v>
      </c>
      <c r="AF1340">
        <v>10.2934077620992</v>
      </c>
      <c r="AG1340">
        <v>-1.102389326905</v>
      </c>
      <c r="AH1340">
        <v>15.9042094041491</v>
      </c>
      <c r="AI1340">
        <v>93.330293970974694</v>
      </c>
      <c r="AJ1340">
        <v>57.088539288012697</v>
      </c>
      <c r="AK1340">
        <v>18.976653613214999</v>
      </c>
      <c r="AL1340">
        <v>79.988152931207495</v>
      </c>
      <c r="AM1340">
        <v>72.190926518747006</v>
      </c>
      <c r="AN1340">
        <v>0.99999998271972401</v>
      </c>
    </row>
    <row r="1341" spans="1:40" x14ac:dyDescent="0.25">
      <c r="A1341" t="str">
        <f>"20190312172917050"</f>
        <v>20190312172917050</v>
      </c>
      <c r="B1341" t="str">
        <f>"1552382957038308"</f>
        <v>1552382957038308</v>
      </c>
      <c r="C1341" t="s">
        <v>40</v>
      </c>
      <c r="D1341">
        <v>3.2592050000000001</v>
      </c>
      <c r="E1341">
        <v>0.60417330000000002</v>
      </c>
      <c r="F1341" t="s">
        <v>45</v>
      </c>
      <c r="G1341">
        <v>-193.50569999999999</v>
      </c>
      <c r="H1341" s="1">
        <v>-1.1540540000000001E-6</v>
      </c>
      <c r="I1341">
        <v>349.97649999999999</v>
      </c>
      <c r="J1341">
        <v>-205.61429999999999</v>
      </c>
      <c r="K1341">
        <v>1.1022860000000001</v>
      </c>
      <c r="L1341">
        <v>364.7747</v>
      </c>
      <c r="M1341">
        <v>0.95210309999999998</v>
      </c>
      <c r="N1341">
        <v>0</v>
      </c>
      <c r="O1341">
        <v>-0.30541040000000003</v>
      </c>
      <c r="P1341">
        <v>0.80368609999999996</v>
      </c>
      <c r="Q1341">
        <v>0.1658183</v>
      </c>
      <c r="R1341">
        <v>-0.57148319999999997</v>
      </c>
      <c r="S1341">
        <v>2.0304869999999999</v>
      </c>
      <c r="T1341">
        <v>-0.1822414</v>
      </c>
      <c r="U1341">
        <v>-2.4563899999999999</v>
      </c>
      <c r="V1341">
        <v>0.30207790000000001</v>
      </c>
      <c r="W1341">
        <v>0.17412179999999999</v>
      </c>
      <c r="X1341">
        <v>0.93724629999999998</v>
      </c>
      <c r="Y1341">
        <v>0.53895689999999996</v>
      </c>
      <c r="Z1341">
        <v>1.536185E-3</v>
      </c>
      <c r="AA1341">
        <v>0.84233189999999902</v>
      </c>
      <c r="AB1341">
        <v>30</v>
      </c>
      <c r="AC1341">
        <v>12.1085999999999</v>
      </c>
      <c r="AD1341">
        <v>-1.102287154054</v>
      </c>
      <c r="AE1341">
        <v>-14.7982</v>
      </c>
      <c r="AF1341">
        <v>10.358061083616199</v>
      </c>
      <c r="AG1341">
        <v>-1.102287154054</v>
      </c>
      <c r="AH1341">
        <v>15.996795754434901</v>
      </c>
      <c r="AI1341">
        <v>93.310310111072596</v>
      </c>
      <c r="AJ1341">
        <v>57.076600279719997</v>
      </c>
      <c r="AK1341">
        <v>19.089314832938001</v>
      </c>
      <c r="AL1341">
        <v>79.972444078993206</v>
      </c>
      <c r="AM1341">
        <v>72.1356795911381</v>
      </c>
      <c r="AN1341">
        <v>1.00000004288366</v>
      </c>
    </row>
    <row r="1342" spans="1:40" x14ac:dyDescent="0.25">
      <c r="A1342" t="str">
        <f>"20190312172917066"</f>
        <v>20190312172917066</v>
      </c>
      <c r="B1342" t="str">
        <f>"1552382957058803"</f>
        <v>1552382957058803</v>
      </c>
      <c r="C1342" t="s">
        <v>40</v>
      </c>
      <c r="D1342">
        <v>3.2730459999999999</v>
      </c>
      <c r="E1342">
        <v>0.60394169999999903</v>
      </c>
      <c r="F1342" t="s">
        <v>45</v>
      </c>
      <c r="G1342">
        <v>-193.32939999999999</v>
      </c>
      <c r="H1342" s="1">
        <v>-9.4968390000000003E-7</v>
      </c>
      <c r="I1342">
        <v>349.71050000000002</v>
      </c>
      <c r="J1342">
        <v>-205.40559999999999</v>
      </c>
      <c r="K1342">
        <v>1.1021639999999999</v>
      </c>
      <c r="L1342">
        <v>364.70030000000003</v>
      </c>
      <c r="M1342">
        <v>0.94984170000000001</v>
      </c>
      <c r="N1342">
        <v>0</v>
      </c>
      <c r="O1342">
        <v>-0.31237169999999997</v>
      </c>
      <c r="P1342">
        <v>0.79855779999999998</v>
      </c>
      <c r="Q1342">
        <v>0.16640679999999999</v>
      </c>
      <c r="R1342">
        <v>-0.5784589</v>
      </c>
      <c r="S1342">
        <v>2.013992</v>
      </c>
      <c r="T1342">
        <v>-0.1807097</v>
      </c>
      <c r="U1342">
        <v>-2.4696349999999998</v>
      </c>
      <c r="V1342">
        <v>0.30348309999999901</v>
      </c>
      <c r="W1342">
        <v>0.17460490000000001</v>
      </c>
      <c r="X1342">
        <v>0.93670229999999999</v>
      </c>
      <c r="Y1342">
        <v>0.53839919999999997</v>
      </c>
      <c r="Z1342">
        <v>1.974721E-3</v>
      </c>
      <c r="AA1342">
        <v>0.84268770000000004</v>
      </c>
      <c r="AB1342">
        <v>30</v>
      </c>
      <c r="AC1342">
        <v>12.0762</v>
      </c>
      <c r="AD1342">
        <v>-1.1021649496839001</v>
      </c>
      <c r="AE1342">
        <v>-14.989800000000001</v>
      </c>
      <c r="AF1342">
        <v>10.432646701607601</v>
      </c>
      <c r="AG1342">
        <v>-1.1021649496839001</v>
      </c>
      <c r="AH1342">
        <v>16.101892865535302</v>
      </c>
      <c r="AI1342">
        <v>93.287779975380602</v>
      </c>
      <c r="AJ1342">
        <v>57.060220681463598</v>
      </c>
      <c r="AK1342">
        <v>19.2178520815947</v>
      </c>
      <c r="AL1342">
        <v>79.944333758221802</v>
      </c>
      <c r="AM1342">
        <v>72.048143188134205</v>
      </c>
      <c r="AN1342">
        <v>1.0000000309574499</v>
      </c>
    </row>
    <row r="1343" spans="1:40" x14ac:dyDescent="0.25">
      <c r="A1343" t="str">
        <f>"20190312172917078"</f>
        <v>20190312172917078</v>
      </c>
      <c r="B1343" t="str">
        <f>"1552382957068563"</f>
        <v>1552382957068563</v>
      </c>
      <c r="C1343" t="s">
        <v>40</v>
      </c>
      <c r="D1343">
        <v>3.2425419999999998</v>
      </c>
      <c r="E1343">
        <v>0.60394169999999903</v>
      </c>
      <c r="F1343" t="s">
        <v>41</v>
      </c>
      <c r="G1343">
        <v>-193.08949999999999</v>
      </c>
      <c r="H1343" s="1">
        <v>-4.7524929999999998E-6</v>
      </c>
      <c r="I1343">
        <v>349.34179999999998</v>
      </c>
      <c r="J1343">
        <v>-205.23840000000001</v>
      </c>
      <c r="K1343">
        <v>1.1020650000000001</v>
      </c>
      <c r="L1343">
        <v>364.63920000000002</v>
      </c>
      <c r="M1343">
        <v>0.94795529999999995</v>
      </c>
      <c r="N1343">
        <v>0</v>
      </c>
      <c r="O1343">
        <v>-0.31804949999999999</v>
      </c>
      <c r="P1343">
        <v>0.79452109999999998</v>
      </c>
      <c r="Q1343">
        <v>0.16690539999999901</v>
      </c>
      <c r="R1343">
        <v>-0.58384820000000004</v>
      </c>
      <c r="S1343">
        <v>1.993317</v>
      </c>
      <c r="T1343">
        <v>-0.1783824</v>
      </c>
      <c r="U1343">
        <v>-2.4857179999999999</v>
      </c>
      <c r="V1343">
        <v>0.3043033</v>
      </c>
      <c r="W1343">
        <v>0.1750265</v>
      </c>
      <c r="X1343">
        <v>0.93635740000000001</v>
      </c>
      <c r="Y1343">
        <v>0.54029530000000003</v>
      </c>
      <c r="Z1343">
        <v>2.2333040000000002E-3</v>
      </c>
      <c r="AA1343">
        <v>0.84147260000000002</v>
      </c>
      <c r="AB1343">
        <v>30</v>
      </c>
      <c r="AC1343">
        <v>12.148899999999999</v>
      </c>
      <c r="AD1343">
        <v>-1.1020697524930001</v>
      </c>
      <c r="AE1343">
        <v>-15.2974</v>
      </c>
      <c r="AF1343">
        <v>10.604745872294099</v>
      </c>
      <c r="AG1343">
        <v>-1.1020697524930001</v>
      </c>
      <c r="AH1343">
        <v>16.331809923065499</v>
      </c>
      <c r="AI1343">
        <v>93.239224172346098</v>
      </c>
      <c r="AJ1343">
        <v>57.003098160540603</v>
      </c>
      <c r="AK1343">
        <v>19.503928017669601</v>
      </c>
      <c r="AL1343">
        <v>79.9197995217271</v>
      </c>
      <c r="AM1343">
        <v>71.996549848321294</v>
      </c>
      <c r="AN1343">
        <v>0.99999997731394896</v>
      </c>
    </row>
    <row r="1344" spans="1:40" x14ac:dyDescent="0.25">
      <c r="A1344" t="str">
        <f>"20190312172917090"</f>
        <v>20190312172917090</v>
      </c>
      <c r="B1344" t="str">
        <f>"1552382957078324"</f>
        <v>1552382957078324</v>
      </c>
      <c r="C1344" t="s">
        <v>40</v>
      </c>
      <c r="D1344">
        <v>3.2503449999999998</v>
      </c>
      <c r="E1344">
        <v>0.61827209999999999</v>
      </c>
      <c r="F1344" t="s">
        <v>41</v>
      </c>
      <c r="G1344">
        <v>-192.91909999999999</v>
      </c>
      <c r="H1344" s="1">
        <v>-4.6246109999999998E-6</v>
      </c>
      <c r="I1344">
        <v>349.05489999999998</v>
      </c>
      <c r="J1344">
        <v>-205.1044</v>
      </c>
      <c r="K1344">
        <v>1.1019890000000001</v>
      </c>
      <c r="L1344">
        <v>364.58929999999998</v>
      </c>
      <c r="M1344">
        <v>0.94639600000000002</v>
      </c>
      <c r="N1344">
        <v>0</v>
      </c>
      <c r="O1344">
        <v>-0.32265929999999998</v>
      </c>
      <c r="P1344">
        <v>0.79124569999999905</v>
      </c>
      <c r="Q1344">
        <v>0.1669921</v>
      </c>
      <c r="R1344">
        <v>-0.58825559999999999</v>
      </c>
      <c r="S1344">
        <v>1.9760740000000001</v>
      </c>
      <c r="T1344">
        <v>-0.1767763</v>
      </c>
      <c r="U1344">
        <v>-2.4997859999999998</v>
      </c>
      <c r="V1344">
        <v>0.30499359999999998</v>
      </c>
      <c r="W1344">
        <v>0.1750524</v>
      </c>
      <c r="X1344">
        <v>0.93612799999999996</v>
      </c>
      <c r="Y1344">
        <v>0.54208459999999903</v>
      </c>
      <c r="Z1344">
        <v>2.4333250000000001E-3</v>
      </c>
      <c r="AA1344">
        <v>0.84032030000000002</v>
      </c>
      <c r="AB1344">
        <v>30</v>
      </c>
      <c r="AC1344">
        <v>12.1853</v>
      </c>
      <c r="AD1344">
        <v>-1.10199362461099</v>
      </c>
      <c r="AE1344">
        <v>-15.5344</v>
      </c>
      <c r="AF1344">
        <v>10.737755972470699</v>
      </c>
      <c r="AG1344">
        <v>-1.10199362461099</v>
      </c>
      <c r="AH1344">
        <v>16.494915558651101</v>
      </c>
      <c r="AI1344">
        <v>93.204638109720605</v>
      </c>
      <c r="AJ1344">
        <v>56.9369315666411</v>
      </c>
      <c r="AK1344">
        <v>19.712839282052801</v>
      </c>
      <c r="AL1344">
        <v>79.918292885123904</v>
      </c>
      <c r="AM1344">
        <v>71.954219094085701</v>
      </c>
      <c r="AN1344">
        <v>1.00000003558535</v>
      </c>
    </row>
    <row r="1345" spans="1:40" x14ac:dyDescent="0.25">
      <c r="A1345" t="str">
        <f>"20190312172917100"</f>
        <v>20190312172917100</v>
      </c>
      <c r="B1345" t="str">
        <f>"1552382957089060"</f>
        <v>1552382957089060</v>
      </c>
      <c r="C1345" t="s">
        <v>40</v>
      </c>
      <c r="D1345">
        <v>3.2233290000000001</v>
      </c>
      <c r="E1345">
        <v>0.62030090000000004</v>
      </c>
      <c r="F1345" t="s">
        <v>41</v>
      </c>
      <c r="G1345">
        <v>-190.2345</v>
      </c>
      <c r="H1345" s="1">
        <v>-2.0166439999999998E-6</v>
      </c>
      <c r="I1345">
        <v>344.14449999999999</v>
      </c>
      <c r="J1345">
        <v>-204.9564</v>
      </c>
      <c r="K1345">
        <v>1.101896</v>
      </c>
      <c r="L1345">
        <v>364.53359999999998</v>
      </c>
      <c r="M1345">
        <v>0.94463260000000004</v>
      </c>
      <c r="N1345">
        <v>0</v>
      </c>
      <c r="O1345">
        <v>-0.3277852</v>
      </c>
      <c r="P1345">
        <v>0.78751210000000005</v>
      </c>
      <c r="Q1345">
        <v>0.16716639999999999</v>
      </c>
      <c r="R1345">
        <v>-0.59319500000000003</v>
      </c>
      <c r="S1345">
        <v>1.889572</v>
      </c>
      <c r="T1345">
        <v>-0.14003399999999999</v>
      </c>
      <c r="U1345">
        <v>-2.5979920000000001</v>
      </c>
      <c r="V1345">
        <v>0.30583090000000002</v>
      </c>
      <c r="W1345">
        <v>0.17515749999999999</v>
      </c>
      <c r="X1345">
        <v>0.93583510000000003</v>
      </c>
      <c r="Y1345">
        <v>0.57098439999999995</v>
      </c>
      <c r="Z1345">
        <v>1.376314E-3</v>
      </c>
      <c r="AA1345">
        <v>0.82095969999999996</v>
      </c>
      <c r="AB1345">
        <v>30</v>
      </c>
      <c r="AC1345">
        <v>14.7219</v>
      </c>
      <c r="AD1345">
        <v>-1.101898016644</v>
      </c>
      <c r="AE1345">
        <v>-20.3890999999999</v>
      </c>
      <c r="AF1345">
        <v>14.4085582135406</v>
      </c>
      <c r="AG1345">
        <v>-1.101898016644</v>
      </c>
      <c r="AH1345">
        <v>20.5529025991056</v>
      </c>
      <c r="AI1345">
        <v>92.5136524537876</v>
      </c>
      <c r="AJ1345">
        <v>54.967724713997001</v>
      </c>
      <c r="AK1345">
        <v>25.124540478989701</v>
      </c>
      <c r="AL1345">
        <v>79.912176358450694</v>
      </c>
      <c r="AM1345">
        <v>71.902608665034194</v>
      </c>
      <c r="AN1345">
        <v>1.00000001179653</v>
      </c>
    </row>
    <row r="1346" spans="1:40" x14ac:dyDescent="0.25">
      <c r="A1346" t="str">
        <f>"20190312172917113"</f>
        <v>20190312172917113</v>
      </c>
      <c r="B1346" t="str">
        <f>"1552382957108579"</f>
        <v>1552382957108579</v>
      </c>
      <c r="C1346" t="s">
        <v>40</v>
      </c>
      <c r="D1346">
        <v>3.1943459999999999</v>
      </c>
      <c r="E1346">
        <v>0.62201090000000003</v>
      </c>
      <c r="F1346" t="s">
        <v>41</v>
      </c>
      <c r="G1346">
        <v>-189.15979999999999</v>
      </c>
      <c r="H1346" s="1">
        <v>-1.293538E-6</v>
      </c>
      <c r="I1346">
        <v>342.30059999999997</v>
      </c>
      <c r="J1346">
        <v>-204.8092</v>
      </c>
      <c r="K1346">
        <v>1.1018110000000001</v>
      </c>
      <c r="L1346">
        <v>364.47680000000003</v>
      </c>
      <c r="M1346">
        <v>0.94281380000000004</v>
      </c>
      <c r="N1346">
        <v>0</v>
      </c>
      <c r="O1346">
        <v>-0.33297979999999999</v>
      </c>
      <c r="P1346">
        <v>0.78382649999999998</v>
      </c>
      <c r="Q1346">
        <v>0.1673742</v>
      </c>
      <c r="R1346">
        <v>-0.59799829999999998</v>
      </c>
      <c r="S1346">
        <v>1.8625179999999999</v>
      </c>
      <c r="T1346">
        <v>-0.12992020000000001</v>
      </c>
      <c r="U1346">
        <v>-2.6213989999999998</v>
      </c>
      <c r="V1346">
        <v>0.30645850000000002</v>
      </c>
      <c r="W1346">
        <v>0.17530119999999999</v>
      </c>
      <c r="X1346">
        <v>0.93560279999999996</v>
      </c>
      <c r="Y1346">
        <v>0.57558790000000004</v>
      </c>
      <c r="Z1346">
        <v>1.39096799999999E-3</v>
      </c>
      <c r="AA1346">
        <v>0.81773879999999999</v>
      </c>
      <c r="AB1346">
        <v>30</v>
      </c>
      <c r="AC1346">
        <v>15.6494</v>
      </c>
      <c r="AD1346">
        <v>-1.1018122935379999</v>
      </c>
      <c r="AE1346">
        <v>-22.176200000000001</v>
      </c>
      <c r="AF1346">
        <v>15.6730443530353</v>
      </c>
      <c r="AG1346">
        <v>-1.1018122935379999</v>
      </c>
      <c r="AH1346">
        <v>22.104779015091001</v>
      </c>
      <c r="AI1346">
        <v>92.328436981909405</v>
      </c>
      <c r="AJ1346">
        <v>54.662055131225301</v>
      </c>
      <c r="AK1346">
        <v>27.119726490663702</v>
      </c>
      <c r="AL1346">
        <v>79.903813046209706</v>
      </c>
      <c r="AM1346">
        <v>71.863691612666599</v>
      </c>
      <c r="AN1346">
        <v>0.99999996115576395</v>
      </c>
    </row>
    <row r="1347" spans="1:40" x14ac:dyDescent="0.25">
      <c r="A1347" t="str">
        <f>"20190312172917124"</f>
        <v>20190312172917124</v>
      </c>
      <c r="B1347" t="str">
        <f>"1552382957118339"</f>
        <v>1552382957118339</v>
      </c>
      <c r="C1347" t="s">
        <v>40</v>
      </c>
      <c r="D1347">
        <v>3.228863</v>
      </c>
      <c r="E1347">
        <v>0.62247779999999997</v>
      </c>
      <c r="F1347" t="s">
        <v>41</v>
      </c>
      <c r="G1347">
        <v>-188.3295</v>
      </c>
      <c r="H1347" s="1">
        <v>-8.242268E-7</v>
      </c>
      <c r="I1347">
        <v>340.76400000000001</v>
      </c>
      <c r="J1347">
        <v>-204.6645</v>
      </c>
      <c r="K1347">
        <v>1.1017239999999999</v>
      </c>
      <c r="L1347">
        <v>364.42039999999997</v>
      </c>
      <c r="M1347">
        <v>0.94098590000000004</v>
      </c>
      <c r="N1347">
        <v>0</v>
      </c>
      <c r="O1347">
        <v>-0.33810990000000002</v>
      </c>
      <c r="P1347">
        <v>0.78011359999999996</v>
      </c>
      <c r="Q1347">
        <v>0.167767</v>
      </c>
      <c r="R1347">
        <v>-0.60272499999999996</v>
      </c>
      <c r="S1347">
        <v>1.8370059999999999</v>
      </c>
      <c r="T1347">
        <v>-0.1228197</v>
      </c>
      <c r="U1347">
        <v>-2.6432799999999999</v>
      </c>
      <c r="V1347">
        <v>0.30709219999999998</v>
      </c>
      <c r="W1347">
        <v>0.175628799999999</v>
      </c>
      <c r="X1347">
        <v>0.93533350000000004</v>
      </c>
      <c r="Y1347">
        <v>0.57965059999999902</v>
      </c>
      <c r="Z1347">
        <v>1.433094E-3</v>
      </c>
      <c r="AA1347">
        <v>0.81486389999999997</v>
      </c>
      <c r="AB1347">
        <v>30</v>
      </c>
      <c r="AC1347">
        <v>16.335000000000001</v>
      </c>
      <c r="AD1347">
        <v>-1.1017248242267901</v>
      </c>
      <c r="AE1347">
        <v>-23.656399999999898</v>
      </c>
      <c r="AF1347">
        <v>16.714667158414802</v>
      </c>
      <c r="AG1347">
        <v>-1.1017248242267901</v>
      </c>
      <c r="AH1347">
        <v>23.337847590050401</v>
      </c>
      <c r="AI1347">
        <v>92.197909351004995</v>
      </c>
      <c r="AJ1347">
        <v>54.389598242279703</v>
      </c>
      <c r="AK1347">
        <v>28.727147890824899</v>
      </c>
      <c r="AL1347">
        <v>79.884746788526897</v>
      </c>
      <c r="AM1347">
        <v>71.8237635402986</v>
      </c>
      <c r="AN1347">
        <v>0.99999992545626204</v>
      </c>
    </row>
    <row r="1348" spans="1:40" x14ac:dyDescent="0.25">
      <c r="A1348" t="str">
        <f>"20190312172917134"</f>
        <v>20190312172917134</v>
      </c>
      <c r="B1348" t="str">
        <f>"1552382957129075"</f>
        <v>1552382957129075</v>
      </c>
      <c r="C1348" t="s">
        <v>40</v>
      </c>
      <c r="D1348">
        <v>3.2285469999999998</v>
      </c>
      <c r="E1348">
        <v>0.62249750000000004</v>
      </c>
      <c r="F1348" t="s">
        <v>41</v>
      </c>
      <c r="G1348">
        <v>-188.3775</v>
      </c>
      <c r="H1348" s="1">
        <v>-7.63712E-7</v>
      </c>
      <c r="I1348">
        <v>340.62369999999999</v>
      </c>
      <c r="J1348">
        <v>-204.5274</v>
      </c>
      <c r="K1348">
        <v>1.101639</v>
      </c>
      <c r="L1348">
        <v>364.3657</v>
      </c>
      <c r="M1348">
        <v>0.93918900000000005</v>
      </c>
      <c r="N1348">
        <v>0</v>
      </c>
      <c r="O1348">
        <v>-0.34306910000000002</v>
      </c>
      <c r="P1348">
        <v>0.77653059999999996</v>
      </c>
      <c r="Q1348">
        <v>0.16804539999999901</v>
      </c>
      <c r="R1348">
        <v>-0.60725709999999999</v>
      </c>
      <c r="S1348">
        <v>1.818848</v>
      </c>
      <c r="T1348">
        <v>-0.123035199999999</v>
      </c>
      <c r="U1348">
        <v>-2.6575009999999999</v>
      </c>
      <c r="V1348">
        <v>0.30766769999999999</v>
      </c>
      <c r="W1348">
        <v>0.17584669999999999</v>
      </c>
      <c r="X1348">
        <v>0.93510349999999998</v>
      </c>
      <c r="Y1348">
        <v>0.58117909999999995</v>
      </c>
      <c r="Z1348">
        <v>1.609215E-3</v>
      </c>
      <c r="AA1348">
        <v>0.813774</v>
      </c>
      <c r="AB1348">
        <v>30</v>
      </c>
      <c r="AC1348">
        <v>16.149899999999999</v>
      </c>
      <c r="AD1348">
        <v>-1.1016397637119999</v>
      </c>
      <c r="AE1348">
        <v>-23.742000000000001</v>
      </c>
      <c r="AF1348">
        <v>16.734968329977999</v>
      </c>
      <c r="AG1348">
        <v>-1.1016397637119999</v>
      </c>
      <c r="AH1348">
        <v>23.281340107934099</v>
      </c>
      <c r="AI1348">
        <v>92.200349299827295</v>
      </c>
      <c r="AJ1348">
        <v>54.290866276316301</v>
      </c>
      <c r="AK1348">
        <v>28.693092764560198</v>
      </c>
      <c r="AL1348">
        <v>79.872065588321902</v>
      </c>
      <c r="AM1348">
        <v>71.787763420504305</v>
      </c>
      <c r="AN1348">
        <v>1.0000000156182101</v>
      </c>
    </row>
    <row r="1349" spans="1:40" x14ac:dyDescent="0.25">
      <c r="A1349" t="str">
        <f>"20190312172917146"</f>
        <v>20190312172917146</v>
      </c>
      <c r="B1349" t="str">
        <f>"1552382957138836"</f>
        <v>1552382957138836</v>
      </c>
      <c r="C1349" t="s">
        <v>40</v>
      </c>
      <c r="D1349">
        <v>3.2434530000000001</v>
      </c>
      <c r="E1349">
        <v>0.62211649999999996</v>
      </c>
      <c r="F1349" t="s">
        <v>41</v>
      </c>
      <c r="G1349">
        <v>-188.8887</v>
      </c>
      <c r="H1349" s="1">
        <v>-8.8283339999999997E-7</v>
      </c>
      <c r="I1349">
        <v>341.2312</v>
      </c>
      <c r="J1349">
        <v>-204.38640000000001</v>
      </c>
      <c r="K1349">
        <v>1.1015549999999901</v>
      </c>
      <c r="L1349">
        <v>364.30880000000002</v>
      </c>
      <c r="M1349">
        <v>0.93730239999999998</v>
      </c>
      <c r="N1349">
        <v>0</v>
      </c>
      <c r="O1349">
        <v>-0.34818939999999998</v>
      </c>
      <c r="P1349">
        <v>0.77280709999999997</v>
      </c>
      <c r="Q1349">
        <v>0.1683933</v>
      </c>
      <c r="R1349">
        <v>-0.61189289999999996</v>
      </c>
      <c r="S1349">
        <v>1.803955</v>
      </c>
      <c r="T1349">
        <v>-0.12707650000000001</v>
      </c>
      <c r="U1349">
        <v>-2.6686100000000001</v>
      </c>
      <c r="V1349">
        <v>0.30823129999999999</v>
      </c>
      <c r="W1349">
        <v>0.1761325</v>
      </c>
      <c r="X1349">
        <v>0.93486400000000003</v>
      </c>
      <c r="Y1349">
        <v>0.58142039999999995</v>
      </c>
      <c r="Z1349">
        <v>1.8813619999999999E-3</v>
      </c>
      <c r="AA1349">
        <v>0.81360109999999997</v>
      </c>
      <c r="AB1349">
        <v>30</v>
      </c>
      <c r="AC1349">
        <v>15.4977</v>
      </c>
      <c r="AD1349">
        <v>-1.10155588283339</v>
      </c>
      <c r="AE1349">
        <v>-23.0776</v>
      </c>
      <c r="AF1349">
        <v>16.2109535063923</v>
      </c>
      <c r="AG1349">
        <v>-1.10155588283339</v>
      </c>
      <c r="AH1349">
        <v>22.5286077460153</v>
      </c>
      <c r="AI1349">
        <v>92.2728040094389</v>
      </c>
      <c r="AJ1349">
        <v>54.262269369839899</v>
      </c>
      <c r="AK1349">
        <v>27.776727775662099</v>
      </c>
      <c r="AL1349">
        <v>79.855430097531993</v>
      </c>
      <c r="AM1349">
        <v>71.7522451414481</v>
      </c>
      <c r="AN1349">
        <v>0.99999994517596802</v>
      </c>
    </row>
    <row r="1350" spans="1:40" x14ac:dyDescent="0.25">
      <c r="A1350" t="str">
        <f>"20190312172917160"</f>
        <v>20190312172917160</v>
      </c>
      <c r="B1350" t="str">
        <f>"1552382957148597"</f>
        <v>1552382957148597</v>
      </c>
      <c r="C1350" t="s">
        <v>40</v>
      </c>
      <c r="D1350">
        <v>3.2231999999999998</v>
      </c>
      <c r="E1350">
        <v>0.62192480000000006</v>
      </c>
      <c r="F1350" t="s">
        <v>41</v>
      </c>
      <c r="G1350">
        <v>-189.27090000000001</v>
      </c>
      <c r="H1350" s="1">
        <v>-1.0163290000000001E-6</v>
      </c>
      <c r="I1350">
        <v>341.7004</v>
      </c>
      <c r="J1350">
        <v>-204.20419999999999</v>
      </c>
      <c r="K1350">
        <v>1.1014489999999999</v>
      </c>
      <c r="L1350">
        <v>364.2337</v>
      </c>
      <c r="M1350">
        <v>0.93478159999999999</v>
      </c>
      <c r="N1350">
        <v>0</v>
      </c>
      <c r="O1350">
        <v>-0.35490090000000002</v>
      </c>
      <c r="P1350">
        <v>0.76792689999999997</v>
      </c>
      <c r="Q1350">
        <v>0.16852529999999999</v>
      </c>
      <c r="R1350">
        <v>-0.61797080000000004</v>
      </c>
      <c r="S1350">
        <v>1.7902370000000001</v>
      </c>
      <c r="T1350">
        <v>-0.1304651</v>
      </c>
      <c r="U1350">
        <v>-2.677673</v>
      </c>
      <c r="V1350">
        <v>0.30896459999999998</v>
      </c>
      <c r="W1350">
        <v>0.17618689999999901</v>
      </c>
      <c r="X1350">
        <v>0.93461170000000005</v>
      </c>
      <c r="Y1350">
        <v>0.57973540000000001</v>
      </c>
      <c r="Z1350">
        <v>2.2792390000000002E-3</v>
      </c>
      <c r="AA1350">
        <v>0.81480160000000001</v>
      </c>
      <c r="AB1350">
        <v>30</v>
      </c>
      <c r="AC1350">
        <v>14.9332999999999</v>
      </c>
      <c r="AD1350">
        <v>-1.101450016329</v>
      </c>
      <c r="AE1350">
        <v>-22.533300000000001</v>
      </c>
      <c r="AF1350">
        <v>15.739544911503801</v>
      </c>
      <c r="AG1350">
        <v>-1.101450016329</v>
      </c>
      <c r="AH1350">
        <v>21.922578054108801</v>
      </c>
      <c r="AI1350">
        <v>92.337122940408094</v>
      </c>
      <c r="AJ1350">
        <v>54.323146654520102</v>
      </c>
      <c r="AK1350">
        <v>27.010107269283701</v>
      </c>
      <c r="AL1350">
        <v>79.852264136569701</v>
      </c>
      <c r="AM1350">
        <v>71.707110491259002</v>
      </c>
      <c r="AN1350">
        <v>0.99999998878082996</v>
      </c>
    </row>
    <row r="1351" spans="1:40" x14ac:dyDescent="0.25">
      <c r="A1351" t="str">
        <f>"20190312172917178"</f>
        <v>20190312172917178</v>
      </c>
      <c r="B1351" t="str">
        <f>"1552382957169091"</f>
        <v>1552382957169091</v>
      </c>
      <c r="C1351" t="s">
        <v>40</v>
      </c>
      <c r="D1351">
        <v>3.202531</v>
      </c>
      <c r="E1351">
        <v>0.62187079999999995</v>
      </c>
      <c r="F1351" t="s">
        <v>41</v>
      </c>
      <c r="G1351">
        <v>-189.61340000000001</v>
      </c>
      <c r="H1351" s="1">
        <v>-1.10981E-6</v>
      </c>
      <c r="I1351">
        <v>342.05990000000003</v>
      </c>
      <c r="J1351">
        <v>-203.97929999999999</v>
      </c>
      <c r="K1351">
        <v>1.101326</v>
      </c>
      <c r="L1351">
        <v>364.1386</v>
      </c>
      <c r="M1351">
        <v>0.93154079999999995</v>
      </c>
      <c r="N1351">
        <v>0</v>
      </c>
      <c r="O1351">
        <v>-0.3633208</v>
      </c>
      <c r="P1351">
        <v>0.76104399999999905</v>
      </c>
      <c r="Q1351">
        <v>0.16896420000000001</v>
      </c>
      <c r="R1351">
        <v>-0.62630949999999996</v>
      </c>
      <c r="S1351">
        <v>1.770599</v>
      </c>
      <c r="T1351">
        <v>-0.13366129999999901</v>
      </c>
      <c r="U1351">
        <v>-2.6907960000000002</v>
      </c>
      <c r="V1351">
        <v>0.31082929999999998</v>
      </c>
      <c r="W1351">
        <v>0.1765061</v>
      </c>
      <c r="X1351">
        <v>0.93393300000000001</v>
      </c>
      <c r="Y1351">
        <v>0.57835579999999998</v>
      </c>
      <c r="Z1351">
        <v>2.7632080000000001E-3</v>
      </c>
      <c r="AA1351">
        <v>0.8157799</v>
      </c>
      <c r="AB1351">
        <v>30</v>
      </c>
      <c r="AC1351">
        <v>14.3658999999999</v>
      </c>
      <c r="AD1351">
        <v>-1.1013271098099999</v>
      </c>
      <c r="AE1351">
        <v>-22.078699999999898</v>
      </c>
      <c r="AF1351">
        <v>15.322757004409899</v>
      </c>
      <c r="AG1351">
        <v>-1.1013271098099999</v>
      </c>
      <c r="AH1351">
        <v>21.369176344382701</v>
      </c>
      <c r="AI1351">
        <v>92.398344366487393</v>
      </c>
      <c r="AJ1351">
        <v>54.357604047073202</v>
      </c>
      <c r="AK1351">
        <v>26.318083160753201</v>
      </c>
      <c r="AL1351">
        <v>79.833684798162196</v>
      </c>
      <c r="AM1351">
        <v>71.591651887810201</v>
      </c>
      <c r="AN1351">
        <v>1.0000000527823401</v>
      </c>
    </row>
    <row r="1352" spans="1:40" x14ac:dyDescent="0.25">
      <c r="A1352" t="str">
        <f>"20190312172917189"</f>
        <v>20190312172917189</v>
      </c>
      <c r="B1352" t="str">
        <f>"1552382957178852"</f>
        <v>1552382957178852</v>
      </c>
      <c r="C1352" t="s">
        <v>40</v>
      </c>
      <c r="D1352">
        <v>3.2239049999999998</v>
      </c>
      <c r="E1352">
        <v>0.62181119999999901</v>
      </c>
      <c r="F1352" t="s">
        <v>41</v>
      </c>
      <c r="G1352">
        <v>-189.8614</v>
      </c>
      <c r="H1352" s="1">
        <v>-1.1141550000000001E-6</v>
      </c>
      <c r="I1352">
        <v>342.17259999999999</v>
      </c>
      <c r="J1352">
        <v>-203.84379999999999</v>
      </c>
      <c r="K1352">
        <v>1.101254</v>
      </c>
      <c r="L1352">
        <v>364.08010000000002</v>
      </c>
      <c r="M1352">
        <v>0.92951919999999999</v>
      </c>
      <c r="N1352">
        <v>0</v>
      </c>
      <c r="O1352">
        <v>-0.3684616</v>
      </c>
      <c r="P1352">
        <v>0.75691929999999996</v>
      </c>
      <c r="Q1352">
        <v>0.1688733</v>
      </c>
      <c r="R1352">
        <v>-0.6313124</v>
      </c>
      <c r="S1352">
        <v>1.7418209999999901</v>
      </c>
      <c r="T1352">
        <v>-0.135879</v>
      </c>
      <c r="U1352">
        <v>-2.7101139999999999</v>
      </c>
      <c r="V1352">
        <v>0.31185210000000002</v>
      </c>
      <c r="W1352">
        <v>0.176347</v>
      </c>
      <c r="X1352">
        <v>0.93362199999999995</v>
      </c>
      <c r="Y1352">
        <v>0.58261189999999996</v>
      </c>
      <c r="Z1352">
        <v>2.939568E-3</v>
      </c>
      <c r="AA1352">
        <v>0.81274519999999995</v>
      </c>
      <c r="AB1352">
        <v>30</v>
      </c>
      <c r="AC1352">
        <v>13.982399999999901</v>
      </c>
      <c r="AD1352">
        <v>-1.101255114155</v>
      </c>
      <c r="AE1352">
        <v>-21.907499999999999</v>
      </c>
      <c r="AF1352">
        <v>15.1859484687383</v>
      </c>
      <c r="AG1352">
        <v>-1.101255114155</v>
      </c>
      <c r="AH1352">
        <v>21.033640350682301</v>
      </c>
      <c r="AI1352">
        <v>92.430712826264397</v>
      </c>
      <c r="AJ1352">
        <v>54.171324233968299</v>
      </c>
      <c r="AK1352">
        <v>25.966128323711999</v>
      </c>
      <c r="AL1352">
        <v>79.842945467211507</v>
      </c>
      <c r="AM1352">
        <v>71.529446535576199</v>
      </c>
      <c r="AN1352">
        <v>1.0000000177837001</v>
      </c>
    </row>
    <row r="1353" spans="1:40" x14ac:dyDescent="0.25">
      <c r="A1353" t="str">
        <f>"20190312172917200"</f>
        <v>20190312172917200</v>
      </c>
      <c r="B1353" t="str">
        <f>"1552382957188612"</f>
        <v>1552382957188612</v>
      </c>
      <c r="C1353" t="s">
        <v>40</v>
      </c>
      <c r="D1353">
        <v>3.2085240000000002</v>
      </c>
      <c r="E1353">
        <v>0.62164640000000004</v>
      </c>
      <c r="F1353" t="s">
        <v>41</v>
      </c>
      <c r="G1353">
        <v>-190.00219999999999</v>
      </c>
      <c r="H1353" s="1">
        <v>-1.1367299999999901E-6</v>
      </c>
      <c r="I1353">
        <v>342.23750000000001</v>
      </c>
      <c r="J1353">
        <v>-203.70779999999999</v>
      </c>
      <c r="K1353">
        <v>1.1011789999999999</v>
      </c>
      <c r="L1353">
        <v>364.02069999999998</v>
      </c>
      <c r="M1353">
        <v>0.92744300000000002</v>
      </c>
      <c r="N1353">
        <v>0</v>
      </c>
      <c r="O1353">
        <v>-0.37365589999999999</v>
      </c>
      <c r="P1353">
        <v>0.75273259999999997</v>
      </c>
      <c r="Q1353">
        <v>0.16888599999999901</v>
      </c>
      <c r="R1353">
        <v>-0.63629539999999996</v>
      </c>
      <c r="S1353">
        <v>1.72442599999999</v>
      </c>
      <c r="T1353">
        <v>-0.13719770000000001</v>
      </c>
      <c r="U1353">
        <v>-2.721222</v>
      </c>
      <c r="V1353">
        <v>0.31282880000000002</v>
      </c>
      <c r="W1353">
        <v>0.17629159999999999</v>
      </c>
      <c r="X1353">
        <v>0.93330570000000002</v>
      </c>
      <c r="Y1353">
        <v>0.58327169999999995</v>
      </c>
      <c r="Z1353">
        <v>3.1999149999999998E-3</v>
      </c>
      <c r="AA1353">
        <v>0.81227079999999996</v>
      </c>
      <c r="AB1353">
        <v>30</v>
      </c>
      <c r="AC1353">
        <v>13.7056</v>
      </c>
      <c r="AD1353">
        <v>-1.10118013673</v>
      </c>
      <c r="AE1353">
        <v>-21.783199999999901</v>
      </c>
      <c r="AF1353">
        <v>15.055675250429699</v>
      </c>
      <c r="AG1353">
        <v>-1.10118013673</v>
      </c>
      <c r="AH1353">
        <v>20.8148832479589</v>
      </c>
      <c r="AI1353">
        <v>92.454513258737506</v>
      </c>
      <c r="AJ1353">
        <v>54.121295967941897</v>
      </c>
      <c r="AK1353">
        <v>25.712746247067699</v>
      </c>
      <c r="AL1353">
        <v>79.846170587390702</v>
      </c>
      <c r="AM1353">
        <v>71.469691009438606</v>
      </c>
      <c r="AN1353">
        <v>1.00000005799624</v>
      </c>
    </row>
    <row r="1354" spans="1:40" x14ac:dyDescent="0.25">
      <c r="A1354" t="str">
        <f>"20190312172917212"</f>
        <v>20190312172917212</v>
      </c>
      <c r="B1354" t="str">
        <f>"1552382957209108"</f>
        <v>1552382957209108</v>
      </c>
      <c r="C1354" t="s">
        <v>40</v>
      </c>
      <c r="D1354">
        <v>3.2402820000000001</v>
      </c>
      <c r="E1354">
        <v>0.62120799999999998</v>
      </c>
      <c r="F1354" t="s">
        <v>41</v>
      </c>
      <c r="G1354">
        <v>-190.20259999999999</v>
      </c>
      <c r="H1354" s="1">
        <v>-1.2682119999999999E-6</v>
      </c>
      <c r="I1354">
        <v>342.41969999999998</v>
      </c>
      <c r="J1354">
        <v>-203.5746</v>
      </c>
      <c r="K1354">
        <v>1.1011040000000001</v>
      </c>
      <c r="L1354">
        <v>363.96109999999999</v>
      </c>
      <c r="M1354">
        <v>0.92534450000000001</v>
      </c>
      <c r="N1354">
        <v>0</v>
      </c>
      <c r="O1354">
        <v>-0.37882199999999999</v>
      </c>
      <c r="P1354">
        <v>0.7487123</v>
      </c>
      <c r="Q1354">
        <v>0.16900379999999901</v>
      </c>
      <c r="R1354">
        <v>-0.64098999999999995</v>
      </c>
      <c r="S1354">
        <v>1.707748</v>
      </c>
      <c r="T1354">
        <v>-0.1392456</v>
      </c>
      <c r="U1354">
        <v>-2.7314759999999998</v>
      </c>
      <c r="V1354">
        <v>0.31350650000000002</v>
      </c>
      <c r="W1354">
        <v>0.17635129999999999</v>
      </c>
      <c r="X1354">
        <v>0.93306699999999998</v>
      </c>
      <c r="Y1354">
        <v>0.58367609999999903</v>
      </c>
      <c r="Z1354">
        <v>3.489261E-3</v>
      </c>
      <c r="AA1354">
        <v>0.81197909999999995</v>
      </c>
      <c r="AB1354">
        <v>30</v>
      </c>
      <c r="AC1354">
        <v>13.372</v>
      </c>
      <c r="AD1354">
        <v>-1.1011052682119999</v>
      </c>
      <c r="AE1354">
        <v>-21.541399999999999</v>
      </c>
      <c r="AF1354">
        <v>14.8413375639214</v>
      </c>
      <c r="AG1354">
        <v>-1.1011052682119999</v>
      </c>
      <c r="AH1354">
        <v>20.497779747250799</v>
      </c>
      <c r="AI1354">
        <v>92.491401606518096</v>
      </c>
      <c r="AJ1354">
        <v>54.093728523009702</v>
      </c>
      <c r="AK1354">
        <v>25.330548909661498</v>
      </c>
      <c r="AL1354">
        <v>79.8426956729637</v>
      </c>
      <c r="AM1354">
        <v>71.427872858544703</v>
      </c>
      <c r="AN1354">
        <v>1.0000000665214599</v>
      </c>
    </row>
    <row r="1355" spans="1:40" x14ac:dyDescent="0.25">
      <c r="A1355" t="str">
        <f>"20190312172917221"</f>
        <v>20190312172917221</v>
      </c>
      <c r="B1355" t="str">
        <f>"1552382957218868"</f>
        <v>1552382957218868</v>
      </c>
      <c r="C1355" t="s">
        <v>40</v>
      </c>
      <c r="D1355">
        <v>3.2013219999999998</v>
      </c>
      <c r="E1355">
        <v>0.62104119999999996</v>
      </c>
      <c r="F1355" t="s">
        <v>41</v>
      </c>
      <c r="G1355">
        <v>-190.38030000000001</v>
      </c>
      <c r="H1355" s="1">
        <v>-1.3974970000000001E-6</v>
      </c>
      <c r="I1355">
        <v>342.61079999999998</v>
      </c>
      <c r="J1355">
        <v>-203.44380000000001</v>
      </c>
      <c r="K1355">
        <v>1.101032</v>
      </c>
      <c r="L1355">
        <v>363.90230000000003</v>
      </c>
      <c r="M1355">
        <v>0.92324799999999996</v>
      </c>
      <c r="N1355">
        <v>0</v>
      </c>
      <c r="O1355">
        <v>-0.38390279999999999</v>
      </c>
      <c r="P1355">
        <v>0.74469069999999904</v>
      </c>
      <c r="Q1355">
        <v>0.16875989999999999</v>
      </c>
      <c r="R1355">
        <v>-0.6457214</v>
      </c>
      <c r="S1355">
        <v>1.69317599999999</v>
      </c>
      <c r="T1355">
        <v>-0.14130119999999999</v>
      </c>
      <c r="U1355">
        <v>-2.7398069999999999</v>
      </c>
      <c r="V1355">
        <v>0.31429689999999999</v>
      </c>
      <c r="W1355">
        <v>0.17604710000000001</v>
      </c>
      <c r="X1355">
        <v>0.93285850000000003</v>
      </c>
      <c r="Y1355">
        <v>0.58343990000000001</v>
      </c>
      <c r="Z1355">
        <v>3.8003220000000001E-3</v>
      </c>
      <c r="AA1355">
        <v>0.81214739999999996</v>
      </c>
      <c r="AB1355">
        <v>30</v>
      </c>
      <c r="AC1355">
        <v>13.063499999999999</v>
      </c>
      <c r="AD1355">
        <v>-1.1010333974969999</v>
      </c>
      <c r="AE1355">
        <v>-21.291499999999999</v>
      </c>
      <c r="AF1355">
        <v>14.6155226318559</v>
      </c>
      <c r="AG1355">
        <v>-1.1010333974969999</v>
      </c>
      <c r="AH1355">
        <v>20.1978216889223</v>
      </c>
      <c r="AI1355">
        <v>92.5287015152756</v>
      </c>
      <c r="AJ1355">
        <v>54.109795597663997</v>
      </c>
      <c r="AK1355">
        <v>24.9555159698651</v>
      </c>
      <c r="AL1355">
        <v>79.860401923036505</v>
      </c>
      <c r="AM1355">
        <v>71.380398337090497</v>
      </c>
      <c r="AN1355">
        <v>1.00000005189513</v>
      </c>
    </row>
    <row r="1356" spans="1:40" x14ac:dyDescent="0.25">
      <c r="A1356" t="str">
        <f>"20190312172917233"</f>
        <v>20190312172917233</v>
      </c>
      <c r="B1356" t="str">
        <f>"1552382957228628"</f>
        <v>1552382957228628</v>
      </c>
      <c r="C1356" t="s">
        <v>40</v>
      </c>
      <c r="D1356">
        <v>3.2027389999999998</v>
      </c>
      <c r="E1356">
        <v>0.62083769999999905</v>
      </c>
      <c r="F1356" t="s">
        <v>41</v>
      </c>
      <c r="G1356">
        <v>-190.5539</v>
      </c>
      <c r="H1356" s="1">
        <v>-1.509413E-6</v>
      </c>
      <c r="I1356">
        <v>342.76409999999998</v>
      </c>
      <c r="J1356">
        <v>-203.30619999999999</v>
      </c>
      <c r="K1356">
        <v>1.1009530000000001</v>
      </c>
      <c r="L1356">
        <v>363.83870000000002</v>
      </c>
      <c r="M1356">
        <v>0.92096429999999996</v>
      </c>
      <c r="N1356">
        <v>0</v>
      </c>
      <c r="O1356">
        <v>-0.38934859999999999</v>
      </c>
      <c r="P1356">
        <v>0.74043610000000004</v>
      </c>
      <c r="Q1356">
        <v>0.16871800000000001</v>
      </c>
      <c r="R1356">
        <v>-0.65060669999999898</v>
      </c>
      <c r="S1356">
        <v>1.6767430000000001</v>
      </c>
      <c r="T1356">
        <v>-0.14322389999999999</v>
      </c>
      <c r="U1356">
        <v>-2.749695</v>
      </c>
      <c r="V1356">
        <v>0.31495400000000001</v>
      </c>
      <c r="W1356">
        <v>0.17594760000000001</v>
      </c>
      <c r="X1356">
        <v>0.93265560000000003</v>
      </c>
      <c r="Y1356">
        <v>0.58347899999999997</v>
      </c>
      <c r="Z1356">
        <v>4.1258639999999999E-3</v>
      </c>
      <c r="AA1356">
        <v>0.8121178</v>
      </c>
      <c r="AB1356">
        <v>30</v>
      </c>
      <c r="AC1356">
        <v>12.7522999999999</v>
      </c>
      <c r="AD1356">
        <v>-1.100954509413</v>
      </c>
      <c r="AE1356">
        <v>-21.0746</v>
      </c>
      <c r="AF1356">
        <v>14.416743170634</v>
      </c>
      <c r="AG1356">
        <v>-1.100954509413</v>
      </c>
      <c r="AH1356">
        <v>19.912319803056299</v>
      </c>
      <c r="AI1356">
        <v>92.564248891446695</v>
      </c>
      <c r="AJ1356">
        <v>54.095039408078598</v>
      </c>
      <c r="AK1356">
        <v>24.608028454530999</v>
      </c>
      <c r="AL1356">
        <v>79.866192967457494</v>
      </c>
      <c r="AM1356">
        <v>71.340383842597006</v>
      </c>
      <c r="AN1356">
        <v>1.0000000241365501</v>
      </c>
    </row>
    <row r="1357" spans="1:40" x14ac:dyDescent="0.25">
      <c r="A1357" t="str">
        <f>"20190312172917247"</f>
        <v>20190312172917247</v>
      </c>
      <c r="B1357" t="str">
        <f>"1552382957238388"</f>
        <v>1552382957238388</v>
      </c>
      <c r="C1357" t="s">
        <v>40</v>
      </c>
      <c r="D1357">
        <v>3.2300309999999999</v>
      </c>
      <c r="E1357">
        <v>0.62060289999999996</v>
      </c>
      <c r="F1357" t="s">
        <v>41</v>
      </c>
      <c r="G1357">
        <v>-190.63300000000001</v>
      </c>
      <c r="H1357" s="1">
        <v>-1.5313639999999999E-6</v>
      </c>
      <c r="I1357">
        <v>342.76609999999999</v>
      </c>
      <c r="J1357">
        <v>-203.1454</v>
      </c>
      <c r="K1357">
        <v>1.100865</v>
      </c>
      <c r="L1357">
        <v>363.7636</v>
      </c>
      <c r="M1357">
        <v>0.91823659999999996</v>
      </c>
      <c r="N1357">
        <v>0</v>
      </c>
      <c r="O1357">
        <v>-0.39573789999999998</v>
      </c>
      <c r="P1357">
        <v>0.73537609999999998</v>
      </c>
      <c r="Q1357">
        <v>0.16889589999999999</v>
      </c>
      <c r="R1357">
        <v>-0.65627440000000004</v>
      </c>
      <c r="S1357">
        <v>1.6596679999999999</v>
      </c>
      <c r="T1357">
        <v>-0.14418029999999901</v>
      </c>
      <c r="U1357">
        <v>-2.7596440000000002</v>
      </c>
      <c r="V1357">
        <v>0.31569700000000001</v>
      </c>
      <c r="W1357">
        <v>0.176057399999999</v>
      </c>
      <c r="X1357">
        <v>0.93238359999999998</v>
      </c>
      <c r="Y1357">
        <v>0.58282230000000002</v>
      </c>
      <c r="Z1357">
        <v>4.4973959999999999E-3</v>
      </c>
      <c r="AA1357">
        <v>0.81258719999999995</v>
      </c>
      <c r="AB1357">
        <v>30</v>
      </c>
      <c r="AC1357">
        <v>12.5124</v>
      </c>
      <c r="AD1357">
        <v>-1.100866531364</v>
      </c>
      <c r="AE1357">
        <v>-20.997499999999999</v>
      </c>
      <c r="AF1357">
        <v>14.3017019022756</v>
      </c>
      <c r="AG1357">
        <v>-1.100866531364</v>
      </c>
      <c r="AH1357">
        <v>19.761073438636799</v>
      </c>
      <c r="AI1357">
        <v>92.583985747359506</v>
      </c>
      <c r="AJ1357">
        <v>54.105574067757999</v>
      </c>
      <c r="AK1357">
        <v>24.418243341170701</v>
      </c>
      <c r="AL1357">
        <v>79.859801785859403</v>
      </c>
      <c r="AM1357">
        <v>71.2943454659531</v>
      </c>
      <c r="AN1357">
        <v>0.99999999072635903</v>
      </c>
    </row>
    <row r="1358" spans="1:40" x14ac:dyDescent="0.25">
      <c r="A1358" t="str">
        <f>"20190312172917260"</f>
        <v>20190312172917260</v>
      </c>
      <c r="B1358" t="str">
        <f>"1552382957249124"</f>
        <v>1552382957249124</v>
      </c>
      <c r="C1358" t="s">
        <v>40</v>
      </c>
      <c r="D1358">
        <v>3.2370009999999998</v>
      </c>
      <c r="E1358">
        <v>0.62036259999999999</v>
      </c>
      <c r="F1358" t="s">
        <v>41</v>
      </c>
      <c r="G1358">
        <v>-190.64519999999999</v>
      </c>
      <c r="H1358" s="1">
        <v>-1.4778139999999901E-6</v>
      </c>
      <c r="I1358">
        <v>342.63380000000001</v>
      </c>
      <c r="J1358">
        <v>-202.97319999999999</v>
      </c>
      <c r="K1358">
        <v>1.1007709999999999</v>
      </c>
      <c r="L1358">
        <v>363.6816</v>
      </c>
      <c r="M1358">
        <v>0.9152207</v>
      </c>
      <c r="N1358">
        <v>0</v>
      </c>
      <c r="O1358">
        <v>-0.40266289999999999</v>
      </c>
      <c r="P1358">
        <v>0.72987209999999902</v>
      </c>
      <c r="Q1358">
        <v>0.1687707</v>
      </c>
      <c r="R1358">
        <v>-0.66242250000000003</v>
      </c>
      <c r="S1358">
        <v>1.639481</v>
      </c>
      <c r="T1358">
        <v>-0.1443863</v>
      </c>
      <c r="U1358">
        <v>-2.7713320000000001</v>
      </c>
      <c r="V1358">
        <v>0.31650509999999998</v>
      </c>
      <c r="W1358">
        <v>0.17586170000000001</v>
      </c>
      <c r="X1358">
        <v>0.93214649999999999</v>
      </c>
      <c r="Y1358">
        <v>0.58257530000000002</v>
      </c>
      <c r="Z1358">
        <v>4.8649540000000003E-3</v>
      </c>
      <c r="AA1358">
        <v>0.81276210000000004</v>
      </c>
      <c r="AB1358">
        <v>30</v>
      </c>
      <c r="AC1358">
        <v>12.327999999999999</v>
      </c>
      <c r="AD1358">
        <v>-1.100772477814</v>
      </c>
      <c r="AE1358">
        <v>-21.047799999999899</v>
      </c>
      <c r="AF1358">
        <v>14.271959957011401</v>
      </c>
      <c r="AG1358">
        <v>-1.100772477814</v>
      </c>
      <c r="AH1358">
        <v>19.720157468567699</v>
      </c>
      <c r="AI1358">
        <v>92.589126949403905</v>
      </c>
      <c r="AJ1358">
        <v>54.105821539295697</v>
      </c>
      <c r="AK1358">
        <v>24.3677071479357</v>
      </c>
      <c r="AL1358">
        <v>79.8711919428508</v>
      </c>
      <c r="AM1358">
        <v>71.245370380784394</v>
      </c>
      <c r="AN1358">
        <v>0.99999995665757402</v>
      </c>
    </row>
    <row r="1359" spans="1:40" x14ac:dyDescent="0.25">
      <c r="A1359" t="str">
        <f>"20190312172917275"</f>
        <v>20190312172917275</v>
      </c>
      <c r="B1359" t="str">
        <f>"1552382957268644"</f>
        <v>1552382957268644</v>
      </c>
      <c r="C1359" t="s">
        <v>40</v>
      </c>
      <c r="D1359">
        <v>3.2298849999999999</v>
      </c>
      <c r="E1359">
        <v>0.6198477</v>
      </c>
      <c r="F1359" t="s">
        <v>41</v>
      </c>
      <c r="G1359">
        <v>-190.79069999999999</v>
      </c>
      <c r="H1359" s="1">
        <v>-1.5579219999999999E-6</v>
      </c>
      <c r="I1359">
        <v>342.7303</v>
      </c>
      <c r="J1359">
        <v>-202.8005</v>
      </c>
      <c r="K1359">
        <v>1.100679</v>
      </c>
      <c r="L1359">
        <v>363.59719999999999</v>
      </c>
      <c r="M1359">
        <v>0.91209130000000005</v>
      </c>
      <c r="N1359">
        <v>0</v>
      </c>
      <c r="O1359">
        <v>-0.4097016</v>
      </c>
      <c r="P1359">
        <v>0.72424319999999998</v>
      </c>
      <c r="Q1359">
        <v>0.1687804</v>
      </c>
      <c r="R1359">
        <v>-0.66857</v>
      </c>
      <c r="S1359">
        <v>1.618271</v>
      </c>
      <c r="T1359">
        <v>-0.14622180000000001</v>
      </c>
      <c r="U1359">
        <v>-2.7830810000000001</v>
      </c>
      <c r="V1359">
        <v>0.31724599999999997</v>
      </c>
      <c r="W1359">
        <v>0.17580489999999999</v>
      </c>
      <c r="X1359">
        <v>0.93190539999999999</v>
      </c>
      <c r="Y1359">
        <v>0.58243420000000001</v>
      </c>
      <c r="Z1359">
        <v>5.2968109999999898E-3</v>
      </c>
      <c r="AA1359">
        <v>0.81286059999999905</v>
      </c>
      <c r="AB1359">
        <v>30</v>
      </c>
      <c r="AC1359">
        <v>12.0098</v>
      </c>
      <c r="AD1359">
        <v>-1.100680557922</v>
      </c>
      <c r="AE1359">
        <v>-20.866899999999902</v>
      </c>
      <c r="AF1359">
        <v>14.084299251241299</v>
      </c>
      <c r="AG1359">
        <v>-1.100680557922</v>
      </c>
      <c r="AH1359">
        <v>19.464837678831699</v>
      </c>
      <c r="AI1359">
        <v>92.623006634711203</v>
      </c>
      <c r="AJ1359">
        <v>54.111384462378503</v>
      </c>
      <c r="AK1359">
        <v>24.0511722989208</v>
      </c>
      <c r="AL1359">
        <v>79.874498609769603</v>
      </c>
      <c r="AM1359">
        <v>71.200026216947904</v>
      </c>
      <c r="AN1359">
        <v>1.00000003096458</v>
      </c>
    </row>
    <row r="1360" spans="1:40" x14ac:dyDescent="0.25">
      <c r="A1360" t="str">
        <f>"20190312172917290"</f>
        <v>20190312172917290</v>
      </c>
      <c r="B1360" t="str">
        <f>"1552382957278404"</f>
        <v>1552382957278404</v>
      </c>
      <c r="C1360" t="s">
        <v>40</v>
      </c>
      <c r="D1360">
        <v>3.233482</v>
      </c>
      <c r="E1360">
        <v>0.6195754</v>
      </c>
      <c r="F1360" t="s">
        <v>41</v>
      </c>
      <c r="G1360">
        <v>-190.892</v>
      </c>
      <c r="H1360" s="1">
        <v>-1.6026839999999999E-6</v>
      </c>
      <c r="I1360">
        <v>342.77179999999998</v>
      </c>
      <c r="J1360">
        <v>-202.62549999999999</v>
      </c>
      <c r="K1360">
        <v>1.1005959999999999</v>
      </c>
      <c r="L1360">
        <v>363.51029999999997</v>
      </c>
      <c r="M1360">
        <v>0.90882410000000002</v>
      </c>
      <c r="N1360">
        <v>0</v>
      </c>
      <c r="O1360">
        <v>-0.41689749999999998</v>
      </c>
      <c r="P1360">
        <v>0.71791919999999898</v>
      </c>
      <c r="Q1360">
        <v>0.16816349999999999</v>
      </c>
      <c r="R1360">
        <v>-0.67550940000000004</v>
      </c>
      <c r="S1360">
        <v>1.5975950000000001</v>
      </c>
      <c r="T1360">
        <v>-0.14766279999999901</v>
      </c>
      <c r="U1360">
        <v>-2.7938540000000001</v>
      </c>
      <c r="V1360">
        <v>0.31881659999999901</v>
      </c>
      <c r="W1360">
        <v>0.17509930000000001</v>
      </c>
      <c r="X1360">
        <v>0.9315021</v>
      </c>
      <c r="Y1360">
        <v>0.58189429999999998</v>
      </c>
      <c r="Z1360">
        <v>5.7439930000000002E-3</v>
      </c>
      <c r="AA1360">
        <v>0.81324410000000003</v>
      </c>
      <c r="AB1360">
        <v>30</v>
      </c>
      <c r="AC1360">
        <v>11.7334999999999</v>
      </c>
      <c r="AD1360">
        <v>-1.1005976026840001</v>
      </c>
      <c r="AE1360">
        <v>-20.738499999999899</v>
      </c>
      <c r="AF1360">
        <v>13.9279083525286</v>
      </c>
      <c r="AG1360">
        <v>-1.1005976026840001</v>
      </c>
      <c r="AH1360">
        <v>19.270673944429401</v>
      </c>
      <c r="AI1360">
        <v>92.650234700341997</v>
      </c>
      <c r="AJ1360">
        <v>54.142422472550599</v>
      </c>
      <c r="AK1360">
        <v>23.802454084232199</v>
      </c>
      <c r="AL1360">
        <v>79.915562949371093</v>
      </c>
      <c r="AM1360">
        <v>71.105938077967394</v>
      </c>
      <c r="AN1360">
        <v>0.99999997580022904</v>
      </c>
    </row>
    <row r="1361" spans="1:40" x14ac:dyDescent="0.25">
      <c r="A1361" t="str">
        <f>"20190312172917302"</f>
        <v>20190312172917302</v>
      </c>
      <c r="B1361" t="str">
        <f>"1552382957298900"</f>
        <v>1552382957298900</v>
      </c>
      <c r="C1361" t="s">
        <v>40</v>
      </c>
      <c r="D1361">
        <v>3.2349909999999999</v>
      </c>
      <c r="E1361">
        <v>0.61160009999999998</v>
      </c>
      <c r="F1361" t="s">
        <v>41</v>
      </c>
      <c r="G1361">
        <v>-191.17949999999999</v>
      </c>
      <c r="H1361" s="1">
        <v>-1.813112E-6</v>
      </c>
      <c r="I1361">
        <v>343.084</v>
      </c>
      <c r="J1361">
        <v>-202.46619999999999</v>
      </c>
      <c r="K1361">
        <v>1.1005180000000001</v>
      </c>
      <c r="L1361">
        <v>363.4298</v>
      </c>
      <c r="M1361">
        <v>0.90576869999999998</v>
      </c>
      <c r="N1361">
        <v>0</v>
      </c>
      <c r="O1361">
        <v>-0.4234945</v>
      </c>
      <c r="P1361">
        <v>0.71244490000000005</v>
      </c>
      <c r="Q1361">
        <v>0.16814399999999999</v>
      </c>
      <c r="R1361">
        <v>-0.68128569999999999</v>
      </c>
      <c r="S1361">
        <v>1.5729519999999999</v>
      </c>
      <c r="T1361">
        <v>-0.15124879999999999</v>
      </c>
      <c r="U1361">
        <v>-2.8070680000000001</v>
      </c>
      <c r="V1361">
        <v>0.31959949999999998</v>
      </c>
      <c r="W1361">
        <v>0.17501720000000001</v>
      </c>
      <c r="X1361">
        <v>0.93124929999999995</v>
      </c>
      <c r="Y1361">
        <v>0.58304109999999998</v>
      </c>
      <c r="Z1361">
        <v>6.2073719999999897E-3</v>
      </c>
      <c r="AA1361">
        <v>0.81241890000000005</v>
      </c>
      <c r="AB1361">
        <v>30</v>
      </c>
      <c r="AC1361">
        <v>11.2866999999999</v>
      </c>
      <c r="AD1361">
        <v>-1.100519813112</v>
      </c>
      <c r="AE1361">
        <v>-20.345800000000001</v>
      </c>
      <c r="AF1361">
        <v>13.619868900555399</v>
      </c>
      <c r="AG1361">
        <v>-1.100519813112</v>
      </c>
      <c r="AH1361">
        <v>18.7996319869948</v>
      </c>
      <c r="AI1361">
        <v>92.714129174077598</v>
      </c>
      <c r="AJ1361">
        <v>54.077598717841099</v>
      </c>
      <c r="AK1361">
        <v>23.240872091507399</v>
      </c>
      <c r="AL1361">
        <v>79.920341565558999</v>
      </c>
      <c r="AM1361">
        <v>71.058068983835796</v>
      </c>
      <c r="AN1361">
        <v>1.0000000597232801</v>
      </c>
    </row>
    <row r="1362" spans="1:40" x14ac:dyDescent="0.25">
      <c r="A1362" t="str">
        <f>"20190312172917316"</f>
        <v>20190312172917316</v>
      </c>
      <c r="B1362" t="str">
        <f>"1552382957308660"</f>
        <v>1552382957308660</v>
      </c>
      <c r="C1362" t="s">
        <v>40</v>
      </c>
      <c r="D1362">
        <v>3.3217110000000001</v>
      </c>
      <c r="E1362">
        <v>0.61041959999999995</v>
      </c>
      <c r="F1362" t="s">
        <v>41</v>
      </c>
      <c r="G1362">
        <v>-191.30369999999999</v>
      </c>
      <c r="H1362" s="1">
        <v>-2.2453400000000002E-6</v>
      </c>
      <c r="I1362">
        <v>344.0145</v>
      </c>
      <c r="J1362">
        <v>-202.31450000000001</v>
      </c>
      <c r="K1362">
        <v>1.1004480000000001</v>
      </c>
      <c r="L1362">
        <v>363.35109999999997</v>
      </c>
      <c r="M1362">
        <v>0.90275760000000005</v>
      </c>
      <c r="N1362">
        <v>0</v>
      </c>
      <c r="O1362">
        <v>-0.42987500000000001</v>
      </c>
      <c r="P1362">
        <v>0.70712249999999999</v>
      </c>
      <c r="Q1362">
        <v>0.16793339999999901</v>
      </c>
      <c r="R1362">
        <v>-0.68686020000000003</v>
      </c>
      <c r="S1362">
        <v>1.595032</v>
      </c>
      <c r="T1362">
        <v>-0.15725520000000001</v>
      </c>
      <c r="U1362">
        <v>-2.774292</v>
      </c>
      <c r="V1362">
        <v>0.32034780000000002</v>
      </c>
      <c r="W1362">
        <v>0.17474999999999999</v>
      </c>
      <c r="X1362">
        <v>0.93104229999999999</v>
      </c>
      <c r="Y1362">
        <v>0.56826279999999996</v>
      </c>
      <c r="Z1362">
        <v>7.2907730000000004E-3</v>
      </c>
      <c r="AA1362">
        <v>0.82281479999999996</v>
      </c>
      <c r="AB1362">
        <v>30</v>
      </c>
      <c r="AC1362">
        <v>11.0108</v>
      </c>
      <c r="AD1362">
        <v>-1.10045024533999</v>
      </c>
      <c r="AE1362">
        <v>-19.336599999999901</v>
      </c>
      <c r="AF1362">
        <v>12.693452858241599</v>
      </c>
      <c r="AG1362">
        <v>-1.10045024533999</v>
      </c>
      <c r="AH1362">
        <v>18.2100232204284</v>
      </c>
      <c r="AI1362">
        <v>92.838139281810797</v>
      </c>
      <c r="AJ1362">
        <v>55.121244339967099</v>
      </c>
      <c r="AK1362">
        <v>22.224753809556901</v>
      </c>
      <c r="AL1362">
        <v>79.935890216976006</v>
      </c>
      <c r="AM1362">
        <v>71.012972429685107</v>
      </c>
      <c r="AN1362">
        <v>1.00000001992706</v>
      </c>
    </row>
    <row r="1363" spans="1:40" x14ac:dyDescent="0.25">
      <c r="A1363" t="str">
        <f>"20190312172917328"</f>
        <v>20190312172917328</v>
      </c>
      <c r="B1363" t="str">
        <f>"1552382957318420"</f>
        <v>1552382957318420</v>
      </c>
      <c r="C1363" t="s">
        <v>40</v>
      </c>
      <c r="D1363">
        <v>3.2424770000000001</v>
      </c>
      <c r="E1363">
        <v>0.61058809999999997</v>
      </c>
      <c r="F1363" t="s">
        <v>41</v>
      </c>
      <c r="G1363">
        <v>-191.49289999999999</v>
      </c>
      <c r="H1363" s="1">
        <v>-2.4207240000000002E-6</v>
      </c>
      <c r="I1363">
        <v>344.30599999999998</v>
      </c>
      <c r="J1363">
        <v>-202.16290000000001</v>
      </c>
      <c r="K1363">
        <v>1.100379</v>
      </c>
      <c r="L1363">
        <v>363.2715</v>
      </c>
      <c r="M1363">
        <v>0.89967900000000001</v>
      </c>
      <c r="N1363">
        <v>0</v>
      </c>
      <c r="O1363">
        <v>-0.43628060000000002</v>
      </c>
      <c r="P1363">
        <v>0.70169720000000002</v>
      </c>
      <c r="Q1363">
        <v>0.16773560000000001</v>
      </c>
      <c r="R1363">
        <v>-0.6924496</v>
      </c>
      <c r="S1363">
        <v>1.57988</v>
      </c>
      <c r="T1363">
        <v>-0.1606582</v>
      </c>
      <c r="U1363">
        <v>-2.7804570000000002</v>
      </c>
      <c r="V1363">
        <v>0.32112429999999997</v>
      </c>
      <c r="W1363">
        <v>0.17449410000000001</v>
      </c>
      <c r="X1363">
        <v>0.9308227</v>
      </c>
      <c r="Y1363">
        <v>0.56658379999999997</v>
      </c>
      <c r="Z1363">
        <v>7.8736520000000001E-3</v>
      </c>
      <c r="AA1363">
        <v>0.82396659999999899</v>
      </c>
      <c r="AB1363">
        <v>30</v>
      </c>
      <c r="AC1363">
        <v>10.67</v>
      </c>
      <c r="AD1363">
        <v>-1.1003814207239999</v>
      </c>
      <c r="AE1363">
        <v>-18.965499999999999</v>
      </c>
      <c r="AF1363">
        <v>12.377568810120399</v>
      </c>
      <c r="AG1363">
        <v>-1.1003814207239999</v>
      </c>
      <c r="AH1363">
        <v>17.830380221382601</v>
      </c>
      <c r="AI1363">
        <v>92.9021869959724</v>
      </c>
      <c r="AJ1363">
        <v>55.2322282252806</v>
      </c>
      <c r="AK1363">
        <v>21.733327121253499</v>
      </c>
      <c r="AL1363">
        <v>79.950780315063199</v>
      </c>
      <c r="AM1363">
        <v>70.966089943526399</v>
      </c>
      <c r="AN1363">
        <v>0.99999995291029298</v>
      </c>
    </row>
    <row r="1364" spans="1:40" x14ac:dyDescent="0.25">
      <c r="A1364" t="str">
        <f>"20190312172917345"</f>
        <v>20190312172917345</v>
      </c>
      <c r="B1364" t="str">
        <f>"1552382957338916"</f>
        <v>1552382957338916</v>
      </c>
      <c r="C1364" t="s">
        <v>40</v>
      </c>
      <c r="D1364">
        <v>3.2212529999999999</v>
      </c>
      <c r="E1364">
        <v>0.60989309999999997</v>
      </c>
      <c r="F1364" t="s">
        <v>41</v>
      </c>
      <c r="G1364">
        <v>-191.767</v>
      </c>
      <c r="H1364" s="1">
        <v>-2.6284979999999999E-6</v>
      </c>
      <c r="I1364">
        <v>344.62029999999999</v>
      </c>
      <c r="J1364">
        <v>-201.964</v>
      </c>
      <c r="K1364">
        <v>1.100284</v>
      </c>
      <c r="L1364">
        <v>363.16480000000001</v>
      </c>
      <c r="M1364">
        <v>0.89551259999999999</v>
      </c>
      <c r="N1364">
        <v>0</v>
      </c>
      <c r="O1364">
        <v>-0.44476890000000002</v>
      </c>
      <c r="P1364">
        <v>0.69428159999999906</v>
      </c>
      <c r="Q1364">
        <v>0.16770689999999999</v>
      </c>
      <c r="R1364">
        <v>-0.69989100000000004</v>
      </c>
      <c r="S1364">
        <v>1.557434</v>
      </c>
      <c r="T1364">
        <v>-0.16484979999999999</v>
      </c>
      <c r="U1364">
        <v>-2.7941590000000001</v>
      </c>
      <c r="V1364">
        <v>0.32228299999999999</v>
      </c>
      <c r="W1364">
        <v>0.17438609999999999</v>
      </c>
      <c r="X1364">
        <v>0.93044249999999995</v>
      </c>
      <c r="Y1364">
        <v>0.56556249999999997</v>
      </c>
      <c r="Z1364">
        <v>8.6114980000000004E-3</v>
      </c>
      <c r="AA1364">
        <v>0.82466049999999902</v>
      </c>
      <c r="AB1364">
        <v>29</v>
      </c>
      <c r="AC1364">
        <v>10.196999999999999</v>
      </c>
      <c r="AD1364">
        <v>-1.100286628498</v>
      </c>
      <c r="AE1364">
        <v>-18.544499999999999</v>
      </c>
      <c r="AF1364">
        <v>12.0404148164801</v>
      </c>
      <c r="AG1364">
        <v>-1.100286628498</v>
      </c>
      <c r="AH1364">
        <v>17.334769131946</v>
      </c>
      <c r="AI1364">
        <v>92.984202693975504</v>
      </c>
      <c r="AJ1364">
        <v>55.216860297678899</v>
      </c>
      <c r="AK1364">
        <v>21.134721206479998</v>
      </c>
      <c r="AL1364">
        <v>79.957065544992901</v>
      </c>
      <c r="AM1364">
        <v>70.895139593063206</v>
      </c>
      <c r="AN1364">
        <v>1.0000000448842199</v>
      </c>
    </row>
    <row r="1365" spans="1:40" x14ac:dyDescent="0.25">
      <c r="A1365" t="str">
        <f>"20190312172917357"</f>
        <v>20190312172917357</v>
      </c>
      <c r="B1365" t="str">
        <f>"1552382957348676"</f>
        <v>1552382957348676</v>
      </c>
      <c r="C1365" t="s">
        <v>40</v>
      </c>
      <c r="D1365">
        <v>3.2180759999999999</v>
      </c>
      <c r="E1365">
        <v>0.60961619999999905</v>
      </c>
      <c r="F1365" t="s">
        <v>41</v>
      </c>
      <c r="G1365">
        <v>-192.0163</v>
      </c>
      <c r="H1365" s="1">
        <v>-2.8305510000000002E-6</v>
      </c>
      <c r="I1365">
        <v>344.9366</v>
      </c>
      <c r="J1365">
        <v>-201.81880000000001</v>
      </c>
      <c r="K1365">
        <v>1.10022</v>
      </c>
      <c r="L1365">
        <v>363.08499999999998</v>
      </c>
      <c r="M1365">
        <v>0.89237</v>
      </c>
      <c r="N1365">
        <v>0</v>
      </c>
      <c r="O1365">
        <v>-0.45104050000000001</v>
      </c>
      <c r="P1365">
        <v>0.68879969999999902</v>
      </c>
      <c r="Q1365">
        <v>0.16756699999999999</v>
      </c>
      <c r="R1365">
        <v>-0.70532030000000001</v>
      </c>
      <c r="S1365">
        <v>1.531998</v>
      </c>
      <c r="T1365">
        <v>-0.16945060000000001</v>
      </c>
      <c r="U1365">
        <v>-2.8072509999999999</v>
      </c>
      <c r="V1365">
        <v>0.32306970000000002</v>
      </c>
      <c r="W1365">
        <v>0.17419270000000001</v>
      </c>
      <c r="X1365">
        <v>0.93020579999999997</v>
      </c>
      <c r="Y1365">
        <v>0.56714330000000002</v>
      </c>
      <c r="Z1365">
        <v>9.1876749999999993E-3</v>
      </c>
      <c r="AA1365">
        <v>0.82356790000000002</v>
      </c>
      <c r="AB1365">
        <v>29</v>
      </c>
      <c r="AC1365">
        <v>9.8025000000000002</v>
      </c>
      <c r="AD1365">
        <v>-1.100222830551</v>
      </c>
      <c r="AE1365">
        <v>-18.148399999999899</v>
      </c>
      <c r="AF1365">
        <v>11.741758628996999</v>
      </c>
      <c r="AG1365">
        <v>-1.100222830551</v>
      </c>
      <c r="AH1365">
        <v>16.887091095707799</v>
      </c>
      <c r="AI1365">
        <v>93.061945421973107</v>
      </c>
      <c r="AJ1365">
        <v>55.188735271839001</v>
      </c>
      <c r="AK1365">
        <v>20.597408372249799</v>
      </c>
      <c r="AL1365">
        <v>79.968318117994897</v>
      </c>
      <c r="AM1365">
        <v>70.847378677497701</v>
      </c>
      <c r="AN1365">
        <v>0.99999997907250904</v>
      </c>
    </row>
    <row r="1366" spans="1:40" x14ac:dyDescent="0.25">
      <c r="A1366" t="str">
        <f>"20190312172917368"</f>
        <v>20190312172917368</v>
      </c>
      <c r="B1366" t="str">
        <f>"1552382957358435"</f>
        <v>1552382957358435</v>
      </c>
      <c r="C1366" t="s">
        <v>40</v>
      </c>
      <c r="D1366">
        <v>3.2043949999999999</v>
      </c>
      <c r="E1366">
        <v>0.60961619999999905</v>
      </c>
      <c r="F1366" t="s">
        <v>41</v>
      </c>
      <c r="G1366">
        <v>-192.119</v>
      </c>
      <c r="H1366" s="1">
        <v>-2.8910689999999999E-6</v>
      </c>
      <c r="I1366">
        <v>345.01400000000001</v>
      </c>
      <c r="J1366">
        <v>-201.6979</v>
      </c>
      <c r="K1366">
        <v>1.100166</v>
      </c>
      <c r="L1366">
        <v>363.01780000000002</v>
      </c>
      <c r="M1366">
        <v>0.88970049999999901</v>
      </c>
      <c r="N1366">
        <v>0</v>
      </c>
      <c r="O1366">
        <v>-0.45628350000000001</v>
      </c>
      <c r="P1366">
        <v>0.68415969999999904</v>
      </c>
      <c r="Q1366">
        <v>0.16768930000000001</v>
      </c>
      <c r="R1366">
        <v>-0.70979309999999995</v>
      </c>
      <c r="S1366">
        <v>1.5122530000000001</v>
      </c>
      <c r="T1366">
        <v>-0.17153160000000001</v>
      </c>
      <c r="U1366">
        <v>-2.817383</v>
      </c>
      <c r="V1366">
        <v>0.3236965</v>
      </c>
      <c r="W1366">
        <v>0.17427200000000001</v>
      </c>
      <c r="X1366">
        <v>0.9299731</v>
      </c>
      <c r="Y1366">
        <v>0.56801099999999904</v>
      </c>
      <c r="Z1366">
        <v>9.5996929999999994E-3</v>
      </c>
      <c r="AA1366">
        <v>0.822964899999999</v>
      </c>
      <c r="AB1366">
        <v>29</v>
      </c>
      <c r="AC1366">
        <v>9.5788999999999707</v>
      </c>
      <c r="AD1366">
        <v>-1.100168891069</v>
      </c>
      <c r="AE1366">
        <v>-18.003799999999998</v>
      </c>
      <c r="AF1366">
        <v>11.614881570131899</v>
      </c>
      <c r="AG1366">
        <v>-1.100168891069</v>
      </c>
      <c r="AH1366">
        <v>16.690609616349999</v>
      </c>
      <c r="AI1366">
        <v>93.096923663098394</v>
      </c>
      <c r="AJ1366">
        <v>55.1662060710727</v>
      </c>
      <c r="AK1366">
        <v>20.363995060951599</v>
      </c>
      <c r="AL1366">
        <v>79.963704812244302</v>
      </c>
      <c r="AM1366">
        <v>70.808484079932995</v>
      </c>
      <c r="AN1366">
        <v>1.00000006040992</v>
      </c>
    </row>
    <row r="1367" spans="1:40" x14ac:dyDescent="0.25">
      <c r="A1367" t="str">
        <f>"20190312172917379"</f>
        <v>20190312172917379</v>
      </c>
      <c r="B1367" t="str">
        <f>"1552382957368196"</f>
        <v>1552382957368196</v>
      </c>
      <c r="C1367" t="s">
        <v>40</v>
      </c>
      <c r="D1367">
        <v>3.2679849999999999</v>
      </c>
      <c r="E1367">
        <v>0.612633599999999</v>
      </c>
      <c r="F1367" t="s">
        <v>41</v>
      </c>
      <c r="G1367">
        <v>-192.11410000000001</v>
      </c>
      <c r="H1367" s="1">
        <v>-2.8310819999999998E-6</v>
      </c>
      <c r="I1367">
        <v>344.87720000000002</v>
      </c>
      <c r="J1367">
        <v>-201.5592</v>
      </c>
      <c r="K1367">
        <v>1.1001110000000001</v>
      </c>
      <c r="L1367">
        <v>362.93939999999998</v>
      </c>
      <c r="M1367">
        <v>0.88656999999999997</v>
      </c>
      <c r="N1367">
        <v>0</v>
      </c>
      <c r="O1367">
        <v>-0.46233590000000002</v>
      </c>
      <c r="P1367">
        <v>0.67892189999999997</v>
      </c>
      <c r="Q1367">
        <v>0.16768759999999999</v>
      </c>
      <c r="R1367">
        <v>-0.71480529999999998</v>
      </c>
      <c r="S1367">
        <v>1.493698</v>
      </c>
      <c r="T1367">
        <v>-0.1714686</v>
      </c>
      <c r="U1367">
        <v>-2.8273320000000002</v>
      </c>
      <c r="V1367">
        <v>0.32422230000000002</v>
      </c>
      <c r="W1367">
        <v>0.17422739999999901</v>
      </c>
      <c r="X1367">
        <v>0.92979820000000002</v>
      </c>
      <c r="Y1367">
        <v>0.56782779999999999</v>
      </c>
      <c r="Z1367">
        <v>9.9783360000000008E-3</v>
      </c>
      <c r="AA1367">
        <v>0.82308689999999995</v>
      </c>
      <c r="AB1367">
        <v>29</v>
      </c>
      <c r="AC1367">
        <v>9.4450999999999894</v>
      </c>
      <c r="AD1367">
        <v>-1.100113831082</v>
      </c>
      <c r="AE1367">
        <v>-18.062199999999901</v>
      </c>
      <c r="AF1367">
        <v>11.6141557011349</v>
      </c>
      <c r="AG1367">
        <v>-1.100113831082</v>
      </c>
      <c r="AH1367">
        <v>16.677961658352</v>
      </c>
      <c r="AI1367">
        <v>93.098410668410907</v>
      </c>
      <c r="AJ1367">
        <v>55.147518525072698</v>
      </c>
      <c r="AK1367">
        <v>20.353212723523601</v>
      </c>
      <c r="AL1367">
        <v>79.966299188313997</v>
      </c>
      <c r="AM1367">
        <v>70.776244949576807</v>
      </c>
      <c r="AN1367">
        <v>0.99999998972564497</v>
      </c>
    </row>
    <row r="1368" spans="1:40" x14ac:dyDescent="0.25">
      <c r="A1368" t="str">
        <f>"20190312172917391"</f>
        <v>20190312172917391</v>
      </c>
      <c r="B1368" t="str">
        <f>"1552382957388692"</f>
        <v>1552382957388692</v>
      </c>
      <c r="C1368" t="s">
        <v>40</v>
      </c>
      <c r="D1368">
        <v>3.268208</v>
      </c>
      <c r="E1368">
        <v>0.65017460000000005</v>
      </c>
      <c r="F1368" t="s">
        <v>41</v>
      </c>
      <c r="G1368">
        <v>-191.99680000000001</v>
      </c>
      <c r="H1368" s="1">
        <v>-2.5041580000000002E-6</v>
      </c>
      <c r="I1368">
        <v>344.18790000000001</v>
      </c>
      <c r="J1368">
        <v>-201.42740000000001</v>
      </c>
      <c r="K1368">
        <v>1.100061</v>
      </c>
      <c r="L1368">
        <v>362.86349999999999</v>
      </c>
      <c r="M1368">
        <v>0.88351569999999902</v>
      </c>
      <c r="N1368">
        <v>0</v>
      </c>
      <c r="O1368">
        <v>-0.4681457</v>
      </c>
      <c r="P1368">
        <v>0.67381499999999905</v>
      </c>
      <c r="Q1368">
        <v>0.16799539999999999</v>
      </c>
      <c r="R1368">
        <v>-0.71954910000000005</v>
      </c>
      <c r="S1368">
        <v>1.455368</v>
      </c>
      <c r="T1368">
        <v>-0.16743329999999901</v>
      </c>
      <c r="U1368">
        <v>-2.8539119999999998</v>
      </c>
      <c r="V1368">
        <v>0.324706099999999</v>
      </c>
      <c r="W1368">
        <v>0.1744955</v>
      </c>
      <c r="X1368">
        <v>0.92957909999999999</v>
      </c>
      <c r="Y1368">
        <v>0.57431119999999902</v>
      </c>
      <c r="Z1368">
        <v>9.87881E-3</v>
      </c>
      <c r="AA1368">
        <v>0.81857749999999996</v>
      </c>
      <c r="AB1368">
        <v>29</v>
      </c>
      <c r="AC1368">
        <v>9.4305999999999894</v>
      </c>
      <c r="AD1368">
        <v>-1.100063504158</v>
      </c>
      <c r="AE1368">
        <v>-18.6755999999999</v>
      </c>
      <c r="AF1368">
        <v>12.053415282902501</v>
      </c>
      <c r="AG1368">
        <v>-1.100063504158</v>
      </c>
      <c r="AH1368">
        <v>17.0299486900734</v>
      </c>
      <c r="AI1368">
        <v>93.018158988396294</v>
      </c>
      <c r="AJ1368">
        <v>54.709997110536399</v>
      </c>
      <c r="AK1368">
        <v>20.892920142522499</v>
      </c>
      <c r="AL1368">
        <v>79.950699502175397</v>
      </c>
      <c r="AM1368">
        <v>70.745465336799597</v>
      </c>
      <c r="AN1368">
        <v>1.0000000170271299</v>
      </c>
    </row>
    <row r="1369" spans="1:40" x14ac:dyDescent="0.25">
      <c r="A1369" t="str">
        <f>"20190312172917403"</f>
        <v>20190312172917403</v>
      </c>
      <c r="B1369" t="str">
        <f>"1552382957398453"</f>
        <v>1552382957398453</v>
      </c>
      <c r="C1369" t="s">
        <v>40</v>
      </c>
      <c r="D1369">
        <v>3.2997390000000002</v>
      </c>
      <c r="E1369">
        <v>0.65077099999999999</v>
      </c>
      <c r="F1369" t="s">
        <v>41</v>
      </c>
      <c r="G1369">
        <v>-193.17080000000001</v>
      </c>
      <c r="H1369" s="1">
        <v>-1.885202E-6</v>
      </c>
      <c r="I1369">
        <v>342.01690000000002</v>
      </c>
      <c r="J1369">
        <v>-201.29300000000001</v>
      </c>
      <c r="K1369">
        <v>1.1000099999999999</v>
      </c>
      <c r="L1369">
        <v>362.78539999999998</v>
      </c>
      <c r="M1369">
        <v>0.88034869999999898</v>
      </c>
      <c r="N1369">
        <v>0</v>
      </c>
      <c r="O1369">
        <v>-0.47407389999999999</v>
      </c>
      <c r="P1369">
        <v>0.66846059999999996</v>
      </c>
      <c r="Q1369">
        <v>0.168051799999999</v>
      </c>
      <c r="R1369">
        <v>-0.72451319999999997</v>
      </c>
      <c r="S1369">
        <v>1.2154849999999999</v>
      </c>
      <c r="T1369">
        <v>-0.16194520000000001</v>
      </c>
      <c r="U1369">
        <v>-3.0689090000000001</v>
      </c>
      <c r="V1369">
        <v>0.325364599999999</v>
      </c>
      <c r="W1369">
        <v>0.174506299999999</v>
      </c>
      <c r="X1369">
        <v>0.92934680000000003</v>
      </c>
      <c r="Y1369">
        <v>0.64379109999999995</v>
      </c>
      <c r="Z1369">
        <v>7.502463E-3</v>
      </c>
      <c r="AA1369">
        <v>0.76516450000000003</v>
      </c>
      <c r="AB1369">
        <v>29</v>
      </c>
      <c r="AC1369">
        <v>8.1221999999999905</v>
      </c>
      <c r="AD1369">
        <v>-1.100011885202</v>
      </c>
      <c r="AE1369">
        <v>-20.7684999999999</v>
      </c>
      <c r="AF1369">
        <v>14.3996948016873</v>
      </c>
      <c r="AG1369">
        <v>-1.100011885202</v>
      </c>
      <c r="AH1369">
        <v>16.956953338021901</v>
      </c>
      <c r="AI1369">
        <v>92.830820412450294</v>
      </c>
      <c r="AJ1369">
        <v>49.662378880063102</v>
      </c>
      <c r="AK1369">
        <v>22.273291248425299</v>
      </c>
      <c r="AL1369">
        <v>79.950071128067407</v>
      </c>
      <c r="AM1369">
        <v>70.704833969099795</v>
      </c>
      <c r="AN1369">
        <v>1.00000002317154</v>
      </c>
    </row>
    <row r="1370" spans="1:40" x14ac:dyDescent="0.25">
      <c r="A1370" t="str">
        <f>"20190312172917414"</f>
        <v>20190312172917414</v>
      </c>
      <c r="B1370" t="str">
        <f>"1552382957408212"</f>
        <v>1552382957408212</v>
      </c>
      <c r="C1370" t="s">
        <v>40</v>
      </c>
      <c r="D1370">
        <v>3.2744249999999999</v>
      </c>
      <c r="E1370">
        <v>0.65061089999999999</v>
      </c>
      <c r="F1370" t="s">
        <v>41</v>
      </c>
      <c r="G1370">
        <v>-193.11660000000001</v>
      </c>
      <c r="H1370" s="1">
        <v>-1.696809E-6</v>
      </c>
      <c r="I1370">
        <v>341.6114</v>
      </c>
      <c r="J1370">
        <v>-201.1747</v>
      </c>
      <c r="K1370">
        <v>1.0999669999999999</v>
      </c>
      <c r="L1370">
        <v>362.7149</v>
      </c>
      <c r="M1370">
        <v>0.87747799999999998</v>
      </c>
      <c r="N1370">
        <v>0</v>
      </c>
      <c r="O1370">
        <v>-0.47936600000000001</v>
      </c>
      <c r="P1370">
        <v>0.66371849999999999</v>
      </c>
      <c r="Q1370">
        <v>0.16821829999999999</v>
      </c>
      <c r="R1370">
        <v>-0.72882139999999995</v>
      </c>
      <c r="S1370">
        <v>1.1894530000000001</v>
      </c>
      <c r="T1370">
        <v>-0.16002429999999901</v>
      </c>
      <c r="U1370">
        <v>-3.080292</v>
      </c>
      <c r="V1370">
        <v>0.32582410000000001</v>
      </c>
      <c r="W1370">
        <v>0.1746364</v>
      </c>
      <c r="X1370">
        <v>0.92916140000000003</v>
      </c>
      <c r="Y1370">
        <v>0.64576889999999998</v>
      </c>
      <c r="Z1370">
        <v>7.6557680000000003E-3</v>
      </c>
      <c r="AA1370">
        <v>0.76349460000000002</v>
      </c>
      <c r="AB1370">
        <v>29</v>
      </c>
      <c r="AC1370">
        <v>8.0580999999999907</v>
      </c>
      <c r="AD1370">
        <v>-1.0999686968089999</v>
      </c>
      <c r="AE1370">
        <v>-21.1035</v>
      </c>
      <c r="AF1370">
        <v>14.622171032599301</v>
      </c>
      <c r="AG1370">
        <v>-1.0999686968089999</v>
      </c>
      <c r="AH1370">
        <v>17.1485136156004</v>
      </c>
      <c r="AI1370">
        <v>92.794332853413295</v>
      </c>
      <c r="AJ1370">
        <v>49.546481562800999</v>
      </c>
      <c r="AK1370">
        <v>22.563008134222301</v>
      </c>
      <c r="AL1370">
        <v>79.942501092339398</v>
      </c>
      <c r="AM1370">
        <v>70.676032722675004</v>
      </c>
      <c r="AN1370">
        <v>1.0000000617978599</v>
      </c>
    </row>
    <row r="1371" spans="1:40" x14ac:dyDescent="0.25">
      <c r="A1371" t="str">
        <f>"20190312172917425"</f>
        <v>20190312172917425</v>
      </c>
      <c r="B1371" t="str">
        <f>"1552382957418948"</f>
        <v>1552382957418948</v>
      </c>
      <c r="C1371" t="s">
        <v>40</v>
      </c>
      <c r="D1371">
        <v>3.6844429999999999</v>
      </c>
      <c r="E1371">
        <v>0.64924859999999995</v>
      </c>
      <c r="F1371" t="s">
        <v>41</v>
      </c>
      <c r="G1371">
        <v>-193.0359</v>
      </c>
      <c r="H1371" s="1">
        <v>-1.516347E-6</v>
      </c>
      <c r="I1371">
        <v>341.24079999999998</v>
      </c>
      <c r="J1371">
        <v>-201.03829999999999</v>
      </c>
      <c r="K1371">
        <v>1.0999139999999901</v>
      </c>
      <c r="L1371">
        <v>362.63310000000001</v>
      </c>
      <c r="M1371">
        <v>0.87411419999999995</v>
      </c>
      <c r="N1371">
        <v>0</v>
      </c>
      <c r="O1371">
        <v>-0.48547240000000003</v>
      </c>
      <c r="P1371">
        <v>0.65822159999999996</v>
      </c>
      <c r="Q1371">
        <v>0.168263</v>
      </c>
      <c r="R1371">
        <v>-0.73377950000000003</v>
      </c>
      <c r="S1371">
        <v>1.1700440000000001</v>
      </c>
      <c r="T1371">
        <v>-0.15813199999999999</v>
      </c>
      <c r="U1371">
        <v>-3.0871279999999999</v>
      </c>
      <c r="V1371">
        <v>0.326345</v>
      </c>
      <c r="W1371">
        <v>0.17464009999999999</v>
      </c>
      <c r="X1371">
        <v>0.92897779999999996</v>
      </c>
      <c r="Y1371">
        <v>0.64521189999999995</v>
      </c>
      <c r="Z1371">
        <v>7.9351660000000004E-3</v>
      </c>
      <c r="AA1371">
        <v>0.76396239999999904</v>
      </c>
      <c r="AB1371">
        <v>29</v>
      </c>
      <c r="AC1371">
        <v>8.0023999999999909</v>
      </c>
      <c r="AD1371">
        <v>-1.09991551634699</v>
      </c>
      <c r="AE1371">
        <v>-21.392299999999999</v>
      </c>
      <c r="AF1371">
        <v>14.7818727103339</v>
      </c>
      <c r="AG1371">
        <v>-1.09991551634699</v>
      </c>
      <c r="AH1371">
        <v>17.342257843468399</v>
      </c>
      <c r="AI1371">
        <v>92.763462371627895</v>
      </c>
      <c r="AJ1371">
        <v>49.557004353041201</v>
      </c>
      <c r="AK1371">
        <v>22.813756421881799</v>
      </c>
      <c r="AL1371">
        <v>79.942285041643501</v>
      </c>
      <c r="AM1371">
        <v>70.643893859438904</v>
      </c>
      <c r="AN1371">
        <v>0.99999998822292402</v>
      </c>
    </row>
    <row r="1372" spans="1:40" x14ac:dyDescent="0.25">
      <c r="A1372" t="str">
        <f>"20190312172917437"</f>
        <v>20190312172917437</v>
      </c>
      <c r="B1372" t="str">
        <f>"1552382957428708"</f>
        <v>1552382957428708</v>
      </c>
      <c r="C1372" t="s">
        <v>40</v>
      </c>
      <c r="D1372">
        <v>3.3081309999999999</v>
      </c>
      <c r="E1372">
        <v>0.64894309999999999</v>
      </c>
      <c r="F1372" t="s">
        <v>41</v>
      </c>
      <c r="G1372">
        <v>-192.71770000000001</v>
      </c>
      <c r="H1372" s="1">
        <v>-1.058778E-6</v>
      </c>
      <c r="I1372">
        <v>340.3716</v>
      </c>
      <c r="J1372">
        <v>-200.8997</v>
      </c>
      <c r="K1372">
        <v>1.099864</v>
      </c>
      <c r="L1372">
        <v>362.54820000000001</v>
      </c>
      <c r="M1372">
        <v>0.8706064</v>
      </c>
      <c r="N1372">
        <v>0</v>
      </c>
      <c r="O1372">
        <v>-0.49173460000000002</v>
      </c>
      <c r="P1372">
        <v>0.65257659999999995</v>
      </c>
      <c r="Q1372">
        <v>0.16850300000000001</v>
      </c>
      <c r="R1372">
        <v>-0.7387494</v>
      </c>
      <c r="S1372">
        <v>1.15419</v>
      </c>
      <c r="T1372">
        <v>-0.15257499999999999</v>
      </c>
      <c r="U1372">
        <v>-3.0880130000000001</v>
      </c>
      <c r="V1372">
        <v>0.32678020000000002</v>
      </c>
      <c r="W1372">
        <v>0.1748411</v>
      </c>
      <c r="X1372">
        <v>0.92878700000000003</v>
      </c>
      <c r="Y1372">
        <v>0.64325279999999996</v>
      </c>
      <c r="Z1372">
        <v>8.0751309999999993E-3</v>
      </c>
      <c r="AA1372">
        <v>0.76561140000000005</v>
      </c>
      <c r="AB1372">
        <v>29</v>
      </c>
      <c r="AC1372">
        <v>8.1819999999999808</v>
      </c>
      <c r="AD1372">
        <v>-1.0998650587779999</v>
      </c>
      <c r="AE1372">
        <v>-22.176600000000001</v>
      </c>
      <c r="AF1372">
        <v>15.2525416400261</v>
      </c>
      <c r="AG1372">
        <v>-1.0998650587779999</v>
      </c>
      <c r="AH1372">
        <v>17.991528931512399</v>
      </c>
      <c r="AI1372">
        <v>92.669803568070193</v>
      </c>
      <c r="AJ1372">
        <v>49.709975486608997</v>
      </c>
      <c r="AK1372">
        <v>23.612387488809802</v>
      </c>
      <c r="AL1372">
        <v>79.9305887583253</v>
      </c>
      <c r="AM1372">
        <v>70.616320122869695</v>
      </c>
      <c r="AN1372">
        <v>1.0000000003651199</v>
      </c>
    </row>
    <row r="1373" spans="1:40" x14ac:dyDescent="0.25">
      <c r="A1373" t="str">
        <f>"20190312172917451"</f>
        <v>20190312172917451</v>
      </c>
      <c r="B1373" t="str">
        <f>"1552382957438467"</f>
        <v>1552382957438467</v>
      </c>
      <c r="C1373" t="s">
        <v>40</v>
      </c>
      <c r="D1373">
        <v>3.3190230000000001</v>
      </c>
      <c r="E1373">
        <v>0.64880260000000001</v>
      </c>
      <c r="F1373" t="s">
        <v>41</v>
      </c>
      <c r="G1373">
        <v>-192.7559</v>
      </c>
      <c r="H1373" s="1">
        <v>-1.0334989999999999E-6</v>
      </c>
      <c r="I1373">
        <v>340.28899999999999</v>
      </c>
      <c r="J1373">
        <v>-200.75819999999999</v>
      </c>
      <c r="K1373">
        <v>1.0998129999999999</v>
      </c>
      <c r="L1373">
        <v>362.46</v>
      </c>
      <c r="M1373">
        <v>0.8669405</v>
      </c>
      <c r="N1373">
        <v>0</v>
      </c>
      <c r="O1373">
        <v>-0.49816909999999998</v>
      </c>
      <c r="P1373">
        <v>0.64686599999999905</v>
      </c>
      <c r="Q1373">
        <v>0.16888929999999999</v>
      </c>
      <c r="R1373">
        <v>-0.74366750000000004</v>
      </c>
      <c r="S1373">
        <v>1.1324920000000001</v>
      </c>
      <c r="T1373">
        <v>-0.15294749999999999</v>
      </c>
      <c r="U1373">
        <v>-3.095367</v>
      </c>
      <c r="V1373">
        <v>0.32701330000000001</v>
      </c>
      <c r="W1373">
        <v>0.17519409999999999</v>
      </c>
      <c r="X1373">
        <v>0.92863839999999997</v>
      </c>
      <c r="Y1373">
        <v>0.64290559999999997</v>
      </c>
      <c r="Z1373">
        <v>8.4670170000000003E-3</v>
      </c>
      <c r="AA1373">
        <v>0.76589859999999998</v>
      </c>
      <c r="AB1373">
        <v>29</v>
      </c>
      <c r="AC1373">
        <v>8.0022999999999893</v>
      </c>
      <c r="AD1373">
        <v>-1.0998140334990001</v>
      </c>
      <c r="AE1373">
        <v>-22.1709999999999</v>
      </c>
      <c r="AF1373">
        <v>15.203181504607899</v>
      </c>
      <c r="AG1373">
        <v>-1.0998140334990001</v>
      </c>
      <c r="AH1373">
        <v>17.945529082329699</v>
      </c>
      <c r="AI1373">
        <v>92.677274504646206</v>
      </c>
      <c r="AJ1373">
        <v>49.729232251030702</v>
      </c>
      <c r="AK1373">
        <v>23.545452486946999</v>
      </c>
      <c r="AL1373">
        <v>79.910046017497805</v>
      </c>
      <c r="AM1373">
        <v>70.600653425511695</v>
      </c>
      <c r="AN1373">
        <v>0.99999997450312905</v>
      </c>
    </row>
    <row r="1374" spans="1:40" x14ac:dyDescent="0.25">
      <c r="A1374" t="str">
        <f>"20190312172917464"</f>
        <v>20190312172917464</v>
      </c>
      <c r="B1374" t="str">
        <f>"1552382957458963"</f>
        <v>1552382957458963</v>
      </c>
      <c r="C1374" t="s">
        <v>40</v>
      </c>
      <c r="D1374">
        <v>3.2598560000000001</v>
      </c>
      <c r="E1374">
        <v>0.64685899999999996</v>
      </c>
      <c r="F1374" t="s">
        <v>41</v>
      </c>
      <c r="G1374">
        <v>-192.785</v>
      </c>
      <c r="H1374" s="1">
        <v>-9.8551580000000006E-7</v>
      </c>
      <c r="I1374">
        <v>340.15899999999999</v>
      </c>
      <c r="J1374">
        <v>-200.59889999999999</v>
      </c>
      <c r="K1374">
        <v>1.0997570000000001</v>
      </c>
      <c r="L1374">
        <v>362.35939999999999</v>
      </c>
      <c r="M1374">
        <v>0.86272219999999999</v>
      </c>
      <c r="N1374">
        <v>0</v>
      </c>
      <c r="O1374">
        <v>-0.50543830000000001</v>
      </c>
      <c r="P1374">
        <v>0.6403375</v>
      </c>
      <c r="Q1374">
        <v>0.16937669999999999</v>
      </c>
      <c r="R1374">
        <v>-0.74918629999999997</v>
      </c>
      <c r="S1374">
        <v>1.1096649999999999</v>
      </c>
      <c r="T1374">
        <v>-0.15306639999999999</v>
      </c>
      <c r="U1374">
        <v>-3.103729</v>
      </c>
      <c r="V1374">
        <v>0.3272717</v>
      </c>
      <c r="W1374">
        <v>0.1756462</v>
      </c>
      <c r="X1374">
        <v>0.92846200000000001</v>
      </c>
      <c r="Y1374">
        <v>0.64212190000000002</v>
      </c>
      <c r="Z1374">
        <v>8.9051489999999994E-3</v>
      </c>
      <c r="AA1374">
        <v>0.76655090000000004</v>
      </c>
      <c r="AB1374">
        <v>29</v>
      </c>
      <c r="AC1374">
        <v>7.8138999999999896</v>
      </c>
      <c r="AD1374">
        <v>-1.0997579855158</v>
      </c>
      <c r="AE1374">
        <v>-22.200399999999998</v>
      </c>
      <c r="AF1374">
        <v>15.1720495438003</v>
      </c>
      <c r="AG1374">
        <v>-1.0997579855158</v>
      </c>
      <c r="AH1374">
        <v>17.925196521585899</v>
      </c>
      <c r="AI1374">
        <v>92.681194657923299</v>
      </c>
      <c r="AJ1374">
        <v>49.755119772088598</v>
      </c>
      <c r="AK1374">
        <v>23.5098537920531</v>
      </c>
      <c r="AL1374">
        <v>79.883735059083506</v>
      </c>
      <c r="AM1374">
        <v>70.583058158616893</v>
      </c>
      <c r="AN1374">
        <v>1.0000000193196601</v>
      </c>
    </row>
    <row r="1375" spans="1:40" x14ac:dyDescent="0.25">
      <c r="A1375" t="str">
        <f>"20190312172917480"</f>
        <v>20190312172917480</v>
      </c>
      <c r="B1375" t="str">
        <f>"1552382957468726"</f>
        <v>1552382957468726</v>
      </c>
      <c r="C1375" t="s">
        <v>40</v>
      </c>
      <c r="D1375">
        <v>3.268948</v>
      </c>
      <c r="E1375">
        <v>0.64610369999999995</v>
      </c>
      <c r="F1375" t="s">
        <v>41</v>
      </c>
      <c r="G1375">
        <v>-192.43090000000001</v>
      </c>
      <c r="H1375" s="1">
        <v>-4.5871480000000001E-6</v>
      </c>
      <c r="I1375">
        <v>339.19920000000002</v>
      </c>
      <c r="J1375">
        <v>-200.4177</v>
      </c>
      <c r="K1375">
        <v>1.099701</v>
      </c>
      <c r="L1375">
        <v>362.24209999999999</v>
      </c>
      <c r="M1375">
        <v>0.85776949999999996</v>
      </c>
      <c r="N1375">
        <v>0</v>
      </c>
      <c r="O1375">
        <v>-0.51379799999999998</v>
      </c>
      <c r="P1375">
        <v>0.63258219999999898</v>
      </c>
      <c r="Q1375">
        <v>0.16993</v>
      </c>
      <c r="R1375">
        <v>-0.75562149999999995</v>
      </c>
      <c r="S1375">
        <v>1.0941620000000001</v>
      </c>
      <c r="T1375">
        <v>-0.14732100000000001</v>
      </c>
      <c r="U1375">
        <v>-3.1024780000000001</v>
      </c>
      <c r="V1375">
        <v>0.32775320000000002</v>
      </c>
      <c r="W1375">
        <v>0.17615500000000001</v>
      </c>
      <c r="X1375">
        <v>0.92819569999999996</v>
      </c>
      <c r="Y1375">
        <v>0.63798669999999902</v>
      </c>
      <c r="Z1375">
        <v>9.159393E-3</v>
      </c>
      <c r="AA1375">
        <v>0.76999289999999998</v>
      </c>
      <c r="AB1375">
        <v>29</v>
      </c>
      <c r="AC1375">
        <v>7.9867999999999801</v>
      </c>
      <c r="AD1375">
        <v>-1.0997055871479999</v>
      </c>
      <c r="AE1375">
        <v>-23.0428999999999</v>
      </c>
      <c r="AF1375">
        <v>15.632013941218499</v>
      </c>
      <c r="AG1375">
        <v>-1.0997055871479999</v>
      </c>
      <c r="AH1375">
        <v>18.6545706765313</v>
      </c>
      <c r="AI1375">
        <v>92.587101838916993</v>
      </c>
      <c r="AJ1375">
        <v>50.037923983707401</v>
      </c>
      <c r="AK1375">
        <v>24.3631323799416</v>
      </c>
      <c r="AL1375">
        <v>79.854121036111906</v>
      </c>
      <c r="AM1375">
        <v>70.551473079797105</v>
      </c>
      <c r="AN1375">
        <v>1.0000000008168599</v>
      </c>
    </row>
    <row r="1376" spans="1:40" x14ac:dyDescent="0.25">
      <c r="A1376" t="str">
        <f>"20190312172917493"</f>
        <v>20190312172917493</v>
      </c>
      <c r="B1376" t="str">
        <f>"1552382957488244"</f>
        <v>1552382957488244</v>
      </c>
      <c r="C1376" t="s">
        <v>40</v>
      </c>
      <c r="D1376">
        <v>3.4707300000000001</v>
      </c>
      <c r="E1376">
        <v>0.64589790000000002</v>
      </c>
      <c r="F1376" t="s">
        <v>41</v>
      </c>
      <c r="G1376">
        <v>-192.31970000000001</v>
      </c>
      <c r="H1376" s="1">
        <v>-4.3814000000000001E-6</v>
      </c>
      <c r="I1376">
        <v>338.65260000000001</v>
      </c>
      <c r="J1376">
        <v>-200.28030000000001</v>
      </c>
      <c r="K1376">
        <v>1.0996570000000001</v>
      </c>
      <c r="L1376">
        <v>362.15129999999999</v>
      </c>
      <c r="M1376">
        <v>0.85391159999999999</v>
      </c>
      <c r="N1376">
        <v>0</v>
      </c>
      <c r="O1376">
        <v>-0.52018429999999904</v>
      </c>
      <c r="P1376">
        <v>0.6268203</v>
      </c>
      <c r="Q1376">
        <v>0.17023060000000001</v>
      </c>
      <c r="R1376">
        <v>-0.76034109999999999</v>
      </c>
      <c r="S1376">
        <v>1.067383</v>
      </c>
      <c r="T1376">
        <v>-0.14494989999999999</v>
      </c>
      <c r="U1376">
        <v>-3.109283</v>
      </c>
      <c r="V1376">
        <v>0.32785209999999998</v>
      </c>
      <c r="W1376">
        <v>0.17643200000000001</v>
      </c>
      <c r="X1376">
        <v>0.92810820000000005</v>
      </c>
      <c r="Y1376">
        <v>0.63869370000000003</v>
      </c>
      <c r="Z1376">
        <v>9.3418059999999994E-3</v>
      </c>
      <c r="AA1376">
        <v>0.76940439999999999</v>
      </c>
      <c r="AB1376">
        <v>29</v>
      </c>
      <c r="AC1376">
        <v>7.9605999999999897</v>
      </c>
      <c r="AD1376">
        <v>-1.09966138139999</v>
      </c>
      <c r="AE1376">
        <v>-23.4986999999999</v>
      </c>
      <c r="AF1376">
        <v>15.895544302041399</v>
      </c>
      <c r="AG1376">
        <v>-1.09966138139999</v>
      </c>
      <c r="AH1376">
        <v>18.986319367752699</v>
      </c>
      <c r="AI1376">
        <v>92.542807330659699</v>
      </c>
      <c r="AJ1376">
        <v>50.063579399302498</v>
      </c>
      <c r="AK1376">
        <v>24.786244309015601</v>
      </c>
      <c r="AL1376">
        <v>79.837997981343506</v>
      </c>
      <c r="AM1376">
        <v>70.544348841570894</v>
      </c>
      <c r="AN1376">
        <v>1.00000004050282</v>
      </c>
    </row>
    <row r="1377" spans="1:40" x14ac:dyDescent="0.25">
      <c r="A1377" t="str">
        <f>"20190312172917505"</f>
        <v>20190312172917505</v>
      </c>
      <c r="B1377" t="str">
        <f>"1552382957498980"</f>
        <v>1552382957498980</v>
      </c>
      <c r="C1377" t="s">
        <v>40</v>
      </c>
      <c r="D1377">
        <v>3.221047</v>
      </c>
      <c r="E1377">
        <v>0.64596480000000001</v>
      </c>
      <c r="F1377" t="s">
        <v>41</v>
      </c>
      <c r="G1377">
        <v>-192.19</v>
      </c>
      <c r="H1377" s="1">
        <v>-4.1462579999999997E-6</v>
      </c>
      <c r="I1377">
        <v>338.0292</v>
      </c>
      <c r="J1377">
        <v>-200.14609999999999</v>
      </c>
      <c r="K1377">
        <v>1.0996170000000001</v>
      </c>
      <c r="L1377">
        <v>362.0616</v>
      </c>
      <c r="M1377">
        <v>0.85007379999999999</v>
      </c>
      <c r="N1377">
        <v>0</v>
      </c>
      <c r="O1377">
        <v>-0.52643139999999999</v>
      </c>
      <c r="P1377">
        <v>0.62113649999999998</v>
      </c>
      <c r="Q1377">
        <v>0.1704299</v>
      </c>
      <c r="R1377">
        <v>-0.76494609999999996</v>
      </c>
      <c r="S1377">
        <v>1.045029</v>
      </c>
      <c r="T1377">
        <v>-0.14204339999999999</v>
      </c>
      <c r="U1377">
        <v>-3.1158450000000002</v>
      </c>
      <c r="V1377">
        <v>0.32794830000000003</v>
      </c>
      <c r="W1377">
        <v>0.1766085</v>
      </c>
      <c r="X1377">
        <v>0.92804059999999999</v>
      </c>
      <c r="Y1377">
        <v>0.6385094</v>
      </c>
      <c r="Z1377">
        <v>9.4920539999999998E-3</v>
      </c>
      <c r="AA1377">
        <v>0.7695554</v>
      </c>
      <c r="AB1377">
        <v>29</v>
      </c>
      <c r="AC1377">
        <v>7.9560999999999904</v>
      </c>
      <c r="AD1377">
        <v>-1.0996211462579999</v>
      </c>
      <c r="AE1377">
        <v>-24.032399999999999</v>
      </c>
      <c r="AF1377">
        <v>16.212369181965698</v>
      </c>
      <c r="AG1377">
        <v>-1.0996211462579999</v>
      </c>
      <c r="AH1377">
        <v>19.3804890633822</v>
      </c>
      <c r="AI1377">
        <v>92.491898043346893</v>
      </c>
      <c r="AJ1377">
        <v>50.086491855527299</v>
      </c>
      <c r="AK1377">
        <v>25.291370810881801</v>
      </c>
      <c r="AL1377">
        <v>79.827723552818995</v>
      </c>
      <c r="AM1377">
        <v>70.537758044616794</v>
      </c>
      <c r="AN1377">
        <v>1.0000000024967499</v>
      </c>
    </row>
    <row r="1378" spans="1:40" x14ac:dyDescent="0.25">
      <c r="A1378" t="str">
        <f>"20190312172917517"</f>
        <v>20190312172917517</v>
      </c>
      <c r="B1378" t="str">
        <f>"1552382957508739"</f>
        <v>1552382957508739</v>
      </c>
      <c r="C1378" t="s">
        <v>40</v>
      </c>
      <c r="D1378">
        <v>3.1371310000000001</v>
      </c>
      <c r="E1378">
        <v>0.64610080000000003</v>
      </c>
      <c r="F1378" t="s">
        <v>41</v>
      </c>
      <c r="G1378">
        <v>-192.25219999999999</v>
      </c>
      <c r="H1378" s="1">
        <v>-4.1190410000000004E-6</v>
      </c>
      <c r="I1378">
        <v>337.91680000000002</v>
      </c>
      <c r="J1378">
        <v>-200.0146</v>
      </c>
      <c r="K1378">
        <v>1.0995779999999999</v>
      </c>
      <c r="L1378">
        <v>361.97179999999997</v>
      </c>
      <c r="M1378">
        <v>0.84621279999999999</v>
      </c>
      <c r="N1378">
        <v>0</v>
      </c>
      <c r="O1378">
        <v>-0.53261569999999903</v>
      </c>
      <c r="P1378">
        <v>0.61577599999999999</v>
      </c>
      <c r="Q1378">
        <v>0.1707128</v>
      </c>
      <c r="R1378">
        <v>-0.76920529999999998</v>
      </c>
      <c r="S1378">
        <v>1.0214080000000001</v>
      </c>
      <c r="T1378">
        <v>-0.14228209999999999</v>
      </c>
      <c r="U1378">
        <v>-3.1241460000000001</v>
      </c>
      <c r="V1378">
        <v>0.32763759999999997</v>
      </c>
      <c r="W1378">
        <v>0.1768826</v>
      </c>
      <c r="X1378">
        <v>0.92809810000000004</v>
      </c>
      <c r="Y1378">
        <v>0.63876239999999995</v>
      </c>
      <c r="Z1378">
        <v>9.8277030000000001E-3</v>
      </c>
      <c r="AA1378">
        <v>0.76934139999999995</v>
      </c>
      <c r="AB1378">
        <v>29</v>
      </c>
      <c r="AC1378">
        <v>7.7624000000000102</v>
      </c>
      <c r="AD1378">
        <v>-1.099582119041</v>
      </c>
      <c r="AE1378">
        <v>-24.0549999999999</v>
      </c>
      <c r="AF1378">
        <v>16.192611833205198</v>
      </c>
      <c r="AG1378">
        <v>-1.099582119041</v>
      </c>
      <c r="AH1378">
        <v>19.3464696054141</v>
      </c>
      <c r="AI1378">
        <v>92.495634090360298</v>
      </c>
      <c r="AJ1378">
        <v>50.071335366638102</v>
      </c>
      <c r="AK1378">
        <v>25.252636397227601</v>
      </c>
      <c r="AL1378">
        <v>79.811767214229306</v>
      </c>
      <c r="AM1378">
        <v>70.555926840671702</v>
      </c>
      <c r="AN1378">
        <v>0.99999996717006401</v>
      </c>
    </row>
    <row r="1379" spans="1:40" x14ac:dyDescent="0.25">
      <c r="A1379" t="str">
        <f>"20190312172917529"</f>
        <v>20190312172917529</v>
      </c>
      <c r="B1379" t="str">
        <f>"1552382957518500"</f>
        <v>1552382957518500</v>
      </c>
      <c r="C1379" t="s">
        <v>40</v>
      </c>
      <c r="D1379">
        <v>3.25658</v>
      </c>
      <c r="E1379">
        <v>0.64569480000000001</v>
      </c>
      <c r="F1379" t="s">
        <v>41</v>
      </c>
      <c r="G1379">
        <v>-192.32040000000001</v>
      </c>
      <c r="H1379" s="1">
        <v>-4.1083040000000002E-6</v>
      </c>
      <c r="I1379">
        <v>337.84969999999998</v>
      </c>
      <c r="J1379">
        <v>-199.88220000000001</v>
      </c>
      <c r="K1379">
        <v>1.09954</v>
      </c>
      <c r="L1379">
        <v>361.88010000000003</v>
      </c>
      <c r="M1379">
        <v>0.8422482</v>
      </c>
      <c r="N1379">
        <v>0</v>
      </c>
      <c r="O1379">
        <v>-0.53886299999999998</v>
      </c>
      <c r="P1379">
        <v>0.61010059999999999</v>
      </c>
      <c r="Q1379">
        <v>0.1708527</v>
      </c>
      <c r="R1379">
        <v>-0.77368400000000004</v>
      </c>
      <c r="S1379">
        <v>0.99903869999999895</v>
      </c>
      <c r="T1379">
        <v>-0.14277429999999999</v>
      </c>
      <c r="U1379">
        <v>-3.1321110000000001</v>
      </c>
      <c r="V1379">
        <v>0.32759199999999999</v>
      </c>
      <c r="W1379">
        <v>0.177006</v>
      </c>
      <c r="X1379">
        <v>0.92809070000000005</v>
      </c>
      <c r="Y1379">
        <v>0.63862659999999905</v>
      </c>
      <c r="Z1379">
        <v>1.0196459999999999E-2</v>
      </c>
      <c r="AA1379">
        <v>0.76944919999999895</v>
      </c>
      <c r="AB1379">
        <v>29</v>
      </c>
      <c r="AC1379">
        <v>7.5617999999999999</v>
      </c>
      <c r="AD1379">
        <v>-1.0995441083040001</v>
      </c>
      <c r="AE1379">
        <v>-24.0304</v>
      </c>
      <c r="AF1379">
        <v>16.136025238869198</v>
      </c>
      <c r="AG1379">
        <v>-1.0995441083040001</v>
      </c>
      <c r="AH1379">
        <v>19.283633743278902</v>
      </c>
      <c r="AI1379">
        <v>92.503924283169198</v>
      </c>
      <c r="AJ1379">
        <v>50.078314869480998</v>
      </c>
      <c r="AK1379">
        <v>25.168210864113</v>
      </c>
      <c r="AL1379">
        <v>79.804583849395499</v>
      </c>
      <c r="AM1379">
        <v>70.558286640089094</v>
      </c>
      <c r="AN1379">
        <v>0.99999999496324499</v>
      </c>
    </row>
    <row r="1380" spans="1:40" x14ac:dyDescent="0.25">
      <c r="A1380" t="str">
        <f>"20190312172917546"</f>
        <v>20190312172917546</v>
      </c>
      <c r="B1380" t="str">
        <f>"1552382957538999"</f>
        <v>1552382957538999</v>
      </c>
      <c r="C1380" t="s">
        <v>40</v>
      </c>
      <c r="D1380">
        <v>3.2194099999999999</v>
      </c>
      <c r="E1380">
        <v>0.64525449999999995</v>
      </c>
      <c r="F1380" t="s">
        <v>41</v>
      </c>
      <c r="G1380">
        <v>-192.285</v>
      </c>
      <c r="H1380" s="1">
        <v>-3.992421E-6</v>
      </c>
      <c r="I1380">
        <v>337.52760000000001</v>
      </c>
      <c r="J1380">
        <v>-199.6951</v>
      </c>
      <c r="K1380">
        <v>1.099483</v>
      </c>
      <c r="L1380">
        <v>361.74810000000002</v>
      </c>
      <c r="M1380">
        <v>0.83649899999999999</v>
      </c>
      <c r="N1380">
        <v>0</v>
      </c>
      <c r="O1380">
        <v>-0.54774429999999996</v>
      </c>
      <c r="P1380">
        <v>0.60217159999999903</v>
      </c>
      <c r="Q1380">
        <v>0.17138599999999901</v>
      </c>
      <c r="R1380">
        <v>-0.7797539</v>
      </c>
      <c r="S1380">
        <v>0.97868350000000004</v>
      </c>
      <c r="T1380">
        <v>-0.14164479999999999</v>
      </c>
      <c r="U1380">
        <v>-3.1371150000000001</v>
      </c>
      <c r="V1380">
        <v>0.32718309999999901</v>
      </c>
      <c r="W1380">
        <v>0.17752780000000001</v>
      </c>
      <c r="X1380">
        <v>0.9281353</v>
      </c>
      <c r="Y1380">
        <v>0.63538490000000003</v>
      </c>
      <c r="Z1380">
        <v>1.0677570000000001E-2</v>
      </c>
      <c r="AA1380">
        <v>0.77212179999999997</v>
      </c>
      <c r="AB1380">
        <v>29</v>
      </c>
      <c r="AC1380">
        <v>7.4100999999999999</v>
      </c>
      <c r="AD1380">
        <v>-1.099486992421</v>
      </c>
      <c r="AE1380">
        <v>-24.220500000000001</v>
      </c>
      <c r="AF1380">
        <v>16.173098637666602</v>
      </c>
      <c r="AG1380">
        <v>-1.099486992421</v>
      </c>
      <c r="AH1380">
        <v>19.4309587000302</v>
      </c>
      <c r="AI1380">
        <v>92.490256629150096</v>
      </c>
      <c r="AJ1380">
        <v>50.228147939080799</v>
      </c>
      <c r="AK1380">
        <v>25.304943137507301</v>
      </c>
      <c r="AL1380">
        <v>79.774206045539799</v>
      </c>
      <c r="AM1380">
        <v>70.581599888724298</v>
      </c>
      <c r="AN1380">
        <v>1.0000000179022599</v>
      </c>
    </row>
    <row r="1381" spans="1:40" x14ac:dyDescent="0.25">
      <c r="A1381" t="str">
        <f>"20190312172917559"</f>
        <v>20190312172917559</v>
      </c>
      <c r="B1381" t="str">
        <f>"1552382957548756"</f>
        <v>1552382957548756</v>
      </c>
      <c r="C1381" t="s">
        <v>40</v>
      </c>
      <c r="D1381">
        <v>3.2202470000000001</v>
      </c>
      <c r="E1381">
        <v>0.64499810000000002</v>
      </c>
      <c r="F1381" t="s">
        <v>41</v>
      </c>
      <c r="G1381">
        <v>-192.26730000000001</v>
      </c>
      <c r="H1381" s="1">
        <v>-3.8429229999999997E-6</v>
      </c>
      <c r="I1381">
        <v>337.14080000000001</v>
      </c>
      <c r="J1381">
        <v>-199.56219999999999</v>
      </c>
      <c r="K1381">
        <v>1.0994459999999999</v>
      </c>
      <c r="L1381">
        <v>361.65230000000003</v>
      </c>
      <c r="M1381">
        <v>0.83230230000000005</v>
      </c>
      <c r="N1381">
        <v>0</v>
      </c>
      <c r="O1381">
        <v>-0.55410019999999904</v>
      </c>
      <c r="P1381">
        <v>0.59618199999999999</v>
      </c>
      <c r="Q1381">
        <v>0.1716404</v>
      </c>
      <c r="R1381">
        <v>-0.78428790000000004</v>
      </c>
      <c r="S1381">
        <v>0.94935610000000004</v>
      </c>
      <c r="T1381">
        <v>-0.14052770000000001</v>
      </c>
      <c r="U1381">
        <v>-3.145111</v>
      </c>
      <c r="V1381">
        <v>0.32719819999999999</v>
      </c>
      <c r="W1381">
        <v>0.17776529999999999</v>
      </c>
      <c r="X1381">
        <v>0.92808449999999998</v>
      </c>
      <c r="Y1381">
        <v>0.63664609999999899</v>
      </c>
      <c r="Z1381">
        <v>1.089976E-2</v>
      </c>
      <c r="AA1381">
        <v>0.77107910000000002</v>
      </c>
      <c r="AB1381">
        <v>29</v>
      </c>
      <c r="AC1381">
        <v>7.2948999999999797</v>
      </c>
      <c r="AD1381">
        <v>-1.099449842923</v>
      </c>
      <c r="AE1381">
        <v>-24.511500000000002</v>
      </c>
      <c r="AF1381">
        <v>16.330700830172098</v>
      </c>
      <c r="AG1381">
        <v>-1.099449842923</v>
      </c>
      <c r="AH1381">
        <v>19.6195441994129</v>
      </c>
      <c r="AI1381">
        <v>92.466227208417493</v>
      </c>
      <c r="AJ1381">
        <v>50.227051482971</v>
      </c>
      <c r="AK1381">
        <v>25.550481290073702</v>
      </c>
      <c r="AL1381">
        <v>79.7603781906802</v>
      </c>
      <c r="AM1381">
        <v>70.579787390513005</v>
      </c>
      <c r="AN1381">
        <v>1.00000000155378</v>
      </c>
    </row>
    <row r="1382" spans="1:40" x14ac:dyDescent="0.25">
      <c r="A1382" t="str">
        <f>"20190312172917572"</f>
        <v>20190312172917572</v>
      </c>
      <c r="B1382" t="str">
        <f>"1552382957568276"</f>
        <v>1552382957568276</v>
      </c>
      <c r="C1382" t="s">
        <v>40</v>
      </c>
      <c r="D1382">
        <v>3.2168109999999999</v>
      </c>
      <c r="E1382">
        <v>0.64432199999999995</v>
      </c>
      <c r="F1382" t="s">
        <v>41</v>
      </c>
      <c r="G1382">
        <v>-192.29480000000001</v>
      </c>
      <c r="H1382" s="1">
        <v>-3.774192E-6</v>
      </c>
      <c r="I1382">
        <v>336.96359999999999</v>
      </c>
      <c r="J1382">
        <v>-199.42679999999999</v>
      </c>
      <c r="K1382">
        <v>1.0994139999999999</v>
      </c>
      <c r="L1382">
        <v>361.553</v>
      </c>
      <c r="M1382">
        <v>0.82792710000000003</v>
      </c>
      <c r="N1382">
        <v>0</v>
      </c>
      <c r="O1382">
        <v>-0.560616</v>
      </c>
      <c r="P1382">
        <v>0.59045890000000001</v>
      </c>
      <c r="Q1382">
        <v>0.17190800000000001</v>
      </c>
      <c r="R1382">
        <v>-0.78854690000000005</v>
      </c>
      <c r="S1382">
        <v>0.92749020000000004</v>
      </c>
      <c r="T1382">
        <v>-0.14031479999999999</v>
      </c>
      <c r="U1382">
        <v>-3.1508479999999999</v>
      </c>
      <c r="V1382">
        <v>0.32664009999999999</v>
      </c>
      <c r="W1382">
        <v>0.17803459999999999</v>
      </c>
      <c r="X1382">
        <v>0.92822950000000004</v>
      </c>
      <c r="Y1382">
        <v>0.63590059999999904</v>
      </c>
      <c r="Z1382">
        <v>1.1250349999999999E-2</v>
      </c>
      <c r="AA1382">
        <v>0.77168899999999996</v>
      </c>
      <c r="AB1382">
        <v>29</v>
      </c>
      <c r="AC1382">
        <v>7.1319999999999704</v>
      </c>
      <c r="AD1382">
        <v>-1.0994177741919999</v>
      </c>
      <c r="AE1382">
        <v>-24.589400000000001</v>
      </c>
      <c r="AF1382">
        <v>16.331818253055602</v>
      </c>
      <c r="AG1382">
        <v>-1.0994177741919999</v>
      </c>
      <c r="AH1382">
        <v>19.6561684998209</v>
      </c>
      <c r="AI1382">
        <v>92.463372444631005</v>
      </c>
      <c r="AJ1382">
        <v>50.277656607411302</v>
      </c>
      <c r="AK1382">
        <v>25.579326945531701</v>
      </c>
      <c r="AL1382">
        <v>79.744698711268995</v>
      </c>
      <c r="AM1382">
        <v>70.613241639660103</v>
      </c>
      <c r="AN1382">
        <v>1.0000000391977</v>
      </c>
    </row>
    <row r="1383" spans="1:40" x14ac:dyDescent="0.25">
      <c r="A1383" t="str">
        <f>"20190312172917584"</f>
        <v>20190312172917584</v>
      </c>
      <c r="B1383" t="str">
        <f>"1552382957579012"</f>
        <v>1552382957579012</v>
      </c>
      <c r="C1383" t="s">
        <v>40</v>
      </c>
      <c r="D1383">
        <v>3.2102430000000002</v>
      </c>
      <c r="E1383">
        <v>0.64394269999999998</v>
      </c>
      <c r="F1383" t="s">
        <v>41</v>
      </c>
      <c r="G1383">
        <v>-192.3083</v>
      </c>
      <c r="H1383" s="1">
        <v>-3.7285259999999998E-6</v>
      </c>
      <c r="I1383">
        <v>336.84879999999998</v>
      </c>
      <c r="J1383">
        <v>-199.2912</v>
      </c>
      <c r="K1383">
        <v>1.0993790000000001</v>
      </c>
      <c r="L1383">
        <v>361.45240000000001</v>
      </c>
      <c r="M1383">
        <v>0.82346419999999998</v>
      </c>
      <c r="N1383">
        <v>0</v>
      </c>
      <c r="O1383">
        <v>-0.56715070000000001</v>
      </c>
      <c r="P1383">
        <v>0.58439469999999905</v>
      </c>
      <c r="Q1383">
        <v>0.17215939999999999</v>
      </c>
      <c r="R1383">
        <v>-0.79299739999999996</v>
      </c>
      <c r="S1383">
        <v>0.9089661</v>
      </c>
      <c r="T1383">
        <v>-0.14038589999999901</v>
      </c>
      <c r="U1383">
        <v>-3.1545100000000001</v>
      </c>
      <c r="V1383">
        <v>0.32638879999999998</v>
      </c>
      <c r="W1383">
        <v>0.17827860000000001</v>
      </c>
      <c r="X1383">
        <v>0.92827110000000002</v>
      </c>
      <c r="Y1383">
        <v>0.634216</v>
      </c>
      <c r="Z1383">
        <v>1.165276E-2</v>
      </c>
      <c r="AA1383">
        <v>0.77306809999999904</v>
      </c>
      <c r="AB1383">
        <v>29</v>
      </c>
      <c r="AC1383">
        <v>6.9828999999999999</v>
      </c>
      <c r="AD1383">
        <v>-1.0993827285259901</v>
      </c>
      <c r="AE1383">
        <v>-24.6036</v>
      </c>
      <c r="AF1383">
        <v>16.2717719153666</v>
      </c>
      <c r="AG1383">
        <v>-1.0993827285259901</v>
      </c>
      <c r="AH1383">
        <v>19.670202410149699</v>
      </c>
      <c r="AI1383">
        <v>92.465946225074603</v>
      </c>
      <c r="AJ1383">
        <v>50.401443506568199</v>
      </c>
      <c r="AK1383">
        <v>25.551830981472801</v>
      </c>
      <c r="AL1383">
        <v>79.730491588501096</v>
      </c>
      <c r="AM1383">
        <v>70.627848863450694</v>
      </c>
      <c r="AN1383">
        <v>1.0000000715393</v>
      </c>
    </row>
    <row r="1384" spans="1:40" x14ac:dyDescent="0.25">
      <c r="A1384" t="str">
        <f>"20190312172917596"</f>
        <v>20190312172917596</v>
      </c>
      <c r="B1384" t="str">
        <f>"1552382957588772"</f>
        <v>1552382957588772</v>
      </c>
      <c r="C1384" t="s">
        <v>40</v>
      </c>
      <c r="D1384">
        <v>3.2232229999999999</v>
      </c>
      <c r="E1384">
        <v>0.64363380000000003</v>
      </c>
      <c r="F1384" t="s">
        <v>41</v>
      </c>
      <c r="G1384">
        <v>-192.3185</v>
      </c>
      <c r="H1384" s="1">
        <v>-3.634211E-6</v>
      </c>
      <c r="I1384">
        <v>336.62259999999998</v>
      </c>
      <c r="J1384">
        <v>-199.1645</v>
      </c>
      <c r="K1384">
        <v>1.0993489999999999</v>
      </c>
      <c r="L1384">
        <v>361.35610000000003</v>
      </c>
      <c r="M1384">
        <v>0.81918259999999998</v>
      </c>
      <c r="N1384">
        <v>0</v>
      </c>
      <c r="O1384">
        <v>-0.57331719999999997</v>
      </c>
      <c r="P1384">
        <v>0.57866229999999996</v>
      </c>
      <c r="Q1384">
        <v>0.1722282</v>
      </c>
      <c r="R1384">
        <v>-0.79717490000000002</v>
      </c>
      <c r="S1384">
        <v>0.88729859999999905</v>
      </c>
      <c r="T1384">
        <v>-0.13989869999999999</v>
      </c>
      <c r="U1384">
        <v>-3.159637</v>
      </c>
      <c r="V1384">
        <v>0.32611509999999999</v>
      </c>
      <c r="W1384">
        <v>0.17834239999999901</v>
      </c>
      <c r="X1384">
        <v>0.92835500000000004</v>
      </c>
      <c r="Y1384">
        <v>0.63365389999999999</v>
      </c>
      <c r="Z1384">
        <v>1.1958130000000001E-2</v>
      </c>
      <c r="AA1384">
        <v>0.773524199999999</v>
      </c>
      <c r="AB1384">
        <v>29</v>
      </c>
      <c r="AC1384">
        <v>6.8460000000000001</v>
      </c>
      <c r="AD1384">
        <v>-1.0993526342109901</v>
      </c>
      <c r="AE1384">
        <v>-24.733499999999999</v>
      </c>
      <c r="AF1384">
        <v>16.3084168475491</v>
      </c>
      <c r="AG1384">
        <v>-1.0993526342109901</v>
      </c>
      <c r="AH1384">
        <v>19.754461846089299</v>
      </c>
      <c r="AI1384">
        <v>92.457389866900698</v>
      </c>
      <c r="AJ1384">
        <v>50.458414736136497</v>
      </c>
      <c r="AK1384">
        <v>25.6400428844487</v>
      </c>
      <c r="AL1384">
        <v>79.726776234632993</v>
      </c>
      <c r="AM1384">
        <v>70.644504420667701</v>
      </c>
      <c r="AN1384">
        <v>1.00000003805538</v>
      </c>
    </row>
    <row r="1385" spans="1:40" x14ac:dyDescent="0.25">
      <c r="A1385" t="str">
        <f>"20190312172917613"</f>
        <v>20190312172917613</v>
      </c>
      <c r="B1385" t="str">
        <f>"1552382957608292"</f>
        <v>1552382957608292</v>
      </c>
      <c r="C1385" t="s">
        <v>40</v>
      </c>
      <c r="D1385">
        <v>3.27197</v>
      </c>
      <c r="E1385">
        <v>0.64302329999999996</v>
      </c>
      <c r="F1385" t="s">
        <v>41</v>
      </c>
      <c r="G1385">
        <v>-192.3579</v>
      </c>
      <c r="H1385" s="1">
        <v>-3.5867400000000002E-6</v>
      </c>
      <c r="I1385">
        <v>336.48750000000001</v>
      </c>
      <c r="J1385">
        <v>-198.99270000000001</v>
      </c>
      <c r="K1385">
        <v>1.0993090000000001</v>
      </c>
      <c r="L1385">
        <v>361.22340000000003</v>
      </c>
      <c r="M1385">
        <v>0.81323880000000004</v>
      </c>
      <c r="N1385">
        <v>0</v>
      </c>
      <c r="O1385">
        <v>-0.58171709999999999</v>
      </c>
      <c r="P1385">
        <v>0.57113610000000004</v>
      </c>
      <c r="Q1385">
        <v>0.17259650000000001</v>
      </c>
      <c r="R1385">
        <v>-0.80250500000000002</v>
      </c>
      <c r="S1385">
        <v>0.86621090000000001</v>
      </c>
      <c r="T1385">
        <v>-0.139904</v>
      </c>
      <c r="U1385">
        <v>-3.1647949999999998</v>
      </c>
      <c r="V1385">
        <v>0.3252582</v>
      </c>
      <c r="W1385">
        <v>0.17871870000000001</v>
      </c>
      <c r="X1385">
        <v>0.92858320000000005</v>
      </c>
      <c r="Y1385">
        <v>0.63080919999999996</v>
      </c>
      <c r="Z1385">
        <v>1.248112E-2</v>
      </c>
      <c r="AA1385">
        <v>0.77583760000000002</v>
      </c>
      <c r="AB1385">
        <v>29</v>
      </c>
      <c r="AC1385">
        <v>6.63480000000001</v>
      </c>
      <c r="AD1385">
        <v>-1.09931258674</v>
      </c>
      <c r="AE1385">
        <v>-24.735900000000001</v>
      </c>
      <c r="AF1385">
        <v>16.2287302371967</v>
      </c>
      <c r="AG1385">
        <v>-1.09931258674</v>
      </c>
      <c r="AH1385">
        <v>19.7510334429446</v>
      </c>
      <c r="AI1385">
        <v>92.4624183496054</v>
      </c>
      <c r="AJ1385">
        <v>50.5912562645916</v>
      </c>
      <c r="AK1385">
        <v>25.5867836067643</v>
      </c>
      <c r="AL1385">
        <v>79.704863554952595</v>
      </c>
      <c r="AM1385">
        <v>70.695988525430096</v>
      </c>
      <c r="AN1385">
        <v>1.00000001485958</v>
      </c>
    </row>
    <row r="1386" spans="1:40" x14ac:dyDescent="0.25">
      <c r="A1386" t="str">
        <f>"20190312172917627"</f>
        <v>20190312172917627</v>
      </c>
      <c r="B1386" t="str">
        <f>"1552382957619028"</f>
        <v>1552382957619028</v>
      </c>
      <c r="C1386" t="s">
        <v>40</v>
      </c>
      <c r="D1386">
        <v>3.2098740000000001</v>
      </c>
      <c r="E1386">
        <v>0.64262839999999999</v>
      </c>
      <c r="F1386" t="s">
        <v>41</v>
      </c>
      <c r="G1386">
        <v>-192.40360000000001</v>
      </c>
      <c r="H1386" s="1">
        <v>-3.5502989999999999E-6</v>
      </c>
      <c r="I1386">
        <v>336.37419999999997</v>
      </c>
      <c r="J1386">
        <v>-198.84209999999999</v>
      </c>
      <c r="K1386">
        <v>1.0992710000000001</v>
      </c>
      <c r="L1386">
        <v>361.10500000000002</v>
      </c>
      <c r="M1386">
        <v>0.80789679999999997</v>
      </c>
      <c r="N1386">
        <v>0</v>
      </c>
      <c r="O1386">
        <v>-0.58911349999999996</v>
      </c>
      <c r="P1386">
        <v>0.56395790000000001</v>
      </c>
      <c r="Q1386">
        <v>0.17305319999999999</v>
      </c>
      <c r="R1386">
        <v>-0.80746790000000002</v>
      </c>
      <c r="S1386">
        <v>0.84062190000000003</v>
      </c>
      <c r="T1386">
        <v>-0.1402475</v>
      </c>
      <c r="U1386">
        <v>-3.1701969999999999</v>
      </c>
      <c r="V1386">
        <v>0.32501409999999997</v>
      </c>
      <c r="W1386">
        <v>0.17916670000000001</v>
      </c>
      <c r="X1386">
        <v>0.92858229999999997</v>
      </c>
      <c r="Y1386">
        <v>0.62990819999999903</v>
      </c>
      <c r="Z1386">
        <v>1.2936919999999999E-2</v>
      </c>
      <c r="AA1386">
        <v>0.77656190000000003</v>
      </c>
      <c r="AB1386">
        <v>29</v>
      </c>
      <c r="AC1386">
        <v>6.4384999999999701</v>
      </c>
      <c r="AD1386">
        <v>-1.09927455029899</v>
      </c>
      <c r="AE1386">
        <v>-24.730799999999999</v>
      </c>
      <c r="AF1386">
        <v>16.159034894246801</v>
      </c>
      <c r="AG1386">
        <v>-1.09927455029899</v>
      </c>
      <c r="AH1386">
        <v>19.736824073776098</v>
      </c>
      <c r="AI1386">
        <v>92.4676538155625</v>
      </c>
      <c r="AJ1386">
        <v>50.691949433655999</v>
      </c>
      <c r="AK1386">
        <v>25.531647768399399</v>
      </c>
      <c r="AL1386">
        <v>79.678773579932198</v>
      </c>
      <c r="AM1386">
        <v>70.709387879459698</v>
      </c>
      <c r="AN1386">
        <v>0.99999997973049404</v>
      </c>
    </row>
    <row r="1387" spans="1:40" x14ac:dyDescent="0.25">
      <c r="A1387" t="str">
        <f>"20190312172917640"</f>
        <v>20190312172917640</v>
      </c>
      <c r="B1387" t="str">
        <f>"1552382957628788"</f>
        <v>1552382957628788</v>
      </c>
      <c r="C1387" t="s">
        <v>40</v>
      </c>
      <c r="D1387">
        <v>3.1856</v>
      </c>
      <c r="E1387">
        <v>0.64221879999999998</v>
      </c>
      <c r="F1387" t="s">
        <v>41</v>
      </c>
      <c r="G1387">
        <v>-192.42179999999999</v>
      </c>
      <c r="H1387" s="1">
        <v>-3.433421E-6</v>
      </c>
      <c r="I1387">
        <v>336.09050000000002</v>
      </c>
      <c r="J1387">
        <v>-198.71270000000001</v>
      </c>
      <c r="K1387">
        <v>1.0992379999999999</v>
      </c>
      <c r="L1387">
        <v>361.00130000000001</v>
      </c>
      <c r="M1387">
        <v>0.80319430000000003</v>
      </c>
      <c r="N1387">
        <v>0</v>
      </c>
      <c r="O1387">
        <v>-0.5955085</v>
      </c>
      <c r="P1387">
        <v>0.55762369999999895</v>
      </c>
      <c r="Q1387">
        <v>0.17326730000000001</v>
      </c>
      <c r="R1387">
        <v>-0.81180969999999997</v>
      </c>
      <c r="S1387">
        <v>0.81515499999999996</v>
      </c>
      <c r="T1387">
        <v>-0.13956789999999999</v>
      </c>
      <c r="U1387">
        <v>-3.1759339999999998</v>
      </c>
      <c r="V1387">
        <v>0.3248896</v>
      </c>
      <c r="W1387">
        <v>0.17937120000000001</v>
      </c>
      <c r="X1387">
        <v>0.92858640000000003</v>
      </c>
      <c r="Y1387">
        <v>0.62992479999999995</v>
      </c>
      <c r="Z1387">
        <v>1.3220290000000001E-2</v>
      </c>
      <c r="AA1387">
        <v>0.7765436</v>
      </c>
      <c r="AB1387">
        <v>29</v>
      </c>
      <c r="AC1387">
        <v>6.2909000000000201</v>
      </c>
      <c r="AD1387">
        <v>-1.0992414334209999</v>
      </c>
      <c r="AE1387">
        <v>-24.910799999999899</v>
      </c>
      <c r="AF1387">
        <v>16.234233244917501</v>
      </c>
      <c r="AG1387">
        <v>-1.0992414334209999</v>
      </c>
      <c r="AH1387">
        <v>19.853538883670399</v>
      </c>
      <c r="AI1387">
        <v>92.454322632778002</v>
      </c>
      <c r="AJ1387">
        <v>50.727142911772397</v>
      </c>
      <c r="AK1387">
        <v>25.669469550124099</v>
      </c>
      <c r="AL1387">
        <v>79.666863770077995</v>
      </c>
      <c r="AM1387">
        <v>70.716310586102395</v>
      </c>
      <c r="AN1387">
        <v>0.99999999092128</v>
      </c>
    </row>
    <row r="1388" spans="1:40" x14ac:dyDescent="0.25">
      <c r="A1388" t="str">
        <f>"20190312172917654"</f>
        <v>20190312172917654</v>
      </c>
      <c r="B1388" t="str">
        <f>"1552382957648309"</f>
        <v>1552382957648309</v>
      </c>
      <c r="C1388" t="s">
        <v>40</v>
      </c>
      <c r="D1388">
        <v>3.2092499999999999</v>
      </c>
      <c r="E1388">
        <v>0.64184490000000005</v>
      </c>
      <c r="F1388" t="s">
        <v>41</v>
      </c>
      <c r="G1388">
        <v>-192.45060000000001</v>
      </c>
      <c r="H1388" s="1">
        <v>-3.3556070000000001E-6</v>
      </c>
      <c r="I1388">
        <v>335.89120000000003</v>
      </c>
      <c r="J1388">
        <v>-198.57380000000001</v>
      </c>
      <c r="K1388">
        <v>1.0992059999999999</v>
      </c>
      <c r="L1388">
        <v>360.88760000000002</v>
      </c>
      <c r="M1388">
        <v>0.79802019999999996</v>
      </c>
      <c r="N1388">
        <v>0</v>
      </c>
      <c r="O1388">
        <v>-0.60242379999999995</v>
      </c>
      <c r="P1388">
        <v>0.55073780000000006</v>
      </c>
      <c r="Q1388">
        <v>0.1732358</v>
      </c>
      <c r="R1388">
        <v>-0.81650319999999899</v>
      </c>
      <c r="S1388">
        <v>0.79313659999999997</v>
      </c>
      <c r="T1388">
        <v>-0.1392263</v>
      </c>
      <c r="U1388">
        <v>-3.1803590000000002</v>
      </c>
      <c r="V1388">
        <v>0.32474120000000001</v>
      </c>
      <c r="W1388">
        <v>0.17933089999999999</v>
      </c>
      <c r="X1388">
        <v>0.92864610000000003</v>
      </c>
      <c r="Y1388">
        <v>0.62853319999999901</v>
      </c>
      <c r="Z1388">
        <v>1.3597980000000001E-2</v>
      </c>
      <c r="AA1388">
        <v>0.77766389999999996</v>
      </c>
      <c r="AB1388">
        <v>29</v>
      </c>
      <c r="AC1388">
        <v>6.12319999999999</v>
      </c>
      <c r="AD1388">
        <v>-1.0992093556069999</v>
      </c>
      <c r="AE1388">
        <v>-24.996399999999898</v>
      </c>
      <c r="AF1388">
        <v>16.2312871714247</v>
      </c>
      <c r="AG1388">
        <v>-1.0992093556069999</v>
      </c>
      <c r="AH1388">
        <v>19.911026648624102</v>
      </c>
      <c r="AI1388">
        <v>92.450179651473803</v>
      </c>
      <c r="AJ1388">
        <v>50.813395212760703</v>
      </c>
      <c r="AK1388">
        <v>25.712096893309401</v>
      </c>
      <c r="AL1388">
        <v>79.669210930448202</v>
      </c>
      <c r="AM1388">
        <v>70.725616724368194</v>
      </c>
      <c r="AN1388">
        <v>0.99999999885873003</v>
      </c>
    </row>
    <row r="1389" spans="1:40" x14ac:dyDescent="0.25">
      <c r="A1389" t="str">
        <f>"20190312172917671"</f>
        <v>20190312172917671</v>
      </c>
      <c r="B1389" t="str">
        <f>"1552382957659044"</f>
        <v>1552382957659044</v>
      </c>
      <c r="C1389" t="s">
        <v>40</v>
      </c>
      <c r="D1389">
        <v>3.2221700000000002</v>
      </c>
      <c r="E1389">
        <v>0.63013129999999995</v>
      </c>
      <c r="F1389" t="s">
        <v>41</v>
      </c>
      <c r="G1389">
        <v>-192.55609999999999</v>
      </c>
      <c r="H1389" s="1">
        <v>-3.4098969999999999E-6</v>
      </c>
      <c r="I1389">
        <v>335.95229999999998</v>
      </c>
      <c r="J1389">
        <v>-198.40299999999999</v>
      </c>
      <c r="K1389">
        <v>1.0991580000000001</v>
      </c>
      <c r="L1389">
        <v>360.74540000000002</v>
      </c>
      <c r="M1389">
        <v>0.79150149999999997</v>
      </c>
      <c r="N1389">
        <v>0</v>
      </c>
      <c r="O1389">
        <v>-0.61096309999999998</v>
      </c>
      <c r="P1389">
        <v>0.54204399999999997</v>
      </c>
      <c r="Q1389">
        <v>0.1738527</v>
      </c>
      <c r="R1389">
        <v>-0.82217019999999996</v>
      </c>
      <c r="S1389">
        <v>0.76876829999999996</v>
      </c>
      <c r="T1389">
        <v>-0.14042539999999901</v>
      </c>
      <c r="U1389">
        <v>-3.1855159999999998</v>
      </c>
      <c r="V1389">
        <v>0.32454759999999999</v>
      </c>
      <c r="W1389">
        <v>0.17993599999999901</v>
      </c>
      <c r="X1389">
        <v>0.92859669999999905</v>
      </c>
      <c r="Y1389">
        <v>0.62608469999999905</v>
      </c>
      <c r="Z1389">
        <v>1.424257E-2</v>
      </c>
      <c r="AA1389">
        <v>0.77962489999999995</v>
      </c>
      <c r="AB1389">
        <v>29</v>
      </c>
      <c r="AC1389">
        <v>5.8468999999999998</v>
      </c>
      <c r="AD1389">
        <v>-1.099161409897</v>
      </c>
      <c r="AE1389">
        <v>-24.793099999999999</v>
      </c>
      <c r="AF1389">
        <v>16.023703721304098</v>
      </c>
      <c r="AG1389">
        <v>-1.099161409897</v>
      </c>
      <c r="AH1389">
        <v>19.741210356402199</v>
      </c>
      <c r="AI1389">
        <v>92.475358429807997</v>
      </c>
      <c r="AJ1389">
        <v>50.934175928548399</v>
      </c>
      <c r="AK1389">
        <v>25.449609487944301</v>
      </c>
      <c r="AL1389">
        <v>79.633967675771402</v>
      </c>
      <c r="AM1389">
        <v>70.735311375570802</v>
      </c>
      <c r="AN1389">
        <v>0.99999997000632401</v>
      </c>
    </row>
    <row r="1390" spans="1:40" x14ac:dyDescent="0.25">
      <c r="A1390" t="str">
        <f>"20190312172917695"</f>
        <v>20190312172917695</v>
      </c>
      <c r="B1390" t="str">
        <f>"1552382957688324"</f>
        <v>1552382957688324</v>
      </c>
      <c r="C1390" t="s">
        <v>40</v>
      </c>
      <c r="D1390">
        <v>3.234864</v>
      </c>
      <c r="E1390">
        <v>0.63005109999999998</v>
      </c>
      <c r="F1390" t="s">
        <v>41</v>
      </c>
      <c r="G1390">
        <v>-192.9701</v>
      </c>
      <c r="H1390" s="1">
        <v>-8.716318E-7</v>
      </c>
      <c r="I1390">
        <v>339.77879999999999</v>
      </c>
      <c r="J1390">
        <v>-198.1678</v>
      </c>
      <c r="K1390">
        <v>1.099105</v>
      </c>
      <c r="L1390">
        <v>360.54410000000001</v>
      </c>
      <c r="M1390">
        <v>0.78220389999999995</v>
      </c>
      <c r="N1390">
        <v>0</v>
      </c>
      <c r="O1390">
        <v>-0.62282159999999998</v>
      </c>
      <c r="P1390">
        <v>0.52971269999999904</v>
      </c>
      <c r="Q1390">
        <v>0.17450179999999901</v>
      </c>
      <c r="R1390">
        <v>-0.8300322</v>
      </c>
      <c r="S1390">
        <v>0.81527709999999998</v>
      </c>
      <c r="T1390">
        <v>-0.1649427</v>
      </c>
      <c r="U1390">
        <v>-3.1463009999999998</v>
      </c>
      <c r="V1390">
        <v>0.32434809999999997</v>
      </c>
      <c r="W1390">
        <v>0.1805668</v>
      </c>
      <c r="X1390">
        <v>0.92854400000000004</v>
      </c>
      <c r="Y1390">
        <v>0.60096759999999905</v>
      </c>
      <c r="Z1390">
        <v>1.8334670000000001E-2</v>
      </c>
      <c r="AA1390">
        <v>0.79906309999999903</v>
      </c>
      <c r="AB1390">
        <v>29</v>
      </c>
      <c r="AC1390">
        <v>5.1976999999999904</v>
      </c>
      <c r="AD1390">
        <v>-1.0991058716318001</v>
      </c>
      <c r="AE1390">
        <v>-20.7653</v>
      </c>
      <c r="AF1390">
        <v>12.972885156003301</v>
      </c>
      <c r="AG1390">
        <v>-1.0991058716318001</v>
      </c>
      <c r="AH1390">
        <v>16.956163297486398</v>
      </c>
      <c r="AI1390">
        <v>92.947055576989101</v>
      </c>
      <c r="AJ1390">
        <v>52.580984145246703</v>
      </c>
      <c r="AK1390">
        <v>21.377915163994199</v>
      </c>
      <c r="AL1390">
        <v>79.597224066511998</v>
      </c>
      <c r="AM1390">
        <v>70.7452692793957</v>
      </c>
      <c r="AN1390">
        <v>1.0000000095859201</v>
      </c>
    </row>
    <row r="1391" spans="1:40" x14ac:dyDescent="0.25">
      <c r="A1391" t="str">
        <f>"20190312172917706"</f>
        <v>20190312172917706</v>
      </c>
      <c r="B1391" t="str">
        <f>"1552382957699135"</f>
        <v>1552382957699135</v>
      </c>
      <c r="C1391" t="s">
        <v>40</v>
      </c>
      <c r="D1391">
        <v>3.2130719999999999</v>
      </c>
      <c r="E1391">
        <v>0.62989289999999998</v>
      </c>
      <c r="F1391" t="s">
        <v>41</v>
      </c>
      <c r="G1391">
        <v>-193.08199999999999</v>
      </c>
      <c r="H1391" s="1">
        <v>-8.4742819999999899E-7</v>
      </c>
      <c r="I1391">
        <v>339.65289999999999</v>
      </c>
      <c r="J1391">
        <v>-198.05</v>
      </c>
      <c r="K1391">
        <v>1.0990839999999999</v>
      </c>
      <c r="L1391">
        <v>360.44119999999998</v>
      </c>
      <c r="M1391">
        <v>0.77741470000000001</v>
      </c>
      <c r="N1391">
        <v>0</v>
      </c>
      <c r="O1391">
        <v>-0.62878909999999999</v>
      </c>
      <c r="P1391">
        <v>0.52361359999999901</v>
      </c>
      <c r="Q1391">
        <v>0.1748313</v>
      </c>
      <c r="R1391">
        <v>-0.83382449999999997</v>
      </c>
      <c r="S1391">
        <v>0.76890559999999997</v>
      </c>
      <c r="T1391">
        <v>-0.16617209999999999</v>
      </c>
      <c r="U1391">
        <v>-3.1585079999999999</v>
      </c>
      <c r="V1391">
        <v>0.32401629999999998</v>
      </c>
      <c r="W1391">
        <v>0.1808951</v>
      </c>
      <c r="X1391">
        <v>0.92859590000000003</v>
      </c>
      <c r="Y1391">
        <v>0.60662139999999998</v>
      </c>
      <c r="Z1391">
        <v>1.8697720000000001E-2</v>
      </c>
      <c r="AA1391">
        <v>0.79477100000000001</v>
      </c>
      <c r="AB1391">
        <v>29</v>
      </c>
      <c r="AC1391">
        <v>4.9680000000000097</v>
      </c>
      <c r="AD1391">
        <v>-1.0990848474282</v>
      </c>
      <c r="AE1391">
        <v>-20.7882999999999</v>
      </c>
      <c r="AF1391">
        <v>13.004552604932501</v>
      </c>
      <c r="AG1391">
        <v>-1.0990848474282</v>
      </c>
      <c r="AH1391">
        <v>16.891110870651001</v>
      </c>
      <c r="AI1391">
        <v>92.9514601537945</v>
      </c>
      <c r="AJ1391">
        <v>52.407142084759698</v>
      </c>
      <c r="AK1391">
        <v>21.3456319278894</v>
      </c>
      <c r="AL1391">
        <v>79.578098531358805</v>
      </c>
      <c r="AM1391">
        <v>70.764514713539995</v>
      </c>
      <c r="AN1391">
        <v>0.99999997268325402</v>
      </c>
    </row>
    <row r="1392" spans="1:40" x14ac:dyDescent="0.25">
      <c r="A1392" t="str">
        <f>"20190312172917726"</f>
        <v>20190312172917726</v>
      </c>
      <c r="B1392" t="str">
        <f>"1552382957718657"</f>
        <v>1552382957718657</v>
      </c>
      <c r="C1392" t="s">
        <v>40</v>
      </c>
      <c r="D1392">
        <v>3.2503790000000001</v>
      </c>
      <c r="E1392">
        <v>0.62921329999999998</v>
      </c>
      <c r="F1392" t="s">
        <v>41</v>
      </c>
      <c r="G1392">
        <v>-193.10640000000001</v>
      </c>
      <c r="H1392" s="1">
        <v>-4.811353E-6</v>
      </c>
      <c r="I1392">
        <v>339.50599999999997</v>
      </c>
      <c r="J1392">
        <v>-197.86</v>
      </c>
      <c r="K1392">
        <v>1.0990470000000001</v>
      </c>
      <c r="L1392">
        <v>360.27140000000003</v>
      </c>
      <c r="M1392">
        <v>0.76946930000000002</v>
      </c>
      <c r="N1392">
        <v>0</v>
      </c>
      <c r="O1392">
        <v>-0.63848719999999903</v>
      </c>
      <c r="P1392">
        <v>0.51334789999999997</v>
      </c>
      <c r="Q1392">
        <v>0.17519599999999999</v>
      </c>
      <c r="R1392">
        <v>-0.84010750000000001</v>
      </c>
      <c r="S1392">
        <v>0.74703980000000003</v>
      </c>
      <c r="T1392">
        <v>-0.16608439999999999</v>
      </c>
      <c r="U1392">
        <v>-3.1635439999999999</v>
      </c>
      <c r="V1392">
        <v>0.3237313</v>
      </c>
      <c r="W1392">
        <v>0.181252</v>
      </c>
      <c r="X1392">
        <v>0.92862579999999995</v>
      </c>
      <c r="Y1392">
        <v>0.60213939999999999</v>
      </c>
      <c r="Z1392">
        <v>1.9444010000000001E-2</v>
      </c>
      <c r="AA1392">
        <v>0.79815419999999904</v>
      </c>
      <c r="AB1392">
        <v>29</v>
      </c>
      <c r="AC1392">
        <v>4.7535999999999996</v>
      </c>
      <c r="AD1392">
        <v>-1.0990518113529999</v>
      </c>
      <c r="AE1392">
        <v>-20.7654</v>
      </c>
      <c r="AF1392">
        <v>12.9104853666731</v>
      </c>
      <c r="AG1392">
        <v>-1.0990518113529999</v>
      </c>
      <c r="AH1392">
        <v>16.8734021307022</v>
      </c>
      <c r="AI1392">
        <v>92.961261576503404</v>
      </c>
      <c r="AJ1392">
        <v>52.579014882392897</v>
      </c>
      <c r="AK1392">
        <v>21.274403558067199</v>
      </c>
      <c r="AL1392">
        <v>79.557306870764293</v>
      </c>
      <c r="AM1392">
        <v>70.780765958511097</v>
      </c>
      <c r="AN1392">
        <v>1.0000000592646601</v>
      </c>
    </row>
    <row r="1393" spans="1:40" x14ac:dyDescent="0.25">
      <c r="A1393" t="str">
        <f>"20190312172917738"</f>
        <v>20190312172917738</v>
      </c>
      <c r="B1393" t="str">
        <f>"1552382957728414"</f>
        <v>1552382957728414</v>
      </c>
      <c r="C1393" t="s">
        <v>40</v>
      </c>
      <c r="D1393">
        <v>3.1316489999999999</v>
      </c>
      <c r="E1393">
        <v>0.62881350000000003</v>
      </c>
      <c r="F1393" t="s">
        <v>41</v>
      </c>
      <c r="G1393">
        <v>-193.16900000000001</v>
      </c>
      <c r="H1393" s="1">
        <v>-4.7884599999999997E-6</v>
      </c>
      <c r="I1393">
        <v>339.40600000000001</v>
      </c>
      <c r="J1393">
        <v>-197.73830000000001</v>
      </c>
      <c r="K1393">
        <v>1.099024</v>
      </c>
      <c r="L1393">
        <v>360.16</v>
      </c>
      <c r="M1393">
        <v>0.76423169999999996</v>
      </c>
      <c r="N1393">
        <v>0</v>
      </c>
      <c r="O1393">
        <v>-0.64474659999999995</v>
      </c>
      <c r="P1393">
        <v>0.50662680000000004</v>
      </c>
      <c r="Q1393">
        <v>0.17548929999999999</v>
      </c>
      <c r="R1393">
        <v>-0.844116599999999</v>
      </c>
      <c r="S1393">
        <v>0.71273799999999998</v>
      </c>
      <c r="T1393">
        <v>-0.16698729999999901</v>
      </c>
      <c r="U1393">
        <v>-3.1702270000000001</v>
      </c>
      <c r="V1393">
        <v>0.32353539999999997</v>
      </c>
      <c r="W1393">
        <v>0.18154039999999999</v>
      </c>
      <c r="X1393">
        <v>0.92863770000000001</v>
      </c>
      <c r="Y1393">
        <v>0.60419959999999995</v>
      </c>
      <c r="Z1393">
        <v>1.9911620000000001E-2</v>
      </c>
      <c r="AA1393">
        <v>0.79658419999999996</v>
      </c>
      <c r="AB1393">
        <v>29</v>
      </c>
      <c r="AC1393">
        <v>4.5692999999999904</v>
      </c>
      <c r="AD1393">
        <v>-1.0990287884600001</v>
      </c>
      <c r="AE1393">
        <v>-20.754000000000001</v>
      </c>
      <c r="AF1393">
        <v>12.8819958208688</v>
      </c>
      <c r="AG1393">
        <v>-1.0990287884600001</v>
      </c>
      <c r="AH1393">
        <v>16.8301851085929</v>
      </c>
      <c r="AI1393">
        <v>92.968400947860005</v>
      </c>
      <c r="AJ1393">
        <v>52.569187189889703</v>
      </c>
      <c r="AK1393">
        <v>21.222837025154</v>
      </c>
      <c r="AL1393">
        <v>79.540503647319596</v>
      </c>
      <c r="AM1393">
        <v>70.791771953791994</v>
      </c>
      <c r="AN1393">
        <v>1.0000000248733001</v>
      </c>
    </row>
    <row r="1394" spans="1:40" x14ac:dyDescent="0.25">
      <c r="A1394" t="str">
        <f>"20190312172917750"</f>
        <v>20190312172917750</v>
      </c>
      <c r="B1394" t="str">
        <f>"1552382957738174"</f>
        <v>1552382957738174</v>
      </c>
      <c r="C1394" t="s">
        <v>40</v>
      </c>
      <c r="D1394">
        <v>3.2012139999999998</v>
      </c>
      <c r="E1394">
        <v>0.62824899999999995</v>
      </c>
      <c r="F1394" t="s">
        <v>41</v>
      </c>
      <c r="G1394">
        <v>-193.18020000000001</v>
      </c>
      <c r="H1394" s="1">
        <v>-4.7201860000000002E-6</v>
      </c>
      <c r="I1394">
        <v>339.19959999999998</v>
      </c>
      <c r="J1394">
        <v>-197.6267</v>
      </c>
      <c r="K1394">
        <v>1.099003</v>
      </c>
      <c r="L1394">
        <v>360.05630000000002</v>
      </c>
      <c r="M1394">
        <v>0.75933130000000004</v>
      </c>
      <c r="N1394">
        <v>0</v>
      </c>
      <c r="O1394">
        <v>-0.65051079999999994</v>
      </c>
      <c r="P1394">
        <v>0.50044619999999995</v>
      </c>
      <c r="Q1394">
        <v>0.17563709999999999</v>
      </c>
      <c r="R1394">
        <v>-0.84776489999999904</v>
      </c>
      <c r="S1394">
        <v>0.69030760000000002</v>
      </c>
      <c r="T1394">
        <v>-0.16644249999999999</v>
      </c>
      <c r="U1394">
        <v>-3.174347</v>
      </c>
      <c r="V1394">
        <v>0.32328430000000002</v>
      </c>
      <c r="W1394">
        <v>0.1816876</v>
      </c>
      <c r="X1394">
        <v>0.92869630000000003</v>
      </c>
      <c r="Y1394">
        <v>0.60376240000000003</v>
      </c>
      <c r="Z1394">
        <v>2.0242960000000001E-2</v>
      </c>
      <c r="AA1394">
        <v>0.79690719999999904</v>
      </c>
      <c r="AB1394">
        <v>29</v>
      </c>
      <c r="AC1394">
        <v>4.4464999999999799</v>
      </c>
      <c r="AD1394">
        <v>-1.099007720186</v>
      </c>
      <c r="AE1394">
        <v>-20.8567</v>
      </c>
      <c r="AF1394">
        <v>12.9119855555598</v>
      </c>
      <c r="AG1394">
        <v>-1.099007720186</v>
      </c>
      <c r="AH1394">
        <v>16.901120663019601</v>
      </c>
      <c r="AI1394">
        <v>92.957956089260094</v>
      </c>
      <c r="AJ1394">
        <v>52.621179899008901</v>
      </c>
      <c r="AK1394">
        <v>21.297301909443</v>
      </c>
      <c r="AL1394">
        <v>79.531926500029996</v>
      </c>
      <c r="AM1394">
        <v>70.806711270876207</v>
      </c>
      <c r="AN1394">
        <v>0.99999997012696895</v>
      </c>
    </row>
    <row r="1395" spans="1:40" x14ac:dyDescent="0.25">
      <c r="A1395" t="str">
        <f>"20190312172917762"</f>
        <v>20190312172917762</v>
      </c>
      <c r="B1395" t="str">
        <f>"1552382957758670"</f>
        <v>1552382957758670</v>
      </c>
      <c r="C1395" t="s">
        <v>40</v>
      </c>
      <c r="D1395">
        <v>3.2007989999999999</v>
      </c>
      <c r="E1395">
        <v>0.627556</v>
      </c>
      <c r="F1395" t="s">
        <v>41</v>
      </c>
      <c r="G1395">
        <v>-193.2105</v>
      </c>
      <c r="H1395" s="1">
        <v>-4.7086600000000001E-6</v>
      </c>
      <c r="I1395">
        <v>339.1499</v>
      </c>
      <c r="J1395">
        <v>-197.5129</v>
      </c>
      <c r="K1395">
        <v>1.0989789999999999</v>
      </c>
      <c r="L1395">
        <v>359.94940000000003</v>
      </c>
      <c r="M1395">
        <v>0.75425209999999998</v>
      </c>
      <c r="N1395">
        <v>0</v>
      </c>
      <c r="O1395">
        <v>-0.65639289999999995</v>
      </c>
      <c r="P1395">
        <v>0.49405710000000003</v>
      </c>
      <c r="Q1395">
        <v>0.1758313</v>
      </c>
      <c r="R1395">
        <v>-0.85146429999999995</v>
      </c>
      <c r="S1395">
        <v>0.67114259999999903</v>
      </c>
      <c r="T1395">
        <v>-0.1670188</v>
      </c>
      <c r="U1395">
        <v>-3.1771850000000001</v>
      </c>
      <c r="V1395">
        <v>0.32303470000000001</v>
      </c>
      <c r="W1395">
        <v>0.18188029999999999</v>
      </c>
      <c r="X1395">
        <v>0.92874540000000005</v>
      </c>
      <c r="Y1395">
        <v>0.60231349999999995</v>
      </c>
      <c r="Z1395">
        <v>2.0749650000000001E-2</v>
      </c>
      <c r="AA1395">
        <v>0.79798990000000003</v>
      </c>
      <c r="AB1395">
        <v>29</v>
      </c>
      <c r="AC1395">
        <v>4.3023999999999996</v>
      </c>
      <c r="AD1395">
        <v>-1.0989837086600001</v>
      </c>
      <c r="AE1395">
        <v>-20.799499999999998</v>
      </c>
      <c r="AF1395">
        <v>12.8312718596568</v>
      </c>
      <c r="AG1395">
        <v>-1.0989837086600001</v>
      </c>
      <c r="AH1395">
        <v>16.854745440646401</v>
      </c>
      <c r="AI1395">
        <v>92.9698537148615</v>
      </c>
      <c r="AJ1395">
        <v>52.718510846414603</v>
      </c>
      <c r="AK1395">
        <v>21.211594626461</v>
      </c>
      <c r="AL1395">
        <v>79.520698203220803</v>
      </c>
      <c r="AM1395">
        <v>70.821387019775699</v>
      </c>
      <c r="AN1395">
        <v>0.99999993947666799</v>
      </c>
    </row>
    <row r="1396" spans="1:40" x14ac:dyDescent="0.25">
      <c r="A1396" t="str">
        <f>"20190312172917774"</f>
        <v>20190312172917774</v>
      </c>
      <c r="B1396" t="str">
        <f>"1552382957768430"</f>
        <v>1552382957768430</v>
      </c>
      <c r="C1396" t="s">
        <v>40</v>
      </c>
      <c r="D1396">
        <v>3.187189</v>
      </c>
      <c r="E1396">
        <v>0.62707749999999995</v>
      </c>
      <c r="F1396" t="s">
        <v>41</v>
      </c>
      <c r="G1396">
        <v>-193.24019999999999</v>
      </c>
      <c r="H1396" s="1">
        <v>-4.7040490000000001E-6</v>
      </c>
      <c r="I1396">
        <v>339.12090000000001</v>
      </c>
      <c r="J1396">
        <v>-197.4067</v>
      </c>
      <c r="K1396">
        <v>1.0989580000000001</v>
      </c>
      <c r="L1396">
        <v>359.84719999999999</v>
      </c>
      <c r="M1396">
        <v>0.74938850000000001</v>
      </c>
      <c r="N1396">
        <v>0</v>
      </c>
      <c r="O1396">
        <v>-0.66193999999999997</v>
      </c>
      <c r="P1396">
        <v>0.48793409999999898</v>
      </c>
      <c r="Q1396">
        <v>0.17600879999999999</v>
      </c>
      <c r="R1396">
        <v>-0.85495129999999997</v>
      </c>
      <c r="S1396">
        <v>0.65225219999999995</v>
      </c>
      <c r="T1396">
        <v>-0.167765</v>
      </c>
      <c r="U1396">
        <v>-3.1795650000000002</v>
      </c>
      <c r="V1396">
        <v>0.32283390000000001</v>
      </c>
      <c r="W1396">
        <v>0.18205660000000001</v>
      </c>
      <c r="X1396">
        <v>0.92878070000000001</v>
      </c>
      <c r="Y1396">
        <v>0.60109159999999995</v>
      </c>
      <c r="Z1396">
        <v>2.125529E-2</v>
      </c>
      <c r="AA1396">
        <v>0.79889739999999998</v>
      </c>
      <c r="AB1396">
        <v>29</v>
      </c>
      <c r="AC1396">
        <v>4.1665000000000099</v>
      </c>
      <c r="AD1396">
        <v>-1.098962704049</v>
      </c>
      <c r="AE1396">
        <v>-20.726299999999899</v>
      </c>
      <c r="AF1396">
        <v>12.741260263573899</v>
      </c>
      <c r="AG1396">
        <v>-1.098962704049</v>
      </c>
      <c r="AH1396">
        <v>16.7986260784626</v>
      </c>
      <c r="AI1396">
        <v>92.983736558759603</v>
      </c>
      <c r="AJ1396">
        <v>52.820760284287303</v>
      </c>
      <c r="AK1396">
        <v>21.112585589004102</v>
      </c>
      <c r="AL1396">
        <v>79.510425671031697</v>
      </c>
      <c r="AM1396">
        <v>70.833113887028702</v>
      </c>
      <c r="AN1396">
        <v>0.99999996064262897</v>
      </c>
    </row>
    <row r="1397" spans="1:40" x14ac:dyDescent="0.25">
      <c r="A1397" t="str">
        <f>"20190312172917792"</f>
        <v>20190312172917792</v>
      </c>
      <c r="B1397" t="str">
        <f>"1552382957788926"</f>
        <v>1552382957788926</v>
      </c>
      <c r="C1397" t="s">
        <v>40</v>
      </c>
      <c r="D1397">
        <v>3.1561400000000002</v>
      </c>
      <c r="E1397">
        <v>0.62627200000000005</v>
      </c>
      <c r="F1397" t="s">
        <v>41</v>
      </c>
      <c r="G1397">
        <v>-193.2696</v>
      </c>
      <c r="H1397" s="1">
        <v>-4.6839579999999996E-6</v>
      </c>
      <c r="I1397">
        <v>339.04660000000001</v>
      </c>
      <c r="J1397">
        <v>-197.23179999999999</v>
      </c>
      <c r="K1397">
        <v>1.09892099999999</v>
      </c>
      <c r="L1397">
        <v>359.67619999999999</v>
      </c>
      <c r="M1397">
        <v>0.74119559999999995</v>
      </c>
      <c r="N1397">
        <v>0</v>
      </c>
      <c r="O1397">
        <v>-0.67110049999999999</v>
      </c>
      <c r="P1397">
        <v>0.47801589999999999</v>
      </c>
      <c r="Q1397">
        <v>0.17619670000000001</v>
      </c>
      <c r="R1397">
        <v>-0.86049739999999997</v>
      </c>
      <c r="S1397">
        <v>0.63294980000000001</v>
      </c>
      <c r="T1397">
        <v>-0.16813139999999999</v>
      </c>
      <c r="U1397">
        <v>-3.182312</v>
      </c>
      <c r="V1397">
        <v>0.3221483</v>
      </c>
      <c r="W1397">
        <v>0.1822531</v>
      </c>
      <c r="X1397">
        <v>0.92898020000000003</v>
      </c>
      <c r="Y1397">
        <v>0.59605719999999995</v>
      </c>
      <c r="Z1397">
        <v>2.2058649999999999E-2</v>
      </c>
      <c r="AA1397">
        <v>0.80263890000000004</v>
      </c>
      <c r="AB1397">
        <v>29</v>
      </c>
      <c r="AC1397">
        <v>3.96219999999999</v>
      </c>
      <c r="AD1397">
        <v>-1.09892568395799</v>
      </c>
      <c r="AE1397">
        <v>-20.6295999999999</v>
      </c>
      <c r="AF1397">
        <v>12.598655408776301</v>
      </c>
      <c r="AG1397">
        <v>-1.09892568395799</v>
      </c>
      <c r="AH1397">
        <v>16.737619611170199</v>
      </c>
      <c r="AI1397">
        <v>93.002777440971599</v>
      </c>
      <c r="AJ1397">
        <v>53.030679113742799</v>
      </c>
      <c r="AK1397">
        <v>20.978123510366299</v>
      </c>
      <c r="AL1397">
        <v>79.498975541658993</v>
      </c>
      <c r="AM1397">
        <v>70.874667153949702</v>
      </c>
      <c r="AN1397">
        <v>0.99999996582226902</v>
      </c>
    </row>
    <row r="1398" spans="1:40" x14ac:dyDescent="0.25">
      <c r="A1398" t="str">
        <f>"20190312172917804"</f>
        <v>20190312172917804</v>
      </c>
      <c r="B1398" t="str">
        <f>"1552382957798686"</f>
        <v>1552382957798686</v>
      </c>
      <c r="C1398" t="s">
        <v>40</v>
      </c>
      <c r="D1398">
        <v>3.2217829999999998</v>
      </c>
      <c r="E1398">
        <v>0.62584410000000001</v>
      </c>
      <c r="F1398" t="s">
        <v>41</v>
      </c>
      <c r="G1398">
        <v>-193.33179999999999</v>
      </c>
      <c r="H1398" s="1">
        <v>-4.6833410000000002E-6</v>
      </c>
      <c r="I1398">
        <v>339.01229999999998</v>
      </c>
      <c r="J1398">
        <v>-197.11770000000001</v>
      </c>
      <c r="K1398">
        <v>1.0988979999999999</v>
      </c>
      <c r="L1398">
        <v>359.56279999999998</v>
      </c>
      <c r="M1398">
        <v>0.73572510000000002</v>
      </c>
      <c r="N1398">
        <v>0</v>
      </c>
      <c r="O1398">
        <v>-0.6770931</v>
      </c>
      <c r="P1398">
        <v>0.47133849999999999</v>
      </c>
      <c r="Q1398">
        <v>0.1761006</v>
      </c>
      <c r="R1398">
        <v>-0.86419239999999997</v>
      </c>
      <c r="S1398">
        <v>0.60148619999999997</v>
      </c>
      <c r="T1398">
        <v>-0.1694851</v>
      </c>
      <c r="U1398">
        <v>-3.1869510000000001</v>
      </c>
      <c r="V1398">
        <v>0.32182450000000001</v>
      </c>
      <c r="W1398">
        <v>0.1821593</v>
      </c>
      <c r="X1398">
        <v>0.92911089999999996</v>
      </c>
      <c r="Y1398">
        <v>0.59740309999999996</v>
      </c>
      <c r="Z1398">
        <v>2.2617109999999999E-2</v>
      </c>
      <c r="AA1398">
        <v>0.8016221</v>
      </c>
      <c r="AB1398">
        <v>28</v>
      </c>
      <c r="AC1398">
        <v>3.7859000000000198</v>
      </c>
      <c r="AD1398">
        <v>-1.0989026833409901</v>
      </c>
      <c r="AE1398">
        <v>-20.5505</v>
      </c>
      <c r="AF1398">
        <v>12.5230707865411</v>
      </c>
      <c r="AG1398">
        <v>-1.0989026833409901</v>
      </c>
      <c r="AH1398">
        <v>16.656037793324099</v>
      </c>
      <c r="AI1398">
        <v>93.018626769289995</v>
      </c>
      <c r="AJ1398">
        <v>53.061821612113299</v>
      </c>
      <c r="AK1398">
        <v>20.867642032697798</v>
      </c>
      <c r="AL1398">
        <v>79.504442190202496</v>
      </c>
      <c r="AM1398">
        <v>70.894989036353806</v>
      </c>
      <c r="AN1398">
        <v>1.0000000419377699</v>
      </c>
    </row>
    <row r="1399" spans="1:40" x14ac:dyDescent="0.25">
      <c r="A1399" t="str">
        <f>"20190312172917818"</f>
        <v>20190312172917818</v>
      </c>
      <c r="B1399" t="str">
        <f>"1552382957808446"</f>
        <v>1552382957808446</v>
      </c>
      <c r="C1399" t="s">
        <v>40</v>
      </c>
      <c r="D1399">
        <v>3.1774650000000002</v>
      </c>
      <c r="E1399">
        <v>0.62584410000000001</v>
      </c>
      <c r="F1399" t="s">
        <v>41</v>
      </c>
      <c r="G1399">
        <v>-193.38390000000001</v>
      </c>
      <c r="H1399" s="1">
        <v>-4.6907480000000003E-6</v>
      </c>
      <c r="I1399">
        <v>339.00699999999898</v>
      </c>
      <c r="J1399">
        <v>-196.99959999999999</v>
      </c>
      <c r="K1399">
        <v>1.098873</v>
      </c>
      <c r="L1399">
        <v>359.44260000000003</v>
      </c>
      <c r="M1399">
        <v>0.72991470000000003</v>
      </c>
      <c r="N1399">
        <v>0</v>
      </c>
      <c r="O1399">
        <v>-0.68335279999999998</v>
      </c>
      <c r="P1399">
        <v>0.46416570000000001</v>
      </c>
      <c r="Q1399">
        <v>0.1761665</v>
      </c>
      <c r="R1399">
        <v>-0.86805330000000003</v>
      </c>
      <c r="S1399">
        <v>0.57946779999999998</v>
      </c>
      <c r="T1399">
        <v>-0.1705439</v>
      </c>
      <c r="U1399">
        <v>-3.1901549999999999</v>
      </c>
      <c r="V1399">
        <v>0.32158439999999999</v>
      </c>
      <c r="W1399">
        <v>0.18222450000000001</v>
      </c>
      <c r="X1399">
        <v>0.92918120000000004</v>
      </c>
      <c r="Y1399">
        <v>0.59605229999999998</v>
      </c>
      <c r="Z1399">
        <v>2.3229940000000001E-2</v>
      </c>
      <c r="AA1399">
        <v>0.80260940000000003</v>
      </c>
      <c r="AB1399">
        <v>28</v>
      </c>
      <c r="AC1399">
        <v>3.6156999999999702</v>
      </c>
      <c r="AD1399">
        <v>-1.098877690748</v>
      </c>
      <c r="AE1399">
        <v>-20.435600000000001</v>
      </c>
      <c r="AF1399">
        <v>12.412223188409</v>
      </c>
      <c r="AG1399">
        <v>-1.098877690748</v>
      </c>
      <c r="AH1399">
        <v>16.559553254106799</v>
      </c>
      <c r="AI1399">
        <v>93.039480556106497</v>
      </c>
      <c r="AJ1399">
        <v>53.146584846107203</v>
      </c>
      <c r="AK1399">
        <v>20.724131360172901</v>
      </c>
      <c r="AL1399">
        <v>79.500642456665702</v>
      </c>
      <c r="AM1399">
        <v>70.909550166610302</v>
      </c>
      <c r="AN1399">
        <v>0.99999999857852495</v>
      </c>
    </row>
    <row r="1400" spans="1:40" x14ac:dyDescent="0.25">
      <c r="A1400" t="str">
        <f>"20190312172917829"</f>
        <v>20190312172917829</v>
      </c>
      <c r="B1400" t="str">
        <f>"1552382957819182"</f>
        <v>1552382957819182</v>
      </c>
      <c r="C1400" t="s">
        <v>40</v>
      </c>
      <c r="D1400">
        <v>3.2333259999999999</v>
      </c>
      <c r="E1400">
        <v>0.61841259999999998</v>
      </c>
      <c r="F1400" t="s">
        <v>41</v>
      </c>
      <c r="G1400">
        <v>-193.43389999999999</v>
      </c>
      <c r="H1400" s="1">
        <v>-4.6479680000000002E-6</v>
      </c>
      <c r="I1400">
        <v>338.85509999999999</v>
      </c>
      <c r="J1400">
        <v>-196.88810000000001</v>
      </c>
      <c r="K1400">
        <v>1.0988519999999999</v>
      </c>
      <c r="L1400">
        <v>359.32740000000001</v>
      </c>
      <c r="M1400">
        <v>0.72432089999999905</v>
      </c>
      <c r="N1400">
        <v>0</v>
      </c>
      <c r="O1400">
        <v>-0.68927859999999996</v>
      </c>
      <c r="P1400">
        <v>0.45717780000000002</v>
      </c>
      <c r="Q1400">
        <v>0.17619789999999999</v>
      </c>
      <c r="R1400">
        <v>-0.8717473</v>
      </c>
      <c r="S1400">
        <v>0.55331419999999998</v>
      </c>
      <c r="T1400">
        <v>-0.17052410000000001</v>
      </c>
      <c r="U1400">
        <v>-3.194763</v>
      </c>
      <c r="V1400">
        <v>0.32148090000000001</v>
      </c>
      <c r="W1400">
        <v>0.1822531</v>
      </c>
      <c r="X1400">
        <v>0.92921140000000002</v>
      </c>
      <c r="Y1400">
        <v>0.59608570000000005</v>
      </c>
      <c r="Z1400">
        <v>2.363498E-2</v>
      </c>
      <c r="AA1400">
        <v>0.80257290000000003</v>
      </c>
      <c r="AB1400">
        <v>28</v>
      </c>
      <c r="AC1400">
        <v>3.4542000000000099</v>
      </c>
      <c r="AD1400">
        <v>-1.098856647968</v>
      </c>
      <c r="AE1400">
        <v>-20.472300000000001</v>
      </c>
      <c r="AF1400">
        <v>12.4144149343589</v>
      </c>
      <c r="AG1400">
        <v>-1.098856647968</v>
      </c>
      <c r="AH1400">
        <v>16.568765937246301</v>
      </c>
      <c r="AI1400">
        <v>93.038149602257306</v>
      </c>
      <c r="AJ1400">
        <v>53.157022772535299</v>
      </c>
      <c r="AK1400">
        <v>20.732804652976199</v>
      </c>
      <c r="AL1400">
        <v>79.498975837802604</v>
      </c>
      <c r="AM1400">
        <v>70.915825163088599</v>
      </c>
      <c r="AN1400">
        <v>0.99999999370718995</v>
      </c>
    </row>
    <row r="1401" spans="1:40" x14ac:dyDescent="0.25">
      <c r="A1401" t="str">
        <f>"20190312172917849"</f>
        <v>20190312172917849</v>
      </c>
      <c r="B1401" t="str">
        <f>"1552382957838705"</f>
        <v>1552382957838705</v>
      </c>
      <c r="C1401" t="s">
        <v>40</v>
      </c>
      <c r="D1401">
        <v>3.2139530000000001</v>
      </c>
      <c r="E1401">
        <v>0.61847390000000002</v>
      </c>
      <c r="F1401" t="s">
        <v>41</v>
      </c>
      <c r="G1401">
        <v>-193.63669999999999</v>
      </c>
      <c r="H1401" s="1">
        <v>-1.8223060000000001E-6</v>
      </c>
      <c r="I1401">
        <v>341.58139999999997</v>
      </c>
      <c r="J1401">
        <v>-196.7184</v>
      </c>
      <c r="K1401">
        <v>1.0988209999999901</v>
      </c>
      <c r="L1401">
        <v>359.14850000000001</v>
      </c>
      <c r="M1401">
        <v>0.71559349999999999</v>
      </c>
      <c r="N1401">
        <v>0</v>
      </c>
      <c r="O1401">
        <v>-0.69833489999999998</v>
      </c>
      <c r="P1401">
        <v>0.44651869999999999</v>
      </c>
      <c r="Q1401">
        <v>0.17609559999999999</v>
      </c>
      <c r="R1401">
        <v>-0.87727529999999998</v>
      </c>
      <c r="S1401">
        <v>0.58187869999999997</v>
      </c>
      <c r="T1401">
        <v>-0.19665769999999999</v>
      </c>
      <c r="U1401">
        <v>-3.1759339999999998</v>
      </c>
      <c r="V1401">
        <v>0.32114229999999999</v>
      </c>
      <c r="W1401">
        <v>0.1821528</v>
      </c>
      <c r="X1401">
        <v>0.92934819999999996</v>
      </c>
      <c r="Y1401">
        <v>0.57804889999999998</v>
      </c>
      <c r="Z1401">
        <v>2.8623550000000001E-2</v>
      </c>
      <c r="AA1401">
        <v>0.81549989999999895</v>
      </c>
      <c r="AB1401">
        <v>28</v>
      </c>
      <c r="AC1401">
        <v>3.0817000000000099</v>
      </c>
      <c r="AD1401">
        <v>-1.0988228223059999</v>
      </c>
      <c r="AE1401">
        <v>-17.5671</v>
      </c>
      <c r="AF1401">
        <v>10.3807667017978</v>
      </c>
      <c r="AG1401">
        <v>-1.0988228223059999</v>
      </c>
      <c r="AH1401">
        <v>14.4200699185142</v>
      </c>
      <c r="AI1401">
        <v>93.538841697417695</v>
      </c>
      <c r="AJ1401">
        <v>54.2505187226053</v>
      </c>
      <c r="AK1401">
        <v>17.8018579189592</v>
      </c>
      <c r="AL1401">
        <v>79.504821015156494</v>
      </c>
      <c r="AM1401">
        <v>70.937077511060494</v>
      </c>
      <c r="AN1401">
        <v>1.0000000481201801</v>
      </c>
    </row>
    <row r="1402" spans="1:40" x14ac:dyDescent="0.25">
      <c r="A1402" t="str">
        <f>"20190312172917865"</f>
        <v>20190312172917865</v>
      </c>
      <c r="B1402" t="str">
        <f>"1552382957858221"</f>
        <v>1552382957858221</v>
      </c>
      <c r="C1402" t="s">
        <v>40</v>
      </c>
      <c r="D1402">
        <v>3.2824360000000001</v>
      </c>
      <c r="E1402">
        <v>0.64622060000000003</v>
      </c>
      <c r="F1402" t="s">
        <v>41</v>
      </c>
      <c r="G1402">
        <v>-193.5719</v>
      </c>
      <c r="H1402" s="1">
        <v>-1.420154E-6</v>
      </c>
      <c r="I1402">
        <v>340.68419999999998</v>
      </c>
      <c r="J1402">
        <v>-196.58619999999999</v>
      </c>
      <c r="K1402">
        <v>1.0988</v>
      </c>
      <c r="L1402">
        <v>359.0061</v>
      </c>
      <c r="M1402">
        <v>0.70860730000000005</v>
      </c>
      <c r="N1402">
        <v>0</v>
      </c>
      <c r="O1402">
        <v>-0.70542249999999995</v>
      </c>
      <c r="P1402">
        <v>0.43782290000000001</v>
      </c>
      <c r="Q1402">
        <v>0.17625009999999999</v>
      </c>
      <c r="R1402">
        <v>-0.88161630000000002</v>
      </c>
      <c r="S1402">
        <v>0.54220579999999996</v>
      </c>
      <c r="T1402">
        <v>-0.18934509999999999</v>
      </c>
      <c r="U1402">
        <v>-3.181702</v>
      </c>
      <c r="V1402">
        <v>0.32107289999999999</v>
      </c>
      <c r="W1402">
        <v>0.18230370000000001</v>
      </c>
      <c r="X1402">
        <v>0.92934249999999996</v>
      </c>
      <c r="Y1402">
        <v>0.5800556</v>
      </c>
      <c r="Z1402">
        <v>2.8061490000000001E-2</v>
      </c>
      <c r="AA1402">
        <v>0.81409339999999997</v>
      </c>
      <c r="AB1402">
        <v>28</v>
      </c>
      <c r="AC1402">
        <v>3.0142999999999902</v>
      </c>
      <c r="AD1402">
        <v>-1.098801420154</v>
      </c>
      <c r="AE1402">
        <v>-18.321899999999999</v>
      </c>
      <c r="AF1402">
        <v>10.820169678292</v>
      </c>
      <c r="AG1402">
        <v>-1.098801420154</v>
      </c>
      <c r="AH1402">
        <v>15.009991612671101</v>
      </c>
      <c r="AI1402">
        <v>93.398447097155895</v>
      </c>
      <c r="AJ1402">
        <v>54.213505859735797</v>
      </c>
      <c r="AK1402">
        <v>18.5359996935806</v>
      </c>
      <c r="AL1402">
        <v>79.496026960758599</v>
      </c>
      <c r="AM1402">
        <v>70.940791348822501</v>
      </c>
      <c r="AN1402">
        <v>0.99999996422717397</v>
      </c>
    </row>
    <row r="1403" spans="1:40" x14ac:dyDescent="0.25">
      <c r="A1403" t="str">
        <f>"20190312172917883"</f>
        <v>20190312172917883</v>
      </c>
      <c r="B1403" t="str">
        <f>"1552382957878717"</f>
        <v>1552382957878717</v>
      </c>
      <c r="C1403" t="s">
        <v>40</v>
      </c>
      <c r="D1403">
        <v>3.3090899999999999</v>
      </c>
      <c r="E1403">
        <v>0.64839250000000004</v>
      </c>
      <c r="F1403" t="s">
        <v>41</v>
      </c>
      <c r="G1403">
        <v>-193.79560000000001</v>
      </c>
      <c r="H1403" s="1">
        <v>-4.8890640000000002E-6</v>
      </c>
      <c r="I1403">
        <v>329.37509999999997</v>
      </c>
      <c r="J1403">
        <v>-196.4205</v>
      </c>
      <c r="K1403">
        <v>1.0987830000000001</v>
      </c>
      <c r="L1403">
        <v>358.82319999999999</v>
      </c>
      <c r="M1403">
        <v>0.69959669999999996</v>
      </c>
      <c r="N1403">
        <v>0</v>
      </c>
      <c r="O1403">
        <v>-0.71435959999999998</v>
      </c>
      <c r="P1403">
        <v>0.42719950000000001</v>
      </c>
      <c r="Q1403">
        <v>0.17635870000000001</v>
      </c>
      <c r="R1403">
        <v>-0.88679140000000001</v>
      </c>
      <c r="S1403">
        <v>0.30833440000000001</v>
      </c>
      <c r="T1403">
        <v>-0.1214089</v>
      </c>
      <c r="U1403">
        <v>-3.273987</v>
      </c>
      <c r="V1403">
        <v>0.32043929999999998</v>
      </c>
      <c r="W1403">
        <v>0.18242659999999999</v>
      </c>
      <c r="X1403">
        <v>0.92953710000000001</v>
      </c>
      <c r="Y1403">
        <v>0.6295695</v>
      </c>
      <c r="Z1403">
        <v>1.721584E-2</v>
      </c>
      <c r="AA1403">
        <v>0.77675349999999999</v>
      </c>
      <c r="AB1403">
        <v>28</v>
      </c>
      <c r="AC1403">
        <v>2.62489999999999</v>
      </c>
      <c r="AD1403">
        <v>-1.0987878890639999</v>
      </c>
      <c r="AE1403">
        <v>-29.4481</v>
      </c>
      <c r="AF1403">
        <v>18.703223421453298</v>
      </c>
      <c r="AG1403">
        <v>-1.0987878890639999</v>
      </c>
      <c r="AH1403">
        <v>22.8442651743858</v>
      </c>
      <c r="AI1403">
        <v>92.131374681210801</v>
      </c>
      <c r="AJ1403">
        <v>50.691876990645703</v>
      </c>
      <c r="AK1403">
        <v>29.544514762229699</v>
      </c>
      <c r="AL1403">
        <v>79.488865750821304</v>
      </c>
      <c r="AM1403">
        <v>70.979392554643297</v>
      </c>
      <c r="AN1403">
        <v>1.0000000148242201</v>
      </c>
    </row>
    <row r="1404" spans="1:40" x14ac:dyDescent="0.25">
      <c r="A1404" t="str">
        <f>"20190312172917906"</f>
        <v>20190312172917906</v>
      </c>
      <c r="B1404" t="str">
        <f>"1552382957898238"</f>
        <v>1552382957898238</v>
      </c>
      <c r="C1404" t="s">
        <v>40</v>
      </c>
      <c r="D1404">
        <v>3.3135729999999999</v>
      </c>
      <c r="E1404">
        <v>0.64863090000000001</v>
      </c>
      <c r="F1404" t="s">
        <v>41</v>
      </c>
      <c r="G1404">
        <v>-193.83170000000001</v>
      </c>
      <c r="H1404" s="1">
        <v>-3.4038189999999998E-6</v>
      </c>
      <c r="I1404">
        <v>325.14699999999999</v>
      </c>
      <c r="J1404">
        <v>-196.23320000000001</v>
      </c>
      <c r="K1404">
        <v>1.098765</v>
      </c>
      <c r="L1404">
        <v>358.61020000000002</v>
      </c>
      <c r="M1404">
        <v>0.68904460000000001</v>
      </c>
      <c r="N1404">
        <v>0</v>
      </c>
      <c r="O1404">
        <v>-0.72454249999999998</v>
      </c>
      <c r="P1404">
        <v>0.41439900000000002</v>
      </c>
      <c r="Q1404">
        <v>0.17658599999999999</v>
      </c>
      <c r="R1404">
        <v>-0.89279959999999903</v>
      </c>
      <c r="S1404">
        <v>0.25234990000000002</v>
      </c>
      <c r="T1404">
        <v>-0.1071081</v>
      </c>
      <c r="U1404">
        <v>-3.282715</v>
      </c>
      <c r="V1404">
        <v>0.32016299999999998</v>
      </c>
      <c r="W1404">
        <v>0.18265819999999999</v>
      </c>
      <c r="X1404">
        <v>0.92958680000000005</v>
      </c>
      <c r="Y1404">
        <v>0.6315286</v>
      </c>
      <c r="Z1404">
        <v>1.5592490000000001E-2</v>
      </c>
      <c r="AA1404">
        <v>0.77519579999999999</v>
      </c>
      <c r="AB1404">
        <v>28</v>
      </c>
      <c r="AC1404">
        <v>2.4014999999999902</v>
      </c>
      <c r="AD1404">
        <v>-1.098768403819</v>
      </c>
      <c r="AE1404">
        <v>-33.463200000000001</v>
      </c>
      <c r="AF1404">
        <v>21.297530298100401</v>
      </c>
      <c r="AG1404">
        <v>-1.098768403819</v>
      </c>
      <c r="AH1404">
        <v>25.875808297202401</v>
      </c>
      <c r="AI1404">
        <v>91.877828272027301</v>
      </c>
      <c r="AJ1404">
        <v>50.543322589938803</v>
      </c>
      <c r="AK1404">
        <v>33.531321832539</v>
      </c>
      <c r="AL1404">
        <v>79.475369034002696</v>
      </c>
      <c r="AM1404">
        <v>70.995559072430297</v>
      </c>
      <c r="AN1404">
        <v>0.99999999166524001</v>
      </c>
    </row>
    <row r="1405" spans="1:40" x14ac:dyDescent="0.25">
      <c r="A1405" t="str">
        <f>"20190312172917917"</f>
        <v>20190312172917917</v>
      </c>
      <c r="B1405" t="str">
        <f>"1552382957908974"</f>
        <v>1552382957908974</v>
      </c>
      <c r="C1405" t="s">
        <v>40</v>
      </c>
      <c r="D1405">
        <v>3.2950849999999998</v>
      </c>
      <c r="E1405">
        <v>0.64828129999999995</v>
      </c>
      <c r="F1405" t="s">
        <v>41</v>
      </c>
      <c r="G1405">
        <v>-194.05160000000001</v>
      </c>
      <c r="H1405" s="1">
        <v>-2.693549E-6</v>
      </c>
      <c r="I1405">
        <v>323.35489999999999</v>
      </c>
      <c r="J1405">
        <v>-196.12469999999999</v>
      </c>
      <c r="K1405">
        <v>1.0987559999999901</v>
      </c>
      <c r="L1405">
        <v>358.48379999999997</v>
      </c>
      <c r="M1405">
        <v>0.68275520000000001</v>
      </c>
      <c r="N1405">
        <v>0</v>
      </c>
      <c r="O1405">
        <v>-0.73047209999999996</v>
      </c>
      <c r="P1405">
        <v>0.40693180000000001</v>
      </c>
      <c r="Q1405">
        <v>0.17675399999999999</v>
      </c>
      <c r="R1405">
        <v>-0.89619459999999995</v>
      </c>
      <c r="S1405">
        <v>0.20333860000000001</v>
      </c>
      <c r="T1405">
        <v>-0.1024138</v>
      </c>
      <c r="U1405">
        <v>-3.2860719999999999</v>
      </c>
      <c r="V1405">
        <v>0.31987330000000003</v>
      </c>
      <c r="W1405">
        <v>0.18283350000000001</v>
      </c>
      <c r="X1405">
        <v>0.92965209999999998</v>
      </c>
      <c r="Y1405">
        <v>0.63638329999999999</v>
      </c>
      <c r="Z1405">
        <v>1.5088600000000001E-2</v>
      </c>
      <c r="AA1405">
        <v>0.77122539999999995</v>
      </c>
      <c r="AB1405">
        <v>28</v>
      </c>
      <c r="AC1405">
        <v>2.0730999999999802</v>
      </c>
      <c r="AD1405">
        <v>-1.0987586935489999</v>
      </c>
      <c r="AE1405">
        <v>-35.128899999999902</v>
      </c>
      <c r="AF1405">
        <v>22.4510846063725</v>
      </c>
      <c r="AG1405">
        <v>-1.0987586935489999</v>
      </c>
      <c r="AH1405">
        <v>27.053191010489599</v>
      </c>
      <c r="AI1405">
        <v>91.790141305284294</v>
      </c>
      <c r="AJ1405">
        <v>50.311169257880898</v>
      </c>
      <c r="AK1405">
        <v>35.172910236703203</v>
      </c>
      <c r="AL1405">
        <v>79.465153370680198</v>
      </c>
      <c r="AM1405">
        <v>71.012761247342496</v>
      </c>
      <c r="AN1405">
        <v>1.00000002190477</v>
      </c>
    </row>
    <row r="1406" spans="1:40" x14ac:dyDescent="0.25">
      <c r="A1406" t="str">
        <f>"20190312172917931"</f>
        <v>20190312172917931</v>
      </c>
      <c r="B1406" t="str">
        <f>"1552382957918734"</f>
        <v>1552382957918734</v>
      </c>
      <c r="C1406" t="s">
        <v>40</v>
      </c>
      <c r="D1406">
        <v>3.341021</v>
      </c>
      <c r="E1406">
        <v>0.6473757</v>
      </c>
      <c r="F1406" t="s">
        <v>41</v>
      </c>
      <c r="G1406">
        <v>-194.167</v>
      </c>
      <c r="H1406" s="1">
        <v>-2.3443869999999998E-6</v>
      </c>
      <c r="I1406">
        <v>322.46949999999998</v>
      </c>
      <c r="J1406">
        <v>-196.0206</v>
      </c>
      <c r="K1406">
        <v>1.098746</v>
      </c>
      <c r="L1406">
        <v>358.36040000000003</v>
      </c>
      <c r="M1406">
        <v>0.67659539999999996</v>
      </c>
      <c r="N1406">
        <v>0</v>
      </c>
      <c r="O1406">
        <v>-0.73618099999999997</v>
      </c>
      <c r="P1406">
        <v>0.39939190000000002</v>
      </c>
      <c r="Q1406">
        <v>0.1770283</v>
      </c>
      <c r="R1406">
        <v>-0.89952619999999905</v>
      </c>
      <c r="S1406">
        <v>0.1786346</v>
      </c>
      <c r="T1406">
        <v>-0.10025729999999999</v>
      </c>
      <c r="U1406">
        <v>-3.2861630000000002</v>
      </c>
      <c r="V1406">
        <v>0.3198473</v>
      </c>
      <c r="W1406">
        <v>0.1831063</v>
      </c>
      <c r="X1406">
        <v>0.92960730000000003</v>
      </c>
      <c r="Y1406">
        <v>0.63568590000000003</v>
      </c>
      <c r="Z1406">
        <v>1.502889E-2</v>
      </c>
      <c r="AA1406">
        <v>0.77180159999999998</v>
      </c>
      <c r="AB1406">
        <v>28</v>
      </c>
      <c r="AC1406">
        <v>1.8535999999999999</v>
      </c>
      <c r="AD1406">
        <v>-1.0987483443870001</v>
      </c>
      <c r="AE1406">
        <v>-35.890900000000002</v>
      </c>
      <c r="AF1406">
        <v>22.9005641387647</v>
      </c>
      <c r="AG1406">
        <v>-1.0987483443870001</v>
      </c>
      <c r="AH1406">
        <v>27.654033757618901</v>
      </c>
      <c r="AI1406">
        <v>91.752783747814206</v>
      </c>
      <c r="AJ1406">
        <v>50.371526334609896</v>
      </c>
      <c r="AK1406">
        <v>35.921980302671201</v>
      </c>
      <c r="AL1406">
        <v>79.449254159777695</v>
      </c>
      <c r="AM1406">
        <v>71.013344603557996</v>
      </c>
      <c r="AN1406">
        <v>0.99999997231513404</v>
      </c>
    </row>
    <row r="1407" spans="1:40" x14ac:dyDescent="0.25">
      <c r="A1407" t="str">
        <f>"20190312172917949"</f>
        <v>20190312172917949</v>
      </c>
      <c r="B1407" t="str">
        <f>"1552382957938254"</f>
        <v>1552382957938254</v>
      </c>
      <c r="C1407" t="s">
        <v>40</v>
      </c>
      <c r="D1407">
        <v>3.2565550000000001</v>
      </c>
      <c r="E1407">
        <v>0.64632849999999997</v>
      </c>
      <c r="F1407" t="s">
        <v>41</v>
      </c>
      <c r="G1407">
        <v>-194.23570000000001</v>
      </c>
      <c r="H1407" s="1">
        <v>-1.819796E-6</v>
      </c>
      <c r="I1407">
        <v>321.20400000000001</v>
      </c>
      <c r="J1407">
        <v>-195.8655</v>
      </c>
      <c r="K1407">
        <v>1.0987309999999999</v>
      </c>
      <c r="L1407">
        <v>358.17270000000002</v>
      </c>
      <c r="M1407">
        <v>0.66718719999999998</v>
      </c>
      <c r="N1407">
        <v>0</v>
      </c>
      <c r="O1407">
        <v>-0.7447182</v>
      </c>
      <c r="P1407">
        <v>0.38824750000000002</v>
      </c>
      <c r="Q1407">
        <v>0.17739669999999999</v>
      </c>
      <c r="R1407">
        <v>-0.90432020000000002</v>
      </c>
      <c r="S1407">
        <v>0.1577606</v>
      </c>
      <c r="T1407">
        <v>-9.7115989999999999E-2</v>
      </c>
      <c r="U1407">
        <v>-3.2841800000000001</v>
      </c>
      <c r="V1407">
        <v>0.31949</v>
      </c>
      <c r="W1407">
        <v>0.18348419999999999</v>
      </c>
      <c r="X1407">
        <v>0.92965569999999997</v>
      </c>
      <c r="Y1407">
        <v>0.63073599999999996</v>
      </c>
      <c r="Z1407">
        <v>1.4994560000000001E-2</v>
      </c>
      <c r="AA1407">
        <v>0.7758526</v>
      </c>
      <c r="AB1407">
        <v>28</v>
      </c>
      <c r="AC1407">
        <v>1.6297999999999799</v>
      </c>
      <c r="AD1407">
        <v>-1.09873281979599</v>
      </c>
      <c r="AE1407">
        <v>-36.968699999999998</v>
      </c>
      <c r="AF1407">
        <v>23.4336454137506</v>
      </c>
      <c r="AG1407">
        <v>-1.09873281979599</v>
      </c>
      <c r="AH1407">
        <v>28.597098661078</v>
      </c>
      <c r="AI1407">
        <v>91.702212692560096</v>
      </c>
      <c r="AJ1407">
        <v>50.667391414016002</v>
      </c>
      <c r="AK1407">
        <v>36.988336040137298</v>
      </c>
      <c r="AL1407">
        <v>79.427229399227599</v>
      </c>
      <c r="AM1407">
        <v>71.033954738363704</v>
      </c>
      <c r="AN1407">
        <v>1.00000001614606</v>
      </c>
    </row>
    <row r="1408" spans="1:40" x14ac:dyDescent="0.25">
      <c r="A1408" t="str">
        <f>"20190312172917962"</f>
        <v>20190312172917962</v>
      </c>
      <c r="B1408" t="str">
        <f>"1552382957958750"</f>
        <v>1552382957958750</v>
      </c>
      <c r="C1408" t="s">
        <v>40</v>
      </c>
      <c r="D1408">
        <v>3.232345</v>
      </c>
      <c r="E1408">
        <v>0.64567299999999905</v>
      </c>
      <c r="F1408" t="s">
        <v>41</v>
      </c>
      <c r="G1408">
        <v>-194.44649999999999</v>
      </c>
      <c r="H1408" s="1">
        <v>-1.7654629999999999E-6</v>
      </c>
      <c r="I1408">
        <v>320.94659999999999</v>
      </c>
      <c r="J1408">
        <v>-195.75919999999999</v>
      </c>
      <c r="K1408">
        <v>1.098722</v>
      </c>
      <c r="L1408">
        <v>358.04169999999999</v>
      </c>
      <c r="M1408">
        <v>0.66058269999999997</v>
      </c>
      <c r="N1408">
        <v>0</v>
      </c>
      <c r="O1408">
        <v>-0.75058249999999904</v>
      </c>
      <c r="P1408">
        <v>0.38034050000000003</v>
      </c>
      <c r="Q1408">
        <v>0.17745129999999901</v>
      </c>
      <c r="R1408">
        <v>-0.9076632</v>
      </c>
      <c r="S1408">
        <v>0.12513730000000001</v>
      </c>
      <c r="T1408">
        <v>-9.6890569999999995E-2</v>
      </c>
      <c r="U1408">
        <v>-3.2827449999999998</v>
      </c>
      <c r="V1408">
        <v>0.31939030000000002</v>
      </c>
      <c r="W1408">
        <v>0.18353990000000001</v>
      </c>
      <c r="X1408">
        <v>0.92967889999999997</v>
      </c>
      <c r="Y1408">
        <v>0.63156140000000005</v>
      </c>
      <c r="Z1408">
        <v>1.5203070000000001E-2</v>
      </c>
      <c r="AA1408">
        <v>0.7751768</v>
      </c>
      <c r="AB1408">
        <v>28</v>
      </c>
      <c r="AC1408">
        <v>1.3127</v>
      </c>
      <c r="AD1408">
        <v>-1.098723765463</v>
      </c>
      <c r="AE1408">
        <v>-37.095100000000002</v>
      </c>
      <c r="AF1408">
        <v>23.501515584329798</v>
      </c>
      <c r="AG1408">
        <v>-1.098723765463</v>
      </c>
      <c r="AH1408">
        <v>28.688624439316801</v>
      </c>
      <c r="AI1408">
        <v>91.696977919365906</v>
      </c>
      <c r="AJ1408">
        <v>50.675911484708998</v>
      </c>
      <c r="AK1408">
        <v>37.102096987818101</v>
      </c>
      <c r="AL1408">
        <v>79.423982266925094</v>
      </c>
      <c r="AM1408">
        <v>71.039889854640194</v>
      </c>
      <c r="AN1408">
        <v>0.99999995786565399</v>
      </c>
    </row>
    <row r="1409" spans="1:40" x14ac:dyDescent="0.25">
      <c r="A1409" t="str">
        <f>"20190312172917975"</f>
        <v>20190312172917975</v>
      </c>
      <c r="B1409" t="str">
        <f>"1552382957968510"</f>
        <v>1552382957968510</v>
      </c>
      <c r="C1409" t="s">
        <v>40</v>
      </c>
      <c r="D1409">
        <v>3.3351199999999999</v>
      </c>
      <c r="E1409">
        <v>0.64466979999999996</v>
      </c>
      <c r="F1409" t="s">
        <v>41</v>
      </c>
      <c r="G1409">
        <v>-194.62049999999999</v>
      </c>
      <c r="H1409" s="1">
        <v>-1.9243069999999999E-6</v>
      </c>
      <c r="I1409">
        <v>321.209</v>
      </c>
      <c r="J1409">
        <v>-195.66130000000001</v>
      </c>
      <c r="K1409">
        <v>1.098711</v>
      </c>
      <c r="L1409">
        <v>357.91759999999999</v>
      </c>
      <c r="M1409">
        <v>0.65433129999999995</v>
      </c>
      <c r="N1409">
        <v>0</v>
      </c>
      <c r="O1409">
        <v>-0.75603799999999999</v>
      </c>
      <c r="P1409">
        <v>0.37323659999999997</v>
      </c>
      <c r="Q1409">
        <v>0.17759610000000001</v>
      </c>
      <c r="R1409">
        <v>-0.91057869999999996</v>
      </c>
      <c r="S1409">
        <v>0.1014557</v>
      </c>
      <c r="T1409">
        <v>-9.7897410000000004E-2</v>
      </c>
      <c r="U1409">
        <v>-3.2818299999999998</v>
      </c>
      <c r="V1409">
        <v>0.3189283</v>
      </c>
      <c r="W1409">
        <v>0.18369930000000001</v>
      </c>
      <c r="X1409">
        <v>0.92980609999999997</v>
      </c>
      <c r="Y1409">
        <v>0.63070609999999905</v>
      </c>
      <c r="Z1409">
        <v>1.561002E-2</v>
      </c>
      <c r="AA1409">
        <v>0.77586480000000002</v>
      </c>
      <c r="AB1409">
        <v>28</v>
      </c>
      <c r="AC1409">
        <v>1.0408000000000099</v>
      </c>
      <c r="AD1409">
        <v>-1.098712924307</v>
      </c>
      <c r="AE1409">
        <v>-36.708599999999898</v>
      </c>
      <c r="AF1409">
        <v>23.214908408157601</v>
      </c>
      <c r="AG1409">
        <v>-1.098712924307</v>
      </c>
      <c r="AH1409">
        <v>28.412347735828099</v>
      </c>
      <c r="AI1409">
        <v>91.715233935379899</v>
      </c>
      <c r="AJ1409">
        <v>50.748734333828999</v>
      </c>
      <c r="AK1409">
        <v>36.706956375471997</v>
      </c>
      <c r="AL1409">
        <v>79.414692212451399</v>
      </c>
      <c r="AM1409">
        <v>71.067766684377801</v>
      </c>
      <c r="AN1409">
        <v>1.00000003847929</v>
      </c>
    </row>
    <row r="1410" spans="1:40" x14ac:dyDescent="0.25">
      <c r="A1410" t="str">
        <f>"20190312172917995"</f>
        <v>20190312172917995</v>
      </c>
      <c r="B1410" t="str">
        <f>"1552382957989006"</f>
        <v>1552382957989006</v>
      </c>
      <c r="C1410" t="s">
        <v>40</v>
      </c>
      <c r="D1410">
        <v>3.2381120000000001</v>
      </c>
      <c r="E1410">
        <v>0.64352830000000005</v>
      </c>
      <c r="F1410" t="s">
        <v>41</v>
      </c>
      <c r="G1410">
        <v>-194.71260000000001</v>
      </c>
      <c r="H1410" s="1">
        <v>-1.6252239999999999E-6</v>
      </c>
      <c r="I1410">
        <v>320.4547</v>
      </c>
      <c r="J1410">
        <v>-195.50190000000001</v>
      </c>
      <c r="K1410">
        <v>1.0987</v>
      </c>
      <c r="L1410">
        <v>357.7122</v>
      </c>
      <c r="M1410">
        <v>0.64392550000000004</v>
      </c>
      <c r="N1410">
        <v>0</v>
      </c>
      <c r="O1410">
        <v>-0.76492019999999905</v>
      </c>
      <c r="P1410">
        <v>0.36127150000000002</v>
      </c>
      <c r="Q1410">
        <v>0.1775756</v>
      </c>
      <c r="R1410">
        <v>-0.91539619999999999</v>
      </c>
      <c r="S1410">
        <v>8.3038329999999994E-2</v>
      </c>
      <c r="T1410">
        <v>-9.6176860000000003E-2</v>
      </c>
      <c r="U1410">
        <v>-3.2793580000000002</v>
      </c>
      <c r="V1410">
        <v>0.3183975</v>
      </c>
      <c r="W1410">
        <v>0.183696</v>
      </c>
      <c r="X1410">
        <v>0.92998860000000005</v>
      </c>
      <c r="Y1410">
        <v>0.62440609999999996</v>
      </c>
      <c r="Z1410">
        <v>1.5804309999999998E-2</v>
      </c>
      <c r="AA1410">
        <v>0.78093999999999997</v>
      </c>
      <c r="AB1410">
        <v>28</v>
      </c>
      <c r="AC1410">
        <v>0.789299999999997</v>
      </c>
      <c r="AD1410">
        <v>-1.0987016252240001</v>
      </c>
      <c r="AE1410">
        <v>-37.257499999999901</v>
      </c>
      <c r="AF1410">
        <v>23.369995076171001</v>
      </c>
      <c r="AG1410">
        <v>-1.0987016252240001</v>
      </c>
      <c r="AH1410">
        <v>28.985797980939601</v>
      </c>
      <c r="AI1410">
        <v>91.690217479024</v>
      </c>
      <c r="AJ1410">
        <v>51.122269515692203</v>
      </c>
      <c r="AK1410">
        <v>37.249702008383601</v>
      </c>
      <c r="AL1410">
        <v>79.414884067056903</v>
      </c>
      <c r="AM1410">
        <v>71.100483392837106</v>
      </c>
      <c r="AN1410">
        <v>0.99999999227610503</v>
      </c>
    </row>
    <row r="1411" spans="1:40" x14ac:dyDescent="0.25">
      <c r="A1411" t="str">
        <f>"20190312172918017"</f>
        <v>20190312172918017</v>
      </c>
      <c r="B1411" t="str">
        <f>"1552382958008526"</f>
        <v>1552382958008526</v>
      </c>
      <c r="C1411" t="s">
        <v>40</v>
      </c>
      <c r="D1411">
        <v>3.2031689999999999</v>
      </c>
      <c r="E1411">
        <v>0.64290029999999998</v>
      </c>
      <c r="F1411" t="s">
        <v>41</v>
      </c>
      <c r="G1411">
        <v>-194.93600000000001</v>
      </c>
      <c r="H1411" s="1">
        <v>-5.5197480000000003E-6</v>
      </c>
      <c r="I1411">
        <v>319.37990000000002</v>
      </c>
      <c r="J1411">
        <v>-195.3338</v>
      </c>
      <c r="K1411">
        <v>1.0986959999999999</v>
      </c>
      <c r="L1411">
        <v>357.48899999999998</v>
      </c>
      <c r="M1411">
        <v>0.63257069999999904</v>
      </c>
      <c r="N1411">
        <v>0</v>
      </c>
      <c r="O1411">
        <v>-0.77433649999999998</v>
      </c>
      <c r="P1411">
        <v>0.34857759999999999</v>
      </c>
      <c r="Q1411">
        <v>0.17820540000000001</v>
      </c>
      <c r="R1411">
        <v>-0.92018319999999998</v>
      </c>
      <c r="S1411">
        <v>4.8370360000000001E-2</v>
      </c>
      <c r="T1411">
        <v>-9.3909380000000001E-2</v>
      </c>
      <c r="U1411">
        <v>-3.276367</v>
      </c>
      <c r="V1411">
        <v>0.317480599999999</v>
      </c>
      <c r="W1411">
        <v>0.18435779999999999</v>
      </c>
      <c r="X1411">
        <v>0.93017110000000003</v>
      </c>
      <c r="Y1411">
        <v>0.62112159999999905</v>
      </c>
      <c r="Z1411">
        <v>1.5875810000000001E-2</v>
      </c>
      <c r="AA1411">
        <v>0.78355339999999996</v>
      </c>
      <c r="AB1411">
        <v>28</v>
      </c>
      <c r="AC1411">
        <v>0.39780000000001697</v>
      </c>
      <c r="AD1411">
        <v>-1.0987015197479999</v>
      </c>
      <c r="AE1411">
        <v>-38.109099999999998</v>
      </c>
      <c r="AF1411">
        <v>23.781965966605</v>
      </c>
      <c r="AG1411">
        <v>-1.0987015197479999</v>
      </c>
      <c r="AH1411">
        <v>29.740016119822599</v>
      </c>
      <c r="AI1411">
        <v>91.652685924230894</v>
      </c>
      <c r="AJ1411">
        <v>51.3519961073087</v>
      </c>
      <c r="AK1411">
        <v>38.095375166462901</v>
      </c>
      <c r="AL1411">
        <v>79.376306977352101</v>
      </c>
      <c r="AM1411">
        <v>71.154498480054897</v>
      </c>
      <c r="AN1411">
        <v>1.0000000025361999</v>
      </c>
    </row>
    <row r="1412" spans="1:40" x14ac:dyDescent="0.25">
      <c r="A1412" t="str">
        <f>"20190312172918038"</f>
        <v>20190312172918038</v>
      </c>
      <c r="B1412" t="str">
        <f>"1552382958029036"</f>
        <v>1552382958029036</v>
      </c>
      <c r="C1412" t="s">
        <v>40</v>
      </c>
      <c r="D1412">
        <v>3.2051159999999999</v>
      </c>
      <c r="E1412">
        <v>0.64223240000000004</v>
      </c>
      <c r="F1412" t="s">
        <v>41</v>
      </c>
      <c r="G1412">
        <v>-195.23910000000001</v>
      </c>
      <c r="H1412" s="1">
        <v>-4.9858650000000001E-6</v>
      </c>
      <c r="I1412">
        <v>317.84960000000001</v>
      </c>
      <c r="J1412">
        <v>-195.17060000000001</v>
      </c>
      <c r="K1412">
        <v>1.0986929999999999</v>
      </c>
      <c r="L1412">
        <v>357.26530000000002</v>
      </c>
      <c r="M1412">
        <v>0.62115010000000004</v>
      </c>
      <c r="N1412">
        <v>0</v>
      </c>
      <c r="O1412">
        <v>-0.78352730000000004</v>
      </c>
      <c r="P1412">
        <v>0.33563890000000002</v>
      </c>
      <c r="Q1412">
        <v>0.1783063</v>
      </c>
      <c r="R1412">
        <v>-0.92496160000000005</v>
      </c>
      <c r="S1412">
        <v>7.8277590000000001E-3</v>
      </c>
      <c r="T1412">
        <v>-9.0769290000000002E-2</v>
      </c>
      <c r="U1412">
        <v>-3.2748110000000001</v>
      </c>
      <c r="V1412">
        <v>0.31687779999999999</v>
      </c>
      <c r="W1412">
        <v>0.18448390000000001</v>
      </c>
      <c r="X1412">
        <v>0.93035159999999995</v>
      </c>
      <c r="Y1412">
        <v>0.61932690000000001</v>
      </c>
      <c r="Z1412">
        <v>1.5741140000000001E-2</v>
      </c>
      <c r="AA1412">
        <v>0.78497550000000005</v>
      </c>
      <c r="AB1412">
        <v>28</v>
      </c>
      <c r="AC1412">
        <v>-6.85000000000002E-2</v>
      </c>
      <c r="AD1412">
        <v>-1.0986979858649999</v>
      </c>
      <c r="AE1412">
        <v>-39.415700000000001</v>
      </c>
      <c r="AF1412">
        <v>24.520845105226201</v>
      </c>
      <c r="AG1412">
        <v>-1.0986979858649999</v>
      </c>
      <c r="AH1412">
        <v>30.8207525935848</v>
      </c>
      <c r="AI1412">
        <v>91.597922660496593</v>
      </c>
      <c r="AJ1412">
        <v>51.494408224033599</v>
      </c>
      <c r="AK1412">
        <v>39.400479341926797</v>
      </c>
      <c r="AL1412">
        <v>79.3689555881556</v>
      </c>
      <c r="AM1412">
        <v>71.191154701528006</v>
      </c>
      <c r="AN1412">
        <v>0.99999997455730405</v>
      </c>
    </row>
    <row r="1413" spans="1:40" x14ac:dyDescent="0.25">
      <c r="A1413" t="str">
        <f>"20190312172918056"</f>
        <v>20190312172918056</v>
      </c>
      <c r="B1413" t="str">
        <f>"1552382958048542"</f>
        <v>1552382958048542</v>
      </c>
      <c r="C1413" t="s">
        <v>40</v>
      </c>
      <c r="D1413">
        <v>3.2373940000000001</v>
      </c>
      <c r="E1413">
        <v>0.64089099999999999</v>
      </c>
      <c r="F1413" t="s">
        <v>41</v>
      </c>
      <c r="G1413">
        <v>-195.57089999999999</v>
      </c>
      <c r="H1413" s="1">
        <v>-4.8792379999999996E-6</v>
      </c>
      <c r="I1413">
        <v>317.41860000000003</v>
      </c>
      <c r="J1413">
        <v>-195.04750000000001</v>
      </c>
      <c r="K1413">
        <v>1.0987009999999999</v>
      </c>
      <c r="L1413">
        <v>357.09160000000003</v>
      </c>
      <c r="M1413">
        <v>0.61225929999999995</v>
      </c>
      <c r="N1413">
        <v>0</v>
      </c>
      <c r="O1413">
        <v>-0.79049409999999998</v>
      </c>
      <c r="P1413">
        <v>0.32544030000000002</v>
      </c>
      <c r="Q1413">
        <v>0.17831620000000001</v>
      </c>
      <c r="R1413">
        <v>-0.92859740000000002</v>
      </c>
      <c r="S1413">
        <v>-3.2882689999999999E-2</v>
      </c>
      <c r="T1413">
        <v>-9.0238810000000003E-2</v>
      </c>
      <c r="U1413">
        <v>-3.2727050000000002</v>
      </c>
      <c r="V1413">
        <v>0.31660270000000001</v>
      </c>
      <c r="W1413">
        <v>0.1845096</v>
      </c>
      <c r="X1413">
        <v>0.93044020000000005</v>
      </c>
      <c r="Y1413">
        <v>0.62022089999999996</v>
      </c>
      <c r="Z1413">
        <v>1.5924790000000001E-2</v>
      </c>
      <c r="AA1413">
        <v>0.78426549999999995</v>
      </c>
      <c r="AB1413">
        <v>28</v>
      </c>
      <c r="AC1413">
        <v>-0.52339999999998099</v>
      </c>
      <c r="AD1413">
        <v>-1.098705879238</v>
      </c>
      <c r="AE1413">
        <v>-39.673000000000002</v>
      </c>
      <c r="AF1413">
        <v>24.688159098249098</v>
      </c>
      <c r="AG1413">
        <v>-1.098705879238</v>
      </c>
      <c r="AH1413">
        <v>31.021027414963999</v>
      </c>
      <c r="AI1413">
        <v>91.587424230955307</v>
      </c>
      <c r="AJ1413">
        <v>51.485387645790297</v>
      </c>
      <c r="AK1413">
        <v>39.661271993589402</v>
      </c>
      <c r="AL1413">
        <v>79.367457790605698</v>
      </c>
      <c r="AM1413">
        <v>71.208001000429505</v>
      </c>
      <c r="AN1413">
        <v>1.0000000139577401</v>
      </c>
    </row>
    <row r="1414" spans="1:40" x14ac:dyDescent="0.25">
      <c r="A1414" t="str">
        <f>"20190312172918075"</f>
        <v>20190312172918075</v>
      </c>
      <c r="B1414" t="str">
        <f>"1552382958069038"</f>
        <v>1552382958069038</v>
      </c>
      <c r="C1414" t="s">
        <v>40</v>
      </c>
      <c r="D1414">
        <v>3.1910539999999998</v>
      </c>
      <c r="E1414">
        <v>0.64018299999999995</v>
      </c>
      <c r="F1414" t="s">
        <v>41</v>
      </c>
      <c r="G1414">
        <v>-195.7715</v>
      </c>
      <c r="H1414" s="1">
        <v>-4.7085080000000001E-6</v>
      </c>
      <c r="I1414">
        <v>316.88139999999999</v>
      </c>
      <c r="J1414">
        <v>-194.90860000000001</v>
      </c>
      <c r="K1414">
        <v>1.0987150000000001</v>
      </c>
      <c r="L1414">
        <v>356.89069999999998</v>
      </c>
      <c r="M1414">
        <v>0.60194709999999996</v>
      </c>
      <c r="N1414">
        <v>0</v>
      </c>
      <c r="O1414">
        <v>-0.79837449999999999</v>
      </c>
      <c r="P1414">
        <v>0.31443880000000002</v>
      </c>
      <c r="Q1414">
        <v>0.17817849999999999</v>
      </c>
      <c r="R1414">
        <v>-0.93240619999999996</v>
      </c>
      <c r="S1414">
        <v>-5.885315E-2</v>
      </c>
      <c r="T1414">
        <v>-8.9306709999999997E-2</v>
      </c>
      <c r="U1414">
        <v>-3.2684329999999999</v>
      </c>
      <c r="V1414">
        <v>0.31553120000000001</v>
      </c>
      <c r="W1414">
        <v>0.18441779999999999</v>
      </c>
      <c r="X1414">
        <v>0.93082229999999999</v>
      </c>
      <c r="Y1414">
        <v>0.61627330000000002</v>
      </c>
      <c r="Z1414">
        <v>1.6138570000000001E-2</v>
      </c>
      <c r="AA1414">
        <v>0.78736689999999998</v>
      </c>
      <c r="AB1414">
        <v>28</v>
      </c>
      <c r="AC1414">
        <v>-0.862899999999996</v>
      </c>
      <c r="AD1414">
        <v>-1.0987197085079901</v>
      </c>
      <c r="AE1414">
        <v>-40.009300000000003</v>
      </c>
      <c r="AF1414">
        <v>24.7569323105891</v>
      </c>
      <c r="AG1414">
        <v>-1.0987197085079901</v>
      </c>
      <c r="AH1414">
        <v>31.403365148044301</v>
      </c>
      <c r="AI1414">
        <v>91.573858204685493</v>
      </c>
      <c r="AJ1414">
        <v>51.749420072398301</v>
      </c>
      <c r="AK1414">
        <v>40.003552655362498</v>
      </c>
      <c r="AL1414">
        <v>79.3728093229427</v>
      </c>
      <c r="AM1414">
        <v>71.274310596679001</v>
      </c>
      <c r="AN1414">
        <v>1.0000000086537799</v>
      </c>
    </row>
    <row r="1415" spans="1:40" x14ac:dyDescent="0.25">
      <c r="A1415" t="str">
        <f>"20190312172918096"</f>
        <v>20190312172918096</v>
      </c>
      <c r="B1415" t="str">
        <f>"1552382958088558"</f>
        <v>1552382958088558</v>
      </c>
      <c r="C1415" t="s">
        <v>40</v>
      </c>
      <c r="D1415">
        <v>3.2389670000000002</v>
      </c>
      <c r="E1415">
        <v>0.62071169999999998</v>
      </c>
      <c r="F1415" t="s">
        <v>41</v>
      </c>
      <c r="G1415">
        <v>-196.02760000000001</v>
      </c>
      <c r="H1415" s="1">
        <v>-4.8677220000000002E-6</v>
      </c>
      <c r="I1415">
        <v>317.17770000000002</v>
      </c>
      <c r="J1415">
        <v>-194.75470000000001</v>
      </c>
      <c r="K1415">
        <v>1.098732</v>
      </c>
      <c r="L1415">
        <v>356.66149999999999</v>
      </c>
      <c r="M1415">
        <v>0.59015660000000003</v>
      </c>
      <c r="N1415">
        <v>0</v>
      </c>
      <c r="O1415">
        <v>-0.80712910000000004</v>
      </c>
      <c r="P1415">
        <v>0.30186760000000001</v>
      </c>
      <c r="Q1415">
        <v>0.17792939999999999</v>
      </c>
      <c r="R1415">
        <v>-0.93659899999999996</v>
      </c>
      <c r="S1415">
        <v>-9.2025759999999998E-2</v>
      </c>
      <c r="T1415">
        <v>-9.0352539999999995E-2</v>
      </c>
      <c r="U1415">
        <v>-3.2657780000000001</v>
      </c>
      <c r="V1415">
        <v>0.31439270000000002</v>
      </c>
      <c r="W1415">
        <v>0.18422140000000001</v>
      </c>
      <c r="X1415">
        <v>0.93124629999999997</v>
      </c>
      <c r="Y1415">
        <v>0.61270559999999996</v>
      </c>
      <c r="Z1415">
        <v>1.6732529999999999E-2</v>
      </c>
      <c r="AA1415">
        <v>0.79013409999999995</v>
      </c>
      <c r="AB1415">
        <v>28</v>
      </c>
      <c r="AC1415">
        <v>-1.2728999999999899</v>
      </c>
      <c r="AD1415">
        <v>-1.098736867722</v>
      </c>
      <c r="AE1415">
        <v>-39.483799999999903</v>
      </c>
      <c r="AF1415">
        <v>24.3133484302361</v>
      </c>
      <c r="AG1415">
        <v>-1.098736867722</v>
      </c>
      <c r="AH1415">
        <v>31.097269627249201</v>
      </c>
      <c r="AI1415">
        <v>91.594393527402502</v>
      </c>
      <c r="AJ1415">
        <v>51.9799852317337</v>
      </c>
      <c r="AK1415">
        <v>39.489065738054599</v>
      </c>
      <c r="AL1415">
        <v>79.384258098645901</v>
      </c>
      <c r="AM1415">
        <v>71.345099607551006</v>
      </c>
      <c r="AN1415">
        <v>0.99999998264746903</v>
      </c>
    </row>
    <row r="1416" spans="1:40" x14ac:dyDescent="0.25">
      <c r="A1416" t="str">
        <f>"20190312172918119"</f>
        <v>20190312172918119</v>
      </c>
      <c r="B1416" t="str">
        <f>"1552382958109065"</f>
        <v>1552382958109065</v>
      </c>
      <c r="C1416" t="s">
        <v>40</v>
      </c>
      <c r="D1416">
        <v>3.257037</v>
      </c>
      <c r="E1416">
        <v>0.61808469999999904</v>
      </c>
      <c r="F1416" t="s">
        <v>41</v>
      </c>
      <c r="G1416">
        <v>-194.6232</v>
      </c>
      <c r="H1416" s="1">
        <v>-2.3291249999999999E-6</v>
      </c>
      <c r="I1416">
        <v>322.15089999999998</v>
      </c>
      <c r="J1416">
        <v>-194.59520000000001</v>
      </c>
      <c r="K1416">
        <v>1.0987549999999999</v>
      </c>
      <c r="L1416">
        <v>356.416</v>
      </c>
      <c r="M1416">
        <v>0.57749349999999999</v>
      </c>
      <c r="N1416">
        <v>0</v>
      </c>
      <c r="O1416">
        <v>-0.816237199999999</v>
      </c>
      <c r="P1416">
        <v>0.288466099999999</v>
      </c>
      <c r="Q1416">
        <v>0.1778303</v>
      </c>
      <c r="R1416">
        <v>-0.94083150000000004</v>
      </c>
      <c r="S1416">
        <v>1.2268070000000001E-2</v>
      </c>
      <c r="T1416">
        <v>-0.10247340000000001</v>
      </c>
      <c r="U1416">
        <v>-3.2186279999999998</v>
      </c>
      <c r="V1416">
        <v>0.3131544</v>
      </c>
      <c r="W1416">
        <v>0.1841807</v>
      </c>
      <c r="X1416">
        <v>0.93167149999999999</v>
      </c>
      <c r="Y1416">
        <v>0.57442399999999905</v>
      </c>
      <c r="Z1416">
        <v>2.0172989999999998E-2</v>
      </c>
      <c r="AA1416">
        <v>0.81830930000000002</v>
      </c>
      <c r="AB1416">
        <v>28</v>
      </c>
      <c r="AC1416">
        <v>-2.79999999999915E-2</v>
      </c>
      <c r="AD1416">
        <v>-1.0987573291249999</v>
      </c>
      <c r="AE1416">
        <v>-34.265099999999997</v>
      </c>
      <c r="AF1416">
        <v>19.7929320382033</v>
      </c>
      <c r="AG1416">
        <v>-1.0987573291249999</v>
      </c>
      <c r="AH1416">
        <v>27.927171124711499</v>
      </c>
      <c r="AI1416">
        <v>91.838524869505804</v>
      </c>
      <c r="AJ1416">
        <v>54.673507803260797</v>
      </c>
      <c r="AK1416">
        <v>34.2475446326618</v>
      </c>
      <c r="AL1416">
        <v>79.386630779882196</v>
      </c>
      <c r="AM1416">
        <v>71.421419796534394</v>
      </c>
      <c r="AN1416">
        <v>0.99999999620205005</v>
      </c>
    </row>
    <row r="1417" spans="1:40" x14ac:dyDescent="0.25">
      <c r="A1417" t="str">
        <f>"20190312172918142"</f>
        <v>20190312172918142</v>
      </c>
      <c r="B1417" t="str">
        <f>"1552382958138335"</f>
        <v>1552382958138335</v>
      </c>
      <c r="C1417" t="s">
        <v>40</v>
      </c>
      <c r="D1417">
        <v>3.25434</v>
      </c>
      <c r="E1417">
        <v>0.61609369999999997</v>
      </c>
      <c r="F1417" t="s">
        <v>41</v>
      </c>
      <c r="G1417">
        <v>-194.7381</v>
      </c>
      <c r="H1417" s="1">
        <v>-2.547579E-6</v>
      </c>
      <c r="I1417">
        <v>322.58890000000002</v>
      </c>
      <c r="J1417">
        <v>-194.44280000000001</v>
      </c>
      <c r="K1417">
        <v>1.0987750000000001</v>
      </c>
      <c r="L1417">
        <v>356.17329999999998</v>
      </c>
      <c r="M1417">
        <v>0.56495479999999998</v>
      </c>
      <c r="N1417">
        <v>0</v>
      </c>
      <c r="O1417">
        <v>-0.82496550000000002</v>
      </c>
      <c r="P1417">
        <v>0.27549610000000002</v>
      </c>
      <c r="Q1417">
        <v>0.1778834</v>
      </c>
      <c r="R1417">
        <v>-0.94470100000000001</v>
      </c>
      <c r="S1417">
        <v>-1.356506E-2</v>
      </c>
      <c r="T1417">
        <v>-0.104349</v>
      </c>
      <c r="U1417">
        <v>-3.212555</v>
      </c>
      <c r="V1417">
        <v>0.31171659999999901</v>
      </c>
      <c r="W1417">
        <v>0.18429970000000001</v>
      </c>
      <c r="X1417">
        <v>0.93213000000000001</v>
      </c>
      <c r="Y1417">
        <v>0.56847639999999999</v>
      </c>
      <c r="Z1417">
        <v>2.10656E-2</v>
      </c>
      <c r="AA1417">
        <v>0.82242979999999999</v>
      </c>
      <c r="AB1417">
        <v>28</v>
      </c>
      <c r="AC1417">
        <v>-0.29529999999999701</v>
      </c>
      <c r="AD1417">
        <v>-1.098777547579</v>
      </c>
      <c r="AE1417">
        <v>-33.584399999999903</v>
      </c>
      <c r="AF1417">
        <v>19.1992106205313</v>
      </c>
      <c r="AG1417">
        <v>-1.098777547579</v>
      </c>
      <c r="AH1417">
        <v>27.513245607904999</v>
      </c>
      <c r="AI1417">
        <v>91.875803778948494</v>
      </c>
      <c r="AJ1417">
        <v>55.092009850889603</v>
      </c>
      <c r="AK1417">
        <v>33.567777472324401</v>
      </c>
      <c r="AL1417">
        <v>79.3796936294342</v>
      </c>
      <c r="AM1417">
        <v>71.509383285722393</v>
      </c>
      <c r="AN1417">
        <v>0.99999997751782399</v>
      </c>
    </row>
    <row r="1418" spans="1:40" x14ac:dyDescent="0.25">
      <c r="A1418" t="str">
        <f>"20190312172918162"</f>
        <v>20190312172918162</v>
      </c>
      <c r="B1418" t="str">
        <f>"1552382958158830"</f>
        <v>1552382958158830</v>
      </c>
      <c r="C1418" t="s">
        <v>40</v>
      </c>
      <c r="D1418">
        <v>3.2466599999999999</v>
      </c>
      <c r="E1418">
        <v>0.60538749999999997</v>
      </c>
      <c r="F1418" t="s">
        <v>41</v>
      </c>
      <c r="G1418">
        <v>-194.87</v>
      </c>
      <c r="H1418" s="1">
        <v>-3.0678550000000001E-6</v>
      </c>
      <c r="I1418">
        <v>323.71980000000002</v>
      </c>
      <c r="J1418">
        <v>-194.3082</v>
      </c>
      <c r="K1418">
        <v>1.0988039999999999</v>
      </c>
      <c r="L1418">
        <v>355.95159999999998</v>
      </c>
      <c r="M1418">
        <v>0.55349190000000004</v>
      </c>
      <c r="N1418">
        <v>0</v>
      </c>
      <c r="O1418">
        <v>-0.83269979999999999</v>
      </c>
      <c r="P1418">
        <v>0.26383200000000001</v>
      </c>
      <c r="Q1418">
        <v>0.17836060000000001</v>
      </c>
      <c r="R1418">
        <v>-0.94793490000000002</v>
      </c>
      <c r="S1418">
        <v>-4.2236330000000002E-2</v>
      </c>
      <c r="T1418">
        <v>-0.1086261</v>
      </c>
      <c r="U1418">
        <v>-3.2083740000000001</v>
      </c>
      <c r="V1418">
        <v>0.31026140000000002</v>
      </c>
      <c r="W1418">
        <v>0.1848419</v>
      </c>
      <c r="X1418">
        <v>0.93250809999999995</v>
      </c>
      <c r="Y1418">
        <v>0.56444359999999905</v>
      </c>
      <c r="Z1418">
        <v>2.2387919999999999E-2</v>
      </c>
      <c r="AA1418">
        <v>0.82516800000000001</v>
      </c>
      <c r="AB1418">
        <v>28</v>
      </c>
      <c r="AC1418">
        <v>-0.56180000000000496</v>
      </c>
      <c r="AD1418">
        <v>-1.0988070678549999</v>
      </c>
      <c r="AE1418">
        <v>-32.2317999999999</v>
      </c>
      <c r="AF1418">
        <v>18.2889623105225</v>
      </c>
      <c r="AG1418">
        <v>-1.0988070678549999</v>
      </c>
      <c r="AH1418">
        <v>26.501091598708399</v>
      </c>
      <c r="AI1418">
        <v>91.954471498133501</v>
      </c>
      <c r="AJ1418">
        <v>55.389624395317199</v>
      </c>
      <c r="AK1418">
        <v>32.218028730684502</v>
      </c>
      <c r="AL1418">
        <v>79.348085146994904</v>
      </c>
      <c r="AM1418">
        <v>71.5968333505309</v>
      </c>
      <c r="AN1418">
        <v>1.0000000104455899</v>
      </c>
    </row>
    <row r="1419" spans="1:40" x14ac:dyDescent="0.25">
      <c r="A1419" t="str">
        <f>"20190312172918185"</f>
        <v>20190312172918185</v>
      </c>
      <c r="B1419" t="str">
        <f>"1552382958178350"</f>
        <v>1552382958178350</v>
      </c>
      <c r="C1419" t="s">
        <v>40</v>
      </c>
      <c r="D1419">
        <v>3.2847930000000001</v>
      </c>
      <c r="E1419">
        <v>0.60375979999999996</v>
      </c>
      <c r="F1419" t="s">
        <v>41</v>
      </c>
      <c r="G1419">
        <v>-194.29849999999999</v>
      </c>
      <c r="H1419" s="1">
        <v>-4.1675420000000002E-6</v>
      </c>
      <c r="I1419">
        <v>326.99270000000001</v>
      </c>
      <c r="J1419">
        <v>-194.16480000000001</v>
      </c>
      <c r="K1419">
        <v>1.098848</v>
      </c>
      <c r="L1419">
        <v>355.7072</v>
      </c>
      <c r="M1419">
        <v>0.54085000000000005</v>
      </c>
      <c r="N1419">
        <v>0</v>
      </c>
      <c r="O1419">
        <v>-0.84096569999999904</v>
      </c>
      <c r="P1419">
        <v>0.25082120000000002</v>
      </c>
      <c r="Q1419">
        <v>0.17926210000000001</v>
      </c>
      <c r="R1419">
        <v>-0.95129070000000004</v>
      </c>
      <c r="S1419">
        <v>1.0681149999999999E-3</v>
      </c>
      <c r="T1419">
        <v>-0.120934</v>
      </c>
      <c r="U1419">
        <v>-3.187195</v>
      </c>
      <c r="V1419">
        <v>0.3088629</v>
      </c>
      <c r="W1419">
        <v>0.18580959999999999</v>
      </c>
      <c r="X1419">
        <v>0.93278000000000005</v>
      </c>
      <c r="Y1419">
        <v>0.54060439999999998</v>
      </c>
      <c r="Z1419">
        <v>2.587072E-2</v>
      </c>
      <c r="AA1419">
        <v>0.84087909999999899</v>
      </c>
      <c r="AB1419">
        <v>28</v>
      </c>
      <c r="AC1419">
        <v>-0.133699999999976</v>
      </c>
      <c r="AD1419">
        <v>-1.098852167542</v>
      </c>
      <c r="AE1419">
        <v>-28.714499999999902</v>
      </c>
      <c r="AF1419">
        <v>15.6218155420858</v>
      </c>
      <c r="AG1419">
        <v>-1.098852167542</v>
      </c>
      <c r="AH1419">
        <v>24.043494075651601</v>
      </c>
      <c r="AI1419">
        <v>92.194719276086801</v>
      </c>
      <c r="AJ1419">
        <v>56.986948356244703</v>
      </c>
      <c r="AK1419">
        <v>28.693870500212402</v>
      </c>
      <c r="AL1419">
        <v>79.291662652156901</v>
      </c>
      <c r="AM1419">
        <v>71.679216521809906</v>
      </c>
      <c r="AN1419">
        <v>1.0000000134242799</v>
      </c>
    </row>
    <row r="1420" spans="1:40" x14ac:dyDescent="0.25">
      <c r="A1420" t="str">
        <f>"20190312172918199"</f>
        <v>20190312172918199</v>
      </c>
      <c r="B1420" t="str">
        <f>"1552382958189086"</f>
        <v>1552382958189086</v>
      </c>
      <c r="C1420" t="s">
        <v>40</v>
      </c>
      <c r="D1420">
        <v>3.2720229999999999</v>
      </c>
      <c r="E1420">
        <v>0.60298839999999998</v>
      </c>
      <c r="F1420" t="s">
        <v>41</v>
      </c>
      <c r="G1420">
        <v>-194.43100000000001</v>
      </c>
      <c r="H1420" s="1">
        <v>-4.3219320000000001E-6</v>
      </c>
      <c r="I1420">
        <v>327.37729999999999</v>
      </c>
      <c r="J1420">
        <v>-194.0752</v>
      </c>
      <c r="K1420">
        <v>1.0988800000000001</v>
      </c>
      <c r="L1420">
        <v>355.55</v>
      </c>
      <c r="M1420">
        <v>0.53272459999999999</v>
      </c>
      <c r="N1420">
        <v>0</v>
      </c>
      <c r="O1420">
        <v>-0.84613649999999996</v>
      </c>
      <c r="P1420">
        <v>0.24259330000000001</v>
      </c>
      <c r="Q1420">
        <v>0.17943029999999999</v>
      </c>
      <c r="R1420">
        <v>-0.95339090000000004</v>
      </c>
      <c r="S1420">
        <v>-2.992249E-2</v>
      </c>
      <c r="T1420">
        <v>-0.12352970000000001</v>
      </c>
      <c r="U1420">
        <v>-3.1847530000000002</v>
      </c>
      <c r="V1420">
        <v>0.3079094</v>
      </c>
      <c r="W1420">
        <v>0.18602550000000001</v>
      </c>
      <c r="X1420">
        <v>0.93305210000000005</v>
      </c>
      <c r="Y1420">
        <v>0.540682</v>
      </c>
      <c r="Z1420">
        <v>2.6736099999999999E-2</v>
      </c>
      <c r="AA1420">
        <v>0.8408021</v>
      </c>
      <c r="AB1420">
        <v>28</v>
      </c>
      <c r="AC1420">
        <v>-0.35579999999998702</v>
      </c>
      <c r="AD1420">
        <v>-1.0988843219319999</v>
      </c>
      <c r="AE1420">
        <v>-28.172699999999999</v>
      </c>
      <c r="AF1420">
        <v>15.2880616067592</v>
      </c>
      <c r="AG1420">
        <v>-1.0988843219319999</v>
      </c>
      <c r="AH1420">
        <v>23.615528730646201</v>
      </c>
      <c r="AI1420">
        <v>92.236922328212302</v>
      </c>
      <c r="AJ1420">
        <v>57.0820602641843</v>
      </c>
      <c r="AK1420">
        <v>28.1536067258358</v>
      </c>
      <c r="AL1420">
        <v>79.279072344898097</v>
      </c>
      <c r="AM1420">
        <v>71.736987842279703</v>
      </c>
      <c r="AN1420">
        <v>0.99999995328650804</v>
      </c>
    </row>
    <row r="1421" spans="1:40" x14ac:dyDescent="0.25">
      <c r="A1421" t="str">
        <f>"20190312172918219"</f>
        <v>20190312172918219</v>
      </c>
      <c r="B1421" t="str">
        <f>"1552382958209147"</f>
        <v>1552382958209147</v>
      </c>
      <c r="C1421" t="s">
        <v>40</v>
      </c>
      <c r="D1421">
        <v>3.2654939999999999</v>
      </c>
      <c r="E1421">
        <v>0.60158480000000003</v>
      </c>
      <c r="F1421" t="s">
        <v>41</v>
      </c>
      <c r="G1421">
        <v>-194.5257</v>
      </c>
      <c r="H1421" s="1">
        <v>-4.4480140000000004E-6</v>
      </c>
      <c r="I1421">
        <v>327.69850000000002</v>
      </c>
      <c r="J1421">
        <v>-193.9511</v>
      </c>
      <c r="K1421">
        <v>1.09893</v>
      </c>
      <c r="L1421">
        <v>355.32650000000001</v>
      </c>
      <c r="M1421">
        <v>0.52116949999999995</v>
      </c>
      <c r="N1421">
        <v>0</v>
      </c>
      <c r="O1421">
        <v>-0.85330219999999901</v>
      </c>
      <c r="P1421">
        <v>0.2315933</v>
      </c>
      <c r="Q1421">
        <v>0.18008479999999999</v>
      </c>
      <c r="R1421">
        <v>-0.95599880000000004</v>
      </c>
      <c r="S1421">
        <v>-5.1483149999999998E-2</v>
      </c>
      <c r="T1421">
        <v>-0.12560199999999999</v>
      </c>
      <c r="U1421">
        <v>-3.183411</v>
      </c>
      <c r="V1421">
        <v>0.30589949999999999</v>
      </c>
      <c r="W1421">
        <v>0.18676899999999999</v>
      </c>
      <c r="X1421">
        <v>0.93356459999999997</v>
      </c>
      <c r="Y1421">
        <v>0.53492740000000005</v>
      </c>
      <c r="Z1421">
        <v>2.7685379999999999E-2</v>
      </c>
      <c r="AA1421">
        <v>0.84444430000000004</v>
      </c>
      <c r="AB1421">
        <v>28</v>
      </c>
      <c r="AC1421">
        <v>-0.574600000000003</v>
      </c>
      <c r="AD1421">
        <v>-1.098934448014</v>
      </c>
      <c r="AE1421">
        <v>-27.627999999999901</v>
      </c>
      <c r="AF1421">
        <v>14.8675848712749</v>
      </c>
      <c r="AG1421">
        <v>-1.098934448014</v>
      </c>
      <c r="AH1421">
        <v>23.241813029998799</v>
      </c>
      <c r="AI1421">
        <v>92.280908350610602</v>
      </c>
      <c r="AJ1421">
        <v>57.393307625643203</v>
      </c>
      <c r="AK1421">
        <v>27.6122184865146</v>
      </c>
      <c r="AL1421">
        <v>79.235713683866607</v>
      </c>
      <c r="AM1421">
        <v>71.857671605869001</v>
      </c>
      <c r="AN1421">
        <v>1.0000000129172</v>
      </c>
    </row>
    <row r="1422" spans="1:40" x14ac:dyDescent="0.25">
      <c r="A1422" t="str">
        <f>"20190312172918241"</f>
        <v>20190312172918241</v>
      </c>
      <c r="B1422" t="str">
        <f>"1552382958228670"</f>
        <v>1552382958228670</v>
      </c>
      <c r="C1422" t="s">
        <v>40</v>
      </c>
      <c r="D1422">
        <v>3.2839800000000001</v>
      </c>
      <c r="E1422">
        <v>0.6009951</v>
      </c>
      <c r="F1422" t="s">
        <v>41</v>
      </c>
      <c r="G1422">
        <v>-194.6156</v>
      </c>
      <c r="H1422" s="1">
        <v>-4.525917E-6</v>
      </c>
      <c r="I1422">
        <v>327.88049999999998</v>
      </c>
      <c r="J1422">
        <v>-193.8253</v>
      </c>
      <c r="K1422">
        <v>1.0989960000000001</v>
      </c>
      <c r="L1422">
        <v>355.09249999999997</v>
      </c>
      <c r="M1422">
        <v>0.50909669999999996</v>
      </c>
      <c r="N1422">
        <v>0</v>
      </c>
      <c r="O1422">
        <v>-0.86056010000000005</v>
      </c>
      <c r="P1422">
        <v>0.220109</v>
      </c>
      <c r="Q1422">
        <v>0.18074509999999999</v>
      </c>
      <c r="R1422">
        <v>-0.9585842</v>
      </c>
      <c r="S1422">
        <v>-7.7011109999999994E-2</v>
      </c>
      <c r="T1422">
        <v>-0.1273561</v>
      </c>
      <c r="U1422">
        <v>-3.1807249999999998</v>
      </c>
      <c r="V1422">
        <v>0.30386940000000001</v>
      </c>
      <c r="W1422">
        <v>0.187525</v>
      </c>
      <c r="X1422">
        <v>0.93407589999999996</v>
      </c>
      <c r="Y1422">
        <v>0.52980079999999996</v>
      </c>
      <c r="Z1422">
        <v>2.858759E-2</v>
      </c>
      <c r="AA1422">
        <v>0.84764019999999995</v>
      </c>
      <c r="AB1422">
        <v>28</v>
      </c>
      <c r="AC1422">
        <v>-0.790300000000002</v>
      </c>
      <c r="AD1422">
        <v>-1.0990005259169999</v>
      </c>
      <c r="AE1422">
        <v>-27.2119999999999</v>
      </c>
      <c r="AF1422">
        <v>14.511856963212599</v>
      </c>
      <c r="AG1422">
        <v>-1.0990005259169999</v>
      </c>
      <c r="AH1422">
        <v>22.980727001814198</v>
      </c>
      <c r="AI1422">
        <v>92.315515340744597</v>
      </c>
      <c r="AJ1422">
        <v>57.728430873142301</v>
      </c>
      <c r="AK1422">
        <v>27.201389821268702</v>
      </c>
      <c r="AL1422">
        <v>79.191619000204895</v>
      </c>
      <c r="AM1422">
        <v>71.979488296406004</v>
      </c>
      <c r="AN1422">
        <v>1.0000000124210799</v>
      </c>
    </row>
    <row r="1423" spans="1:40" x14ac:dyDescent="0.25">
      <c r="A1423" t="str">
        <f>"20190312172918266"</f>
        <v>20190312172918266</v>
      </c>
      <c r="B1423" t="str">
        <f>"1552382958258442"</f>
        <v>1552382958258442</v>
      </c>
      <c r="C1423" t="s">
        <v>40</v>
      </c>
      <c r="D1423">
        <v>3.2709519999999999</v>
      </c>
      <c r="E1423">
        <v>0.59282100000000004</v>
      </c>
      <c r="F1423" t="s">
        <v>41</v>
      </c>
      <c r="G1423">
        <v>-194.7911</v>
      </c>
      <c r="H1423" s="1">
        <v>-4.358299E-6</v>
      </c>
      <c r="I1423">
        <v>327.29649999999998</v>
      </c>
      <c r="J1423">
        <v>-193.68119999999999</v>
      </c>
      <c r="K1423">
        <v>1.099092</v>
      </c>
      <c r="L1423">
        <v>354.8141</v>
      </c>
      <c r="M1423">
        <v>0.49479099999999998</v>
      </c>
      <c r="N1423">
        <v>0</v>
      </c>
      <c r="O1423">
        <v>-0.86886450000000004</v>
      </c>
      <c r="P1423">
        <v>0.2065709</v>
      </c>
      <c r="Q1423">
        <v>0.18125730000000001</v>
      </c>
      <c r="R1423">
        <v>-0.96149589999999996</v>
      </c>
      <c r="S1423">
        <v>-0.1104431</v>
      </c>
      <c r="T1423">
        <v>-0.1256775</v>
      </c>
      <c r="U1423">
        <v>-3.1786500000000002</v>
      </c>
      <c r="V1423">
        <v>0.30150559999999998</v>
      </c>
      <c r="W1423">
        <v>0.18816150000000001</v>
      </c>
      <c r="X1423">
        <v>0.93471369999999998</v>
      </c>
      <c r="Y1423">
        <v>0.52468369999999998</v>
      </c>
      <c r="Z1423">
        <v>2.8774339999999999E-2</v>
      </c>
      <c r="AA1423">
        <v>0.85081079999999998</v>
      </c>
      <c r="AB1423">
        <v>28</v>
      </c>
      <c r="AC1423">
        <v>-1.1099000000000101</v>
      </c>
      <c r="AD1423">
        <v>-1.0990963582990001</v>
      </c>
      <c r="AE1423">
        <v>-27.517600000000002</v>
      </c>
      <c r="AF1423">
        <v>14.5584947600183</v>
      </c>
      <c r="AG1423">
        <v>-1.0990963582990001</v>
      </c>
      <c r="AH1423">
        <v>23.325740125334999</v>
      </c>
      <c r="AI1423">
        <v>92.289047945785398</v>
      </c>
      <c r="AJ1423">
        <v>58.030121515576901</v>
      </c>
      <c r="AK1423">
        <v>27.518138288717299</v>
      </c>
      <c r="AL1423">
        <v>79.154489582172303</v>
      </c>
      <c r="AM1423">
        <v>72.122133347400606</v>
      </c>
      <c r="AN1423">
        <v>1.00000003894064</v>
      </c>
    </row>
    <row r="1424" spans="1:40" x14ac:dyDescent="0.25">
      <c r="A1424" t="str">
        <f>"20190312172918288"</f>
        <v>20190312172918288</v>
      </c>
      <c r="B1424" t="str">
        <f>"1552382958278937"</f>
        <v>1552382958278937</v>
      </c>
      <c r="C1424" t="s">
        <v>40</v>
      </c>
      <c r="D1424">
        <v>3.312964</v>
      </c>
      <c r="E1424">
        <v>0.59209919999999905</v>
      </c>
      <c r="F1424" t="s">
        <v>41</v>
      </c>
      <c r="G1424">
        <v>-194.41</v>
      </c>
      <c r="H1424" s="1">
        <v>-1.189087E-6</v>
      </c>
      <c r="I1424">
        <v>329.62569999999999</v>
      </c>
      <c r="J1424">
        <v>-193.55279999999999</v>
      </c>
      <c r="K1424">
        <v>1.0992</v>
      </c>
      <c r="L1424">
        <v>354.55619999999999</v>
      </c>
      <c r="M1424">
        <v>0.48162509999999997</v>
      </c>
      <c r="N1424">
        <v>0</v>
      </c>
      <c r="O1424">
        <v>-0.87623109999999904</v>
      </c>
      <c r="P1424">
        <v>0.19440830000000001</v>
      </c>
      <c r="Q1424">
        <v>0.18150359999999999</v>
      </c>
      <c r="R1424">
        <v>-0.96398249999999996</v>
      </c>
      <c r="S1424">
        <v>-9.1598509999999994E-2</v>
      </c>
      <c r="T1424">
        <v>-0.13814070000000001</v>
      </c>
      <c r="U1424">
        <v>-3.1658330000000001</v>
      </c>
      <c r="V1424">
        <v>0.2991394</v>
      </c>
      <c r="W1424">
        <v>0.18853710000000001</v>
      </c>
      <c r="X1424">
        <v>0.93539799999999995</v>
      </c>
      <c r="Y1424">
        <v>0.50677970000000006</v>
      </c>
      <c r="Z1424">
        <v>3.247659E-2</v>
      </c>
      <c r="AA1424">
        <v>0.86146369999999906</v>
      </c>
      <c r="AB1424">
        <v>27</v>
      </c>
      <c r="AC1424">
        <v>-0.85720000000000596</v>
      </c>
      <c r="AD1424">
        <v>-1.0992011890869999</v>
      </c>
      <c r="AE1424">
        <v>-24.930499999999899</v>
      </c>
      <c r="AF1424">
        <v>12.7351675711291</v>
      </c>
      <c r="AG1424">
        <v>-1.0992011890869999</v>
      </c>
      <c r="AH1424">
        <v>21.393238708329498</v>
      </c>
      <c r="AI1424">
        <v>92.527974975326998</v>
      </c>
      <c r="AJ1424">
        <v>59.235111312226302</v>
      </c>
      <c r="AK1424">
        <v>24.921143608398001</v>
      </c>
      <c r="AL1424">
        <v>79.132576876561004</v>
      </c>
      <c r="AM1424">
        <v>72.265772636871205</v>
      </c>
      <c r="AN1424">
        <v>1.00000001855638</v>
      </c>
    </row>
    <row r="1425" spans="1:40" x14ac:dyDescent="0.25">
      <c r="A1425" t="str">
        <f>"20190312172918311"</f>
        <v>20190312172918311</v>
      </c>
      <c r="B1425" t="str">
        <f>"1552382958298457"</f>
        <v>1552382958298457</v>
      </c>
      <c r="C1425" t="s">
        <v>40</v>
      </c>
      <c r="D1425">
        <v>3.2918270000000001</v>
      </c>
      <c r="E1425">
        <v>0.58584360000000002</v>
      </c>
      <c r="F1425" t="s">
        <v>41</v>
      </c>
      <c r="G1425">
        <v>-194.53399999999999</v>
      </c>
      <c r="H1425" s="1">
        <v>-1.3171449999999901E-6</v>
      </c>
      <c r="I1425">
        <v>329.84730000000002</v>
      </c>
      <c r="J1425">
        <v>-193.43360000000001</v>
      </c>
      <c r="K1425">
        <v>1.099315</v>
      </c>
      <c r="L1425">
        <v>354.30779999999999</v>
      </c>
      <c r="M1425">
        <v>0.46901680000000001</v>
      </c>
      <c r="N1425">
        <v>0</v>
      </c>
      <c r="O1425">
        <v>-0.88304459999999996</v>
      </c>
      <c r="P1425">
        <v>0.1827918</v>
      </c>
      <c r="Q1425">
        <v>0.18164269999999999</v>
      </c>
      <c r="R1425">
        <v>-0.96622629999999998</v>
      </c>
      <c r="S1425">
        <v>-0.1256409</v>
      </c>
      <c r="T1425">
        <v>-0.1407496</v>
      </c>
      <c r="U1425">
        <v>-3.16391</v>
      </c>
      <c r="V1425">
        <v>0.29692459999999998</v>
      </c>
      <c r="W1425">
        <v>0.18880160000000001</v>
      </c>
      <c r="X1425">
        <v>0.9360501</v>
      </c>
      <c r="Y1425">
        <v>0.50369200000000003</v>
      </c>
      <c r="Z1425">
        <v>3.359152E-2</v>
      </c>
      <c r="AA1425">
        <v>0.86322999999999905</v>
      </c>
      <c r="AB1425">
        <v>27</v>
      </c>
      <c r="AC1425">
        <v>-1.1004</v>
      </c>
      <c r="AD1425">
        <v>-1.099316317145</v>
      </c>
      <c r="AE1425">
        <v>-24.4604999999999</v>
      </c>
      <c r="AF1425">
        <v>12.4206406949328</v>
      </c>
      <c r="AG1425">
        <v>-1.099316317145</v>
      </c>
      <c r="AH1425">
        <v>21.0438808420414</v>
      </c>
      <c r="AI1425">
        <v>92.575863067186106</v>
      </c>
      <c r="AJ1425">
        <v>59.449800776497902</v>
      </c>
      <c r="AK1425">
        <v>24.460697711467599</v>
      </c>
      <c r="AL1425">
        <v>79.117145078655298</v>
      </c>
      <c r="AM1425">
        <v>72.400443931282496</v>
      </c>
      <c r="AN1425">
        <v>1.00000002597886</v>
      </c>
    </row>
    <row r="1426" spans="1:40" x14ac:dyDescent="0.25">
      <c r="A1426" t="str">
        <f>"20190312172918330"</f>
        <v>20190312172918330</v>
      </c>
      <c r="B1426" t="str">
        <f>"1552382958318957"</f>
        <v>1552382958318957</v>
      </c>
      <c r="C1426" t="s">
        <v>40</v>
      </c>
      <c r="D1426">
        <v>3.3090329999999999</v>
      </c>
      <c r="E1426">
        <v>0.58484049999999999</v>
      </c>
      <c r="F1426" t="s">
        <v>41</v>
      </c>
      <c r="G1426">
        <v>-194.2784</v>
      </c>
      <c r="H1426" s="1">
        <v>-1.7688929999999999E-6</v>
      </c>
      <c r="I1426">
        <v>331.05889999999999</v>
      </c>
      <c r="J1426">
        <v>-193.32859999999999</v>
      </c>
      <c r="K1426">
        <v>1.0994250000000001</v>
      </c>
      <c r="L1426">
        <v>354.08159999999998</v>
      </c>
      <c r="M1426">
        <v>0.45761570000000001</v>
      </c>
      <c r="N1426">
        <v>0</v>
      </c>
      <c r="O1426">
        <v>-0.88900679999999999</v>
      </c>
      <c r="P1426">
        <v>0.17264289999999999</v>
      </c>
      <c r="Q1426">
        <v>0.18145559999999999</v>
      </c>
      <c r="R1426">
        <v>-0.96812619999999905</v>
      </c>
      <c r="S1426">
        <v>-0.1146393</v>
      </c>
      <c r="T1426">
        <v>-0.149165299999999</v>
      </c>
      <c r="U1426">
        <v>-3.154633</v>
      </c>
      <c r="V1426">
        <v>0.2946551</v>
      </c>
      <c r="W1426">
        <v>0.18874170000000001</v>
      </c>
      <c r="X1426">
        <v>0.93677900000000003</v>
      </c>
      <c r="Y1426">
        <v>0.48960019999999999</v>
      </c>
      <c r="Z1426">
        <v>3.6319549999999999E-2</v>
      </c>
      <c r="AA1426">
        <v>0.87119029999999997</v>
      </c>
      <c r="AB1426">
        <v>27</v>
      </c>
      <c r="AC1426">
        <v>-0.94980000000000997</v>
      </c>
      <c r="AD1426">
        <v>-1.099426768893</v>
      </c>
      <c r="AE1426">
        <v>-23.022699999999901</v>
      </c>
      <c r="AF1426">
        <v>11.3555259213739</v>
      </c>
      <c r="AG1426">
        <v>-1.099426768893</v>
      </c>
      <c r="AH1426">
        <v>19.989737824704299</v>
      </c>
      <c r="AI1426">
        <v>92.737916872518099</v>
      </c>
      <c r="AJ1426">
        <v>60.400488979554297</v>
      </c>
      <c r="AK1426">
        <v>23.016218770066601</v>
      </c>
      <c r="AL1426">
        <v>79.120639379916796</v>
      </c>
      <c r="AM1426">
        <v>72.539517533267698</v>
      </c>
      <c r="AN1426">
        <v>0.99999997605794899</v>
      </c>
    </row>
    <row r="1427" spans="1:40" x14ac:dyDescent="0.25">
      <c r="A1427" t="str">
        <f>"20190312172918355"</f>
        <v>20190312172918355</v>
      </c>
      <c r="B1427" t="str">
        <f>"1552382958349209"</f>
        <v>1552382958349209</v>
      </c>
      <c r="C1427" t="s">
        <v>40</v>
      </c>
      <c r="D1427">
        <v>3.3145669999999998</v>
      </c>
      <c r="E1427">
        <v>0.57763069999999905</v>
      </c>
      <c r="F1427" t="s">
        <v>41</v>
      </c>
      <c r="G1427">
        <v>-194.3288</v>
      </c>
      <c r="H1427" s="1">
        <v>-2.0137700000000001E-6</v>
      </c>
      <c r="I1427">
        <v>331.59840000000003</v>
      </c>
      <c r="J1427">
        <v>-193.2037</v>
      </c>
      <c r="K1427">
        <v>1.0995839999999999</v>
      </c>
      <c r="L1427">
        <v>353.80250000000001</v>
      </c>
      <c r="M1427">
        <v>0.44369520000000001</v>
      </c>
      <c r="N1427">
        <v>0</v>
      </c>
      <c r="O1427">
        <v>-0.89603659999999996</v>
      </c>
      <c r="P1427">
        <v>0.160169799999999</v>
      </c>
      <c r="Q1427">
        <v>0.18094389999999999</v>
      </c>
      <c r="R1427">
        <v>-0.9703638</v>
      </c>
      <c r="S1427">
        <v>-0.14025879999999999</v>
      </c>
      <c r="T1427">
        <v>-0.15416560000000001</v>
      </c>
      <c r="U1427">
        <v>-3.152679</v>
      </c>
      <c r="V1427">
        <v>0.29204930000000001</v>
      </c>
      <c r="W1427">
        <v>0.1883891</v>
      </c>
      <c r="X1427">
        <v>0.93766559999999999</v>
      </c>
      <c r="Y1427">
        <v>0.48307159999999899</v>
      </c>
      <c r="Z1427">
        <v>3.8152110000000003E-2</v>
      </c>
      <c r="AA1427">
        <v>0.8747492</v>
      </c>
      <c r="AB1427">
        <v>27</v>
      </c>
      <c r="AC1427">
        <v>-1.1251</v>
      </c>
      <c r="AD1427">
        <v>-1.09958601377</v>
      </c>
      <c r="AE1427">
        <v>-22.204099999999901</v>
      </c>
      <c r="AF1427">
        <v>10.8348539203693</v>
      </c>
      <c r="AG1427">
        <v>-1.09958601377</v>
      </c>
      <c r="AH1427">
        <v>19.351602322228398</v>
      </c>
      <c r="AI1427">
        <v>92.838359616222803</v>
      </c>
      <c r="AJ1427">
        <v>60.7557795291087</v>
      </c>
      <c r="AK1427">
        <v>22.205577256966201</v>
      </c>
      <c r="AL1427">
        <v>79.141211307956098</v>
      </c>
      <c r="AM1427">
        <v>72.700056389774005</v>
      </c>
      <c r="AN1427">
        <v>1.0000000120263299</v>
      </c>
    </row>
    <row r="1428" spans="1:40" x14ac:dyDescent="0.25">
      <c r="A1428" t="str">
        <f>"20190312172918375"</f>
        <v>20190312172918375</v>
      </c>
      <c r="B1428" t="str">
        <f>"1552382958368729"</f>
        <v>1552382958368729</v>
      </c>
      <c r="C1428" t="s">
        <v>40</v>
      </c>
      <c r="D1428">
        <v>3.351378</v>
      </c>
      <c r="E1428">
        <v>0.57539390000000001</v>
      </c>
      <c r="F1428" t="s">
        <v>41</v>
      </c>
      <c r="G1428">
        <v>-194.0153</v>
      </c>
      <c r="H1428" s="1">
        <v>-2.6184830000000002E-6</v>
      </c>
      <c r="I1428">
        <v>333.20249999999999</v>
      </c>
      <c r="J1428">
        <v>-193.10300000000001</v>
      </c>
      <c r="K1428">
        <v>1.0997239999999999</v>
      </c>
      <c r="L1428">
        <v>353.5686</v>
      </c>
      <c r="M1428">
        <v>0.43217129999999998</v>
      </c>
      <c r="N1428">
        <v>0</v>
      </c>
      <c r="O1428">
        <v>-0.9016516</v>
      </c>
      <c r="P1428">
        <v>0.15045500000000001</v>
      </c>
      <c r="Q1428">
        <v>0.18059810000000001</v>
      </c>
      <c r="R1428">
        <v>-0.9719816</v>
      </c>
      <c r="S1428">
        <v>-0.1238403</v>
      </c>
      <c r="T1428">
        <v>-0.16778660000000001</v>
      </c>
      <c r="U1428">
        <v>-3.1433719999999998</v>
      </c>
      <c r="V1428">
        <v>0.28935080000000002</v>
      </c>
      <c r="W1428">
        <v>0.18819659999999999</v>
      </c>
      <c r="X1428">
        <v>0.9385405</v>
      </c>
      <c r="Y1428">
        <v>0.46731420000000001</v>
      </c>
      <c r="Z1428">
        <v>4.2322169999999999E-2</v>
      </c>
      <c r="AA1428">
        <v>0.88307769999999997</v>
      </c>
      <c r="AB1428">
        <v>27</v>
      </c>
      <c r="AC1428">
        <v>-0.91230000000001599</v>
      </c>
      <c r="AD1428">
        <v>-1.0997266184829999</v>
      </c>
      <c r="AE1428">
        <v>-20.366099999999999</v>
      </c>
      <c r="AF1428">
        <v>9.5975071669152392</v>
      </c>
      <c r="AG1428">
        <v>-1.0997266184829999</v>
      </c>
      <c r="AH1428">
        <v>17.918981455602498</v>
      </c>
      <c r="AI1428">
        <v>93.096727323324004</v>
      </c>
      <c r="AJ1428">
        <v>61.826247834874302</v>
      </c>
      <c r="AK1428">
        <v>20.357097997028401</v>
      </c>
      <c r="AL1428">
        <v>79.152442126786895</v>
      </c>
      <c r="AM1428">
        <v>72.865538479942103</v>
      </c>
      <c r="AN1428">
        <v>1.00000005792622</v>
      </c>
    </row>
    <row r="1429" spans="1:40" x14ac:dyDescent="0.25">
      <c r="A1429" t="str">
        <f>"20190312172918400"</f>
        <v>20190312172918400</v>
      </c>
      <c r="B1429" t="str">
        <f>"1552382958388249"</f>
        <v>1552382958388249</v>
      </c>
      <c r="C1429" t="s">
        <v>40</v>
      </c>
      <c r="D1429">
        <v>3.3709690000000001</v>
      </c>
      <c r="E1429">
        <v>0.57387980000000005</v>
      </c>
      <c r="F1429" t="s">
        <v>41</v>
      </c>
      <c r="G1429">
        <v>-193.98859999999999</v>
      </c>
      <c r="H1429" s="1">
        <v>-2.6767280000000001E-6</v>
      </c>
      <c r="I1429">
        <v>333.35480000000001</v>
      </c>
      <c r="J1429">
        <v>-192.9863</v>
      </c>
      <c r="K1429">
        <v>1.09992</v>
      </c>
      <c r="L1429">
        <v>353.28800000000001</v>
      </c>
      <c r="M1429">
        <v>0.4185276</v>
      </c>
      <c r="N1429">
        <v>0</v>
      </c>
      <c r="O1429">
        <v>-0.90806589999999998</v>
      </c>
      <c r="P1429">
        <v>0.1383615</v>
      </c>
      <c r="Q1429">
        <v>0.1803419</v>
      </c>
      <c r="R1429">
        <v>-0.97382400000000002</v>
      </c>
      <c r="S1429">
        <v>-0.13755800000000001</v>
      </c>
      <c r="T1429">
        <v>-0.17080499999999901</v>
      </c>
      <c r="U1429">
        <v>-3.139526</v>
      </c>
      <c r="V1429">
        <v>0.28678199999999998</v>
      </c>
      <c r="W1429">
        <v>0.1881091</v>
      </c>
      <c r="X1429">
        <v>0.93934609999999996</v>
      </c>
      <c r="Y1429">
        <v>0.45785090000000001</v>
      </c>
      <c r="Z1429">
        <v>4.3786239999999997E-2</v>
      </c>
      <c r="AA1429">
        <v>0.88795009999999996</v>
      </c>
      <c r="AB1429">
        <v>27</v>
      </c>
      <c r="AC1429">
        <v>-1.00229999999999</v>
      </c>
      <c r="AD1429">
        <v>-1.0999226767279999</v>
      </c>
      <c r="AE1429">
        <v>-19.933199999999999</v>
      </c>
      <c r="AF1429">
        <v>9.2258892208503909</v>
      </c>
      <c r="AG1429">
        <v>-1.0999226767279999</v>
      </c>
      <c r="AH1429">
        <v>17.629842734529898</v>
      </c>
      <c r="AI1429">
        <v>93.1639870546623</v>
      </c>
      <c r="AJ1429">
        <v>62.376446385513297</v>
      </c>
      <c r="AK1429">
        <v>19.928326990854998</v>
      </c>
      <c r="AL1429">
        <v>79.157546284783706</v>
      </c>
      <c r="AM1429">
        <v>73.022589920151702</v>
      </c>
      <c r="AN1429">
        <v>1.0000000223059999</v>
      </c>
    </row>
    <row r="1430" spans="1:40" x14ac:dyDescent="0.25">
      <c r="A1430" t="str">
        <f>"20190312172918421"</f>
        <v>20190312172918421</v>
      </c>
      <c r="B1430" t="str">
        <f>"1552382958419057"</f>
        <v>1552382958419057</v>
      </c>
      <c r="C1430" t="s">
        <v>40</v>
      </c>
      <c r="D1430">
        <v>3.3857940000000002</v>
      </c>
      <c r="E1430">
        <v>0.57012069999999904</v>
      </c>
      <c r="F1430" t="s">
        <v>41</v>
      </c>
      <c r="G1430">
        <v>-194.01509999999999</v>
      </c>
      <c r="H1430" s="1">
        <v>-2.803495E-6</v>
      </c>
      <c r="I1430">
        <v>333.63389999999998</v>
      </c>
      <c r="J1430">
        <v>-192.887</v>
      </c>
      <c r="K1430">
        <v>1.1001099999999999</v>
      </c>
      <c r="L1430">
        <v>353.03960000000001</v>
      </c>
      <c r="M1430">
        <v>0.40664430000000001</v>
      </c>
      <c r="N1430">
        <v>0</v>
      </c>
      <c r="O1430">
        <v>-0.91344990000000004</v>
      </c>
      <c r="P1430">
        <v>0.1301166</v>
      </c>
      <c r="Q1430">
        <v>0.1803139</v>
      </c>
      <c r="R1430">
        <v>-0.97496499999999997</v>
      </c>
      <c r="S1430">
        <v>-0.16416929999999999</v>
      </c>
      <c r="T1430">
        <v>-0.17552970000000001</v>
      </c>
      <c r="U1430">
        <v>-3.1364749999999999</v>
      </c>
      <c r="V1430">
        <v>0.28237469999999998</v>
      </c>
      <c r="W1430">
        <v>0.18829689999999999</v>
      </c>
      <c r="X1430">
        <v>0.9406428</v>
      </c>
      <c r="Y1430">
        <v>0.45379659999999999</v>
      </c>
      <c r="Z1430">
        <v>4.55348E-2</v>
      </c>
      <c r="AA1430">
        <v>0.88994119999999999</v>
      </c>
      <c r="AB1430">
        <v>27</v>
      </c>
      <c r="AC1430">
        <v>-1.1280999999999799</v>
      </c>
      <c r="AD1430">
        <v>-1.1001128034950001</v>
      </c>
      <c r="AE1430">
        <v>-19.4057</v>
      </c>
      <c r="AF1430">
        <v>8.8943061264886794</v>
      </c>
      <c r="AG1430">
        <v>-1.1001128034950001</v>
      </c>
      <c r="AH1430">
        <v>17.214418488824698</v>
      </c>
      <c r="AI1430">
        <v>93.249531534947494</v>
      </c>
      <c r="AJ1430">
        <v>62.675609800008701</v>
      </c>
      <c r="AK1430">
        <v>19.407605044427701</v>
      </c>
      <c r="AL1430">
        <v>79.146590501444905</v>
      </c>
      <c r="AM1430">
        <v>73.290593619024094</v>
      </c>
      <c r="AN1430">
        <v>1.0000000354707601</v>
      </c>
    </row>
    <row r="1431" spans="1:40" x14ac:dyDescent="0.25">
      <c r="A1431" t="str">
        <f>"20190312172918533"</f>
        <v>20190312172918533</v>
      </c>
      <c r="B1431" t="str">
        <f>"1552382958528350"</f>
        <v>1552382958528350</v>
      </c>
      <c r="C1431" t="s">
        <v>40</v>
      </c>
      <c r="D1431">
        <v>3.4596659999999999</v>
      </c>
      <c r="E1431">
        <v>0.54178000000000004</v>
      </c>
      <c r="F1431" t="s">
        <v>41</v>
      </c>
      <c r="G1431">
        <v>-193.7054</v>
      </c>
      <c r="H1431" s="1">
        <v>-4.0784429999999999E-6</v>
      </c>
      <c r="I1431">
        <v>337.04</v>
      </c>
      <c r="J1431">
        <v>-192.42529999999999</v>
      </c>
      <c r="K1431">
        <v>1.101073</v>
      </c>
      <c r="L1431">
        <v>351.74700000000001</v>
      </c>
      <c r="M1431">
        <v>0.34784009999999999</v>
      </c>
      <c r="N1431">
        <v>0</v>
      </c>
      <c r="O1431">
        <v>-0.9374247</v>
      </c>
      <c r="P1431">
        <v>8.0964640000000004E-2</v>
      </c>
      <c r="Q1431">
        <v>0.1800379</v>
      </c>
      <c r="R1431">
        <v>-0.98032180000000002</v>
      </c>
      <c r="S1431">
        <v>-0.16053770000000001</v>
      </c>
      <c r="T1431">
        <v>-0.2157916</v>
      </c>
      <c r="U1431">
        <v>-3.1383670000000001</v>
      </c>
      <c r="V1431">
        <v>0.26941779999999999</v>
      </c>
      <c r="W1431">
        <v>0.18877830000000001</v>
      </c>
      <c r="X1431">
        <v>0.94433940000000005</v>
      </c>
      <c r="Y1431">
        <v>0.39519349999999998</v>
      </c>
      <c r="Z1431">
        <v>5.9324120000000001E-2</v>
      </c>
      <c r="AA1431">
        <v>0.9166803</v>
      </c>
      <c r="AB1431">
        <v>27</v>
      </c>
      <c r="AC1431">
        <v>-1.2801</v>
      </c>
      <c r="AD1431">
        <v>-1.101077078443</v>
      </c>
      <c r="AE1431">
        <v>-14.706999999999899</v>
      </c>
      <c r="AF1431">
        <v>6.2815026363071498</v>
      </c>
      <c r="AG1431">
        <v>-1.101077078443</v>
      </c>
      <c r="AH1431">
        <v>13.2692340550438</v>
      </c>
      <c r="AI1431">
        <v>94.289180361019802</v>
      </c>
      <c r="AJ1431">
        <v>64.667664270383696</v>
      </c>
      <c r="AK1431">
        <v>14.722167588712599</v>
      </c>
      <c r="AL1431">
        <v>79.118504780405999</v>
      </c>
      <c r="AM1431">
        <v>74.076677027026605</v>
      </c>
      <c r="AN1431">
        <v>1.0000000499500401</v>
      </c>
    </row>
    <row r="1432" spans="1:40" x14ac:dyDescent="0.25">
      <c r="A1432" t="str">
        <f>"20190312172918555"</f>
        <v>20190312172918555</v>
      </c>
      <c r="B1432" t="str">
        <f>"1552382958548846"</f>
        <v>1552382958548846</v>
      </c>
      <c r="C1432" t="s">
        <v>40</v>
      </c>
      <c r="D1432">
        <v>3.4242859999999999</v>
      </c>
      <c r="E1432">
        <v>0.53582019999999997</v>
      </c>
      <c r="F1432" t="s">
        <v>41</v>
      </c>
      <c r="G1432">
        <v>-192.62049999999999</v>
      </c>
      <c r="H1432" s="1">
        <v>-3.0436119999999999E-6</v>
      </c>
      <c r="I1432">
        <v>345.05860000000001</v>
      </c>
      <c r="J1432">
        <v>-192.34129999999999</v>
      </c>
      <c r="K1432">
        <v>1.1012580000000001</v>
      </c>
      <c r="L1432">
        <v>351.48259999999999</v>
      </c>
      <c r="M1432">
        <v>0.33638509999999999</v>
      </c>
      <c r="N1432">
        <v>0</v>
      </c>
      <c r="O1432">
        <v>-0.94159689999999996</v>
      </c>
      <c r="P1432">
        <v>7.2287249999999997E-2</v>
      </c>
      <c r="Q1432">
        <v>0.18001979999999901</v>
      </c>
      <c r="R1432">
        <v>-0.98100350000000003</v>
      </c>
      <c r="S1432">
        <v>-9.2300419999999994E-2</v>
      </c>
      <c r="T1432">
        <v>-0.52078690000000005</v>
      </c>
      <c r="U1432">
        <v>-3.163513</v>
      </c>
      <c r="V1432">
        <v>0.26616810000000002</v>
      </c>
      <c r="W1432">
        <v>0.1889122</v>
      </c>
      <c r="X1432">
        <v>0.94523369999999995</v>
      </c>
      <c r="Y1432">
        <v>0.36327189999999998</v>
      </c>
      <c r="Z1432">
        <v>0.1426887</v>
      </c>
      <c r="AA1432">
        <v>0.92069179999999995</v>
      </c>
      <c r="AB1432">
        <v>27</v>
      </c>
      <c r="AC1432">
        <v>-0.279200000000003</v>
      </c>
      <c r="AD1432">
        <v>-1.1012610436120001</v>
      </c>
      <c r="AE1432">
        <v>-6.4239999999999702</v>
      </c>
      <c r="AF1432">
        <v>2.3550436162442598</v>
      </c>
      <c r="AG1432">
        <v>-1.1012610436120001</v>
      </c>
      <c r="AH1432">
        <v>5.7859002607957901</v>
      </c>
      <c r="AI1432">
        <v>99.998012319088602</v>
      </c>
      <c r="AJ1432">
        <v>67.8521289159318</v>
      </c>
      <c r="AK1432">
        <v>6.3431575850255397</v>
      </c>
      <c r="AL1432">
        <v>79.110691888757003</v>
      </c>
      <c r="AM1432">
        <v>74.2733256596903</v>
      </c>
      <c r="AN1432">
        <v>1.0000000121910699</v>
      </c>
    </row>
    <row r="1433" spans="1:40" x14ac:dyDescent="0.25">
      <c r="A1433" t="str">
        <f>"20190312172918578"</f>
        <v>20190312172918578</v>
      </c>
      <c r="B1433" t="str">
        <f>"1552382958568366"</f>
        <v>1552382958568366</v>
      </c>
      <c r="C1433" t="s">
        <v>40</v>
      </c>
      <c r="D1433">
        <v>3.595542</v>
      </c>
      <c r="E1433">
        <v>0.53244389999999997</v>
      </c>
      <c r="F1433" t="s">
        <v>41</v>
      </c>
      <c r="G1433">
        <v>-192.53210000000001</v>
      </c>
      <c r="H1433" s="1">
        <v>-2.236429E-6</v>
      </c>
      <c r="I1433">
        <v>343.23180000000002</v>
      </c>
      <c r="J1433">
        <v>-192.2603</v>
      </c>
      <c r="K1433">
        <v>1.101445</v>
      </c>
      <c r="L1433">
        <v>351.21719999999999</v>
      </c>
      <c r="M1433">
        <v>0.32506829999999998</v>
      </c>
      <c r="N1433">
        <v>0</v>
      </c>
      <c r="O1433">
        <v>-0.94556419999999997</v>
      </c>
      <c r="P1433">
        <v>6.4398399999999995E-2</v>
      </c>
      <c r="Q1433">
        <v>0.18090100000000001</v>
      </c>
      <c r="R1433">
        <v>-0.98139080000000001</v>
      </c>
      <c r="S1433">
        <v>-7.2601319999999997E-2</v>
      </c>
      <c r="T1433">
        <v>-0.41915439999999998</v>
      </c>
      <c r="U1433">
        <v>-3.1403500000000002</v>
      </c>
      <c r="V1433">
        <v>0.26230110000000001</v>
      </c>
      <c r="W1433">
        <v>0.18995670000000001</v>
      </c>
      <c r="X1433">
        <v>0.94610490000000003</v>
      </c>
      <c r="Y1433">
        <v>0.34661720000000001</v>
      </c>
      <c r="Z1433">
        <v>0.11741889999999899</v>
      </c>
      <c r="AA1433">
        <v>0.93062849999999997</v>
      </c>
      <c r="AB1433">
        <v>27</v>
      </c>
      <c r="AC1433">
        <v>-0.27180000000001298</v>
      </c>
      <c r="AD1433">
        <v>-1.101447236429</v>
      </c>
      <c r="AE1433">
        <v>-7.9853999999999701</v>
      </c>
      <c r="AF1433">
        <v>2.7999373288940901</v>
      </c>
      <c r="AG1433">
        <v>-1.101447236429</v>
      </c>
      <c r="AH1433">
        <v>7.3240644124042298</v>
      </c>
      <c r="AI1433">
        <v>97.996158991010105</v>
      </c>
      <c r="AJ1433">
        <v>69.078503024756003</v>
      </c>
      <c r="AK1433">
        <v>7.9180019308798997</v>
      </c>
      <c r="AL1433">
        <v>79.049742155701296</v>
      </c>
      <c r="AM1433">
        <v>74.504330726345799</v>
      </c>
      <c r="AN1433">
        <v>0.99999994837005302</v>
      </c>
    </row>
    <row r="1434" spans="1:40" x14ac:dyDescent="0.25">
      <c r="A1434" t="str">
        <f>"20190312172918600"</f>
        <v>20190312172918600</v>
      </c>
      <c r="B1434" t="str">
        <f>"1552382958588865"</f>
        <v>1552382958588865</v>
      </c>
      <c r="C1434" t="s">
        <v>40</v>
      </c>
      <c r="D1434">
        <v>3.466202</v>
      </c>
      <c r="E1434">
        <v>0.53124740000000004</v>
      </c>
      <c r="F1434" t="s">
        <v>41</v>
      </c>
      <c r="G1434">
        <v>-192.51</v>
      </c>
      <c r="H1434" s="1">
        <v>-9.0628130000000004E-7</v>
      </c>
      <c r="I1434">
        <v>340.14490000000001</v>
      </c>
      <c r="J1434">
        <v>-192.18360000000001</v>
      </c>
      <c r="K1434">
        <v>1.101631</v>
      </c>
      <c r="L1434">
        <v>350.95530000000002</v>
      </c>
      <c r="M1434">
        <v>0.31407879999999999</v>
      </c>
      <c r="N1434">
        <v>0</v>
      </c>
      <c r="O1434">
        <v>-0.94927209999999995</v>
      </c>
      <c r="P1434">
        <v>5.6782989999999998E-2</v>
      </c>
      <c r="Q1434">
        <v>0.18159600000000001</v>
      </c>
      <c r="R1434">
        <v>-0.98173299999999997</v>
      </c>
      <c r="S1434">
        <v>-7.0327760000000003E-2</v>
      </c>
      <c r="T1434">
        <v>-0.31024049999999997</v>
      </c>
      <c r="U1434">
        <v>-3.1186829999999999</v>
      </c>
      <c r="V1434">
        <v>0.258546</v>
      </c>
      <c r="W1434">
        <v>0.1908096</v>
      </c>
      <c r="X1434">
        <v>0.94696650000000004</v>
      </c>
      <c r="Y1434">
        <v>0.3353006</v>
      </c>
      <c r="Z1434">
        <v>8.859968E-2</v>
      </c>
      <c r="AA1434">
        <v>0.93793579999999999</v>
      </c>
      <c r="AB1434">
        <v>27</v>
      </c>
      <c r="AC1434">
        <v>-0.32639999999997799</v>
      </c>
      <c r="AD1434">
        <v>-1.1016319062813</v>
      </c>
      <c r="AE1434">
        <v>-10.8104</v>
      </c>
      <c r="AF1434">
        <v>3.66754768755994</v>
      </c>
      <c r="AG1434">
        <v>-1.1016319062813</v>
      </c>
      <c r="AH1434">
        <v>10.05636371093</v>
      </c>
      <c r="AI1434">
        <v>95.8759199007511</v>
      </c>
      <c r="AJ1434">
        <v>69.963128321699898</v>
      </c>
      <c r="AK1434">
        <v>10.760806195818899</v>
      </c>
      <c r="AL1434">
        <v>78.999964094964497</v>
      </c>
      <c r="AM1434">
        <v>74.728978415539402</v>
      </c>
      <c r="AN1434">
        <v>0.99999994484520305</v>
      </c>
    </row>
    <row r="1435" spans="1:40" x14ac:dyDescent="0.25">
      <c r="A1435" t="str">
        <f>"20190312172918622"</f>
        <v>20190312172918622</v>
      </c>
      <c r="B1435" t="str">
        <f>"1552382958619118"</f>
        <v>1552382958619118</v>
      </c>
      <c r="C1435" t="s">
        <v>40</v>
      </c>
      <c r="D1435">
        <v>3.4696340000000001</v>
      </c>
      <c r="E1435">
        <v>0.52964040000000001</v>
      </c>
      <c r="F1435" t="s">
        <v>41</v>
      </c>
      <c r="G1435">
        <v>-192.55240000000001</v>
      </c>
      <c r="H1435" s="1">
        <v>-3.9818090000000002E-6</v>
      </c>
      <c r="I1435">
        <v>337.3571</v>
      </c>
      <c r="J1435">
        <v>-192.1112</v>
      </c>
      <c r="K1435">
        <v>1.1018019999999999</v>
      </c>
      <c r="L1435">
        <v>350.69819999999999</v>
      </c>
      <c r="M1435">
        <v>0.30344500000000002</v>
      </c>
      <c r="N1435">
        <v>0</v>
      </c>
      <c r="O1435">
        <v>-0.9527253</v>
      </c>
      <c r="P1435">
        <v>5.0239600000000002E-2</v>
      </c>
      <c r="Q1435">
        <v>0.1821864</v>
      </c>
      <c r="R1435">
        <v>-0.98197990000000002</v>
      </c>
      <c r="S1435">
        <v>-8.4274290000000002E-2</v>
      </c>
      <c r="T1435">
        <v>-0.2517296</v>
      </c>
      <c r="U1435">
        <v>-3.1072690000000001</v>
      </c>
      <c r="V1435">
        <v>0.25415330000000003</v>
      </c>
      <c r="W1435">
        <v>0.19156690000000001</v>
      </c>
      <c r="X1435">
        <v>0.94800220000000002</v>
      </c>
      <c r="Y1435">
        <v>0.32909860000000002</v>
      </c>
      <c r="Z1435">
        <v>7.2771390000000005E-2</v>
      </c>
      <c r="AA1435">
        <v>0.94148739999999997</v>
      </c>
      <c r="AB1435">
        <v>27</v>
      </c>
      <c r="AC1435">
        <v>-0.44120000000000897</v>
      </c>
      <c r="AD1435">
        <v>-1.101805981809</v>
      </c>
      <c r="AE1435">
        <v>-13.3410999999999</v>
      </c>
      <c r="AF1435">
        <v>4.4389157686134801</v>
      </c>
      <c r="AG1435">
        <v>-1.101805981809</v>
      </c>
      <c r="AH1435">
        <v>12.4928887914577</v>
      </c>
      <c r="AI1435">
        <v>94.750626076553104</v>
      </c>
      <c r="AJ1435">
        <v>70.439090739963206</v>
      </c>
      <c r="AK1435">
        <v>13.3037671348429</v>
      </c>
      <c r="AL1435">
        <v>78.955758882616806</v>
      </c>
      <c r="AM1435">
        <v>74.992281858326294</v>
      </c>
      <c r="AN1435">
        <v>0.99999997414066899</v>
      </c>
    </row>
    <row r="1436" spans="1:40" x14ac:dyDescent="0.25">
      <c r="A1436" t="str">
        <f>"20190312172918645"</f>
        <v>20190312172918645</v>
      </c>
      <c r="B1436" t="str">
        <f>"1552382958638638"</f>
        <v>1552382958638638</v>
      </c>
      <c r="C1436" t="s">
        <v>40</v>
      </c>
      <c r="D1436">
        <v>3.4491079999999998</v>
      </c>
      <c r="E1436">
        <v>0.52883119999999995</v>
      </c>
      <c r="F1436" t="s">
        <v>41</v>
      </c>
      <c r="G1436">
        <v>-192.5522</v>
      </c>
      <c r="H1436" s="1">
        <v>-3.2947610000000002E-6</v>
      </c>
      <c r="I1436">
        <v>335.68639999999999</v>
      </c>
      <c r="J1436">
        <v>-192.03989999999999</v>
      </c>
      <c r="K1436">
        <v>1.101979</v>
      </c>
      <c r="L1436">
        <v>350.43369999999999</v>
      </c>
      <c r="M1436">
        <v>0.29265479999999999</v>
      </c>
      <c r="N1436">
        <v>0</v>
      </c>
      <c r="O1436">
        <v>-0.95609560000000005</v>
      </c>
      <c r="P1436">
        <v>4.3283410000000001E-2</v>
      </c>
      <c r="Q1436">
        <v>0.18312100000000001</v>
      </c>
      <c r="R1436">
        <v>-0.98213760000000006</v>
      </c>
      <c r="S1436">
        <v>-9.111023E-2</v>
      </c>
      <c r="T1436">
        <v>-0.2276706</v>
      </c>
      <c r="U1436">
        <v>-3.1019589999999999</v>
      </c>
      <c r="V1436">
        <v>0.25002929999999901</v>
      </c>
      <c r="W1436">
        <v>0.19265350000000001</v>
      </c>
      <c r="X1436">
        <v>0.94887829999999995</v>
      </c>
      <c r="Y1436">
        <v>0.32054739999999998</v>
      </c>
      <c r="Z1436">
        <v>6.6441790000000001E-2</v>
      </c>
      <c r="AA1436">
        <v>0.94489939999999994</v>
      </c>
      <c r="AB1436">
        <v>27</v>
      </c>
      <c r="AC1436">
        <v>-0.51230000000000997</v>
      </c>
      <c r="AD1436">
        <v>-1.1019822947610001</v>
      </c>
      <c r="AE1436">
        <v>-14.7472999999999</v>
      </c>
      <c r="AF1436">
        <v>4.7795834406377704</v>
      </c>
      <c r="AG1436">
        <v>-1.1019822947610001</v>
      </c>
      <c r="AH1436">
        <v>13.874160452202601</v>
      </c>
      <c r="AI1436">
        <v>94.2946104936306</v>
      </c>
      <c r="AJ1436">
        <v>70.991409693036204</v>
      </c>
      <c r="AK1436">
        <v>14.715675692860501</v>
      </c>
      <c r="AL1436">
        <v>78.892320195965397</v>
      </c>
      <c r="AM1436">
        <v>75.238114482595904</v>
      </c>
      <c r="AN1436">
        <v>1.0000000250658101</v>
      </c>
    </row>
    <row r="1437" spans="1:40" x14ac:dyDescent="0.25">
      <c r="A1437" t="str">
        <f>"20190312172918668"</f>
        <v>20190312172918668</v>
      </c>
      <c r="B1437" t="str">
        <f>"1552382958659136"</f>
        <v>1552382958659136</v>
      </c>
      <c r="C1437" t="s">
        <v>40</v>
      </c>
      <c r="D1437">
        <v>3.4642330000000001</v>
      </c>
      <c r="E1437">
        <v>0.52768289999999995</v>
      </c>
      <c r="F1437" t="s">
        <v>41</v>
      </c>
      <c r="G1437">
        <v>-192.57589999999999</v>
      </c>
      <c r="H1437" s="1">
        <v>-2.9153260000000001E-6</v>
      </c>
      <c r="I1437">
        <v>334.78719999999998</v>
      </c>
      <c r="J1437">
        <v>-191.96709999999999</v>
      </c>
      <c r="K1437">
        <v>1.102133</v>
      </c>
      <c r="L1437">
        <v>350.15</v>
      </c>
      <c r="M1437">
        <v>0.28123160000000003</v>
      </c>
      <c r="N1437">
        <v>0</v>
      </c>
      <c r="O1437">
        <v>-0.9595186</v>
      </c>
      <c r="P1437">
        <v>3.6474510000000002E-2</v>
      </c>
      <c r="Q1437">
        <v>0.18321129999999999</v>
      </c>
      <c r="R1437">
        <v>-0.98239670000000001</v>
      </c>
      <c r="S1437">
        <v>-0.1061859</v>
      </c>
      <c r="T1437">
        <v>-0.21833130000000001</v>
      </c>
      <c r="U1437">
        <v>-3.0999759999999998</v>
      </c>
      <c r="V1437">
        <v>0.245201</v>
      </c>
      <c r="W1437">
        <v>0.19290379999999999</v>
      </c>
      <c r="X1437">
        <v>0.9500866</v>
      </c>
      <c r="Y1437">
        <v>0.31385980000000002</v>
      </c>
      <c r="Z1437">
        <v>6.4203969999999999E-2</v>
      </c>
      <c r="AA1437">
        <v>0.94729609999999997</v>
      </c>
      <c r="AB1437">
        <v>27</v>
      </c>
      <c r="AC1437">
        <v>-0.60880000000000201</v>
      </c>
      <c r="AD1437">
        <v>-1.102135915326</v>
      </c>
      <c r="AE1437">
        <v>-15.362799999999901</v>
      </c>
      <c r="AF1437">
        <v>4.8801535113639796</v>
      </c>
      <c r="AG1437">
        <v>-1.102135915326</v>
      </c>
      <c r="AH1437">
        <v>14.496880841102399</v>
      </c>
      <c r="AI1437">
        <v>94.121191220557805</v>
      </c>
      <c r="AJ1437">
        <v>71.394979833506</v>
      </c>
      <c r="AK1437">
        <v>15.335910667171101</v>
      </c>
      <c r="AL1437">
        <v>78.877704371478302</v>
      </c>
      <c r="AM1437">
        <v>75.528724289782204</v>
      </c>
      <c r="AN1437">
        <v>0.99999997697749898</v>
      </c>
    </row>
    <row r="1438" spans="1:40" x14ac:dyDescent="0.25">
      <c r="A1438" t="str">
        <f>"20190312172918691"</f>
        <v>20190312172918691</v>
      </c>
      <c r="B1438" t="str">
        <f>"1552382958688414"</f>
        <v>1552382958688414</v>
      </c>
      <c r="C1438" t="s">
        <v>40</v>
      </c>
      <c r="D1438">
        <v>3.4986860000000002</v>
      </c>
      <c r="E1438">
        <v>0.52601529999999996</v>
      </c>
      <c r="F1438" t="s">
        <v>41</v>
      </c>
      <c r="G1438">
        <v>-192.57810000000001</v>
      </c>
      <c r="H1438" s="1">
        <v>-2.6626979999999999E-6</v>
      </c>
      <c r="I1438">
        <v>334.19690000000003</v>
      </c>
      <c r="J1438">
        <v>-191.9023</v>
      </c>
      <c r="K1438">
        <v>1.10225</v>
      </c>
      <c r="L1438">
        <v>349.88630000000001</v>
      </c>
      <c r="M1438">
        <v>0.27070139999999998</v>
      </c>
      <c r="N1438">
        <v>0</v>
      </c>
      <c r="O1438">
        <v>-0.96254309999999998</v>
      </c>
      <c r="P1438">
        <v>3.0448200000000002E-2</v>
      </c>
      <c r="Q1438">
        <v>0.18266360000000001</v>
      </c>
      <c r="R1438">
        <v>-0.98270400000000002</v>
      </c>
      <c r="S1438">
        <v>-0.1186676</v>
      </c>
      <c r="T1438">
        <v>-0.21403829999999999</v>
      </c>
      <c r="U1438">
        <v>-3.0981450000000001</v>
      </c>
      <c r="V1438">
        <v>0.2405668</v>
      </c>
      <c r="W1438">
        <v>0.19249530000000001</v>
      </c>
      <c r="X1438">
        <v>0.95135329999999996</v>
      </c>
      <c r="Y1438">
        <v>0.3072841</v>
      </c>
      <c r="Z1438">
        <v>6.3366199999999998E-2</v>
      </c>
      <c r="AA1438">
        <v>0.94950570000000001</v>
      </c>
      <c r="AB1438">
        <v>27</v>
      </c>
      <c r="AC1438">
        <v>-0.67580000000000895</v>
      </c>
      <c r="AD1438">
        <v>-1.102252662698</v>
      </c>
      <c r="AE1438">
        <v>-15.6893999999999</v>
      </c>
      <c r="AF1438">
        <v>4.8741832480967799</v>
      </c>
      <c r="AG1438">
        <v>-1.102252662698</v>
      </c>
      <c r="AH1438">
        <v>14.8473645249386</v>
      </c>
      <c r="AI1438">
        <v>94.034693820279202</v>
      </c>
      <c r="AJ1438">
        <v>71.825711228107494</v>
      </c>
      <c r="AK1438">
        <v>15.6657861789588</v>
      </c>
      <c r="AL1438">
        <v>78.901556593604795</v>
      </c>
      <c r="AM1438">
        <v>75.809203397516498</v>
      </c>
      <c r="AN1438">
        <v>0.99999996360260901</v>
      </c>
    </row>
    <row r="1439" spans="1:40" x14ac:dyDescent="0.25">
      <c r="A1439" t="str">
        <f>"20190312172918713"</f>
        <v>20190312172918713</v>
      </c>
      <c r="B1439" t="str">
        <f>"1552382958708909"</f>
        <v>1552382958708909</v>
      </c>
      <c r="C1439" t="s">
        <v>40</v>
      </c>
      <c r="D1439">
        <v>3.4791569999999998</v>
      </c>
      <c r="E1439">
        <v>0.52505990000000002</v>
      </c>
      <c r="F1439" t="s">
        <v>41</v>
      </c>
      <c r="G1439">
        <v>-192.5558</v>
      </c>
      <c r="H1439" s="1">
        <v>-2.4630610000000002E-6</v>
      </c>
      <c r="I1439">
        <v>333.74540000000002</v>
      </c>
      <c r="J1439">
        <v>-191.8398</v>
      </c>
      <c r="K1439">
        <v>1.102349</v>
      </c>
      <c r="L1439">
        <v>349.61950000000002</v>
      </c>
      <c r="M1439">
        <v>0.26012639999999998</v>
      </c>
      <c r="N1439">
        <v>0</v>
      </c>
      <c r="O1439">
        <v>-0.9654549</v>
      </c>
      <c r="P1439">
        <v>2.4773460000000001E-2</v>
      </c>
      <c r="Q1439">
        <v>0.18201310000000001</v>
      </c>
      <c r="R1439">
        <v>-0.98298419999999997</v>
      </c>
      <c r="S1439">
        <v>-0.12535099999999999</v>
      </c>
      <c r="T1439">
        <v>-0.2114251</v>
      </c>
      <c r="U1439">
        <v>-3.0960079999999999</v>
      </c>
      <c r="V1439">
        <v>0.2355825</v>
      </c>
      <c r="W1439">
        <v>0.1919816</v>
      </c>
      <c r="X1439">
        <v>0.95270350000000004</v>
      </c>
      <c r="Y1439">
        <v>0.29890800000000001</v>
      </c>
      <c r="Z1439">
        <v>6.3024819999999995E-2</v>
      </c>
      <c r="AA1439">
        <v>0.9521984</v>
      </c>
      <c r="AB1439">
        <v>27</v>
      </c>
      <c r="AC1439">
        <v>-0.71600000000000796</v>
      </c>
      <c r="AD1439">
        <v>-1.1023514630610001</v>
      </c>
      <c r="AE1439">
        <v>-15.8741</v>
      </c>
      <c r="AF1439">
        <v>4.7980044346543602</v>
      </c>
      <c r="AG1439">
        <v>-1.1023514630610001</v>
      </c>
      <c r="AH1439">
        <v>15.0687071555987</v>
      </c>
      <c r="AI1439">
        <v>93.987451433904795</v>
      </c>
      <c r="AJ1439">
        <v>72.338082678359697</v>
      </c>
      <c r="AK1439">
        <v>15.8525064467505</v>
      </c>
      <c r="AL1439">
        <v>78.931549297692101</v>
      </c>
      <c r="AM1439">
        <v>76.110641906923902</v>
      </c>
      <c r="AN1439">
        <v>1.0000000039785299</v>
      </c>
    </row>
    <row r="1440" spans="1:40" x14ac:dyDescent="0.25">
      <c r="A1440" t="str">
        <f>"20190312172918734"</f>
        <v>20190312172918734</v>
      </c>
      <c r="B1440" t="str">
        <f>"1552382958728430"</f>
        <v>1552382958728430</v>
      </c>
      <c r="C1440" t="s">
        <v>40</v>
      </c>
      <c r="D1440">
        <v>3.4449420000000002</v>
      </c>
      <c r="E1440">
        <v>0.52429680000000001</v>
      </c>
      <c r="F1440" t="s">
        <v>41</v>
      </c>
      <c r="G1440">
        <v>-192.53700000000001</v>
      </c>
      <c r="H1440" s="1">
        <v>-2.4248550000000001E-6</v>
      </c>
      <c r="I1440">
        <v>333.66800000000001</v>
      </c>
      <c r="J1440">
        <v>-191.7842</v>
      </c>
      <c r="K1440">
        <v>1.1024240000000001</v>
      </c>
      <c r="L1440">
        <v>349.3707</v>
      </c>
      <c r="M1440">
        <v>0.25031819999999999</v>
      </c>
      <c r="N1440">
        <v>0</v>
      </c>
      <c r="O1440">
        <v>-0.96804469999999998</v>
      </c>
      <c r="P1440">
        <v>1.9499869999999999E-2</v>
      </c>
      <c r="Q1440">
        <v>0.18110509999999999</v>
      </c>
      <c r="R1440">
        <v>-0.98327039999999999</v>
      </c>
      <c r="S1440">
        <v>-0.13526920000000001</v>
      </c>
      <c r="T1440">
        <v>-0.21388219999999999</v>
      </c>
      <c r="U1440">
        <v>-3.0949710000000001</v>
      </c>
      <c r="V1440">
        <v>0.23100290000000001</v>
      </c>
      <c r="W1440">
        <v>0.1911939</v>
      </c>
      <c r="X1440">
        <v>0.95398249999999996</v>
      </c>
      <c r="Y1440">
        <v>0.29227629999999999</v>
      </c>
      <c r="Z1440">
        <v>6.4109260000000001E-2</v>
      </c>
      <c r="AA1440">
        <v>0.95418270000000005</v>
      </c>
      <c r="AB1440">
        <v>27</v>
      </c>
      <c r="AC1440">
        <v>-0.75280000000000702</v>
      </c>
      <c r="AD1440">
        <v>-1.102426424855</v>
      </c>
      <c r="AE1440">
        <v>-15.702699999999901</v>
      </c>
      <c r="AF1440">
        <v>4.6371485143679401</v>
      </c>
      <c r="AG1440">
        <v>-1.102426424855</v>
      </c>
      <c r="AH1440">
        <v>14.940732031596299</v>
      </c>
      <c r="AI1440">
        <v>94.030997175293095</v>
      </c>
      <c r="AJ1440">
        <v>72.757247733125595</v>
      </c>
      <c r="AK1440">
        <v>15.682600677390599</v>
      </c>
      <c r="AL1440">
        <v>78.977533286728203</v>
      </c>
      <c r="AM1440">
        <v>76.388071618961106</v>
      </c>
      <c r="AN1440">
        <v>1.0000000287559301</v>
      </c>
    </row>
    <row r="1441" spans="1:40" x14ac:dyDescent="0.25">
      <c r="A1441" t="str">
        <f>"20190312172918756"</f>
        <v>20190312172918756</v>
      </c>
      <c r="B1441" t="str">
        <f>"1552382958748926"</f>
        <v>1552382958748926</v>
      </c>
      <c r="C1441" t="s">
        <v>40</v>
      </c>
      <c r="D1441">
        <v>3.512791</v>
      </c>
      <c r="E1441">
        <v>0.52339329999999995</v>
      </c>
      <c r="F1441" t="s">
        <v>41</v>
      </c>
      <c r="G1441">
        <v>-192.5214</v>
      </c>
      <c r="H1441" s="1">
        <v>-2.460493E-6</v>
      </c>
      <c r="I1441">
        <v>333.76069999999999</v>
      </c>
      <c r="J1441">
        <v>-191.72890000000001</v>
      </c>
      <c r="K1441">
        <v>1.102495</v>
      </c>
      <c r="L1441">
        <v>349.11099999999999</v>
      </c>
      <c r="M1441">
        <v>0.2401257</v>
      </c>
      <c r="N1441">
        <v>0</v>
      </c>
      <c r="O1441">
        <v>-0.97062389999999998</v>
      </c>
      <c r="P1441">
        <v>1.4238310000000001E-2</v>
      </c>
      <c r="Q1441">
        <v>0.18021909999999999</v>
      </c>
      <c r="R1441">
        <v>-0.98352379999999995</v>
      </c>
      <c r="S1441">
        <v>-0.1461334</v>
      </c>
      <c r="T1441">
        <v>-0.2185183</v>
      </c>
      <c r="U1441">
        <v>-3.094147</v>
      </c>
      <c r="V1441">
        <v>0.2260498</v>
      </c>
      <c r="W1441">
        <v>0.1904333</v>
      </c>
      <c r="X1441">
        <v>0.95532019999999995</v>
      </c>
      <c r="Y1441">
        <v>0.28556350000000003</v>
      </c>
      <c r="Z1441">
        <v>6.5848050000000005E-2</v>
      </c>
      <c r="AA1441">
        <v>0.95609489999999997</v>
      </c>
      <c r="AB1441">
        <v>27</v>
      </c>
      <c r="AC1441">
        <v>-0.79249999999998899</v>
      </c>
      <c r="AD1441">
        <v>-1.102497460493</v>
      </c>
      <c r="AE1441">
        <v>-15.350300000000001</v>
      </c>
      <c r="AF1441">
        <v>4.4329245961542796</v>
      </c>
      <c r="AG1441">
        <v>-1.102497460493</v>
      </c>
      <c r="AH1441">
        <v>14.635456162578301</v>
      </c>
      <c r="AI1441">
        <v>94.123663181546206</v>
      </c>
      <c r="AJ1441">
        <v>73.148995467506595</v>
      </c>
      <c r="AK1441">
        <v>15.3317610929839</v>
      </c>
      <c r="AL1441">
        <v>79.021928048598795</v>
      </c>
      <c r="AM1441">
        <v>76.687409252018995</v>
      </c>
      <c r="AN1441">
        <v>1.0000000191784799</v>
      </c>
    </row>
    <row r="1442" spans="1:40" x14ac:dyDescent="0.25">
      <c r="A1442" t="str">
        <f>"20190312172918779"</f>
        <v>20190312172918779</v>
      </c>
      <c r="B1442" t="str">
        <f>"1552382958768446"</f>
        <v>1552382958768446</v>
      </c>
      <c r="C1442" t="s">
        <v>40</v>
      </c>
      <c r="D1442">
        <v>3.5385770000000001</v>
      </c>
      <c r="E1442">
        <v>0.52263470000000001</v>
      </c>
      <c r="F1442" t="s">
        <v>41</v>
      </c>
      <c r="G1442">
        <v>-192.51669999999999</v>
      </c>
      <c r="H1442" s="1">
        <v>-2.3493690000000001E-6</v>
      </c>
      <c r="I1442">
        <v>333.50459999999998</v>
      </c>
      <c r="J1442">
        <v>-191.6738</v>
      </c>
      <c r="K1442">
        <v>1.1025670000000001</v>
      </c>
      <c r="L1442">
        <v>348.83839999999998</v>
      </c>
      <c r="M1442">
        <v>0.2294717</v>
      </c>
      <c r="N1442">
        <v>0</v>
      </c>
      <c r="O1442">
        <v>-0.97319789999999995</v>
      </c>
      <c r="P1442">
        <v>8.2127450000000005E-3</v>
      </c>
      <c r="Q1442">
        <v>0.18003050000000001</v>
      </c>
      <c r="R1442">
        <v>-0.98362689999999997</v>
      </c>
      <c r="S1442">
        <v>-0.15611269999999999</v>
      </c>
      <c r="T1442">
        <v>-0.2184711</v>
      </c>
      <c r="U1442">
        <v>-3.0925600000000002</v>
      </c>
      <c r="V1442">
        <v>0.2213861</v>
      </c>
      <c r="W1442">
        <v>0.19036069999999999</v>
      </c>
      <c r="X1442">
        <v>0.95642609999999995</v>
      </c>
      <c r="Y1442">
        <v>0.27815139999999999</v>
      </c>
      <c r="Z1442">
        <v>6.6211099999999995E-2</v>
      </c>
      <c r="AA1442">
        <v>0.95825249999999995</v>
      </c>
      <c r="AB1442">
        <v>27</v>
      </c>
      <c r="AC1442">
        <v>-0.84289999999998599</v>
      </c>
      <c r="AD1442">
        <v>-1.1025693493690001</v>
      </c>
      <c r="AE1442">
        <v>-15.333799999999901</v>
      </c>
      <c r="AF1442">
        <v>4.3172237472345802</v>
      </c>
      <c r="AG1442">
        <v>-1.1025693493690001</v>
      </c>
      <c r="AH1442">
        <v>14.6555393711773</v>
      </c>
      <c r="AI1442">
        <v>94.127663201236999</v>
      </c>
      <c r="AJ1442">
        <v>73.586099125509406</v>
      </c>
      <c r="AK1442">
        <v>15.317927872724299</v>
      </c>
      <c r="AL1442">
        <v>79.026164386583503</v>
      </c>
      <c r="AM1442">
        <v>76.967145775088198</v>
      </c>
      <c r="AN1442">
        <v>0.99999994306945295</v>
      </c>
    </row>
    <row r="1443" spans="1:40" x14ac:dyDescent="0.25">
      <c r="A1443" t="str">
        <f>"20190312172918802"</f>
        <v>20190312172918802</v>
      </c>
      <c r="B1443" t="str">
        <f>"1552382958798702"</f>
        <v>1552382958798702</v>
      </c>
      <c r="C1443" t="s">
        <v>40</v>
      </c>
      <c r="D1443">
        <v>3.5397370000000001</v>
      </c>
      <c r="E1443">
        <v>0.52165790000000001</v>
      </c>
      <c r="F1443" t="s">
        <v>41</v>
      </c>
      <c r="G1443">
        <v>-192.5266</v>
      </c>
      <c r="H1443" s="1">
        <v>-2.2216169999999999E-6</v>
      </c>
      <c r="I1443">
        <v>333.20069999999998</v>
      </c>
      <c r="J1443">
        <v>-191.62200000000001</v>
      </c>
      <c r="K1443">
        <v>1.1026480000000001</v>
      </c>
      <c r="L1443">
        <v>348.5668</v>
      </c>
      <c r="M1443">
        <v>0.21890950000000001</v>
      </c>
      <c r="N1443">
        <v>0</v>
      </c>
      <c r="O1443">
        <v>-0.97562859999999996</v>
      </c>
      <c r="P1443">
        <v>2.3308790000000001E-3</v>
      </c>
      <c r="Q1443">
        <v>0.178952799999999</v>
      </c>
      <c r="R1443">
        <v>-0.98385509999999998</v>
      </c>
      <c r="S1443">
        <v>-0.16856380000000001</v>
      </c>
      <c r="T1443">
        <v>-0.2179557</v>
      </c>
      <c r="U1443">
        <v>-3.0912480000000002</v>
      </c>
      <c r="V1443">
        <v>0.2167105</v>
      </c>
      <c r="W1443">
        <v>0.18940380000000001</v>
      </c>
      <c r="X1443">
        <v>0.95768620000000004</v>
      </c>
      <c r="Y1443">
        <v>0.27160380000000001</v>
      </c>
      <c r="Z1443">
        <v>6.6398730000000003E-2</v>
      </c>
      <c r="AA1443">
        <v>0.96011590000000002</v>
      </c>
      <c r="AB1443">
        <v>27</v>
      </c>
      <c r="AC1443">
        <v>-0.90459999999998797</v>
      </c>
      <c r="AD1443">
        <v>-1.10265022161699</v>
      </c>
      <c r="AE1443">
        <v>-15.366099999999999</v>
      </c>
      <c r="AF1443">
        <v>4.2251405524419399</v>
      </c>
      <c r="AG1443">
        <v>-1.10265022161699</v>
      </c>
      <c r="AH1443">
        <v>14.719729368508901</v>
      </c>
      <c r="AI1443">
        <v>94.118314924775703</v>
      </c>
      <c r="AJ1443">
        <v>73.984441546066805</v>
      </c>
      <c r="AK1443">
        <v>15.3537644530996</v>
      </c>
      <c r="AL1443">
        <v>79.082007839926703</v>
      </c>
      <c r="AM1443">
        <v>77.249531197019493</v>
      </c>
      <c r="AN1443">
        <v>1.00000004896756</v>
      </c>
    </row>
    <row r="1444" spans="1:40" x14ac:dyDescent="0.25">
      <c r="A1444" t="str">
        <f>"20190312172918825"</f>
        <v>20190312172918825</v>
      </c>
      <c r="B1444" t="str">
        <f>"1552382958819198"</f>
        <v>1552382958819198</v>
      </c>
      <c r="C1444" t="s">
        <v>40</v>
      </c>
      <c r="D1444">
        <v>3.557884</v>
      </c>
      <c r="E1444">
        <v>0.52098270000000002</v>
      </c>
      <c r="F1444" t="s">
        <v>41</v>
      </c>
      <c r="G1444">
        <v>-192.52189999999999</v>
      </c>
      <c r="H1444" s="1">
        <v>-2.156376E-6</v>
      </c>
      <c r="I1444">
        <v>333.05149999999998</v>
      </c>
      <c r="J1444">
        <v>-191.57660000000001</v>
      </c>
      <c r="K1444">
        <v>1.102724</v>
      </c>
      <c r="L1444">
        <v>348.31479999999999</v>
      </c>
      <c r="M1444">
        <v>0.20917179999999999</v>
      </c>
      <c r="N1444">
        <v>0</v>
      </c>
      <c r="O1444">
        <v>-0.97776289999999999</v>
      </c>
      <c r="P1444">
        <v>-2.2399780000000001E-3</v>
      </c>
      <c r="Q1444">
        <v>0.17827370000000001</v>
      </c>
      <c r="R1444">
        <v>-0.98397900000000005</v>
      </c>
      <c r="S1444">
        <v>-0.1792145</v>
      </c>
      <c r="T1444">
        <v>-0.21957119999999999</v>
      </c>
      <c r="U1444">
        <v>-3.089569</v>
      </c>
      <c r="V1444">
        <v>0.2115718</v>
      </c>
      <c r="W1444">
        <v>0.188856</v>
      </c>
      <c r="X1444">
        <v>0.95894250000000003</v>
      </c>
      <c r="Y1444">
        <v>0.26532879999999998</v>
      </c>
      <c r="Z1444">
        <v>6.7207009999999998E-2</v>
      </c>
      <c r="AA1444">
        <v>0.96181280000000002</v>
      </c>
      <c r="AB1444">
        <v>27</v>
      </c>
      <c r="AC1444">
        <v>-0.94529999999997405</v>
      </c>
      <c r="AD1444">
        <v>-1.102726156376</v>
      </c>
      <c r="AE1444">
        <v>-15.263299999999999</v>
      </c>
      <c r="AF1444">
        <v>4.0960999159262697</v>
      </c>
      <c r="AG1444">
        <v>-1.102726156376</v>
      </c>
      <c r="AH1444">
        <v>14.651645379488601</v>
      </c>
      <c r="AI1444">
        <v>94.145758883133198</v>
      </c>
      <c r="AJ1444">
        <v>74.380821884075701</v>
      </c>
      <c r="AK1444">
        <v>15.253352150379801</v>
      </c>
      <c r="AL1444">
        <v>79.113970436216405</v>
      </c>
      <c r="AM1444">
        <v>77.558138078387103</v>
      </c>
      <c r="AN1444">
        <v>0.99999996679874403</v>
      </c>
    </row>
    <row r="1445" spans="1:40" x14ac:dyDescent="0.25">
      <c r="A1445" t="str">
        <f>"20190312172918846"</f>
        <v>20190312172918846</v>
      </c>
      <c r="B1445" t="str">
        <f>"1552382958838718"</f>
        <v>1552382958838718</v>
      </c>
      <c r="C1445" t="s">
        <v>40</v>
      </c>
      <c r="D1445">
        <v>3.561633</v>
      </c>
      <c r="E1445">
        <v>0.5203217</v>
      </c>
      <c r="F1445" t="s">
        <v>41</v>
      </c>
      <c r="G1445">
        <v>-192.5257</v>
      </c>
      <c r="H1445" s="1">
        <v>-2.0570680000000001E-6</v>
      </c>
      <c r="I1445">
        <v>332.8177</v>
      </c>
      <c r="J1445">
        <v>-191.53190000000001</v>
      </c>
      <c r="K1445">
        <v>1.102819</v>
      </c>
      <c r="L1445">
        <v>348.05149999999998</v>
      </c>
      <c r="M1445">
        <v>0.1990778</v>
      </c>
      <c r="N1445">
        <v>0</v>
      </c>
      <c r="O1445">
        <v>-0.97986830000000003</v>
      </c>
      <c r="P1445">
        <v>-7.9089079999999992E-3</v>
      </c>
      <c r="Q1445">
        <v>0.17802079999999901</v>
      </c>
      <c r="R1445">
        <v>-0.98399530000000002</v>
      </c>
      <c r="S1445">
        <v>-0.18914790000000001</v>
      </c>
      <c r="T1445">
        <v>-0.21974750000000001</v>
      </c>
      <c r="U1445">
        <v>-3.0882260000000001</v>
      </c>
      <c r="V1445">
        <v>0.20715500000000001</v>
      </c>
      <c r="W1445">
        <v>0.1887202</v>
      </c>
      <c r="X1445">
        <v>0.95993300000000004</v>
      </c>
      <c r="Y1445">
        <v>0.25848640000000001</v>
      </c>
      <c r="Z1445">
        <v>6.7573350000000004E-2</v>
      </c>
      <c r="AA1445">
        <v>0.96364859999999997</v>
      </c>
      <c r="AB1445">
        <v>26</v>
      </c>
      <c r="AC1445">
        <v>-0.99379999999999302</v>
      </c>
      <c r="AD1445">
        <v>-1.1028210570679999</v>
      </c>
      <c r="AE1445">
        <v>-15.233799999999899</v>
      </c>
      <c r="AF1445">
        <v>3.9861556828248101</v>
      </c>
      <c r="AG1445">
        <v>-1.1028210570679999</v>
      </c>
      <c r="AH1445">
        <v>14.654464990461401</v>
      </c>
      <c r="AI1445">
        <v>94.153326957153794</v>
      </c>
      <c r="AJ1445">
        <v>74.783159238219994</v>
      </c>
      <c r="AK1445">
        <v>15.226916810972901</v>
      </c>
      <c r="AL1445">
        <v>79.1218933434278</v>
      </c>
      <c r="AM1445">
        <v>77.822232413651093</v>
      </c>
      <c r="AN1445">
        <v>0.99999993620101801</v>
      </c>
    </row>
    <row r="1446" spans="1:40" x14ac:dyDescent="0.25">
      <c r="A1446" t="str">
        <f>"20190312172918869"</f>
        <v>20190312172918869</v>
      </c>
      <c r="B1446" t="str">
        <f>"1552382958859214"</f>
        <v>1552382958859214</v>
      </c>
      <c r="C1446" t="s">
        <v>40</v>
      </c>
      <c r="D1446">
        <v>3.5432250000000001</v>
      </c>
      <c r="E1446">
        <v>0.51963420000000005</v>
      </c>
      <c r="F1446" t="s">
        <v>41</v>
      </c>
      <c r="G1446">
        <v>-192.55029999999999</v>
      </c>
      <c r="H1446" s="1">
        <v>-1.9324260000000002E-6</v>
      </c>
      <c r="I1446">
        <v>332.51190000000003</v>
      </c>
      <c r="J1446">
        <v>-191.4862</v>
      </c>
      <c r="K1446">
        <v>1.1029249999999999</v>
      </c>
      <c r="L1446">
        <v>347.76299999999998</v>
      </c>
      <c r="M1446">
        <v>0.18811520000000001</v>
      </c>
      <c r="N1446">
        <v>0</v>
      </c>
      <c r="O1446">
        <v>-0.98203220000000002</v>
      </c>
      <c r="P1446">
        <v>-1.430616E-2</v>
      </c>
      <c r="Q1446">
        <v>0.17759229999999901</v>
      </c>
      <c r="R1446">
        <v>-0.98400019999999999</v>
      </c>
      <c r="S1446">
        <v>-0.20228579999999999</v>
      </c>
      <c r="T1446">
        <v>-0.21906529999999999</v>
      </c>
      <c r="U1446">
        <v>-3.086792</v>
      </c>
      <c r="V1446">
        <v>0.20261309999999999</v>
      </c>
      <c r="W1446">
        <v>0.188413</v>
      </c>
      <c r="X1446">
        <v>0.96096230000000005</v>
      </c>
      <c r="Y1446">
        <v>0.25179820000000003</v>
      </c>
      <c r="Z1446">
        <v>6.7678840000000004E-2</v>
      </c>
      <c r="AA1446">
        <v>0.9654104</v>
      </c>
      <c r="AB1446">
        <v>26</v>
      </c>
      <c r="AC1446">
        <v>-1.0640999999999901</v>
      </c>
      <c r="AD1446">
        <v>-1.102926932426</v>
      </c>
      <c r="AE1446">
        <v>-15.251099999999999</v>
      </c>
      <c r="AF1446">
        <v>3.8941183432817401</v>
      </c>
      <c r="AG1446">
        <v>-1.102926932426</v>
      </c>
      <c r="AH1446">
        <v>14.7020464189591</v>
      </c>
      <c r="AI1446">
        <v>94.147711500798195</v>
      </c>
      <c r="AJ1446">
        <v>75.164779090790304</v>
      </c>
      <c r="AK1446">
        <v>15.248959780751701</v>
      </c>
      <c r="AL1446">
        <v>79.139817215657203</v>
      </c>
      <c r="AM1446">
        <v>78.093915618088303</v>
      </c>
      <c r="AN1446">
        <v>1.0000000344409401</v>
      </c>
    </row>
    <row r="1447" spans="1:40" x14ac:dyDescent="0.25">
      <c r="A1447" t="str">
        <f>"20190312172918893"</f>
        <v>20190312172918893</v>
      </c>
      <c r="B1447" t="str">
        <f>"1552382958888494"</f>
        <v>1552382958888494</v>
      </c>
      <c r="C1447" t="s">
        <v>40</v>
      </c>
      <c r="D1447">
        <v>3.568813</v>
      </c>
      <c r="E1447">
        <v>0.51867969999999997</v>
      </c>
      <c r="F1447" t="s">
        <v>41</v>
      </c>
      <c r="G1447">
        <v>-192.57740000000001</v>
      </c>
      <c r="H1447" s="1">
        <v>-1.8260829999999999E-6</v>
      </c>
      <c r="I1447">
        <v>332.24720000000002</v>
      </c>
      <c r="J1447">
        <v>-191.446</v>
      </c>
      <c r="K1447">
        <v>1.103029</v>
      </c>
      <c r="L1447">
        <v>347.49290000000002</v>
      </c>
      <c r="M1447">
        <v>0.17795079999999999</v>
      </c>
      <c r="N1447">
        <v>0</v>
      </c>
      <c r="O1447">
        <v>-0.9839253</v>
      </c>
      <c r="P1447">
        <v>-1.991735E-2</v>
      </c>
      <c r="Q1447">
        <v>0.17702100000000001</v>
      </c>
      <c r="R1447">
        <v>-0.98400560000000004</v>
      </c>
      <c r="S1447">
        <v>-0.21698000000000001</v>
      </c>
      <c r="T1447">
        <v>-0.21930630000000001</v>
      </c>
      <c r="U1447">
        <v>-3.085175</v>
      </c>
      <c r="V1447">
        <v>0.19810369999999999</v>
      </c>
      <c r="W1447">
        <v>0.18796009999999999</v>
      </c>
      <c r="X1447">
        <v>0.96199060000000003</v>
      </c>
      <c r="Y1447">
        <v>0.2463968</v>
      </c>
      <c r="Z1447">
        <v>6.8027790000000005E-2</v>
      </c>
      <c r="AA1447">
        <v>0.96677860000000004</v>
      </c>
      <c r="AB1447">
        <v>26</v>
      </c>
      <c r="AC1447">
        <v>-1.13140000000001</v>
      </c>
      <c r="AD1447">
        <v>-1.103030826083</v>
      </c>
      <c r="AE1447">
        <v>-15.245699999999999</v>
      </c>
      <c r="AF1447">
        <v>3.8068093444160298</v>
      </c>
      <c r="AG1447">
        <v>-1.103030826083</v>
      </c>
      <c r="AH1447">
        <v>14.7243048627994</v>
      </c>
      <c r="AI1447">
        <v>94.148256103805593</v>
      </c>
      <c r="AJ1447">
        <v>75.504212015900094</v>
      </c>
      <c r="AK1447">
        <v>15.2483975577987</v>
      </c>
      <c r="AL1447">
        <v>79.166238100806197</v>
      </c>
      <c r="AM1447">
        <v>78.363691311205599</v>
      </c>
      <c r="AN1447">
        <v>0.99999999481702995</v>
      </c>
    </row>
    <row r="1448" spans="1:40" x14ac:dyDescent="0.25">
      <c r="A1448" t="str">
        <f>"20190312172918913"</f>
        <v>20190312172918913</v>
      </c>
      <c r="B1448" t="str">
        <f>"1552382958908990"</f>
        <v>1552382958908990</v>
      </c>
      <c r="C1448" t="s">
        <v>40</v>
      </c>
      <c r="D1448">
        <v>3.5337139999999998</v>
      </c>
      <c r="E1448">
        <v>0.51798659999999996</v>
      </c>
      <c r="F1448" t="s">
        <v>41</v>
      </c>
      <c r="G1448">
        <v>-192.58690000000001</v>
      </c>
      <c r="H1448" s="1">
        <v>-1.7151699999999999E-6</v>
      </c>
      <c r="I1448">
        <v>331.98270000000002</v>
      </c>
      <c r="J1448">
        <v>-191.4126</v>
      </c>
      <c r="K1448">
        <v>1.1031219999999999</v>
      </c>
      <c r="L1448">
        <v>347.25209999999998</v>
      </c>
      <c r="M1448">
        <v>0.1690014</v>
      </c>
      <c r="N1448">
        <v>0</v>
      </c>
      <c r="O1448">
        <v>-0.98550249999999995</v>
      </c>
      <c r="P1448">
        <v>-2.4001450000000001E-2</v>
      </c>
      <c r="Q1448">
        <v>0.17608279999999901</v>
      </c>
      <c r="R1448">
        <v>-0.98408309999999999</v>
      </c>
      <c r="S1448">
        <v>-0.22682189999999999</v>
      </c>
      <c r="T1448">
        <v>-0.2192944</v>
      </c>
      <c r="U1448">
        <v>-3.0835880000000002</v>
      </c>
      <c r="V1448">
        <v>0.19330439999999999</v>
      </c>
      <c r="W1448">
        <v>0.1871466</v>
      </c>
      <c r="X1448">
        <v>0.96312489999999995</v>
      </c>
      <c r="Y1448">
        <v>0.24068909999999999</v>
      </c>
      <c r="Z1448">
        <v>6.8269679999999999E-2</v>
      </c>
      <c r="AA1448">
        <v>0.96819840000000001</v>
      </c>
      <c r="AB1448">
        <v>26</v>
      </c>
      <c r="AC1448">
        <v>-1.1743000000000099</v>
      </c>
      <c r="AD1448">
        <v>-1.10312371517</v>
      </c>
      <c r="AE1448">
        <v>-15.2693999999999</v>
      </c>
      <c r="AF1448">
        <v>3.7189472230399598</v>
      </c>
      <c r="AG1448">
        <v>-1.10312371517</v>
      </c>
      <c r="AH1448">
        <v>14.774573963209001</v>
      </c>
      <c r="AI1448">
        <v>94.141280689603207</v>
      </c>
      <c r="AJ1448">
        <v>75.871438197964693</v>
      </c>
      <c r="AK1448">
        <v>15.2753227845784</v>
      </c>
      <c r="AL1448">
        <v>79.213690418543607</v>
      </c>
      <c r="AM1448">
        <v>78.651209026163301</v>
      </c>
      <c r="AN1448">
        <v>1.00000000697546</v>
      </c>
    </row>
    <row r="1449" spans="1:40" x14ac:dyDescent="0.25">
      <c r="A1449" t="str">
        <f>"20190312172918935"</f>
        <v>20190312172918935</v>
      </c>
      <c r="B1449" t="str">
        <f>"1552382958928510"</f>
        <v>1552382958928510</v>
      </c>
      <c r="C1449" t="s">
        <v>40</v>
      </c>
      <c r="D1449">
        <v>3.5671379999999999</v>
      </c>
      <c r="E1449">
        <v>0.51727489999999998</v>
      </c>
      <c r="F1449" t="s">
        <v>41</v>
      </c>
      <c r="G1449">
        <v>-192.58099999999999</v>
      </c>
      <c r="H1449" s="1">
        <v>-1.6671990000000001E-6</v>
      </c>
      <c r="I1449">
        <v>331.87459999999999</v>
      </c>
      <c r="J1449">
        <v>-191.3793</v>
      </c>
      <c r="K1449">
        <v>1.103243</v>
      </c>
      <c r="L1449">
        <v>346.99599999999998</v>
      </c>
      <c r="M1449">
        <v>0.15962460000000001</v>
      </c>
      <c r="N1449">
        <v>0</v>
      </c>
      <c r="O1449">
        <v>-0.98706499999999997</v>
      </c>
      <c r="P1449">
        <v>-3.1181799999999999E-2</v>
      </c>
      <c r="Q1449">
        <v>0.17507300000000001</v>
      </c>
      <c r="R1449">
        <v>-0.98406170000000004</v>
      </c>
      <c r="S1449">
        <v>-0.2342072</v>
      </c>
      <c r="T1449">
        <v>-0.22112010000000001</v>
      </c>
      <c r="U1449">
        <v>-3.0823969999999998</v>
      </c>
      <c r="V1449">
        <v>0.19112460000000001</v>
      </c>
      <c r="W1449">
        <v>0.1862134</v>
      </c>
      <c r="X1449">
        <v>0.96374059999999995</v>
      </c>
      <c r="Y1449">
        <v>0.23378660000000001</v>
      </c>
      <c r="Z1449">
        <v>6.9083370000000005E-2</v>
      </c>
      <c r="AA1449">
        <v>0.96983059999999999</v>
      </c>
      <c r="AB1449">
        <v>26</v>
      </c>
      <c r="AC1449">
        <v>-1.20169999999998</v>
      </c>
      <c r="AD1449">
        <v>-1.1032446671989999</v>
      </c>
      <c r="AE1449">
        <v>-15.1213999999999</v>
      </c>
      <c r="AF1449">
        <v>3.5813602245878702</v>
      </c>
      <c r="AG1449">
        <v>-1.1032446671989999</v>
      </c>
      <c r="AH1449">
        <v>14.658088609391401</v>
      </c>
      <c r="AI1449">
        <v>94.181715673454406</v>
      </c>
      <c r="AJ1449">
        <v>76.270105837623206</v>
      </c>
      <c r="AK1449">
        <v>15.129535734275899</v>
      </c>
      <c r="AL1449">
        <v>79.268115448778303</v>
      </c>
      <c r="AM1449">
        <v>78.782905813016697</v>
      </c>
      <c r="AN1449">
        <v>0.99999999357653901</v>
      </c>
    </row>
    <row r="1450" spans="1:40" x14ac:dyDescent="0.25">
      <c r="A1450" t="str">
        <f>"20190312172918957"</f>
        <v>20190312172918957</v>
      </c>
      <c r="B1450" t="str">
        <f>"1552382958949006"</f>
        <v>1552382958949006</v>
      </c>
      <c r="C1450" t="s">
        <v>40</v>
      </c>
      <c r="D1450">
        <v>3.5681769999999902</v>
      </c>
      <c r="E1450">
        <v>0.51692579999999999</v>
      </c>
      <c r="F1450" t="s">
        <v>41</v>
      </c>
      <c r="G1450">
        <v>-192.6199</v>
      </c>
      <c r="H1450" s="1">
        <v>-1.632144E-6</v>
      </c>
      <c r="I1450">
        <v>331.7688</v>
      </c>
      <c r="J1450">
        <v>-191.34649999999999</v>
      </c>
      <c r="K1450">
        <v>1.1033900000000001</v>
      </c>
      <c r="L1450">
        <v>346.72469999999998</v>
      </c>
      <c r="M1450">
        <v>0.14987039999999999</v>
      </c>
      <c r="N1450">
        <v>0</v>
      </c>
      <c r="O1450">
        <v>-0.98859339999999996</v>
      </c>
      <c r="P1450">
        <v>-3.5748380000000003E-2</v>
      </c>
      <c r="Q1450">
        <v>0.17426340000000001</v>
      </c>
      <c r="R1450">
        <v>-0.98405010000000004</v>
      </c>
      <c r="S1450">
        <v>-0.2509613</v>
      </c>
      <c r="T1450">
        <v>-0.22317799999999999</v>
      </c>
      <c r="U1450">
        <v>-3.0803530000000001</v>
      </c>
      <c r="V1450">
        <v>0.18600420000000001</v>
      </c>
      <c r="W1450">
        <v>0.1855443</v>
      </c>
      <c r="X1450">
        <v>0.96487089999999998</v>
      </c>
      <c r="Y1450">
        <v>0.22947090000000001</v>
      </c>
      <c r="Z1450">
        <v>6.995672E-2</v>
      </c>
      <c r="AA1450">
        <v>0.97079819999999994</v>
      </c>
      <c r="AB1450">
        <v>26</v>
      </c>
      <c r="AC1450">
        <v>-1.2734000000000001</v>
      </c>
      <c r="AD1450">
        <v>-1.1033916321439901</v>
      </c>
      <c r="AE1450">
        <v>-14.9558999999999</v>
      </c>
      <c r="AF1450">
        <v>3.48189469411773</v>
      </c>
      <c r="AG1450">
        <v>-1.1033916321439901</v>
      </c>
      <c r="AH1450">
        <v>14.5176289772747</v>
      </c>
      <c r="AI1450">
        <v>94.226908736889897</v>
      </c>
      <c r="AJ1450">
        <v>76.512985235967605</v>
      </c>
      <c r="AK1450">
        <v>14.970057276998499</v>
      </c>
      <c r="AL1450">
        <v>79.307132638931805</v>
      </c>
      <c r="AM1450">
        <v>79.088585896822593</v>
      </c>
      <c r="AN1450">
        <v>1.00000005167346</v>
      </c>
    </row>
    <row r="1451" spans="1:40" x14ac:dyDescent="0.25">
      <c r="A1451" t="str">
        <f>"20190312172918981"</f>
        <v>20190312172918981</v>
      </c>
      <c r="B1451" t="str">
        <f>"1552382958968538"</f>
        <v>1552382958968538</v>
      </c>
      <c r="C1451" t="s">
        <v>40</v>
      </c>
      <c r="D1451">
        <v>3.585588</v>
      </c>
      <c r="E1451">
        <v>0.50145600000000001</v>
      </c>
      <c r="F1451" t="s">
        <v>41</v>
      </c>
      <c r="G1451">
        <v>-192.637</v>
      </c>
      <c r="H1451" s="1">
        <v>-1.5761470000000001E-6</v>
      </c>
      <c r="I1451">
        <v>331.62759999999997</v>
      </c>
      <c r="J1451">
        <v>-191.3158</v>
      </c>
      <c r="K1451">
        <v>1.103567</v>
      </c>
      <c r="L1451">
        <v>346.44959999999998</v>
      </c>
      <c r="M1451">
        <v>0.14017769999999999</v>
      </c>
      <c r="N1451">
        <v>0</v>
      </c>
      <c r="O1451">
        <v>-0.99001499999999998</v>
      </c>
      <c r="P1451">
        <v>-4.0499420000000001E-2</v>
      </c>
      <c r="Q1451">
        <v>0.1741096</v>
      </c>
      <c r="R1451">
        <v>-0.98389329999999997</v>
      </c>
      <c r="S1451">
        <v>-0.26318360000000002</v>
      </c>
      <c r="T1451">
        <v>-0.2250289</v>
      </c>
      <c r="U1451">
        <v>-3.0789490000000002</v>
      </c>
      <c r="V1451">
        <v>0.1811181</v>
      </c>
      <c r="W1451">
        <v>0.18552750000000001</v>
      </c>
      <c r="X1451">
        <v>0.96580310000000003</v>
      </c>
      <c r="Y1451">
        <v>0.22379019999999999</v>
      </c>
      <c r="Z1451">
        <v>7.0757559999999997E-2</v>
      </c>
      <c r="AA1451">
        <v>0.97206550000000003</v>
      </c>
      <c r="AB1451">
        <v>26</v>
      </c>
      <c r="AC1451">
        <v>-1.3211999999999999</v>
      </c>
      <c r="AD1451">
        <v>-1.103568576147</v>
      </c>
      <c r="AE1451">
        <v>-14.821999999999999</v>
      </c>
      <c r="AF1451">
        <v>3.3675740164785202</v>
      </c>
      <c r="AG1451">
        <v>-1.103568576147</v>
      </c>
      <c r="AH1451">
        <v>14.411138719824599</v>
      </c>
      <c r="AI1451">
        <v>94.264573275112994</v>
      </c>
      <c r="AJ1451">
        <v>76.847220885256206</v>
      </c>
      <c r="AK1451">
        <v>14.8404628486024</v>
      </c>
      <c r="AL1451">
        <v>79.308110831365994</v>
      </c>
      <c r="AM1451">
        <v>79.378624367998896</v>
      </c>
      <c r="AN1451">
        <v>0.99999992368673196</v>
      </c>
    </row>
    <row r="1452" spans="1:40" x14ac:dyDescent="0.25">
      <c r="A1452" t="str">
        <f>"20190312172919001"</f>
        <v>20190312172919001</v>
      </c>
      <c r="B1452" t="str">
        <f>"1552382958998782"</f>
        <v>1552382958998782</v>
      </c>
      <c r="C1452" t="s">
        <v>40</v>
      </c>
      <c r="D1452">
        <v>3.5687190000000002</v>
      </c>
      <c r="E1452">
        <v>0.5007433</v>
      </c>
      <c r="F1452" t="s">
        <v>41</v>
      </c>
      <c r="G1452">
        <v>-192.15950000000001</v>
      </c>
      <c r="H1452" s="1">
        <v>-5.9037169999999898E-7</v>
      </c>
      <c r="I1452">
        <v>329.6259</v>
      </c>
      <c r="J1452">
        <v>-191.2903</v>
      </c>
      <c r="K1452">
        <v>1.1037429999999999</v>
      </c>
      <c r="L1452">
        <v>346.20190000000002</v>
      </c>
      <c r="M1452">
        <v>0.13165760000000001</v>
      </c>
      <c r="N1452">
        <v>0</v>
      </c>
      <c r="O1452">
        <v>-0.99118439999999997</v>
      </c>
      <c r="P1452">
        <v>-4.4184380000000002E-2</v>
      </c>
      <c r="Q1452">
        <v>0.1741144</v>
      </c>
      <c r="R1452">
        <v>-0.983734</v>
      </c>
      <c r="S1452">
        <v>-0.15438840000000001</v>
      </c>
      <c r="T1452">
        <v>-0.20193910000000001</v>
      </c>
      <c r="U1452">
        <v>-3.078522</v>
      </c>
      <c r="V1452">
        <v>0.17633750000000001</v>
      </c>
      <c r="W1452">
        <v>0.18566340000000001</v>
      </c>
      <c r="X1452">
        <v>0.9666614</v>
      </c>
      <c r="Y1452">
        <v>0.18105199999999999</v>
      </c>
      <c r="Z1452">
        <v>6.4019119999999999E-2</v>
      </c>
      <c r="AA1452">
        <v>0.98138769999999997</v>
      </c>
      <c r="AB1452">
        <v>26</v>
      </c>
      <c r="AC1452">
        <v>-0.86920000000000597</v>
      </c>
      <c r="AD1452">
        <v>-1.1037435903716999</v>
      </c>
      <c r="AE1452">
        <v>-16.576000000000001</v>
      </c>
      <c r="AF1452">
        <v>3.0308271211545201</v>
      </c>
      <c r="AG1452">
        <v>-1.1037435903716999</v>
      </c>
      <c r="AH1452">
        <v>16.245397411329101</v>
      </c>
      <c r="AI1452">
        <v>93.821082051751603</v>
      </c>
      <c r="AJ1452">
        <v>79.432090100298197</v>
      </c>
      <c r="AK1452">
        <v>16.562520943492501</v>
      </c>
      <c r="AL1452">
        <v>79.300187889800398</v>
      </c>
      <c r="AM1452">
        <v>79.661828894971904</v>
      </c>
      <c r="AN1452">
        <v>1.0000000371278801</v>
      </c>
    </row>
    <row r="1453" spans="1:40" x14ac:dyDescent="0.25">
      <c r="A1453" t="str">
        <f>"20190312172919025"</f>
        <v>20190312172919025</v>
      </c>
      <c r="B1453" t="str">
        <f>"1552382959018302"</f>
        <v>1552382959018302</v>
      </c>
      <c r="C1453" t="s">
        <v>40</v>
      </c>
      <c r="D1453">
        <v>3.594392</v>
      </c>
      <c r="E1453">
        <v>0.50031700000000001</v>
      </c>
      <c r="F1453" t="s">
        <v>41</v>
      </c>
      <c r="G1453">
        <v>-192.18260000000001</v>
      </c>
      <c r="H1453" s="1">
        <v>-4.4708660000000002E-6</v>
      </c>
      <c r="I1453">
        <v>328.98700000000002</v>
      </c>
      <c r="J1453">
        <v>-191.2645</v>
      </c>
      <c r="K1453">
        <v>1.103945</v>
      </c>
      <c r="L1453">
        <v>345.92939999999999</v>
      </c>
      <c r="M1453">
        <v>0.1225348</v>
      </c>
      <c r="N1453">
        <v>0</v>
      </c>
      <c r="O1453">
        <v>-0.99235390000000001</v>
      </c>
      <c r="P1453">
        <v>-4.8383170000000003E-2</v>
      </c>
      <c r="Q1453">
        <v>0.17405129999999999</v>
      </c>
      <c r="R1453">
        <v>-0.98354719999999995</v>
      </c>
      <c r="S1453">
        <v>-0.1595154</v>
      </c>
      <c r="T1453">
        <v>-0.1973056</v>
      </c>
      <c r="U1453">
        <v>-3.0773320000000002</v>
      </c>
      <c r="V1453">
        <v>0.17146739999999999</v>
      </c>
      <c r="W1453">
        <v>0.18573600000000001</v>
      </c>
      <c r="X1453">
        <v>0.96752320000000003</v>
      </c>
      <c r="Y1453">
        <v>0.17365520000000001</v>
      </c>
      <c r="Z1453">
        <v>6.273252E-2</v>
      </c>
      <c r="AA1453">
        <v>0.98280639999999997</v>
      </c>
      <c r="AB1453">
        <v>26</v>
      </c>
      <c r="AC1453">
        <v>-0.91810000000000902</v>
      </c>
      <c r="AD1453">
        <v>-1.103949470866</v>
      </c>
      <c r="AE1453">
        <v>-16.942399999999999</v>
      </c>
      <c r="AF1453">
        <v>2.97484748675229</v>
      </c>
      <c r="AG1453">
        <v>-1.103949470866</v>
      </c>
      <c r="AH1453">
        <v>16.631779499391399</v>
      </c>
      <c r="AI1453">
        <v>93.738332217890502</v>
      </c>
      <c r="AJ1453">
        <v>79.859014383454294</v>
      </c>
      <c r="AK1453">
        <v>16.931760431804999</v>
      </c>
      <c r="AL1453">
        <v>79.295954580451706</v>
      </c>
      <c r="AM1453">
        <v>79.950215487952605</v>
      </c>
      <c r="AN1453">
        <v>1.00000003674849</v>
      </c>
    </row>
    <row r="1454" spans="1:40" x14ac:dyDescent="0.25">
      <c r="A1454" t="str">
        <f>"20190312172919047"</f>
        <v>20190312172919047</v>
      </c>
      <c r="B1454" t="str">
        <f>"1552382959038798"</f>
        <v>1552382959038798</v>
      </c>
      <c r="C1454" t="s">
        <v>40</v>
      </c>
      <c r="D1454">
        <v>3.5484599999999999</v>
      </c>
      <c r="E1454">
        <v>0.50012800000000002</v>
      </c>
      <c r="F1454" t="s">
        <v>41</v>
      </c>
      <c r="G1454">
        <v>-192.20779999999999</v>
      </c>
      <c r="H1454" s="1">
        <v>-4.3876089999999998E-6</v>
      </c>
      <c r="I1454">
        <v>328.72919999999999</v>
      </c>
      <c r="J1454">
        <v>-191.24160000000001</v>
      </c>
      <c r="K1454">
        <v>1.1041459999999901</v>
      </c>
      <c r="L1454">
        <v>345.66449999999998</v>
      </c>
      <c r="M1454">
        <v>0.1139355</v>
      </c>
      <c r="N1454">
        <v>0</v>
      </c>
      <c r="O1454">
        <v>-0.99337850000000005</v>
      </c>
      <c r="P1454">
        <v>-5.2033950000000002E-2</v>
      </c>
      <c r="Q1454">
        <v>0.17390630000000001</v>
      </c>
      <c r="R1454">
        <v>-0.9833866</v>
      </c>
      <c r="S1454">
        <v>-0.16874690000000001</v>
      </c>
      <c r="T1454">
        <v>-0.19747729999999999</v>
      </c>
      <c r="U1454">
        <v>-3.076813</v>
      </c>
      <c r="V1454">
        <v>0.1665739</v>
      </c>
      <c r="W1454">
        <v>0.1857229</v>
      </c>
      <c r="X1454">
        <v>0.96838020000000002</v>
      </c>
      <c r="Y1454">
        <v>0.16807169999999999</v>
      </c>
      <c r="Z1454">
        <v>6.2921809999999995E-2</v>
      </c>
      <c r="AA1454">
        <v>0.98376459999999999</v>
      </c>
      <c r="AB1454">
        <v>26</v>
      </c>
      <c r="AC1454">
        <v>-0.96619999999998596</v>
      </c>
      <c r="AD1454">
        <v>-1.10415038760899</v>
      </c>
      <c r="AE1454">
        <v>-16.935299999999899</v>
      </c>
      <c r="AF1454">
        <v>2.8774571522493302</v>
      </c>
      <c r="AG1454">
        <v>-1.10415038760899</v>
      </c>
      <c r="AH1454">
        <v>16.6443768957656</v>
      </c>
      <c r="AI1454">
        <v>93.739995600247298</v>
      </c>
      <c r="AJ1454">
        <v>80.191730388697195</v>
      </c>
      <c r="AK1454">
        <v>16.9273208154682</v>
      </c>
      <c r="AL1454">
        <v>79.296718434859798</v>
      </c>
      <c r="AM1454">
        <v>80.239900080488397</v>
      </c>
      <c r="AN1454">
        <v>1.0000000357488199</v>
      </c>
    </row>
    <row r="1455" spans="1:40" x14ac:dyDescent="0.25">
      <c r="A1455" t="str">
        <f>"20190312172919071"</f>
        <v>20190312172919071</v>
      </c>
      <c r="B1455" t="str">
        <f>"1552382959059294"</f>
        <v>1552382959059294</v>
      </c>
      <c r="C1455" t="s">
        <v>40</v>
      </c>
      <c r="D1455">
        <v>3.5657920000000001</v>
      </c>
      <c r="E1455">
        <v>0.49575819999999998</v>
      </c>
      <c r="F1455" t="s">
        <v>41</v>
      </c>
      <c r="G1455">
        <v>-192.2354</v>
      </c>
      <c r="H1455" s="1">
        <v>-4.3274990000000003E-6</v>
      </c>
      <c r="I1455">
        <v>328.53820000000002</v>
      </c>
      <c r="J1455">
        <v>-191.21960000000001</v>
      </c>
      <c r="K1455">
        <v>1.104347</v>
      </c>
      <c r="L1455">
        <v>345.38310000000001</v>
      </c>
      <c r="M1455">
        <v>0.10503999999999999</v>
      </c>
      <c r="N1455">
        <v>0</v>
      </c>
      <c r="O1455">
        <v>-0.99435910000000005</v>
      </c>
      <c r="P1455">
        <v>-5.605193E-2</v>
      </c>
      <c r="Q1455">
        <v>0.17429939999999999</v>
      </c>
      <c r="R1455">
        <v>-0.98309630000000003</v>
      </c>
      <c r="S1455">
        <v>-0.1784973</v>
      </c>
      <c r="T1455">
        <v>-0.1983298</v>
      </c>
      <c r="U1455">
        <v>-3.076263</v>
      </c>
      <c r="V1455">
        <v>0.1617577</v>
      </c>
      <c r="W1455">
        <v>0.18623729999999999</v>
      </c>
      <c r="X1455">
        <v>0.9690976</v>
      </c>
      <c r="Y1455">
        <v>0.1623628</v>
      </c>
      <c r="Z1455">
        <v>6.3323210000000005E-2</v>
      </c>
      <c r="AA1455">
        <v>0.98469720000000005</v>
      </c>
      <c r="AB1455">
        <v>26</v>
      </c>
      <c r="AC1455">
        <v>-1.0157999999999801</v>
      </c>
      <c r="AD1455">
        <v>-1.104351327499</v>
      </c>
      <c r="AE1455">
        <v>-16.8448999999999</v>
      </c>
      <c r="AF1455">
        <v>2.7679056436985001</v>
      </c>
      <c r="AG1455">
        <v>-1.104351327499</v>
      </c>
      <c r="AH1455">
        <v>16.574003745017698</v>
      </c>
      <c r="AI1455">
        <v>93.760148812005994</v>
      </c>
      <c r="AJ1455">
        <v>80.5189382515928</v>
      </c>
      <c r="AK1455">
        <v>16.839789002443801</v>
      </c>
      <c r="AL1455">
        <v>79.266722006171094</v>
      </c>
      <c r="AM1455">
        <v>80.523789924358496</v>
      </c>
      <c r="AN1455">
        <v>1.0000000218731599</v>
      </c>
    </row>
    <row r="1456" spans="1:40" x14ac:dyDescent="0.25">
      <c r="A1456" t="str">
        <f>"20190312172919093"</f>
        <v>20190312172919093</v>
      </c>
      <c r="B1456" t="str">
        <f>"1552382959088574"</f>
        <v>1552382959088574</v>
      </c>
      <c r="C1456" t="s">
        <v>40</v>
      </c>
      <c r="D1456">
        <v>3.571644</v>
      </c>
      <c r="E1456">
        <v>0.49530590000000002</v>
      </c>
      <c r="F1456" t="s">
        <v>41</v>
      </c>
      <c r="G1456">
        <v>-192.18620000000001</v>
      </c>
      <c r="H1456" s="1">
        <v>-3.4768669999999998E-6</v>
      </c>
      <c r="I1456">
        <v>326.33780000000002</v>
      </c>
      <c r="J1456">
        <v>-191.2012</v>
      </c>
      <c r="K1456">
        <v>1.1045290000000001</v>
      </c>
      <c r="L1456">
        <v>345.1234</v>
      </c>
      <c r="M1456">
        <v>9.7055699999999995E-2</v>
      </c>
      <c r="N1456">
        <v>0</v>
      </c>
      <c r="O1456">
        <v>-0.99517089999999997</v>
      </c>
      <c r="P1456">
        <v>-5.9200990000000002E-2</v>
      </c>
      <c r="Q1456">
        <v>0.174402799999999</v>
      </c>
      <c r="R1456">
        <v>-0.98289340000000003</v>
      </c>
      <c r="S1456">
        <v>-0.15603639999999999</v>
      </c>
      <c r="T1456">
        <v>-0.1782658</v>
      </c>
      <c r="U1456">
        <v>-3.0743100000000001</v>
      </c>
      <c r="V1456">
        <v>0.15698999999999999</v>
      </c>
      <c r="W1456">
        <v>0.18645229999999999</v>
      </c>
      <c r="X1456">
        <v>0.96984000000000004</v>
      </c>
      <c r="Y1456">
        <v>0.14730760000000001</v>
      </c>
      <c r="Z1456">
        <v>5.712573E-2</v>
      </c>
      <c r="AA1456">
        <v>0.98743970000000003</v>
      </c>
      <c r="AB1456">
        <v>26</v>
      </c>
      <c r="AC1456">
        <v>-0.98500000000001298</v>
      </c>
      <c r="AD1456">
        <v>-1.104532476867</v>
      </c>
      <c r="AE1456">
        <v>-18.785599999999899</v>
      </c>
      <c r="AF1456">
        <v>2.7941613206091098</v>
      </c>
      <c r="AG1456">
        <v>-1.104532476867</v>
      </c>
      <c r="AH1456">
        <v>18.537373902455801</v>
      </c>
      <c r="AI1456">
        <v>93.371885173955206</v>
      </c>
      <c r="AJ1456">
        <v>81.4282638672735</v>
      </c>
      <c r="AK1456">
        <v>18.779285414453099</v>
      </c>
      <c r="AL1456">
        <v>79.254183267636407</v>
      </c>
      <c r="AM1456">
        <v>80.805169861858502</v>
      </c>
      <c r="AN1456">
        <v>0.99999997293764398</v>
      </c>
    </row>
    <row r="1457" spans="1:40" x14ac:dyDescent="0.25">
      <c r="A1457" t="str">
        <f>"20190312172919114"</f>
        <v>20190312172919114</v>
      </c>
      <c r="B1457" t="str">
        <f>"1552382959109070"</f>
        <v>1552382959109070</v>
      </c>
      <c r="C1457" t="s">
        <v>40</v>
      </c>
      <c r="D1457">
        <v>3.6146539999999998</v>
      </c>
      <c r="E1457">
        <v>0.49521330000000002</v>
      </c>
      <c r="F1457" t="s">
        <v>41</v>
      </c>
      <c r="G1457">
        <v>-192.18369999999999</v>
      </c>
      <c r="H1457" s="1">
        <v>-3.5290099999999999E-6</v>
      </c>
      <c r="I1457">
        <v>326.46089999999998</v>
      </c>
      <c r="J1457">
        <v>-191.1848</v>
      </c>
      <c r="K1457">
        <v>1.1047129999999901</v>
      </c>
      <c r="L1457">
        <v>344.86610000000002</v>
      </c>
      <c r="M1457">
        <v>8.9388190000000006E-2</v>
      </c>
      <c r="N1457">
        <v>0</v>
      </c>
      <c r="O1457">
        <v>-0.99588929999999998</v>
      </c>
      <c r="P1457">
        <v>-6.2032230000000001E-2</v>
      </c>
      <c r="Q1457">
        <v>0.1743287</v>
      </c>
      <c r="R1457">
        <v>-0.98273200000000005</v>
      </c>
      <c r="S1457">
        <v>-0.16188050000000001</v>
      </c>
      <c r="T1457">
        <v>-0.18197949999999999</v>
      </c>
      <c r="U1457">
        <v>-3.0747680000000002</v>
      </c>
      <c r="V1457">
        <v>0.1522184</v>
      </c>
      <c r="W1457">
        <v>0.1864884</v>
      </c>
      <c r="X1457">
        <v>0.9705935</v>
      </c>
      <c r="Y1457">
        <v>0.14154800000000001</v>
      </c>
      <c r="Z1457">
        <v>5.8388660000000002E-2</v>
      </c>
      <c r="AA1457">
        <v>0.98820790000000003</v>
      </c>
      <c r="AB1457">
        <v>26</v>
      </c>
      <c r="AC1457">
        <v>-0.99889999999999202</v>
      </c>
      <c r="AD1457">
        <v>-1.1047165290099901</v>
      </c>
      <c r="AE1457">
        <v>-18.405200000000001</v>
      </c>
      <c r="AF1457">
        <v>2.6308340895090998</v>
      </c>
      <c r="AG1457">
        <v>-1.1047165290099901</v>
      </c>
      <c r="AH1457">
        <v>18.176913696922099</v>
      </c>
      <c r="AI1457">
        <v>93.442140232223196</v>
      </c>
      <c r="AJ1457">
        <v>81.764488730677101</v>
      </c>
      <c r="AK1457">
        <v>18.399507552142399</v>
      </c>
      <c r="AL1457">
        <v>79.252078839655894</v>
      </c>
      <c r="AM1457">
        <v>81.086891396456807</v>
      </c>
      <c r="AN1457">
        <v>1.0000000534376801</v>
      </c>
    </row>
    <row r="1458" spans="1:40" x14ac:dyDescent="0.25">
      <c r="A1458" t="str">
        <f>"20190312172919136"</f>
        <v>20190312172919136</v>
      </c>
      <c r="B1458" t="str">
        <f>"1552382959128591"</f>
        <v>1552382959128591</v>
      </c>
      <c r="C1458" t="s">
        <v>40</v>
      </c>
      <c r="D1458">
        <v>3.5813670000000002</v>
      </c>
      <c r="E1458">
        <v>0.49478420000000001</v>
      </c>
      <c r="F1458" t="s">
        <v>41</v>
      </c>
      <c r="G1458">
        <v>-192.21180000000001</v>
      </c>
      <c r="H1458" s="1">
        <v>-3.5122020000000001E-6</v>
      </c>
      <c r="I1458">
        <v>326.40429999999998</v>
      </c>
      <c r="J1458">
        <v>-191.17060000000001</v>
      </c>
      <c r="K1458">
        <v>1.104908</v>
      </c>
      <c r="L1458">
        <v>344.61689999999999</v>
      </c>
      <c r="M1458">
        <v>8.2214339999999997E-2</v>
      </c>
      <c r="N1458">
        <v>0</v>
      </c>
      <c r="O1458">
        <v>-0.9965077</v>
      </c>
      <c r="P1458">
        <v>-6.4224950000000003E-2</v>
      </c>
      <c r="Q1458">
        <v>0.17474719999999999</v>
      </c>
      <c r="R1458">
        <v>-0.98251679999999997</v>
      </c>
      <c r="S1458">
        <v>-0.17103579999999999</v>
      </c>
      <c r="T1458">
        <v>-0.18397749999999999</v>
      </c>
      <c r="U1458">
        <v>-3.0745849999999999</v>
      </c>
      <c r="V1458">
        <v>0.14729249999999999</v>
      </c>
      <c r="W1458">
        <v>0.1870163</v>
      </c>
      <c r="X1458">
        <v>0.97125170000000005</v>
      </c>
      <c r="Y1458">
        <v>0.137353</v>
      </c>
      <c r="Z1458">
        <v>5.9099180000000001E-2</v>
      </c>
      <c r="AA1458">
        <v>0.98875749999999996</v>
      </c>
      <c r="AB1458">
        <v>26</v>
      </c>
      <c r="AC1458">
        <v>-1.0411999999999999</v>
      </c>
      <c r="AD1458">
        <v>-1.1049115122019999</v>
      </c>
      <c r="AE1458">
        <v>-18.212599999999998</v>
      </c>
      <c r="AF1458">
        <v>2.5259045795360899</v>
      </c>
      <c r="AG1458">
        <v>-1.1049115122019999</v>
      </c>
      <c r="AH1458">
        <v>17.999289262153098</v>
      </c>
      <c r="AI1458">
        <v>93.478770840830904</v>
      </c>
      <c r="AJ1458">
        <v>82.011645521860402</v>
      </c>
      <c r="AK1458">
        <v>18.209212979625899</v>
      </c>
      <c r="AL1458">
        <v>79.221290389641993</v>
      </c>
      <c r="AM1458">
        <v>81.376673414272602</v>
      </c>
      <c r="AN1458">
        <v>1.00000002088741</v>
      </c>
    </row>
    <row r="1459" spans="1:40" x14ac:dyDescent="0.25">
      <c r="A1459" t="str">
        <f>"20190312172919158"</f>
        <v>20190312172919158</v>
      </c>
      <c r="B1459" t="str">
        <f>"1552382959149086"</f>
        <v>1552382959149086</v>
      </c>
      <c r="C1459" t="s">
        <v>40</v>
      </c>
      <c r="D1459">
        <v>3.573915</v>
      </c>
      <c r="E1459">
        <v>0.49443310000000001</v>
      </c>
      <c r="F1459" t="s">
        <v>41</v>
      </c>
      <c r="G1459">
        <v>-192.22130000000001</v>
      </c>
      <c r="H1459" s="1">
        <v>-3.4276259999999999E-6</v>
      </c>
      <c r="I1459">
        <v>326.2013</v>
      </c>
      <c r="J1459">
        <v>-191.15700000000001</v>
      </c>
      <c r="K1459">
        <v>1.1051439999999999</v>
      </c>
      <c r="L1459">
        <v>344.34899999999999</v>
      </c>
      <c r="M1459">
        <v>7.4777319999999994E-2</v>
      </c>
      <c r="N1459">
        <v>0</v>
      </c>
      <c r="O1459">
        <v>-0.99709400000000004</v>
      </c>
      <c r="P1459">
        <v>-6.7774249999999994E-2</v>
      </c>
      <c r="Q1459">
        <v>0.1754898</v>
      </c>
      <c r="R1459">
        <v>-0.98214599999999996</v>
      </c>
      <c r="S1459">
        <v>-0.17543029999999901</v>
      </c>
      <c r="T1459">
        <v>-0.18447949999999999</v>
      </c>
      <c r="U1459">
        <v>-3.074738</v>
      </c>
      <c r="V1459">
        <v>0.1434397</v>
      </c>
      <c r="W1459">
        <v>0.1878552</v>
      </c>
      <c r="X1459">
        <v>0.97166629999999998</v>
      </c>
      <c r="Y1459">
        <v>0.13136579999999901</v>
      </c>
      <c r="Z1459">
        <v>5.9331450000000001E-2</v>
      </c>
      <c r="AA1459">
        <v>0.98955680000000001</v>
      </c>
      <c r="AB1459">
        <v>26</v>
      </c>
      <c r="AC1459">
        <v>-1.0643</v>
      </c>
      <c r="AD1459">
        <v>-1.105147427626</v>
      </c>
      <c r="AE1459">
        <v>-18.147699999999901</v>
      </c>
      <c r="AF1459">
        <v>2.4095944465316199</v>
      </c>
      <c r="AG1459">
        <v>-1.105147427626</v>
      </c>
      <c r="AH1459">
        <v>17.950943647043999</v>
      </c>
      <c r="AI1459">
        <v>93.491722041699902</v>
      </c>
      <c r="AJ1459">
        <v>82.354761584025397</v>
      </c>
      <c r="AK1459">
        <v>18.145629613019601</v>
      </c>
      <c r="AL1459">
        <v>79.172357064456705</v>
      </c>
      <c r="AM1459">
        <v>81.602510079120705</v>
      </c>
      <c r="AN1459">
        <v>0.99999996112940903</v>
      </c>
    </row>
    <row r="1460" spans="1:40" x14ac:dyDescent="0.25">
      <c r="A1460" t="str">
        <f>"20190312172919182"</f>
        <v>20190312172919182</v>
      </c>
      <c r="B1460" t="str">
        <f>"1552382959178367"</f>
        <v>1552382959178367</v>
      </c>
      <c r="C1460" t="s">
        <v>40</v>
      </c>
      <c r="D1460">
        <v>3.5882489999999998</v>
      </c>
      <c r="E1460">
        <v>0.4905793</v>
      </c>
      <c r="F1460" t="s">
        <v>41</v>
      </c>
      <c r="G1460">
        <v>-192.25450000000001</v>
      </c>
      <c r="H1460" s="1">
        <v>-3.2725250000000001E-6</v>
      </c>
      <c r="I1460">
        <v>325.81920000000002</v>
      </c>
      <c r="J1460">
        <v>-191.14519999999999</v>
      </c>
      <c r="K1460">
        <v>1.105394</v>
      </c>
      <c r="L1460">
        <v>344.08539999999999</v>
      </c>
      <c r="M1460">
        <v>6.7762450000000002E-2</v>
      </c>
      <c r="N1460">
        <v>0</v>
      </c>
      <c r="O1460">
        <v>-0.99759569999999997</v>
      </c>
      <c r="P1460">
        <v>-7.068033E-2</v>
      </c>
      <c r="Q1460">
        <v>0.17537809999999901</v>
      </c>
      <c r="R1460">
        <v>-0.98196090000000003</v>
      </c>
      <c r="S1460">
        <v>-0.18211359999999999</v>
      </c>
      <c r="T1460">
        <v>-0.18338409999999999</v>
      </c>
      <c r="U1460">
        <v>-3.0747680000000002</v>
      </c>
      <c r="V1460">
        <v>0.1393577</v>
      </c>
      <c r="W1460">
        <v>0.18784580000000001</v>
      </c>
      <c r="X1460">
        <v>0.97226199999999996</v>
      </c>
      <c r="Y1460">
        <v>0.12653610000000001</v>
      </c>
      <c r="Z1460">
        <v>5.9039540000000001E-2</v>
      </c>
      <c r="AA1460">
        <v>0.99020350000000001</v>
      </c>
      <c r="AB1460">
        <v>26</v>
      </c>
      <c r="AC1460">
        <v>-1.1093000000000099</v>
      </c>
      <c r="AD1460">
        <v>-1.1053972725250001</v>
      </c>
      <c r="AE1460">
        <v>-18.266199999999898</v>
      </c>
      <c r="AF1460">
        <v>2.3361189641667202</v>
      </c>
      <c r="AG1460">
        <v>-1.1053972725250001</v>
      </c>
      <c r="AH1460">
        <v>18.083049003423699</v>
      </c>
      <c r="AI1460">
        <v>93.469316664436306</v>
      </c>
      <c r="AJ1460">
        <v>82.638824802082794</v>
      </c>
      <c r="AK1460">
        <v>18.266800929694</v>
      </c>
      <c r="AL1460">
        <v>79.172905886065706</v>
      </c>
      <c r="AM1460">
        <v>81.843152930631504</v>
      </c>
      <c r="AN1460">
        <v>1.00000000488546</v>
      </c>
    </row>
    <row r="1461" spans="1:40" x14ac:dyDescent="0.25">
      <c r="A1461" t="str">
        <f>"20190312172919204"</f>
        <v>20190312172919204</v>
      </c>
      <c r="B1461" t="str">
        <f>"1552382959198862"</f>
        <v>1552382959198862</v>
      </c>
      <c r="C1461" t="s">
        <v>40</v>
      </c>
      <c r="D1461">
        <v>3.5625879999999999</v>
      </c>
      <c r="E1461">
        <v>0.49005159999999998</v>
      </c>
      <c r="F1461" t="s">
        <v>41</v>
      </c>
      <c r="G1461">
        <v>-192.05690000000001</v>
      </c>
      <c r="H1461" s="1">
        <v>-3.496927E-6</v>
      </c>
      <c r="I1461">
        <v>326.46480000000003</v>
      </c>
      <c r="J1461">
        <v>-191.13499999999999</v>
      </c>
      <c r="K1461">
        <v>1.105658</v>
      </c>
      <c r="L1461">
        <v>343.82100000000003</v>
      </c>
      <c r="M1461">
        <v>6.1063430000000002E-2</v>
      </c>
      <c r="N1461">
        <v>0</v>
      </c>
      <c r="O1461">
        <v>-0.9980289</v>
      </c>
      <c r="P1461">
        <v>-7.2467680000000007E-2</v>
      </c>
      <c r="Q1461">
        <v>0.17449890000000001</v>
      </c>
      <c r="R1461">
        <v>-0.98198730000000001</v>
      </c>
      <c r="S1461">
        <v>-0.15925599999999901</v>
      </c>
      <c r="T1461">
        <v>-0.19309879999999999</v>
      </c>
      <c r="U1461">
        <v>-3.0780940000000001</v>
      </c>
      <c r="V1461">
        <v>0.1344658</v>
      </c>
      <c r="W1461">
        <v>0.18708240000000001</v>
      </c>
      <c r="X1461">
        <v>0.97309769999999896</v>
      </c>
      <c r="Y1461">
        <v>0.11246059999999999</v>
      </c>
      <c r="Z1461">
        <v>6.2194760000000002E-2</v>
      </c>
      <c r="AA1461">
        <v>0.99170780000000003</v>
      </c>
      <c r="AB1461">
        <v>26</v>
      </c>
      <c r="AC1461">
        <v>-0.92190000000002204</v>
      </c>
      <c r="AD1461">
        <v>-1.105661496927</v>
      </c>
      <c r="AE1461">
        <v>-17.356199999999902</v>
      </c>
      <c r="AF1461">
        <v>1.97213860047649</v>
      </c>
      <c r="AG1461">
        <v>-1.105661496927</v>
      </c>
      <c r="AH1461">
        <v>17.197907852374101</v>
      </c>
      <c r="AI1461">
        <v>93.654624797599496</v>
      </c>
      <c r="AJ1461">
        <v>83.458285879304199</v>
      </c>
      <c r="AK1461">
        <v>17.345888634025901</v>
      </c>
      <c r="AL1461">
        <v>79.217434918679501</v>
      </c>
      <c r="AM1461">
        <v>82.132506251657404</v>
      </c>
      <c r="AN1461">
        <v>1.0000000047523401</v>
      </c>
    </row>
    <row r="1462" spans="1:40" x14ac:dyDescent="0.25">
      <c r="A1462" t="str">
        <f>"20190312172919227"</f>
        <v>20190312172919227</v>
      </c>
      <c r="B1462" t="str">
        <f>"1552382959218383"</f>
        <v>1552382959218383</v>
      </c>
      <c r="C1462" t="s">
        <v>40</v>
      </c>
      <c r="D1462">
        <v>3.5700099999999999</v>
      </c>
      <c r="E1462">
        <v>0.48968149999999999</v>
      </c>
      <c r="F1462" t="s">
        <v>42</v>
      </c>
      <c r="G1462">
        <v>-191.18549999999999</v>
      </c>
      <c r="H1462">
        <v>1.045023</v>
      </c>
      <c r="I1462">
        <v>342.8587</v>
      </c>
      <c r="J1462">
        <v>-191.12610000000001</v>
      </c>
      <c r="K1462">
        <v>1.1059289999999999</v>
      </c>
      <c r="L1462">
        <v>343.55599999999998</v>
      </c>
      <c r="M1462">
        <v>5.4730800000000003E-2</v>
      </c>
      <c r="N1462">
        <v>0</v>
      </c>
      <c r="O1462">
        <v>-0.99839659999999997</v>
      </c>
      <c r="P1462">
        <v>-7.4179019999999998E-2</v>
      </c>
      <c r="Q1462">
        <v>0.1736897</v>
      </c>
      <c r="R1462">
        <v>-0.98200270000000001</v>
      </c>
      <c r="S1462">
        <v>-0.16093440000000001</v>
      </c>
      <c r="T1462">
        <v>-0.19395299999999999</v>
      </c>
      <c r="U1462">
        <v>-3.0776059999999998</v>
      </c>
      <c r="V1462">
        <v>0.12985039999999901</v>
      </c>
      <c r="W1462">
        <v>0.18638160000000001</v>
      </c>
      <c r="X1462">
        <v>0.97385869999999997</v>
      </c>
      <c r="Y1462">
        <v>0.10670159999999999</v>
      </c>
      <c r="Z1462">
        <v>6.2532409999999997E-2</v>
      </c>
      <c r="AA1462">
        <v>0.9923227</v>
      </c>
      <c r="AB1462">
        <v>26</v>
      </c>
      <c r="AC1462">
        <v>-5.93999999999823E-2</v>
      </c>
      <c r="AD1462">
        <v>-6.0906000000000099E-2</v>
      </c>
      <c r="AE1462">
        <v>-0.69729999999998404</v>
      </c>
      <c r="AF1462">
        <v>9.6745940919660905E-2</v>
      </c>
      <c r="AG1462">
        <v>-6.0906000000000099E-2</v>
      </c>
      <c r="AH1462">
        <v>0.68779374753463296</v>
      </c>
      <c r="AI1462">
        <v>95.011417463852894</v>
      </c>
      <c r="AJ1462">
        <v>81.993233424045997</v>
      </c>
      <c r="AK1462">
        <v>0.69722991693426695</v>
      </c>
      <c r="AL1462">
        <v>79.258306619784904</v>
      </c>
      <c r="AM1462">
        <v>82.405207877078894</v>
      </c>
      <c r="AN1462">
        <v>0.99999999738220402</v>
      </c>
    </row>
    <row r="1463" spans="1:40" x14ac:dyDescent="0.25">
      <c r="A1463" t="str">
        <f>"20190312172919249"</f>
        <v>20190312172919249</v>
      </c>
      <c r="B1463" t="str">
        <f>"1552382959238879"</f>
        <v>1552382959238879</v>
      </c>
      <c r="C1463" t="s">
        <v>40</v>
      </c>
      <c r="D1463">
        <v>3.5848969999999998</v>
      </c>
      <c r="E1463">
        <v>0.48947180000000001</v>
      </c>
      <c r="F1463" t="s">
        <v>42</v>
      </c>
      <c r="G1463">
        <v>-191.17599999999999</v>
      </c>
      <c r="H1463">
        <v>1.0461780000000001</v>
      </c>
      <c r="I1463">
        <v>342.62560000000002</v>
      </c>
      <c r="J1463">
        <v>-191.11879999999999</v>
      </c>
      <c r="K1463">
        <v>1.106169</v>
      </c>
      <c r="L1463">
        <v>343.29899999999998</v>
      </c>
      <c r="M1463">
        <v>4.8884400000000001E-2</v>
      </c>
      <c r="N1463">
        <v>0</v>
      </c>
      <c r="O1463">
        <v>-0.99870049999999999</v>
      </c>
      <c r="P1463">
        <v>-7.6925469999999996E-2</v>
      </c>
      <c r="Q1463">
        <v>0.1751672</v>
      </c>
      <c r="R1463">
        <v>-0.98152899999999998</v>
      </c>
      <c r="S1463">
        <v>-0.165023799999999</v>
      </c>
      <c r="T1463">
        <v>-0.19771929999999999</v>
      </c>
      <c r="U1463">
        <v>-3.0774840000000001</v>
      </c>
      <c r="V1463">
        <v>0.12675629999999999</v>
      </c>
      <c r="W1463">
        <v>0.1879306</v>
      </c>
      <c r="X1463">
        <v>0.97396859999999996</v>
      </c>
      <c r="Y1463">
        <v>0.1021919</v>
      </c>
      <c r="Z1463">
        <v>6.3786369999999995E-2</v>
      </c>
      <c r="AA1463">
        <v>0.99271759999999998</v>
      </c>
      <c r="AB1463">
        <v>26</v>
      </c>
      <c r="AC1463">
        <v>-5.7199999999994498E-2</v>
      </c>
      <c r="AD1463">
        <v>-5.9990999999999899E-2</v>
      </c>
      <c r="AE1463">
        <v>-0.67340000000001499</v>
      </c>
      <c r="AF1463">
        <v>8.9349733394413905E-2</v>
      </c>
      <c r="AG1463">
        <v>-5.9990999999999899E-2</v>
      </c>
      <c r="AH1463">
        <v>0.66456179093253198</v>
      </c>
      <c r="AI1463">
        <v>95.112442202846594</v>
      </c>
      <c r="AJ1463">
        <v>82.342553883752302</v>
      </c>
      <c r="AK1463">
        <v>0.67321962902614996</v>
      </c>
      <c r="AL1463">
        <v>79.167958522959196</v>
      </c>
      <c r="AM1463">
        <v>82.584966996058</v>
      </c>
      <c r="AN1463">
        <v>0.99999995189600299</v>
      </c>
    </row>
    <row r="1464" spans="1:40" x14ac:dyDescent="0.25">
      <c r="A1464" t="str">
        <f>"20190312172919274"</f>
        <v>20190312172919274</v>
      </c>
      <c r="B1464" t="str">
        <f>"1552382959269135"</f>
        <v>1552382959269135</v>
      </c>
      <c r="C1464" t="s">
        <v>40</v>
      </c>
      <c r="D1464">
        <v>3.565461</v>
      </c>
      <c r="E1464">
        <v>0.4889753</v>
      </c>
      <c r="F1464" t="s">
        <v>42</v>
      </c>
      <c r="G1464">
        <v>-191.16890000000001</v>
      </c>
      <c r="H1464">
        <v>1.0496160000000001</v>
      </c>
      <c r="I1464">
        <v>342.39049999999997</v>
      </c>
      <c r="J1464">
        <v>-191.1122</v>
      </c>
      <c r="K1464">
        <v>1.106422</v>
      </c>
      <c r="L1464">
        <v>343.0231</v>
      </c>
      <c r="M1464">
        <v>4.2950919999999997E-2</v>
      </c>
      <c r="N1464">
        <v>0</v>
      </c>
      <c r="O1464">
        <v>-0.99897389999999997</v>
      </c>
      <c r="P1464">
        <v>-8.0283339999999995E-2</v>
      </c>
      <c r="Q1464">
        <v>0.17602719999999999</v>
      </c>
      <c r="R1464">
        <v>-0.98110609999999998</v>
      </c>
      <c r="S1464">
        <v>-0.16934199999999999</v>
      </c>
      <c r="T1464">
        <v>-0.19166359999999999</v>
      </c>
      <c r="U1464">
        <v>-3.0773320000000002</v>
      </c>
      <c r="V1464">
        <v>0.1241855</v>
      </c>
      <c r="W1464">
        <v>0.1888532</v>
      </c>
      <c r="X1464">
        <v>0.97412129999999997</v>
      </c>
      <c r="Y1464">
        <v>9.7679879999999997E-2</v>
      </c>
      <c r="Z1464">
        <v>6.1880579999999998E-2</v>
      </c>
      <c r="AA1464">
        <v>0.99329219999999896</v>
      </c>
      <c r="AB1464">
        <v>26</v>
      </c>
      <c r="AC1464">
        <v>-5.6700000000006398E-2</v>
      </c>
      <c r="AD1464">
        <v>-5.6806000000000099E-2</v>
      </c>
      <c r="AE1464">
        <v>-0.63260000000002403</v>
      </c>
      <c r="AF1464">
        <v>8.3156026768314295E-2</v>
      </c>
      <c r="AG1464">
        <v>-5.6806000000000099E-2</v>
      </c>
      <c r="AH1464">
        <v>0.62458426497286201</v>
      </c>
      <c r="AI1464">
        <v>95.151549912062904</v>
      </c>
      <c r="AJ1464">
        <v>82.416341760561096</v>
      </c>
      <c r="AK1464">
        <v>0.63265104953329698</v>
      </c>
      <c r="AL1464">
        <v>79.114133490588998</v>
      </c>
      <c r="AM1464">
        <v>82.734857728087107</v>
      </c>
      <c r="AN1464">
        <v>0.999999938337088</v>
      </c>
    </row>
    <row r="1465" spans="1:40" x14ac:dyDescent="0.25">
      <c r="A1465" t="str">
        <f>"20190312172919296"</f>
        <v>20190312172919296</v>
      </c>
      <c r="B1465" t="str">
        <f>"1552382959288655"</f>
        <v>1552382959288655</v>
      </c>
      <c r="C1465" t="s">
        <v>40</v>
      </c>
      <c r="D1465">
        <v>3.56535</v>
      </c>
      <c r="E1465">
        <v>0.48876229999999998</v>
      </c>
      <c r="F1465" t="s">
        <v>41</v>
      </c>
      <c r="G1465">
        <v>-192.13390000000001</v>
      </c>
      <c r="H1465" s="1">
        <v>-2.845241E-6</v>
      </c>
      <c r="I1465">
        <v>324.89789999999999</v>
      </c>
      <c r="J1465">
        <v>-191.1071</v>
      </c>
      <c r="K1465">
        <v>1.1066640000000001</v>
      </c>
      <c r="L1465">
        <v>342.76139999999998</v>
      </c>
      <c r="M1465">
        <v>3.7682760000000003E-2</v>
      </c>
      <c r="N1465">
        <v>0</v>
      </c>
      <c r="O1465">
        <v>-0.99918709999999999</v>
      </c>
      <c r="P1465">
        <v>-8.1562280000000001E-2</v>
      </c>
      <c r="Q1465">
        <v>0.1744947</v>
      </c>
      <c r="R1465">
        <v>-0.98127439999999999</v>
      </c>
      <c r="S1465">
        <v>-0.1734619</v>
      </c>
      <c r="T1465">
        <v>-0.18784809999999999</v>
      </c>
      <c r="U1465">
        <v>-3.0772710000000001</v>
      </c>
      <c r="V1465">
        <v>0.1201943</v>
      </c>
      <c r="W1465">
        <v>0.18740319999999999</v>
      </c>
      <c r="X1465">
        <v>0.97490169999999998</v>
      </c>
      <c r="Y1465">
        <v>9.3762380000000006E-2</v>
      </c>
      <c r="Z1465">
        <v>6.0683149999999998E-2</v>
      </c>
      <c r="AA1465">
        <v>0.9937435</v>
      </c>
      <c r="AB1465">
        <v>26</v>
      </c>
      <c r="AC1465">
        <v>-1.0267999999999999</v>
      </c>
      <c r="AD1465">
        <v>-1.10666684524099</v>
      </c>
      <c r="AE1465">
        <v>-17.863499999999899</v>
      </c>
      <c r="AF1465">
        <v>1.69281006382563</v>
      </c>
      <c r="AG1465">
        <v>-1.10666684524099</v>
      </c>
      <c r="AH1465">
        <v>17.7442358238822</v>
      </c>
      <c r="AI1465">
        <v>93.552693715998501</v>
      </c>
      <c r="AJ1465">
        <v>84.550443143410902</v>
      </c>
      <c r="AK1465">
        <v>17.859121545924101</v>
      </c>
      <c r="AL1465">
        <v>79.198723191564099</v>
      </c>
      <c r="AM1465">
        <v>82.971549359476498</v>
      </c>
      <c r="AN1465">
        <v>0.99999997689280895</v>
      </c>
    </row>
    <row r="1466" spans="1:40" x14ac:dyDescent="0.25">
      <c r="A1466" t="str">
        <f>"20190312172919317"</f>
        <v>20190312172919317</v>
      </c>
      <c r="B1466" t="str">
        <f>"1552382959309150"</f>
        <v>1552382959309150</v>
      </c>
      <c r="C1466" t="s">
        <v>40</v>
      </c>
      <c r="D1466">
        <v>3.567564</v>
      </c>
      <c r="E1466">
        <v>0.48860350000000002</v>
      </c>
      <c r="F1466" t="s">
        <v>41</v>
      </c>
      <c r="G1466">
        <v>-192.1183</v>
      </c>
      <c r="H1466" s="1">
        <v>-2.952006E-6</v>
      </c>
      <c r="I1466">
        <v>325.15649999999999</v>
      </c>
      <c r="J1466">
        <v>-191.10300000000001</v>
      </c>
      <c r="K1466">
        <v>1.1069249999999999</v>
      </c>
      <c r="L1466">
        <v>342.49880000000002</v>
      </c>
      <c r="M1466">
        <v>3.2772210000000003E-2</v>
      </c>
      <c r="N1466">
        <v>0</v>
      </c>
      <c r="O1466">
        <v>-0.99936060000000004</v>
      </c>
      <c r="P1466">
        <v>-8.2788269999999997E-2</v>
      </c>
      <c r="Q1466">
        <v>0.17263399999999901</v>
      </c>
      <c r="R1466">
        <v>-0.9815007</v>
      </c>
      <c r="S1466">
        <v>-0.1767426</v>
      </c>
      <c r="T1466">
        <v>-0.1934218</v>
      </c>
      <c r="U1466">
        <v>-3.076965</v>
      </c>
      <c r="V1466">
        <v>0.1164859</v>
      </c>
      <c r="W1466">
        <v>0.1856245</v>
      </c>
      <c r="X1466">
        <v>0.97569189999999995</v>
      </c>
      <c r="Y1466">
        <v>8.9924509999999999E-2</v>
      </c>
      <c r="Z1466">
        <v>6.250841E-2</v>
      </c>
      <c r="AA1466">
        <v>0.99398509999999995</v>
      </c>
      <c r="AB1466">
        <v>26</v>
      </c>
      <c r="AC1466">
        <v>-1.0153000000000201</v>
      </c>
      <c r="AD1466">
        <v>-1.106927952006</v>
      </c>
      <c r="AE1466">
        <v>-17.342300000000002</v>
      </c>
      <c r="AF1466">
        <v>1.5767562742183201</v>
      </c>
      <c r="AG1466">
        <v>-1.106927952006</v>
      </c>
      <c r="AH1466">
        <v>17.2297506699039</v>
      </c>
      <c r="AI1466">
        <v>93.660669479536907</v>
      </c>
      <c r="AJ1466">
        <v>84.771221829742899</v>
      </c>
      <c r="AK1466">
        <v>17.337120810165501</v>
      </c>
      <c r="AL1466">
        <v>79.302456283013896</v>
      </c>
      <c r="AM1466">
        <v>83.191796598470603</v>
      </c>
      <c r="AN1466">
        <v>1.00000005181233</v>
      </c>
    </row>
    <row r="1467" spans="1:40" x14ac:dyDescent="0.25">
      <c r="A1467" t="str">
        <f>"20190312172919337"</f>
        <v>20190312172919337</v>
      </c>
      <c r="B1467" t="str">
        <f>"1552382959328671"</f>
        <v>1552382959328671</v>
      </c>
      <c r="C1467" t="s">
        <v>40</v>
      </c>
      <c r="D1467">
        <v>3.571024</v>
      </c>
      <c r="E1467">
        <v>0.48603839999999998</v>
      </c>
      <c r="F1467" t="s">
        <v>41</v>
      </c>
      <c r="G1467">
        <v>-192.11099999999999</v>
      </c>
      <c r="H1467" s="1">
        <v>-3.0749590000000001E-6</v>
      </c>
      <c r="I1467">
        <v>325.44760000000002</v>
      </c>
      <c r="J1467">
        <v>-191.1001</v>
      </c>
      <c r="K1467">
        <v>1.1071879999999901</v>
      </c>
      <c r="L1467">
        <v>342.27210000000002</v>
      </c>
      <c r="M1467">
        <v>2.8870570000000002E-2</v>
      </c>
      <c r="N1467">
        <v>0</v>
      </c>
      <c r="O1467">
        <v>-0.99948150000000002</v>
      </c>
      <c r="P1467">
        <v>-8.4882810000000003E-2</v>
      </c>
      <c r="Q1467">
        <v>0.17431199999999999</v>
      </c>
      <c r="R1467">
        <v>-0.98102529999999999</v>
      </c>
      <c r="S1467">
        <v>-0.18185419999999999</v>
      </c>
      <c r="T1467">
        <v>-0.1997073</v>
      </c>
      <c r="U1467">
        <v>-3.0762939999999999</v>
      </c>
      <c r="V1467">
        <v>0.11464249999999999</v>
      </c>
      <c r="W1467">
        <v>0.18735550000000001</v>
      </c>
      <c r="X1467">
        <v>0.97557930000000004</v>
      </c>
      <c r="Y1467">
        <v>8.7687000000000001E-2</v>
      </c>
      <c r="Z1467">
        <v>6.4560350000000002E-2</v>
      </c>
      <c r="AA1467">
        <v>0.99405379999999999</v>
      </c>
      <c r="AB1467">
        <v>26</v>
      </c>
      <c r="AC1467">
        <v>-1.0108999999999899</v>
      </c>
      <c r="AD1467">
        <v>-1.1071910749589999</v>
      </c>
      <c r="AE1467">
        <v>-16.8245</v>
      </c>
      <c r="AF1467">
        <v>1.4898319509350699</v>
      </c>
      <c r="AG1467">
        <v>-1.1071910749589999</v>
      </c>
      <c r="AH1467">
        <v>16.716164461677899</v>
      </c>
      <c r="AI1467">
        <v>93.774519049923995</v>
      </c>
      <c r="AJ1467">
        <v>84.906957401574701</v>
      </c>
      <c r="AK1467">
        <v>16.8189067905248</v>
      </c>
      <c r="AL1467">
        <v>79.201505497604003</v>
      </c>
      <c r="AM1467">
        <v>83.297782918520397</v>
      </c>
      <c r="AN1467">
        <v>0.99999997838749399</v>
      </c>
    </row>
    <row r="1468" spans="1:40" x14ac:dyDescent="0.25">
      <c r="A1468" t="str">
        <f>"20190312172919362"</f>
        <v>20190312172919362</v>
      </c>
      <c r="B1468" t="str">
        <f>"1552382959358926"</f>
        <v>1552382959358926</v>
      </c>
      <c r="C1468" t="s">
        <v>40</v>
      </c>
      <c r="D1468">
        <v>3.5556049999999999</v>
      </c>
      <c r="E1468">
        <v>0.4858575</v>
      </c>
      <c r="F1468" t="s">
        <v>42</v>
      </c>
      <c r="G1468">
        <v>-191.1447</v>
      </c>
      <c r="H1468">
        <v>1.0513570000000001</v>
      </c>
      <c r="I1468">
        <v>341.45359999999999</v>
      </c>
      <c r="J1468">
        <v>-191.09729999999999</v>
      </c>
      <c r="K1468">
        <v>1.1075440000000001</v>
      </c>
      <c r="L1468">
        <v>341.99020000000002</v>
      </c>
      <c r="M1468">
        <v>2.4446300000000001E-2</v>
      </c>
      <c r="N1468">
        <v>0</v>
      </c>
      <c r="O1468">
        <v>-0.99960020000000005</v>
      </c>
      <c r="P1468">
        <v>-8.8684299999999994E-2</v>
      </c>
      <c r="Q1468">
        <v>0.17613719999999999</v>
      </c>
      <c r="R1468">
        <v>-0.98036279999999998</v>
      </c>
      <c r="S1468">
        <v>-0.167007399999999</v>
      </c>
      <c r="T1468">
        <v>-0.21027299999999999</v>
      </c>
      <c r="U1468">
        <v>-3.0809329999999999</v>
      </c>
      <c r="V1468">
        <v>0.1139474</v>
      </c>
      <c r="W1468">
        <v>0.1892404</v>
      </c>
      <c r="X1468">
        <v>0.97529690000000002</v>
      </c>
      <c r="Y1468">
        <v>7.8398999999999996E-2</v>
      </c>
      <c r="Z1468">
        <v>6.7906430000000004E-2</v>
      </c>
      <c r="AA1468">
        <v>0.99460660000000001</v>
      </c>
      <c r="AB1468">
        <v>26</v>
      </c>
      <c r="AC1468">
        <v>-4.7400000000010302E-2</v>
      </c>
      <c r="AD1468">
        <v>-5.6187000000000202E-2</v>
      </c>
      <c r="AE1468">
        <v>-0.53660000000002095</v>
      </c>
      <c r="AF1468">
        <v>5.98538808571209E-2</v>
      </c>
      <c r="AG1468">
        <v>-5.6187000000000202E-2</v>
      </c>
      <c r="AH1468">
        <v>0.52952000545528</v>
      </c>
      <c r="AI1468">
        <v>96.018906200133998</v>
      </c>
      <c r="AJ1468">
        <v>83.550989055794105</v>
      </c>
      <c r="AK1468">
        <v>0.53584596872610502</v>
      </c>
      <c r="AL1468">
        <v>79.091541762535797</v>
      </c>
      <c r="AM1468">
        <v>83.336141772106402</v>
      </c>
      <c r="AN1468">
        <v>0.99999999105426496</v>
      </c>
    </row>
    <row r="1469" spans="1:40" x14ac:dyDescent="0.25">
      <c r="A1469" t="str">
        <f>"20190312172919382"</f>
        <v>20190312172919382</v>
      </c>
      <c r="B1469" t="str">
        <f>"1552382959378447"</f>
        <v>1552382959378447</v>
      </c>
      <c r="C1469" t="s">
        <v>40</v>
      </c>
      <c r="D1469">
        <v>3.5749620000000002</v>
      </c>
      <c r="E1469">
        <v>0.48568699999999998</v>
      </c>
      <c r="F1469" t="s">
        <v>41</v>
      </c>
      <c r="G1469">
        <v>-192.06460000000001</v>
      </c>
      <c r="H1469" s="1">
        <v>-2.8129760000000002E-6</v>
      </c>
      <c r="I1469">
        <v>324.8657</v>
      </c>
      <c r="J1469">
        <v>-191.09549999999999</v>
      </c>
      <c r="K1469">
        <v>1.107847</v>
      </c>
      <c r="L1469">
        <v>341.76060000000001</v>
      </c>
      <c r="M1469">
        <v>2.1250769999999999E-2</v>
      </c>
      <c r="N1469">
        <v>0</v>
      </c>
      <c r="O1469">
        <v>-0.9996737</v>
      </c>
      <c r="P1469">
        <v>-8.9384699999999997E-2</v>
      </c>
      <c r="Q1469">
        <v>0.17500209999999999</v>
      </c>
      <c r="R1469">
        <v>-0.9805026</v>
      </c>
      <c r="S1469">
        <v>-0.17399600000000001</v>
      </c>
      <c r="T1469">
        <v>-0.1992111</v>
      </c>
      <c r="U1469">
        <v>-3.080139</v>
      </c>
      <c r="V1469">
        <v>0.1113773</v>
      </c>
      <c r="W1469">
        <v>0.18818070000000001</v>
      </c>
      <c r="X1469">
        <v>0.97579870000000002</v>
      </c>
      <c r="Y1469">
        <v>7.7489000000000002E-2</v>
      </c>
      <c r="Z1469">
        <v>6.4371150000000002E-2</v>
      </c>
      <c r="AA1469">
        <v>0.99491300000000005</v>
      </c>
      <c r="AB1469">
        <v>26</v>
      </c>
      <c r="AC1469">
        <v>-0.96910000000002505</v>
      </c>
      <c r="AD1469">
        <v>-1.1078498129759999</v>
      </c>
      <c r="AE1469">
        <v>-16.8949</v>
      </c>
      <c r="AF1469">
        <v>1.3222798912345901</v>
      </c>
      <c r="AG1469">
        <v>-1.1078498129759999</v>
      </c>
      <c r="AH1469">
        <v>16.7984941170693</v>
      </c>
      <c r="AI1469">
        <v>93.761554084773707</v>
      </c>
      <c r="AJ1469">
        <v>85.499289056422697</v>
      </c>
      <c r="AK1469">
        <v>16.886833922322101</v>
      </c>
      <c r="AL1469">
        <v>79.153368966511906</v>
      </c>
      <c r="AM1469">
        <v>83.488460633436802</v>
      </c>
      <c r="AN1469">
        <v>0.99999999086473401</v>
      </c>
    </row>
    <row r="1470" spans="1:40" x14ac:dyDescent="0.25">
      <c r="A1470" t="str">
        <f>"20190312172919405"</f>
        <v>20190312172919405</v>
      </c>
      <c r="B1470" t="str">
        <f>"1552382959398943"</f>
        <v>1552382959398943</v>
      </c>
      <c r="C1470" t="s">
        <v>40</v>
      </c>
      <c r="D1470">
        <v>3.5589629999999999</v>
      </c>
      <c r="E1470">
        <v>0.4854888</v>
      </c>
      <c r="F1470" t="s">
        <v>41</v>
      </c>
      <c r="G1470">
        <v>-192.03890000000001</v>
      </c>
      <c r="H1470" s="1">
        <v>-2.8991319999999999E-6</v>
      </c>
      <c r="I1470">
        <v>325.08249999999998</v>
      </c>
      <c r="J1470">
        <v>-191.09379999999999</v>
      </c>
      <c r="K1470">
        <v>1.108204</v>
      </c>
      <c r="L1470">
        <v>341.49400000000003</v>
      </c>
      <c r="M1470">
        <v>1.8013749999999999E-2</v>
      </c>
      <c r="N1470">
        <v>0</v>
      </c>
      <c r="O1470">
        <v>-0.99973780000000001</v>
      </c>
      <c r="P1470">
        <v>-8.9463669999999995E-2</v>
      </c>
      <c r="Q1470">
        <v>0.172483</v>
      </c>
      <c r="R1470">
        <v>-0.98094170000000003</v>
      </c>
      <c r="S1470">
        <v>-0.17425539999999901</v>
      </c>
      <c r="T1470">
        <v>-0.20461180000000001</v>
      </c>
      <c r="U1470">
        <v>-3.0803219999999998</v>
      </c>
      <c r="V1470">
        <v>0.10811850000000001</v>
      </c>
      <c r="W1470">
        <v>0.18575330000000001</v>
      </c>
      <c r="X1470">
        <v>0.97663</v>
      </c>
      <c r="Y1470">
        <v>7.4334159999999996E-2</v>
      </c>
      <c r="Z1470">
        <v>6.6118910000000003E-2</v>
      </c>
      <c r="AA1470">
        <v>0.99503900000000001</v>
      </c>
      <c r="AB1470">
        <v>26</v>
      </c>
      <c r="AC1470">
        <v>-0.94510000000002403</v>
      </c>
      <c r="AD1470">
        <v>-1.108206899132</v>
      </c>
      <c r="AE1470">
        <v>-16.4115</v>
      </c>
      <c r="AF1470">
        <v>1.2349961051306799</v>
      </c>
      <c r="AG1470">
        <v>-1.108206899132</v>
      </c>
      <c r="AH1470">
        <v>16.317650852683499</v>
      </c>
      <c r="AI1470">
        <v>93.874208097140496</v>
      </c>
      <c r="AJ1470">
        <v>85.671839097492807</v>
      </c>
      <c r="AK1470">
        <v>16.401800732268899</v>
      </c>
      <c r="AL1470">
        <v>79.294945710919706</v>
      </c>
      <c r="AM1470">
        <v>83.682754798546398</v>
      </c>
      <c r="AN1470">
        <v>1.0000000277015599</v>
      </c>
    </row>
    <row r="1471" spans="1:40" x14ac:dyDescent="0.25">
      <c r="A1471" t="str">
        <f>"20190312172919427"</f>
        <v>20190312172919427</v>
      </c>
      <c r="B1471" t="str">
        <f>"1552382959418463"</f>
        <v>1552382959418463</v>
      </c>
      <c r="C1471" t="s">
        <v>40</v>
      </c>
      <c r="D1471">
        <v>3.5453549999999998</v>
      </c>
      <c r="E1471">
        <v>0.48513010000000001</v>
      </c>
      <c r="F1471" t="s">
        <v>42</v>
      </c>
      <c r="G1471">
        <v>-191.1474</v>
      </c>
      <c r="H1471">
        <v>1.042597</v>
      </c>
      <c r="I1471">
        <v>340.55239999999998</v>
      </c>
      <c r="J1471">
        <v>-191.0924</v>
      </c>
      <c r="K1471">
        <v>1.1085259999999999</v>
      </c>
      <c r="L1471">
        <v>341.2439</v>
      </c>
      <c r="M1471">
        <v>1.544799E-2</v>
      </c>
      <c r="N1471">
        <v>0</v>
      </c>
      <c r="O1471">
        <v>-0.99978109999999998</v>
      </c>
      <c r="P1471">
        <v>-9.0656329999999993E-2</v>
      </c>
      <c r="Q1471">
        <v>0.17194329999999999</v>
      </c>
      <c r="R1471">
        <v>-0.9809272</v>
      </c>
      <c r="S1471">
        <v>-0.1749115</v>
      </c>
      <c r="T1471">
        <v>-0.2147694</v>
      </c>
      <c r="U1471">
        <v>-3.0800779999999999</v>
      </c>
      <c r="V1471">
        <v>0.1066478</v>
      </c>
      <c r="W1471">
        <v>0.18527959999999999</v>
      </c>
      <c r="X1471">
        <v>0.97688160000000002</v>
      </c>
      <c r="Y1471">
        <v>7.1977799999999995E-2</v>
      </c>
      <c r="Z1471">
        <v>6.9401320000000002E-2</v>
      </c>
      <c r="AA1471">
        <v>0.99498880000000001</v>
      </c>
      <c r="AB1471">
        <v>26</v>
      </c>
      <c r="AC1471">
        <v>-5.50000000000068E-2</v>
      </c>
      <c r="AD1471">
        <v>-6.5929000000000099E-2</v>
      </c>
      <c r="AE1471">
        <v>-0.69150000000001899</v>
      </c>
      <c r="AF1471">
        <v>6.5088839865409601E-2</v>
      </c>
      <c r="AG1471">
        <v>-6.5929000000000099E-2</v>
      </c>
      <c r="AH1471">
        <v>0.68438571936307502</v>
      </c>
      <c r="AI1471">
        <v>95.477933987840203</v>
      </c>
      <c r="AJ1471">
        <v>84.567197433436604</v>
      </c>
      <c r="AK1471">
        <v>0.69062797726716696</v>
      </c>
      <c r="AL1471">
        <v>79.322565577937496</v>
      </c>
      <c r="AM1471">
        <v>83.769597885414001</v>
      </c>
      <c r="AN1471">
        <v>0.99999997191977896</v>
      </c>
    </row>
    <row r="1472" spans="1:40" x14ac:dyDescent="0.25">
      <c r="A1472" t="str">
        <f>"20190312172919450"</f>
        <v>20190312172919450</v>
      </c>
      <c r="B1472" t="str">
        <f>"1552382959438962"</f>
        <v>1552382959438962</v>
      </c>
      <c r="C1472" t="s">
        <v>40</v>
      </c>
      <c r="D1472">
        <v>3.5583170000000002</v>
      </c>
      <c r="E1472">
        <v>0.48477890000000001</v>
      </c>
      <c r="F1472" t="s">
        <v>42</v>
      </c>
      <c r="G1472">
        <v>-191.14490000000001</v>
      </c>
      <c r="H1472">
        <v>1.0440469999999999</v>
      </c>
      <c r="I1472">
        <v>340.32240000000002</v>
      </c>
      <c r="J1472">
        <v>-191.09119999999999</v>
      </c>
      <c r="K1472">
        <v>1.108827</v>
      </c>
      <c r="L1472">
        <v>340.97809999999998</v>
      </c>
      <c r="M1472">
        <v>1.3123340000000001E-2</v>
      </c>
      <c r="N1472">
        <v>0</v>
      </c>
      <c r="O1472">
        <v>-0.9998146</v>
      </c>
      <c r="P1472">
        <v>-9.1712829999999995E-2</v>
      </c>
      <c r="Q1472">
        <v>0.17374010000000001</v>
      </c>
      <c r="R1472">
        <v>-0.98051200000000005</v>
      </c>
      <c r="S1472">
        <v>-0.17552190000000001</v>
      </c>
      <c r="T1472">
        <v>-0.21550269999999999</v>
      </c>
      <c r="U1472">
        <v>-3.079895</v>
      </c>
      <c r="V1472">
        <v>0.1052935</v>
      </c>
      <c r="W1472">
        <v>0.18712690000000001</v>
      </c>
      <c r="X1472">
        <v>0.9766764</v>
      </c>
      <c r="Y1472">
        <v>6.9857489999999994E-2</v>
      </c>
      <c r="Z1472">
        <v>6.9649610000000001E-2</v>
      </c>
      <c r="AA1472">
        <v>0.99512259999999997</v>
      </c>
      <c r="AB1472">
        <v>26</v>
      </c>
      <c r="AC1472">
        <v>-5.3700000000020502E-2</v>
      </c>
      <c r="AD1472">
        <v>-6.4780000000000004E-2</v>
      </c>
      <c r="AE1472">
        <v>-0.65569999999996698</v>
      </c>
      <c r="AF1472">
        <v>6.17029645654169E-2</v>
      </c>
      <c r="AG1472">
        <v>-6.4780000000000004E-2</v>
      </c>
      <c r="AH1472">
        <v>0.64864977287270997</v>
      </c>
      <c r="AI1472">
        <v>95.677699465837506</v>
      </c>
      <c r="AJ1472">
        <v>84.566076109651505</v>
      </c>
      <c r="AK1472">
        <v>0.65479021990556496</v>
      </c>
      <c r="AL1472">
        <v>79.214839303495594</v>
      </c>
      <c r="AM1472">
        <v>83.846823436690897</v>
      </c>
      <c r="AN1472">
        <v>0.99999999408140905</v>
      </c>
    </row>
    <row r="1473" spans="1:40" x14ac:dyDescent="0.25">
      <c r="A1473" t="str">
        <f>"20190312172919486"</f>
        <v>20190312172919486</v>
      </c>
      <c r="B1473" t="str">
        <f>"1552382959478975"</f>
        <v>1552382959478975</v>
      </c>
      <c r="C1473" t="s">
        <v>40</v>
      </c>
      <c r="D1473">
        <v>3.6038860000000001</v>
      </c>
      <c r="E1473">
        <v>0.48138550000000002</v>
      </c>
      <c r="F1473" t="s">
        <v>42</v>
      </c>
      <c r="G1473">
        <v>-191.14089999999999</v>
      </c>
      <c r="H1473">
        <v>1.048538</v>
      </c>
      <c r="I1473">
        <v>340.08969999999999</v>
      </c>
      <c r="J1473">
        <v>-191.08969999999999</v>
      </c>
      <c r="K1473">
        <v>1.109218</v>
      </c>
      <c r="L1473">
        <v>340.57429999999999</v>
      </c>
      <c r="M1473">
        <v>1.033941E-2</v>
      </c>
      <c r="N1473">
        <v>0</v>
      </c>
      <c r="O1473">
        <v>-0.99984790000000001</v>
      </c>
      <c r="P1473">
        <v>-9.0485609999999994E-2</v>
      </c>
      <c r="Q1473">
        <v>0.17140159999999999</v>
      </c>
      <c r="R1473">
        <v>-0.98103759999999995</v>
      </c>
      <c r="S1473">
        <v>-0.17126459999999999</v>
      </c>
      <c r="T1473">
        <v>-0.20934459999999999</v>
      </c>
      <c r="U1473">
        <v>-3.0806580000000001</v>
      </c>
      <c r="V1473">
        <v>0.10115689999999999</v>
      </c>
      <c r="W1473">
        <v>0.1848738</v>
      </c>
      <c r="X1473">
        <v>0.97754229999999998</v>
      </c>
      <c r="Y1473">
        <v>6.5702079999999996E-2</v>
      </c>
      <c r="Z1473">
        <v>6.7667459999999999E-2</v>
      </c>
      <c r="AA1473">
        <v>0.99554219999999904</v>
      </c>
      <c r="AB1473">
        <v>26</v>
      </c>
      <c r="AC1473">
        <v>-5.1199999999994299E-2</v>
      </c>
      <c r="AD1473">
        <v>-6.0679999999999998E-2</v>
      </c>
      <c r="AE1473">
        <v>-0.48459999999999998</v>
      </c>
      <c r="AF1473">
        <v>5.5349971536579098E-2</v>
      </c>
      <c r="AG1473">
        <v>-6.0679999999999998E-2</v>
      </c>
      <c r="AH1473">
        <v>0.47665361167304698</v>
      </c>
      <c r="AI1473">
        <v>97.207054219159204</v>
      </c>
      <c r="AJ1473">
        <v>83.376364823220797</v>
      </c>
      <c r="AK1473">
        <v>0.483677937547352</v>
      </c>
      <c r="AL1473">
        <v>79.346225184856294</v>
      </c>
      <c r="AM1473">
        <v>84.092012763822495</v>
      </c>
      <c r="AN1473">
        <v>0.99999999431666997</v>
      </c>
    </row>
    <row r="1474" spans="1:40" x14ac:dyDescent="0.25">
      <c r="A1474" t="str">
        <f>"20190312172919508"</f>
        <v>20190312172919508</v>
      </c>
      <c r="B1474" t="str">
        <f>"1552382959498495"</f>
        <v>1552382959498495</v>
      </c>
      <c r="C1474" t="s">
        <v>40</v>
      </c>
      <c r="D1474">
        <v>3.6234229999999998</v>
      </c>
      <c r="E1474">
        <v>0.48106500000000002</v>
      </c>
      <c r="F1474" t="s">
        <v>42</v>
      </c>
      <c r="G1474">
        <v>-191.13229999999999</v>
      </c>
      <c r="H1474">
        <v>1.0419889999999901</v>
      </c>
      <c r="I1474">
        <v>339.63929999999999</v>
      </c>
      <c r="J1474">
        <v>-191.08879999999999</v>
      </c>
      <c r="K1474">
        <v>1.109464</v>
      </c>
      <c r="L1474">
        <v>340.31970000000001</v>
      </c>
      <c r="M1474">
        <v>9.1045369999999994E-3</v>
      </c>
      <c r="N1474">
        <v>0</v>
      </c>
      <c r="O1474">
        <v>-0.99986010000000003</v>
      </c>
      <c r="P1474">
        <v>-8.7632860000000007E-2</v>
      </c>
      <c r="Q1474">
        <v>0.16907339999999901</v>
      </c>
      <c r="R1474">
        <v>-0.98170009999999996</v>
      </c>
      <c r="S1474">
        <v>-0.1400604</v>
      </c>
      <c r="T1474">
        <v>-0.22178439999999999</v>
      </c>
      <c r="U1474">
        <v>-3.0838009999999998</v>
      </c>
      <c r="V1474">
        <v>9.6980469999999999E-2</v>
      </c>
      <c r="W1474">
        <v>0.18260609999999999</v>
      </c>
      <c r="X1474">
        <v>0.97839140000000002</v>
      </c>
      <c r="Y1474">
        <v>5.4348920000000002E-2</v>
      </c>
      <c r="Z1474">
        <v>7.1639649999999999E-2</v>
      </c>
      <c r="AA1474">
        <v>0.99594879999999997</v>
      </c>
      <c r="AB1474">
        <v>25</v>
      </c>
      <c r="AC1474">
        <v>-4.3499999999994501E-2</v>
      </c>
      <c r="AD1474">
        <v>-6.7475000000000104E-2</v>
      </c>
      <c r="AE1474">
        <v>-0.68040000000001999</v>
      </c>
      <c r="AF1474">
        <v>4.9211527536738901E-2</v>
      </c>
      <c r="AG1474">
        <v>-6.7475000000000104E-2</v>
      </c>
      <c r="AH1474">
        <v>0.67338023345889397</v>
      </c>
      <c r="AI1474">
        <v>95.707013338444995</v>
      </c>
      <c r="AJ1474">
        <v>85.820178590643295</v>
      </c>
      <c r="AK1474">
        <v>0.678539305332163</v>
      </c>
      <c r="AL1474">
        <v>79.478404929704297</v>
      </c>
      <c r="AM1474">
        <v>84.339198057780393</v>
      </c>
      <c r="AN1474">
        <v>0.99999996545629399</v>
      </c>
    </row>
    <row r="1475" spans="1:40" x14ac:dyDescent="0.25">
      <c r="A1475" t="str">
        <f>"20190312172919527"</f>
        <v>20190312172919527</v>
      </c>
      <c r="B1475" t="str">
        <f>"1552382959518991"</f>
        <v>1552382959518991</v>
      </c>
      <c r="C1475" t="s">
        <v>40</v>
      </c>
      <c r="D1475">
        <v>3.6721680000000001</v>
      </c>
      <c r="E1475">
        <v>0.48073660000000001</v>
      </c>
      <c r="F1475" t="s">
        <v>42</v>
      </c>
      <c r="G1475">
        <v>-191.1275</v>
      </c>
      <c r="H1475">
        <v>1.0409379999999999</v>
      </c>
      <c r="I1475">
        <v>339.41230000000002</v>
      </c>
      <c r="J1475">
        <v>-191.08799999999999</v>
      </c>
      <c r="K1475">
        <v>1.1096820000000001</v>
      </c>
      <c r="L1475">
        <v>340.09379999999999</v>
      </c>
      <c r="M1475">
        <v>8.2626069999999999E-3</v>
      </c>
      <c r="N1475">
        <v>0</v>
      </c>
      <c r="O1475">
        <v>-0.99986759999999997</v>
      </c>
      <c r="P1475">
        <v>-8.6431499999999994E-2</v>
      </c>
      <c r="Q1475">
        <v>0.16901479999999999</v>
      </c>
      <c r="R1475">
        <v>-0.98181660000000004</v>
      </c>
      <c r="S1475">
        <v>-0.13133239999999999</v>
      </c>
      <c r="T1475">
        <v>-0.2329407</v>
      </c>
      <c r="U1475">
        <v>-3.084381</v>
      </c>
      <c r="V1475">
        <v>9.485623E-2</v>
      </c>
      <c r="W1475">
        <v>0.1825888</v>
      </c>
      <c r="X1475">
        <v>0.97860290000000005</v>
      </c>
      <c r="Y1475">
        <v>5.067522E-2</v>
      </c>
      <c r="Z1475">
        <v>7.5222059999999993E-2</v>
      </c>
      <c r="AA1475">
        <v>0.99587829999999999</v>
      </c>
      <c r="AB1475">
        <v>25</v>
      </c>
      <c r="AC1475">
        <v>-3.9500000000003803E-2</v>
      </c>
      <c r="AD1475">
        <v>-6.8744000000000097E-2</v>
      </c>
      <c r="AE1475">
        <v>-0.68149999999997102</v>
      </c>
      <c r="AF1475">
        <v>4.4677100326642301E-2</v>
      </c>
      <c r="AG1475">
        <v>-6.8744000000000097E-2</v>
      </c>
      <c r="AH1475">
        <v>0.67431211860634399</v>
      </c>
      <c r="AI1475">
        <v>95.808366324388899</v>
      </c>
      <c r="AJ1475">
        <v>86.209361596711602</v>
      </c>
      <c r="AK1475">
        <v>0.67927800945487204</v>
      </c>
      <c r="AL1475">
        <v>79.479413517790306</v>
      </c>
      <c r="AM1475">
        <v>84.4636012034765</v>
      </c>
      <c r="AN1475">
        <v>1.0000000050718301</v>
      </c>
    </row>
    <row r="1476" spans="1:40" x14ac:dyDescent="0.25">
      <c r="A1476" t="str">
        <f>"20190312172919551"</f>
        <v>20190312172919551</v>
      </c>
      <c r="B1476" t="str">
        <f>"1552382959538514"</f>
        <v>1552382959538514</v>
      </c>
      <c r="C1476" t="s">
        <v>40</v>
      </c>
      <c r="D1476">
        <v>3.677597</v>
      </c>
      <c r="E1476">
        <v>0.48053600000000002</v>
      </c>
      <c r="F1476" t="s">
        <v>42</v>
      </c>
      <c r="G1476">
        <v>-191.12459999999999</v>
      </c>
      <c r="H1476">
        <v>1.0400039999999999</v>
      </c>
      <c r="I1476">
        <v>339.1857</v>
      </c>
      <c r="J1476">
        <v>-191.08690000000001</v>
      </c>
      <c r="K1476">
        <v>1.109952</v>
      </c>
      <c r="L1476">
        <v>339.83150000000001</v>
      </c>
      <c r="M1476">
        <v>7.6391999999999996E-3</v>
      </c>
      <c r="N1476">
        <v>0</v>
      </c>
      <c r="O1476">
        <v>-0.99987309999999996</v>
      </c>
      <c r="P1476">
        <v>-8.5295099999999999E-2</v>
      </c>
      <c r="Q1476">
        <v>0.17025499999999999</v>
      </c>
      <c r="R1476">
        <v>-0.98170210000000002</v>
      </c>
      <c r="S1476">
        <v>-0.1243134</v>
      </c>
      <c r="T1476">
        <v>-0.23684530000000001</v>
      </c>
      <c r="U1476">
        <v>-3.0854189999999999</v>
      </c>
      <c r="V1476">
        <v>9.2989359999999993E-2</v>
      </c>
      <c r="W1476">
        <v>0.1838737</v>
      </c>
      <c r="X1476">
        <v>0.97854149999999995</v>
      </c>
      <c r="Y1476">
        <v>4.777265E-2</v>
      </c>
      <c r="Z1476">
        <v>7.6459699999999894E-2</v>
      </c>
      <c r="AA1476">
        <v>0.99592760000000002</v>
      </c>
      <c r="AB1476">
        <v>25</v>
      </c>
      <c r="AC1476">
        <v>-3.7699999999972499E-2</v>
      </c>
      <c r="AD1476">
        <v>-6.9947999999999899E-2</v>
      </c>
      <c r="AE1476">
        <v>-0.64580000000000803</v>
      </c>
      <c r="AF1476">
        <v>4.2140088691559802E-2</v>
      </c>
      <c r="AG1476">
        <v>-6.9947999999999899E-2</v>
      </c>
      <c r="AH1476">
        <v>0.63803344214916302</v>
      </c>
      <c r="AI1476">
        <v>96.2428928313456</v>
      </c>
      <c r="AJ1476">
        <v>86.221283284224</v>
      </c>
      <c r="AK1476">
        <v>0.64323804542303098</v>
      </c>
      <c r="AL1476">
        <v>79.404526397037998</v>
      </c>
      <c r="AM1476">
        <v>84.571567494710706</v>
      </c>
      <c r="AN1476">
        <v>1.00000001292357</v>
      </c>
    </row>
    <row r="1477" spans="1:40" x14ac:dyDescent="0.25">
      <c r="A1477" t="str">
        <f>"20190312172919571"</f>
        <v>20190312172919571</v>
      </c>
      <c r="B1477" t="str">
        <f>"1552382959568767"</f>
        <v>1552382959568767</v>
      </c>
      <c r="C1477" t="s">
        <v>40</v>
      </c>
      <c r="D1477">
        <v>3.5592060000000001</v>
      </c>
      <c r="E1477">
        <v>0.4807362</v>
      </c>
      <c r="F1477" t="s">
        <v>42</v>
      </c>
      <c r="G1477">
        <v>-191.12010000000001</v>
      </c>
      <c r="H1477">
        <v>1.0439860000000001</v>
      </c>
      <c r="I1477">
        <v>338.95589999999999</v>
      </c>
      <c r="J1477">
        <v>-191.0855</v>
      </c>
      <c r="K1477">
        <v>1.1102019999999999</v>
      </c>
      <c r="L1477">
        <v>339.59129999999999</v>
      </c>
      <c r="M1477">
        <v>7.3922859999999996E-3</v>
      </c>
      <c r="N1477">
        <v>0</v>
      </c>
      <c r="O1477">
        <v>-0.99987519999999996</v>
      </c>
      <c r="P1477">
        <v>-8.2604300000000005E-2</v>
      </c>
      <c r="Q1477">
        <v>0.16979929999999999</v>
      </c>
      <c r="R1477">
        <v>-0.98201110000000003</v>
      </c>
      <c r="S1477">
        <v>-0.11653139999999899</v>
      </c>
      <c r="T1477">
        <v>-0.2327564</v>
      </c>
      <c r="U1477">
        <v>-3.0861209999999999</v>
      </c>
      <c r="V1477">
        <v>8.9946990000000004E-2</v>
      </c>
      <c r="W1477">
        <v>0.18346589999999999</v>
      </c>
      <c r="X1477">
        <v>0.9789023</v>
      </c>
      <c r="Y1477">
        <v>4.5012969999999999E-2</v>
      </c>
      <c r="Z1477">
        <v>7.5138960000000005E-2</v>
      </c>
      <c r="AA1477">
        <v>0.99615659999999895</v>
      </c>
      <c r="AB1477">
        <v>25</v>
      </c>
      <c r="AC1477">
        <v>-3.4600000000011698E-2</v>
      </c>
      <c r="AD1477">
        <v>-6.6215999999999997E-2</v>
      </c>
      <c r="AE1477">
        <v>-0.63540000000000396</v>
      </c>
      <c r="AF1477">
        <v>3.8875628115442401E-2</v>
      </c>
      <c r="AG1477">
        <v>-6.6215999999999997E-2</v>
      </c>
      <c r="AH1477">
        <v>0.62832339330683495</v>
      </c>
      <c r="AI1477">
        <v>96.004524964129104</v>
      </c>
      <c r="AJ1477">
        <v>86.459508480567493</v>
      </c>
      <c r="AK1477">
        <v>0.63299775646836698</v>
      </c>
      <c r="AL1477">
        <v>79.428295366893494</v>
      </c>
      <c r="AM1477">
        <v>84.750086792403906</v>
      </c>
      <c r="AN1477">
        <v>0.99999995520907903</v>
      </c>
    </row>
    <row r="1478" spans="1:40" x14ac:dyDescent="0.25">
      <c r="A1478" t="str">
        <f>"20190312172919595"</f>
        <v>20190312172919595</v>
      </c>
      <c r="B1478" t="str">
        <f>"1552382959589264"</f>
        <v>1552382959589264</v>
      </c>
      <c r="C1478" t="s">
        <v>40</v>
      </c>
      <c r="D1478">
        <v>3.6444960000000002</v>
      </c>
      <c r="E1478">
        <v>0.48075990000000002</v>
      </c>
      <c r="F1478" t="s">
        <v>42</v>
      </c>
      <c r="G1478">
        <v>-191.1163</v>
      </c>
      <c r="H1478">
        <v>1.0461069999999999</v>
      </c>
      <c r="I1478">
        <v>338.72750000000002</v>
      </c>
      <c r="J1478">
        <v>-191.0838</v>
      </c>
      <c r="K1478">
        <v>1.1104590000000001</v>
      </c>
      <c r="L1478">
        <v>339.33539999999999</v>
      </c>
      <c r="M1478">
        <v>7.4738519999999996E-3</v>
      </c>
      <c r="N1478">
        <v>0</v>
      </c>
      <c r="O1478">
        <v>-0.99987459999999995</v>
      </c>
      <c r="P1478">
        <v>-7.8066640000000007E-2</v>
      </c>
      <c r="Q1478">
        <v>0.1683683</v>
      </c>
      <c r="R1478">
        <v>-0.98262819999999995</v>
      </c>
      <c r="S1478">
        <v>-0.109191899999999</v>
      </c>
      <c r="T1478">
        <v>-0.22927359999999999</v>
      </c>
      <c r="U1478">
        <v>-3.0854189999999999</v>
      </c>
      <c r="V1478">
        <v>8.5378590000000004E-2</v>
      </c>
      <c r="W1478">
        <v>0.18208659999999999</v>
      </c>
      <c r="X1478">
        <v>0.97956880000000002</v>
      </c>
      <c r="Y1478">
        <v>4.2739329999999999E-2</v>
      </c>
      <c r="Z1478">
        <v>7.4044410000000005E-2</v>
      </c>
      <c r="AA1478">
        <v>0.99633870000000002</v>
      </c>
      <c r="AB1478">
        <v>25</v>
      </c>
      <c r="AC1478">
        <v>-3.2499999999998801E-2</v>
      </c>
      <c r="AD1478">
        <v>-6.4352000000000104E-2</v>
      </c>
      <c r="AE1478">
        <v>-0.60789999999997202</v>
      </c>
      <c r="AF1478">
        <v>3.6633535567349003E-2</v>
      </c>
      <c r="AG1478">
        <v>-6.4352000000000104E-2</v>
      </c>
      <c r="AH1478">
        <v>0.60092517733528505</v>
      </c>
      <c r="AI1478">
        <v>96.101167018388693</v>
      </c>
      <c r="AJ1478">
        <v>86.511458171331199</v>
      </c>
      <c r="AK1478">
        <v>0.60547028381879198</v>
      </c>
      <c r="AL1478">
        <v>79.508678354181299</v>
      </c>
      <c r="AM1478">
        <v>85.018724897178899</v>
      </c>
      <c r="AN1478">
        <v>1.0000000337316901</v>
      </c>
    </row>
    <row r="1479" spans="1:40" x14ac:dyDescent="0.25">
      <c r="A1479" t="str">
        <f>"20190312172919616"</f>
        <v>20190312172919616</v>
      </c>
      <c r="B1479" t="str">
        <f>"1552382959608782"</f>
        <v>1552382959608782</v>
      </c>
      <c r="C1479" t="s">
        <v>40</v>
      </c>
      <c r="D1479">
        <v>3.6136819999999998</v>
      </c>
      <c r="E1479">
        <v>0.48087809999999998</v>
      </c>
      <c r="F1479" t="s">
        <v>42</v>
      </c>
      <c r="G1479">
        <v>-191.11009999999999</v>
      </c>
      <c r="H1479">
        <v>1.046967</v>
      </c>
      <c r="I1479">
        <v>338.50060000000002</v>
      </c>
      <c r="J1479">
        <v>-191.08170000000001</v>
      </c>
      <c r="K1479">
        <v>1.110695</v>
      </c>
      <c r="L1479">
        <v>339.08980000000003</v>
      </c>
      <c r="M1479">
        <v>7.8780669999999903E-3</v>
      </c>
      <c r="N1479">
        <v>0</v>
      </c>
      <c r="O1479">
        <v>-0.99987150000000002</v>
      </c>
      <c r="P1479">
        <v>-7.4221239999999994E-2</v>
      </c>
      <c r="Q1479">
        <v>0.16921169999999999</v>
      </c>
      <c r="R1479">
        <v>-0.98278140000000003</v>
      </c>
      <c r="S1479">
        <v>-9.7000119999999995E-2</v>
      </c>
      <c r="T1479">
        <v>-0.23476469999999999</v>
      </c>
      <c r="U1479">
        <v>-3.0856319999999999</v>
      </c>
      <c r="V1479">
        <v>8.1826839999999998E-2</v>
      </c>
      <c r="W1479">
        <v>0.18296809999999999</v>
      </c>
      <c r="X1479">
        <v>0.97970769999999996</v>
      </c>
      <c r="Y1479">
        <v>3.9204070000000001E-2</v>
      </c>
      <c r="Z1479">
        <v>7.5812599999999994E-2</v>
      </c>
      <c r="AA1479">
        <v>0.99635110000000005</v>
      </c>
      <c r="AB1479">
        <v>25</v>
      </c>
      <c r="AC1479">
        <v>-2.8399999999976399E-2</v>
      </c>
      <c r="AD1479">
        <v>-6.3727999999999896E-2</v>
      </c>
      <c r="AE1479">
        <v>-0.58920000000000505</v>
      </c>
      <c r="AF1479">
        <v>3.2660134755097603E-2</v>
      </c>
      <c r="AG1479">
        <v>-6.3727999999999896E-2</v>
      </c>
      <c r="AH1479">
        <v>0.58216322591849601</v>
      </c>
      <c r="AI1479">
        <v>96.237425568460793</v>
      </c>
      <c r="AJ1479">
        <v>86.788996126643596</v>
      </c>
      <c r="AK1479">
        <v>0.58655090486508499</v>
      </c>
      <c r="AL1479">
        <v>79.457309520905696</v>
      </c>
      <c r="AM1479">
        <v>85.225641025494994</v>
      </c>
      <c r="AN1479">
        <v>1.00000006740064</v>
      </c>
    </row>
    <row r="1480" spans="1:40" x14ac:dyDescent="0.25">
      <c r="A1480" t="str">
        <f>"20190312172919639"</f>
        <v>20190312172919639</v>
      </c>
      <c r="B1480" t="str">
        <f>"1552382959629278"</f>
        <v>1552382959629278</v>
      </c>
      <c r="C1480" t="s">
        <v>40</v>
      </c>
      <c r="D1480">
        <v>3.6702349999999999</v>
      </c>
      <c r="E1480">
        <v>0.48099540000000002</v>
      </c>
      <c r="F1480" t="s">
        <v>42</v>
      </c>
      <c r="G1480">
        <v>-191.10480000000001</v>
      </c>
      <c r="H1480">
        <v>1.0491490000000001</v>
      </c>
      <c r="I1480">
        <v>338.27260000000001</v>
      </c>
      <c r="J1480">
        <v>-191.07910000000001</v>
      </c>
      <c r="K1480">
        <v>1.1109309999999999</v>
      </c>
      <c r="L1480">
        <v>338.8322</v>
      </c>
      <c r="M1480">
        <v>8.6227790000000006E-3</v>
      </c>
      <c r="N1480">
        <v>0</v>
      </c>
      <c r="O1480">
        <v>-0.99986580000000003</v>
      </c>
      <c r="P1480">
        <v>-7.0925589999999997E-2</v>
      </c>
      <c r="Q1480">
        <v>0.17149210000000001</v>
      </c>
      <c r="R1480">
        <v>-0.98262950000000004</v>
      </c>
      <c r="S1480">
        <v>-8.6883539999999995E-2</v>
      </c>
      <c r="T1480">
        <v>-0.2326066</v>
      </c>
      <c r="U1480">
        <v>-3.08609</v>
      </c>
      <c r="V1480">
        <v>7.9158489999999998E-2</v>
      </c>
      <c r="W1480">
        <v>0.18527730000000001</v>
      </c>
      <c r="X1480">
        <v>0.97949280000000005</v>
      </c>
      <c r="Y1480">
        <v>3.6681760000000001E-2</v>
      </c>
      <c r="Z1480">
        <v>7.5115130000000002E-2</v>
      </c>
      <c r="AA1480">
        <v>0.99650000000000005</v>
      </c>
      <c r="AB1480">
        <v>25</v>
      </c>
      <c r="AC1480">
        <v>-2.57000000000005E-2</v>
      </c>
      <c r="AD1480">
        <v>-6.1781999999999997E-2</v>
      </c>
      <c r="AE1480">
        <v>-0.559599999999989</v>
      </c>
      <c r="AF1480">
        <v>3.0157997184100602E-2</v>
      </c>
      <c r="AG1480">
        <v>-6.1781999999999997E-2</v>
      </c>
      <c r="AH1480">
        <v>0.55263565964893402</v>
      </c>
      <c r="AI1480">
        <v>96.369505667464495</v>
      </c>
      <c r="AJ1480">
        <v>86.876398181889002</v>
      </c>
      <c r="AK1480">
        <v>0.55689558503705905</v>
      </c>
      <c r="AL1480">
        <v>79.322699387570594</v>
      </c>
      <c r="AM1480">
        <v>85.379637356414193</v>
      </c>
      <c r="AN1480">
        <v>0.99999994484310295</v>
      </c>
    </row>
    <row r="1481" spans="1:40" x14ac:dyDescent="0.25">
      <c r="A1481" t="str">
        <f>"20190312172919662"</f>
        <v>20190312172919662</v>
      </c>
      <c r="B1481" t="str">
        <f>"1552382959658559"</f>
        <v>1552382959658559</v>
      </c>
      <c r="C1481" t="s">
        <v>40</v>
      </c>
      <c r="D1481">
        <v>3.66011</v>
      </c>
      <c r="E1481">
        <v>0.48099649999999999</v>
      </c>
      <c r="F1481" t="s">
        <v>41</v>
      </c>
      <c r="G1481">
        <v>-191.45509999999999</v>
      </c>
      <c r="H1481" s="1">
        <v>-2.1077580000000001E-6</v>
      </c>
      <c r="I1481">
        <v>323.59989999999999</v>
      </c>
      <c r="J1481">
        <v>-191.07599999999999</v>
      </c>
      <c r="K1481">
        <v>1.111138</v>
      </c>
      <c r="L1481">
        <v>338.57960000000003</v>
      </c>
      <c r="M1481">
        <v>9.6414139999999992E-3</v>
      </c>
      <c r="N1481">
        <v>0</v>
      </c>
      <c r="O1481">
        <v>-0.99985650000000004</v>
      </c>
      <c r="P1481">
        <v>-6.6954189999999997E-2</v>
      </c>
      <c r="Q1481">
        <v>0.17318459999999999</v>
      </c>
      <c r="R1481">
        <v>-0.98261129999999997</v>
      </c>
      <c r="S1481">
        <v>-7.6202389999999995E-2</v>
      </c>
      <c r="T1481">
        <v>-0.2251341</v>
      </c>
      <c r="U1481">
        <v>-3.086884</v>
      </c>
      <c r="V1481">
        <v>7.6096510000000006E-2</v>
      </c>
      <c r="W1481">
        <v>0.18699389999999999</v>
      </c>
      <c r="X1481">
        <v>0.97940930000000004</v>
      </c>
      <c r="Y1481">
        <v>3.4251299999999998E-2</v>
      </c>
      <c r="Z1481">
        <v>7.2701870000000002E-2</v>
      </c>
      <c r="AA1481">
        <v>0.99676540000000002</v>
      </c>
      <c r="AB1481">
        <v>25</v>
      </c>
      <c r="AC1481">
        <v>-0.379099999999993</v>
      </c>
      <c r="AD1481">
        <v>-1.1111401077580001</v>
      </c>
      <c r="AE1481">
        <v>-14.979699999999999</v>
      </c>
      <c r="AF1481">
        <v>0.52065897492538604</v>
      </c>
      <c r="AG1481">
        <v>-1.1111401077580001</v>
      </c>
      <c r="AH1481">
        <v>14.8934548196001</v>
      </c>
      <c r="AI1481">
        <v>94.264105421880899</v>
      </c>
      <c r="AJ1481">
        <v>87.997817265651193</v>
      </c>
      <c r="AK1481">
        <v>14.9439189830081</v>
      </c>
      <c r="AL1481">
        <v>79.222596495222305</v>
      </c>
      <c r="AM1481">
        <v>85.557253626683405</v>
      </c>
      <c r="AN1481">
        <v>0.99999998719894001</v>
      </c>
    </row>
    <row r="1482" spans="1:40" x14ac:dyDescent="0.25">
      <c r="A1482" t="str">
        <f>"20190312172919686"</f>
        <v>20190312172919686</v>
      </c>
      <c r="B1482" t="str">
        <f>"1552382959679055"</f>
        <v>1552382959679055</v>
      </c>
      <c r="C1482" t="s">
        <v>40</v>
      </c>
      <c r="D1482">
        <v>3.7026129999999999</v>
      </c>
      <c r="E1482">
        <v>0.48107850000000002</v>
      </c>
      <c r="F1482" t="s">
        <v>41</v>
      </c>
      <c r="G1482">
        <v>-191.39850000000001</v>
      </c>
      <c r="H1482" s="1">
        <v>-1.7948069999999999E-6</v>
      </c>
      <c r="I1482">
        <v>322.90550000000002</v>
      </c>
      <c r="J1482">
        <v>-191.0719</v>
      </c>
      <c r="K1482">
        <v>1.1113280000000001</v>
      </c>
      <c r="L1482">
        <v>338.3048</v>
      </c>
      <c r="M1482">
        <v>1.103285E-2</v>
      </c>
      <c r="N1482">
        <v>0</v>
      </c>
      <c r="O1482">
        <v>-0.99984229999999996</v>
      </c>
      <c r="P1482">
        <v>-6.1686640000000001E-2</v>
      </c>
      <c r="Q1482">
        <v>0.17341699999999999</v>
      </c>
      <c r="R1482">
        <v>-0.98291490000000004</v>
      </c>
      <c r="S1482">
        <v>-6.35376E-2</v>
      </c>
      <c r="T1482">
        <v>-0.21886169999999999</v>
      </c>
      <c r="U1482">
        <v>-3.0873409999999999</v>
      </c>
      <c r="V1482">
        <v>7.2115639999999995E-2</v>
      </c>
      <c r="W1482">
        <v>0.18724769999999999</v>
      </c>
      <c r="X1482">
        <v>0.97966200000000003</v>
      </c>
      <c r="Y1482">
        <v>3.1554550000000001E-2</v>
      </c>
      <c r="Z1482">
        <v>7.0681069999999999E-2</v>
      </c>
      <c r="AA1482">
        <v>0.99699970000000004</v>
      </c>
      <c r="AB1482">
        <v>25</v>
      </c>
      <c r="AC1482">
        <v>-0.32660000000001299</v>
      </c>
      <c r="AD1482">
        <v>-1.111329794807</v>
      </c>
      <c r="AE1482">
        <v>-15.399299999999901</v>
      </c>
      <c r="AF1482">
        <v>0.49392346424955802</v>
      </c>
      <c r="AG1482">
        <v>-1.111329794807</v>
      </c>
      <c r="AH1482">
        <v>15.3150316748699</v>
      </c>
      <c r="AI1482">
        <v>94.148223941774006</v>
      </c>
      <c r="AJ1482">
        <v>88.152800143243795</v>
      </c>
      <c r="AK1482">
        <v>15.363242154689599</v>
      </c>
      <c r="AL1482">
        <v>79.207793501890293</v>
      </c>
      <c r="AM1482">
        <v>85.789892256487207</v>
      </c>
      <c r="AN1482">
        <v>1.00000000046594</v>
      </c>
    </row>
    <row r="1483" spans="1:40" x14ac:dyDescent="0.25">
      <c r="A1483" t="str">
        <f>"20190312172919709"</f>
        <v>20190312172919709</v>
      </c>
      <c r="B1483" t="str">
        <f>"1552382959698575"</f>
        <v>1552382959698575</v>
      </c>
      <c r="C1483" t="s">
        <v>40</v>
      </c>
      <c r="D1483">
        <v>3.6146210000000001</v>
      </c>
      <c r="E1483">
        <v>0.48127750000000002</v>
      </c>
      <c r="F1483" t="s">
        <v>42</v>
      </c>
      <c r="G1483">
        <v>-191.08680000000001</v>
      </c>
      <c r="H1483">
        <v>1.0456620000000001</v>
      </c>
      <c r="I1483">
        <v>337.3775</v>
      </c>
      <c r="J1483">
        <v>-191.0675</v>
      </c>
      <c r="K1483">
        <v>1.1114679999999999</v>
      </c>
      <c r="L1483">
        <v>338.0498</v>
      </c>
      <c r="M1483">
        <v>1.252519E-2</v>
      </c>
      <c r="N1483">
        <v>0</v>
      </c>
      <c r="O1483">
        <v>-0.99982459999999995</v>
      </c>
      <c r="P1483">
        <v>-5.6848750000000003E-2</v>
      </c>
      <c r="Q1483">
        <v>0.17292869999999999</v>
      </c>
      <c r="R1483">
        <v>-0.98329259999999996</v>
      </c>
      <c r="S1483">
        <v>-4.9087520000000003E-2</v>
      </c>
      <c r="T1483">
        <v>-0.21900729999999999</v>
      </c>
      <c r="U1483">
        <v>-3.0876769999999998</v>
      </c>
      <c r="V1483">
        <v>6.8688180000000001E-2</v>
      </c>
      <c r="W1483">
        <v>0.18677369999999999</v>
      </c>
      <c r="X1483">
        <v>0.9799987</v>
      </c>
      <c r="Y1483">
        <v>2.8379629999999999E-2</v>
      </c>
      <c r="Z1483">
        <v>7.0724690000000007E-2</v>
      </c>
      <c r="AA1483">
        <v>0.99709210000000004</v>
      </c>
      <c r="AB1483">
        <v>25</v>
      </c>
      <c r="AC1483">
        <v>-1.9300000000015399E-2</v>
      </c>
      <c r="AD1483">
        <v>-6.5806000000000003E-2</v>
      </c>
      <c r="AE1483">
        <v>-0.672300000000007</v>
      </c>
      <c r="AF1483">
        <v>2.7457140875561201E-2</v>
      </c>
      <c r="AG1483">
        <v>-6.5806000000000003E-2</v>
      </c>
      <c r="AH1483">
        <v>0.66563339972799196</v>
      </c>
      <c r="AI1483">
        <v>95.641275335944201</v>
      </c>
      <c r="AJ1483">
        <v>87.637908601830901</v>
      </c>
      <c r="AK1483">
        <v>0.66944166814928996</v>
      </c>
      <c r="AL1483">
        <v>79.235439065081195</v>
      </c>
      <c r="AM1483">
        <v>85.990691478010007</v>
      </c>
      <c r="AN1483">
        <v>0.99999996654254497</v>
      </c>
    </row>
    <row r="1484" spans="1:40" x14ac:dyDescent="0.25">
      <c r="A1484" t="str">
        <f>"20190312172919727"</f>
        <v>20190312172919727</v>
      </c>
      <c r="B1484" t="str">
        <f>"1552382959719175"</f>
        <v>1552382959719175</v>
      </c>
      <c r="C1484" t="s">
        <v>40</v>
      </c>
      <c r="D1484">
        <v>3.5937139999999999</v>
      </c>
      <c r="E1484">
        <v>0.48163159999999999</v>
      </c>
      <c r="F1484" t="s">
        <v>42</v>
      </c>
      <c r="G1484">
        <v>-191.07830000000001</v>
      </c>
      <c r="H1484">
        <v>1.0469850000000001</v>
      </c>
      <c r="I1484">
        <v>337.15230000000003</v>
      </c>
      <c r="J1484">
        <v>-191.0633</v>
      </c>
      <c r="K1484">
        <v>1.1115539999999999</v>
      </c>
      <c r="L1484">
        <v>337.83170000000001</v>
      </c>
      <c r="M1484">
        <v>1.390567E-2</v>
      </c>
      <c r="N1484">
        <v>0</v>
      </c>
      <c r="O1484">
        <v>-0.99980630000000004</v>
      </c>
      <c r="P1484">
        <v>-5.318664E-2</v>
      </c>
      <c r="Q1484">
        <v>0.17340259999999999</v>
      </c>
      <c r="R1484">
        <v>-0.98341400000000001</v>
      </c>
      <c r="S1484">
        <v>-3.7109379999999997E-2</v>
      </c>
      <c r="T1484">
        <v>-0.22187399999999999</v>
      </c>
      <c r="U1484">
        <v>-3.0878299999999999</v>
      </c>
      <c r="V1484">
        <v>6.6345189999999998E-2</v>
      </c>
      <c r="W1484">
        <v>0.18725149999999999</v>
      </c>
      <c r="X1484">
        <v>0.98006899999999997</v>
      </c>
      <c r="Y1484">
        <v>2.5891049999999999E-2</v>
      </c>
      <c r="Z1484">
        <v>7.1644589999999994E-2</v>
      </c>
      <c r="AA1484">
        <v>0.99709420000000004</v>
      </c>
      <c r="AB1484">
        <v>25</v>
      </c>
      <c r="AC1484">
        <v>-1.5000000000014699E-2</v>
      </c>
      <c r="AD1484">
        <v>-6.4569000000000099E-2</v>
      </c>
      <c r="AE1484">
        <v>-0.67939999999998602</v>
      </c>
      <c r="AF1484">
        <v>2.4228248581186999E-2</v>
      </c>
      <c r="AG1484">
        <v>-6.4569000000000099E-2</v>
      </c>
      <c r="AH1484">
        <v>0.67304948722164004</v>
      </c>
      <c r="AI1484">
        <v>95.476374481236306</v>
      </c>
      <c r="AJ1484">
        <v>87.938372639023697</v>
      </c>
      <c r="AK1484">
        <v>0.67657355552787002</v>
      </c>
      <c r="AL1484">
        <v>79.207572143268294</v>
      </c>
      <c r="AM1484">
        <v>86.1273045420714</v>
      </c>
      <c r="AN1484">
        <v>1.00000002662469</v>
      </c>
    </row>
    <row r="1485" spans="1:40" x14ac:dyDescent="0.25">
      <c r="A1485" t="str">
        <f>"20190312172919750"</f>
        <v>20190312172919750</v>
      </c>
      <c r="B1485" t="str">
        <f>"1552382959738698"</f>
        <v>1552382959738698</v>
      </c>
      <c r="C1485" t="s">
        <v>40</v>
      </c>
      <c r="D1485">
        <v>3.7237100000000001</v>
      </c>
      <c r="E1485">
        <v>0.48191929999999999</v>
      </c>
      <c r="F1485" t="s">
        <v>42</v>
      </c>
      <c r="G1485">
        <v>-191.072</v>
      </c>
      <c r="H1485">
        <v>1.046945</v>
      </c>
      <c r="I1485">
        <v>336.9289</v>
      </c>
      <c r="J1485">
        <v>-191.05799999999999</v>
      </c>
      <c r="K1485">
        <v>1.111615</v>
      </c>
      <c r="L1485">
        <v>337.58539999999999</v>
      </c>
      <c r="M1485">
        <v>1.555906E-2</v>
      </c>
      <c r="N1485">
        <v>0</v>
      </c>
      <c r="O1485">
        <v>-0.99978210000000001</v>
      </c>
      <c r="P1485">
        <v>-4.9459009999999998E-2</v>
      </c>
      <c r="Q1485">
        <v>0.17346259999999999</v>
      </c>
      <c r="R1485">
        <v>-0.98359799999999997</v>
      </c>
      <c r="S1485">
        <v>-2.912903E-2</v>
      </c>
      <c r="T1485">
        <v>-0.22134770000000001</v>
      </c>
      <c r="U1485">
        <v>-3.0880740000000002</v>
      </c>
      <c r="V1485">
        <v>6.421781E-2</v>
      </c>
      <c r="W1485">
        <v>0.1873119</v>
      </c>
      <c r="X1485">
        <v>0.98019909999999999</v>
      </c>
      <c r="Y1485">
        <v>2.4966929999999998E-2</v>
      </c>
      <c r="Z1485">
        <v>7.1469110000000002E-2</v>
      </c>
      <c r="AA1485">
        <v>0.99713030000000002</v>
      </c>
      <c r="AB1485">
        <v>25</v>
      </c>
      <c r="AC1485">
        <v>-1.4000000000009999E-2</v>
      </c>
      <c r="AD1485">
        <v>-6.4670000000000005E-2</v>
      </c>
      <c r="AE1485">
        <v>-0.65649999999999398</v>
      </c>
      <c r="AF1485">
        <v>2.3981216959293099E-2</v>
      </c>
      <c r="AG1485">
        <v>-6.4670000000000005E-2</v>
      </c>
      <c r="AH1485">
        <v>0.64989912414777296</v>
      </c>
      <c r="AI1485">
        <v>95.678827662216307</v>
      </c>
      <c r="AJ1485">
        <v>87.886749877227999</v>
      </c>
      <c r="AK1485">
        <v>0.653548911126697</v>
      </c>
      <c r="AL1485">
        <v>79.204048582678197</v>
      </c>
      <c r="AM1485">
        <v>86.251619987046595</v>
      </c>
      <c r="AN1485">
        <v>0.99999997532180696</v>
      </c>
    </row>
    <row r="1486" spans="1:40" x14ac:dyDescent="0.25">
      <c r="A1486" t="str">
        <f>"20190312172919772"</f>
        <v>20190312172919772</v>
      </c>
      <c r="B1486" t="str">
        <f>"1552382959768951"</f>
        <v>1552382959768951</v>
      </c>
      <c r="C1486" t="s">
        <v>40</v>
      </c>
      <c r="D1486">
        <v>3.6756479999999998</v>
      </c>
      <c r="E1486">
        <v>0.4823249</v>
      </c>
      <c r="F1486" t="s">
        <v>42</v>
      </c>
      <c r="G1486">
        <v>-191.06389999999999</v>
      </c>
      <c r="H1486">
        <v>1.0481240000000001</v>
      </c>
      <c r="I1486">
        <v>336.69889999999998</v>
      </c>
      <c r="J1486">
        <v>-191.0523</v>
      </c>
      <c r="K1486">
        <v>1.1116459999999999</v>
      </c>
      <c r="L1486">
        <v>337.33969999999999</v>
      </c>
      <c r="M1486">
        <v>1.727565E-2</v>
      </c>
      <c r="N1486">
        <v>0</v>
      </c>
      <c r="O1486">
        <v>-0.99975400000000003</v>
      </c>
      <c r="P1486">
        <v>-4.6345740000000003E-2</v>
      </c>
      <c r="Q1486">
        <v>0.17245339999999901</v>
      </c>
      <c r="R1486">
        <v>-0.98392670000000004</v>
      </c>
      <c r="S1486">
        <v>-2.0004270000000001E-2</v>
      </c>
      <c r="T1486">
        <v>-0.22133430000000001</v>
      </c>
      <c r="U1486">
        <v>-3.0880130000000001</v>
      </c>
      <c r="V1486">
        <v>6.2785369999999993E-2</v>
      </c>
      <c r="W1486">
        <v>0.18630289999999999</v>
      </c>
      <c r="X1486">
        <v>0.98048420000000003</v>
      </c>
      <c r="Y1486">
        <v>2.3737330000000001E-2</v>
      </c>
      <c r="Z1486">
        <v>7.1465130000000002E-2</v>
      </c>
      <c r="AA1486">
        <v>0.99716059999999995</v>
      </c>
      <c r="AB1486">
        <v>25</v>
      </c>
      <c r="AC1486">
        <v>-1.15999999999871E-2</v>
      </c>
      <c r="AD1486">
        <v>-6.3521999999999801E-2</v>
      </c>
      <c r="AE1486">
        <v>-0.64080000000001203</v>
      </c>
      <c r="AF1486">
        <v>2.2449050613012798E-2</v>
      </c>
      <c r="AG1486">
        <v>-6.3521999999999801E-2</v>
      </c>
      <c r="AH1486">
        <v>0.63427322653651497</v>
      </c>
      <c r="AI1486">
        <v>95.7155057809195</v>
      </c>
      <c r="AJ1486">
        <v>87.972956890961299</v>
      </c>
      <c r="AK1486">
        <v>0.63784130491719204</v>
      </c>
      <c r="AL1486">
        <v>79.262896428375399</v>
      </c>
      <c r="AM1486">
        <v>86.336063517700893</v>
      </c>
      <c r="AN1486">
        <v>1.00000001984204</v>
      </c>
    </row>
    <row r="1487" spans="1:40" x14ac:dyDescent="0.25">
      <c r="A1487" t="str">
        <f>"20190312172919795"</f>
        <v>20190312172919795</v>
      </c>
      <c r="B1487" t="str">
        <f>"1552382959788473"</f>
        <v>1552382959788473</v>
      </c>
      <c r="C1487" t="s">
        <v>40</v>
      </c>
      <c r="D1487">
        <v>3.7586780000000002</v>
      </c>
      <c r="E1487">
        <v>0.48249019999999998</v>
      </c>
      <c r="F1487" t="s">
        <v>41</v>
      </c>
      <c r="G1487">
        <v>-191.1242</v>
      </c>
      <c r="H1487" s="1">
        <v>-1.3792320000000001E-6</v>
      </c>
      <c r="I1487">
        <v>322.1069</v>
      </c>
      <c r="J1487">
        <v>-191.04589999999999</v>
      </c>
      <c r="K1487">
        <v>1.1116569999999999</v>
      </c>
      <c r="L1487">
        <v>337.0872</v>
      </c>
      <c r="M1487">
        <v>1.9074919999999999E-2</v>
      </c>
      <c r="N1487">
        <v>0</v>
      </c>
      <c r="O1487">
        <v>-0.99972130000000003</v>
      </c>
      <c r="P1487">
        <v>-4.386864E-2</v>
      </c>
      <c r="Q1487">
        <v>0.17209569999999999</v>
      </c>
      <c r="R1487">
        <v>-0.98410330000000001</v>
      </c>
      <c r="S1487">
        <v>-1.4572140000000001E-2</v>
      </c>
      <c r="T1487">
        <v>-0.22534290000000001</v>
      </c>
      <c r="U1487">
        <v>-3.08786</v>
      </c>
      <c r="V1487">
        <v>6.2075409999999998E-2</v>
      </c>
      <c r="W1487">
        <v>0.18594260000000001</v>
      </c>
      <c r="X1487">
        <v>0.98059779999999996</v>
      </c>
      <c r="Y1487">
        <v>2.3782310000000001E-2</v>
      </c>
      <c r="Z1487">
        <v>7.2752940000000002E-2</v>
      </c>
      <c r="AA1487">
        <v>0.99706640000000002</v>
      </c>
      <c r="AB1487">
        <v>25</v>
      </c>
      <c r="AC1487">
        <v>-7.8300000000012901E-2</v>
      </c>
      <c r="AD1487">
        <v>-1.1116583792319901</v>
      </c>
      <c r="AE1487">
        <v>-14.9803</v>
      </c>
      <c r="AF1487">
        <v>0.36206763058423802</v>
      </c>
      <c r="AG1487">
        <v>-1.1116583792319901</v>
      </c>
      <c r="AH1487">
        <v>14.894063369128901</v>
      </c>
      <c r="AI1487">
        <v>94.267253621995494</v>
      </c>
      <c r="AJ1487">
        <v>88.607440989413803</v>
      </c>
      <c r="AK1487">
        <v>14.939879549877899</v>
      </c>
      <c r="AL1487">
        <v>79.283907298551796</v>
      </c>
      <c r="AM1487">
        <v>86.377801920082902</v>
      </c>
      <c r="AN1487">
        <v>1.0000000261931301</v>
      </c>
    </row>
    <row r="1488" spans="1:40" x14ac:dyDescent="0.25">
      <c r="A1488" t="str">
        <f>"20190312172919816"</f>
        <v>20190312172919816</v>
      </c>
      <c r="B1488" t="str">
        <f>"1552382959808967"</f>
        <v>1552382959808967</v>
      </c>
      <c r="C1488" t="s">
        <v>40</v>
      </c>
      <c r="D1488">
        <v>3.8333719999999998</v>
      </c>
      <c r="E1488">
        <v>0.48659340000000001</v>
      </c>
      <c r="F1488" t="s">
        <v>41</v>
      </c>
      <c r="G1488">
        <v>-191.0909</v>
      </c>
      <c r="H1488" s="1">
        <v>-1.322208E-6</v>
      </c>
      <c r="I1488">
        <v>321.99470000000002</v>
      </c>
      <c r="J1488">
        <v>-191.0393</v>
      </c>
      <c r="K1488">
        <v>1.1116520000000001</v>
      </c>
      <c r="L1488">
        <v>336.84190000000001</v>
      </c>
      <c r="M1488">
        <v>2.0828969999999999E-2</v>
      </c>
      <c r="N1488">
        <v>0</v>
      </c>
      <c r="O1488">
        <v>-0.99968630000000003</v>
      </c>
      <c r="P1488">
        <v>-4.2086810000000002E-2</v>
      </c>
      <c r="Q1488">
        <v>0.171964899999999</v>
      </c>
      <c r="R1488">
        <v>-0.98420379999999996</v>
      </c>
      <c r="S1488">
        <v>-9.1857910000000004E-3</v>
      </c>
      <c r="T1488">
        <v>-0.2274371</v>
      </c>
      <c r="U1488">
        <v>-3.0878299999999999</v>
      </c>
      <c r="V1488">
        <v>6.2020939999999997E-2</v>
      </c>
      <c r="W1488">
        <v>0.18580769999999999</v>
      </c>
      <c r="X1488">
        <v>0.98062680000000002</v>
      </c>
      <c r="Y1488">
        <v>2.3797039999999998E-2</v>
      </c>
      <c r="Z1488">
        <v>7.3422550000000003E-2</v>
      </c>
      <c r="AA1488">
        <v>0.99701700000000004</v>
      </c>
      <c r="AB1488">
        <v>25</v>
      </c>
      <c r="AC1488">
        <v>-5.1600000000007598E-2</v>
      </c>
      <c r="AD1488">
        <v>-1.1116533222080001</v>
      </c>
      <c r="AE1488">
        <v>-14.8471999999999</v>
      </c>
      <c r="AF1488">
        <v>0.35885888185508102</v>
      </c>
      <c r="AG1488">
        <v>-1.1116533222080001</v>
      </c>
      <c r="AH1488">
        <v>14.760159654968501</v>
      </c>
      <c r="AI1488">
        <v>94.305801233562804</v>
      </c>
      <c r="AJ1488">
        <v>88.607261030672205</v>
      </c>
      <c r="AK1488">
        <v>14.806311689479699</v>
      </c>
      <c r="AL1488">
        <v>79.291773402330506</v>
      </c>
      <c r="AM1488">
        <v>86.381078620450197</v>
      </c>
      <c r="AN1488">
        <v>1.000000009628</v>
      </c>
    </row>
    <row r="1489" spans="1:40" x14ac:dyDescent="0.25">
      <c r="A1489" t="str">
        <f>"20190312172919840"</f>
        <v>20190312172919840</v>
      </c>
      <c r="B1489" t="str">
        <f>"1552382959828487"</f>
        <v>1552382959828487</v>
      </c>
      <c r="C1489" t="s">
        <v>40</v>
      </c>
      <c r="D1489">
        <v>3.811159</v>
      </c>
      <c r="E1489">
        <v>0.48724250000000002</v>
      </c>
      <c r="F1489" t="s">
        <v>42</v>
      </c>
      <c r="G1489">
        <v>-191.04910000000001</v>
      </c>
      <c r="H1489">
        <v>1.040611</v>
      </c>
      <c r="I1489">
        <v>336.04390000000001</v>
      </c>
      <c r="J1489">
        <v>-191.03200000000001</v>
      </c>
      <c r="K1489">
        <v>1.111639</v>
      </c>
      <c r="L1489">
        <v>336.59140000000002</v>
      </c>
      <c r="M1489">
        <v>2.2610979999999999E-2</v>
      </c>
      <c r="N1489">
        <v>0</v>
      </c>
      <c r="O1489">
        <v>-0.99964779999999998</v>
      </c>
      <c r="P1489">
        <v>-4.0638970000000003E-2</v>
      </c>
      <c r="Q1489">
        <v>0.171183</v>
      </c>
      <c r="R1489">
        <v>-0.98440099999999997</v>
      </c>
      <c r="S1489">
        <v>-3.7094120000000001E-2</v>
      </c>
      <c r="T1489">
        <v>-0.275827299999999</v>
      </c>
      <c r="U1489">
        <v>-3.0947269999999998</v>
      </c>
      <c r="V1489">
        <v>6.2336780000000001E-2</v>
      </c>
      <c r="W1489">
        <v>0.1850223</v>
      </c>
      <c r="X1489">
        <v>0.9807553</v>
      </c>
      <c r="Y1489">
        <v>3.4546559999999997E-2</v>
      </c>
      <c r="Z1489">
        <v>8.8712559999999996E-2</v>
      </c>
      <c r="AA1489">
        <v>0.99545799999999995</v>
      </c>
      <c r="AB1489">
        <v>25</v>
      </c>
      <c r="AC1489">
        <v>-1.7099999999999199E-2</v>
      </c>
      <c r="AD1489">
        <v>-7.1027999999999994E-2</v>
      </c>
      <c r="AE1489">
        <v>-0.54750000000001298</v>
      </c>
      <c r="AF1489">
        <v>2.89889181500834E-2</v>
      </c>
      <c r="AG1489">
        <v>-7.1027999999999994E-2</v>
      </c>
      <c r="AH1489">
        <v>0.53792865534258005</v>
      </c>
      <c r="AI1489">
        <v>97.511038590895396</v>
      </c>
      <c r="AJ1489">
        <v>86.915320307405096</v>
      </c>
      <c r="AK1489">
        <v>0.54337148655242096</v>
      </c>
      <c r="AL1489">
        <v>79.337567915020799</v>
      </c>
      <c r="AM1489">
        <v>86.363173993815394</v>
      </c>
      <c r="AN1489">
        <v>1.0000000420580699</v>
      </c>
    </row>
    <row r="1490" spans="1:40" x14ac:dyDescent="0.25">
      <c r="A1490" t="str">
        <f>"20190312172919973"</f>
        <v>20190312172919973</v>
      </c>
      <c r="B1490" t="str">
        <f>"1552382959969031"</f>
        <v>1552382959969031</v>
      </c>
      <c r="C1490" t="s">
        <v>40</v>
      </c>
      <c r="D1490">
        <v>3.6389369999999999</v>
      </c>
      <c r="E1490">
        <v>0.48788130000000002</v>
      </c>
      <c r="F1490" t="s">
        <v>42</v>
      </c>
      <c r="G1490">
        <v>-190.9881</v>
      </c>
      <c r="H1490">
        <v>0.95489930000000001</v>
      </c>
      <c r="I1490">
        <v>334.53809999999999</v>
      </c>
      <c r="J1490">
        <v>-190.98009999999999</v>
      </c>
      <c r="K1490">
        <v>1.111534</v>
      </c>
      <c r="L1490">
        <v>335.10759999999999</v>
      </c>
      <c r="M1490">
        <v>3.290324E-2</v>
      </c>
      <c r="N1490">
        <v>0</v>
      </c>
      <c r="O1490">
        <v>-0.99936230000000004</v>
      </c>
      <c r="P1490">
        <v>-3.6267399999999998E-2</v>
      </c>
      <c r="Q1490">
        <v>0.17129420000000001</v>
      </c>
      <c r="R1490">
        <v>-0.98455239999999999</v>
      </c>
      <c r="S1490">
        <v>6.3781740000000003E-3</v>
      </c>
      <c r="T1490">
        <v>-0.60569859999999998</v>
      </c>
      <c r="U1490">
        <v>-3.1523129999999999</v>
      </c>
      <c r="V1490">
        <v>6.8135409999999993E-2</v>
      </c>
      <c r="W1490">
        <v>0.1851072</v>
      </c>
      <c r="X1490">
        <v>0.98035349999999999</v>
      </c>
      <c r="Y1490">
        <v>3.092025E-2</v>
      </c>
      <c r="Z1490">
        <v>0.18849489999999999</v>
      </c>
      <c r="AA1490">
        <v>0.98158730000000005</v>
      </c>
      <c r="AB1490">
        <v>25</v>
      </c>
      <c r="AC1490">
        <v>-8.0000000000097701E-3</v>
      </c>
      <c r="AD1490">
        <v>-0.15663469999999999</v>
      </c>
      <c r="AE1490">
        <v>-0.569500000000005</v>
      </c>
      <c r="AF1490">
        <v>2.4855970535786101E-2</v>
      </c>
      <c r="AG1490">
        <v>-0.15663469999999999</v>
      </c>
      <c r="AH1490">
        <v>0.52892493383022199</v>
      </c>
      <c r="AI1490">
        <v>106.47881836300699</v>
      </c>
      <c r="AJ1490">
        <v>87.309457060394095</v>
      </c>
      <c r="AK1490">
        <v>0.55219003444708303</v>
      </c>
      <c r="AL1490">
        <v>79.332618056657196</v>
      </c>
      <c r="AM1490">
        <v>86.024287290721901</v>
      </c>
      <c r="AN1490">
        <v>1.0000000472749699</v>
      </c>
    </row>
    <row r="1491" spans="1:40" x14ac:dyDescent="0.25">
      <c r="A1491" t="str">
        <f>"20190312172919996"</f>
        <v>20190312172919996</v>
      </c>
      <c r="B1491" t="str">
        <f>"1552382959988551"</f>
        <v>1552382959988551</v>
      </c>
      <c r="C1491" t="s">
        <v>40</v>
      </c>
      <c r="D1491">
        <v>3.808395</v>
      </c>
      <c r="E1491">
        <v>0.4878286</v>
      </c>
      <c r="F1491" t="s">
        <v>41</v>
      </c>
      <c r="G1491">
        <v>-191.19919999999999</v>
      </c>
      <c r="H1491" s="1">
        <v>-3.132765E-6</v>
      </c>
      <c r="I1491">
        <v>306.14789999999999</v>
      </c>
      <c r="J1491">
        <v>-190.97</v>
      </c>
      <c r="K1491">
        <v>1.1115189999999999</v>
      </c>
      <c r="L1491">
        <v>334.8612</v>
      </c>
      <c r="M1491">
        <v>3.4581170000000001E-2</v>
      </c>
      <c r="N1491">
        <v>0</v>
      </c>
      <c r="O1491">
        <v>-0.99930560000000002</v>
      </c>
      <c r="P1491">
        <v>-3.5512490000000001E-2</v>
      </c>
      <c r="Q1491">
        <v>0.17140059999999999</v>
      </c>
      <c r="R1491">
        <v>-0.98456140000000003</v>
      </c>
      <c r="S1491">
        <v>-2.3208619999999999E-2</v>
      </c>
      <c r="T1491">
        <v>-0.11770460000000001</v>
      </c>
      <c r="U1491">
        <v>-3.0666500000000001</v>
      </c>
      <c r="V1491">
        <v>6.9037080000000001E-2</v>
      </c>
      <c r="W1491">
        <v>0.18520929999999999</v>
      </c>
      <c r="X1491">
        <v>0.98027109999999995</v>
      </c>
      <c r="Y1491">
        <v>4.2141270000000002E-2</v>
      </c>
      <c r="Z1491">
        <v>3.8301910000000002E-2</v>
      </c>
      <c r="AA1491">
        <v>0.99837719999999996</v>
      </c>
      <c r="AB1491">
        <v>25</v>
      </c>
      <c r="AC1491">
        <v>-0.22919999999999099</v>
      </c>
      <c r="AD1491">
        <v>-1.111522132765</v>
      </c>
      <c r="AE1491">
        <v>-28.7133</v>
      </c>
      <c r="AF1491">
        <v>1.2202694474148099</v>
      </c>
      <c r="AG1491">
        <v>-1.111522132765</v>
      </c>
      <c r="AH1491">
        <v>28.645272767936099</v>
      </c>
      <c r="AI1491">
        <v>92.220121040037498</v>
      </c>
      <c r="AJ1491">
        <v>87.560712955036806</v>
      </c>
      <c r="AK1491">
        <v>28.692789876994901</v>
      </c>
      <c r="AL1491">
        <v>79.326664891914106</v>
      </c>
      <c r="AM1491">
        <v>85.971509278360202</v>
      </c>
      <c r="AN1491">
        <v>1.00000001635831</v>
      </c>
    </row>
    <row r="1492" spans="1:40" x14ac:dyDescent="0.25">
      <c r="A1492" t="str">
        <f>"20190312172920019"</f>
        <v>20190312172920019</v>
      </c>
      <c r="B1492" t="str">
        <f>"1552382960009048"</f>
        <v>1552382960009048</v>
      </c>
      <c r="C1492" t="s">
        <v>40</v>
      </c>
      <c r="D1492">
        <v>3.6400169999999998</v>
      </c>
      <c r="E1492">
        <v>0.48791600000000002</v>
      </c>
      <c r="F1492" t="s">
        <v>41</v>
      </c>
      <c r="G1492">
        <v>-191.12450000000001</v>
      </c>
      <c r="H1492" s="1">
        <v>-1.5910610000000001E-6</v>
      </c>
      <c r="I1492">
        <v>312.32459999999998</v>
      </c>
      <c r="J1492">
        <v>-190.95910000000001</v>
      </c>
      <c r="K1492">
        <v>1.1115010000000001</v>
      </c>
      <c r="L1492">
        <v>334.60410000000002</v>
      </c>
      <c r="M1492">
        <v>3.6313230000000002E-2</v>
      </c>
      <c r="N1492">
        <v>0</v>
      </c>
      <c r="O1492">
        <v>-0.99924440000000003</v>
      </c>
      <c r="P1492">
        <v>-3.4756160000000001E-2</v>
      </c>
      <c r="Q1492">
        <v>0.1714109</v>
      </c>
      <c r="R1492">
        <v>-0.98458670000000004</v>
      </c>
      <c r="S1492">
        <v>-2.105713E-2</v>
      </c>
      <c r="T1492">
        <v>-0.1515454</v>
      </c>
      <c r="U1492">
        <v>-3.0726619999999998</v>
      </c>
      <c r="V1492">
        <v>6.9993970000000003E-2</v>
      </c>
      <c r="W1492">
        <v>0.1852145</v>
      </c>
      <c r="X1492">
        <v>0.98020229999999997</v>
      </c>
      <c r="Y1492">
        <v>4.3155909999999999E-2</v>
      </c>
      <c r="Z1492">
        <v>4.9188419999999997E-2</v>
      </c>
      <c r="AA1492">
        <v>0.99785670000000004</v>
      </c>
      <c r="AB1492">
        <v>25</v>
      </c>
      <c r="AC1492">
        <v>-0.16540000000000499</v>
      </c>
      <c r="AD1492">
        <v>-1.1115025910609999</v>
      </c>
      <c r="AE1492">
        <v>-22.279499999999999</v>
      </c>
      <c r="AF1492">
        <v>0.97199010129432695</v>
      </c>
      <c r="AG1492">
        <v>-1.1115025910609999</v>
      </c>
      <c r="AH1492">
        <v>22.203536437046701</v>
      </c>
      <c r="AI1492">
        <v>92.863080326494696</v>
      </c>
      <c r="AJ1492">
        <v>87.493399453357199</v>
      </c>
      <c r="AK1492">
        <v>22.2525781220561</v>
      </c>
      <c r="AL1492">
        <v>79.326362156818604</v>
      </c>
      <c r="AM1492">
        <v>85.915574262796</v>
      </c>
      <c r="AN1492">
        <v>1.00000005788594</v>
      </c>
    </row>
    <row r="1493" spans="1:40" x14ac:dyDescent="0.25">
      <c r="A1493" t="str">
        <f>"20190312172920041"</f>
        <v>20190312172920041</v>
      </c>
      <c r="B1493" t="str">
        <f>"1552382960038327"</f>
        <v>1552382960038327</v>
      </c>
      <c r="C1493" t="s">
        <v>40</v>
      </c>
      <c r="D1493">
        <v>3.6945039999999998</v>
      </c>
      <c r="E1493">
        <v>0.48815799999999998</v>
      </c>
      <c r="F1493" t="s">
        <v>41</v>
      </c>
      <c r="G1493">
        <v>-191.08109999999999</v>
      </c>
      <c r="H1493" s="1">
        <v>-2.9515259999999999E-6</v>
      </c>
      <c r="I1493">
        <v>315.22699999999998</v>
      </c>
      <c r="J1493">
        <v>-190.94900000000001</v>
      </c>
      <c r="K1493">
        <v>1.111472</v>
      </c>
      <c r="L1493">
        <v>334.3741</v>
      </c>
      <c r="M1493">
        <v>3.783363E-2</v>
      </c>
      <c r="N1493">
        <v>0</v>
      </c>
      <c r="O1493">
        <v>-0.99918799999999997</v>
      </c>
      <c r="P1493">
        <v>-3.3684520000000003E-2</v>
      </c>
      <c r="Q1493">
        <v>0.17149229999999999</v>
      </c>
      <c r="R1493">
        <v>-0.98460959999999997</v>
      </c>
      <c r="S1493">
        <v>-1.9378659999999999E-2</v>
      </c>
      <c r="T1493">
        <v>-0.17649960000000001</v>
      </c>
      <c r="U1493">
        <v>-3.076965</v>
      </c>
      <c r="V1493">
        <v>7.0430240000000005E-2</v>
      </c>
      <c r="W1493">
        <v>0.18528900000000001</v>
      </c>
      <c r="X1493">
        <v>0.9801569</v>
      </c>
      <c r="Y1493">
        <v>4.4119520000000002E-2</v>
      </c>
      <c r="Z1493">
        <v>5.7177520000000003E-2</v>
      </c>
      <c r="AA1493">
        <v>0.99738870000000002</v>
      </c>
      <c r="AB1493">
        <v>25</v>
      </c>
      <c r="AC1493">
        <v>-0.13209999999997901</v>
      </c>
      <c r="AD1493">
        <v>-1.1114749515260001</v>
      </c>
      <c r="AE1493">
        <v>-19.147099999999899</v>
      </c>
      <c r="AF1493">
        <v>0.85360297633179805</v>
      </c>
      <c r="AG1493">
        <v>-1.1114749515260001</v>
      </c>
      <c r="AH1493">
        <v>19.064153004645899</v>
      </c>
      <c r="AI1493">
        <v>93.333339317215007</v>
      </c>
      <c r="AJ1493">
        <v>87.436277223907396</v>
      </c>
      <c r="AK1493">
        <v>19.1155942725728</v>
      </c>
      <c r="AL1493">
        <v>79.322017707628007</v>
      </c>
      <c r="AM1493">
        <v>85.890013433014104</v>
      </c>
      <c r="AN1493">
        <v>0.99999999042253296</v>
      </c>
    </row>
    <row r="1494" spans="1:40" x14ac:dyDescent="0.25">
      <c r="A1494" t="str">
        <f>"20190312172920062"</f>
        <v>20190312172920062</v>
      </c>
      <c r="B1494" t="str">
        <f>"1552382960058823"</f>
        <v>1552382960058823</v>
      </c>
      <c r="C1494" t="s">
        <v>40</v>
      </c>
      <c r="D1494">
        <v>3.6819139999999999</v>
      </c>
      <c r="E1494">
        <v>0.48819360000000001</v>
      </c>
      <c r="F1494" t="s">
        <v>41</v>
      </c>
      <c r="G1494">
        <v>-191.05260000000001</v>
      </c>
      <c r="H1494" s="1">
        <v>-3.667797E-6</v>
      </c>
      <c r="I1494">
        <v>316.75830000000002</v>
      </c>
      <c r="J1494">
        <v>-190.93809999999999</v>
      </c>
      <c r="K1494">
        <v>1.1114379999999999</v>
      </c>
      <c r="L1494">
        <v>334.13510000000002</v>
      </c>
      <c r="M1494">
        <v>3.9364030000000001E-2</v>
      </c>
      <c r="N1494">
        <v>0</v>
      </c>
      <c r="O1494">
        <v>-0.99912860000000003</v>
      </c>
      <c r="P1494">
        <v>-3.291732E-2</v>
      </c>
      <c r="Q1494">
        <v>0.17107329999999901</v>
      </c>
      <c r="R1494">
        <v>-0.98470800000000003</v>
      </c>
      <c r="S1494">
        <v>-1.8127440000000002E-2</v>
      </c>
      <c r="T1494">
        <v>-0.1943426</v>
      </c>
      <c r="U1494">
        <v>-3.080139</v>
      </c>
      <c r="V1494">
        <v>7.1190920000000005E-2</v>
      </c>
      <c r="W1494">
        <v>0.1848621</v>
      </c>
      <c r="X1494">
        <v>0.98018260000000001</v>
      </c>
      <c r="Y1494">
        <v>4.523605E-2</v>
      </c>
      <c r="Z1494">
        <v>6.2864210000000004E-2</v>
      </c>
      <c r="AA1494">
        <v>0.9969964</v>
      </c>
      <c r="AB1494">
        <v>25</v>
      </c>
      <c r="AC1494">
        <v>-0.11450000000002</v>
      </c>
      <c r="AD1494">
        <v>-1.1114416677969901</v>
      </c>
      <c r="AE1494">
        <v>-17.376799999999999</v>
      </c>
      <c r="AF1494">
        <v>0.79524472896437604</v>
      </c>
      <c r="AG1494">
        <v>-1.1114416677969901</v>
      </c>
      <c r="AH1494">
        <v>17.288098427452301</v>
      </c>
      <c r="AI1494">
        <v>93.6745747579388</v>
      </c>
      <c r="AJ1494">
        <v>87.3662765581375</v>
      </c>
      <c r="AK1494">
        <v>17.342031714800299</v>
      </c>
      <c r="AL1494">
        <v>79.346907754564995</v>
      </c>
      <c r="AM1494">
        <v>85.845886750214703</v>
      </c>
      <c r="AN1494">
        <v>1.0000000362248</v>
      </c>
    </row>
    <row r="1495" spans="1:40" x14ac:dyDescent="0.25">
      <c r="A1495" t="str">
        <f>"20190312172920087"</f>
        <v>20190312172920087</v>
      </c>
      <c r="B1495" t="str">
        <f>"1552382960078344"</f>
        <v>1552382960078344</v>
      </c>
      <c r="C1495" t="s">
        <v>40</v>
      </c>
      <c r="D1495">
        <v>3.5996899999999998</v>
      </c>
      <c r="E1495">
        <v>0.48807460000000003</v>
      </c>
      <c r="F1495" t="s">
        <v>41</v>
      </c>
      <c r="G1495">
        <v>-191.02440000000001</v>
      </c>
      <c r="H1495" s="1">
        <v>-3.96891399999999E-6</v>
      </c>
      <c r="I1495">
        <v>317.41120000000001</v>
      </c>
      <c r="J1495">
        <v>-190.92619999999999</v>
      </c>
      <c r="K1495">
        <v>1.1113850000000001</v>
      </c>
      <c r="L1495">
        <v>333.8793</v>
      </c>
      <c r="M1495">
        <v>4.0917149999999999E-2</v>
      </c>
      <c r="N1495">
        <v>0</v>
      </c>
      <c r="O1495">
        <v>-0.99906680000000003</v>
      </c>
      <c r="P1495">
        <v>-3.1769289999999999E-2</v>
      </c>
      <c r="Q1495">
        <v>0.1711183</v>
      </c>
      <c r="R1495">
        <v>-0.98473860000000002</v>
      </c>
      <c r="S1495">
        <v>-1.5899659999999999E-2</v>
      </c>
      <c r="T1495">
        <v>-0.20479929999999999</v>
      </c>
      <c r="U1495">
        <v>-3.0816349999999999</v>
      </c>
      <c r="V1495">
        <v>7.1598839999999997E-2</v>
      </c>
      <c r="W1495">
        <v>0.18489259999999999</v>
      </c>
      <c r="X1495">
        <v>0.98014710000000005</v>
      </c>
      <c r="Y1495">
        <v>4.6064250000000001E-2</v>
      </c>
      <c r="Z1495">
        <v>6.6192829999999994E-2</v>
      </c>
      <c r="AA1495">
        <v>0.99674300000000005</v>
      </c>
      <c r="AB1495">
        <v>25</v>
      </c>
      <c r="AC1495">
        <v>-9.8200000000019799E-2</v>
      </c>
      <c r="AD1495">
        <v>-1.111388968914</v>
      </c>
      <c r="AE1495">
        <v>-16.4680999999999</v>
      </c>
      <c r="AF1495">
        <v>0.76850984051411297</v>
      </c>
      <c r="AG1495">
        <v>-1.111388968914</v>
      </c>
      <c r="AH1495">
        <v>16.375706312145098</v>
      </c>
      <c r="AI1495">
        <v>93.878349459418402</v>
      </c>
      <c r="AJ1495">
        <v>87.313087670018902</v>
      </c>
      <c r="AK1495">
        <v>16.431358739824901</v>
      </c>
      <c r="AL1495">
        <v>79.345129217285205</v>
      </c>
      <c r="AM1495">
        <v>85.822017174513405</v>
      </c>
      <c r="AN1495">
        <v>1.0000000025312501</v>
      </c>
    </row>
    <row r="1496" spans="1:40" x14ac:dyDescent="0.25">
      <c r="A1496" t="str">
        <f>"20190312172920110"</f>
        <v>20190312172920110</v>
      </c>
      <c r="B1496" t="str">
        <f>"1552382960098839"</f>
        <v>1552382960098839</v>
      </c>
      <c r="C1496" t="s">
        <v>40</v>
      </c>
      <c r="D1496">
        <v>3.6324369999999999</v>
      </c>
      <c r="E1496">
        <v>0.48808289999999999</v>
      </c>
      <c r="F1496" t="s">
        <v>42</v>
      </c>
      <c r="G1496">
        <v>-190.9299</v>
      </c>
      <c r="H1496">
        <v>1.0475000000000001</v>
      </c>
      <c r="I1496">
        <v>332.95600000000002</v>
      </c>
      <c r="J1496">
        <v>-190.91370000000001</v>
      </c>
      <c r="K1496">
        <v>1.1113170000000001</v>
      </c>
      <c r="L1496">
        <v>333.61950000000002</v>
      </c>
      <c r="M1496">
        <v>4.2386130000000001E-2</v>
      </c>
      <c r="N1496">
        <v>0</v>
      </c>
      <c r="O1496">
        <v>-0.99900529999999998</v>
      </c>
      <c r="P1496">
        <v>-3.078908E-2</v>
      </c>
      <c r="Q1496">
        <v>0.17106479999999999</v>
      </c>
      <c r="R1496">
        <v>-0.98477879999999995</v>
      </c>
      <c r="S1496">
        <v>-1.159668E-2</v>
      </c>
      <c r="T1496">
        <v>-0.21368980000000001</v>
      </c>
      <c r="U1496">
        <v>-3.083221</v>
      </c>
      <c r="V1496">
        <v>7.2099849999999993E-2</v>
      </c>
      <c r="W1496">
        <v>0.18482270000000001</v>
      </c>
      <c r="X1496">
        <v>0.98012359999999998</v>
      </c>
      <c r="Y1496">
        <v>4.6138680000000001E-2</v>
      </c>
      <c r="Z1496">
        <v>6.9011240000000001E-2</v>
      </c>
      <c r="AA1496">
        <v>0.9965484</v>
      </c>
      <c r="AB1496">
        <v>25</v>
      </c>
      <c r="AC1496">
        <v>-1.6199999999997699E-2</v>
      </c>
      <c r="AD1496">
        <v>-6.3816999999999999E-2</v>
      </c>
      <c r="AE1496">
        <v>-0.66350000000005505</v>
      </c>
      <c r="AF1496">
        <v>4.3905404369878602E-2</v>
      </c>
      <c r="AG1496">
        <v>-6.3816999999999999E-2</v>
      </c>
      <c r="AH1496">
        <v>0.65615041741378499</v>
      </c>
      <c r="AI1496">
        <v>95.542781449946702</v>
      </c>
      <c r="AJ1496">
        <v>86.171838214526005</v>
      </c>
      <c r="AK1496">
        <v>0.66070694282273601</v>
      </c>
      <c r="AL1496">
        <v>79.349204885307401</v>
      </c>
      <c r="AM1496">
        <v>85.792786006662197</v>
      </c>
      <c r="AN1496">
        <v>1.0000000450411299</v>
      </c>
    </row>
    <row r="1497" spans="1:40" x14ac:dyDescent="0.25">
      <c r="A1497" t="str">
        <f>"20190312172920130"</f>
        <v>20190312172920130</v>
      </c>
      <c r="B1497" t="str">
        <f>"1552382960118348"</f>
        <v>1552382960118348</v>
      </c>
      <c r="C1497" t="s">
        <v>40</v>
      </c>
      <c r="D1497">
        <v>3.676488</v>
      </c>
      <c r="E1497">
        <v>0.48807050000000002</v>
      </c>
      <c r="F1497" t="s">
        <v>42</v>
      </c>
      <c r="G1497">
        <v>-190.91630000000001</v>
      </c>
      <c r="H1497">
        <v>1.048802</v>
      </c>
      <c r="I1497">
        <v>332.73649999999998</v>
      </c>
      <c r="J1497">
        <v>-190.90289999999999</v>
      </c>
      <c r="K1497">
        <v>1.111256</v>
      </c>
      <c r="L1497">
        <v>333.39659999999998</v>
      </c>
      <c r="M1497">
        <v>4.3564480000000003E-2</v>
      </c>
      <c r="N1497">
        <v>0</v>
      </c>
      <c r="O1497">
        <v>-0.99895449999999997</v>
      </c>
      <c r="P1497">
        <v>-2.9993410000000002E-2</v>
      </c>
      <c r="Q1497">
        <v>0.17129040000000001</v>
      </c>
      <c r="R1497">
        <v>-0.98476399999999997</v>
      </c>
      <c r="S1497">
        <v>-8.8806149999999997E-3</v>
      </c>
      <c r="T1497">
        <v>-0.21835579999999999</v>
      </c>
      <c r="U1497">
        <v>-3.084015</v>
      </c>
      <c r="V1497">
        <v>7.2492749999999995E-2</v>
      </c>
      <c r="W1497">
        <v>0.18503220000000001</v>
      </c>
      <c r="X1497">
        <v>0.98005500000000001</v>
      </c>
      <c r="Y1497">
        <v>4.643808E-2</v>
      </c>
      <c r="Z1497">
        <v>7.0486880000000002E-2</v>
      </c>
      <c r="AA1497">
        <v>0.99643119999999996</v>
      </c>
      <c r="AB1497">
        <v>25</v>
      </c>
      <c r="AC1497">
        <v>-1.34000000000185E-2</v>
      </c>
      <c r="AD1497">
        <v>-6.2454000000000003E-2</v>
      </c>
      <c r="AE1497">
        <v>-0.66009999999999902</v>
      </c>
      <c r="AF1497">
        <v>4.1773167767721803E-2</v>
      </c>
      <c r="AG1497">
        <v>-6.2454000000000003E-2</v>
      </c>
      <c r="AH1497">
        <v>0.65304596853251795</v>
      </c>
      <c r="AI1497">
        <v>95.451788379112003</v>
      </c>
      <c r="AJ1497">
        <v>86.339967022933394</v>
      </c>
      <c r="AK1497">
        <v>0.657354194234679</v>
      </c>
      <c r="AL1497">
        <v>79.336989818495496</v>
      </c>
      <c r="AM1497">
        <v>85.769647251230097</v>
      </c>
      <c r="AN1497">
        <v>0.99999995843220002</v>
      </c>
    </row>
    <row r="1498" spans="1:40" x14ac:dyDescent="0.25">
      <c r="A1498" t="str">
        <f>"20190312172920153"</f>
        <v>20190312172920153</v>
      </c>
      <c r="B1498" t="str">
        <f>"1552382960148604"</f>
        <v>1552382960148604</v>
      </c>
      <c r="C1498" t="s">
        <v>40</v>
      </c>
      <c r="D1498">
        <v>3.7276449999999999</v>
      </c>
      <c r="E1498">
        <v>0.48820180000000002</v>
      </c>
      <c r="F1498" t="s">
        <v>42</v>
      </c>
      <c r="G1498">
        <v>-190.9049</v>
      </c>
      <c r="H1498">
        <v>1.048476</v>
      </c>
      <c r="I1498">
        <v>332.5188</v>
      </c>
      <c r="J1498">
        <v>-190.89070000000001</v>
      </c>
      <c r="K1498">
        <v>1.111183</v>
      </c>
      <c r="L1498">
        <v>333.15019999999998</v>
      </c>
      <c r="M1498">
        <v>4.4755530000000002E-2</v>
      </c>
      <c r="N1498">
        <v>0</v>
      </c>
      <c r="O1498">
        <v>-0.99890199999999996</v>
      </c>
      <c r="P1498">
        <v>-2.9409399999999999E-2</v>
      </c>
      <c r="Q1498">
        <v>0.17097309999999999</v>
      </c>
      <c r="R1498">
        <v>-0.98483679999999996</v>
      </c>
      <c r="S1498">
        <v>-6.5002439999999996E-3</v>
      </c>
      <c r="T1498">
        <v>-0.22079360000000001</v>
      </c>
      <c r="U1498">
        <v>-3.0845950000000002</v>
      </c>
      <c r="V1498">
        <v>7.3119550000000005E-2</v>
      </c>
      <c r="W1498">
        <v>0.1846981</v>
      </c>
      <c r="X1498">
        <v>0.98007149999999998</v>
      </c>
      <c r="Y1498">
        <v>4.685951E-2</v>
      </c>
      <c r="Z1498">
        <v>7.1250240000000006E-2</v>
      </c>
      <c r="AA1498">
        <v>0.9963571</v>
      </c>
      <c r="AB1498">
        <v>24</v>
      </c>
      <c r="AC1498">
        <v>-1.4199999999988199E-2</v>
      </c>
      <c r="AD1498">
        <v>-6.2706999999999999E-2</v>
      </c>
      <c r="AE1498">
        <v>-0.63139999999998497</v>
      </c>
      <c r="AF1498">
        <v>4.2032746947974903E-2</v>
      </c>
      <c r="AG1498">
        <v>-6.2706999999999999E-2</v>
      </c>
      <c r="AH1498">
        <v>0.623980205049527</v>
      </c>
      <c r="AI1498">
        <v>95.725792606429593</v>
      </c>
      <c r="AJ1498">
        <v>86.146246034083603</v>
      </c>
      <c r="AK1498">
        <v>0.62853020290089701</v>
      </c>
      <c r="AL1498">
        <v>79.3564685260273</v>
      </c>
      <c r="AM1498">
        <v>85.733276080342804</v>
      </c>
      <c r="AN1498">
        <v>1.00000000092403</v>
      </c>
    </row>
    <row r="1499" spans="1:40" x14ac:dyDescent="0.25">
      <c r="A1499" t="str">
        <f>"20190312172920174"</f>
        <v>20190312172920174</v>
      </c>
      <c r="B1499" t="str">
        <f>"1552382960169100"</f>
        <v>1552382960169100</v>
      </c>
      <c r="C1499" t="s">
        <v>40</v>
      </c>
      <c r="D1499">
        <v>3.7882250000000002</v>
      </c>
      <c r="E1499">
        <v>0.48810530000000002</v>
      </c>
      <c r="F1499" t="s">
        <v>42</v>
      </c>
      <c r="G1499">
        <v>-190.89250000000001</v>
      </c>
      <c r="H1499">
        <v>1.0489250000000001</v>
      </c>
      <c r="I1499">
        <v>332.30070000000001</v>
      </c>
      <c r="J1499">
        <v>-190.87870000000001</v>
      </c>
      <c r="K1499">
        <v>1.1110979999999999</v>
      </c>
      <c r="L1499">
        <v>332.91140000000001</v>
      </c>
      <c r="M1499">
        <v>4.5778989999999999E-2</v>
      </c>
      <c r="N1499">
        <v>0</v>
      </c>
      <c r="O1499">
        <v>-0.99885590000000002</v>
      </c>
      <c r="P1499">
        <v>-2.870489E-2</v>
      </c>
      <c r="Q1499">
        <v>0.17074800000000001</v>
      </c>
      <c r="R1499">
        <v>-0.98489680000000002</v>
      </c>
      <c r="S1499">
        <v>-5.9356690000000002E-3</v>
      </c>
      <c r="T1499">
        <v>-0.22633619999999999</v>
      </c>
      <c r="U1499">
        <v>-3.0852659999999998</v>
      </c>
      <c r="V1499">
        <v>7.3463059999999997E-2</v>
      </c>
      <c r="W1499">
        <v>0.1844548</v>
      </c>
      <c r="X1499">
        <v>0.98009159999999995</v>
      </c>
      <c r="Y1499">
        <v>4.7699930000000001E-2</v>
      </c>
      <c r="Z1499">
        <v>7.3007069999999993E-2</v>
      </c>
      <c r="AA1499">
        <v>0.99619009999999997</v>
      </c>
      <c r="AB1499">
        <v>24</v>
      </c>
      <c r="AC1499">
        <v>-1.3800000000003299E-2</v>
      </c>
      <c r="AD1499">
        <v>-6.2172999999999798E-2</v>
      </c>
      <c r="AE1499">
        <v>-0.61070000000000801</v>
      </c>
      <c r="AF1499">
        <v>4.1317415886805403E-2</v>
      </c>
      <c r="AG1499">
        <v>-6.2172999999999798E-2</v>
      </c>
      <c r="AH1499">
        <v>0.60317935070110995</v>
      </c>
      <c r="AI1499">
        <v>95.871344646661697</v>
      </c>
      <c r="AJ1499">
        <v>86.081395479339903</v>
      </c>
      <c r="AK1499">
        <v>0.60778116118943304</v>
      </c>
      <c r="AL1499">
        <v>79.370651953544694</v>
      </c>
      <c r="AM1499">
        <v>85.7133934697938</v>
      </c>
      <c r="AN1499">
        <v>0.99999996940908098</v>
      </c>
    </row>
    <row r="1500" spans="1:40" x14ac:dyDescent="0.25">
      <c r="A1500" t="str">
        <f>"20190312172920197"</f>
        <v>20190312172920197</v>
      </c>
      <c r="B1500" t="str">
        <f>"1552382960188620"</f>
        <v>1552382960188620</v>
      </c>
      <c r="C1500" t="s">
        <v>40</v>
      </c>
      <c r="D1500">
        <v>3.6971889999999998</v>
      </c>
      <c r="E1500">
        <v>0.48816100000000001</v>
      </c>
      <c r="F1500" t="s">
        <v>42</v>
      </c>
      <c r="G1500">
        <v>-190.87979999999999</v>
      </c>
      <c r="H1500">
        <v>1.049156</v>
      </c>
      <c r="I1500">
        <v>332.08300000000003</v>
      </c>
      <c r="J1500">
        <v>-190.8665</v>
      </c>
      <c r="K1500">
        <v>1.1110040000000001</v>
      </c>
      <c r="L1500">
        <v>332.6694</v>
      </c>
      <c r="M1500">
        <v>4.6674670000000001E-2</v>
      </c>
      <c r="N1500">
        <v>0</v>
      </c>
      <c r="O1500">
        <v>-0.99881430000000004</v>
      </c>
      <c r="P1500">
        <v>-2.885449E-2</v>
      </c>
      <c r="Q1500">
        <v>0.1702774</v>
      </c>
      <c r="R1500">
        <v>-0.98497369999999995</v>
      </c>
      <c r="S1500">
        <v>-3.219604E-3</v>
      </c>
      <c r="T1500">
        <v>-0.23097989999999999</v>
      </c>
      <c r="U1500">
        <v>-3.0859679999999998</v>
      </c>
      <c r="V1500">
        <v>7.4540620000000002E-2</v>
      </c>
      <c r="W1500">
        <v>0.18396409999999999</v>
      </c>
      <c r="X1500">
        <v>0.98010249999999999</v>
      </c>
      <c r="Y1500">
        <v>4.771831E-2</v>
      </c>
      <c r="Z1500">
        <v>7.447521E-2</v>
      </c>
      <c r="AA1500">
        <v>0.99608050000000004</v>
      </c>
      <c r="AB1500">
        <v>24</v>
      </c>
      <c r="AC1500">
        <v>-1.3299999999986699E-2</v>
      </c>
      <c r="AD1500">
        <v>-6.1848000000000097E-2</v>
      </c>
      <c r="AE1500">
        <v>-0.58639999999996895</v>
      </c>
      <c r="AF1500">
        <v>4.02110688246217E-2</v>
      </c>
      <c r="AG1500">
        <v>-6.1848000000000097E-2</v>
      </c>
      <c r="AH1500">
        <v>0.57870570505394203</v>
      </c>
      <c r="AI1500">
        <v>96.085652627058593</v>
      </c>
      <c r="AJ1500">
        <v>86.025220828405395</v>
      </c>
      <c r="AK1500">
        <v>0.58338871965611205</v>
      </c>
      <c r="AL1500">
        <v>79.399256855911304</v>
      </c>
      <c r="AM1500">
        <v>85.650805006772003</v>
      </c>
      <c r="AN1500">
        <v>1.00000000231252</v>
      </c>
    </row>
    <row r="1501" spans="1:40" x14ac:dyDescent="0.25">
      <c r="A1501" t="str">
        <f>"20190312172920219"</f>
        <v>20190312172920219</v>
      </c>
      <c r="B1501" t="str">
        <f>"1552382960209119"</f>
        <v>1552382960209119</v>
      </c>
      <c r="C1501" t="s">
        <v>40</v>
      </c>
      <c r="D1501">
        <v>3.6764060000000001</v>
      </c>
      <c r="E1501">
        <v>0.48819420000000002</v>
      </c>
      <c r="F1501" t="s">
        <v>42</v>
      </c>
      <c r="G1501">
        <v>-190.86750000000001</v>
      </c>
      <c r="H1501">
        <v>1.049976</v>
      </c>
      <c r="I1501">
        <v>331.86500000000001</v>
      </c>
      <c r="J1501">
        <v>-190.85419999999999</v>
      </c>
      <c r="K1501">
        <v>1.1109009999999999</v>
      </c>
      <c r="L1501">
        <v>332.4273</v>
      </c>
      <c r="M1501">
        <v>4.7422209999999999E-2</v>
      </c>
      <c r="N1501">
        <v>0</v>
      </c>
      <c r="O1501">
        <v>-0.99877919999999998</v>
      </c>
      <c r="P1501">
        <v>-2.9403019999999998E-2</v>
      </c>
      <c r="Q1501">
        <v>0.16971939999999999</v>
      </c>
      <c r="R1501">
        <v>-0.98505410000000004</v>
      </c>
      <c r="S1501">
        <v>-3.6010740000000001E-3</v>
      </c>
      <c r="T1501">
        <v>-0.23419090000000001</v>
      </c>
      <c r="U1501">
        <v>-3.0861510000000001</v>
      </c>
      <c r="V1501">
        <v>7.5875739999999997E-2</v>
      </c>
      <c r="W1501">
        <v>0.18338380000000001</v>
      </c>
      <c r="X1501">
        <v>0.9801088</v>
      </c>
      <c r="Y1501">
        <v>4.8588840000000001E-2</v>
      </c>
      <c r="Z1501">
        <v>7.5494619999999998E-2</v>
      </c>
      <c r="AA1501">
        <v>0.99596169999999995</v>
      </c>
      <c r="AB1501">
        <v>24</v>
      </c>
      <c r="AC1501">
        <v>-1.33000000000151E-2</v>
      </c>
      <c r="AD1501">
        <v>-6.0924999999999903E-2</v>
      </c>
      <c r="AE1501">
        <v>-0.56229999999999303</v>
      </c>
      <c r="AF1501">
        <v>3.9489756171067397E-2</v>
      </c>
      <c r="AG1501">
        <v>-6.0924999999999903E-2</v>
      </c>
      <c r="AH1501">
        <v>0.55453013262197004</v>
      </c>
      <c r="AI1501">
        <v>96.254101698480795</v>
      </c>
      <c r="AJ1501">
        <v>85.926671855205896</v>
      </c>
      <c r="AK1501">
        <v>0.55926287598336999</v>
      </c>
      <c r="AL1501">
        <v>79.433081047137307</v>
      </c>
      <c r="AM1501">
        <v>85.573240511383304</v>
      </c>
      <c r="AN1501">
        <v>1.0000000029302101</v>
      </c>
    </row>
    <row r="1502" spans="1:40" x14ac:dyDescent="0.25">
      <c r="A1502" t="str">
        <f>"20190312172920241"</f>
        <v>20190312172920241</v>
      </c>
      <c r="B1502" t="str">
        <f>"1552382960228597"</f>
        <v>1552382960228597</v>
      </c>
      <c r="C1502" t="s">
        <v>40</v>
      </c>
      <c r="D1502">
        <v>3.7718850000000002</v>
      </c>
      <c r="E1502">
        <v>0.4882205</v>
      </c>
      <c r="F1502" t="s">
        <v>42</v>
      </c>
      <c r="G1502">
        <v>-190.85570000000001</v>
      </c>
      <c r="H1502">
        <v>1.050897</v>
      </c>
      <c r="I1502">
        <v>331.64710000000002</v>
      </c>
      <c r="J1502">
        <v>-190.8424</v>
      </c>
      <c r="K1502">
        <v>1.1107959999999999</v>
      </c>
      <c r="L1502">
        <v>332.19400000000002</v>
      </c>
      <c r="M1502">
        <v>4.7994460000000003E-2</v>
      </c>
      <c r="N1502">
        <v>0</v>
      </c>
      <c r="O1502">
        <v>-0.99875210000000003</v>
      </c>
      <c r="P1502">
        <v>-2.9993390000000002E-2</v>
      </c>
      <c r="Q1502">
        <v>0.16918269999999999</v>
      </c>
      <c r="R1502">
        <v>-0.98512849999999996</v>
      </c>
      <c r="S1502">
        <v>-5.5236819999999898E-3</v>
      </c>
      <c r="T1502">
        <v>-0.23752180000000001</v>
      </c>
      <c r="U1502">
        <v>-3.0863040000000002</v>
      </c>
      <c r="V1502">
        <v>7.70811E-2</v>
      </c>
      <c r="W1502">
        <v>0.18282409999999999</v>
      </c>
      <c r="X1502">
        <v>0.98011930000000003</v>
      </c>
      <c r="Y1502">
        <v>4.9781300000000001E-2</v>
      </c>
      <c r="Z1502">
        <v>7.6552880000000004E-2</v>
      </c>
      <c r="AA1502">
        <v>0.99582199999999998</v>
      </c>
      <c r="AB1502">
        <v>24</v>
      </c>
      <c r="AC1502">
        <v>-1.33000000000151E-2</v>
      </c>
      <c r="AD1502">
        <v>-5.9898999999999897E-2</v>
      </c>
      <c r="AE1502">
        <v>-0.54689999999999295</v>
      </c>
      <c r="AF1502">
        <v>3.90669880545048E-2</v>
      </c>
      <c r="AG1502">
        <v>-5.9898999999999897E-2</v>
      </c>
      <c r="AH1502">
        <v>0.53916741240281896</v>
      </c>
      <c r="AI1502">
        <v>96.322859001742401</v>
      </c>
      <c r="AJ1502">
        <v>85.855705477377597</v>
      </c>
      <c r="AK1502">
        <v>0.54388934385020105</v>
      </c>
      <c r="AL1502">
        <v>79.465700896536802</v>
      </c>
      <c r="AM1502">
        <v>85.503251289290404</v>
      </c>
      <c r="AN1502">
        <v>0.99999999487525404</v>
      </c>
    </row>
    <row r="1503" spans="1:40" x14ac:dyDescent="0.25">
      <c r="A1503" t="str">
        <f>"20190312172920265"</f>
        <v>20190312172920265</v>
      </c>
      <c r="B1503" t="str">
        <f>"1552382960258850"</f>
        <v>1552382960258850</v>
      </c>
      <c r="C1503" t="s">
        <v>40</v>
      </c>
      <c r="D1503">
        <v>3.861456</v>
      </c>
      <c r="E1503">
        <v>0.48818450000000002</v>
      </c>
      <c r="F1503" t="s">
        <v>42</v>
      </c>
      <c r="G1503">
        <v>-190.84440000000001</v>
      </c>
      <c r="H1503">
        <v>1.051186</v>
      </c>
      <c r="I1503">
        <v>331.43</v>
      </c>
      <c r="J1503">
        <v>-190.82900000000001</v>
      </c>
      <c r="K1503">
        <v>1.1106750000000001</v>
      </c>
      <c r="L1503">
        <v>331.92880000000002</v>
      </c>
      <c r="M1503">
        <v>4.8462100000000001E-2</v>
      </c>
      <c r="N1503">
        <v>0</v>
      </c>
      <c r="O1503">
        <v>-0.99872950000000005</v>
      </c>
      <c r="P1503">
        <v>-3.0980939999999998E-2</v>
      </c>
      <c r="Q1503">
        <v>0.16900560000000001</v>
      </c>
      <c r="R1503">
        <v>-0.98512820000000001</v>
      </c>
      <c r="S1503">
        <v>-8.0108639999999995E-3</v>
      </c>
      <c r="T1503">
        <v>-0.240978</v>
      </c>
      <c r="U1503">
        <v>-3.0864259999999999</v>
      </c>
      <c r="V1503">
        <v>7.8583420000000001E-2</v>
      </c>
      <c r="W1503">
        <v>0.18261930000000001</v>
      </c>
      <c r="X1503">
        <v>0.98003819999999997</v>
      </c>
      <c r="Y1503">
        <v>5.1051069999999997E-2</v>
      </c>
      <c r="Z1503">
        <v>7.7651860000000003E-2</v>
      </c>
      <c r="AA1503">
        <v>0.99567260000000002</v>
      </c>
      <c r="AB1503">
        <v>24</v>
      </c>
      <c r="AC1503">
        <v>-1.53999999999996E-2</v>
      </c>
      <c r="AD1503">
        <v>-5.9489000000000097E-2</v>
      </c>
      <c r="AE1503">
        <v>-0.49880000000001701</v>
      </c>
      <c r="AF1503">
        <v>3.9002857246865197E-2</v>
      </c>
      <c r="AG1503">
        <v>-5.9489000000000097E-2</v>
      </c>
      <c r="AH1503">
        <v>0.49049725349714601</v>
      </c>
      <c r="AI1503">
        <v>96.8936823411657</v>
      </c>
      <c r="AJ1503">
        <v>85.453579161590397</v>
      </c>
      <c r="AK1503">
        <v>0.49562861063770602</v>
      </c>
      <c r="AL1503">
        <v>79.477636250242995</v>
      </c>
      <c r="AM1503">
        <v>85.415601364806705</v>
      </c>
      <c r="AN1503">
        <v>1.0000000180453099</v>
      </c>
    </row>
    <row r="1504" spans="1:40" x14ac:dyDescent="0.25">
      <c r="A1504" t="str">
        <f>"20190312172920288"</f>
        <v>20190312172920288</v>
      </c>
      <c r="B1504" t="str">
        <f>"1552382960279346"</f>
        <v>1552382960279346</v>
      </c>
      <c r="C1504" t="s">
        <v>40</v>
      </c>
      <c r="D1504">
        <v>3.740567</v>
      </c>
      <c r="E1504">
        <v>0.48836170000000001</v>
      </c>
      <c r="F1504" t="s">
        <v>42</v>
      </c>
      <c r="G1504">
        <v>-190.83240000000001</v>
      </c>
      <c r="H1504">
        <v>1.0377780000000001</v>
      </c>
      <c r="I1504">
        <v>331.00699999999898</v>
      </c>
      <c r="J1504">
        <v>-190.8168</v>
      </c>
      <c r="K1504">
        <v>1.1105640000000001</v>
      </c>
      <c r="L1504">
        <v>331.6875</v>
      </c>
      <c r="M1504">
        <v>4.8724110000000001E-2</v>
      </c>
      <c r="N1504">
        <v>0</v>
      </c>
      <c r="O1504">
        <v>-0.99871659999999995</v>
      </c>
      <c r="P1504">
        <v>-3.2406749999999998E-2</v>
      </c>
      <c r="Q1504">
        <v>0.169101</v>
      </c>
      <c r="R1504">
        <v>-0.98506559999999999</v>
      </c>
      <c r="S1504">
        <v>-1.1367800000000001E-2</v>
      </c>
      <c r="T1504">
        <v>-0.24422199999999999</v>
      </c>
      <c r="U1504">
        <v>-3.0868229999999999</v>
      </c>
      <c r="V1504">
        <v>8.0309439999999996E-2</v>
      </c>
      <c r="W1504">
        <v>0.18268909999999999</v>
      </c>
      <c r="X1504">
        <v>0.97988520000000001</v>
      </c>
      <c r="Y1504">
        <v>5.2395190000000001E-2</v>
      </c>
      <c r="Z1504">
        <v>7.8676319999999994E-2</v>
      </c>
      <c r="AA1504">
        <v>0.99552240000000003</v>
      </c>
      <c r="AB1504">
        <v>24</v>
      </c>
      <c r="AC1504">
        <v>-1.5600000000006199E-2</v>
      </c>
      <c r="AD1504">
        <v>-7.2785999999999795E-2</v>
      </c>
      <c r="AE1504">
        <v>-0.68050000000005095</v>
      </c>
      <c r="AF1504">
        <v>4.8190368342908199E-2</v>
      </c>
      <c r="AG1504">
        <v>-7.2785999999999795E-2</v>
      </c>
      <c r="AH1504">
        <v>0.671256056893619</v>
      </c>
      <c r="AI1504">
        <v>96.172784664594005</v>
      </c>
      <c r="AJ1504">
        <v>85.893704448328194</v>
      </c>
      <c r="AK1504">
        <v>0.67690827097428397</v>
      </c>
      <c r="AL1504">
        <v>79.473567949821103</v>
      </c>
      <c r="AM1504">
        <v>85.314624000708605</v>
      </c>
      <c r="AN1504">
        <v>0.99999995929548102</v>
      </c>
    </row>
    <row r="1505" spans="1:40" x14ac:dyDescent="0.25">
      <c r="A1505" t="str">
        <f>"20190312172920311"</f>
        <v>20190312172920311</v>
      </c>
      <c r="B1505" t="str">
        <f>"1552382960298865"</f>
        <v>1552382960298865</v>
      </c>
      <c r="C1505" t="s">
        <v>40</v>
      </c>
      <c r="D1505">
        <v>3.7629190000000001</v>
      </c>
      <c r="E1505">
        <v>0.48851109999999998</v>
      </c>
      <c r="F1505" t="s">
        <v>42</v>
      </c>
      <c r="G1505">
        <v>-190.82169999999999</v>
      </c>
      <c r="H1505">
        <v>1.03947099999999</v>
      </c>
      <c r="I1505">
        <v>330.79</v>
      </c>
      <c r="J1505">
        <v>-190.80420000000001</v>
      </c>
      <c r="K1505">
        <v>1.1104670000000001</v>
      </c>
      <c r="L1505">
        <v>331.43400000000003</v>
      </c>
      <c r="M1505">
        <v>4.8870410000000003E-2</v>
      </c>
      <c r="N1505">
        <v>0</v>
      </c>
      <c r="O1505">
        <v>-0.99870970000000003</v>
      </c>
      <c r="P1505">
        <v>-3.3664230000000003E-2</v>
      </c>
      <c r="Q1505">
        <v>0.1680739</v>
      </c>
      <c r="R1505">
        <v>-0.98519950000000001</v>
      </c>
      <c r="S1505">
        <v>-1.6876220000000001E-2</v>
      </c>
      <c r="T1505">
        <v>-0.2445475</v>
      </c>
      <c r="U1505">
        <v>-3.0869140000000002</v>
      </c>
      <c r="V1505">
        <v>8.1756449999999994E-2</v>
      </c>
      <c r="W1505">
        <v>0.18164169999999999</v>
      </c>
      <c r="X1505">
        <v>0.97996030000000001</v>
      </c>
      <c r="Y1505">
        <v>5.4317629999999999E-2</v>
      </c>
      <c r="Z1505">
        <v>7.8772949999999994E-2</v>
      </c>
      <c r="AA1505">
        <v>0.99541170000000001</v>
      </c>
      <c r="AB1505">
        <v>24</v>
      </c>
      <c r="AC1505">
        <v>-1.7499999999984001E-2</v>
      </c>
      <c r="AD1505">
        <v>-7.0996000000000198E-2</v>
      </c>
      <c r="AE1505">
        <v>-0.64400000000000501</v>
      </c>
      <c r="AF1505">
        <v>4.8367239554494901E-2</v>
      </c>
      <c r="AG1505">
        <v>-7.0996000000000198E-2</v>
      </c>
      <c r="AH1505">
        <v>0.63466739780276804</v>
      </c>
      <c r="AI1505">
        <v>96.364457986664803</v>
      </c>
      <c r="AJ1505">
        <v>85.641981288506599</v>
      </c>
      <c r="AK1505">
        <v>0.64045493808062604</v>
      </c>
      <c r="AL1505">
        <v>79.534601266129101</v>
      </c>
      <c r="AM1505">
        <v>85.230953056223996</v>
      </c>
      <c r="AN1505">
        <v>1.0000000069357899</v>
      </c>
    </row>
    <row r="1506" spans="1:40" x14ac:dyDescent="0.25">
      <c r="A1506" t="str">
        <f>"20190312172920333"</f>
        <v>20190312172920333</v>
      </c>
      <c r="B1506" t="str">
        <f>"1552382960329405"</f>
        <v>1552382960329405</v>
      </c>
      <c r="C1506" t="s">
        <v>40</v>
      </c>
      <c r="D1506">
        <v>3.7615539999999998</v>
      </c>
      <c r="E1506">
        <v>0.48876419999999998</v>
      </c>
      <c r="F1506" t="s">
        <v>42</v>
      </c>
      <c r="G1506">
        <v>-190.81020000000001</v>
      </c>
      <c r="H1506">
        <v>1.041126</v>
      </c>
      <c r="I1506">
        <v>330.57330000000002</v>
      </c>
      <c r="J1506">
        <v>-190.79249999999999</v>
      </c>
      <c r="K1506">
        <v>1.110398</v>
      </c>
      <c r="L1506">
        <v>331.19900000000001</v>
      </c>
      <c r="M1506">
        <v>4.8907649999999997E-2</v>
      </c>
      <c r="N1506">
        <v>0</v>
      </c>
      <c r="O1506">
        <v>-0.99870780000000003</v>
      </c>
      <c r="P1506">
        <v>-3.5047639999999998E-2</v>
      </c>
      <c r="Q1506">
        <v>0.1665866</v>
      </c>
      <c r="R1506">
        <v>-0.9854039</v>
      </c>
      <c r="S1506">
        <v>-2.1789550000000001E-2</v>
      </c>
      <c r="T1506">
        <v>-0.24860950000000001</v>
      </c>
      <c r="U1506">
        <v>-3.0867610000000001</v>
      </c>
      <c r="V1506">
        <v>8.3214040000000003E-2</v>
      </c>
      <c r="W1506">
        <v>0.18013959999999901</v>
      </c>
      <c r="X1506">
        <v>0.98011490000000001</v>
      </c>
      <c r="Y1506">
        <v>5.5938689999999999E-2</v>
      </c>
      <c r="Z1506">
        <v>8.0072770000000001E-2</v>
      </c>
      <c r="AA1506">
        <v>0.99521820000000005</v>
      </c>
      <c r="AB1506">
        <v>24</v>
      </c>
      <c r="AC1506">
        <v>-1.77000000000191E-2</v>
      </c>
      <c r="AD1506">
        <v>-6.9272E-2</v>
      </c>
      <c r="AE1506">
        <v>-0.62569999999999404</v>
      </c>
      <c r="AF1506">
        <v>4.7699071788099998E-2</v>
      </c>
      <c r="AG1506">
        <v>-6.9272E-2</v>
      </c>
      <c r="AH1506">
        <v>0.61653453363226096</v>
      </c>
      <c r="AI1506">
        <v>96.391756590777007</v>
      </c>
      <c r="AJ1506">
        <v>85.576043041890799</v>
      </c>
      <c r="AK1506">
        <v>0.62224484135635505</v>
      </c>
      <c r="AL1506">
        <v>79.622109149112106</v>
      </c>
      <c r="AM1506">
        <v>85.147092987137</v>
      </c>
      <c r="AN1506">
        <v>1.00000003457164</v>
      </c>
    </row>
    <row r="1507" spans="1:40" x14ac:dyDescent="0.25">
      <c r="A1507" t="str">
        <f>"20190312172920354"</f>
        <v>20190312172920354</v>
      </c>
      <c r="B1507" t="str">
        <f>"1552382960348925"</f>
        <v>1552382960348925</v>
      </c>
      <c r="C1507" t="s">
        <v>40</v>
      </c>
      <c r="D1507">
        <v>3.8691330000000002</v>
      </c>
      <c r="E1507">
        <v>0.50849569999999999</v>
      </c>
      <c r="F1507" t="s">
        <v>42</v>
      </c>
      <c r="G1507">
        <v>-190.80009999999999</v>
      </c>
      <c r="H1507">
        <v>1.0412809999999999</v>
      </c>
      <c r="I1507">
        <v>330.35759999999999</v>
      </c>
      <c r="J1507">
        <v>-190.78129999999999</v>
      </c>
      <c r="K1507">
        <v>1.1103430000000001</v>
      </c>
      <c r="L1507">
        <v>330.97089999999997</v>
      </c>
      <c r="M1507">
        <v>4.887259E-2</v>
      </c>
      <c r="N1507">
        <v>0</v>
      </c>
      <c r="O1507">
        <v>-0.99870959999999998</v>
      </c>
      <c r="P1507">
        <v>-3.6819650000000002E-2</v>
      </c>
      <c r="Q1507">
        <v>0.1646051</v>
      </c>
      <c r="R1507">
        <v>-0.9856722</v>
      </c>
      <c r="S1507">
        <v>-2.767944E-2</v>
      </c>
      <c r="T1507">
        <v>-0.25363089999999999</v>
      </c>
      <c r="U1507">
        <v>-3.0863339999999999</v>
      </c>
      <c r="V1507">
        <v>8.4983600000000006E-2</v>
      </c>
      <c r="W1507">
        <v>0.17814769999999999</v>
      </c>
      <c r="X1507">
        <v>0.98032710000000001</v>
      </c>
      <c r="Y1507">
        <v>5.7802449999999998E-2</v>
      </c>
      <c r="Z1507">
        <v>8.1685770000000005E-2</v>
      </c>
      <c r="AA1507">
        <v>0.99498059999999999</v>
      </c>
      <c r="AB1507">
        <v>24</v>
      </c>
      <c r="AC1507">
        <v>-1.87999999999988E-2</v>
      </c>
      <c r="AD1507">
        <v>-6.9062000000000096E-2</v>
      </c>
      <c r="AE1507">
        <v>-0.61329999999998097</v>
      </c>
      <c r="AF1507">
        <v>4.8144034822170799E-2</v>
      </c>
      <c r="AG1507">
        <v>-6.9062000000000096E-2</v>
      </c>
      <c r="AH1507">
        <v>0.60399637193950695</v>
      </c>
      <c r="AI1507">
        <v>96.502523876831006</v>
      </c>
      <c r="AJ1507">
        <v>85.442637869502406</v>
      </c>
      <c r="AK1507">
        <v>0.60983524434805003</v>
      </c>
      <c r="AL1507">
        <v>79.738113076127703</v>
      </c>
      <c r="AM1507">
        <v>85.045471064602197</v>
      </c>
      <c r="AN1507">
        <v>1.0000000191393299</v>
      </c>
    </row>
    <row r="1508" spans="1:40" x14ac:dyDescent="0.25">
      <c r="A1508" t="str">
        <f>"20190312172920378"</f>
        <v>20190312172920378</v>
      </c>
      <c r="B1508" t="str">
        <f>"1552382960368444"</f>
        <v>1552382960368444</v>
      </c>
      <c r="C1508" t="s">
        <v>40</v>
      </c>
      <c r="D1508">
        <v>3.802718</v>
      </c>
      <c r="E1508">
        <v>0.5169243</v>
      </c>
      <c r="F1508" t="s">
        <v>42</v>
      </c>
      <c r="G1508">
        <v>-190.8314</v>
      </c>
      <c r="H1508">
        <v>1.004335</v>
      </c>
      <c r="I1508">
        <v>330.15839999999997</v>
      </c>
      <c r="J1508">
        <v>-190.76900000000001</v>
      </c>
      <c r="K1508">
        <v>1.110284</v>
      </c>
      <c r="L1508">
        <v>330.71879999999999</v>
      </c>
      <c r="M1508">
        <v>4.8763010000000002E-2</v>
      </c>
      <c r="N1508">
        <v>0</v>
      </c>
      <c r="O1508">
        <v>-0.99871509999999997</v>
      </c>
      <c r="P1508">
        <v>-3.8971640000000002E-2</v>
      </c>
      <c r="Q1508">
        <v>0.16189709999999999</v>
      </c>
      <c r="R1508">
        <v>-0.98603799999999997</v>
      </c>
      <c r="S1508">
        <v>-0.19126889999999999</v>
      </c>
      <c r="T1508">
        <v>-0.40510249999999998</v>
      </c>
      <c r="U1508">
        <v>-3.1041560000000001</v>
      </c>
      <c r="V1508">
        <v>8.7061840000000001E-2</v>
      </c>
      <c r="W1508">
        <v>0.175429799999999</v>
      </c>
      <c r="X1508">
        <v>0.98063480000000003</v>
      </c>
      <c r="Y1508">
        <v>0.10958950000000001</v>
      </c>
      <c r="Z1508">
        <v>0.128665</v>
      </c>
      <c r="AA1508">
        <v>0.9856142</v>
      </c>
      <c r="AB1508">
        <v>24</v>
      </c>
      <c r="AC1508">
        <v>-6.2399999999996597E-2</v>
      </c>
      <c r="AD1508">
        <v>-0.105949</v>
      </c>
      <c r="AE1508">
        <v>-0.560400000000015</v>
      </c>
      <c r="AF1508">
        <v>8.6597743218317202E-2</v>
      </c>
      <c r="AG1508">
        <v>-0.105949</v>
      </c>
      <c r="AH1508">
        <v>0.53770597272391996</v>
      </c>
      <c r="AI1508">
        <v>101.008388341246</v>
      </c>
      <c r="AJ1508">
        <v>80.851053416885904</v>
      </c>
      <c r="AK1508">
        <v>0.55484418788925105</v>
      </c>
      <c r="AL1508">
        <v>79.8963291726498</v>
      </c>
      <c r="AM1508">
        <v>84.926519414492006</v>
      </c>
      <c r="AN1508">
        <v>0.99999999484163204</v>
      </c>
    </row>
    <row r="1509" spans="1:40" x14ac:dyDescent="0.25">
      <c r="A1509" t="str">
        <f>"20190312172920399"</f>
        <v>20190312172920399</v>
      </c>
      <c r="B1509" t="str">
        <f>"1552382960388940"</f>
        <v>1552382960388940</v>
      </c>
      <c r="C1509" t="s">
        <v>40</v>
      </c>
      <c r="D1509">
        <v>3.7595139999999998</v>
      </c>
      <c r="E1509">
        <v>0.52064719999999998</v>
      </c>
      <c r="F1509" t="s">
        <v>42</v>
      </c>
      <c r="G1509">
        <v>-190.83420000000001</v>
      </c>
      <c r="H1509">
        <v>0.97567369999999998</v>
      </c>
      <c r="I1509">
        <v>329.95659999999998</v>
      </c>
      <c r="J1509">
        <v>-190.7576</v>
      </c>
      <c r="K1509">
        <v>1.110231</v>
      </c>
      <c r="L1509">
        <v>330.48289999999997</v>
      </c>
      <c r="M1509">
        <v>4.8596960000000002E-2</v>
      </c>
      <c r="N1509">
        <v>0</v>
      </c>
      <c r="O1509">
        <v>-0.99872300000000003</v>
      </c>
      <c r="P1509">
        <v>-4.1279570000000002E-2</v>
      </c>
      <c r="Q1509">
        <v>0.15891159999999999</v>
      </c>
      <c r="R1509">
        <v>-0.98642969999999996</v>
      </c>
      <c r="S1509">
        <v>-0.26651000000000002</v>
      </c>
      <c r="T1509">
        <v>-0.55155900000000002</v>
      </c>
      <c r="U1509">
        <v>-3.1224370000000001</v>
      </c>
      <c r="V1509">
        <v>8.923934E-2</v>
      </c>
      <c r="W1509">
        <v>0.1724358</v>
      </c>
      <c r="X1509">
        <v>0.98097000000000001</v>
      </c>
      <c r="Y1509">
        <v>0.13208819999999999</v>
      </c>
      <c r="Z1509">
        <v>0.1725747</v>
      </c>
      <c r="AA1509">
        <v>0.97609970000000001</v>
      </c>
      <c r="AB1509">
        <v>24</v>
      </c>
      <c r="AC1509">
        <v>-7.6600000000013296E-2</v>
      </c>
      <c r="AD1509">
        <v>-0.13455729999999999</v>
      </c>
      <c r="AE1509">
        <v>-0.526299999999992</v>
      </c>
      <c r="AF1509">
        <v>9.5946982450933305E-2</v>
      </c>
      <c r="AG1509">
        <v>-0.13455729999999999</v>
      </c>
      <c r="AH1509">
        <v>0.49055500061214702</v>
      </c>
      <c r="AI1509">
        <v>105.066596112328</v>
      </c>
      <c r="AJ1509">
        <v>78.933303813056398</v>
      </c>
      <c r="AK1509">
        <v>0.51764437507840599</v>
      </c>
      <c r="AL1509">
        <v>80.070527611053194</v>
      </c>
      <c r="AM1509">
        <v>84.802080970823795</v>
      </c>
      <c r="AN1509">
        <v>0.99999995291263599</v>
      </c>
    </row>
    <row r="1510" spans="1:40" x14ac:dyDescent="0.25">
      <c r="A1510" t="str">
        <f>"20190312172920423"</f>
        <v>20190312172920423</v>
      </c>
      <c r="B1510" t="str">
        <f>"1552382960419196"</f>
        <v>1552382960419196</v>
      </c>
      <c r="C1510" t="s">
        <v>40</v>
      </c>
      <c r="D1510">
        <v>3.840449</v>
      </c>
      <c r="E1510">
        <v>0.52315540000000005</v>
      </c>
      <c r="F1510" t="s">
        <v>42</v>
      </c>
      <c r="G1510">
        <v>-190.8289</v>
      </c>
      <c r="H1510">
        <v>0.96113789999999999</v>
      </c>
      <c r="I1510">
        <v>329.7484</v>
      </c>
      <c r="J1510">
        <v>-190.7458</v>
      </c>
      <c r="K1510">
        <v>1.1101719999999999</v>
      </c>
      <c r="L1510">
        <v>330.23700000000002</v>
      </c>
      <c r="M1510">
        <v>4.8361269999999998E-2</v>
      </c>
      <c r="N1510">
        <v>0</v>
      </c>
      <c r="O1510">
        <v>-0.99873480000000003</v>
      </c>
      <c r="P1510">
        <v>-4.4049379999999999E-2</v>
      </c>
      <c r="Q1510">
        <v>0.15663949999999999</v>
      </c>
      <c r="R1510">
        <v>-0.98667309999999997</v>
      </c>
      <c r="S1510">
        <v>-0.30398560000000002</v>
      </c>
      <c r="T1510">
        <v>-0.63558409999999999</v>
      </c>
      <c r="U1510">
        <v>-3.1309200000000001</v>
      </c>
      <c r="V1510">
        <v>9.180402E-2</v>
      </c>
      <c r="W1510">
        <v>0.17015169999999999</v>
      </c>
      <c r="X1510">
        <v>0.98113220000000001</v>
      </c>
      <c r="Y1510">
        <v>0.1427599</v>
      </c>
      <c r="Z1510">
        <v>0.19712869999999999</v>
      </c>
      <c r="AA1510">
        <v>0.96992780000000001</v>
      </c>
      <c r="AB1510">
        <v>24</v>
      </c>
      <c r="AC1510">
        <v>-8.31000000000017E-2</v>
      </c>
      <c r="AD1510">
        <v>-0.149034099999999</v>
      </c>
      <c r="AE1510">
        <v>-0.48859999999996201</v>
      </c>
      <c r="AF1510">
        <v>9.7791669308728998E-2</v>
      </c>
      <c r="AG1510">
        <v>-0.149034099999999</v>
      </c>
      <c r="AH1510">
        <v>0.44387258625028603</v>
      </c>
      <c r="AI1510">
        <v>108.154071258131</v>
      </c>
      <c r="AJ1510">
        <v>77.575382359785905</v>
      </c>
      <c r="AK1510">
        <v>0.47832755134271299</v>
      </c>
      <c r="AL1510">
        <v>80.203360537079703</v>
      </c>
      <c r="AM1510">
        <v>84.654428614920604</v>
      </c>
      <c r="AN1510">
        <v>0.99999998648894495</v>
      </c>
    </row>
    <row r="1511" spans="1:40" x14ac:dyDescent="0.25">
      <c r="A1511" t="str">
        <f>"20190312172920443"</f>
        <v>20190312172920443</v>
      </c>
      <c r="B1511" t="str">
        <f>"1552382960438716"</f>
        <v>1552382960438716</v>
      </c>
      <c r="C1511" t="s">
        <v>40</v>
      </c>
      <c r="D1511">
        <v>3.8012090000000001</v>
      </c>
      <c r="E1511">
        <v>0.5237927</v>
      </c>
      <c r="F1511" t="s">
        <v>42</v>
      </c>
      <c r="G1511">
        <v>-190.82040000000001</v>
      </c>
      <c r="H1511">
        <v>0.95538889999999999</v>
      </c>
      <c r="I1511">
        <v>329.53649999999999</v>
      </c>
      <c r="J1511">
        <v>-190.73519999999999</v>
      </c>
      <c r="K1511">
        <v>1.110123</v>
      </c>
      <c r="L1511">
        <v>330.0111</v>
      </c>
      <c r="M1511">
        <v>4.8084179999999997E-2</v>
      </c>
      <c r="N1511">
        <v>0</v>
      </c>
      <c r="O1511">
        <v>-0.99874799999999997</v>
      </c>
      <c r="P1511">
        <v>-4.6947139999999998E-2</v>
      </c>
      <c r="Q1511">
        <v>0.15559829999999999</v>
      </c>
      <c r="R1511">
        <v>-0.98670420000000003</v>
      </c>
      <c r="S1511">
        <v>-0.33325199999999999</v>
      </c>
      <c r="T1511">
        <v>-0.69292589999999998</v>
      </c>
      <c r="U1511">
        <v>-3.1356510000000002</v>
      </c>
      <c r="V1511">
        <v>9.4444920000000002E-2</v>
      </c>
      <c r="W1511">
        <v>0.1690953</v>
      </c>
      <c r="X1511">
        <v>0.98106420000000005</v>
      </c>
      <c r="Y1511">
        <v>0.15093210000000001</v>
      </c>
      <c r="Z1511">
        <v>0.21358969999999999</v>
      </c>
      <c r="AA1511">
        <v>0.96519370000000004</v>
      </c>
      <c r="AB1511">
        <v>24</v>
      </c>
      <c r="AC1511">
        <v>-8.5200000000014597E-2</v>
      </c>
      <c r="AD1511">
        <v>-0.15473409999999899</v>
      </c>
      <c r="AE1511">
        <v>-0.47460000000000901</v>
      </c>
      <c r="AF1511">
        <v>9.7848213914460497E-2</v>
      </c>
      <c r="AG1511">
        <v>-0.15473409999999899</v>
      </c>
      <c r="AH1511">
        <v>0.42607747338074098</v>
      </c>
      <c r="AI1511">
        <v>109.49122089004101</v>
      </c>
      <c r="AJ1511">
        <v>77.066343970497002</v>
      </c>
      <c r="AK1511">
        <v>0.46374446410881998</v>
      </c>
      <c r="AL1511">
        <v>80.264778073962304</v>
      </c>
      <c r="AM1511">
        <v>84.501204641581595</v>
      </c>
      <c r="AN1511">
        <v>1.0000000139587599</v>
      </c>
    </row>
    <row r="1512" spans="1:40" x14ac:dyDescent="0.25">
      <c r="A1512" t="str">
        <f>"20190312172920466"</f>
        <v>20190312172920466</v>
      </c>
      <c r="B1512" t="str">
        <f>"1552382960459212"</f>
        <v>1552382960459212</v>
      </c>
      <c r="C1512" t="s">
        <v>40</v>
      </c>
      <c r="D1512">
        <v>3.7419470000000001</v>
      </c>
      <c r="E1512">
        <v>0.52435949999999998</v>
      </c>
      <c r="F1512" t="s">
        <v>42</v>
      </c>
      <c r="G1512">
        <v>-190.833</v>
      </c>
      <c r="H1512">
        <v>0.90834369999999998</v>
      </c>
      <c r="I1512">
        <v>329.1268</v>
      </c>
      <c r="J1512">
        <v>-190.7243</v>
      </c>
      <c r="K1512">
        <v>1.11008</v>
      </c>
      <c r="L1512">
        <v>329.77659999999997</v>
      </c>
      <c r="M1512">
        <v>4.7731309999999999E-2</v>
      </c>
      <c r="N1512">
        <v>0</v>
      </c>
      <c r="O1512">
        <v>-0.99876509999999996</v>
      </c>
      <c r="P1512">
        <v>-4.9698630000000001E-2</v>
      </c>
      <c r="Q1512">
        <v>0.15469089999999999</v>
      </c>
      <c r="R1512">
        <v>-0.98671229999999999</v>
      </c>
      <c r="S1512">
        <v>-0.34657290000000002</v>
      </c>
      <c r="T1512">
        <v>-0.71576619999999902</v>
      </c>
      <c r="U1512">
        <v>-3.1368100000000001</v>
      </c>
      <c r="V1512">
        <v>9.6863879999999999E-2</v>
      </c>
      <c r="W1512">
        <v>0.16817270000000001</v>
      </c>
      <c r="X1512">
        <v>0.9809869</v>
      </c>
      <c r="Y1512">
        <v>0.15443570000000001</v>
      </c>
      <c r="Z1512">
        <v>0.2201089</v>
      </c>
      <c r="AA1512">
        <v>0.96317269999999999</v>
      </c>
      <c r="AB1512">
        <v>24</v>
      </c>
      <c r="AC1512">
        <v>-0.10869999999999801</v>
      </c>
      <c r="AD1512">
        <v>-0.20173630000000001</v>
      </c>
      <c r="AE1512">
        <v>-0.64979999999996996</v>
      </c>
      <c r="AF1512">
        <v>0.12762826899355001</v>
      </c>
      <c r="AG1512">
        <v>-0.20173630000000001</v>
      </c>
      <c r="AH1512">
        <v>0.58867548775839396</v>
      </c>
      <c r="AI1512">
        <v>108.516437718806</v>
      </c>
      <c r="AJ1512">
        <v>77.767262409899004</v>
      </c>
      <c r="AK1512">
        <v>0.63523644391011103</v>
      </c>
      <c r="AL1512">
        <v>80.318406896818104</v>
      </c>
      <c r="AM1512">
        <v>84.360822298566703</v>
      </c>
      <c r="AN1512">
        <v>0.99999998312277605</v>
      </c>
    </row>
    <row r="1513" spans="1:40" x14ac:dyDescent="0.25">
      <c r="A1513" t="str">
        <f>"20190312172920488"</f>
        <v>20190312172920488</v>
      </c>
      <c r="B1513" t="str">
        <f>"1552382960478732"</f>
        <v>1552382960478732</v>
      </c>
      <c r="C1513" t="s">
        <v>40</v>
      </c>
      <c r="D1513">
        <v>3.7888280000000001</v>
      </c>
      <c r="E1513">
        <v>0.525061</v>
      </c>
      <c r="F1513" t="s">
        <v>42</v>
      </c>
      <c r="G1513">
        <v>-190.82310000000001</v>
      </c>
      <c r="H1513">
        <v>0.90927270000000004</v>
      </c>
      <c r="I1513">
        <v>328.91250000000002</v>
      </c>
      <c r="J1513">
        <v>-190.7132</v>
      </c>
      <c r="K1513">
        <v>1.110052</v>
      </c>
      <c r="L1513">
        <v>329.53390000000002</v>
      </c>
      <c r="M1513">
        <v>4.7308200000000002E-2</v>
      </c>
      <c r="N1513">
        <v>0</v>
      </c>
      <c r="O1513">
        <v>-0.99878500000000003</v>
      </c>
      <c r="P1513">
        <v>-5.3608549999999998E-2</v>
      </c>
      <c r="Q1513">
        <v>0.15315770000000001</v>
      </c>
      <c r="R1513">
        <v>-0.98674649999999997</v>
      </c>
      <c r="S1513">
        <v>-0.35844419999999999</v>
      </c>
      <c r="T1513">
        <v>-0.7289196</v>
      </c>
      <c r="U1513">
        <v>-3.1365970000000001</v>
      </c>
      <c r="V1513">
        <v>0.10036829999999999</v>
      </c>
      <c r="W1513">
        <v>0.1666242</v>
      </c>
      <c r="X1513">
        <v>0.98089890000000002</v>
      </c>
      <c r="Y1513">
        <v>0.15752579999999999</v>
      </c>
      <c r="Z1513">
        <v>0.2238704</v>
      </c>
      <c r="AA1513">
        <v>0.9618044</v>
      </c>
      <c r="AB1513">
        <v>24</v>
      </c>
      <c r="AC1513">
        <v>-0.10990000000001</v>
      </c>
      <c r="AD1513">
        <v>-0.20077929999999999</v>
      </c>
      <c r="AE1513">
        <v>-0.62139999999999396</v>
      </c>
      <c r="AF1513">
        <v>0.12638299704596001</v>
      </c>
      <c r="AG1513">
        <v>-0.20077929999999999</v>
      </c>
      <c r="AH1513">
        <v>0.55892333722203102</v>
      </c>
      <c r="AI1513">
        <v>109.309409007822</v>
      </c>
      <c r="AJ1513">
        <v>77.2586249816639</v>
      </c>
      <c r="AK1513">
        <v>0.60719048587920199</v>
      </c>
      <c r="AL1513">
        <v>80.4083997866381</v>
      </c>
      <c r="AM1513">
        <v>84.157669714461704</v>
      </c>
      <c r="AN1513">
        <v>1.0000000358458601</v>
      </c>
    </row>
    <row r="1514" spans="1:40" x14ac:dyDescent="0.25">
      <c r="A1514" t="str">
        <f>"20190312172920523"</f>
        <v>20190312172920523</v>
      </c>
      <c r="B1514" t="str">
        <f>"1552382960518749"</f>
        <v>1552382960518749</v>
      </c>
      <c r="C1514" t="s">
        <v>40</v>
      </c>
      <c r="D1514">
        <v>3.7514310000000002</v>
      </c>
      <c r="E1514">
        <v>0.52558570000000004</v>
      </c>
      <c r="F1514" t="s">
        <v>42</v>
      </c>
      <c r="G1514">
        <v>-190.8135</v>
      </c>
      <c r="H1514">
        <v>0.91226660000000004</v>
      </c>
      <c r="I1514">
        <v>328.69760000000002</v>
      </c>
      <c r="J1514">
        <v>-190.69649999999999</v>
      </c>
      <c r="K1514">
        <v>1.110009</v>
      </c>
      <c r="L1514">
        <v>329.16399999999999</v>
      </c>
      <c r="M1514">
        <v>4.6561230000000002E-2</v>
      </c>
      <c r="N1514">
        <v>0</v>
      </c>
      <c r="O1514">
        <v>-0.9988205</v>
      </c>
      <c r="P1514">
        <v>-5.7092539999999997E-2</v>
      </c>
      <c r="Q1514">
        <v>0.1529731</v>
      </c>
      <c r="R1514">
        <v>-0.98658020000000002</v>
      </c>
      <c r="S1514">
        <v>-0.3750153</v>
      </c>
      <c r="T1514">
        <v>-0.74147259999999904</v>
      </c>
      <c r="U1514">
        <v>-3.13504</v>
      </c>
      <c r="V1514">
        <v>0.10312200000000001</v>
      </c>
      <c r="W1514">
        <v>0.1664196</v>
      </c>
      <c r="X1514">
        <v>0.98064790000000002</v>
      </c>
      <c r="Y1514">
        <v>0.1617546</v>
      </c>
      <c r="Z1514">
        <v>0.22749810000000001</v>
      </c>
      <c r="AA1514">
        <v>0.96025000000000005</v>
      </c>
      <c r="AB1514">
        <v>24</v>
      </c>
      <c r="AC1514">
        <v>-0.11700000000001801</v>
      </c>
      <c r="AD1514">
        <v>-0.19774240000000001</v>
      </c>
      <c r="AE1514">
        <v>-0.46639999999996401</v>
      </c>
      <c r="AF1514">
        <v>0.11854393143917601</v>
      </c>
      <c r="AG1514">
        <v>-0.19774240000000001</v>
      </c>
      <c r="AH1514">
        <v>0.39384193287374097</v>
      </c>
      <c r="AI1514">
        <v>115.67727903718701</v>
      </c>
      <c r="AJ1514">
        <v>73.248537506790996</v>
      </c>
      <c r="AK1514">
        <v>0.45636190521179598</v>
      </c>
      <c r="AL1514">
        <v>80.420287829658307</v>
      </c>
      <c r="AM1514">
        <v>83.997009344513401</v>
      </c>
      <c r="AN1514">
        <v>0.99999996696128401</v>
      </c>
    </row>
    <row r="1515" spans="1:40" x14ac:dyDescent="0.25">
      <c r="A1515" t="str">
        <f>"20190312172920545"</f>
        <v>20190312172920545</v>
      </c>
      <c r="B1515" t="str">
        <f>"1552382960539245"</f>
        <v>1552382960539245</v>
      </c>
      <c r="C1515" t="s">
        <v>40</v>
      </c>
      <c r="D1515">
        <v>3.8878020000000002</v>
      </c>
      <c r="E1515">
        <v>0.52560949999999995</v>
      </c>
      <c r="F1515" t="s">
        <v>42</v>
      </c>
      <c r="G1515">
        <v>-190.78319999999999</v>
      </c>
      <c r="H1515">
        <v>0.94394769999999995</v>
      </c>
      <c r="I1515">
        <v>328.47149999999999</v>
      </c>
      <c r="J1515">
        <v>-190.6866</v>
      </c>
      <c r="K1515">
        <v>1.1099870000000001</v>
      </c>
      <c r="L1515">
        <v>328.9375</v>
      </c>
      <c r="M1515">
        <v>4.6042939999999997E-2</v>
      </c>
      <c r="N1515">
        <v>0</v>
      </c>
      <c r="O1515">
        <v>-0.99884439999999997</v>
      </c>
      <c r="P1515">
        <v>-5.9563459999999999E-2</v>
      </c>
      <c r="Q1515">
        <v>0.1532519</v>
      </c>
      <c r="R1515">
        <v>-0.98639060000000001</v>
      </c>
      <c r="S1515">
        <v>-0.39186100000000001</v>
      </c>
      <c r="T1515">
        <v>-0.75173429999999997</v>
      </c>
      <c r="U1515">
        <v>-3.134674</v>
      </c>
      <c r="V1515">
        <v>0.1050804</v>
      </c>
      <c r="W1515">
        <v>0.16668529999999901</v>
      </c>
      <c r="X1515">
        <v>0.98039489999999996</v>
      </c>
      <c r="Y1515">
        <v>0.1662546</v>
      </c>
      <c r="Z1515">
        <v>0.230353</v>
      </c>
      <c r="AA1515">
        <v>0.95879970000000003</v>
      </c>
      <c r="AB1515">
        <v>24</v>
      </c>
      <c r="AC1515">
        <v>-9.6599999999995106E-2</v>
      </c>
      <c r="AD1515">
        <v>-0.1660393</v>
      </c>
      <c r="AE1515">
        <v>-0.46600000000000802</v>
      </c>
      <c r="AF1515">
        <v>0.10515558576418201</v>
      </c>
      <c r="AG1515">
        <v>-0.1660393</v>
      </c>
      <c r="AH1515">
        <v>0.411025692831956</v>
      </c>
      <c r="AI1515">
        <v>111.373316976878</v>
      </c>
      <c r="AJ1515">
        <v>75.649427869955105</v>
      </c>
      <c r="AK1515">
        <v>0.45559726352326602</v>
      </c>
      <c r="AL1515">
        <v>80.404849207876097</v>
      </c>
      <c r="AM1515">
        <v>83.882295710091299</v>
      </c>
      <c r="AN1515">
        <v>1.00000001982312</v>
      </c>
    </row>
    <row r="1516" spans="1:40" x14ac:dyDescent="0.25">
      <c r="A1516" t="str">
        <f>"20190312172920566"</f>
        <v>20190312172920566</v>
      </c>
      <c r="B1516" t="str">
        <f>"1552382960558764"</f>
        <v>1552382960558764</v>
      </c>
      <c r="C1516" t="s">
        <v>40</v>
      </c>
      <c r="D1516">
        <v>3.7456700000000001</v>
      </c>
      <c r="E1516">
        <v>0.52557810000000005</v>
      </c>
      <c r="F1516" t="s">
        <v>42</v>
      </c>
      <c r="G1516">
        <v>-190.79859999999999</v>
      </c>
      <c r="H1516">
        <v>0.89942459999999902</v>
      </c>
      <c r="I1516">
        <v>328.06240000000003</v>
      </c>
      <c r="J1516">
        <v>-190.6763</v>
      </c>
      <c r="K1516">
        <v>1.1099619999999999</v>
      </c>
      <c r="L1516">
        <v>328.70010000000002</v>
      </c>
      <c r="M1516">
        <v>4.5453489999999999E-2</v>
      </c>
      <c r="N1516">
        <v>0</v>
      </c>
      <c r="O1516">
        <v>-0.99887159999999997</v>
      </c>
      <c r="P1516">
        <v>-6.2616039999999998E-2</v>
      </c>
      <c r="Q1516">
        <v>0.15303449999999999</v>
      </c>
      <c r="R1516">
        <v>-0.98623559999999999</v>
      </c>
      <c r="S1516">
        <v>-0.4008179</v>
      </c>
      <c r="T1516">
        <v>-0.75423859999999998</v>
      </c>
      <c r="U1516">
        <v>-3.134369</v>
      </c>
      <c r="V1516">
        <v>0.1075527</v>
      </c>
      <c r="W1516">
        <v>0.16645389999999999</v>
      </c>
      <c r="X1516">
        <v>0.98016610000000004</v>
      </c>
      <c r="Y1516">
        <v>0.16836039999999999</v>
      </c>
      <c r="Z1516">
        <v>0.23102839999999999</v>
      </c>
      <c r="AA1516">
        <v>0.95826960000000005</v>
      </c>
      <c r="AB1516">
        <v>24</v>
      </c>
      <c r="AC1516">
        <v>-0.122299999999995</v>
      </c>
      <c r="AD1516">
        <v>-0.21053740000000001</v>
      </c>
      <c r="AE1516">
        <v>-0.63769999999999505</v>
      </c>
      <c r="AF1516">
        <v>0.13678174535305501</v>
      </c>
      <c r="AG1516">
        <v>-0.21053740000000001</v>
      </c>
      <c r="AH1516">
        <v>0.57140754568542296</v>
      </c>
      <c r="AI1516">
        <v>109.714156064592</v>
      </c>
      <c r="AJ1516">
        <v>76.538030153708405</v>
      </c>
      <c r="AK1516">
        <v>0.62413285919492101</v>
      </c>
      <c r="AL1516">
        <v>80.418295432550593</v>
      </c>
      <c r="AM1516">
        <v>83.738040365940705</v>
      </c>
      <c r="AN1516">
        <v>1.0000000338458499</v>
      </c>
    </row>
    <row r="1517" spans="1:40" x14ac:dyDescent="0.25">
      <c r="A1517" t="str">
        <f>"20190312172920588"</f>
        <v>20190312172920588</v>
      </c>
      <c r="B1517" t="str">
        <f>"1552382960579260"</f>
        <v>1552382960579260</v>
      </c>
      <c r="C1517" t="s">
        <v>40</v>
      </c>
      <c r="D1517">
        <v>3.8175880000000002</v>
      </c>
      <c r="E1517">
        <v>0.52532679999999998</v>
      </c>
      <c r="F1517" t="s">
        <v>42</v>
      </c>
      <c r="G1517">
        <v>-190.78790000000001</v>
      </c>
      <c r="H1517">
        <v>0.9039296</v>
      </c>
      <c r="I1517">
        <v>327.84809999999999</v>
      </c>
      <c r="J1517">
        <v>-190.66650000000001</v>
      </c>
      <c r="K1517">
        <v>1.1099410000000001</v>
      </c>
      <c r="L1517">
        <v>328.46969999999999</v>
      </c>
      <c r="M1517">
        <v>4.4847999999999999E-2</v>
      </c>
      <c r="N1517">
        <v>0</v>
      </c>
      <c r="O1517">
        <v>-0.99889890000000003</v>
      </c>
      <c r="P1517">
        <v>-6.543069E-2</v>
      </c>
      <c r="Q1517">
        <v>0.15340860000000001</v>
      </c>
      <c r="R1517">
        <v>-0.98599460000000005</v>
      </c>
      <c r="S1517">
        <v>-0.41035460000000001</v>
      </c>
      <c r="T1517">
        <v>-0.75767200000000001</v>
      </c>
      <c r="U1517">
        <v>-3.1333920000000002</v>
      </c>
      <c r="V1517">
        <v>0.1097684</v>
      </c>
      <c r="W1517">
        <v>0.16681319999999999</v>
      </c>
      <c r="X1517">
        <v>0.97985929999999999</v>
      </c>
      <c r="Y1517">
        <v>0.17063829999999999</v>
      </c>
      <c r="Z1517">
        <v>0.2320112</v>
      </c>
      <c r="AA1517">
        <v>0.95762899999999995</v>
      </c>
      <c r="AB1517">
        <v>24</v>
      </c>
      <c r="AC1517">
        <v>-0.121399999999994</v>
      </c>
      <c r="AD1517">
        <v>-0.20601140000000001</v>
      </c>
      <c r="AE1517">
        <v>-0.62160000000000004</v>
      </c>
      <c r="AF1517">
        <v>0.13488642442256699</v>
      </c>
      <c r="AG1517">
        <v>-0.20601140000000001</v>
      </c>
      <c r="AH1517">
        <v>0.55663500370198504</v>
      </c>
      <c r="AI1517">
        <v>109.783216333833</v>
      </c>
      <c r="AJ1517">
        <v>76.378390670259506</v>
      </c>
      <c r="AK1517">
        <v>0.60866868801489604</v>
      </c>
      <c r="AL1517">
        <v>80.3974167968193</v>
      </c>
      <c r="AM1517">
        <v>83.608109563979397</v>
      </c>
      <c r="AN1517">
        <v>0.999999996564645</v>
      </c>
    </row>
    <row r="1518" spans="1:40" x14ac:dyDescent="0.25">
      <c r="A1518" t="str">
        <f>"20190312172920611"</f>
        <v>20190312172920611</v>
      </c>
      <c r="B1518" t="str">
        <f>"1552382960608541"</f>
        <v>1552382960608541</v>
      </c>
      <c r="C1518" t="s">
        <v>40</v>
      </c>
      <c r="D1518">
        <v>3.891915</v>
      </c>
      <c r="E1518">
        <v>0.52488480000000004</v>
      </c>
      <c r="F1518" t="s">
        <v>42</v>
      </c>
      <c r="G1518">
        <v>-190.7773</v>
      </c>
      <c r="H1518">
        <v>0.90755759999999996</v>
      </c>
      <c r="I1518">
        <v>327.6343</v>
      </c>
      <c r="J1518">
        <v>-190.65629999999999</v>
      </c>
      <c r="K1518">
        <v>1.109928</v>
      </c>
      <c r="L1518">
        <v>328.2244</v>
      </c>
      <c r="M1518">
        <v>4.4169460000000001E-2</v>
      </c>
      <c r="N1518">
        <v>0</v>
      </c>
      <c r="O1518">
        <v>-0.99892919999999996</v>
      </c>
      <c r="P1518">
        <v>-6.8374539999999998E-2</v>
      </c>
      <c r="Q1518">
        <v>0.1536679</v>
      </c>
      <c r="R1518">
        <v>-0.98575449999999998</v>
      </c>
      <c r="S1518">
        <v>-0.41575620000000002</v>
      </c>
      <c r="T1518">
        <v>-0.75907209999999903</v>
      </c>
      <c r="U1518">
        <v>-3.1331479999999998</v>
      </c>
      <c r="V1518">
        <v>0.1120414</v>
      </c>
      <c r="W1518">
        <v>0.16705719999999999</v>
      </c>
      <c r="X1518">
        <v>0.9795604</v>
      </c>
      <c r="Y1518">
        <v>0.17158960000000001</v>
      </c>
      <c r="Z1518">
        <v>0.23239989999999999</v>
      </c>
      <c r="AA1518">
        <v>0.95736480000000002</v>
      </c>
      <c r="AB1518">
        <v>24</v>
      </c>
      <c r="AC1518">
        <v>-0.121000000000009</v>
      </c>
      <c r="AD1518">
        <v>-0.20237040000000001</v>
      </c>
      <c r="AE1518">
        <v>-0.59010000000000595</v>
      </c>
      <c r="AF1518">
        <v>0.132045546308448</v>
      </c>
      <c r="AG1518">
        <v>-0.20237040000000001</v>
      </c>
      <c r="AH1518">
        <v>0.524932864516654</v>
      </c>
      <c r="AI1518">
        <v>110.499243646309</v>
      </c>
      <c r="AJ1518">
        <v>75.880337699696497</v>
      </c>
      <c r="AK1518">
        <v>0.57787915462120298</v>
      </c>
      <c r="AL1518">
        <v>80.383237505335899</v>
      </c>
      <c r="AM1518">
        <v>83.4749072671775</v>
      </c>
      <c r="AN1518">
        <v>0.99999998031697901</v>
      </c>
    </row>
    <row r="1519" spans="1:40" x14ac:dyDescent="0.25">
      <c r="A1519" t="str">
        <f>"20190312172920633"</f>
        <v>20190312172920633</v>
      </c>
      <c r="B1519" t="str">
        <f>"1552382960629036"</f>
        <v>1552382960629036</v>
      </c>
      <c r="C1519" t="s">
        <v>40</v>
      </c>
      <c r="D1519">
        <v>3.7460290000000001</v>
      </c>
      <c r="E1519">
        <v>0.52518310000000001</v>
      </c>
      <c r="F1519" t="s">
        <v>42</v>
      </c>
      <c r="G1519">
        <v>-190.7646</v>
      </c>
      <c r="H1519">
        <v>0.91454880000000005</v>
      </c>
      <c r="I1519">
        <v>327.4196</v>
      </c>
      <c r="J1519">
        <v>-190.6464</v>
      </c>
      <c r="K1519">
        <v>1.109912</v>
      </c>
      <c r="L1519">
        <v>327.98270000000002</v>
      </c>
      <c r="M1519">
        <v>4.3466490000000003E-2</v>
      </c>
      <c r="N1519">
        <v>0</v>
      </c>
      <c r="O1519">
        <v>-0.99895999999999996</v>
      </c>
      <c r="P1519">
        <v>-7.0979210000000001E-2</v>
      </c>
      <c r="Q1519">
        <v>0.1535869</v>
      </c>
      <c r="R1519">
        <v>-0.98558299999999999</v>
      </c>
      <c r="S1519">
        <v>-0.4210663</v>
      </c>
      <c r="T1519">
        <v>-0.76053490000000001</v>
      </c>
      <c r="U1519">
        <v>-3.1327210000000001</v>
      </c>
      <c r="V1519">
        <v>0.11395329999999999</v>
      </c>
      <c r="W1519">
        <v>0.1669631</v>
      </c>
      <c r="X1519">
        <v>0.97935589999999995</v>
      </c>
      <c r="Y1519">
        <v>0.172494799999999</v>
      </c>
      <c r="Z1519">
        <v>0.23282040000000001</v>
      </c>
      <c r="AA1519">
        <v>0.9570999</v>
      </c>
      <c r="AB1519">
        <v>24</v>
      </c>
      <c r="AC1519">
        <v>-0.118200000000001</v>
      </c>
      <c r="AD1519">
        <v>-0.19536319999999899</v>
      </c>
      <c r="AE1519">
        <v>-0.56310000000001903</v>
      </c>
      <c r="AF1519">
        <v>0.127829250054286</v>
      </c>
      <c r="AG1519">
        <v>-0.19536319999999899</v>
      </c>
      <c r="AH1519">
        <v>0.499807168148234</v>
      </c>
      <c r="AI1519">
        <v>110.741075671866</v>
      </c>
      <c r="AJ1519">
        <v>75.653723430931393</v>
      </c>
      <c r="AK1519">
        <v>0.55164690012365503</v>
      </c>
      <c r="AL1519">
        <v>80.388706080588804</v>
      </c>
      <c r="AM1519">
        <v>83.363173106640303</v>
      </c>
      <c r="AN1519">
        <v>1.0000000051036499</v>
      </c>
    </row>
    <row r="1520" spans="1:40" x14ac:dyDescent="0.25">
      <c r="A1520" t="str">
        <f>"20190312172920655"</f>
        <v>20190312172920655</v>
      </c>
      <c r="B1520" t="str">
        <f>"1552382960648557"</f>
        <v>1552382960648557</v>
      </c>
      <c r="C1520" t="s">
        <v>40</v>
      </c>
      <c r="D1520">
        <v>3.7812519999999998</v>
      </c>
      <c r="E1520">
        <v>0.52525739999999999</v>
      </c>
      <c r="F1520" t="s">
        <v>42</v>
      </c>
      <c r="G1520">
        <v>-190.7534</v>
      </c>
      <c r="H1520">
        <v>0.9205837</v>
      </c>
      <c r="I1520">
        <v>327.2054</v>
      </c>
      <c r="J1520">
        <v>-190.63740000000001</v>
      </c>
      <c r="K1520">
        <v>1.109901</v>
      </c>
      <c r="L1520">
        <v>327.75850000000003</v>
      </c>
      <c r="M1520">
        <v>4.2785400000000001E-2</v>
      </c>
      <c r="N1520">
        <v>0</v>
      </c>
      <c r="O1520">
        <v>-0.99898940000000003</v>
      </c>
      <c r="P1520">
        <v>-7.3522660000000004E-2</v>
      </c>
      <c r="Q1520">
        <v>0.15343770000000001</v>
      </c>
      <c r="R1520">
        <v>-0.98541959999999995</v>
      </c>
      <c r="S1520">
        <v>-0.43090820000000002</v>
      </c>
      <c r="T1520">
        <v>-0.76276519999999903</v>
      </c>
      <c r="U1520">
        <v>-3.1317140000000001</v>
      </c>
      <c r="V1520">
        <v>0.1158242</v>
      </c>
      <c r="W1520">
        <v>0.16680229999999999</v>
      </c>
      <c r="X1520">
        <v>0.97916380000000003</v>
      </c>
      <c r="Y1520">
        <v>0.17479629999999999</v>
      </c>
      <c r="Z1520">
        <v>0.23345150000000001</v>
      </c>
      <c r="AA1520">
        <v>0.95652839999999995</v>
      </c>
      <c r="AB1520">
        <v>24</v>
      </c>
      <c r="AC1520">
        <v>-0.115999999999985</v>
      </c>
      <c r="AD1520">
        <v>-0.18931729999999999</v>
      </c>
      <c r="AE1520">
        <v>-0.55310000000002801</v>
      </c>
      <c r="AF1520">
        <v>0.12547906590803801</v>
      </c>
      <c r="AG1520">
        <v>-0.18931729999999999</v>
      </c>
      <c r="AH1520">
        <v>0.49237448710296</v>
      </c>
      <c r="AI1520">
        <v>110.43488190799</v>
      </c>
      <c r="AJ1520">
        <v>75.702799137241797</v>
      </c>
      <c r="AK1520">
        <v>0.54223488601375203</v>
      </c>
      <c r="AL1520">
        <v>80.398050227515697</v>
      </c>
      <c r="AM1520">
        <v>83.253893661953796</v>
      </c>
      <c r="AN1520">
        <v>0.999999999910685</v>
      </c>
    </row>
    <row r="1521" spans="1:40" x14ac:dyDescent="0.25">
      <c r="A1521" t="str">
        <f>"20190312172920677"</f>
        <v>20190312172920677</v>
      </c>
      <c r="B1521" t="str">
        <f>"1552382960669052"</f>
        <v>1552382960669052</v>
      </c>
      <c r="C1521" t="s">
        <v>40</v>
      </c>
      <c r="D1521">
        <v>3.7457479999999999</v>
      </c>
      <c r="E1521">
        <v>0.52540759999999997</v>
      </c>
      <c r="F1521" t="s">
        <v>42</v>
      </c>
      <c r="G1521">
        <v>-190.74529999999999</v>
      </c>
      <c r="H1521">
        <v>0.92271709999999996</v>
      </c>
      <c r="I1521">
        <v>326.99290000000002</v>
      </c>
      <c r="J1521">
        <v>-190.62819999999999</v>
      </c>
      <c r="K1521">
        <v>1.109883</v>
      </c>
      <c r="L1521">
        <v>327.5224</v>
      </c>
      <c r="M1521">
        <v>4.2044169999999999E-2</v>
      </c>
      <c r="N1521">
        <v>0</v>
      </c>
      <c r="O1521">
        <v>-0.99902069999999998</v>
      </c>
      <c r="P1521">
        <v>-7.6191529999999993E-2</v>
      </c>
      <c r="Q1521">
        <v>0.15376529999999899</v>
      </c>
      <c r="R1521">
        <v>-0.98516570000000003</v>
      </c>
      <c r="S1521">
        <v>-0.4402008</v>
      </c>
      <c r="T1521">
        <v>-0.76540109999999995</v>
      </c>
      <c r="U1521">
        <v>-3.1307070000000001</v>
      </c>
      <c r="V1521">
        <v>0.11775720000000001</v>
      </c>
      <c r="W1521">
        <v>0.1671183</v>
      </c>
      <c r="X1521">
        <v>0.97887930000000001</v>
      </c>
      <c r="Y1521">
        <v>0.17686729999999901</v>
      </c>
      <c r="Z1521">
        <v>0.234206</v>
      </c>
      <c r="AA1521">
        <v>0.95596309999999995</v>
      </c>
      <c r="AB1521">
        <v>24</v>
      </c>
      <c r="AC1521">
        <v>-0.117099999999993</v>
      </c>
      <c r="AD1521">
        <v>-0.187165899999999</v>
      </c>
      <c r="AE1521">
        <v>-0.52949999999998398</v>
      </c>
      <c r="AF1521">
        <v>0.12443791513492899</v>
      </c>
      <c r="AG1521">
        <v>-0.187165899999999</v>
      </c>
      <c r="AH1521">
        <v>0.46832148976369298</v>
      </c>
      <c r="AI1521">
        <v>111.11905876736201</v>
      </c>
      <c r="AJ1521">
        <v>75.119744690489796</v>
      </c>
      <c r="AK1521">
        <v>0.51946211278631504</v>
      </c>
      <c r="AL1521">
        <v>80.379686854969805</v>
      </c>
      <c r="AM1521">
        <v>83.140396687457894</v>
      </c>
      <c r="AN1521">
        <v>0.99999998415760905</v>
      </c>
    </row>
    <row r="1522" spans="1:40" x14ac:dyDescent="0.25">
      <c r="A1522" t="str">
        <f>"20190312172920700"</f>
        <v>20190312172920700</v>
      </c>
      <c r="B1522" t="str">
        <f>"1552382960688572"</f>
        <v>1552382960688572</v>
      </c>
      <c r="C1522" t="s">
        <v>40</v>
      </c>
      <c r="D1522">
        <v>3.7733639999999999</v>
      </c>
      <c r="E1522">
        <v>0.52552349999999903</v>
      </c>
      <c r="F1522" t="s">
        <v>42</v>
      </c>
      <c r="G1522">
        <v>-190.73509999999999</v>
      </c>
      <c r="H1522">
        <v>0.9278904</v>
      </c>
      <c r="I1522">
        <v>326.77929999999998</v>
      </c>
      <c r="J1522">
        <v>-190.6189</v>
      </c>
      <c r="K1522">
        <v>1.10988</v>
      </c>
      <c r="L1522">
        <v>327.27980000000002</v>
      </c>
      <c r="M1522">
        <v>4.1264729999999999E-2</v>
      </c>
      <c r="N1522">
        <v>0</v>
      </c>
      <c r="O1522">
        <v>-0.99905359999999999</v>
      </c>
      <c r="P1522">
        <v>-7.8710939999999993E-2</v>
      </c>
      <c r="Q1522">
        <v>0.15361089999999999</v>
      </c>
      <c r="R1522">
        <v>-0.98499179999999997</v>
      </c>
      <c r="S1522">
        <v>-0.44982909999999998</v>
      </c>
      <c r="T1522">
        <v>-0.76665479999999997</v>
      </c>
      <c r="U1522">
        <v>-3.1300349999999999</v>
      </c>
      <c r="V1522">
        <v>0.1195049</v>
      </c>
      <c r="W1522">
        <v>0.1669542</v>
      </c>
      <c r="X1522">
        <v>0.97869550000000005</v>
      </c>
      <c r="Y1522">
        <v>0.17899899999999999</v>
      </c>
      <c r="Z1522">
        <v>0.2345332</v>
      </c>
      <c r="AA1522">
        <v>0.9554861</v>
      </c>
      <c r="AB1522">
        <v>24</v>
      </c>
      <c r="AC1522">
        <v>-0.116199999999992</v>
      </c>
      <c r="AD1522">
        <v>-0.1819896</v>
      </c>
      <c r="AE1522">
        <v>-0.50050000000004502</v>
      </c>
      <c r="AF1522">
        <v>0.121511806518905</v>
      </c>
      <c r="AG1522">
        <v>-0.1819896</v>
      </c>
      <c r="AH1522">
        <v>0.44006966736092801</v>
      </c>
      <c r="AI1522">
        <v>111.733718074647</v>
      </c>
      <c r="AJ1522">
        <v>74.564134157250905</v>
      </c>
      <c r="AK1522">
        <v>0.49147395227296198</v>
      </c>
      <c r="AL1522">
        <v>80.389223260420707</v>
      </c>
      <c r="AM1522">
        <v>83.038286658109996</v>
      </c>
      <c r="AN1522">
        <v>1.00000000387095</v>
      </c>
    </row>
    <row r="1523" spans="1:40" x14ac:dyDescent="0.25">
      <c r="A1523" t="str">
        <f>"20190312172920723"</f>
        <v>20190312172920723</v>
      </c>
      <c r="B1523" t="str">
        <f>"1552382960718828"</f>
        <v>1552382960718828</v>
      </c>
      <c r="C1523" t="s">
        <v>40</v>
      </c>
      <c r="D1523">
        <v>3.7301259999999998</v>
      </c>
      <c r="E1523">
        <v>0.52571889999999999</v>
      </c>
      <c r="F1523" t="s">
        <v>42</v>
      </c>
      <c r="G1523">
        <v>-190.72380000000001</v>
      </c>
      <c r="H1523">
        <v>0.93440630000000002</v>
      </c>
      <c r="I1523">
        <v>326.56540000000001</v>
      </c>
      <c r="J1523">
        <v>-190.60980000000001</v>
      </c>
      <c r="K1523">
        <v>1.1098760000000001</v>
      </c>
      <c r="L1523">
        <v>327.03809999999999</v>
      </c>
      <c r="M1523">
        <v>4.0478680000000003E-2</v>
      </c>
      <c r="N1523">
        <v>0</v>
      </c>
      <c r="O1523">
        <v>-0.99908580000000002</v>
      </c>
      <c r="P1523">
        <v>-8.0971619999999994E-2</v>
      </c>
      <c r="Q1523">
        <v>0.15418029999999999</v>
      </c>
      <c r="R1523">
        <v>-0.98471949999999997</v>
      </c>
      <c r="S1523">
        <v>-0.4588623</v>
      </c>
      <c r="T1523">
        <v>-0.76866250000000003</v>
      </c>
      <c r="U1523">
        <v>-3.1289060000000002</v>
      </c>
      <c r="V1523">
        <v>0.1209829</v>
      </c>
      <c r="W1523">
        <v>0.16751460000000001</v>
      </c>
      <c r="X1523">
        <v>0.97841809999999996</v>
      </c>
      <c r="Y1523">
        <v>0.1809548</v>
      </c>
      <c r="Z1523">
        <v>0.23511509999999999</v>
      </c>
      <c r="AA1523">
        <v>0.95497449999999995</v>
      </c>
      <c r="AB1523">
        <v>24</v>
      </c>
      <c r="AC1523">
        <v>-0.114000000000004</v>
      </c>
      <c r="AD1523">
        <v>-0.17546970000000001</v>
      </c>
      <c r="AE1523">
        <v>-0.47269999999997397</v>
      </c>
      <c r="AF1523">
        <v>0.117713820445705</v>
      </c>
      <c r="AG1523">
        <v>-0.17546970000000001</v>
      </c>
      <c r="AH1523">
        <v>0.41381066797960198</v>
      </c>
      <c r="AI1523">
        <v>112.188246738454</v>
      </c>
      <c r="AJ1523">
        <v>74.1209090145734</v>
      </c>
      <c r="AK1523">
        <v>0.464634725430351</v>
      </c>
      <c r="AL1523">
        <v>80.356655940112304</v>
      </c>
      <c r="AM1523">
        <v>82.951068947343003</v>
      </c>
      <c r="AN1523">
        <v>0.99999999085658997</v>
      </c>
    </row>
    <row r="1524" spans="1:40" x14ac:dyDescent="0.25">
      <c r="A1524" t="str">
        <f>"20190312172920746"</f>
        <v>20190312172920746</v>
      </c>
      <c r="B1524" t="str">
        <f>"1552382960738348"</f>
        <v>1552382960738348</v>
      </c>
      <c r="C1524" t="s">
        <v>40</v>
      </c>
      <c r="D1524">
        <v>3.7507830000000002</v>
      </c>
      <c r="E1524">
        <v>0.52569619999999995</v>
      </c>
      <c r="F1524" t="s">
        <v>42</v>
      </c>
      <c r="G1524">
        <v>-190.71250000000001</v>
      </c>
      <c r="H1524">
        <v>0.94119390000000003</v>
      </c>
      <c r="I1524">
        <v>326.35169999999999</v>
      </c>
      <c r="J1524">
        <v>-190.6011</v>
      </c>
      <c r="K1524">
        <v>1.109883</v>
      </c>
      <c r="L1524">
        <v>326.80029999999999</v>
      </c>
      <c r="M1524">
        <v>3.970166E-2</v>
      </c>
      <c r="N1524">
        <v>0</v>
      </c>
      <c r="O1524">
        <v>-0.99911680000000003</v>
      </c>
      <c r="P1524">
        <v>-8.3039660000000001E-2</v>
      </c>
      <c r="Q1524">
        <v>0.1554972</v>
      </c>
      <c r="R1524">
        <v>-0.98433990000000005</v>
      </c>
      <c r="S1524">
        <v>-0.46772770000000002</v>
      </c>
      <c r="T1524">
        <v>-0.76878760000000002</v>
      </c>
      <c r="U1524">
        <v>-3.1285099999999999</v>
      </c>
      <c r="V1524">
        <v>0.1222726</v>
      </c>
      <c r="W1524">
        <v>0.16882320000000001</v>
      </c>
      <c r="X1524">
        <v>0.97803280000000004</v>
      </c>
      <c r="Y1524">
        <v>0.1828562</v>
      </c>
      <c r="Z1524">
        <v>0.23510239999999999</v>
      </c>
      <c r="AA1524">
        <v>0.9546154</v>
      </c>
      <c r="AB1524">
        <v>24</v>
      </c>
      <c r="AC1524">
        <v>-0.111400000000003</v>
      </c>
      <c r="AD1524">
        <v>-0.16868909999999901</v>
      </c>
      <c r="AE1524">
        <v>-0.448599999999998</v>
      </c>
      <c r="AF1524">
        <v>0.113947491277286</v>
      </c>
      <c r="AG1524">
        <v>-0.16868909999999901</v>
      </c>
      <c r="AH1524">
        <v>0.39165858229295902</v>
      </c>
      <c r="AI1524">
        <v>112.467904974571</v>
      </c>
      <c r="AJ1524">
        <v>73.778396975924096</v>
      </c>
      <c r="AK1524">
        <v>0.441402863958683</v>
      </c>
      <c r="AL1524">
        <v>80.2805956227282</v>
      </c>
      <c r="AM1524">
        <v>82.873916547591193</v>
      </c>
      <c r="AN1524">
        <v>1.00000000972242</v>
      </c>
    </row>
    <row r="1525" spans="1:40" x14ac:dyDescent="0.25">
      <c r="A1525" t="str">
        <f>"20190312172920766"</f>
        <v>20190312172920766</v>
      </c>
      <c r="B1525" t="str">
        <f>"1552382960758844"</f>
        <v>1552382960758844</v>
      </c>
      <c r="C1525" t="s">
        <v>40</v>
      </c>
      <c r="D1525">
        <v>3.7424750000000002</v>
      </c>
      <c r="E1525">
        <v>0.52548589999999995</v>
      </c>
      <c r="F1525" t="s">
        <v>42</v>
      </c>
      <c r="G1525">
        <v>-190.73070000000001</v>
      </c>
      <c r="H1525">
        <v>0.90062580000000003</v>
      </c>
      <c r="I1525">
        <v>325.94600000000003</v>
      </c>
      <c r="J1525">
        <v>-190.5933</v>
      </c>
      <c r="K1525">
        <v>1.1098840000000001</v>
      </c>
      <c r="L1525">
        <v>326.5822</v>
      </c>
      <c r="M1525">
        <v>3.8989349999999999E-2</v>
      </c>
      <c r="N1525">
        <v>0</v>
      </c>
      <c r="O1525">
        <v>-0.9991449</v>
      </c>
      <c r="P1525">
        <v>-8.5512480000000002E-2</v>
      </c>
      <c r="Q1525">
        <v>0.15614029999999901</v>
      </c>
      <c r="R1525">
        <v>-0.98402650000000003</v>
      </c>
      <c r="S1525">
        <v>-0.4744873</v>
      </c>
      <c r="T1525">
        <v>-0.76638569999999995</v>
      </c>
      <c r="U1525">
        <v>-3.1287229999999999</v>
      </c>
      <c r="V1525">
        <v>0.12403160000000001</v>
      </c>
      <c r="W1525">
        <v>0.1694581</v>
      </c>
      <c r="X1525">
        <v>0.97770140000000005</v>
      </c>
      <c r="Y1525">
        <v>0.18419070000000001</v>
      </c>
      <c r="Z1525">
        <v>0.2343392</v>
      </c>
      <c r="AA1525">
        <v>0.95454649999999996</v>
      </c>
      <c r="AB1525">
        <v>24</v>
      </c>
      <c r="AC1525">
        <v>-0.13740000000001301</v>
      </c>
      <c r="AD1525">
        <v>-0.20925820000000001</v>
      </c>
      <c r="AE1525">
        <v>-0.63620000000002996</v>
      </c>
      <c r="AF1525">
        <v>0.14691664366427901</v>
      </c>
      <c r="AG1525">
        <v>-0.20925820000000001</v>
      </c>
      <c r="AH1525">
        <v>0.57130483279017896</v>
      </c>
      <c r="AI1525">
        <v>109.531594420845</v>
      </c>
      <c r="AJ1525">
        <v>75.578315659345506</v>
      </c>
      <c r="AK1525">
        <v>0.62590950338066498</v>
      </c>
      <c r="AL1525">
        <v>80.243686221839994</v>
      </c>
      <c r="AM1525">
        <v>82.770054082162702</v>
      </c>
      <c r="AN1525">
        <v>0.99999995650806395</v>
      </c>
    </row>
    <row r="1526" spans="1:40" x14ac:dyDescent="0.25">
      <c r="A1526" t="str">
        <f>"20190312172920790"</f>
        <v>20190312172920790</v>
      </c>
      <c r="B1526" t="str">
        <f>"1552382960778364"</f>
        <v>1552382960778364</v>
      </c>
      <c r="C1526" t="s">
        <v>40</v>
      </c>
      <c r="D1526">
        <v>3.7238229999999999</v>
      </c>
      <c r="E1526">
        <v>0.52537559999999905</v>
      </c>
      <c r="F1526" t="s">
        <v>42</v>
      </c>
      <c r="G1526">
        <v>-190.72370000000001</v>
      </c>
      <c r="H1526">
        <v>0.90259860000000003</v>
      </c>
      <c r="I1526">
        <v>325.73509999999999</v>
      </c>
      <c r="J1526">
        <v>-190.58459999999999</v>
      </c>
      <c r="K1526">
        <v>1.10988</v>
      </c>
      <c r="L1526">
        <v>326.3372</v>
      </c>
      <c r="M1526">
        <v>3.8192379999999998E-2</v>
      </c>
      <c r="N1526">
        <v>0</v>
      </c>
      <c r="O1526">
        <v>-0.99917579999999995</v>
      </c>
      <c r="P1526">
        <v>-8.8343420000000006E-2</v>
      </c>
      <c r="Q1526">
        <v>0.15556389999999901</v>
      </c>
      <c r="R1526">
        <v>-0.98386779999999996</v>
      </c>
      <c r="S1526">
        <v>-0.48097230000000002</v>
      </c>
      <c r="T1526">
        <v>-0.7655265</v>
      </c>
      <c r="U1526">
        <v>-3.1284179999999999</v>
      </c>
      <c r="V1526">
        <v>0.12606969999999901</v>
      </c>
      <c r="W1526">
        <v>0.16887579999999999</v>
      </c>
      <c r="X1526">
        <v>0.97754149999999995</v>
      </c>
      <c r="Y1526">
        <v>0.185365</v>
      </c>
      <c r="Z1526">
        <v>0.23406299999999999</v>
      </c>
      <c r="AA1526">
        <v>0.95438690000000004</v>
      </c>
      <c r="AB1526">
        <v>24</v>
      </c>
      <c r="AC1526">
        <v>-0.13910000000001299</v>
      </c>
      <c r="AD1526">
        <v>-0.2072814</v>
      </c>
      <c r="AE1526">
        <v>-0.60210000000000696</v>
      </c>
      <c r="AF1526">
        <v>0.14561299245089801</v>
      </c>
      <c r="AG1526">
        <v>-0.2072814</v>
      </c>
      <c r="AH1526">
        <v>0.53603664654290295</v>
      </c>
      <c r="AI1526">
        <v>110.464021391269</v>
      </c>
      <c r="AJ1526">
        <v>74.8024826642894</v>
      </c>
      <c r="AK1526">
        <v>0.59287773511359498</v>
      </c>
      <c r="AL1526">
        <v>80.277537814459606</v>
      </c>
      <c r="AM1526">
        <v>82.651350028025206</v>
      </c>
      <c r="AN1526">
        <v>0.99999999465298905</v>
      </c>
    </row>
    <row r="1527" spans="1:40" x14ac:dyDescent="0.25">
      <c r="A1527" t="str">
        <f>"20190312172920811"</f>
        <v>20190312172920811</v>
      </c>
      <c r="B1527" t="str">
        <f>"1552382960808621"</f>
        <v>1552382960808621</v>
      </c>
      <c r="C1527" t="s">
        <v>40</v>
      </c>
      <c r="D1527">
        <v>3.710985</v>
      </c>
      <c r="E1527">
        <v>0.52528109999999995</v>
      </c>
      <c r="F1527" t="s">
        <v>42</v>
      </c>
      <c r="G1527">
        <v>-190.7122</v>
      </c>
      <c r="H1527">
        <v>0.90981380000000001</v>
      </c>
      <c r="I1527">
        <v>325.52260000000001</v>
      </c>
      <c r="J1527">
        <v>-190.577</v>
      </c>
      <c r="K1527">
        <v>1.109882</v>
      </c>
      <c r="L1527">
        <v>326.1157</v>
      </c>
      <c r="M1527">
        <v>3.7476080000000002E-2</v>
      </c>
      <c r="N1527">
        <v>0</v>
      </c>
      <c r="O1527">
        <v>-0.99920279999999995</v>
      </c>
      <c r="P1527">
        <v>-9.0834970000000001E-2</v>
      </c>
      <c r="Q1527">
        <v>0.15541450000000001</v>
      </c>
      <c r="R1527">
        <v>-0.98366430000000005</v>
      </c>
      <c r="S1527">
        <v>-0.48944090000000001</v>
      </c>
      <c r="T1527">
        <v>-0.76804019999999995</v>
      </c>
      <c r="U1527">
        <v>-3.126709</v>
      </c>
      <c r="V1527">
        <v>0.12784709999999999</v>
      </c>
      <c r="W1527">
        <v>0.16872119999999999</v>
      </c>
      <c r="X1527">
        <v>0.97733740000000002</v>
      </c>
      <c r="Y1527">
        <v>0.1872347</v>
      </c>
      <c r="Z1527">
        <v>0.23482980000000001</v>
      </c>
      <c r="AA1527">
        <v>0.95383340000000005</v>
      </c>
      <c r="AB1527">
        <v>23</v>
      </c>
      <c r="AC1527">
        <v>-0.13519999999999699</v>
      </c>
      <c r="AD1527">
        <v>-0.200068199999999</v>
      </c>
      <c r="AE1527">
        <v>-0.59309999999999197</v>
      </c>
      <c r="AF1527">
        <v>0.141976798149654</v>
      </c>
      <c r="AG1527">
        <v>-0.200068199999999</v>
      </c>
      <c r="AH1527">
        <v>0.530258882069777</v>
      </c>
      <c r="AI1527">
        <v>110.02501458963199</v>
      </c>
      <c r="AJ1527">
        <v>75.010650664314994</v>
      </c>
      <c r="AK1527">
        <v>0.58425951244113905</v>
      </c>
      <c r="AL1527">
        <v>80.286525328451702</v>
      </c>
      <c r="AM1527">
        <v>82.547362396473005</v>
      </c>
      <c r="AN1527">
        <v>1.0000000588733</v>
      </c>
    </row>
    <row r="1528" spans="1:40" x14ac:dyDescent="0.25">
      <c r="A1528" t="str">
        <f>"20190312172920834"</f>
        <v>20190312172920834</v>
      </c>
      <c r="B1528" t="str">
        <f>"1552382960829117"</f>
        <v>1552382960829117</v>
      </c>
      <c r="C1528" t="s">
        <v>40</v>
      </c>
      <c r="D1528">
        <v>3.7412519999999998</v>
      </c>
      <c r="E1528">
        <v>0.52519229999999995</v>
      </c>
      <c r="F1528" t="s">
        <v>42</v>
      </c>
      <c r="G1528">
        <v>-190.7047</v>
      </c>
      <c r="H1528">
        <v>0.91203619999999996</v>
      </c>
      <c r="I1528">
        <v>325.31220000000002</v>
      </c>
      <c r="J1528">
        <v>-190.5686</v>
      </c>
      <c r="K1528">
        <v>1.1098889999999999</v>
      </c>
      <c r="L1528">
        <v>325.86610000000002</v>
      </c>
      <c r="M1528">
        <v>3.6673770000000001E-2</v>
      </c>
      <c r="N1528">
        <v>0</v>
      </c>
      <c r="O1528">
        <v>-0.99923280000000003</v>
      </c>
      <c r="P1528">
        <v>-9.3731469999999997E-2</v>
      </c>
      <c r="Q1528">
        <v>0.1553494</v>
      </c>
      <c r="R1528">
        <v>-0.98340300000000003</v>
      </c>
      <c r="S1528">
        <v>-0.49642940000000002</v>
      </c>
      <c r="T1528">
        <v>-0.76959669999999902</v>
      </c>
      <c r="U1528">
        <v>-3.1255799999999998</v>
      </c>
      <c r="V1528">
        <v>0.12994320000000001</v>
      </c>
      <c r="W1528">
        <v>0.16864879999999999</v>
      </c>
      <c r="X1528">
        <v>0.97707339999999998</v>
      </c>
      <c r="Y1528">
        <v>0.18856229999999999</v>
      </c>
      <c r="Z1528">
        <v>0.23530000000000001</v>
      </c>
      <c r="AA1528">
        <v>0.95345590000000002</v>
      </c>
      <c r="AB1528">
        <v>23</v>
      </c>
      <c r="AC1528">
        <v>-0.136099999999999</v>
      </c>
      <c r="AD1528">
        <v>-0.197852799999999</v>
      </c>
      <c r="AE1528">
        <v>-0.55389999999999795</v>
      </c>
      <c r="AF1528">
        <v>0.13953423713555901</v>
      </c>
      <c r="AG1528">
        <v>-0.197852799999999</v>
      </c>
      <c r="AH1528">
        <v>0.48962101104405498</v>
      </c>
      <c r="AI1528">
        <v>111.237156693979</v>
      </c>
      <c r="AJ1528">
        <v>74.093286962779203</v>
      </c>
      <c r="AK1528">
        <v>0.54620899686534397</v>
      </c>
      <c r="AL1528">
        <v>80.290733675279</v>
      </c>
      <c r="AM1528">
        <v>82.424558185031898</v>
      </c>
      <c r="AN1528">
        <v>1.00000004097761</v>
      </c>
    </row>
    <row r="1529" spans="1:40" x14ac:dyDescent="0.25">
      <c r="A1529" t="str">
        <f>"20190312172920855"</f>
        <v>20190312172920855</v>
      </c>
      <c r="B1529" t="str">
        <f>"1552382960848637"</f>
        <v>1552382960848637</v>
      </c>
      <c r="C1529" t="s">
        <v>40</v>
      </c>
      <c r="D1529">
        <v>3.718547</v>
      </c>
      <c r="E1529">
        <v>0.51943819999999996</v>
      </c>
      <c r="F1529" t="s">
        <v>42</v>
      </c>
      <c r="G1529">
        <v>-190.69280000000001</v>
      </c>
      <c r="H1529">
        <v>0.92099770000000003</v>
      </c>
      <c r="I1529">
        <v>325.09949999999998</v>
      </c>
      <c r="J1529">
        <v>-190.5615</v>
      </c>
      <c r="K1529">
        <v>1.1098939999999999</v>
      </c>
      <c r="L1529">
        <v>325.649</v>
      </c>
      <c r="M1529">
        <v>3.5978910000000003E-2</v>
      </c>
      <c r="N1529">
        <v>0</v>
      </c>
      <c r="O1529">
        <v>-0.99925799999999998</v>
      </c>
      <c r="P1529">
        <v>-9.6026829999999994E-2</v>
      </c>
      <c r="Q1529">
        <v>0.156112</v>
      </c>
      <c r="R1529">
        <v>-0.98306070000000001</v>
      </c>
      <c r="S1529">
        <v>-0.50595089999999998</v>
      </c>
      <c r="T1529">
        <v>-0.76978059999999904</v>
      </c>
      <c r="U1529">
        <v>-3.1240230000000002</v>
      </c>
      <c r="V1529">
        <v>0.13154299999999999</v>
      </c>
      <c r="W1529">
        <v>0.16940359999999999</v>
      </c>
      <c r="X1529">
        <v>0.97672859999999995</v>
      </c>
      <c r="Y1529">
        <v>0.1907836</v>
      </c>
      <c r="Z1529">
        <v>0.23536689999999999</v>
      </c>
      <c r="AA1529">
        <v>0.95299739999999999</v>
      </c>
      <c r="AB1529">
        <v>23</v>
      </c>
      <c r="AC1529">
        <v>-0.13130000000000999</v>
      </c>
      <c r="AD1529">
        <v>-0.18889629999999999</v>
      </c>
      <c r="AE1529">
        <v>-0.54950000000002297</v>
      </c>
      <c r="AF1529">
        <v>0.13580571550192899</v>
      </c>
      <c r="AG1529">
        <v>-0.18889629999999999</v>
      </c>
      <c r="AH1529">
        <v>0.48967911469741798</v>
      </c>
      <c r="AI1529">
        <v>110.39132949728599</v>
      </c>
      <c r="AJ1529">
        <v>74.499383053068598</v>
      </c>
      <c r="AK1529">
        <v>0.542135259771516</v>
      </c>
      <c r="AL1529">
        <v>80.246854579875404</v>
      </c>
      <c r="AM1529">
        <v>82.329721251354698</v>
      </c>
      <c r="AN1529">
        <v>0.99999994929995795</v>
      </c>
    </row>
    <row r="1530" spans="1:40" x14ac:dyDescent="0.25">
      <c r="A1530" t="str">
        <f>"20190312172920878"</f>
        <v>20190312172920878</v>
      </c>
      <c r="B1530" t="str">
        <f>"1552382960869132"</f>
        <v>1552382960869132</v>
      </c>
      <c r="C1530" t="s">
        <v>40</v>
      </c>
      <c r="D1530">
        <v>3.75657</v>
      </c>
      <c r="E1530">
        <v>0.51914979999999999</v>
      </c>
      <c r="F1530" t="s">
        <v>42</v>
      </c>
      <c r="G1530">
        <v>-190.68020000000001</v>
      </c>
      <c r="H1530">
        <v>0.98605880000000001</v>
      </c>
      <c r="I1530">
        <v>324.86040000000003</v>
      </c>
      <c r="J1530">
        <v>-190.55359999999999</v>
      </c>
      <c r="K1530">
        <v>1.109899</v>
      </c>
      <c r="L1530">
        <v>325.40640000000002</v>
      </c>
      <c r="M1530">
        <v>3.520417E-2</v>
      </c>
      <c r="N1530">
        <v>0</v>
      </c>
      <c r="O1530">
        <v>-0.99928570000000005</v>
      </c>
      <c r="P1530">
        <v>-9.8075830000000003E-2</v>
      </c>
      <c r="Q1530">
        <v>0.15703490000000001</v>
      </c>
      <c r="R1530">
        <v>-0.98271140000000001</v>
      </c>
      <c r="S1530">
        <v>-0.46368409999999899</v>
      </c>
      <c r="T1530">
        <v>-0.48423430000000001</v>
      </c>
      <c r="U1530">
        <v>-3.083313</v>
      </c>
      <c r="V1530">
        <v>0.13281889999999999</v>
      </c>
      <c r="W1530">
        <v>0.17031949999999901</v>
      </c>
      <c r="X1530">
        <v>0.97639670000000001</v>
      </c>
      <c r="Y1530">
        <v>0.18168400000000001</v>
      </c>
      <c r="Z1530">
        <v>0.15287200000000001</v>
      </c>
      <c r="AA1530">
        <v>0.97140159999999998</v>
      </c>
      <c r="AB1530">
        <v>23</v>
      </c>
      <c r="AC1530">
        <v>-0.126600000000024</v>
      </c>
      <c r="AD1530">
        <v>-0.123840199999999</v>
      </c>
      <c r="AE1530">
        <v>-0.54599999999999205</v>
      </c>
      <c r="AF1530">
        <v>0.13896077835016099</v>
      </c>
      <c r="AG1530">
        <v>-0.123840199999999</v>
      </c>
      <c r="AH1530">
        <v>0.51601264090596599</v>
      </c>
      <c r="AI1530">
        <v>103.04733875466199</v>
      </c>
      <c r="AJ1530">
        <v>74.927960977844904</v>
      </c>
      <c r="AK1530">
        <v>0.54855768942789596</v>
      </c>
      <c r="AL1530">
        <v>80.193604559993901</v>
      </c>
      <c r="AM1530">
        <v>82.253621569555506</v>
      </c>
      <c r="AN1530">
        <v>1.00000005402417</v>
      </c>
    </row>
    <row r="1531" spans="1:40" x14ac:dyDescent="0.25">
      <c r="A1531" t="str">
        <f>"20190312172920900"</f>
        <v>20190312172920900</v>
      </c>
      <c r="B1531" t="str">
        <f>"1552382960888656"</f>
        <v>1552382960888656</v>
      </c>
      <c r="C1531" t="s">
        <v>40</v>
      </c>
      <c r="D1531">
        <v>3.811477</v>
      </c>
      <c r="E1531">
        <v>0.51877090000000003</v>
      </c>
      <c r="F1531" t="s">
        <v>42</v>
      </c>
      <c r="G1531">
        <v>-190.6703</v>
      </c>
      <c r="H1531">
        <v>1.0097830000000001</v>
      </c>
      <c r="I1531">
        <v>324.6404</v>
      </c>
      <c r="J1531">
        <v>-190.54660000000001</v>
      </c>
      <c r="K1531">
        <v>1.1099060000000001</v>
      </c>
      <c r="L1531">
        <v>325.18180000000001</v>
      </c>
      <c r="M1531">
        <v>3.448768E-2</v>
      </c>
      <c r="N1531">
        <v>0</v>
      </c>
      <c r="O1531">
        <v>-0.99931060000000005</v>
      </c>
      <c r="P1531">
        <v>-0.1000808</v>
      </c>
      <c r="Q1531">
        <v>0.158251799999999</v>
      </c>
      <c r="R1531">
        <v>-0.98231400000000002</v>
      </c>
      <c r="S1531">
        <v>-0.46740720000000002</v>
      </c>
      <c r="T1531">
        <v>-0.40134979999999998</v>
      </c>
      <c r="U1531">
        <v>-3.0702509999999998</v>
      </c>
      <c r="V1531">
        <v>0.13410739999999999</v>
      </c>
      <c r="W1531">
        <v>0.17152829999999999</v>
      </c>
      <c r="X1531">
        <v>0.97600880000000001</v>
      </c>
      <c r="Y1531">
        <v>0.18327689999999999</v>
      </c>
      <c r="Z1531">
        <v>0.127681399999999</v>
      </c>
      <c r="AA1531">
        <v>0.97473430000000005</v>
      </c>
      <c r="AB1531">
        <v>23</v>
      </c>
      <c r="AC1531">
        <v>-0.123699999999985</v>
      </c>
      <c r="AD1531">
        <v>-0.100122999999999</v>
      </c>
      <c r="AE1531">
        <v>-0.54140000000000998</v>
      </c>
      <c r="AF1531">
        <v>0.13782014461874301</v>
      </c>
      <c r="AG1531">
        <v>-0.100122999999999</v>
      </c>
      <c r="AH1531">
        <v>0.51991232772591101</v>
      </c>
      <c r="AI1531">
        <v>100.54477653329999</v>
      </c>
      <c r="AJ1531">
        <v>75.153306356214202</v>
      </c>
      <c r="AK1531">
        <v>0.54710861436565394</v>
      </c>
      <c r="AL1531">
        <v>80.123310109652607</v>
      </c>
      <c r="AM1531">
        <v>82.176328412060798</v>
      </c>
      <c r="AN1531">
        <v>0.99999996505654398</v>
      </c>
    </row>
    <row r="1532" spans="1:40" x14ac:dyDescent="0.25">
      <c r="A1532" t="str">
        <f>"20190312172920925"</f>
        <v>20190312172920925</v>
      </c>
      <c r="B1532" t="str">
        <f>"1552382960918909"</f>
        <v>1552382960918909</v>
      </c>
      <c r="C1532" t="s">
        <v>40</v>
      </c>
      <c r="D1532">
        <v>3.7656510000000001</v>
      </c>
      <c r="E1532">
        <v>0.519339</v>
      </c>
      <c r="F1532" t="s">
        <v>42</v>
      </c>
      <c r="G1532">
        <v>-190.66249999999999</v>
      </c>
      <c r="H1532">
        <v>1.0209589999999999</v>
      </c>
      <c r="I1532">
        <v>324.42660000000001</v>
      </c>
      <c r="J1532">
        <v>-190.53880000000001</v>
      </c>
      <c r="K1532">
        <v>1.109915</v>
      </c>
      <c r="L1532">
        <v>324.93049999999999</v>
      </c>
      <c r="M1532">
        <v>3.3685529999999998E-2</v>
      </c>
      <c r="N1532">
        <v>0</v>
      </c>
      <c r="O1532">
        <v>-0.99933799999999995</v>
      </c>
      <c r="P1532">
        <v>-0.1018051</v>
      </c>
      <c r="Q1532">
        <v>0.1602037</v>
      </c>
      <c r="R1532">
        <v>-0.98182000000000003</v>
      </c>
      <c r="S1532">
        <v>-0.4698639</v>
      </c>
      <c r="T1532">
        <v>-0.36099350000000002</v>
      </c>
      <c r="U1532">
        <v>-3.0643310000000001</v>
      </c>
      <c r="V1532">
        <v>0.13502999999999901</v>
      </c>
      <c r="W1532">
        <v>0.17347089999999901</v>
      </c>
      <c r="X1532">
        <v>0.97553820000000002</v>
      </c>
      <c r="Y1532">
        <v>0.18376329999999999</v>
      </c>
      <c r="Z1532">
        <v>0.115235</v>
      </c>
      <c r="AA1532">
        <v>0.97619259999999997</v>
      </c>
      <c r="AB1532">
        <v>23</v>
      </c>
      <c r="AC1532">
        <v>-0.123699999999985</v>
      </c>
      <c r="AD1532">
        <v>-8.8955999999999993E-2</v>
      </c>
      <c r="AE1532">
        <v>-0.50389999999998702</v>
      </c>
      <c r="AF1532">
        <v>0.13659067710675399</v>
      </c>
      <c r="AG1532">
        <v>-8.8955999999999993E-2</v>
      </c>
      <c r="AH1532">
        <v>0.48518548308002901</v>
      </c>
      <c r="AI1532">
        <v>100.00872684527999</v>
      </c>
      <c r="AJ1532">
        <v>74.276889451776896</v>
      </c>
      <c r="AK1532">
        <v>0.51183506718481397</v>
      </c>
      <c r="AL1532">
        <v>80.010313960713901</v>
      </c>
      <c r="AM1532">
        <v>82.119426282922802</v>
      </c>
      <c r="AN1532">
        <v>1.0000000168530201</v>
      </c>
    </row>
    <row r="1533" spans="1:40" x14ac:dyDescent="0.25">
      <c r="A1533" t="str">
        <f>"20190312172920947"</f>
        <v>20190312172920947</v>
      </c>
      <c r="B1533" t="str">
        <f>"1552382960939404"</f>
        <v>1552382960939404</v>
      </c>
      <c r="C1533" t="s">
        <v>40</v>
      </c>
      <c r="D1533">
        <v>3.7522250000000001</v>
      </c>
      <c r="E1533">
        <v>0.51950989999999997</v>
      </c>
      <c r="F1533" t="s">
        <v>42</v>
      </c>
      <c r="G1533">
        <v>-190.68260000000001</v>
      </c>
      <c r="H1533">
        <v>1.0105690000000001</v>
      </c>
      <c r="I1533">
        <v>324.01339999999999</v>
      </c>
      <c r="J1533">
        <v>-190.53190000000001</v>
      </c>
      <c r="K1533">
        <v>1.109926</v>
      </c>
      <c r="L1533">
        <v>324.69990000000001</v>
      </c>
      <c r="M1533">
        <v>3.2948360000000003E-2</v>
      </c>
      <c r="N1533">
        <v>0</v>
      </c>
      <c r="O1533">
        <v>-0.9993628</v>
      </c>
      <c r="P1533">
        <v>-0.103184</v>
      </c>
      <c r="Q1533">
        <v>0.1613926</v>
      </c>
      <c r="R1533">
        <v>-0.98148170000000001</v>
      </c>
      <c r="S1533">
        <v>-0.47909550000000001</v>
      </c>
      <c r="T1533">
        <v>-0.33159229999999901</v>
      </c>
      <c r="U1533">
        <v>-3.0599669999999999</v>
      </c>
      <c r="V1533">
        <v>0.1356763</v>
      </c>
      <c r="W1533">
        <v>0.17465329999999901</v>
      </c>
      <c r="X1533">
        <v>0.97523749999999998</v>
      </c>
      <c r="Y1533">
        <v>0.18628059999999999</v>
      </c>
      <c r="Z1533">
        <v>0.10606400000000001</v>
      </c>
      <c r="AA1533">
        <v>0.97675480000000003</v>
      </c>
      <c r="AB1533">
        <v>23</v>
      </c>
      <c r="AC1533">
        <v>-0.1507</v>
      </c>
      <c r="AD1533">
        <v>-9.9356999999999904E-2</v>
      </c>
      <c r="AE1533">
        <v>-0.68650000000002298</v>
      </c>
      <c r="AF1533">
        <v>0.16984520368938799</v>
      </c>
      <c r="AG1533">
        <v>-9.9356999999999904E-2</v>
      </c>
      <c r="AH1533">
        <v>0.66781596423120204</v>
      </c>
      <c r="AI1533">
        <v>98.2048588783925</v>
      </c>
      <c r="AJ1533">
        <v>75.730533008422</v>
      </c>
      <c r="AK1533">
        <v>0.69620210337756006</v>
      </c>
      <c r="AL1533">
        <v>79.941517128258297</v>
      </c>
      <c r="AM1533">
        <v>82.079774052273507</v>
      </c>
      <c r="AN1533">
        <v>1.00000000749441</v>
      </c>
    </row>
    <row r="1534" spans="1:40" x14ac:dyDescent="0.25">
      <c r="A1534" t="str">
        <f>"20190312172920968"</f>
        <v>20190312172920968</v>
      </c>
      <c r="B1534" t="str">
        <f>"1552382960958925"</f>
        <v>1552382960958925</v>
      </c>
      <c r="C1534" t="s">
        <v>40</v>
      </c>
      <c r="D1534">
        <v>3.7570739999999998</v>
      </c>
      <c r="E1534">
        <v>0.51973179999999997</v>
      </c>
      <c r="F1534" t="s">
        <v>42</v>
      </c>
      <c r="G1534">
        <v>-190.6747</v>
      </c>
      <c r="H1534">
        <v>1.0191920000000001</v>
      </c>
      <c r="I1534">
        <v>323.79919999999998</v>
      </c>
      <c r="J1534">
        <v>-190.52539999999999</v>
      </c>
      <c r="K1534">
        <v>1.1099300000000001</v>
      </c>
      <c r="L1534">
        <v>324.4742</v>
      </c>
      <c r="M1534">
        <v>3.2225959999999998E-2</v>
      </c>
      <c r="N1534">
        <v>0</v>
      </c>
      <c r="O1534">
        <v>-0.99938640000000001</v>
      </c>
      <c r="P1534">
        <v>-0.104160199999999</v>
      </c>
      <c r="Q1534">
        <v>0.1625839</v>
      </c>
      <c r="R1534">
        <v>-0.98118159999999999</v>
      </c>
      <c r="S1534">
        <v>-0.4846954</v>
      </c>
      <c r="T1534">
        <v>-0.30788199999999999</v>
      </c>
      <c r="U1534">
        <v>-3.0562740000000002</v>
      </c>
      <c r="V1534">
        <v>0.13593640000000001</v>
      </c>
      <c r="W1534">
        <v>0.17583859999999901</v>
      </c>
      <c r="X1534">
        <v>0.97498819999999997</v>
      </c>
      <c r="Y1534">
        <v>0.1876168</v>
      </c>
      <c r="Z1534">
        <v>9.8651489999999994E-2</v>
      </c>
      <c r="AA1534">
        <v>0.97727569999999997</v>
      </c>
      <c r="AB1534">
        <v>23</v>
      </c>
      <c r="AC1534">
        <v>-0.14930000000001001</v>
      </c>
      <c r="AD1534">
        <v>-9.0737999999999694E-2</v>
      </c>
      <c r="AE1534">
        <v>-0.67500000000001104</v>
      </c>
      <c r="AF1534">
        <v>0.16808135653294501</v>
      </c>
      <c r="AG1534">
        <v>-9.0737999999999694E-2</v>
      </c>
      <c r="AH1534">
        <v>0.65849323223288303</v>
      </c>
      <c r="AI1534">
        <v>97.604900623168106</v>
      </c>
      <c r="AJ1534">
        <v>75.680921221403096</v>
      </c>
      <c r="AK1534">
        <v>0.68563697679928604</v>
      </c>
      <c r="AL1534">
        <v>79.872536400578397</v>
      </c>
      <c r="AM1534">
        <v>82.062780571734606</v>
      </c>
      <c r="AN1534">
        <v>0.99999995411707798</v>
      </c>
    </row>
    <row r="1535" spans="1:40" x14ac:dyDescent="0.25">
      <c r="A1535" t="str">
        <f>"20190312172920993"</f>
        <v>20190312172920993</v>
      </c>
      <c r="B1535" t="str">
        <f>"1552382960989182"</f>
        <v>1552382960989182</v>
      </c>
      <c r="C1535" t="s">
        <v>40</v>
      </c>
      <c r="D1535">
        <v>3.755493</v>
      </c>
      <c r="E1535">
        <v>0.51983789999999996</v>
      </c>
      <c r="F1535" t="s">
        <v>41</v>
      </c>
      <c r="G1535">
        <v>-192.44229999999999</v>
      </c>
      <c r="H1535" s="1">
        <v>-2.034915E-6</v>
      </c>
      <c r="I1535">
        <v>312.52170000000001</v>
      </c>
      <c r="J1535">
        <v>-190.51820000000001</v>
      </c>
      <c r="K1535">
        <v>1.1099330000000001</v>
      </c>
      <c r="L1535">
        <v>324.22050000000002</v>
      </c>
      <c r="M1535">
        <v>3.1412919999999997E-2</v>
      </c>
      <c r="N1535">
        <v>0</v>
      </c>
      <c r="O1535">
        <v>-0.99941210000000003</v>
      </c>
      <c r="P1535">
        <v>-0.1055915</v>
      </c>
      <c r="Q1535">
        <v>0.16294259999999999</v>
      </c>
      <c r="R1535">
        <v>-0.98096930000000004</v>
      </c>
      <c r="S1535">
        <v>-0.48957820000000002</v>
      </c>
      <c r="T1535">
        <v>-0.28346900000000003</v>
      </c>
      <c r="U1535">
        <v>-3.0525820000000001</v>
      </c>
      <c r="V1535">
        <v>0.13656499999999999</v>
      </c>
      <c r="W1535">
        <v>0.1761926</v>
      </c>
      <c r="X1535">
        <v>0.97483649999999999</v>
      </c>
      <c r="Y1535">
        <v>0.1886409</v>
      </c>
      <c r="Z1535">
        <v>9.0988810000000003E-2</v>
      </c>
      <c r="AA1535">
        <v>0.97782190000000002</v>
      </c>
      <c r="AB1535">
        <v>23</v>
      </c>
      <c r="AC1535">
        <v>-1.9240999999999799</v>
      </c>
      <c r="AD1535">
        <v>-1.1099350349149999</v>
      </c>
      <c r="AE1535">
        <v>-11.6988</v>
      </c>
      <c r="AF1535">
        <v>2.2707764783768298</v>
      </c>
      <c r="AG1535">
        <v>-1.1099350349149999</v>
      </c>
      <c r="AH1535">
        <v>11.531511713636901</v>
      </c>
      <c r="AI1535">
        <v>95.394939753625906</v>
      </c>
      <c r="AJ1535">
        <v>78.859893379509899</v>
      </c>
      <c r="AK1535">
        <v>11.8052591669233</v>
      </c>
      <c r="AL1535">
        <v>79.851932645956893</v>
      </c>
      <c r="AM1535">
        <v>82.0253232565899</v>
      </c>
      <c r="AN1535">
        <v>1.0000000166259999</v>
      </c>
    </row>
    <row r="1536" spans="1:40" x14ac:dyDescent="0.25">
      <c r="A1536" t="str">
        <f>"20190312172921012"</f>
        <v>20190312172921012</v>
      </c>
      <c r="B1536" t="str">
        <f>"1552382961008701"</f>
        <v>1552382961008701</v>
      </c>
      <c r="C1536" t="s">
        <v>40</v>
      </c>
      <c r="D1536">
        <v>4.1247299999999996</v>
      </c>
      <c r="E1536">
        <v>0.51988159999999894</v>
      </c>
      <c r="F1536" t="s">
        <v>41</v>
      </c>
      <c r="G1536">
        <v>-192.5968</v>
      </c>
      <c r="H1536" s="1">
        <v>-1.540979E-6</v>
      </c>
      <c r="I1536">
        <v>311.38990000000001</v>
      </c>
      <c r="J1536">
        <v>-190.51249999999999</v>
      </c>
      <c r="K1536">
        <v>1.109934</v>
      </c>
      <c r="L1536">
        <v>324.01749999999998</v>
      </c>
      <c r="M1536">
        <v>3.0761759999999999E-2</v>
      </c>
      <c r="N1536">
        <v>0</v>
      </c>
      <c r="O1536">
        <v>-0.99943230000000005</v>
      </c>
      <c r="P1536">
        <v>-0.1064538</v>
      </c>
      <c r="Q1536">
        <v>0.16253500000000001</v>
      </c>
      <c r="R1536">
        <v>-0.98094340000000002</v>
      </c>
      <c r="S1536">
        <v>-0.493927</v>
      </c>
      <c r="T1536">
        <v>-0.2637446</v>
      </c>
      <c r="U1536">
        <v>-3.0488279999999999</v>
      </c>
      <c r="V1536">
        <v>0.13678850000000001</v>
      </c>
      <c r="W1536">
        <v>0.175783299999999</v>
      </c>
      <c r="X1536">
        <v>0.97487900000000005</v>
      </c>
      <c r="Y1536">
        <v>0.18963630000000001</v>
      </c>
      <c r="Z1536">
        <v>8.479283E-2</v>
      </c>
      <c r="AA1536">
        <v>0.97818620000000001</v>
      </c>
      <c r="AB1536">
        <v>23</v>
      </c>
      <c r="AC1536">
        <v>-2.08430000000001</v>
      </c>
      <c r="AD1536">
        <v>-1.1099355409789999</v>
      </c>
      <c r="AE1536">
        <v>-12.6275999999999</v>
      </c>
      <c r="AF1536">
        <v>2.4533454807654298</v>
      </c>
      <c r="AG1536">
        <v>-1.1099355409789999</v>
      </c>
      <c r="AH1536">
        <v>12.4637591106465</v>
      </c>
      <c r="AI1536">
        <v>94.993616829451</v>
      </c>
      <c r="AJ1536">
        <v>78.864356197476994</v>
      </c>
      <c r="AK1536">
        <v>12.7513196227428</v>
      </c>
      <c r="AL1536">
        <v>79.875755085904402</v>
      </c>
      <c r="AM1536">
        <v>82.012784067532806</v>
      </c>
      <c r="AN1536">
        <v>0.99999996346606901</v>
      </c>
    </row>
    <row r="1537" spans="1:40" x14ac:dyDescent="0.25">
      <c r="A1537" t="str">
        <f>"20190312172921034"</f>
        <v>20190312172921034</v>
      </c>
      <c r="B1537" t="str">
        <f>"1552382961029196"</f>
        <v>1552382961029196</v>
      </c>
      <c r="C1537" t="s">
        <v>40</v>
      </c>
      <c r="D1537">
        <v>3.788818</v>
      </c>
      <c r="E1537">
        <v>0.51993199999999995</v>
      </c>
      <c r="F1537" t="s">
        <v>41</v>
      </c>
      <c r="G1537">
        <v>-192.65790000000001</v>
      </c>
      <c r="H1537" s="1">
        <v>-1.293433E-6</v>
      </c>
      <c r="I1537">
        <v>310.83179999999999</v>
      </c>
      <c r="J1537">
        <v>-190.50649999999999</v>
      </c>
      <c r="K1537">
        <v>1.109937</v>
      </c>
      <c r="L1537">
        <v>323.7919</v>
      </c>
      <c r="M1537">
        <v>3.0037439999999999E-2</v>
      </c>
      <c r="N1537">
        <v>0</v>
      </c>
      <c r="O1537">
        <v>-0.99945470000000003</v>
      </c>
      <c r="P1537">
        <v>-0.107761999999999</v>
      </c>
      <c r="Q1537">
        <v>0.16201289999999999</v>
      </c>
      <c r="R1537">
        <v>-0.98088730000000002</v>
      </c>
      <c r="S1537">
        <v>-0.49575809999999998</v>
      </c>
      <c r="T1537">
        <v>-0.25648179999999998</v>
      </c>
      <c r="U1537">
        <v>-3.0469360000000001</v>
      </c>
      <c r="V1537">
        <v>0.13738510000000001</v>
      </c>
      <c r="W1537">
        <v>0.1752589</v>
      </c>
      <c r="X1537">
        <v>0.97488960000000002</v>
      </c>
      <c r="Y1537">
        <v>0.18962409999999999</v>
      </c>
      <c r="Z1537">
        <v>8.252342E-2</v>
      </c>
      <c r="AA1537">
        <v>0.97838259999999999</v>
      </c>
      <c r="AB1537">
        <v>23</v>
      </c>
      <c r="AC1537">
        <v>-2.1514000000000202</v>
      </c>
      <c r="AD1537">
        <v>-1.109938293433</v>
      </c>
      <c r="AE1537">
        <v>-12.960100000000001</v>
      </c>
      <c r="AF1537">
        <v>2.5217536630058999</v>
      </c>
      <c r="AG1537">
        <v>-1.109938293433</v>
      </c>
      <c r="AH1537">
        <v>12.798268582949801</v>
      </c>
      <c r="AI1537">
        <v>94.863560838985293</v>
      </c>
      <c r="AJ1537">
        <v>78.853306598427196</v>
      </c>
      <c r="AK1537">
        <v>13.0914813246413</v>
      </c>
      <c r="AL1537">
        <v>79.906275572409797</v>
      </c>
      <c r="AM1537">
        <v>81.978486554222201</v>
      </c>
      <c r="AN1537">
        <v>1.00000003995968</v>
      </c>
    </row>
    <row r="1538" spans="1:40" x14ac:dyDescent="0.25">
      <c r="A1538" t="str">
        <f>"20190312172921057"</f>
        <v>20190312172921057</v>
      </c>
      <c r="B1538" t="str">
        <f>"1552382961048717"</f>
        <v>1552382961048717</v>
      </c>
      <c r="C1538" t="s">
        <v>40</v>
      </c>
      <c r="D1538">
        <v>3.7627700000000002</v>
      </c>
      <c r="E1538">
        <v>0.51998909999999998</v>
      </c>
      <c r="F1538" t="s">
        <v>41</v>
      </c>
      <c r="G1538">
        <v>-192.71360000000001</v>
      </c>
      <c r="H1538" s="1">
        <v>-1.0700279999999901E-6</v>
      </c>
      <c r="I1538">
        <v>310.3279</v>
      </c>
      <c r="J1538">
        <v>-190.50030000000001</v>
      </c>
      <c r="K1538">
        <v>1.1099330000000001</v>
      </c>
      <c r="L1538">
        <v>323.55759999999998</v>
      </c>
      <c r="M1538">
        <v>2.928478E-2</v>
      </c>
      <c r="N1538">
        <v>0</v>
      </c>
      <c r="O1538">
        <v>-0.9994769</v>
      </c>
      <c r="P1538">
        <v>-0.10877149999999999</v>
      </c>
      <c r="Q1538">
        <v>0.16132550000000001</v>
      </c>
      <c r="R1538">
        <v>-0.98088909999999996</v>
      </c>
      <c r="S1538">
        <v>-0.49916080000000002</v>
      </c>
      <c r="T1538">
        <v>-0.25102419999999998</v>
      </c>
      <c r="U1538">
        <v>-3.0450439999999999</v>
      </c>
      <c r="V1538">
        <v>0.1376569</v>
      </c>
      <c r="W1538">
        <v>0.17457020000000001</v>
      </c>
      <c r="X1538">
        <v>0.97497480000000003</v>
      </c>
      <c r="Y1538">
        <v>0.19006870000000001</v>
      </c>
      <c r="Z1538">
        <v>8.0820550000000005E-2</v>
      </c>
      <c r="AA1538">
        <v>0.97843849999999999</v>
      </c>
      <c r="AB1538">
        <v>23</v>
      </c>
      <c r="AC1538">
        <v>-2.2132999999999998</v>
      </c>
      <c r="AD1538">
        <v>-1.109934070028</v>
      </c>
      <c r="AE1538">
        <v>-13.2296999999999</v>
      </c>
      <c r="AF1538">
        <v>2.58213577908551</v>
      </c>
      <c r="AG1538">
        <v>-1.109934070028</v>
      </c>
      <c r="AH1538">
        <v>13.069713208271001</v>
      </c>
      <c r="AI1538">
        <v>94.762526097731694</v>
      </c>
      <c r="AJ1538">
        <v>78.824203903675595</v>
      </c>
      <c r="AK1538">
        <v>13.3684996229156</v>
      </c>
      <c r="AL1538">
        <v>79.946352808787296</v>
      </c>
      <c r="AM1538">
        <v>81.963517276884403</v>
      </c>
      <c r="AN1538">
        <v>1.0000000187403399</v>
      </c>
    </row>
    <row r="1539" spans="1:40" x14ac:dyDescent="0.25">
      <c r="A1539" t="str">
        <f>"20190312172921079"</f>
        <v>20190312172921079</v>
      </c>
      <c r="B1539" t="str">
        <f>"1552382961069216"</f>
        <v>1552382961069216</v>
      </c>
      <c r="C1539" t="s">
        <v>40</v>
      </c>
      <c r="D1539">
        <v>3.7578849999999999</v>
      </c>
      <c r="E1539">
        <v>0.52001169999999997</v>
      </c>
      <c r="F1539" t="s">
        <v>41</v>
      </c>
      <c r="G1539">
        <v>-192.75229999999999</v>
      </c>
      <c r="H1539" s="1">
        <v>-8.8631659999999996E-7</v>
      </c>
      <c r="I1539">
        <v>309.91739999999999</v>
      </c>
      <c r="J1539">
        <v>-190.49420000000001</v>
      </c>
      <c r="K1539">
        <v>1.109926</v>
      </c>
      <c r="L1539">
        <v>323.31889999999999</v>
      </c>
      <c r="M1539">
        <v>2.8518109999999999E-2</v>
      </c>
      <c r="N1539">
        <v>0</v>
      </c>
      <c r="O1539">
        <v>-0.99949909999999997</v>
      </c>
      <c r="P1539">
        <v>-0.1099199</v>
      </c>
      <c r="Q1539">
        <v>0.16043750000000001</v>
      </c>
      <c r="R1539">
        <v>-0.98090639999999996</v>
      </c>
      <c r="S1539">
        <v>-0.50247189999999997</v>
      </c>
      <c r="T1539">
        <v>-0.2476536</v>
      </c>
      <c r="U1539">
        <v>-3.0434570000000001</v>
      </c>
      <c r="V1539">
        <v>0.13805419999999999</v>
      </c>
      <c r="W1539">
        <v>0.1736809</v>
      </c>
      <c r="X1539">
        <v>0.97507750000000004</v>
      </c>
      <c r="Y1539">
        <v>0.19044730000000001</v>
      </c>
      <c r="Z1539">
        <v>7.9775970000000002E-2</v>
      </c>
      <c r="AA1539">
        <v>0.97845059999999995</v>
      </c>
      <c r="AB1539">
        <v>23</v>
      </c>
      <c r="AC1539">
        <v>-2.2580999999999798</v>
      </c>
      <c r="AD1539">
        <v>-1.1099268863166001</v>
      </c>
      <c r="AE1539">
        <v>-13.4015</v>
      </c>
      <c r="AF1539">
        <v>2.6219147512015599</v>
      </c>
      <c r="AG1539">
        <v>-1.1099268863166001</v>
      </c>
      <c r="AH1539">
        <v>13.243312993662499</v>
      </c>
      <c r="AI1539">
        <v>94.699979264036401</v>
      </c>
      <c r="AJ1539">
        <v>78.801381492576695</v>
      </c>
      <c r="AK1539">
        <v>13.5459113279117</v>
      </c>
      <c r="AL1539">
        <v>79.998096968838297</v>
      </c>
      <c r="AM1539">
        <v>81.941464708393596</v>
      </c>
      <c r="AN1539">
        <v>1.00000007408434</v>
      </c>
    </row>
    <row r="1540" spans="1:40" x14ac:dyDescent="0.25">
      <c r="A1540" t="str">
        <f>"20190312172921102"</f>
        <v>20190312172921102</v>
      </c>
      <c r="B1540" t="str">
        <f>"1552382961098492"</f>
        <v>1552382961098492</v>
      </c>
      <c r="C1540" t="s">
        <v>40</v>
      </c>
      <c r="D1540">
        <v>3.7817460000000001</v>
      </c>
      <c r="E1540">
        <v>0.51996769999999903</v>
      </c>
      <c r="F1540" t="s">
        <v>41</v>
      </c>
      <c r="G1540">
        <v>-192.7645</v>
      </c>
      <c r="H1540" s="1">
        <v>-7.6400450000000003E-7</v>
      </c>
      <c r="I1540">
        <v>309.65179999999998</v>
      </c>
      <c r="J1540">
        <v>-190.48869999999999</v>
      </c>
      <c r="K1540">
        <v>1.1099079999999999</v>
      </c>
      <c r="L1540">
        <v>323.09739999999999</v>
      </c>
      <c r="M1540">
        <v>2.7806520000000001E-2</v>
      </c>
      <c r="N1540">
        <v>0</v>
      </c>
      <c r="O1540">
        <v>-0.9995193</v>
      </c>
      <c r="P1540">
        <v>-0.11137900000000001</v>
      </c>
      <c r="Q1540">
        <v>0.15965489999999999</v>
      </c>
      <c r="R1540">
        <v>-0.98086989999999996</v>
      </c>
      <c r="S1540">
        <v>-0.50535580000000002</v>
      </c>
      <c r="T1540">
        <v>-0.24705920000000001</v>
      </c>
      <c r="U1540">
        <v>-3.0421749999999999</v>
      </c>
      <c r="V1540">
        <v>0.1388144</v>
      </c>
      <c r="W1540">
        <v>0.1728961</v>
      </c>
      <c r="X1540">
        <v>0.975109</v>
      </c>
      <c r="Y1540">
        <v>0.19071969999999999</v>
      </c>
      <c r="Z1540">
        <v>7.9612820000000001E-2</v>
      </c>
      <c r="AA1540">
        <v>0.97841080000000002</v>
      </c>
      <c r="AB1540">
        <v>23</v>
      </c>
      <c r="AC1540">
        <v>-2.2757999999999998</v>
      </c>
      <c r="AD1540">
        <v>-1.1099087640045</v>
      </c>
      <c r="AE1540">
        <v>-13.445600000000001</v>
      </c>
      <c r="AF1540">
        <v>2.6313988676781701</v>
      </c>
      <c r="AG1540">
        <v>-1.1099087640045</v>
      </c>
      <c r="AH1540">
        <v>13.289079628854299</v>
      </c>
      <c r="AI1540">
        <v>94.683760585512701</v>
      </c>
      <c r="AJ1540">
        <v>78.799625594435497</v>
      </c>
      <c r="AK1540">
        <v>13.592490384298999</v>
      </c>
      <c r="AL1540">
        <v>80.043752987419595</v>
      </c>
      <c r="AM1540">
        <v>81.897936024762501</v>
      </c>
      <c r="AN1540">
        <v>1.00000003046178</v>
      </c>
    </row>
    <row r="1541" spans="1:40" x14ac:dyDescent="0.25">
      <c r="A1541" t="str">
        <f>"20190312172921127"</f>
        <v>20190312172921127</v>
      </c>
      <c r="B1541" t="str">
        <f>"1552382961118989"</f>
        <v>1552382961118989</v>
      </c>
      <c r="C1541" t="s">
        <v>40</v>
      </c>
      <c r="D1541">
        <v>3.7602169999999999</v>
      </c>
      <c r="E1541">
        <v>0.51990530000000001</v>
      </c>
      <c r="F1541" t="s">
        <v>41</v>
      </c>
      <c r="G1541">
        <v>-192.81180000000001</v>
      </c>
      <c r="H1541" s="1">
        <v>-4.6620130000000002E-6</v>
      </c>
      <c r="I1541">
        <v>309.22070000000002</v>
      </c>
      <c r="J1541">
        <v>-190.48249999999999</v>
      </c>
      <c r="K1541">
        <v>1.1098859999999999</v>
      </c>
      <c r="L1541">
        <v>322.83800000000002</v>
      </c>
      <c r="M1541">
        <v>2.6972820000000002E-2</v>
      </c>
      <c r="N1541">
        <v>0</v>
      </c>
      <c r="O1541">
        <v>-0.99954219999999905</v>
      </c>
      <c r="P1541">
        <v>-0.1128552</v>
      </c>
      <c r="Q1541">
        <v>0.1588774</v>
      </c>
      <c r="R1541">
        <v>-0.98082749999999996</v>
      </c>
      <c r="S1541">
        <v>-0.50897219999999999</v>
      </c>
      <c r="T1541">
        <v>-0.24317510000000001</v>
      </c>
      <c r="U1541">
        <v>-3.040314</v>
      </c>
      <c r="V1541">
        <v>0.13947219999999999</v>
      </c>
      <c r="W1541">
        <v>0.17211599999999999</v>
      </c>
      <c r="X1541">
        <v>0.97515309999999999</v>
      </c>
      <c r="Y1541">
        <v>0.19114590000000001</v>
      </c>
      <c r="Z1541">
        <v>7.840801E-2</v>
      </c>
      <c r="AA1541">
        <v>0.97842499999999999</v>
      </c>
      <c r="AB1541">
        <v>23</v>
      </c>
      <c r="AC1541">
        <v>-2.3293000000000101</v>
      </c>
      <c r="AD1541">
        <v>-1.109890662013</v>
      </c>
      <c r="AE1541">
        <v>-13.617299999999901</v>
      </c>
      <c r="AF1541">
        <v>2.6784958647052601</v>
      </c>
      <c r="AG1541">
        <v>-1.109890662013</v>
      </c>
      <c r="AH1541">
        <v>13.462618321017599</v>
      </c>
      <c r="AI1541">
        <v>94.622741913090096</v>
      </c>
      <c r="AJ1541">
        <v>78.747483957519705</v>
      </c>
      <c r="AK1541">
        <v>13.771284959518701</v>
      </c>
      <c r="AL1541">
        <v>80.089129288933805</v>
      </c>
      <c r="AM1541">
        <v>81.860419286784193</v>
      </c>
      <c r="AN1541">
        <v>0.99999999023422403</v>
      </c>
    </row>
    <row r="1542" spans="1:40" x14ac:dyDescent="0.25">
      <c r="A1542" t="str">
        <f>"20190312172921147"</f>
        <v>20190312172921147</v>
      </c>
      <c r="B1542" t="str">
        <f>"1552382961138509"</f>
        <v>1552382961138509</v>
      </c>
      <c r="C1542" t="s">
        <v>40</v>
      </c>
      <c r="D1542">
        <v>3.7803270000000002</v>
      </c>
      <c r="E1542">
        <v>0.51986160000000003</v>
      </c>
      <c r="F1542" t="s">
        <v>41</v>
      </c>
      <c r="G1542">
        <v>-192.84100000000001</v>
      </c>
      <c r="H1542" s="1">
        <v>-4.5420860000000001E-6</v>
      </c>
      <c r="I1542">
        <v>308.85300000000001</v>
      </c>
      <c r="J1542">
        <v>-190.4777</v>
      </c>
      <c r="K1542">
        <v>1.1098669999999999</v>
      </c>
      <c r="L1542">
        <v>322.62920000000003</v>
      </c>
      <c r="M1542">
        <v>2.630213E-2</v>
      </c>
      <c r="N1542">
        <v>0</v>
      </c>
      <c r="O1542">
        <v>-0.99956009999999995</v>
      </c>
      <c r="P1542">
        <v>-0.1142282</v>
      </c>
      <c r="Q1542">
        <v>0.1581881</v>
      </c>
      <c r="R1542">
        <v>-0.98078010000000004</v>
      </c>
      <c r="S1542">
        <v>-0.51248170000000004</v>
      </c>
      <c r="T1542">
        <v>-0.24116609999999999</v>
      </c>
      <c r="U1542">
        <v>-3.0387569999999999</v>
      </c>
      <c r="V1542">
        <v>0.14018639999999999</v>
      </c>
      <c r="W1542">
        <v>0.17142360000000001</v>
      </c>
      <c r="X1542">
        <v>0.9751727</v>
      </c>
      <c r="Y1542">
        <v>0.19167590000000001</v>
      </c>
      <c r="Z1542">
        <v>7.7793989999999993E-2</v>
      </c>
      <c r="AA1542">
        <v>0.97837030000000003</v>
      </c>
      <c r="AB1542">
        <v>23</v>
      </c>
      <c r="AC1542">
        <v>-2.3632999999999802</v>
      </c>
      <c r="AD1542">
        <v>-1.1098715420859999</v>
      </c>
      <c r="AE1542">
        <v>-13.776199999999999</v>
      </c>
      <c r="AF1542">
        <v>2.7077868784264001</v>
      </c>
      <c r="AG1542">
        <v>-1.1098715420859999</v>
      </c>
      <c r="AH1542">
        <v>13.623371079497</v>
      </c>
      <c r="AI1542">
        <v>94.5685204414617</v>
      </c>
      <c r="AJ1542">
        <v>78.758375156976001</v>
      </c>
      <c r="AK1542">
        <v>13.9341366502768</v>
      </c>
      <c r="AL1542">
        <v>80.129399875541694</v>
      </c>
      <c r="AM1542">
        <v>81.819463620256997</v>
      </c>
      <c r="AN1542">
        <v>1.0000000361036001</v>
      </c>
    </row>
    <row r="1543" spans="1:40" x14ac:dyDescent="0.25">
      <c r="A1543" t="str">
        <f>"20190312172921169"</f>
        <v>20190312172921169</v>
      </c>
      <c r="B1543" t="str">
        <f>"1552382961159008"</f>
        <v>1552382961159008</v>
      </c>
      <c r="C1543" t="s">
        <v>40</v>
      </c>
      <c r="D1543">
        <v>3.764513</v>
      </c>
      <c r="E1543">
        <v>0.51988109999999998</v>
      </c>
      <c r="F1543" t="s">
        <v>41</v>
      </c>
      <c r="G1543">
        <v>-192.87559999999999</v>
      </c>
      <c r="H1543" s="1">
        <v>-4.4382659999999998E-6</v>
      </c>
      <c r="I1543">
        <v>308.5299</v>
      </c>
      <c r="J1543">
        <v>-190.4725</v>
      </c>
      <c r="K1543">
        <v>1.1098539999999999</v>
      </c>
      <c r="L1543">
        <v>322.39949999999999</v>
      </c>
      <c r="M1543">
        <v>2.5564E-2</v>
      </c>
      <c r="N1543">
        <v>0</v>
      </c>
      <c r="O1543">
        <v>-0.99957910000000005</v>
      </c>
      <c r="P1543">
        <v>-0.1156229</v>
      </c>
      <c r="Q1543">
        <v>0.15849050000000001</v>
      </c>
      <c r="R1543">
        <v>-0.98056730000000003</v>
      </c>
      <c r="S1543">
        <v>-0.51655580000000001</v>
      </c>
      <c r="T1543">
        <v>-0.23908399999999999</v>
      </c>
      <c r="U1543">
        <v>-3.037201</v>
      </c>
      <c r="V1543">
        <v>0.14085320000000001</v>
      </c>
      <c r="W1543">
        <v>0.17172190000000001</v>
      </c>
      <c r="X1543">
        <v>0.97502409999999995</v>
      </c>
      <c r="Y1543">
        <v>0.1923175</v>
      </c>
      <c r="Z1543">
        <v>7.7154009999999995E-2</v>
      </c>
      <c r="AA1543">
        <v>0.97829509999999997</v>
      </c>
      <c r="AB1543">
        <v>23</v>
      </c>
      <c r="AC1543">
        <v>-2.40309999999999</v>
      </c>
      <c r="AD1543">
        <v>-1.1098584382659999</v>
      </c>
      <c r="AE1543">
        <v>-13.869599999999901</v>
      </c>
      <c r="AF1543">
        <v>2.7398772386783601</v>
      </c>
      <c r="AG1543">
        <v>-1.1098584382659999</v>
      </c>
      <c r="AH1543">
        <v>13.718344617291301</v>
      </c>
      <c r="AI1543">
        <v>94.536137394524999</v>
      </c>
      <c r="AJ1543">
        <v>78.7052955265452</v>
      </c>
      <c r="AK1543">
        <v>14.033235267563301</v>
      </c>
      <c r="AL1543">
        <v>80.112051082352096</v>
      </c>
      <c r="AM1543">
        <v>81.779847560537505</v>
      </c>
      <c r="AN1543">
        <v>1.0000000152353199</v>
      </c>
    </row>
    <row r="1544" spans="1:40" x14ac:dyDescent="0.25">
      <c r="A1544" t="str">
        <f>"20190312172921191"</f>
        <v>20190312172921191</v>
      </c>
      <c r="B1544" t="str">
        <f>"1552382961178528"</f>
        <v>1552382961178528</v>
      </c>
      <c r="C1544" t="s">
        <v>40</v>
      </c>
      <c r="D1544">
        <v>3.7565040000000001</v>
      </c>
      <c r="E1544">
        <v>0.51982119999999998</v>
      </c>
      <c r="F1544" t="s">
        <v>41</v>
      </c>
      <c r="G1544">
        <v>-192.93680000000001</v>
      </c>
      <c r="H1544" s="1">
        <v>-4.285444E-6</v>
      </c>
      <c r="I1544">
        <v>308.04899999999998</v>
      </c>
      <c r="J1544">
        <v>-190.4676</v>
      </c>
      <c r="K1544">
        <v>1.109853</v>
      </c>
      <c r="L1544">
        <v>322.17680000000001</v>
      </c>
      <c r="M1544">
        <v>2.484842E-2</v>
      </c>
      <c r="N1544">
        <v>0</v>
      </c>
      <c r="O1544">
        <v>-0.99959730000000002</v>
      </c>
      <c r="P1544">
        <v>-0.1175929</v>
      </c>
      <c r="Q1544">
        <v>0.158947</v>
      </c>
      <c r="R1544">
        <v>-0.9802594</v>
      </c>
      <c r="S1544">
        <v>-0.52133180000000001</v>
      </c>
      <c r="T1544">
        <v>-0.234796</v>
      </c>
      <c r="U1544">
        <v>-3.0359189999999998</v>
      </c>
      <c r="V1544">
        <v>0.1421152</v>
      </c>
      <c r="W1544">
        <v>0.1721714</v>
      </c>
      <c r="X1544">
        <v>0.97476169999999995</v>
      </c>
      <c r="Y1544">
        <v>0.19319639999999999</v>
      </c>
      <c r="Z1544">
        <v>7.5795349999999997E-2</v>
      </c>
      <c r="AA1544">
        <v>0.97822810000000004</v>
      </c>
      <c r="AB1544">
        <v>23</v>
      </c>
      <c r="AC1544">
        <v>-2.4691999999999998</v>
      </c>
      <c r="AD1544">
        <v>-1.1098572854440001</v>
      </c>
      <c r="AE1544">
        <v>-14.127799999999899</v>
      </c>
      <c r="AF1544">
        <v>2.8027397310497899</v>
      </c>
      <c r="AG1544">
        <v>-1.1098572854440001</v>
      </c>
      <c r="AH1544">
        <v>13.9783661163655</v>
      </c>
      <c r="AI1544">
        <v>94.4514282399265</v>
      </c>
      <c r="AJ1544">
        <v>78.6622194323824</v>
      </c>
      <c r="AK1544">
        <v>14.299715118743199</v>
      </c>
      <c r="AL1544">
        <v>80.085907562534203</v>
      </c>
      <c r="AM1544">
        <v>81.705016120678295</v>
      </c>
      <c r="AN1544">
        <v>1.0000000464179399</v>
      </c>
    </row>
    <row r="1545" spans="1:40" x14ac:dyDescent="0.25">
      <c r="A1545" t="str">
        <f>"20190312172921214"</f>
        <v>20190312172921214</v>
      </c>
      <c r="B1545" t="str">
        <f>"1552382961208781"</f>
        <v>1552382961208781</v>
      </c>
      <c r="C1545" t="s">
        <v>40</v>
      </c>
      <c r="D1545">
        <v>3.757717</v>
      </c>
      <c r="E1545">
        <v>0.51972180000000001</v>
      </c>
      <c r="F1545" t="s">
        <v>41</v>
      </c>
      <c r="G1545">
        <v>-193.00790000000001</v>
      </c>
      <c r="H1545" s="1">
        <v>-4.1240099999999997E-6</v>
      </c>
      <c r="I1545">
        <v>307.53750000000002</v>
      </c>
      <c r="J1545">
        <v>-190.46260000000001</v>
      </c>
      <c r="K1545">
        <v>1.109856</v>
      </c>
      <c r="L1545">
        <v>321.93509999999998</v>
      </c>
      <c r="M1545">
        <v>2.4071820000000001E-2</v>
      </c>
      <c r="N1545">
        <v>0</v>
      </c>
      <c r="O1545">
        <v>-0.99961650000000002</v>
      </c>
      <c r="P1545">
        <v>-0.11957130000000001</v>
      </c>
      <c r="Q1545">
        <v>0.1596118</v>
      </c>
      <c r="R1545">
        <v>-0.97991220000000001</v>
      </c>
      <c r="S1545">
        <v>-0.52658079999999996</v>
      </c>
      <c r="T1545">
        <v>-0.23006270000000001</v>
      </c>
      <c r="U1545">
        <v>-3.0345759999999999</v>
      </c>
      <c r="V1545">
        <v>0.1433257</v>
      </c>
      <c r="W1545">
        <v>0.17282890000000001</v>
      </c>
      <c r="X1545">
        <v>0.974468</v>
      </c>
      <c r="Y1545">
        <v>0.1941688</v>
      </c>
      <c r="Z1545">
        <v>7.4292440000000001E-2</v>
      </c>
      <c r="AA1545">
        <v>0.97815079999999999</v>
      </c>
      <c r="AB1545">
        <v>23</v>
      </c>
      <c r="AC1545">
        <v>-2.5452999999999899</v>
      </c>
      <c r="AD1545">
        <v>-1.1098601240099999</v>
      </c>
      <c r="AE1545">
        <v>-14.397599999999899</v>
      </c>
      <c r="AF1545">
        <v>2.87460707088835</v>
      </c>
      <c r="AG1545">
        <v>-1.1098601240099999</v>
      </c>
      <c r="AH1545">
        <v>14.2500394454848</v>
      </c>
      <c r="AI1545">
        <v>94.365879156105393</v>
      </c>
      <c r="AJ1545">
        <v>78.594996246133803</v>
      </c>
      <c r="AK1545">
        <v>14.5793957180927</v>
      </c>
      <c r="AL1545">
        <v>80.047661644560606</v>
      </c>
      <c r="AM1545">
        <v>81.632871765011402</v>
      </c>
      <c r="AN1545">
        <v>0.99999998398984902</v>
      </c>
    </row>
    <row r="1546" spans="1:40" x14ac:dyDescent="0.25">
      <c r="A1546" t="str">
        <f>"20190312172921237"</f>
        <v>20190312172921237</v>
      </c>
      <c r="B1546" t="str">
        <f>"1552382961228772"</f>
        <v>1552382961228772</v>
      </c>
      <c r="C1546" t="s">
        <v>40</v>
      </c>
      <c r="D1546">
        <v>3.782305</v>
      </c>
      <c r="E1546">
        <v>0.51966129999999999</v>
      </c>
      <c r="F1546" t="s">
        <v>41</v>
      </c>
      <c r="G1546">
        <v>-193.11189999999999</v>
      </c>
      <c r="H1546" s="1">
        <v>-3.8977479999999996E-6</v>
      </c>
      <c r="I1546">
        <v>306.81849999999997</v>
      </c>
      <c r="J1546">
        <v>-190.458</v>
      </c>
      <c r="K1546">
        <v>1.1098669999999999</v>
      </c>
      <c r="L1546">
        <v>321.71120000000002</v>
      </c>
      <c r="M1546">
        <v>2.3352399999999999E-2</v>
      </c>
      <c r="N1546">
        <v>0</v>
      </c>
      <c r="O1546">
        <v>-0.99963340000000001</v>
      </c>
      <c r="P1546">
        <v>-0.12187089999999901</v>
      </c>
      <c r="Q1546">
        <v>0.15915609999999999</v>
      </c>
      <c r="R1546">
        <v>-0.97970270000000004</v>
      </c>
      <c r="S1546">
        <v>-0.53153989999999995</v>
      </c>
      <c r="T1546">
        <v>-0.22267500000000001</v>
      </c>
      <c r="U1546">
        <v>-3.0328979999999999</v>
      </c>
      <c r="V1546">
        <v>0.14491570000000001</v>
      </c>
      <c r="W1546">
        <v>0.172367299999999</v>
      </c>
      <c r="X1546">
        <v>0.97431460000000003</v>
      </c>
      <c r="Y1546">
        <v>0.1951359</v>
      </c>
      <c r="Z1546">
        <v>7.1943469999999995E-2</v>
      </c>
      <c r="AA1546">
        <v>0.97813399999999995</v>
      </c>
      <c r="AB1546">
        <v>23</v>
      </c>
      <c r="AC1546">
        <v>-2.6538999999999899</v>
      </c>
      <c r="AD1546">
        <v>-1.1098708977480001</v>
      </c>
      <c r="AE1546">
        <v>-14.8927</v>
      </c>
      <c r="AF1546">
        <v>2.9849213580807801</v>
      </c>
      <c r="AG1546">
        <v>-1.1098708977480001</v>
      </c>
      <c r="AH1546">
        <v>14.747273197265301</v>
      </c>
      <c r="AI1546">
        <v>94.218702538304896</v>
      </c>
      <c r="AJ1546">
        <v>78.557634289910098</v>
      </c>
      <c r="AK1546">
        <v>15.087201055145201</v>
      </c>
      <c r="AL1546">
        <v>80.074512433714702</v>
      </c>
      <c r="AM1546">
        <v>81.540073208454601</v>
      </c>
      <c r="AN1546">
        <v>0.99999999299446996</v>
      </c>
    </row>
    <row r="1547" spans="1:40" x14ac:dyDescent="0.25">
      <c r="A1547" t="str">
        <f>"20190312172921260"</f>
        <v>20190312172921260</v>
      </c>
      <c r="B1547" t="str">
        <f>"1552382961249268"</f>
        <v>1552382961249268</v>
      </c>
      <c r="C1547" t="s">
        <v>40</v>
      </c>
      <c r="D1547">
        <v>3.7659889999999998</v>
      </c>
      <c r="E1547">
        <v>0.51962240000000004</v>
      </c>
      <c r="F1547" t="s">
        <v>41</v>
      </c>
      <c r="G1547">
        <v>-193.15110000000001</v>
      </c>
      <c r="H1547" s="1">
        <v>-3.7980579999999998E-6</v>
      </c>
      <c r="I1547">
        <v>306.505</v>
      </c>
      <c r="J1547">
        <v>-190.45339999999999</v>
      </c>
      <c r="K1547">
        <v>1.1098699999999999</v>
      </c>
      <c r="L1547">
        <v>321.4742</v>
      </c>
      <c r="M1547">
        <v>2.2590249999999999E-2</v>
      </c>
      <c r="N1547">
        <v>0</v>
      </c>
      <c r="O1547">
        <v>-0.99965079999999995</v>
      </c>
      <c r="P1547">
        <v>-0.123684</v>
      </c>
      <c r="Q1547">
        <v>0.15835399999999999</v>
      </c>
      <c r="R1547">
        <v>-0.97960530000000001</v>
      </c>
      <c r="S1547">
        <v>-0.53686519999999904</v>
      </c>
      <c r="T1547">
        <v>-0.22124930000000001</v>
      </c>
      <c r="U1547">
        <v>-3.0313110000000001</v>
      </c>
      <c r="V1547">
        <v>0.1459801</v>
      </c>
      <c r="W1547">
        <v>0.17156170000000001</v>
      </c>
      <c r="X1547">
        <v>0.97429790000000005</v>
      </c>
      <c r="Y1547">
        <v>0.1961473</v>
      </c>
      <c r="Z1547">
        <v>7.1505810000000003E-2</v>
      </c>
      <c r="AA1547">
        <v>0.97796380000000005</v>
      </c>
      <c r="AB1547">
        <v>23</v>
      </c>
      <c r="AC1547">
        <v>-2.6977000000000202</v>
      </c>
      <c r="AD1547">
        <v>-1.109873798058</v>
      </c>
      <c r="AE1547">
        <v>-14.969200000000001</v>
      </c>
      <c r="AF1547">
        <v>3.0191262126768401</v>
      </c>
      <c r="AG1547">
        <v>-1.109873798058</v>
      </c>
      <c r="AH1547">
        <v>14.825495216821199</v>
      </c>
      <c r="AI1547">
        <v>94.195524260312794</v>
      </c>
      <c r="AJ1547">
        <v>78.489441961339494</v>
      </c>
      <c r="AK1547">
        <v>15.170440051616</v>
      </c>
      <c r="AL1547">
        <v>80.1213680067127</v>
      </c>
      <c r="AM1547">
        <v>81.478700434942596</v>
      </c>
      <c r="AN1547">
        <v>1.0000000022236499</v>
      </c>
    </row>
    <row r="1548" spans="1:40" x14ac:dyDescent="0.25">
      <c r="A1548" t="str">
        <f>"20190312172921283"</f>
        <v>20190312172921283</v>
      </c>
      <c r="B1548" t="str">
        <f>"1552382961278548"</f>
        <v>1552382961278548</v>
      </c>
      <c r="C1548" t="s">
        <v>40</v>
      </c>
      <c r="D1548">
        <v>3.7515019999999999</v>
      </c>
      <c r="E1548">
        <v>0.51951840000000005</v>
      </c>
      <c r="F1548" t="s">
        <v>41</v>
      </c>
      <c r="G1548">
        <v>-193.17320000000001</v>
      </c>
      <c r="H1548" s="1">
        <v>-3.7070170000000001E-6</v>
      </c>
      <c r="I1548">
        <v>306.26220000000001</v>
      </c>
      <c r="J1548">
        <v>-190.44909999999999</v>
      </c>
      <c r="K1548">
        <v>1.1098760000000001</v>
      </c>
      <c r="L1548">
        <v>321.24419999999998</v>
      </c>
      <c r="M1548">
        <v>2.185088E-2</v>
      </c>
      <c r="N1548">
        <v>0</v>
      </c>
      <c r="O1548">
        <v>-0.99966750000000004</v>
      </c>
      <c r="P1548">
        <v>-0.12525330000000001</v>
      </c>
      <c r="Q1548">
        <v>0.15699949999999999</v>
      </c>
      <c r="R1548">
        <v>-0.9796243</v>
      </c>
      <c r="S1548">
        <v>-0.54170229999999997</v>
      </c>
      <c r="T1548">
        <v>-0.2210541</v>
      </c>
      <c r="U1548">
        <v>-3.029785</v>
      </c>
      <c r="V1548">
        <v>0.14682500000000001</v>
      </c>
      <c r="W1548">
        <v>0.17020569999999999</v>
      </c>
      <c r="X1548">
        <v>0.97440870000000002</v>
      </c>
      <c r="Y1548">
        <v>0.19702049999999999</v>
      </c>
      <c r="Z1548">
        <v>7.1463869999999999E-2</v>
      </c>
      <c r="AA1548">
        <v>0.97779130000000003</v>
      </c>
      <c r="AB1548">
        <v>23</v>
      </c>
      <c r="AC1548">
        <v>-2.7241000000000199</v>
      </c>
      <c r="AD1548">
        <v>-1.1098797070169999</v>
      </c>
      <c r="AE1548">
        <v>-14.9819999999999</v>
      </c>
      <c r="AF1548">
        <v>3.0347285064139098</v>
      </c>
      <c r="AG1548">
        <v>-1.1098797070169999</v>
      </c>
      <c r="AH1548">
        <v>14.840057123071</v>
      </c>
      <c r="AI1548">
        <v>94.190747598022</v>
      </c>
      <c r="AJ1548">
        <v>78.442603116050805</v>
      </c>
      <c r="AK1548">
        <v>15.1877814537772</v>
      </c>
      <c r="AL1548">
        <v>80.200220283801301</v>
      </c>
      <c r="AM1548">
        <v>81.431071324647505</v>
      </c>
      <c r="AN1548">
        <v>0.99999993778658802</v>
      </c>
    </row>
    <row r="1549" spans="1:40" x14ac:dyDescent="0.25">
      <c r="A1549" t="str">
        <f>"20190312172921305"</f>
        <v>20190312172921305</v>
      </c>
      <c r="B1549" t="str">
        <f>"1552382961299044"</f>
        <v>1552382961299044</v>
      </c>
      <c r="C1549" t="s">
        <v>40</v>
      </c>
      <c r="D1549">
        <v>3.770267</v>
      </c>
      <c r="E1549">
        <v>0.51944670000000004</v>
      </c>
      <c r="F1549" t="s">
        <v>41</v>
      </c>
      <c r="G1549">
        <v>-193.1874</v>
      </c>
      <c r="H1549" s="1">
        <v>-3.6176249999999999E-6</v>
      </c>
      <c r="I1549">
        <v>306.04500000000002</v>
      </c>
      <c r="J1549">
        <v>-190.44489999999999</v>
      </c>
      <c r="K1549">
        <v>1.109869</v>
      </c>
      <c r="L1549">
        <v>321.01429999999999</v>
      </c>
      <c r="M1549">
        <v>2.1111560000000001E-2</v>
      </c>
      <c r="N1549">
        <v>0</v>
      </c>
      <c r="O1549">
        <v>-0.99968349999999995</v>
      </c>
      <c r="P1549">
        <v>-0.12745200000000001</v>
      </c>
      <c r="Q1549">
        <v>0.1573408</v>
      </c>
      <c r="R1549">
        <v>-0.97928599999999999</v>
      </c>
      <c r="S1549">
        <v>-0.54554749999999996</v>
      </c>
      <c r="T1549">
        <v>-0.2211159</v>
      </c>
      <c r="U1549">
        <v>-3.028076</v>
      </c>
      <c r="V1549">
        <v>0.1482936</v>
      </c>
      <c r="W1549">
        <v>0.17053940000000001</v>
      </c>
      <c r="X1549">
        <v>0.97412799999999999</v>
      </c>
      <c r="Y1549">
        <v>0.1975933</v>
      </c>
      <c r="Z1549">
        <v>7.1512919999999994E-2</v>
      </c>
      <c r="AA1549">
        <v>0.97767210000000004</v>
      </c>
      <c r="AB1549">
        <v>23</v>
      </c>
      <c r="AC1549">
        <v>-2.7425000000000002</v>
      </c>
      <c r="AD1549">
        <v>-1.109872617625</v>
      </c>
      <c r="AE1549">
        <v>-14.969299999999899</v>
      </c>
      <c r="AF1549">
        <v>3.0417652810055298</v>
      </c>
      <c r="AG1549">
        <v>-1.109872617625</v>
      </c>
      <c r="AH1549">
        <v>14.8291872599135</v>
      </c>
      <c r="AI1549">
        <v>94.193268920522101</v>
      </c>
      <c r="AJ1549">
        <v>78.408266864543194</v>
      </c>
      <c r="AK1549">
        <v>15.1785687085991</v>
      </c>
      <c r="AL1549">
        <v>80.180817810406893</v>
      </c>
      <c r="AM1549">
        <v>81.344197014257503</v>
      </c>
      <c r="AN1549">
        <v>1.00000001956865</v>
      </c>
    </row>
    <row r="1550" spans="1:40" x14ac:dyDescent="0.25">
      <c r="A1550" t="str">
        <f>"20190312172921328"</f>
        <v>20190312172921328</v>
      </c>
      <c r="B1550" t="str">
        <f>"1552382961318563"</f>
        <v>1552382961318563</v>
      </c>
      <c r="C1550" t="s">
        <v>40</v>
      </c>
      <c r="D1550">
        <v>3.7752370000000002</v>
      </c>
      <c r="E1550">
        <v>0.51936610000000005</v>
      </c>
      <c r="F1550" t="s">
        <v>41</v>
      </c>
      <c r="G1550">
        <v>-193.25319999999999</v>
      </c>
      <c r="H1550" s="1">
        <v>-3.4456530000000001E-6</v>
      </c>
      <c r="I1550">
        <v>305.60329999999999</v>
      </c>
      <c r="J1550">
        <v>-190.441</v>
      </c>
      <c r="K1550">
        <v>1.1098600000000001</v>
      </c>
      <c r="L1550">
        <v>320.78609999999998</v>
      </c>
      <c r="M1550">
        <v>2.037775E-2</v>
      </c>
      <c r="N1550">
        <v>0</v>
      </c>
      <c r="O1550">
        <v>-0.99969850000000005</v>
      </c>
      <c r="P1550">
        <v>-0.1303058</v>
      </c>
      <c r="Q1550">
        <v>0.15699299999999999</v>
      </c>
      <c r="R1550">
        <v>-0.97896550000000004</v>
      </c>
      <c r="S1550">
        <v>-0.55152889999999999</v>
      </c>
      <c r="T1550">
        <v>-0.217976</v>
      </c>
      <c r="U1550">
        <v>-3.026672</v>
      </c>
      <c r="V1550">
        <v>0.15042259999999999</v>
      </c>
      <c r="W1550">
        <v>0.17018359999999999</v>
      </c>
      <c r="X1550">
        <v>0.9738637</v>
      </c>
      <c r="Y1550">
        <v>0.19883629999999999</v>
      </c>
      <c r="Z1550">
        <v>7.0515010000000003E-2</v>
      </c>
      <c r="AA1550">
        <v>0.97749260000000004</v>
      </c>
      <c r="AB1550">
        <v>23</v>
      </c>
      <c r="AC1550">
        <v>-2.81220000000001</v>
      </c>
      <c r="AD1550">
        <v>-1.1098634456530001</v>
      </c>
      <c r="AE1550">
        <v>-15.182799999999901</v>
      </c>
      <c r="AF1550">
        <v>3.1049947208797399</v>
      </c>
      <c r="AG1550">
        <v>-1.1098634456530001</v>
      </c>
      <c r="AH1550">
        <v>15.044608995292</v>
      </c>
      <c r="AI1550">
        <v>94.132372631443502</v>
      </c>
      <c r="AJ1550">
        <v>78.338692465463495</v>
      </c>
      <c r="AK1550">
        <v>15.4017222707692</v>
      </c>
      <c r="AL1550">
        <v>80.201505499995093</v>
      </c>
      <c r="AM1550">
        <v>81.219505558430399</v>
      </c>
      <c r="AN1550">
        <v>0.99999996123870405</v>
      </c>
    </row>
    <row r="1551" spans="1:40" x14ac:dyDescent="0.25">
      <c r="A1551" t="str">
        <f>"20190312172921349"</f>
        <v>20190312172921349</v>
      </c>
      <c r="B1551" t="str">
        <f>"1552382961339060"</f>
        <v>1552382961339060</v>
      </c>
      <c r="C1551" t="s">
        <v>40</v>
      </c>
      <c r="D1551">
        <v>3.7659340000000001</v>
      </c>
      <c r="E1551">
        <v>0.519285</v>
      </c>
      <c r="F1551" t="s">
        <v>41</v>
      </c>
      <c r="G1551">
        <v>-193.2963</v>
      </c>
      <c r="H1551" s="1">
        <v>-3.3355940000000001E-6</v>
      </c>
      <c r="I1551">
        <v>305.32</v>
      </c>
      <c r="J1551">
        <v>-190.4374</v>
      </c>
      <c r="K1551">
        <v>1.1098460000000001</v>
      </c>
      <c r="L1551">
        <v>320.56639999999999</v>
      </c>
      <c r="M1551">
        <v>1.9670859999999998E-2</v>
      </c>
      <c r="N1551">
        <v>0</v>
      </c>
      <c r="O1551">
        <v>-0.99971279999999996</v>
      </c>
      <c r="P1551">
        <v>-0.13368529999999901</v>
      </c>
      <c r="Q1551">
        <v>0.15578139999999999</v>
      </c>
      <c r="R1551">
        <v>-0.97870369999999995</v>
      </c>
      <c r="S1551">
        <v>-0.55847170000000002</v>
      </c>
      <c r="T1551">
        <v>-0.21707670000000001</v>
      </c>
      <c r="U1551">
        <v>-3.024994</v>
      </c>
      <c r="V1551">
        <v>0.1531042</v>
      </c>
      <c r="W1551">
        <v>0.16896420000000001</v>
      </c>
      <c r="X1551">
        <v>0.97365809999999997</v>
      </c>
      <c r="Y1551">
        <v>0.2004127</v>
      </c>
      <c r="Z1551">
        <v>7.0239449999999995E-2</v>
      </c>
      <c r="AA1551">
        <v>0.97719040000000001</v>
      </c>
      <c r="AB1551">
        <v>23</v>
      </c>
      <c r="AC1551">
        <v>-2.8589000000000002</v>
      </c>
      <c r="AD1551">
        <v>-1.10984933559399</v>
      </c>
      <c r="AE1551">
        <v>-15.2463999999999</v>
      </c>
      <c r="AF1551">
        <v>3.14219969660962</v>
      </c>
      <c r="AG1551">
        <v>-1.10984933559399</v>
      </c>
      <c r="AH1551">
        <v>15.1098596979096</v>
      </c>
      <c r="AI1551">
        <v>94.1132571535464</v>
      </c>
      <c r="AJ1551">
        <v>78.252383073214006</v>
      </c>
      <c r="AK1551">
        <v>15.472977883122701</v>
      </c>
      <c r="AL1551">
        <v>80.272398547104203</v>
      </c>
      <c r="AM1551">
        <v>81.063622173928493</v>
      </c>
      <c r="AN1551">
        <v>0.99999994631744304</v>
      </c>
    </row>
    <row r="1552" spans="1:40" x14ac:dyDescent="0.25">
      <c r="A1552" t="str">
        <f>"20190312172921370"</f>
        <v>20190312172921370</v>
      </c>
      <c r="B1552" t="str">
        <f>"1552382961358580"</f>
        <v>1552382961358580</v>
      </c>
      <c r="C1552" t="s">
        <v>40</v>
      </c>
      <c r="D1552">
        <v>3.771347</v>
      </c>
      <c r="E1552">
        <v>0.51921359999999905</v>
      </c>
      <c r="F1552" t="s">
        <v>41</v>
      </c>
      <c r="G1552">
        <v>-193.31049999999999</v>
      </c>
      <c r="H1552" s="1">
        <v>-3.3043139999999998E-6</v>
      </c>
      <c r="I1552">
        <v>305.23829999999998</v>
      </c>
      <c r="J1552">
        <v>-190.434</v>
      </c>
      <c r="K1552">
        <v>1.109836</v>
      </c>
      <c r="L1552">
        <v>320.3537</v>
      </c>
      <c r="M1552">
        <v>1.898623E-2</v>
      </c>
      <c r="N1552">
        <v>0</v>
      </c>
      <c r="O1552">
        <v>-0.99972609999999995</v>
      </c>
      <c r="P1552">
        <v>-0.1365557</v>
      </c>
      <c r="Q1552">
        <v>0.1547858</v>
      </c>
      <c r="R1552">
        <v>-0.97846540000000004</v>
      </c>
      <c r="S1552">
        <v>-0.56658940000000002</v>
      </c>
      <c r="T1552">
        <v>-0.21886220000000001</v>
      </c>
      <c r="U1552">
        <v>-3.0227050000000002</v>
      </c>
      <c r="V1552">
        <v>0.15529960000000001</v>
      </c>
      <c r="W1552">
        <v>0.1679621</v>
      </c>
      <c r="X1552">
        <v>0.97348389999999996</v>
      </c>
      <c r="Y1552">
        <v>0.2024022</v>
      </c>
      <c r="Z1552">
        <v>7.083631E-2</v>
      </c>
      <c r="AA1552">
        <v>0.97673719999999997</v>
      </c>
      <c r="AB1552">
        <v>23</v>
      </c>
      <c r="AC1552">
        <v>-2.8764999999999601</v>
      </c>
      <c r="AD1552">
        <v>-1.109839304314</v>
      </c>
      <c r="AE1552">
        <v>-15.115399999999999</v>
      </c>
      <c r="AF1552">
        <v>3.1466217210490801</v>
      </c>
      <c r="AG1552">
        <v>-1.109839304314</v>
      </c>
      <c r="AH1552">
        <v>14.980118402711399</v>
      </c>
      <c r="AI1552">
        <v>94.146985255777395</v>
      </c>
      <c r="AJ1552">
        <v>78.137301834306697</v>
      </c>
      <c r="AK1552">
        <v>15.347212088716001</v>
      </c>
      <c r="AL1552">
        <v>80.330648334991395</v>
      </c>
      <c r="AM1552">
        <v>80.935998291662102</v>
      </c>
      <c r="AN1552">
        <v>1.00000006817788</v>
      </c>
    </row>
    <row r="1553" spans="1:40" x14ac:dyDescent="0.25">
      <c r="A1553" t="str">
        <f>"20190312172921392"</f>
        <v>20190312172921392</v>
      </c>
      <c r="B1553" t="str">
        <f>"1552382961388836"</f>
        <v>1552382961388836</v>
      </c>
      <c r="C1553" t="s">
        <v>40</v>
      </c>
      <c r="D1553">
        <v>3.763849</v>
      </c>
      <c r="E1553">
        <v>0.51904529999999904</v>
      </c>
      <c r="F1553" t="s">
        <v>41</v>
      </c>
      <c r="G1553">
        <v>-193.33439999999999</v>
      </c>
      <c r="H1553" s="1">
        <v>-3.2581339999999999E-6</v>
      </c>
      <c r="I1553">
        <v>305.11579999999998</v>
      </c>
      <c r="J1553">
        <v>-190.4307</v>
      </c>
      <c r="K1553">
        <v>1.1098300000000001</v>
      </c>
      <c r="L1553">
        <v>320.13420000000002</v>
      </c>
      <c r="M1553">
        <v>1.8279879999999998E-2</v>
      </c>
      <c r="N1553">
        <v>0</v>
      </c>
      <c r="O1553">
        <v>-0.99973920000000005</v>
      </c>
      <c r="P1553">
        <v>-0.1397871</v>
      </c>
      <c r="Q1553">
        <v>0.15419939999999999</v>
      </c>
      <c r="R1553">
        <v>-0.97810149999999996</v>
      </c>
      <c r="S1553">
        <v>-0.5749512</v>
      </c>
      <c r="T1553">
        <v>-0.2200049</v>
      </c>
      <c r="U1553">
        <v>-3.0206300000000001</v>
      </c>
      <c r="V1553">
        <v>0.15783320000000001</v>
      </c>
      <c r="W1553">
        <v>0.1673665</v>
      </c>
      <c r="X1553">
        <v>0.97317889999999996</v>
      </c>
      <c r="Y1553">
        <v>0.2044369</v>
      </c>
      <c r="Z1553">
        <v>7.1220229999999995E-2</v>
      </c>
      <c r="AA1553">
        <v>0.97628539999999997</v>
      </c>
      <c r="AB1553">
        <v>23</v>
      </c>
      <c r="AC1553">
        <v>-2.9036999999999802</v>
      </c>
      <c r="AD1553">
        <v>-1.10983325813399</v>
      </c>
      <c r="AE1553">
        <v>-15.0184</v>
      </c>
      <c r="AF1553">
        <v>3.1611342626558501</v>
      </c>
      <c r="AG1553">
        <v>-1.10983325813399</v>
      </c>
      <c r="AH1553">
        <v>14.884451590751899</v>
      </c>
      <c r="AI1553">
        <v>94.1715679519112</v>
      </c>
      <c r="AJ1553">
        <v>78.009773454975999</v>
      </c>
      <c r="AK1553">
        <v>15.256847605086501</v>
      </c>
      <c r="AL1553">
        <v>80.365263220310993</v>
      </c>
      <c r="AM1553">
        <v>80.787802879827296</v>
      </c>
      <c r="AN1553">
        <v>1.0000000178748401</v>
      </c>
    </row>
    <row r="1554" spans="1:40" x14ac:dyDescent="0.25">
      <c r="A1554" t="str">
        <f>"20190312172921415"</f>
        <v>20190312172921415</v>
      </c>
      <c r="B1554" t="str">
        <f>"1552382961409332"</f>
        <v>1552382961409332</v>
      </c>
      <c r="C1554" t="s">
        <v>40</v>
      </c>
      <c r="D1554">
        <v>3.7922850000000001</v>
      </c>
      <c r="E1554">
        <v>0.51897470000000001</v>
      </c>
      <c r="F1554" t="s">
        <v>41</v>
      </c>
      <c r="G1554">
        <v>-193.38409999999999</v>
      </c>
      <c r="H1554" s="1">
        <v>-3.159461E-6</v>
      </c>
      <c r="I1554">
        <v>304.85500000000002</v>
      </c>
      <c r="J1554">
        <v>-190.42740000000001</v>
      </c>
      <c r="K1554">
        <v>1.109836</v>
      </c>
      <c r="L1554">
        <v>319.9049</v>
      </c>
      <c r="M1554">
        <v>1.754178E-2</v>
      </c>
      <c r="N1554">
        <v>0</v>
      </c>
      <c r="O1554">
        <v>-0.99975230000000004</v>
      </c>
      <c r="P1554">
        <v>-0.14260429999999999</v>
      </c>
      <c r="Q1554">
        <v>0.15416469999999999</v>
      </c>
      <c r="R1554">
        <v>-0.97770020000000002</v>
      </c>
      <c r="S1554">
        <v>-0.58343509999999998</v>
      </c>
      <c r="T1554">
        <v>-0.2192422</v>
      </c>
      <c r="U1554">
        <v>-3.0183409999999999</v>
      </c>
      <c r="V1554">
        <v>0.15992219999999999</v>
      </c>
      <c r="W1554">
        <v>0.16732330000000001</v>
      </c>
      <c r="X1554">
        <v>0.97284519999999997</v>
      </c>
      <c r="Y1554">
        <v>0.20649960000000001</v>
      </c>
      <c r="Z1554">
        <v>7.0994559999999998E-2</v>
      </c>
      <c r="AA1554">
        <v>0.9758677</v>
      </c>
      <c r="AB1554">
        <v>23</v>
      </c>
      <c r="AC1554">
        <v>-2.9566999999999801</v>
      </c>
      <c r="AD1554">
        <v>-1.109839159461</v>
      </c>
      <c r="AE1554">
        <v>-15.0498999999999</v>
      </c>
      <c r="AF1554">
        <v>3.2034980130688102</v>
      </c>
      <c r="AG1554">
        <v>-1.109839159461</v>
      </c>
      <c r="AH1554">
        <v>14.9176034858791</v>
      </c>
      <c r="AI1554">
        <v>94.160346525228405</v>
      </c>
      <c r="AJ1554">
        <v>77.880022114784893</v>
      </c>
      <c r="AK1554">
        <v>15.2980075905825</v>
      </c>
      <c r="AL1554">
        <v>80.367773529756604</v>
      </c>
      <c r="AM1554">
        <v>80.6648615511115</v>
      </c>
      <c r="AN1554">
        <v>0.999999989969384</v>
      </c>
    </row>
    <row r="1555" spans="1:40" x14ac:dyDescent="0.25">
      <c r="A1555" t="str">
        <f>"20190312172921437"</f>
        <v>20190312172921437</v>
      </c>
      <c r="B1555" t="str">
        <f>"1552382961428852"</f>
        <v>1552382961428852</v>
      </c>
      <c r="C1555" t="s">
        <v>40</v>
      </c>
      <c r="D1555">
        <v>3.806362</v>
      </c>
      <c r="E1555">
        <v>0.51886889999999997</v>
      </c>
      <c r="F1555" t="s">
        <v>41</v>
      </c>
      <c r="G1555">
        <v>-193.44450000000001</v>
      </c>
      <c r="H1555" s="1">
        <v>-3.0359290000000002E-6</v>
      </c>
      <c r="I1555">
        <v>304.52949999999998</v>
      </c>
      <c r="J1555">
        <v>-190.42429999999999</v>
      </c>
      <c r="K1555">
        <v>1.1098410000000001</v>
      </c>
      <c r="L1555">
        <v>319.6807</v>
      </c>
      <c r="M1555">
        <v>1.6819790000000001E-2</v>
      </c>
      <c r="N1555">
        <v>0</v>
      </c>
      <c r="O1555">
        <v>-0.99976500000000001</v>
      </c>
      <c r="P1555">
        <v>-0.1454366</v>
      </c>
      <c r="Q1555">
        <v>0.15495970000000001</v>
      </c>
      <c r="R1555">
        <v>-0.97715719999999995</v>
      </c>
      <c r="S1555">
        <v>-0.59193419999999997</v>
      </c>
      <c r="T1555">
        <v>-0.2177356</v>
      </c>
      <c r="U1555">
        <v>-3.0164490000000002</v>
      </c>
      <c r="V1555">
        <v>0.1620412</v>
      </c>
      <c r="W1555">
        <v>0.1681079</v>
      </c>
      <c r="X1555">
        <v>0.97235919999999998</v>
      </c>
      <c r="Y1555">
        <v>0.2085622</v>
      </c>
      <c r="Z1555">
        <v>7.0519390000000001E-2</v>
      </c>
      <c r="AA1555">
        <v>0.97546339999999998</v>
      </c>
      <c r="AB1555">
        <v>23</v>
      </c>
      <c r="AC1555">
        <v>-3.0202000000000102</v>
      </c>
      <c r="AD1555">
        <v>-1.1098440359289901</v>
      </c>
      <c r="AE1555">
        <v>-15.151199999999999</v>
      </c>
      <c r="AF1555">
        <v>3.25782392236514</v>
      </c>
      <c r="AG1555">
        <v>-1.1098440359289901</v>
      </c>
      <c r="AH1555">
        <v>15.020735164763099</v>
      </c>
      <c r="AI1555">
        <v>94.130080525325596</v>
      </c>
      <c r="AJ1555">
        <v>77.762740584304893</v>
      </c>
      <c r="AK1555">
        <v>15.409985573749699</v>
      </c>
      <c r="AL1555">
        <v>80.322173598436194</v>
      </c>
      <c r="AM1555">
        <v>80.538747991627005</v>
      </c>
      <c r="AN1555">
        <v>1.0000000151822399</v>
      </c>
    </row>
    <row r="1556" spans="1:40" x14ac:dyDescent="0.25">
      <c r="A1556" t="str">
        <f>"20190312172921461"</f>
        <v>20190312172921461</v>
      </c>
      <c r="B1556" t="str">
        <f>"1552382961449348"</f>
        <v>1552382961449348</v>
      </c>
      <c r="C1556" t="s">
        <v>40</v>
      </c>
      <c r="D1556">
        <v>3.8486660000000001</v>
      </c>
      <c r="E1556">
        <v>0.51882249999999996</v>
      </c>
      <c r="F1556" t="s">
        <v>41</v>
      </c>
      <c r="G1556">
        <v>-193.53819999999999</v>
      </c>
      <c r="H1556" s="1">
        <v>-2.848311E-6</v>
      </c>
      <c r="I1556">
        <v>304.03410000000002</v>
      </c>
      <c r="J1556">
        <v>-190.4212</v>
      </c>
      <c r="K1556">
        <v>1.109845</v>
      </c>
      <c r="L1556">
        <v>319.44420000000002</v>
      </c>
      <c r="M1556">
        <v>1.6058719999999999E-2</v>
      </c>
      <c r="N1556">
        <v>0</v>
      </c>
      <c r="O1556">
        <v>-0.99977760000000004</v>
      </c>
      <c r="P1556">
        <v>-0.14885290000000001</v>
      </c>
      <c r="Q1556">
        <v>0.15585399999999999</v>
      </c>
      <c r="R1556">
        <v>-0.97650029999999999</v>
      </c>
      <c r="S1556">
        <v>-0.59997559999999905</v>
      </c>
      <c r="T1556">
        <v>-0.21384010000000001</v>
      </c>
      <c r="U1556">
        <v>-3.0147089999999999</v>
      </c>
      <c r="V1556">
        <v>0.16470499999999999</v>
      </c>
      <c r="W1556">
        <v>0.16898959999999999</v>
      </c>
      <c r="X1556">
        <v>0.97175860000000003</v>
      </c>
      <c r="Y1556">
        <v>0.21044489999999999</v>
      </c>
      <c r="Z1556">
        <v>6.9272509999999995E-2</v>
      </c>
      <c r="AA1556">
        <v>0.97514829999999997</v>
      </c>
      <c r="AB1556">
        <v>23</v>
      </c>
      <c r="AC1556">
        <v>-3.1169999999999898</v>
      </c>
      <c r="AD1556">
        <v>-1.1098478483109999</v>
      </c>
      <c r="AE1556">
        <v>-15.4101</v>
      </c>
      <c r="AF1556">
        <v>3.3474070586457501</v>
      </c>
      <c r="AG1556">
        <v>-1.1098478483109999</v>
      </c>
      <c r="AH1556">
        <v>15.281901222549999</v>
      </c>
      <c r="AI1556">
        <v>94.057935509546994</v>
      </c>
      <c r="AJ1556">
        <v>77.644844124944001</v>
      </c>
      <c r="AK1556">
        <v>15.6835391808879</v>
      </c>
      <c r="AL1556">
        <v>80.270922522034198</v>
      </c>
      <c r="AM1556">
        <v>80.380263457422899</v>
      </c>
      <c r="AN1556">
        <v>0.99999999930355998</v>
      </c>
    </row>
    <row r="1557" spans="1:40" x14ac:dyDescent="0.25">
      <c r="A1557" t="str">
        <f>"20190312172921482"</f>
        <v>20190312172921482</v>
      </c>
      <c r="B1557" t="str">
        <f>"1552382961478628"</f>
        <v>1552382961478628</v>
      </c>
      <c r="C1557" t="s">
        <v>40</v>
      </c>
      <c r="D1557">
        <v>3.8553229999999998</v>
      </c>
      <c r="E1557">
        <v>0.54378549999999903</v>
      </c>
      <c r="F1557" t="s">
        <v>41</v>
      </c>
      <c r="G1557">
        <v>-193.63759999999999</v>
      </c>
      <c r="H1557" s="1">
        <v>-2.668203E-6</v>
      </c>
      <c r="I1557">
        <v>303.55259999999998</v>
      </c>
      <c r="J1557">
        <v>-190.41849999999999</v>
      </c>
      <c r="K1557">
        <v>1.109847</v>
      </c>
      <c r="L1557">
        <v>319.22210000000001</v>
      </c>
      <c r="M1557">
        <v>1.5343890000000001E-2</v>
      </c>
      <c r="N1557">
        <v>0</v>
      </c>
      <c r="O1557">
        <v>-0.99978880000000003</v>
      </c>
      <c r="P1557">
        <v>-0.15242120000000001</v>
      </c>
      <c r="Q1557">
        <v>0.1565936</v>
      </c>
      <c r="R1557">
        <v>-0.97583120000000001</v>
      </c>
      <c r="S1557">
        <v>-0.60978699999999997</v>
      </c>
      <c r="T1557">
        <v>-0.2104133</v>
      </c>
      <c r="U1557">
        <v>-3.012848</v>
      </c>
      <c r="V1557">
        <v>0.16756660000000001</v>
      </c>
      <c r="W1557">
        <v>0.16971559999999999</v>
      </c>
      <c r="X1557">
        <v>0.97114259999999997</v>
      </c>
      <c r="Y1557">
        <v>0.21292829999999999</v>
      </c>
      <c r="Z1557">
        <v>6.8169930000000004E-2</v>
      </c>
      <c r="AA1557">
        <v>0.97468679999999996</v>
      </c>
      <c r="AB1557">
        <v>23</v>
      </c>
      <c r="AC1557">
        <v>-3.2190999999999899</v>
      </c>
      <c r="AD1557">
        <v>-1.1098496682029999</v>
      </c>
      <c r="AE1557">
        <v>-15.669499999999999</v>
      </c>
      <c r="AF1557">
        <v>3.4426033921318999</v>
      </c>
      <c r="AG1557">
        <v>-1.1098496682029999</v>
      </c>
      <c r="AH1557">
        <v>15.5434377916856</v>
      </c>
      <c r="AI1557">
        <v>93.987847865970906</v>
      </c>
      <c r="AJ1557">
        <v>77.511573266638493</v>
      </c>
      <c r="AK1557">
        <v>15.9587512915493</v>
      </c>
      <c r="AL1557">
        <v>80.228715648846403</v>
      </c>
      <c r="AM1557">
        <v>80.210246709183807</v>
      </c>
      <c r="AN1557">
        <v>0.99999994992683805</v>
      </c>
    </row>
    <row r="1558" spans="1:40" x14ac:dyDescent="0.25">
      <c r="A1558" t="str">
        <f>"20190312172921504"</f>
        <v>20190312172921504</v>
      </c>
      <c r="B1558" t="str">
        <f>"1552382961499124"</f>
        <v>1552382961499124</v>
      </c>
      <c r="C1558" t="s">
        <v>40</v>
      </c>
      <c r="D1558">
        <v>3.8405680000000002</v>
      </c>
      <c r="E1558">
        <v>0.54657449999999996</v>
      </c>
      <c r="F1558" t="s">
        <v>41</v>
      </c>
      <c r="G1558">
        <v>-195.0342</v>
      </c>
      <c r="H1558" s="1">
        <v>-2.542989E-6</v>
      </c>
      <c r="I1558">
        <v>302.39449999999999</v>
      </c>
      <c r="J1558">
        <v>-190.416</v>
      </c>
      <c r="K1558">
        <v>1.1098490000000001</v>
      </c>
      <c r="L1558">
        <v>319.01</v>
      </c>
      <c r="M1558">
        <v>1.466102E-2</v>
      </c>
      <c r="N1558">
        <v>0</v>
      </c>
      <c r="O1558">
        <v>-0.99979879999999999</v>
      </c>
      <c r="P1558">
        <v>-0.1557578</v>
      </c>
      <c r="Q1558">
        <v>0.15712000000000001</v>
      </c>
      <c r="R1558">
        <v>-0.97521939999999996</v>
      </c>
      <c r="S1558">
        <v>-0.81690980000000002</v>
      </c>
      <c r="T1558">
        <v>-0.19642560000000001</v>
      </c>
      <c r="U1558">
        <v>-2.9782099999999998</v>
      </c>
      <c r="V1558">
        <v>0.17022909999999999</v>
      </c>
      <c r="W1558">
        <v>0.17022970000000001</v>
      </c>
      <c r="X1558">
        <v>0.97058949999999999</v>
      </c>
      <c r="Y1558">
        <v>0.27810469999999998</v>
      </c>
      <c r="Z1558">
        <v>6.3337619999999997E-2</v>
      </c>
      <c r="AA1558">
        <v>0.95846030000000004</v>
      </c>
      <c r="AB1558">
        <v>22</v>
      </c>
      <c r="AC1558">
        <v>-4.6181999999999999</v>
      </c>
      <c r="AD1558">
        <v>-1.1098515429889999</v>
      </c>
      <c r="AE1558">
        <v>-16.615499999999901</v>
      </c>
      <c r="AF1558">
        <v>4.84127515451177</v>
      </c>
      <c r="AG1558">
        <v>-1.1098515429889999</v>
      </c>
      <c r="AH1558">
        <v>16.477753077528298</v>
      </c>
      <c r="AI1558">
        <v>93.697487341445196</v>
      </c>
      <c r="AJ1558">
        <v>73.626855653495099</v>
      </c>
      <c r="AK1558">
        <v>17.210057003193299</v>
      </c>
      <c r="AL1558">
        <v>80.198825806045093</v>
      </c>
      <c r="AM1558">
        <v>80.052223035431496</v>
      </c>
      <c r="AN1558">
        <v>1.0000000373795701</v>
      </c>
    </row>
    <row r="1559" spans="1:40" x14ac:dyDescent="0.25">
      <c r="A1559" t="str">
        <f>"20190312172921528"</f>
        <v>20190312172921528</v>
      </c>
      <c r="B1559" t="str">
        <f>"1552382961518644"</f>
        <v>1552382961518644</v>
      </c>
      <c r="C1559" t="s">
        <v>40</v>
      </c>
      <c r="D1559">
        <v>3.8313489999999999</v>
      </c>
      <c r="E1559">
        <v>0.54791990000000002</v>
      </c>
      <c r="F1559" t="s">
        <v>41</v>
      </c>
      <c r="G1559">
        <v>-195.34370000000001</v>
      </c>
      <c r="H1559" s="1">
        <v>-2.3498579999999998E-6</v>
      </c>
      <c r="I1559">
        <v>301.75240000000002</v>
      </c>
      <c r="J1559">
        <v>-190.4135</v>
      </c>
      <c r="K1559">
        <v>1.109847</v>
      </c>
      <c r="L1559">
        <v>318.76639999999998</v>
      </c>
      <c r="M1559">
        <v>1.387624E-2</v>
      </c>
      <c r="N1559">
        <v>0</v>
      </c>
      <c r="O1559">
        <v>-0.99981050000000005</v>
      </c>
      <c r="P1559">
        <v>-0.16096299999999999</v>
      </c>
      <c r="Q1559">
        <v>0.15661369999999999</v>
      </c>
      <c r="R1559">
        <v>-0.97445559999999998</v>
      </c>
      <c r="S1559">
        <v>-0.84846499999999903</v>
      </c>
      <c r="T1559">
        <v>-0.19109950000000001</v>
      </c>
      <c r="U1559">
        <v>-2.9714969999999998</v>
      </c>
      <c r="V1559">
        <v>0.17465839999999999</v>
      </c>
      <c r="W1559">
        <v>0.1697072</v>
      </c>
      <c r="X1559">
        <v>0.96989380000000003</v>
      </c>
      <c r="Y1559">
        <v>0.28735729999999998</v>
      </c>
      <c r="Z1559">
        <v>6.15896999999999E-2</v>
      </c>
      <c r="AA1559">
        <v>0.95584119999999995</v>
      </c>
      <c r="AB1559">
        <v>22</v>
      </c>
      <c r="AC1559">
        <v>-4.9302000000000099</v>
      </c>
      <c r="AD1559">
        <v>-1.109849349858</v>
      </c>
      <c r="AE1559">
        <v>-17.0139999999999</v>
      </c>
      <c r="AF1559">
        <v>5.1456382200522697</v>
      </c>
      <c r="AG1559">
        <v>-1.109849349858</v>
      </c>
      <c r="AH1559">
        <v>16.8776886640958</v>
      </c>
      <c r="AI1559">
        <v>93.599164044836101</v>
      </c>
      <c r="AJ1559">
        <v>73.044682499426699</v>
      </c>
      <c r="AK1559">
        <v>17.6795286394516</v>
      </c>
      <c r="AL1559">
        <v>80.229204875436494</v>
      </c>
      <c r="AM1559">
        <v>79.791590848009406</v>
      </c>
      <c r="AN1559">
        <v>1.0000000368504101</v>
      </c>
    </row>
    <row r="1560" spans="1:40" x14ac:dyDescent="0.25">
      <c r="A1560" t="str">
        <f>"20190312172921560"</f>
        <v>20190312172921560</v>
      </c>
      <c r="B1560" t="str">
        <f>"1552382961548903"</f>
        <v>1552382961548903</v>
      </c>
      <c r="C1560" t="s">
        <v>40</v>
      </c>
      <c r="D1560">
        <v>3.8375330000000001</v>
      </c>
      <c r="E1560">
        <v>0.54891679999999998</v>
      </c>
      <c r="F1560" t="s">
        <v>41</v>
      </c>
      <c r="G1560">
        <v>-195.48820000000001</v>
      </c>
      <c r="H1560" s="1">
        <v>-2.3051350000000001E-6</v>
      </c>
      <c r="I1560">
        <v>301.55849999999998</v>
      </c>
      <c r="J1560">
        <v>-190.4102</v>
      </c>
      <c r="K1560">
        <v>1.109831</v>
      </c>
      <c r="L1560">
        <v>318.4357</v>
      </c>
      <c r="M1560">
        <v>1.281125E-2</v>
      </c>
      <c r="N1560">
        <v>0</v>
      </c>
      <c r="O1560">
        <v>-0.9998245</v>
      </c>
      <c r="P1560">
        <v>-0.16659489999999999</v>
      </c>
      <c r="Q1560">
        <v>0.15379670000000001</v>
      </c>
      <c r="R1560">
        <v>-0.97395759999999998</v>
      </c>
      <c r="S1560">
        <v>-0.8743744</v>
      </c>
      <c r="T1560">
        <v>-0.19122639999999999</v>
      </c>
      <c r="U1560">
        <v>-2.9649049999999999</v>
      </c>
      <c r="V1560">
        <v>0.17924399999999999</v>
      </c>
      <c r="W1560">
        <v>0.16687759999999999</v>
      </c>
      <c r="X1560">
        <v>0.96954799999999997</v>
      </c>
      <c r="Y1560">
        <v>0.29459190000000002</v>
      </c>
      <c r="Z1560">
        <v>6.1620210000000002E-2</v>
      </c>
      <c r="AA1560">
        <v>0.95363439999999999</v>
      </c>
      <c r="AB1560">
        <v>22</v>
      </c>
      <c r="AC1560">
        <v>-5.0780000000000003</v>
      </c>
      <c r="AD1560">
        <v>-1.109833305135</v>
      </c>
      <c r="AE1560">
        <v>-16.877199999999998</v>
      </c>
      <c r="AF1560">
        <v>5.2729126516992304</v>
      </c>
      <c r="AG1560">
        <v>-1.109833305135</v>
      </c>
      <c r="AH1560">
        <v>16.7443564099597</v>
      </c>
      <c r="AI1560">
        <v>93.617450676564204</v>
      </c>
      <c r="AJ1560">
        <v>72.520427766380095</v>
      </c>
      <c r="AK1560">
        <v>17.590020164325999</v>
      </c>
      <c r="AL1560">
        <v>80.393673892202401</v>
      </c>
      <c r="AM1560">
        <v>79.525774775525605</v>
      </c>
      <c r="AN1560">
        <v>0.99999993461087699</v>
      </c>
    </row>
    <row r="1561" spans="1:40" x14ac:dyDescent="0.25">
      <c r="A1561" t="str">
        <f>"20190312172921582"</f>
        <v>20190312172921582</v>
      </c>
      <c r="B1561" t="str">
        <f>"1552382961579156"</f>
        <v>1552382961579156</v>
      </c>
      <c r="C1561" t="s">
        <v>40</v>
      </c>
      <c r="D1561">
        <v>3.8183470000000002</v>
      </c>
      <c r="E1561">
        <v>0.54952159999999906</v>
      </c>
      <c r="F1561" t="s">
        <v>41</v>
      </c>
      <c r="G1561">
        <v>-195.2578</v>
      </c>
      <c r="H1561" s="1">
        <v>-2.636061E-6</v>
      </c>
      <c r="I1561">
        <v>302.47280000000001</v>
      </c>
      <c r="J1561">
        <v>-190.4083</v>
      </c>
      <c r="K1561">
        <v>1.1098220000000001</v>
      </c>
      <c r="L1561">
        <v>318.22359999999998</v>
      </c>
      <c r="M1561">
        <v>1.212658E-2</v>
      </c>
      <c r="N1561">
        <v>0</v>
      </c>
      <c r="O1561">
        <v>-0.99983290000000002</v>
      </c>
      <c r="P1561">
        <v>-0.17062439999999901</v>
      </c>
      <c r="Q1561">
        <v>0.15246609999999999</v>
      </c>
      <c r="R1561">
        <v>-0.97346860000000002</v>
      </c>
      <c r="S1561">
        <v>-0.89860529999999905</v>
      </c>
      <c r="T1561">
        <v>-0.20573060000000001</v>
      </c>
      <c r="U1561">
        <v>-2.9590450000000001</v>
      </c>
      <c r="V1561">
        <v>0.18260019999999999</v>
      </c>
      <c r="W1561">
        <v>0.16553609999999999</v>
      </c>
      <c r="X1561">
        <v>0.96915169999999995</v>
      </c>
      <c r="Y1561">
        <v>0.3015215</v>
      </c>
      <c r="Z1561">
        <v>6.6250039999999996E-2</v>
      </c>
      <c r="AA1561">
        <v>0.95115490000000003</v>
      </c>
      <c r="AB1561">
        <v>22</v>
      </c>
      <c r="AC1561">
        <v>-4.8494999999999999</v>
      </c>
      <c r="AD1561">
        <v>-1.10982463606099</v>
      </c>
      <c r="AE1561">
        <v>-15.7507999999999</v>
      </c>
      <c r="AF1561">
        <v>5.0174109622875704</v>
      </c>
      <c r="AG1561">
        <v>-1.10982463606099</v>
      </c>
      <c r="AH1561">
        <v>15.619992736435901</v>
      </c>
      <c r="AI1561">
        <v>93.870006715825994</v>
      </c>
      <c r="AJ1561">
        <v>72.192086287740807</v>
      </c>
      <c r="AK1561">
        <v>16.443548782838899</v>
      </c>
      <c r="AL1561">
        <v>80.471621230766004</v>
      </c>
      <c r="AM1561">
        <v>79.329851718614407</v>
      </c>
      <c r="AN1561">
        <v>1.0000000255280601</v>
      </c>
    </row>
    <row r="1562" spans="1:40" x14ac:dyDescent="0.25">
      <c r="A1562" t="str">
        <f>"20190312172921605"</f>
        <v>20190312172921605</v>
      </c>
      <c r="B1562" t="str">
        <f>"1552382961598676"</f>
        <v>1552382961598676</v>
      </c>
      <c r="C1562" t="s">
        <v>40</v>
      </c>
      <c r="D1562">
        <v>3.7988780000000002</v>
      </c>
      <c r="E1562">
        <v>0.54958669999999898</v>
      </c>
      <c r="F1562" t="s">
        <v>41</v>
      </c>
      <c r="G1562">
        <v>-195.10130000000001</v>
      </c>
      <c r="H1562" s="1">
        <v>-2.8507679999999998E-6</v>
      </c>
      <c r="I1562">
        <v>303.07029999999997</v>
      </c>
      <c r="J1562">
        <v>-190.40639999999999</v>
      </c>
      <c r="K1562">
        <v>1.1098140000000001</v>
      </c>
      <c r="L1562">
        <v>317.99990000000003</v>
      </c>
      <c r="M1562">
        <v>1.139944E-2</v>
      </c>
      <c r="N1562">
        <v>0</v>
      </c>
      <c r="O1562">
        <v>-0.99984150000000005</v>
      </c>
      <c r="P1562">
        <v>-0.17446679999999901</v>
      </c>
      <c r="Q1562">
        <v>0.15131610000000001</v>
      </c>
      <c r="R1562">
        <v>-0.97296709999999997</v>
      </c>
      <c r="S1562">
        <v>-0.91525270000000003</v>
      </c>
      <c r="T1562">
        <v>-0.21644179999999999</v>
      </c>
      <c r="U1562">
        <v>-2.9552309999999999</v>
      </c>
      <c r="V1562">
        <v>0.18572939999999999</v>
      </c>
      <c r="W1562">
        <v>0.16437399999999999</v>
      </c>
      <c r="X1562">
        <v>0.96875480000000003</v>
      </c>
      <c r="Y1562">
        <v>0.30599419999999999</v>
      </c>
      <c r="Z1562">
        <v>6.966174E-2</v>
      </c>
      <c r="AA1562">
        <v>0.94948140000000003</v>
      </c>
      <c r="AB1562">
        <v>22</v>
      </c>
      <c r="AC1562">
        <v>-4.6949000000000103</v>
      </c>
      <c r="AD1562">
        <v>-1.109816850768</v>
      </c>
      <c r="AE1562">
        <v>-14.929600000000001</v>
      </c>
      <c r="AF1562">
        <v>4.8404588948110696</v>
      </c>
      <c r="AG1562">
        <v>-1.109816850768</v>
      </c>
      <c r="AH1562">
        <v>14.800678040038701</v>
      </c>
      <c r="AI1562">
        <v>94.076554292263197</v>
      </c>
      <c r="AJ1562">
        <v>71.890026951106805</v>
      </c>
      <c r="AK1562">
        <v>15.611592045639901</v>
      </c>
      <c r="AL1562">
        <v>80.539129607143806</v>
      </c>
      <c r="AM1562">
        <v>79.146963321143105</v>
      </c>
      <c r="AN1562">
        <v>1.0000000422116899</v>
      </c>
    </row>
    <row r="1563" spans="1:40" x14ac:dyDescent="0.25">
      <c r="A1563" t="str">
        <f>"20190312172921626"</f>
        <v>20190312172921626</v>
      </c>
      <c r="B1563" t="str">
        <f>"1552382961619172"</f>
        <v>1552382961619172</v>
      </c>
      <c r="C1563" t="s">
        <v>40</v>
      </c>
      <c r="D1563">
        <v>3.8052009999999998</v>
      </c>
      <c r="E1563">
        <v>0.54964230000000003</v>
      </c>
      <c r="F1563" t="s">
        <v>41</v>
      </c>
      <c r="G1563">
        <v>-195.04169999999999</v>
      </c>
      <c r="H1563" s="1">
        <v>-2.9093389999999998E-6</v>
      </c>
      <c r="I1563">
        <v>303.2439</v>
      </c>
      <c r="J1563">
        <v>-190.40479999999999</v>
      </c>
      <c r="K1563">
        <v>1.109807</v>
      </c>
      <c r="L1563">
        <v>317.77890000000002</v>
      </c>
      <c r="M1563">
        <v>1.0667930000000001E-2</v>
      </c>
      <c r="N1563">
        <v>0</v>
      </c>
      <c r="O1563">
        <v>-0.99984980000000001</v>
      </c>
      <c r="P1563">
        <v>-0.17804800000000001</v>
      </c>
      <c r="Q1563">
        <v>0.1505533</v>
      </c>
      <c r="R1563">
        <v>-0.97243650000000004</v>
      </c>
      <c r="S1563">
        <v>-0.92716980000000004</v>
      </c>
      <c r="T1563">
        <v>-0.2219931</v>
      </c>
      <c r="U1563">
        <v>-2.9515989999999999</v>
      </c>
      <c r="V1563">
        <v>0.18859590000000001</v>
      </c>
      <c r="W1563">
        <v>0.16359689999999999</v>
      </c>
      <c r="X1563">
        <v>0.96833239999999998</v>
      </c>
      <c r="Y1563">
        <v>0.30908170000000001</v>
      </c>
      <c r="Z1563">
        <v>7.1445049999999996E-2</v>
      </c>
      <c r="AA1563">
        <v>0.94834810000000003</v>
      </c>
      <c r="AB1563">
        <v>22</v>
      </c>
      <c r="AC1563">
        <v>-4.63689999999999</v>
      </c>
      <c r="AD1563">
        <v>-1.1098099093389999</v>
      </c>
      <c r="AE1563">
        <v>-14.535</v>
      </c>
      <c r="AF1563">
        <v>4.7664872370756299</v>
      </c>
      <c r="AG1563">
        <v>-1.1098099093389999</v>
      </c>
      <c r="AH1563">
        <v>14.408460190166901</v>
      </c>
      <c r="AI1563">
        <v>94.182443667442897</v>
      </c>
      <c r="AJ1563">
        <v>71.695180350286705</v>
      </c>
      <c r="AK1563">
        <v>15.2169249083938</v>
      </c>
      <c r="AL1563">
        <v>80.584264748030094</v>
      </c>
      <c r="AM1563">
        <v>78.978840367754302</v>
      </c>
      <c r="AN1563">
        <v>0.99999999803809003</v>
      </c>
    </row>
    <row r="1564" spans="1:40" x14ac:dyDescent="0.25">
      <c r="A1564" t="str">
        <f>"20190312172921651"</f>
        <v>20190312172921651</v>
      </c>
      <c r="B1564" t="str">
        <f>"1552382961638692"</f>
        <v>1552382961638692</v>
      </c>
      <c r="C1564" t="s">
        <v>40</v>
      </c>
      <c r="D1564">
        <v>3.8192729999999999</v>
      </c>
      <c r="E1564">
        <v>0.54970430000000003</v>
      </c>
      <c r="F1564" t="s">
        <v>41</v>
      </c>
      <c r="G1564">
        <v>-195.0034</v>
      </c>
      <c r="H1564" s="1">
        <v>-2.936411E-6</v>
      </c>
      <c r="I1564">
        <v>303.33069999999998</v>
      </c>
      <c r="J1564">
        <v>-190.4032</v>
      </c>
      <c r="K1564">
        <v>1.1097900000000001</v>
      </c>
      <c r="L1564">
        <v>317.53989999999999</v>
      </c>
      <c r="M1564">
        <v>9.8590210000000008E-3</v>
      </c>
      <c r="N1564">
        <v>0</v>
      </c>
      <c r="O1564">
        <v>-0.99985809999999997</v>
      </c>
      <c r="P1564">
        <v>-0.1812154</v>
      </c>
      <c r="Q1564">
        <v>0.1502356</v>
      </c>
      <c r="R1564">
        <v>-0.97190049999999995</v>
      </c>
      <c r="S1564">
        <v>-0.93840029999999997</v>
      </c>
      <c r="T1564">
        <v>-0.22646820000000001</v>
      </c>
      <c r="U1564">
        <v>-2.9483030000000001</v>
      </c>
      <c r="V1564">
        <v>0.1909766</v>
      </c>
      <c r="W1564">
        <v>0.16326379999999999</v>
      </c>
      <c r="X1564">
        <v>0.9679219</v>
      </c>
      <c r="Y1564">
        <v>0.31186639999999999</v>
      </c>
      <c r="Z1564">
        <v>7.2880890000000004E-2</v>
      </c>
      <c r="AA1564">
        <v>0.94732660000000002</v>
      </c>
      <c r="AB1564">
        <v>22</v>
      </c>
      <c r="AC1564">
        <v>-4.6002000000000001</v>
      </c>
      <c r="AD1564">
        <v>-1.109792936411</v>
      </c>
      <c r="AE1564">
        <v>-14.209199999999999</v>
      </c>
      <c r="AF1564">
        <v>4.7140496949282902</v>
      </c>
      <c r="AG1564">
        <v>-1.109792936411</v>
      </c>
      <c r="AH1564">
        <v>14.085379360174899</v>
      </c>
      <c r="AI1564">
        <v>94.273028164352198</v>
      </c>
      <c r="AJ1564">
        <v>71.495801634027501</v>
      </c>
      <c r="AK1564">
        <v>14.894690886621399</v>
      </c>
      <c r="AL1564">
        <v>80.603609781370395</v>
      </c>
      <c r="AM1564">
        <v>78.838573535355906</v>
      </c>
      <c r="AN1564">
        <v>0.99999996731880403</v>
      </c>
    </row>
    <row r="1565" spans="1:40" x14ac:dyDescent="0.25">
      <c r="A1565" t="str">
        <f>"20190312172921671"</f>
        <v>20190312172921671</v>
      </c>
      <c r="B1565" t="str">
        <f>"1552382961668948"</f>
        <v>1552382961668948</v>
      </c>
      <c r="C1565" t="s">
        <v>40</v>
      </c>
      <c r="D1565">
        <v>3.8178209999999999</v>
      </c>
      <c r="E1565">
        <v>0.54968919999999999</v>
      </c>
      <c r="F1565" t="s">
        <v>41</v>
      </c>
      <c r="G1565">
        <v>-195.03110000000001</v>
      </c>
      <c r="H1565" s="1">
        <v>-2.8753370000000002E-6</v>
      </c>
      <c r="I1565">
        <v>303.1712</v>
      </c>
      <c r="J1565">
        <v>-190.40199999999999</v>
      </c>
      <c r="K1565">
        <v>1.109785</v>
      </c>
      <c r="L1565">
        <v>317.33330000000001</v>
      </c>
      <c r="M1565">
        <v>9.1374830000000001E-3</v>
      </c>
      <c r="N1565">
        <v>0</v>
      </c>
      <c r="O1565">
        <v>-0.99986509999999995</v>
      </c>
      <c r="P1565">
        <v>-0.18401770000000001</v>
      </c>
      <c r="Q1565">
        <v>0.15027219999999999</v>
      </c>
      <c r="R1565">
        <v>-0.97136829999999996</v>
      </c>
      <c r="S1565">
        <v>-0.94853209999999999</v>
      </c>
      <c r="T1565">
        <v>-0.22746620000000001</v>
      </c>
      <c r="U1565">
        <v>-2.9450379999999998</v>
      </c>
      <c r="V1565">
        <v>0.19307959999999999</v>
      </c>
      <c r="W1565">
        <v>0.1632836</v>
      </c>
      <c r="X1565">
        <v>0.96750130000000001</v>
      </c>
      <c r="Y1565">
        <v>0.31443169999999998</v>
      </c>
      <c r="Z1565">
        <v>7.3208850000000006E-2</v>
      </c>
      <c r="AA1565">
        <v>0.94645299999999999</v>
      </c>
      <c r="AB1565">
        <v>22</v>
      </c>
      <c r="AC1565">
        <v>-4.6290999999999896</v>
      </c>
      <c r="AD1565">
        <v>-1.1097878753370001</v>
      </c>
      <c r="AE1565">
        <v>-14.162100000000001</v>
      </c>
      <c r="AF1565">
        <v>4.7320710040411802</v>
      </c>
      <c r="AG1565">
        <v>-1.1097878753370001</v>
      </c>
      <c r="AH1565">
        <v>14.0413047027017</v>
      </c>
      <c r="AI1565">
        <v>94.283364487410594</v>
      </c>
      <c r="AJ1565">
        <v>71.375629057712203</v>
      </c>
      <c r="AK1565">
        <v>14.8587470154669</v>
      </c>
      <c r="AL1565">
        <v>80.602460353450397</v>
      </c>
      <c r="AM1565">
        <v>78.714023026120699</v>
      </c>
      <c r="AN1565">
        <v>1.0000000157333999</v>
      </c>
    </row>
    <row r="1566" spans="1:40" x14ac:dyDescent="0.25">
      <c r="A1566" t="str">
        <f>"20190312172921694"</f>
        <v>20190312172921694</v>
      </c>
      <c r="B1566" t="str">
        <f>"1552382961688468"</f>
        <v>1552382961688468</v>
      </c>
      <c r="C1566" t="s">
        <v>40</v>
      </c>
      <c r="D1566">
        <v>3.8260230000000002</v>
      </c>
      <c r="E1566">
        <v>0.54962279999999997</v>
      </c>
      <c r="F1566" t="s">
        <v>41</v>
      </c>
      <c r="G1566">
        <v>-195.08090000000001</v>
      </c>
      <c r="H1566" s="1">
        <v>-2.795455E-6</v>
      </c>
      <c r="I1566">
        <v>302.95409999999998</v>
      </c>
      <c r="J1566">
        <v>-190.40100000000001</v>
      </c>
      <c r="K1566">
        <v>1.1097649999999999</v>
      </c>
      <c r="L1566">
        <v>317.11259999999999</v>
      </c>
      <c r="M1566">
        <v>8.3287090000000001E-3</v>
      </c>
      <c r="N1566">
        <v>0</v>
      </c>
      <c r="O1566">
        <v>-0.99987190000000004</v>
      </c>
      <c r="P1566">
        <v>-0.1873002</v>
      </c>
      <c r="Q1566">
        <v>0.15039439999999901</v>
      </c>
      <c r="R1566">
        <v>-0.97072119999999995</v>
      </c>
      <c r="S1566">
        <v>-0.95736690000000002</v>
      </c>
      <c r="T1566">
        <v>-0.2270799</v>
      </c>
      <c r="U1566">
        <v>-2.9422000000000001</v>
      </c>
      <c r="V1566">
        <v>0.19558159999999999</v>
      </c>
      <c r="W1566">
        <v>0.16338279999999999</v>
      </c>
      <c r="X1566">
        <v>0.9669818</v>
      </c>
      <c r="Y1566">
        <v>0.31650450000000002</v>
      </c>
      <c r="Z1566">
        <v>7.3094080000000006E-2</v>
      </c>
      <c r="AA1566">
        <v>0.94577069999999996</v>
      </c>
      <c r="AB1566">
        <v>22</v>
      </c>
      <c r="AC1566">
        <v>-4.6799000000000301</v>
      </c>
      <c r="AD1566">
        <v>-1.10976779545499</v>
      </c>
      <c r="AE1566">
        <v>-14.1585</v>
      </c>
      <c r="AF1566">
        <v>4.7712447616668801</v>
      </c>
      <c r="AG1566">
        <v>-1.10976779545499</v>
      </c>
      <c r="AH1566">
        <v>14.041258995596101</v>
      </c>
      <c r="AI1566">
        <v>94.279686338220301</v>
      </c>
      <c r="AJ1566">
        <v>71.232147857212297</v>
      </c>
      <c r="AK1566">
        <v>14.8712244054406</v>
      </c>
      <c r="AL1566">
        <v>80.596698637198202</v>
      </c>
      <c r="AM1566">
        <v>78.565621579955902</v>
      </c>
      <c r="AN1566">
        <v>0.99999995156281796</v>
      </c>
    </row>
    <row r="1567" spans="1:40" x14ac:dyDescent="0.25">
      <c r="A1567" t="str">
        <f>"20190312172921716"</f>
        <v>20190312172921716</v>
      </c>
      <c r="B1567" t="str">
        <f>"1552382961708964"</f>
        <v>1552382961708964</v>
      </c>
      <c r="C1567" t="s">
        <v>40</v>
      </c>
      <c r="D1567">
        <v>3.8215560000000002</v>
      </c>
      <c r="E1567">
        <v>0.54949409999999999</v>
      </c>
      <c r="F1567" t="s">
        <v>41</v>
      </c>
      <c r="G1567">
        <v>-195.1224</v>
      </c>
      <c r="H1567" s="1">
        <v>-2.721832E-6</v>
      </c>
      <c r="I1567">
        <v>302.75670000000002</v>
      </c>
      <c r="J1567">
        <v>-190.40010000000001</v>
      </c>
      <c r="K1567">
        <v>1.109731</v>
      </c>
      <c r="L1567">
        <v>316.88869999999997</v>
      </c>
      <c r="M1567">
        <v>7.4511619999999999E-3</v>
      </c>
      <c r="N1567">
        <v>0</v>
      </c>
      <c r="O1567">
        <v>-0.99987890000000001</v>
      </c>
      <c r="P1567">
        <v>-0.1905637</v>
      </c>
      <c r="Q1567">
        <v>0.15048549999999999</v>
      </c>
      <c r="R1567">
        <v>-0.97007209999999999</v>
      </c>
      <c r="S1567">
        <v>-0.9666595</v>
      </c>
      <c r="T1567">
        <v>-0.22720989999999999</v>
      </c>
      <c r="U1567">
        <v>-2.9391780000000001</v>
      </c>
      <c r="V1567">
        <v>0.1980034</v>
      </c>
      <c r="W1567">
        <v>0.16344539999999999</v>
      </c>
      <c r="X1567">
        <v>0.96647830000000001</v>
      </c>
      <c r="Y1567">
        <v>0.31865719999999997</v>
      </c>
      <c r="Z1567">
        <v>7.3145639999999998E-2</v>
      </c>
      <c r="AA1567">
        <v>0.94504359999999998</v>
      </c>
      <c r="AB1567">
        <v>22</v>
      </c>
      <c r="AC1567">
        <v>-4.72229999999999</v>
      </c>
      <c r="AD1567">
        <v>-1.109733721832</v>
      </c>
      <c r="AE1567">
        <v>-14.1319999999999</v>
      </c>
      <c r="AF1567">
        <v>4.8008482325266497</v>
      </c>
      <c r="AG1567">
        <v>-1.109733721832</v>
      </c>
      <c r="AH1567">
        <v>14.0186562366898</v>
      </c>
      <c r="AI1567">
        <v>94.282960615623296</v>
      </c>
      <c r="AJ1567">
        <v>71.095648901213394</v>
      </c>
      <c r="AK1567">
        <v>14.8594204250236</v>
      </c>
      <c r="AL1567">
        <v>80.593063745105994</v>
      </c>
      <c r="AM1567">
        <v>78.421965647543701</v>
      </c>
      <c r="AN1567">
        <v>1.0000000247817999</v>
      </c>
    </row>
    <row r="1568" spans="1:40" x14ac:dyDescent="0.25">
      <c r="A1568" t="str">
        <f>"20190312172921741"</f>
        <v>20190312172921741</v>
      </c>
      <c r="B1568" t="str">
        <f>"1552382961729234"</f>
        <v>1552382961729234</v>
      </c>
      <c r="C1568" t="s">
        <v>40</v>
      </c>
      <c r="D1568">
        <v>3.826425</v>
      </c>
      <c r="E1568">
        <v>0.54936309999999999</v>
      </c>
      <c r="F1568" t="s">
        <v>41</v>
      </c>
      <c r="G1568">
        <v>-195.1541</v>
      </c>
      <c r="H1568" s="1">
        <v>-2.6539020000000002E-6</v>
      </c>
      <c r="I1568">
        <v>302.57870000000003</v>
      </c>
      <c r="J1568">
        <v>-190.39949999999999</v>
      </c>
      <c r="K1568">
        <v>1.109677</v>
      </c>
      <c r="L1568">
        <v>316.6454</v>
      </c>
      <c r="M1568">
        <v>6.414566E-3</v>
      </c>
      <c r="N1568">
        <v>0</v>
      </c>
      <c r="O1568">
        <v>-0.99988619999999995</v>
      </c>
      <c r="P1568">
        <v>-0.19376270000000001</v>
      </c>
      <c r="Q1568">
        <v>0.1505822</v>
      </c>
      <c r="R1568">
        <v>-0.96942349999999999</v>
      </c>
      <c r="S1568">
        <v>-0.97546390000000005</v>
      </c>
      <c r="T1568">
        <v>-0.2277044</v>
      </c>
      <c r="U1568">
        <v>-2.9362490000000001</v>
      </c>
      <c r="V1568">
        <v>0.2002148</v>
      </c>
      <c r="W1568">
        <v>0.16350519999999999</v>
      </c>
      <c r="X1568">
        <v>0.96601250000000005</v>
      </c>
      <c r="Y1568">
        <v>0.32050440000000002</v>
      </c>
      <c r="Z1568">
        <v>7.3316909999999999E-2</v>
      </c>
      <c r="AA1568">
        <v>0.94440539999999995</v>
      </c>
      <c r="AB1568">
        <v>22</v>
      </c>
      <c r="AC1568">
        <v>-4.7546000000000097</v>
      </c>
      <c r="AD1568">
        <v>-1.109679653902</v>
      </c>
      <c r="AE1568">
        <v>-14.0666999999999</v>
      </c>
      <c r="AF1568">
        <v>4.81783435719779</v>
      </c>
      <c r="AG1568">
        <v>-1.109679653902</v>
      </c>
      <c r="AH1568">
        <v>13.957952712694601</v>
      </c>
      <c r="AI1568">
        <v>94.297744516701499</v>
      </c>
      <c r="AJ1568">
        <v>70.956979878174494</v>
      </c>
      <c r="AK1568">
        <v>14.807679114483101</v>
      </c>
      <c r="AL1568">
        <v>80.589590818148494</v>
      </c>
      <c r="AM1568">
        <v>78.290717088086794</v>
      </c>
      <c r="AN1568">
        <v>1.0000000333611601</v>
      </c>
    </row>
    <row r="1569" spans="1:40" x14ac:dyDescent="0.25">
      <c r="A1569" t="str">
        <f>"20190312172921763"</f>
        <v>20190312172921763</v>
      </c>
      <c r="B1569" t="str">
        <f>"1552382961758513"</f>
        <v>1552382961758513</v>
      </c>
      <c r="C1569" t="s">
        <v>40</v>
      </c>
      <c r="D1569">
        <v>3.8255129999999999</v>
      </c>
      <c r="E1569">
        <v>0.54918040000000001</v>
      </c>
      <c r="F1569" t="s">
        <v>41</v>
      </c>
      <c r="G1569">
        <v>-195.1831</v>
      </c>
      <c r="H1569" s="1">
        <v>-2.5755129999999999E-6</v>
      </c>
      <c r="I1569">
        <v>302.37799999999999</v>
      </c>
      <c r="J1569">
        <v>-190.39920000000001</v>
      </c>
      <c r="K1569">
        <v>1.1096170000000001</v>
      </c>
      <c r="L1569">
        <v>316.42899999999997</v>
      </c>
      <c r="M1569">
        <v>5.3984380000000002E-3</v>
      </c>
      <c r="N1569">
        <v>0</v>
      </c>
      <c r="O1569">
        <v>-0.99989240000000001</v>
      </c>
      <c r="P1569">
        <v>-0.1966928</v>
      </c>
      <c r="Q1569">
        <v>0.15013879999999999</v>
      </c>
      <c r="R1569">
        <v>-0.96890209999999999</v>
      </c>
      <c r="S1569">
        <v>-0.98353579999999996</v>
      </c>
      <c r="T1569">
        <v>-0.228157</v>
      </c>
      <c r="U1569">
        <v>-2.9334720000000001</v>
      </c>
      <c r="V1569">
        <v>0.20218120000000001</v>
      </c>
      <c r="W1569">
        <v>0.1630239</v>
      </c>
      <c r="X1569">
        <v>0.96568419999999999</v>
      </c>
      <c r="Y1569">
        <v>0.32214340000000002</v>
      </c>
      <c r="Z1569">
        <v>7.3476130000000001E-2</v>
      </c>
      <c r="AA1569">
        <v>0.94383519999999999</v>
      </c>
      <c r="AB1569">
        <v>22</v>
      </c>
      <c r="AC1569">
        <v>-4.7838999999999796</v>
      </c>
      <c r="AD1569">
        <v>-1.1096195755130001</v>
      </c>
      <c r="AE1569">
        <v>-14.051</v>
      </c>
      <c r="AF1569">
        <v>4.8326829444538797</v>
      </c>
      <c r="AG1569">
        <v>-1.1096195755130001</v>
      </c>
      <c r="AH1569">
        <v>13.947023149347499</v>
      </c>
      <c r="AI1569">
        <v>94.299101107559295</v>
      </c>
      <c r="AJ1569">
        <v>70.888654320177096</v>
      </c>
      <c r="AK1569">
        <v>14.8022138470032</v>
      </c>
      <c r="AL1569">
        <v>80.617542022151099</v>
      </c>
      <c r="AM1569">
        <v>78.175030083051297</v>
      </c>
      <c r="AN1569">
        <v>1.00000000186714</v>
      </c>
    </row>
    <row r="1570" spans="1:40" x14ac:dyDescent="0.25">
      <c r="A1570" t="str">
        <f>"20190312172921784"</f>
        <v>20190312172921784</v>
      </c>
      <c r="B1570" t="str">
        <f>"1552382961779010"</f>
        <v>1552382961779010</v>
      </c>
      <c r="C1570" t="s">
        <v>40</v>
      </c>
      <c r="D1570">
        <v>3.8278850000000002</v>
      </c>
      <c r="E1570">
        <v>0.54908159999999995</v>
      </c>
      <c r="F1570" t="s">
        <v>41</v>
      </c>
      <c r="G1570">
        <v>-195.1686</v>
      </c>
      <c r="H1570" s="1">
        <v>-2.5479600000000002E-6</v>
      </c>
      <c r="I1570">
        <v>302.32279999999997</v>
      </c>
      <c r="J1570">
        <v>-190.39940000000001</v>
      </c>
      <c r="K1570">
        <v>1.10954</v>
      </c>
      <c r="L1570">
        <v>316.21379999999999</v>
      </c>
      <c r="M1570">
        <v>4.2726680000000003E-3</v>
      </c>
      <c r="N1570">
        <v>0</v>
      </c>
      <c r="O1570">
        <v>-0.9998977</v>
      </c>
      <c r="P1570">
        <v>-0.199825</v>
      </c>
      <c r="Q1570">
        <v>0.14947539999999901</v>
      </c>
      <c r="R1570">
        <v>-0.96836350000000004</v>
      </c>
      <c r="S1570">
        <v>-0.99093629999999999</v>
      </c>
      <c r="T1570">
        <v>-0.23054740000000001</v>
      </c>
      <c r="U1570">
        <v>-2.9308779999999999</v>
      </c>
      <c r="V1570">
        <v>0.20424900000000001</v>
      </c>
      <c r="W1570">
        <v>0.16231579999999901</v>
      </c>
      <c r="X1570">
        <v>0.96536829999999996</v>
      </c>
      <c r="Y1570">
        <v>0.32345119999999999</v>
      </c>
      <c r="Z1570">
        <v>7.4258069999999995E-2</v>
      </c>
      <c r="AA1570">
        <v>0.94332660000000002</v>
      </c>
      <c r="AB1570">
        <v>22</v>
      </c>
      <c r="AC1570">
        <v>-4.7691999999999801</v>
      </c>
      <c r="AD1570">
        <v>-1.1095425479600001</v>
      </c>
      <c r="AE1570">
        <v>-13.891</v>
      </c>
      <c r="AF1570">
        <v>4.8011124394810096</v>
      </c>
      <c r="AG1570">
        <v>-1.1095425479600001</v>
      </c>
      <c r="AH1570">
        <v>13.7917808399721</v>
      </c>
      <c r="AI1570">
        <v>94.344845479146997</v>
      </c>
      <c r="AJ1570">
        <v>70.806275806891406</v>
      </c>
      <c r="AK1570">
        <v>14.6456472735108</v>
      </c>
      <c r="AL1570">
        <v>80.658660956682795</v>
      </c>
      <c r="AM1570">
        <v>78.053750715842995</v>
      </c>
      <c r="AN1570">
        <v>1.00000001378776</v>
      </c>
    </row>
    <row r="1571" spans="1:40" x14ac:dyDescent="0.25">
      <c r="A1571" t="str">
        <f>"20190312172921805"</f>
        <v>20190312172921805</v>
      </c>
      <c r="B1571" t="str">
        <f>"1552382961798529"</f>
        <v>1552382961798529</v>
      </c>
      <c r="C1571" t="s">
        <v>40</v>
      </c>
      <c r="D1571">
        <v>3.8088139999999999</v>
      </c>
      <c r="E1571">
        <v>0.54897899999999999</v>
      </c>
      <c r="F1571" t="s">
        <v>41</v>
      </c>
      <c r="G1571">
        <v>-195.1591</v>
      </c>
      <c r="H1571" s="1">
        <v>-2.5270460000000001E-6</v>
      </c>
      <c r="I1571">
        <v>302.2799</v>
      </c>
      <c r="J1571">
        <v>-190.3998</v>
      </c>
      <c r="K1571">
        <v>1.1094619999999999</v>
      </c>
      <c r="L1571">
        <v>316.01080000000002</v>
      </c>
      <c r="M1571">
        <v>3.1003979999999999E-3</v>
      </c>
      <c r="N1571">
        <v>0</v>
      </c>
      <c r="O1571">
        <v>-0.99990179999999995</v>
      </c>
      <c r="P1571">
        <v>-0.20334179999999999</v>
      </c>
      <c r="Q1571">
        <v>0.14831050000000001</v>
      </c>
      <c r="R1571">
        <v>-0.96781010000000001</v>
      </c>
      <c r="S1571">
        <v>-1.000046</v>
      </c>
      <c r="T1571">
        <v>-0.2331232</v>
      </c>
      <c r="U1571">
        <v>-2.9276119999999999</v>
      </c>
      <c r="V1571">
        <v>0.2066577</v>
      </c>
      <c r="W1571">
        <v>0.1611032</v>
      </c>
      <c r="X1571">
        <v>0.96505870000000005</v>
      </c>
      <c r="Y1571">
        <v>0.32527149999999999</v>
      </c>
      <c r="Z1571">
        <v>7.5101669999999995E-2</v>
      </c>
      <c r="AA1571">
        <v>0.94263359999999996</v>
      </c>
      <c r="AB1571">
        <v>22</v>
      </c>
      <c r="AC1571">
        <v>-4.7592999999999899</v>
      </c>
      <c r="AD1571">
        <v>-1.109464527046</v>
      </c>
      <c r="AE1571">
        <v>-13.7309</v>
      </c>
      <c r="AF1571">
        <v>4.7740269575052201</v>
      </c>
      <c r="AG1571">
        <v>-1.109464527046</v>
      </c>
      <c r="AH1571">
        <v>13.6365960514342</v>
      </c>
      <c r="AI1571">
        <v>94.391100236912095</v>
      </c>
      <c r="AJ1571">
        <v>70.705393553054805</v>
      </c>
      <c r="AK1571">
        <v>14.490652048743399</v>
      </c>
      <c r="AL1571">
        <v>80.729064037498304</v>
      </c>
      <c r="AM1571">
        <v>77.913223739557907</v>
      </c>
      <c r="AN1571">
        <v>0.999999970232609</v>
      </c>
    </row>
    <row r="1572" spans="1:40" x14ac:dyDescent="0.25">
      <c r="A1572" t="str">
        <f>"20190312172921827"</f>
        <v>20190312172921827</v>
      </c>
      <c r="B1572" t="str">
        <f>"1552382961819026"</f>
        <v>1552382961819026</v>
      </c>
      <c r="C1572" t="s">
        <v>40</v>
      </c>
      <c r="D1572">
        <v>3.7996449999999999</v>
      </c>
      <c r="E1572">
        <v>0.54888599999999999</v>
      </c>
      <c r="F1572" t="s">
        <v>41</v>
      </c>
      <c r="G1572">
        <v>-195.12729999999999</v>
      </c>
      <c r="H1572" s="1">
        <v>-2.537414E-6</v>
      </c>
      <c r="I1572">
        <v>302.32380000000001</v>
      </c>
      <c r="J1572">
        <v>-190.4007</v>
      </c>
      <c r="K1572">
        <v>1.1093820000000001</v>
      </c>
      <c r="L1572">
        <v>315.7919</v>
      </c>
      <c r="M1572">
        <v>1.7266919999999999E-3</v>
      </c>
      <c r="N1572">
        <v>0</v>
      </c>
      <c r="O1572">
        <v>-0.9999055</v>
      </c>
      <c r="P1572">
        <v>-0.20720669999999999</v>
      </c>
      <c r="Q1572">
        <v>0.1472096</v>
      </c>
      <c r="R1572">
        <v>-0.96715859999999998</v>
      </c>
      <c r="S1572">
        <v>-1.009903</v>
      </c>
      <c r="T1572">
        <v>-0.2370099</v>
      </c>
      <c r="U1572">
        <v>-2.923889</v>
      </c>
      <c r="V1572">
        <v>0.2092203</v>
      </c>
      <c r="W1572">
        <v>0.15995239999999999</v>
      </c>
      <c r="X1572">
        <v>0.9646979</v>
      </c>
      <c r="Y1572">
        <v>0.32714989999999999</v>
      </c>
      <c r="Z1572">
        <v>7.6372049999999997E-2</v>
      </c>
      <c r="AA1572">
        <v>0.94188119999999997</v>
      </c>
      <c r="AB1572">
        <v>22</v>
      </c>
      <c r="AC1572">
        <v>-4.7265999999999897</v>
      </c>
      <c r="AD1572">
        <v>-1.1093845374139999</v>
      </c>
      <c r="AE1572">
        <v>-13.4680999999999</v>
      </c>
      <c r="AF1572">
        <v>4.7213288676990102</v>
      </c>
      <c r="AG1572">
        <v>-1.1093845374139999</v>
      </c>
      <c r="AH1572">
        <v>13.3790947766744</v>
      </c>
      <c r="AI1572">
        <v>94.471051212571496</v>
      </c>
      <c r="AJ1572">
        <v>70.562648350881204</v>
      </c>
      <c r="AK1572">
        <v>14.2310174398058</v>
      </c>
      <c r="AL1572">
        <v>80.7958663739239</v>
      </c>
      <c r="AM1572">
        <v>77.763394577304794</v>
      </c>
      <c r="AN1572">
        <v>0.99999997123112905</v>
      </c>
    </row>
    <row r="1573" spans="1:40" x14ac:dyDescent="0.25">
      <c r="A1573" t="str">
        <f>"20190312172921852"</f>
        <v>20190312172921852</v>
      </c>
      <c r="B1573" t="str">
        <f>"1552382961849334"</f>
        <v>1552382961849334</v>
      </c>
      <c r="C1573" t="s">
        <v>40</v>
      </c>
      <c r="D1573">
        <v>3.8302909999999999</v>
      </c>
      <c r="E1573">
        <v>0.54877299999999996</v>
      </c>
      <c r="F1573" t="s">
        <v>41</v>
      </c>
      <c r="G1573">
        <v>-195.09889999999999</v>
      </c>
      <c r="H1573" s="1">
        <v>-2.5422610000000002E-6</v>
      </c>
      <c r="I1573">
        <v>302.35270000000003</v>
      </c>
      <c r="J1573">
        <v>-190.40219999999999</v>
      </c>
      <c r="K1573">
        <v>1.109305</v>
      </c>
      <c r="L1573">
        <v>315.55369999999999</v>
      </c>
      <c r="M1573" s="1">
        <v>9.7433430000000003E-5</v>
      </c>
      <c r="N1573">
        <v>0</v>
      </c>
      <c r="O1573">
        <v>-0.99990690000000004</v>
      </c>
      <c r="P1573">
        <v>-0.21087069999999999</v>
      </c>
      <c r="Q1573">
        <v>0.1459905</v>
      </c>
      <c r="R1573">
        <v>-0.96655100000000005</v>
      </c>
      <c r="S1573">
        <v>-1.0207520000000001</v>
      </c>
      <c r="T1573">
        <v>-0.24102999999999999</v>
      </c>
      <c r="U1573">
        <v>-2.919861</v>
      </c>
      <c r="V1573">
        <v>0.2113362</v>
      </c>
      <c r="W1573">
        <v>0.1586852</v>
      </c>
      <c r="X1573">
        <v>0.96444589999999997</v>
      </c>
      <c r="Y1573">
        <v>0.32909959999999899</v>
      </c>
      <c r="Z1573">
        <v>7.7687229999999996E-2</v>
      </c>
      <c r="AA1573">
        <v>0.94109410000000004</v>
      </c>
      <c r="AB1573">
        <v>22</v>
      </c>
      <c r="AC1573">
        <v>-4.6966999999999901</v>
      </c>
      <c r="AD1573">
        <v>-1.1093075422609999</v>
      </c>
      <c r="AE1573">
        <v>-13.200999999999899</v>
      </c>
      <c r="AF1573">
        <v>4.6687228642925902</v>
      </c>
      <c r="AG1573">
        <v>-1.1093075422609999</v>
      </c>
      <c r="AH1573">
        <v>13.11831695797</v>
      </c>
      <c r="AI1573">
        <v>94.554951300686199</v>
      </c>
      <c r="AJ1573">
        <v>70.409689708126095</v>
      </c>
      <c r="AK1573">
        <v>13.968456472232299</v>
      </c>
      <c r="AL1573">
        <v>80.869410659202103</v>
      </c>
      <c r="AM1573">
        <v>77.640296665902895</v>
      </c>
      <c r="AN1573">
        <v>0.99999993807814302</v>
      </c>
    </row>
    <row r="1574" spans="1:40" x14ac:dyDescent="0.25">
      <c r="A1574" t="str">
        <f>"20190312172921872"</f>
        <v>20190312172921872</v>
      </c>
      <c r="B1574" t="str">
        <f>"1552382961868854"</f>
        <v>1552382961868854</v>
      </c>
      <c r="C1574" t="s">
        <v>40</v>
      </c>
      <c r="D1574">
        <v>3.788532</v>
      </c>
      <c r="E1574">
        <v>0.54867759999999999</v>
      </c>
      <c r="F1574" t="s">
        <v>41</v>
      </c>
      <c r="G1574">
        <v>-195.0685</v>
      </c>
      <c r="H1574" s="1">
        <v>-2.5327349999999998E-6</v>
      </c>
      <c r="I1574">
        <v>302.3494</v>
      </c>
      <c r="J1574">
        <v>-190.40389999999999</v>
      </c>
      <c r="K1574">
        <v>1.1092329999999999</v>
      </c>
      <c r="L1574">
        <v>315.3492</v>
      </c>
      <c r="M1574">
        <v>-1.4207359999999999E-3</v>
      </c>
      <c r="N1574">
        <v>0</v>
      </c>
      <c r="O1574">
        <v>-0.99990579999999996</v>
      </c>
      <c r="P1574">
        <v>-0.21455260000000001</v>
      </c>
      <c r="Q1574">
        <v>0.14562820000000001</v>
      </c>
      <c r="R1574">
        <v>-0.96579499999999996</v>
      </c>
      <c r="S1574">
        <v>-1.0304869999999999</v>
      </c>
      <c r="T1574">
        <v>-0.244978</v>
      </c>
      <c r="U1574">
        <v>-2.9160159999999999</v>
      </c>
      <c r="V1574">
        <v>0.2135763</v>
      </c>
      <c r="W1574">
        <v>0.158277</v>
      </c>
      <c r="X1574">
        <v>0.96401950000000003</v>
      </c>
      <c r="Y1574">
        <v>0.33081450000000001</v>
      </c>
      <c r="Z1574">
        <v>7.8982319999999995E-2</v>
      </c>
      <c r="AA1574">
        <v>0.94038480000000002</v>
      </c>
      <c r="AB1574">
        <v>22</v>
      </c>
      <c r="AC1574">
        <v>-4.6646000000000001</v>
      </c>
      <c r="AD1574">
        <v>-1.1092355327350001</v>
      </c>
      <c r="AE1574">
        <v>-12.999799999999899</v>
      </c>
      <c r="AF1574">
        <v>4.6163477607636496</v>
      </c>
      <c r="AG1574">
        <v>-1.1092355327350001</v>
      </c>
      <c r="AH1574">
        <v>12.9230579067832</v>
      </c>
      <c r="AI1574">
        <v>94.621250430250896</v>
      </c>
      <c r="AJ1574">
        <v>70.342362173667993</v>
      </c>
      <c r="AK1574">
        <v>13.767588597044201</v>
      </c>
      <c r="AL1574">
        <v>80.893098917577703</v>
      </c>
      <c r="AM1574">
        <v>77.508026297111599</v>
      </c>
      <c r="AN1574">
        <v>1.00000002051546</v>
      </c>
    </row>
    <row r="1575" spans="1:40" x14ac:dyDescent="0.25">
      <c r="A1575" t="str">
        <f>"20190312172921896"</f>
        <v>20190312172921896</v>
      </c>
      <c r="B1575" t="str">
        <f>"1552382961889350"</f>
        <v>1552382961889350</v>
      </c>
      <c r="C1575" t="s">
        <v>40</v>
      </c>
      <c r="D1575">
        <v>3.829812</v>
      </c>
      <c r="E1575">
        <v>0.54858079999999998</v>
      </c>
      <c r="F1575" t="s">
        <v>41</v>
      </c>
      <c r="G1575">
        <v>-195.0976</v>
      </c>
      <c r="H1575" s="1">
        <v>-2.4823919999999999E-6</v>
      </c>
      <c r="I1575">
        <v>302.214</v>
      </c>
      <c r="J1575">
        <v>-190.40629999999999</v>
      </c>
      <c r="K1575">
        <v>1.109151</v>
      </c>
      <c r="L1575">
        <v>315.12299999999999</v>
      </c>
      <c r="M1575">
        <v>-3.2375450000000001E-3</v>
      </c>
      <c r="N1575">
        <v>0</v>
      </c>
      <c r="O1575">
        <v>-0.9999015</v>
      </c>
      <c r="P1575">
        <v>-0.2186891</v>
      </c>
      <c r="Q1575">
        <v>0.1453805</v>
      </c>
      <c r="R1575">
        <v>-0.96490399999999998</v>
      </c>
      <c r="S1575">
        <v>-1.0406040000000001</v>
      </c>
      <c r="T1575">
        <v>-0.24591950000000001</v>
      </c>
      <c r="U1575">
        <v>-2.9121090000000001</v>
      </c>
      <c r="V1575">
        <v>0.21598970000000001</v>
      </c>
      <c r="W1575">
        <v>0.1579757</v>
      </c>
      <c r="X1575">
        <v>0.96353109999999997</v>
      </c>
      <c r="Y1575">
        <v>0.33238770000000001</v>
      </c>
      <c r="Z1575">
        <v>7.931589E-2</v>
      </c>
      <c r="AA1575">
        <v>0.93980180000000002</v>
      </c>
      <c r="AB1575">
        <v>22</v>
      </c>
      <c r="AC1575">
        <v>-4.6913000000000098</v>
      </c>
      <c r="AD1575">
        <v>-1.109153482392</v>
      </c>
      <c r="AE1575">
        <v>-12.908999999999899</v>
      </c>
      <c r="AF1575">
        <v>4.61935447209268</v>
      </c>
      <c r="AG1575">
        <v>-1.109153482392</v>
      </c>
      <c r="AH1575">
        <v>12.8403877634018</v>
      </c>
      <c r="AI1575">
        <v>94.646805143872001</v>
      </c>
      <c r="AJ1575">
        <v>70.213706532823693</v>
      </c>
      <c r="AK1575">
        <v>13.6910268095882</v>
      </c>
      <c r="AL1575">
        <v>80.910582148164906</v>
      </c>
      <c r="AM1575">
        <v>77.365175424388894</v>
      </c>
      <c r="AN1575">
        <v>1.00000002648189</v>
      </c>
    </row>
    <row r="1576" spans="1:40" x14ac:dyDescent="0.25">
      <c r="A1576" t="str">
        <f>"20190312172921917"</f>
        <v>20190312172921917</v>
      </c>
      <c r="B1576" t="str">
        <f>"1552382961908870"</f>
        <v>1552382961908870</v>
      </c>
      <c r="C1576" t="s">
        <v>40</v>
      </c>
      <c r="D1576">
        <v>3.8037350000000001</v>
      </c>
      <c r="E1576">
        <v>0.54848940000000002</v>
      </c>
      <c r="F1576" t="s">
        <v>41</v>
      </c>
      <c r="G1576">
        <v>-195.14070000000001</v>
      </c>
      <c r="H1576" s="1">
        <v>-2.419879E-6</v>
      </c>
      <c r="I1576">
        <v>302.04149999999998</v>
      </c>
      <c r="J1576">
        <v>-190.40899999999999</v>
      </c>
      <c r="K1576">
        <v>1.109065</v>
      </c>
      <c r="L1576">
        <v>314.90679999999998</v>
      </c>
      <c r="M1576">
        <v>-5.1046399999999997E-3</v>
      </c>
      <c r="N1576">
        <v>0</v>
      </c>
      <c r="O1576">
        <v>-0.9998937</v>
      </c>
      <c r="P1576">
        <v>-0.22288179999999999</v>
      </c>
      <c r="Q1576">
        <v>0.1454104</v>
      </c>
      <c r="R1576">
        <v>-0.96393949999999995</v>
      </c>
      <c r="S1576">
        <v>-1.0523530000000001</v>
      </c>
      <c r="T1576">
        <v>-0.2465408</v>
      </c>
      <c r="U1576">
        <v>-2.907715</v>
      </c>
      <c r="V1576">
        <v>0.21841550000000001</v>
      </c>
      <c r="W1576">
        <v>0.157948799999999</v>
      </c>
      <c r="X1576">
        <v>0.96298850000000003</v>
      </c>
      <c r="Y1576">
        <v>0.33443250000000002</v>
      </c>
      <c r="Z1576">
        <v>7.9544359999999995E-2</v>
      </c>
      <c r="AA1576">
        <v>0.93905680000000002</v>
      </c>
      <c r="AB1576">
        <v>22</v>
      </c>
      <c r="AC1576">
        <v>-4.7316999999999796</v>
      </c>
      <c r="AD1576">
        <v>-1.109067419879</v>
      </c>
      <c r="AE1576">
        <v>-12.8652999999999</v>
      </c>
      <c r="AF1576">
        <v>4.6356146357418</v>
      </c>
      <c r="AG1576">
        <v>-1.109067419879</v>
      </c>
      <c r="AH1576">
        <v>12.8054633326157</v>
      </c>
      <c r="AI1576">
        <v>94.655730135091801</v>
      </c>
      <c r="AJ1576">
        <v>70.099597990915598</v>
      </c>
      <c r="AK1576">
        <v>13.663778568020801</v>
      </c>
      <c r="AL1576">
        <v>80.912142781959304</v>
      </c>
      <c r="AM1576">
        <v>77.220942165735096</v>
      </c>
      <c r="AN1576">
        <v>1.00000000259697</v>
      </c>
    </row>
    <row r="1577" spans="1:40" x14ac:dyDescent="0.25">
      <c r="A1577" t="str">
        <f>"20190312172921942"</f>
        <v>20190312172921942</v>
      </c>
      <c r="B1577" t="str">
        <f>"1552382961938658"</f>
        <v>1552382961938658</v>
      </c>
      <c r="C1577" t="s">
        <v>40</v>
      </c>
      <c r="D1577">
        <v>3.7840220000000002</v>
      </c>
      <c r="E1577">
        <v>0.54834059999999996</v>
      </c>
      <c r="F1577" t="s">
        <v>41</v>
      </c>
      <c r="G1577">
        <v>-195.19839999999999</v>
      </c>
      <c r="H1577" s="1">
        <v>-2.3468780000000002E-6</v>
      </c>
      <c r="I1577">
        <v>301.8356</v>
      </c>
      <c r="J1577">
        <v>-190.4127</v>
      </c>
      <c r="K1577">
        <v>1.108968</v>
      </c>
      <c r="L1577">
        <v>314.67180000000002</v>
      </c>
      <c r="M1577">
        <v>-7.2705410000000002E-3</v>
      </c>
      <c r="N1577">
        <v>0</v>
      </c>
      <c r="O1577">
        <v>-0.99988049999999995</v>
      </c>
      <c r="P1577">
        <v>-0.22700770000000001</v>
      </c>
      <c r="Q1577">
        <v>0.14465939999999999</v>
      </c>
      <c r="R1577">
        <v>-0.96308959999999999</v>
      </c>
      <c r="S1577">
        <v>-1.063812</v>
      </c>
      <c r="T1577">
        <v>-0.24634590000000001</v>
      </c>
      <c r="U1577">
        <v>-2.903381</v>
      </c>
      <c r="V1577">
        <v>0.2204895</v>
      </c>
      <c r="W1577">
        <v>0.15713940000000001</v>
      </c>
      <c r="X1577">
        <v>0.96264819999999995</v>
      </c>
      <c r="Y1577">
        <v>0.33611259999999998</v>
      </c>
      <c r="Z1577">
        <v>7.9514870000000001E-2</v>
      </c>
      <c r="AA1577">
        <v>0.93845919999999905</v>
      </c>
      <c r="AB1577">
        <v>22</v>
      </c>
      <c r="AC1577">
        <v>-4.7856999999999896</v>
      </c>
      <c r="AD1577">
        <v>-1.1089703468779999</v>
      </c>
      <c r="AE1577">
        <v>-12.8362</v>
      </c>
      <c r="AF1577">
        <v>4.66169043932178</v>
      </c>
      <c r="AG1577">
        <v>-1.1089703468779999</v>
      </c>
      <c r="AH1577">
        <v>12.786865693909601</v>
      </c>
      <c r="AI1577">
        <v>94.6582450297078</v>
      </c>
      <c r="AJ1577">
        <v>69.969729611297694</v>
      </c>
      <c r="AK1577">
        <v>13.655222709879199</v>
      </c>
      <c r="AL1577">
        <v>80.9591042753257</v>
      </c>
      <c r="AM1577">
        <v>77.099229192140299</v>
      </c>
      <c r="AN1577">
        <v>0.99999998380292399</v>
      </c>
    </row>
    <row r="1578" spans="1:40" x14ac:dyDescent="0.25">
      <c r="A1578" t="str">
        <f>"20190312172921963"</f>
        <v>20190312172921963</v>
      </c>
      <c r="B1578" t="str">
        <f>"1552382961959154"</f>
        <v>1552382961959154</v>
      </c>
      <c r="C1578" t="s">
        <v>40</v>
      </c>
      <c r="D1578">
        <v>3.8007870000000001</v>
      </c>
      <c r="E1578">
        <v>0.54824130000000004</v>
      </c>
      <c r="F1578" t="s">
        <v>41</v>
      </c>
      <c r="G1578">
        <v>-195.20320000000001</v>
      </c>
      <c r="H1578" s="1">
        <v>-2.309956E-6</v>
      </c>
      <c r="I1578">
        <v>301.74650000000003</v>
      </c>
      <c r="J1578">
        <v>-190.41650000000001</v>
      </c>
      <c r="K1578">
        <v>1.1088910000000001</v>
      </c>
      <c r="L1578">
        <v>314.46300000000002</v>
      </c>
      <c r="M1578">
        <v>-9.3164709999999998E-3</v>
      </c>
      <c r="N1578">
        <v>0</v>
      </c>
      <c r="O1578">
        <v>-0.99986339999999996</v>
      </c>
      <c r="P1578">
        <v>-0.23088149999999999</v>
      </c>
      <c r="Q1578">
        <v>0.1435131</v>
      </c>
      <c r="R1578">
        <v>-0.96234030000000004</v>
      </c>
      <c r="S1578">
        <v>-1.0744929999999999</v>
      </c>
      <c r="T1578">
        <v>-0.24873580000000001</v>
      </c>
      <c r="U1578">
        <v>-2.8990779999999998</v>
      </c>
      <c r="V1578">
        <v>0.22242120000000001</v>
      </c>
      <c r="W1578">
        <v>0.1559431</v>
      </c>
      <c r="X1578">
        <v>0.96239839999999999</v>
      </c>
      <c r="Y1578">
        <v>0.33765709999999999</v>
      </c>
      <c r="Z1578">
        <v>8.0317929999999996E-2</v>
      </c>
      <c r="AA1578">
        <v>0.93783620000000001</v>
      </c>
      <c r="AB1578">
        <v>22</v>
      </c>
      <c r="AC1578">
        <v>-4.78669999999999</v>
      </c>
      <c r="AD1578">
        <v>-1.1088933099560001</v>
      </c>
      <c r="AE1578">
        <v>-12.7164999999999</v>
      </c>
      <c r="AF1578">
        <v>4.6371234585872099</v>
      </c>
      <c r="AG1578">
        <v>-1.1088933099560001</v>
      </c>
      <c r="AH1578">
        <v>12.676120052498201</v>
      </c>
      <c r="AI1578">
        <v>94.696556586345594</v>
      </c>
      <c r="AJ1578">
        <v>69.906688039745504</v>
      </c>
      <c r="AK1578">
        <v>13.5431376692549</v>
      </c>
      <c r="AL1578">
        <v>81.028503500871693</v>
      </c>
      <c r="AM1578">
        <v>76.986773357911801</v>
      </c>
      <c r="AN1578">
        <v>1.0000000604848001</v>
      </c>
    </row>
    <row r="1579" spans="1:40" x14ac:dyDescent="0.25">
      <c r="A1579" t="str">
        <f>"20190312172921986"</f>
        <v>20190312172921986</v>
      </c>
      <c r="B1579" t="str">
        <f>"1552382961978673"</f>
        <v>1552382961978673</v>
      </c>
      <c r="C1579" t="s">
        <v>40</v>
      </c>
      <c r="D1579">
        <v>3.8019500000000002</v>
      </c>
      <c r="E1579">
        <v>0.54814810000000003</v>
      </c>
      <c r="F1579" t="s">
        <v>41</v>
      </c>
      <c r="G1579">
        <v>-195.18340000000001</v>
      </c>
      <c r="H1579" s="1">
        <v>-2.3033219999999998E-6</v>
      </c>
      <c r="I1579">
        <v>301.74329999999998</v>
      </c>
      <c r="J1579">
        <v>-190.4212</v>
      </c>
      <c r="K1579">
        <v>1.108816</v>
      </c>
      <c r="L1579">
        <v>314.24340000000001</v>
      </c>
      <c r="M1579">
        <v>-1.1585939999999999E-2</v>
      </c>
      <c r="N1579">
        <v>0</v>
      </c>
      <c r="O1579">
        <v>-0.99983949999999999</v>
      </c>
      <c r="P1579">
        <v>-0.23516889999999999</v>
      </c>
      <c r="Q1579">
        <v>0.14294379999999901</v>
      </c>
      <c r="R1579">
        <v>-0.96138610000000002</v>
      </c>
      <c r="S1579">
        <v>-1.084854</v>
      </c>
      <c r="T1579">
        <v>-0.25236629999999999</v>
      </c>
      <c r="U1579">
        <v>-2.8947750000000001</v>
      </c>
      <c r="V1579">
        <v>0.22455330000000001</v>
      </c>
      <c r="W1579">
        <v>0.15532609999999999</v>
      </c>
      <c r="X1579">
        <v>0.96200289999999999</v>
      </c>
      <c r="Y1579">
        <v>0.33888800000000002</v>
      </c>
      <c r="Z1579">
        <v>8.1524289999999999E-2</v>
      </c>
      <c r="AA1579">
        <v>0.93728800000000001</v>
      </c>
      <c r="AB1579">
        <v>22</v>
      </c>
      <c r="AC1579">
        <v>-4.7622</v>
      </c>
      <c r="AD1579">
        <v>-1.108818303322</v>
      </c>
      <c r="AE1579">
        <v>-12.5001</v>
      </c>
      <c r="AF1579">
        <v>4.5855330776744001</v>
      </c>
      <c r="AG1579">
        <v>-1.108818303322</v>
      </c>
      <c r="AH1579">
        <v>12.4687646974674</v>
      </c>
      <c r="AI1579">
        <v>94.7709921390164</v>
      </c>
      <c r="AJ1579">
        <v>69.8084150041133</v>
      </c>
      <c r="AK1579">
        <v>13.331417205872601</v>
      </c>
      <c r="AL1579">
        <v>81.064290359441301</v>
      </c>
      <c r="AM1579">
        <v>76.861122645628001</v>
      </c>
      <c r="AN1579">
        <v>0.99999998074525398</v>
      </c>
    </row>
    <row r="1580" spans="1:40" x14ac:dyDescent="0.25">
      <c r="A1580" t="str">
        <f>"20190312172922006"</f>
        <v>20190312172922006</v>
      </c>
      <c r="B1580" t="str">
        <f>"1552382961999169"</f>
        <v>1552382961999169</v>
      </c>
      <c r="C1580" t="s">
        <v>40</v>
      </c>
      <c r="D1580">
        <v>3.778327</v>
      </c>
      <c r="E1580">
        <v>0.54808169999999901</v>
      </c>
      <c r="F1580" t="s">
        <v>41</v>
      </c>
      <c r="G1580">
        <v>-195.20859999999999</v>
      </c>
      <c r="H1580" s="1">
        <v>-2.2609249999999999E-6</v>
      </c>
      <c r="I1580">
        <v>301.62889999999999</v>
      </c>
      <c r="J1580">
        <v>-190.42609999999999</v>
      </c>
      <c r="K1580">
        <v>1.1087640000000001</v>
      </c>
      <c r="L1580">
        <v>314.0378</v>
      </c>
      <c r="M1580">
        <v>-1.3797149999999999E-2</v>
      </c>
      <c r="N1580">
        <v>0</v>
      </c>
      <c r="O1580">
        <v>-0.99981149999999996</v>
      </c>
      <c r="P1580">
        <v>-0.23946509999999999</v>
      </c>
      <c r="Q1580">
        <v>0.1422088</v>
      </c>
      <c r="R1580">
        <v>-0.96043400000000001</v>
      </c>
      <c r="S1580">
        <v>-1.0968169999999999</v>
      </c>
      <c r="T1580">
        <v>-0.25403550000000003</v>
      </c>
      <c r="U1580">
        <v>-2.8900450000000002</v>
      </c>
      <c r="V1580">
        <v>0.2267451</v>
      </c>
      <c r="W1580">
        <v>0.15455250000000001</v>
      </c>
      <c r="X1580">
        <v>0.9616133</v>
      </c>
      <c r="Y1580">
        <v>0.34069110000000002</v>
      </c>
      <c r="Z1580">
        <v>8.2095810000000005E-2</v>
      </c>
      <c r="AA1580">
        <v>0.93658410000000003</v>
      </c>
      <c r="AB1580">
        <v>22</v>
      </c>
      <c r="AC1580">
        <v>-4.78249999999999</v>
      </c>
      <c r="AD1580">
        <v>-1.108766260925</v>
      </c>
      <c r="AE1580">
        <v>-12.408899999999999</v>
      </c>
      <c r="AF1580">
        <v>4.5789912253268303</v>
      </c>
      <c r="AG1580">
        <v>-1.108766260925</v>
      </c>
      <c r="AH1580">
        <v>12.387599488548</v>
      </c>
      <c r="AI1580">
        <v>94.798964337449803</v>
      </c>
      <c r="AJ1580">
        <v>69.713512655996993</v>
      </c>
      <c r="AK1580">
        <v>13.253269194868899</v>
      </c>
      <c r="AL1580">
        <v>81.109156144621195</v>
      </c>
      <c r="AM1580">
        <v>76.732205959244595</v>
      </c>
      <c r="AN1580">
        <v>0.99999997718357403</v>
      </c>
    </row>
    <row r="1581" spans="1:40" x14ac:dyDescent="0.25">
      <c r="A1581" t="str">
        <f>"20190312172922030"</f>
        <v>20190312172922030</v>
      </c>
      <c r="B1581" t="str">
        <f>"1552382962018692"</f>
        <v>1552382962018692</v>
      </c>
      <c r="C1581" t="s">
        <v>40</v>
      </c>
      <c r="D1581">
        <v>3.7736689999999999</v>
      </c>
      <c r="E1581">
        <v>0.54802269999999997</v>
      </c>
      <c r="F1581" t="s">
        <v>41</v>
      </c>
      <c r="G1581">
        <v>-195.21539999999999</v>
      </c>
      <c r="H1581" s="1">
        <v>-2.237846E-6</v>
      </c>
      <c r="I1581">
        <v>301.57089999999999</v>
      </c>
      <c r="J1581">
        <v>-190.4323</v>
      </c>
      <c r="K1581">
        <v>1.10873</v>
      </c>
      <c r="L1581">
        <v>313.80779999999999</v>
      </c>
      <c r="M1581">
        <v>-1.6343659999999999E-2</v>
      </c>
      <c r="N1581">
        <v>0</v>
      </c>
      <c r="O1581">
        <v>-0.99977309999999997</v>
      </c>
      <c r="P1581">
        <v>-0.24402960000000001</v>
      </c>
      <c r="Q1581">
        <v>0.14173429999999901</v>
      </c>
      <c r="R1581">
        <v>-0.9593547</v>
      </c>
      <c r="S1581">
        <v>-1.108368</v>
      </c>
      <c r="T1581">
        <v>-0.25659870000000001</v>
      </c>
      <c r="U1581">
        <v>-2.8851930000000001</v>
      </c>
      <c r="V1581">
        <v>0.2288819</v>
      </c>
      <c r="W1581">
        <v>0.15404709999999999</v>
      </c>
      <c r="X1581">
        <v>0.96118809999999999</v>
      </c>
      <c r="Y1581">
        <v>0.34206579999999998</v>
      </c>
      <c r="Z1581">
        <v>8.2964449999999995E-2</v>
      </c>
      <c r="AA1581">
        <v>0.93600640000000002</v>
      </c>
      <c r="AB1581">
        <v>22</v>
      </c>
      <c r="AC1581">
        <v>-4.7830999999999904</v>
      </c>
      <c r="AD1581">
        <v>-1.1087322378460001</v>
      </c>
      <c r="AE1581">
        <v>-12.236899999999901</v>
      </c>
      <c r="AF1581">
        <v>4.55004412652801</v>
      </c>
      <c r="AG1581">
        <v>-1.1087322378460001</v>
      </c>
      <c r="AH1581">
        <v>12.226377498369599</v>
      </c>
      <c r="AI1581">
        <v>94.857842740667493</v>
      </c>
      <c r="AJ1581">
        <v>69.587259009181693</v>
      </c>
      <c r="AK1581">
        <v>13.0926122474176</v>
      </c>
      <c r="AL1581">
        <v>81.138464615692698</v>
      </c>
      <c r="AM1581">
        <v>76.605945838777501</v>
      </c>
      <c r="AN1581">
        <v>0.99999999837381504</v>
      </c>
    </row>
    <row r="1582" spans="1:40" x14ac:dyDescent="0.25">
      <c r="A1582" t="str">
        <f>"20190312172922051"</f>
        <v>20190312172922051</v>
      </c>
      <c r="B1582" t="str">
        <f>"1552382962048945"</f>
        <v>1552382962048945</v>
      </c>
      <c r="C1582" t="s">
        <v>40</v>
      </c>
      <c r="D1582">
        <v>3.8250120000000001</v>
      </c>
      <c r="E1582">
        <v>0.54796449999999997</v>
      </c>
      <c r="F1582" t="s">
        <v>41</v>
      </c>
      <c r="G1582">
        <v>-195.24529999999999</v>
      </c>
      <c r="H1582" s="1">
        <v>-2.190546E-6</v>
      </c>
      <c r="I1582">
        <v>301.44200000000001</v>
      </c>
      <c r="J1582">
        <v>-190.4384</v>
      </c>
      <c r="K1582">
        <v>1.108711</v>
      </c>
      <c r="L1582">
        <v>313.60070000000002</v>
      </c>
      <c r="M1582">
        <v>-1.868092E-2</v>
      </c>
      <c r="N1582">
        <v>0</v>
      </c>
      <c r="O1582">
        <v>-0.99973219999999996</v>
      </c>
      <c r="P1582">
        <v>-0.2475976</v>
      </c>
      <c r="Q1582">
        <v>0.14189370000000001</v>
      </c>
      <c r="R1582">
        <v>-0.9584163</v>
      </c>
      <c r="S1582">
        <v>-1.1210020000000001</v>
      </c>
      <c r="T1582">
        <v>-0.25823449999999998</v>
      </c>
      <c r="U1582">
        <v>-2.880096</v>
      </c>
      <c r="V1582">
        <v>0.23022039999999999</v>
      </c>
      <c r="W1582">
        <v>0.15418889999999999</v>
      </c>
      <c r="X1582">
        <v>0.96084559999999997</v>
      </c>
      <c r="Y1582">
        <v>0.34397800000000001</v>
      </c>
      <c r="Z1582">
        <v>8.3527599999999994E-2</v>
      </c>
      <c r="AA1582">
        <v>0.93525519999999995</v>
      </c>
      <c r="AB1582">
        <v>22</v>
      </c>
      <c r="AC1582">
        <v>-4.8068999999999802</v>
      </c>
      <c r="AD1582">
        <v>-1.1087131905459999</v>
      </c>
      <c r="AE1582">
        <v>-12.1587</v>
      </c>
      <c r="AF1582">
        <v>4.5462119633402702</v>
      </c>
      <c r="AG1582">
        <v>-1.1087131905459999</v>
      </c>
      <c r="AH1582">
        <v>12.158947610649401</v>
      </c>
      <c r="AI1582">
        <v>94.881786728580096</v>
      </c>
      <c r="AJ1582">
        <v>69.499306544492597</v>
      </c>
      <c r="AK1582">
        <v>13.028326644393999</v>
      </c>
      <c r="AL1582">
        <v>81.130241473245107</v>
      </c>
      <c r="AM1582">
        <v>76.525837615853206</v>
      </c>
      <c r="AN1582">
        <v>0.99999995824936405</v>
      </c>
    </row>
    <row r="1583" spans="1:40" x14ac:dyDescent="0.25">
      <c r="A1583" t="str">
        <f>"20190312172922075"</f>
        <v>20190312172922075</v>
      </c>
      <c r="B1583" t="str">
        <f>"1552382962068465"</f>
        <v>1552382962068465</v>
      </c>
      <c r="C1583" t="s">
        <v>40</v>
      </c>
      <c r="D1583">
        <v>3.8111250000000001</v>
      </c>
      <c r="E1583">
        <v>0.54786959999999996</v>
      </c>
      <c r="F1583" t="s">
        <v>41</v>
      </c>
      <c r="G1583">
        <v>-195.31049999999999</v>
      </c>
      <c r="H1583" s="1">
        <v>-2.1113110000000001E-6</v>
      </c>
      <c r="I1583">
        <v>301.21690000000001</v>
      </c>
      <c r="J1583">
        <v>-190.44540000000001</v>
      </c>
      <c r="K1583">
        <v>1.108706</v>
      </c>
      <c r="L1583">
        <v>313.37900000000002</v>
      </c>
      <c r="M1583">
        <v>-2.121876E-2</v>
      </c>
      <c r="N1583">
        <v>0</v>
      </c>
      <c r="O1583">
        <v>-0.99968170000000001</v>
      </c>
      <c r="P1583">
        <v>-0.25238739999999998</v>
      </c>
      <c r="Q1583">
        <v>0.1415671</v>
      </c>
      <c r="R1583">
        <v>-0.95721469999999997</v>
      </c>
      <c r="S1583">
        <v>-1.1314850000000001</v>
      </c>
      <c r="T1583">
        <v>-0.25748130000000002</v>
      </c>
      <c r="U1583">
        <v>-2.8759459999999999</v>
      </c>
      <c r="V1583">
        <v>0.23259099999999999</v>
      </c>
      <c r="W1583">
        <v>0.15384210000000001</v>
      </c>
      <c r="X1583">
        <v>0.96033020000000002</v>
      </c>
      <c r="Y1583">
        <v>0.34501359999999998</v>
      </c>
      <c r="Z1583">
        <v>8.3321129999999993E-2</v>
      </c>
      <c r="AA1583">
        <v>0.9348921</v>
      </c>
      <c r="AB1583">
        <v>22</v>
      </c>
      <c r="AC1583">
        <v>-4.8650999999999804</v>
      </c>
      <c r="AD1583">
        <v>-1.108708111311</v>
      </c>
      <c r="AE1583">
        <v>-12.162100000000001</v>
      </c>
      <c r="AF1583">
        <v>4.5731538596768901</v>
      </c>
      <c r="AG1583">
        <v>-1.108708111311</v>
      </c>
      <c r="AH1583">
        <v>12.1753784033261</v>
      </c>
      <c r="AI1583">
        <v>94.872485583947295</v>
      </c>
      <c r="AJ1583">
        <v>69.413484512437194</v>
      </c>
      <c r="AK1583">
        <v>13.053076616818901</v>
      </c>
      <c r="AL1583">
        <v>81.150352227188193</v>
      </c>
      <c r="AM1583">
        <v>76.385195656971206</v>
      </c>
      <c r="AN1583">
        <v>1.00000002902272</v>
      </c>
    </row>
    <row r="1584" spans="1:40" x14ac:dyDescent="0.25">
      <c r="A1584" t="str">
        <f>"20190312172922096"</f>
        <v>20190312172922096</v>
      </c>
      <c r="B1584" t="str">
        <f>"1552382962088961"</f>
        <v>1552382962088961</v>
      </c>
      <c r="C1584" t="s">
        <v>40</v>
      </c>
      <c r="D1584">
        <v>3.8113630000000001</v>
      </c>
      <c r="E1584">
        <v>0.54780879999999998</v>
      </c>
      <c r="F1584" t="s">
        <v>41</v>
      </c>
      <c r="G1584">
        <v>-195.36189999999999</v>
      </c>
      <c r="H1584" s="1">
        <v>-2.056303E-6</v>
      </c>
      <c r="I1584">
        <v>301.05680000000001</v>
      </c>
      <c r="J1584">
        <v>-190.45269999999999</v>
      </c>
      <c r="K1584">
        <v>1.1087009999999999</v>
      </c>
      <c r="L1584">
        <v>313.17</v>
      </c>
      <c r="M1584">
        <v>-2.3635369999999999E-2</v>
      </c>
      <c r="N1584">
        <v>0</v>
      </c>
      <c r="O1584">
        <v>-0.9996273</v>
      </c>
      <c r="P1584">
        <v>-0.25680019999999998</v>
      </c>
      <c r="Q1584">
        <v>0.1419079</v>
      </c>
      <c r="R1584">
        <v>-0.95598950000000005</v>
      </c>
      <c r="S1584">
        <v>-1.1452329999999999</v>
      </c>
      <c r="T1584">
        <v>-0.25826009999999999</v>
      </c>
      <c r="U1584">
        <v>-2.8702999999999999</v>
      </c>
      <c r="V1584">
        <v>0.23470730000000001</v>
      </c>
      <c r="W1584">
        <v>0.15416389999999999</v>
      </c>
      <c r="X1584">
        <v>0.95976349999999999</v>
      </c>
      <c r="Y1584">
        <v>0.34723169999999998</v>
      </c>
      <c r="Z1584">
        <v>8.3610149999999994E-2</v>
      </c>
      <c r="AA1584">
        <v>0.93404469999999995</v>
      </c>
      <c r="AB1584">
        <v>22</v>
      </c>
      <c r="AC1584">
        <v>-4.9091999999999896</v>
      </c>
      <c r="AD1584">
        <v>-1.108703056303</v>
      </c>
      <c r="AE1584">
        <v>-12.113200000000001</v>
      </c>
      <c r="AF1584">
        <v>4.5884847758972898</v>
      </c>
      <c r="AG1584">
        <v>-1.108703056303</v>
      </c>
      <c r="AH1584">
        <v>12.138513255689499</v>
      </c>
      <c r="AI1584">
        <v>94.883333868234402</v>
      </c>
      <c r="AJ1584">
        <v>69.292884318385802</v>
      </c>
      <c r="AK1584">
        <v>13.0240899514802</v>
      </c>
      <c r="AL1584">
        <v>81.131691577939606</v>
      </c>
      <c r="AM1584">
        <v>76.258186271767201</v>
      </c>
      <c r="AN1584">
        <v>1.0000000003343701</v>
      </c>
    </row>
    <row r="1585" spans="1:40" x14ac:dyDescent="0.25">
      <c r="A1585" t="str">
        <f>"20190312172922119"</f>
        <v>20190312172922119</v>
      </c>
      <c r="B1585" t="str">
        <f>"1552382962109457"</f>
        <v>1552382962109457</v>
      </c>
      <c r="C1585" t="s">
        <v>40</v>
      </c>
      <c r="D1585">
        <v>3.8041469999999999</v>
      </c>
      <c r="E1585">
        <v>0.54770799999999997</v>
      </c>
      <c r="F1585" t="s">
        <v>41</v>
      </c>
      <c r="G1585">
        <v>-195.4607</v>
      </c>
      <c r="H1585" s="1">
        <v>-1.966811E-6</v>
      </c>
      <c r="I1585">
        <v>300.78699999999998</v>
      </c>
      <c r="J1585">
        <v>-190.46119999999999</v>
      </c>
      <c r="K1585">
        <v>1.10869</v>
      </c>
      <c r="L1585">
        <v>312.94260000000003</v>
      </c>
      <c r="M1585">
        <v>-2.62837E-2</v>
      </c>
      <c r="N1585">
        <v>0</v>
      </c>
      <c r="O1585">
        <v>-0.99956120000000004</v>
      </c>
      <c r="P1585">
        <v>-0.261268</v>
      </c>
      <c r="Q1585">
        <v>0.141716799999999</v>
      </c>
      <c r="R1585">
        <v>-0.95480659999999895</v>
      </c>
      <c r="S1585">
        <v>-1.158676</v>
      </c>
      <c r="T1585">
        <v>-0.25651760000000001</v>
      </c>
      <c r="U1585">
        <v>-2.865021</v>
      </c>
      <c r="V1585">
        <v>0.23665729999999999</v>
      </c>
      <c r="W1585">
        <v>0.1539557</v>
      </c>
      <c r="X1585">
        <v>0.959318</v>
      </c>
      <c r="Y1585">
        <v>0.34912939999999998</v>
      </c>
      <c r="Z1585">
        <v>8.3083069999999995E-2</v>
      </c>
      <c r="AA1585">
        <v>0.93338410000000005</v>
      </c>
      <c r="AB1585">
        <v>22</v>
      </c>
      <c r="AC1585">
        <v>-4.99950000000001</v>
      </c>
      <c r="AD1585">
        <v>-1.108691966811</v>
      </c>
      <c r="AE1585">
        <v>-12.1555999999999</v>
      </c>
      <c r="AF1585">
        <v>4.6451964405361998</v>
      </c>
      <c r="AG1585">
        <v>-1.108691966811</v>
      </c>
      <c r="AH1585">
        <v>12.1960386017599</v>
      </c>
      <c r="AI1585">
        <v>94.855765032865804</v>
      </c>
      <c r="AJ1585">
        <v>69.149289721084699</v>
      </c>
      <c r="AK1585">
        <v>13.097725200356701</v>
      </c>
      <c r="AL1585">
        <v>81.143764960151401</v>
      </c>
      <c r="AM1585">
        <v>76.1422113560659</v>
      </c>
      <c r="AN1585">
        <v>1.0000000301648799</v>
      </c>
    </row>
    <row r="1586" spans="1:40" x14ac:dyDescent="0.25">
      <c r="A1586" t="str">
        <f>"20190312172922143"</f>
        <v>20190312172922143</v>
      </c>
      <c r="B1586" t="str">
        <f>"1552382962138737"</f>
        <v>1552382962138737</v>
      </c>
      <c r="C1586" t="s">
        <v>40</v>
      </c>
      <c r="D1586">
        <v>3.7843939999999998</v>
      </c>
      <c r="E1586">
        <v>0.54756830000000001</v>
      </c>
      <c r="F1586" t="s">
        <v>41</v>
      </c>
      <c r="G1586">
        <v>-195.51580000000001</v>
      </c>
      <c r="H1586" s="1">
        <v>-1.9037160000000001E-6</v>
      </c>
      <c r="I1586">
        <v>300.60570000000001</v>
      </c>
      <c r="J1586">
        <v>-190.47020000000001</v>
      </c>
      <c r="K1586">
        <v>1.108681</v>
      </c>
      <c r="L1586">
        <v>312.71809999999999</v>
      </c>
      <c r="M1586">
        <v>-2.8920580000000001E-2</v>
      </c>
      <c r="N1586">
        <v>0</v>
      </c>
      <c r="O1586">
        <v>-0.9994885</v>
      </c>
      <c r="P1586">
        <v>-0.26554349999999999</v>
      </c>
      <c r="Q1586">
        <v>0.14179659999999999</v>
      </c>
      <c r="R1586">
        <v>-0.95361470000000004</v>
      </c>
      <c r="S1586">
        <v>-1.1716</v>
      </c>
      <c r="T1586">
        <v>-0.2569824</v>
      </c>
      <c r="U1586">
        <v>-2.8595579999999998</v>
      </c>
      <c r="V1586">
        <v>0.2384318</v>
      </c>
      <c r="W1586">
        <v>0.15401790000000001</v>
      </c>
      <c r="X1586">
        <v>0.95886850000000001</v>
      </c>
      <c r="Y1586">
        <v>0.35088970000000003</v>
      </c>
      <c r="Z1586">
        <v>8.3273379999999994E-2</v>
      </c>
      <c r="AA1586">
        <v>0.93270679999999995</v>
      </c>
      <c r="AB1586">
        <v>22</v>
      </c>
      <c r="AC1586">
        <v>-5.0456000000000003</v>
      </c>
      <c r="AD1586">
        <v>-1.108682903716</v>
      </c>
      <c r="AE1586">
        <v>-12.1123999999999</v>
      </c>
      <c r="AF1586">
        <v>4.6598900201042897</v>
      </c>
      <c r="AG1586">
        <v>-1.108682903716</v>
      </c>
      <c r="AH1586">
        <v>12.166407067314401</v>
      </c>
      <c r="AI1586">
        <v>94.864048390187804</v>
      </c>
      <c r="AJ1586">
        <v>69.042519009731507</v>
      </c>
      <c r="AK1586">
        <v>13.0753666758549</v>
      </c>
      <c r="AL1586">
        <v>81.140158040039793</v>
      </c>
      <c r="AM1586">
        <v>76.036064201736494</v>
      </c>
      <c r="AN1586">
        <v>1.00000001853195</v>
      </c>
    </row>
    <row r="1587" spans="1:40" x14ac:dyDescent="0.25">
      <c r="A1587" t="str">
        <f>"20190312172922166"</f>
        <v>20190312172922166</v>
      </c>
      <c r="B1587" t="str">
        <f>"1552382962159233"</f>
        <v>1552382962159233</v>
      </c>
      <c r="C1587" t="s">
        <v>40</v>
      </c>
      <c r="D1587">
        <v>3.761584</v>
      </c>
      <c r="E1587">
        <v>0.54746810000000001</v>
      </c>
      <c r="F1587" t="s">
        <v>41</v>
      </c>
      <c r="G1587">
        <v>-195.5804</v>
      </c>
      <c r="H1587" s="1">
        <v>-1.828746E-6</v>
      </c>
      <c r="I1587">
        <v>300.39089999999999</v>
      </c>
      <c r="J1587">
        <v>-190.4796</v>
      </c>
      <c r="K1587">
        <v>1.10867</v>
      </c>
      <c r="L1587">
        <v>312.4984</v>
      </c>
      <c r="M1587">
        <v>-3.1528199999999999E-2</v>
      </c>
      <c r="N1587">
        <v>0</v>
      </c>
      <c r="O1587">
        <v>-0.99940960000000001</v>
      </c>
      <c r="P1587">
        <v>-0.26959480000000002</v>
      </c>
      <c r="Q1587">
        <v>0.14175679999999999</v>
      </c>
      <c r="R1587">
        <v>-0.95248299999999997</v>
      </c>
      <c r="S1587">
        <v>-1.1833499999999999</v>
      </c>
      <c r="T1587">
        <v>-0.25673249999999997</v>
      </c>
      <c r="U1587">
        <v>-2.8545530000000001</v>
      </c>
      <c r="V1587">
        <v>0.24001259999999999</v>
      </c>
      <c r="W1587">
        <v>0.15395989999999901</v>
      </c>
      <c r="X1587">
        <v>0.95848330000000004</v>
      </c>
      <c r="Y1587">
        <v>0.35230329999999999</v>
      </c>
      <c r="Z1587">
        <v>8.3231689999999997E-2</v>
      </c>
      <c r="AA1587">
        <v>0.93217749999999999</v>
      </c>
      <c r="AB1587">
        <v>22</v>
      </c>
      <c r="AC1587">
        <v>-5.1007999999999898</v>
      </c>
      <c r="AD1587">
        <v>-1.108671828746</v>
      </c>
      <c r="AE1587">
        <v>-12.1075</v>
      </c>
      <c r="AF1587">
        <v>4.6831517530242399</v>
      </c>
      <c r="AG1587">
        <v>-1.108671828746</v>
      </c>
      <c r="AH1587">
        <v>12.175611334731901</v>
      </c>
      <c r="AI1587">
        <v>94.857718332952302</v>
      </c>
      <c r="AJ1587">
        <v>68.961569424168701</v>
      </c>
      <c r="AK1587">
        <v>13.0922333824356</v>
      </c>
      <c r="AL1587">
        <v>81.143520856279494</v>
      </c>
      <c r="AM1587">
        <v>75.941716913469193</v>
      </c>
      <c r="AN1587">
        <v>0.99999996767282895</v>
      </c>
    </row>
    <row r="1588" spans="1:40" x14ac:dyDescent="0.25">
      <c r="A1588" t="str">
        <f>"20190312172922187"</f>
        <v>20190312172922187</v>
      </c>
      <c r="B1588" t="str">
        <f>"1552382962178754"</f>
        <v>1552382962178754</v>
      </c>
      <c r="C1588" t="s">
        <v>40</v>
      </c>
      <c r="D1588">
        <v>3.776573</v>
      </c>
      <c r="E1588">
        <v>0.54268280000000002</v>
      </c>
      <c r="F1588" t="s">
        <v>41</v>
      </c>
      <c r="G1588">
        <v>-195.63380000000001</v>
      </c>
      <c r="H1588" s="1">
        <v>-1.7634750000000001E-6</v>
      </c>
      <c r="I1588">
        <v>300.2056</v>
      </c>
      <c r="J1588">
        <v>-190.4889</v>
      </c>
      <c r="K1588">
        <v>1.1086659999999999</v>
      </c>
      <c r="L1588">
        <v>312.29570000000001</v>
      </c>
      <c r="M1588">
        <v>-3.3966209999999997E-2</v>
      </c>
      <c r="N1588">
        <v>0</v>
      </c>
      <c r="O1588">
        <v>-0.99932980000000005</v>
      </c>
      <c r="P1588">
        <v>-0.2732888</v>
      </c>
      <c r="Q1588">
        <v>0.14218120000000001</v>
      </c>
      <c r="R1588">
        <v>-0.95136639999999995</v>
      </c>
      <c r="S1588">
        <v>-1.1948240000000001</v>
      </c>
      <c r="T1588">
        <v>-0.25701020000000002</v>
      </c>
      <c r="U1588">
        <v>-2.849701</v>
      </c>
      <c r="V1588">
        <v>0.24140410000000001</v>
      </c>
      <c r="W1588">
        <v>0.154366</v>
      </c>
      <c r="X1588">
        <v>0.95806849999999999</v>
      </c>
      <c r="Y1588">
        <v>0.35377540000000002</v>
      </c>
      <c r="Z1588">
        <v>8.335534E-2</v>
      </c>
      <c r="AA1588">
        <v>0.93160869999999996</v>
      </c>
      <c r="AB1588">
        <v>21</v>
      </c>
      <c r="AC1588">
        <v>-5.1448999999999998</v>
      </c>
      <c r="AD1588">
        <v>-1.108667763475</v>
      </c>
      <c r="AE1588">
        <v>-12.0901</v>
      </c>
      <c r="AF1588">
        <v>4.6977908829491799</v>
      </c>
      <c r="AG1588">
        <v>-1.108667763475</v>
      </c>
      <c r="AH1588">
        <v>12.171236285541299</v>
      </c>
      <c r="AI1588">
        <v>94.857263032233703</v>
      </c>
      <c r="AJ1588">
        <v>68.894666738956104</v>
      </c>
      <c r="AK1588">
        <v>13.093409644098299</v>
      </c>
      <c r="AL1588">
        <v>81.119972039990301</v>
      </c>
      <c r="AM1588">
        <v>75.857596371971397</v>
      </c>
      <c r="AN1588">
        <v>1.0000000260725199</v>
      </c>
    </row>
    <row r="1589" spans="1:40" x14ac:dyDescent="0.25">
      <c r="A1589" t="str">
        <f>"20190312172922209"</f>
        <v>20190312172922209</v>
      </c>
      <c r="B1589" t="str">
        <f>"1552382962199249"</f>
        <v>1552382962199249</v>
      </c>
      <c r="C1589" t="s">
        <v>40</v>
      </c>
      <c r="D1589">
        <v>3.7794699999999999</v>
      </c>
      <c r="E1589">
        <v>0.54327840000000005</v>
      </c>
      <c r="F1589" t="s">
        <v>41</v>
      </c>
      <c r="G1589">
        <v>-195.3674</v>
      </c>
      <c r="H1589" s="1">
        <v>-1.7690609999999999E-6</v>
      </c>
      <c r="I1589">
        <v>300.38380000000001</v>
      </c>
      <c r="J1589">
        <v>-190.4992</v>
      </c>
      <c r="K1589">
        <v>1.108654</v>
      </c>
      <c r="L1589">
        <v>312.08170000000001</v>
      </c>
      <c r="M1589">
        <v>-3.6570249999999999E-2</v>
      </c>
      <c r="N1589">
        <v>0</v>
      </c>
      <c r="O1589">
        <v>-0.99923790000000001</v>
      </c>
      <c r="P1589">
        <v>-0.277223</v>
      </c>
      <c r="Q1589">
        <v>0.1423905</v>
      </c>
      <c r="R1589">
        <v>-0.95019620000000005</v>
      </c>
      <c r="S1589">
        <v>-1.1700740000000001</v>
      </c>
      <c r="T1589">
        <v>-0.26590469999999999</v>
      </c>
      <c r="U1589">
        <v>-2.8569640000000001</v>
      </c>
      <c r="V1589">
        <v>0.2428804</v>
      </c>
      <c r="W1589">
        <v>0.1545578</v>
      </c>
      <c r="X1589">
        <v>0.95766439999999997</v>
      </c>
      <c r="Y1589">
        <v>0.34348810000000002</v>
      </c>
      <c r="Z1589">
        <v>8.6311189999999996E-2</v>
      </c>
      <c r="AA1589">
        <v>0.93518250000000003</v>
      </c>
      <c r="AB1589">
        <v>21</v>
      </c>
      <c r="AC1589">
        <v>-4.8681999999999999</v>
      </c>
      <c r="AD1589">
        <v>-1.1086557690609999</v>
      </c>
      <c r="AE1589">
        <v>-11.697900000000001</v>
      </c>
      <c r="AF1589">
        <v>4.4033950272413396</v>
      </c>
      <c r="AG1589">
        <v>-1.1086557690609999</v>
      </c>
      <c r="AH1589">
        <v>11.7779479567292</v>
      </c>
      <c r="AI1589">
        <v>95.038695997760001</v>
      </c>
      <c r="AJ1589">
        <v>69.500850494679895</v>
      </c>
      <c r="AK1589">
        <v>12.6229577933077</v>
      </c>
      <c r="AL1589">
        <v>81.108849460082695</v>
      </c>
      <c r="AM1589">
        <v>75.768850773656098</v>
      </c>
      <c r="AN1589">
        <v>1.0000000526361701</v>
      </c>
    </row>
    <row r="1590" spans="1:40" x14ac:dyDescent="0.25">
      <c r="A1590" t="str">
        <f>"20190312172922232"</f>
        <v>20190312172922232</v>
      </c>
      <c r="B1590" t="str">
        <f>"1552382962228530"</f>
        <v>1552382962228530</v>
      </c>
      <c r="C1590" t="s">
        <v>40</v>
      </c>
      <c r="D1590">
        <v>3.7982290000000001</v>
      </c>
      <c r="E1590">
        <v>0.55433849999999996</v>
      </c>
      <c r="F1590" t="s">
        <v>41</v>
      </c>
      <c r="G1590">
        <v>-195.5001</v>
      </c>
      <c r="H1590" s="1">
        <v>-1.668453E-6</v>
      </c>
      <c r="I1590">
        <v>300.06700000000001</v>
      </c>
      <c r="J1590">
        <v>-190.51060000000001</v>
      </c>
      <c r="K1590">
        <v>1.108646</v>
      </c>
      <c r="L1590">
        <v>311.8596</v>
      </c>
      <c r="M1590">
        <v>-3.9309669999999998E-2</v>
      </c>
      <c r="N1590">
        <v>0</v>
      </c>
      <c r="O1590">
        <v>-0.99913370000000001</v>
      </c>
      <c r="P1590">
        <v>-0.28108759999999999</v>
      </c>
      <c r="Q1590">
        <v>0.14216879999999901</v>
      </c>
      <c r="R1590">
        <v>-0.94909330000000003</v>
      </c>
      <c r="S1590">
        <v>-1.1864619999999999</v>
      </c>
      <c r="T1590">
        <v>-0.26303219999999999</v>
      </c>
      <c r="U1590">
        <v>-2.8505250000000002</v>
      </c>
      <c r="V1590">
        <v>0.2441565</v>
      </c>
      <c r="W1590">
        <v>0.15432029999999999</v>
      </c>
      <c r="X1590">
        <v>0.95737810000000001</v>
      </c>
      <c r="Y1590">
        <v>0.34627550000000001</v>
      </c>
      <c r="Z1590">
        <v>8.5414840000000006E-2</v>
      </c>
      <c r="AA1590">
        <v>0.93423630000000002</v>
      </c>
      <c r="AB1590">
        <v>21</v>
      </c>
      <c r="AC1590">
        <v>-4.9894999999999898</v>
      </c>
      <c r="AD1590">
        <v>-1.108647668453</v>
      </c>
      <c r="AE1590">
        <v>-11.792599999999901</v>
      </c>
      <c r="AF1590">
        <v>4.4883899237120604</v>
      </c>
      <c r="AG1590">
        <v>-1.108647668453</v>
      </c>
      <c r="AH1590">
        <v>11.8905024721278</v>
      </c>
      <c r="AI1590">
        <v>94.985308953298201</v>
      </c>
      <c r="AJ1590">
        <v>69.319637152251005</v>
      </c>
      <c r="AK1590">
        <v>12.7576954345103</v>
      </c>
      <c r="AL1590">
        <v>81.1226218808022</v>
      </c>
      <c r="AM1590">
        <v>75.693038598251206</v>
      </c>
      <c r="AN1590">
        <v>0.99999998892197495</v>
      </c>
    </row>
    <row r="1591" spans="1:40" x14ac:dyDescent="0.25">
      <c r="A1591" t="str">
        <f>"20190312172922253"</f>
        <v>20190312172922253</v>
      </c>
      <c r="B1591" t="str">
        <f>"1552382962249025"</f>
        <v>1552382962249025</v>
      </c>
      <c r="C1591" t="s">
        <v>40</v>
      </c>
      <c r="D1591">
        <v>3.8009050000000002</v>
      </c>
      <c r="E1591">
        <v>0.55472589999999999</v>
      </c>
      <c r="F1591" t="s">
        <v>46</v>
      </c>
      <c r="G1591">
        <v>-197.53989999999999</v>
      </c>
      <c r="H1591" s="1">
        <v>5.6297930000000003E-7</v>
      </c>
      <c r="I1591">
        <v>296.41969999999998</v>
      </c>
      <c r="J1591">
        <v>-190.52180000000001</v>
      </c>
      <c r="K1591">
        <v>1.108643</v>
      </c>
      <c r="L1591">
        <v>311.65230000000003</v>
      </c>
      <c r="M1591">
        <v>-4.1899949999999998E-2</v>
      </c>
      <c r="N1591">
        <v>0</v>
      </c>
      <c r="O1591">
        <v>-0.99902860000000004</v>
      </c>
      <c r="P1591">
        <v>-0.28464</v>
      </c>
      <c r="Q1591">
        <v>0.14205200000000001</v>
      </c>
      <c r="R1591">
        <v>-0.94805130000000004</v>
      </c>
      <c r="S1591">
        <v>-1.2802119999999999</v>
      </c>
      <c r="T1591">
        <v>-0.2019128</v>
      </c>
      <c r="U1591">
        <v>-2.8120120000000002</v>
      </c>
      <c r="V1591">
        <v>0.2452646</v>
      </c>
      <c r="W1591">
        <v>0.15418879999999999</v>
      </c>
      <c r="X1591">
        <v>0.95711599999999997</v>
      </c>
      <c r="Y1591">
        <v>0.37495220000000001</v>
      </c>
      <c r="Z1591">
        <v>6.5685999999999994E-2</v>
      </c>
      <c r="AA1591">
        <v>0.92471409999999998</v>
      </c>
      <c r="AB1591">
        <v>21</v>
      </c>
      <c r="AC1591">
        <v>-7.0180999999999703</v>
      </c>
      <c r="AD1591">
        <v>-1.1086424370207</v>
      </c>
      <c r="AE1591">
        <v>-15.2326</v>
      </c>
      <c r="AF1591">
        <v>6.3459023757390201</v>
      </c>
      <c r="AG1591">
        <v>-1.1086424370207</v>
      </c>
      <c r="AH1591">
        <v>15.4458148237969</v>
      </c>
      <c r="AI1591">
        <v>93.798366392365693</v>
      </c>
      <c r="AJ1591">
        <v>67.664724220966207</v>
      </c>
      <c r="AK1591">
        <v>16.735374527825702</v>
      </c>
      <c r="AL1591">
        <v>81.130247410831302</v>
      </c>
      <c r="AM1591">
        <v>75.627017683854902</v>
      </c>
      <c r="AN1591">
        <v>0.99999997375729899</v>
      </c>
    </row>
    <row r="1592" spans="1:40" x14ac:dyDescent="0.25">
      <c r="A1592" t="str">
        <f>"20190312172922277"</f>
        <v>20190312172922277</v>
      </c>
      <c r="B1592" t="str">
        <f>"1552382962268546"</f>
        <v>1552382962268546</v>
      </c>
      <c r="C1592" t="s">
        <v>40</v>
      </c>
      <c r="D1592">
        <v>3.734172</v>
      </c>
      <c r="E1592">
        <v>0.55481979999999997</v>
      </c>
      <c r="F1592" t="s">
        <v>46</v>
      </c>
      <c r="G1592">
        <v>-197.62739999999999</v>
      </c>
      <c r="H1592" s="1">
        <v>5.9453449999999998E-7</v>
      </c>
      <c r="I1592">
        <v>296.2405</v>
      </c>
      <c r="J1592">
        <v>-190.53440000000001</v>
      </c>
      <c r="K1592">
        <v>1.1086339999999999</v>
      </c>
      <c r="L1592">
        <v>311.43180000000001</v>
      </c>
      <c r="M1592">
        <v>-4.4692679999999999E-2</v>
      </c>
      <c r="N1592">
        <v>0</v>
      </c>
      <c r="O1592">
        <v>-0.99890760000000001</v>
      </c>
      <c r="P1592">
        <v>-0.28848259999999998</v>
      </c>
      <c r="Q1592">
        <v>0.14213039999999999</v>
      </c>
      <c r="R1592">
        <v>-0.94687739999999998</v>
      </c>
      <c r="S1592">
        <v>-1.2937620000000001</v>
      </c>
      <c r="T1592">
        <v>-0.20185890000000001</v>
      </c>
      <c r="U1592">
        <v>-2.806152</v>
      </c>
      <c r="V1592">
        <v>0.24647839999999999</v>
      </c>
      <c r="W1592">
        <v>0.1542501</v>
      </c>
      <c r="X1592">
        <v>0.95679429999999999</v>
      </c>
      <c r="Y1592">
        <v>0.3767778</v>
      </c>
      <c r="Z1592">
        <v>6.5692429999999996E-2</v>
      </c>
      <c r="AA1592">
        <v>0.9239714</v>
      </c>
      <c r="AB1592">
        <v>21</v>
      </c>
      <c r="AC1592">
        <v>-7.0929999999999804</v>
      </c>
      <c r="AD1592">
        <v>-1.1086334054655</v>
      </c>
      <c r="AE1592">
        <v>-15.1913</v>
      </c>
      <c r="AF1592">
        <v>6.3790154520208899</v>
      </c>
      <c r="AG1592">
        <v>-1.1086334054655</v>
      </c>
      <c r="AH1592">
        <v>15.425702562742901</v>
      </c>
      <c r="AI1592">
        <v>93.799691292557299</v>
      </c>
      <c r="AJ1592">
        <v>67.533359445384804</v>
      </c>
      <c r="AK1592">
        <v>16.729411397865999</v>
      </c>
      <c r="AL1592">
        <v>81.126693010387598</v>
      </c>
      <c r="AM1592">
        <v>75.5542018862606</v>
      </c>
      <c r="AN1592">
        <v>1.00000001376453</v>
      </c>
    </row>
    <row r="1593" spans="1:40" x14ac:dyDescent="0.25">
      <c r="A1593" t="str">
        <f>"20190312172922299"</f>
        <v>20190312172922299</v>
      </c>
      <c r="B1593" t="str">
        <f>"1552382962289041"</f>
        <v>1552382962289041</v>
      </c>
      <c r="C1593" t="s">
        <v>40</v>
      </c>
      <c r="D1593">
        <v>3.743817</v>
      </c>
      <c r="E1593">
        <v>0.55472969999999999</v>
      </c>
      <c r="F1593" t="s">
        <v>46</v>
      </c>
      <c r="G1593">
        <v>-197.67259999999999</v>
      </c>
      <c r="H1593" s="1">
        <v>6.1597680000000003E-7</v>
      </c>
      <c r="I1593">
        <v>296.11869999999999</v>
      </c>
      <c r="J1593">
        <v>-190.5472</v>
      </c>
      <c r="K1593">
        <v>1.108622</v>
      </c>
      <c r="L1593">
        <v>311.21719999999999</v>
      </c>
      <c r="M1593">
        <v>-4.7445679999999997E-2</v>
      </c>
      <c r="N1593">
        <v>0</v>
      </c>
      <c r="O1593">
        <v>-0.99878040000000001</v>
      </c>
      <c r="P1593">
        <v>-0.29216320000000001</v>
      </c>
      <c r="Q1593">
        <v>0.14220929999999901</v>
      </c>
      <c r="R1593">
        <v>-0.94573629999999997</v>
      </c>
      <c r="S1593">
        <v>-1.3056639999999999</v>
      </c>
      <c r="T1593">
        <v>-0.20278189999999999</v>
      </c>
      <c r="U1593">
        <v>-2.8009339999999998</v>
      </c>
      <c r="V1593">
        <v>0.24757109999999999</v>
      </c>
      <c r="W1593">
        <v>0.15431139999999999</v>
      </c>
      <c r="X1593">
        <v>0.95650230000000003</v>
      </c>
      <c r="Y1593">
        <v>0.37810129999999997</v>
      </c>
      <c r="Z1593">
        <v>6.6015089999999998E-2</v>
      </c>
      <c r="AA1593">
        <v>0.92340750000000005</v>
      </c>
      <c r="AB1593">
        <v>21</v>
      </c>
      <c r="AC1593">
        <v>-7.1253999999999804</v>
      </c>
      <c r="AD1593">
        <v>-1.1086213840232</v>
      </c>
      <c r="AE1593">
        <v>-15.0985</v>
      </c>
      <c r="AF1593">
        <v>6.3728485196394002</v>
      </c>
      <c r="AG1593">
        <v>-1.1086213840232</v>
      </c>
      <c r="AH1593">
        <v>15.351902459592999</v>
      </c>
      <c r="AI1593">
        <v>93.815727497943996</v>
      </c>
      <c r="AJ1593">
        <v>67.455790660026693</v>
      </c>
      <c r="AK1593">
        <v>16.659026044647401</v>
      </c>
      <c r="AL1593">
        <v>81.123138576192602</v>
      </c>
      <c r="AM1593">
        <v>75.488614951349902</v>
      </c>
      <c r="AN1593">
        <v>1.0000000538152201</v>
      </c>
    </row>
    <row r="1594" spans="1:40" x14ac:dyDescent="0.25">
      <c r="A1594" t="str">
        <f>"20190312172922321"</f>
        <v>20190312172922321</v>
      </c>
      <c r="B1594" t="str">
        <f>"1552382962308562"</f>
        <v>1552382962308562</v>
      </c>
      <c r="C1594" t="s">
        <v>40</v>
      </c>
      <c r="D1594">
        <v>3.7726700000000002</v>
      </c>
      <c r="E1594">
        <v>0.554598699999999</v>
      </c>
      <c r="F1594" t="s">
        <v>46</v>
      </c>
      <c r="G1594">
        <v>-197.71209999999999</v>
      </c>
      <c r="H1594" s="1">
        <v>6.384223E-7</v>
      </c>
      <c r="I1594">
        <v>295.99130000000002</v>
      </c>
      <c r="J1594">
        <v>-190.56030000000001</v>
      </c>
      <c r="K1594">
        <v>1.1086069999999999</v>
      </c>
      <c r="L1594">
        <v>311.00810000000001</v>
      </c>
      <c r="M1594">
        <v>-5.0163050000000001E-2</v>
      </c>
      <c r="N1594">
        <v>0</v>
      </c>
      <c r="O1594">
        <v>-0.99864770000000003</v>
      </c>
      <c r="P1594">
        <v>-0.2955565</v>
      </c>
      <c r="Q1594">
        <v>0.1424086</v>
      </c>
      <c r="R1594">
        <v>-0.94465169999999998</v>
      </c>
      <c r="S1594">
        <v>-1.3158259999999999</v>
      </c>
      <c r="T1594">
        <v>-0.20359769999999999</v>
      </c>
      <c r="U1594">
        <v>-2.7962340000000001</v>
      </c>
      <c r="V1594">
        <v>0.2484122</v>
      </c>
      <c r="W1594">
        <v>0.15449370000000001</v>
      </c>
      <c r="X1594">
        <v>0.95625470000000001</v>
      </c>
      <c r="Y1594">
        <v>0.3789208</v>
      </c>
      <c r="Z1594">
        <v>6.6306290000000004E-2</v>
      </c>
      <c r="AA1594">
        <v>0.9230507</v>
      </c>
      <c r="AB1594">
        <v>21</v>
      </c>
      <c r="AC1594">
        <v>-7.1517999999999802</v>
      </c>
      <c r="AD1594">
        <v>-1.1086063615777</v>
      </c>
      <c r="AE1594">
        <v>-15.0167999999999</v>
      </c>
      <c r="AF1594">
        <v>6.3611767317880403</v>
      </c>
      <c r="AG1594">
        <v>-1.1086063615777</v>
      </c>
      <c r="AH1594">
        <v>15.288761322698999</v>
      </c>
      <c r="AI1594">
        <v>93.8301003282523</v>
      </c>
      <c r="AJ1594">
        <v>67.409328645774593</v>
      </c>
      <c r="AK1594">
        <v>16.596379131016199</v>
      </c>
      <c r="AL1594">
        <v>81.112566188481296</v>
      </c>
      <c r="AM1594">
        <v>75.437796002361296</v>
      </c>
      <c r="AN1594">
        <v>0.99999998786030997</v>
      </c>
    </row>
    <row r="1595" spans="1:40" x14ac:dyDescent="0.25">
      <c r="A1595" t="str">
        <f>"20190312172922344"</f>
        <v>20190312172922344</v>
      </c>
      <c r="B1595" t="str">
        <f>"1552382962338817"</f>
        <v>1552382962338817</v>
      </c>
      <c r="C1595" t="s">
        <v>40</v>
      </c>
      <c r="D1595">
        <v>3.7780749999999999</v>
      </c>
      <c r="E1595">
        <v>0.55417669999999997</v>
      </c>
      <c r="F1595" t="s">
        <v>46</v>
      </c>
      <c r="G1595">
        <v>-197.79750000000001</v>
      </c>
      <c r="H1595" s="1">
        <v>6.7922799999999897E-7</v>
      </c>
      <c r="I1595">
        <v>295.75959999999998</v>
      </c>
      <c r="J1595">
        <v>-190.5744</v>
      </c>
      <c r="K1595">
        <v>1.1085910000000001</v>
      </c>
      <c r="L1595">
        <v>310.79270000000002</v>
      </c>
      <c r="M1595">
        <v>-5.2998999999999998E-2</v>
      </c>
      <c r="N1595">
        <v>0</v>
      </c>
      <c r="O1595">
        <v>-0.99850110000000003</v>
      </c>
      <c r="P1595">
        <v>-0.29897560000000001</v>
      </c>
      <c r="Q1595">
        <v>0.142354799999999</v>
      </c>
      <c r="R1595">
        <v>-0.94358299999999995</v>
      </c>
      <c r="S1595">
        <v>-1.325043</v>
      </c>
      <c r="T1595">
        <v>-0.20297209999999999</v>
      </c>
      <c r="U1595">
        <v>-2.7918090000000002</v>
      </c>
      <c r="V1595">
        <v>0.249167</v>
      </c>
      <c r="W1595">
        <v>0.154423</v>
      </c>
      <c r="X1595">
        <v>0.95606979999999997</v>
      </c>
      <c r="Y1595">
        <v>0.37935229999999998</v>
      </c>
      <c r="Z1595">
        <v>6.6132629999999998E-2</v>
      </c>
      <c r="AA1595">
        <v>0.92288590000000004</v>
      </c>
      <c r="AB1595">
        <v>21</v>
      </c>
      <c r="AC1595">
        <v>-7.2231000000000103</v>
      </c>
      <c r="AD1595">
        <v>-1.10859032077199</v>
      </c>
      <c r="AE1595">
        <v>-15.033099999999999</v>
      </c>
      <c r="AF1595">
        <v>6.3879104061743099</v>
      </c>
      <c r="AG1595">
        <v>-1.10859032077199</v>
      </c>
      <c r="AH1595">
        <v>15.3271040522096</v>
      </c>
      <c r="AI1595">
        <v>93.819541443842198</v>
      </c>
      <c r="AJ1595">
        <v>67.37498459471</v>
      </c>
      <c r="AK1595">
        <v>16.641949720026201</v>
      </c>
      <c r="AL1595">
        <v>81.116666846034803</v>
      </c>
      <c r="AM1595">
        <v>75.392734260700095</v>
      </c>
      <c r="AN1595">
        <v>1.00000005964501</v>
      </c>
    </row>
    <row r="1596" spans="1:40" x14ac:dyDescent="0.25">
      <c r="A1596" t="str">
        <f>"20190312172922369"</f>
        <v>20190312172922369</v>
      </c>
      <c r="B1596" t="str">
        <f>"1552382962359313"</f>
        <v>1552382962359313</v>
      </c>
      <c r="C1596" t="s">
        <v>40</v>
      </c>
      <c r="D1596">
        <v>3.8012049999999999</v>
      </c>
      <c r="E1596">
        <v>0.55405550000000003</v>
      </c>
      <c r="F1596" t="s">
        <v>46</v>
      </c>
      <c r="G1596">
        <v>-197.84620000000001</v>
      </c>
      <c r="H1596" s="1">
        <v>7.2844479999999997E-7</v>
      </c>
      <c r="I1596">
        <v>295.57650000000001</v>
      </c>
      <c r="J1596">
        <v>-190.5907</v>
      </c>
      <c r="K1596">
        <v>1.1085750000000001</v>
      </c>
      <c r="L1596">
        <v>310.55739999999997</v>
      </c>
      <c r="M1596">
        <v>-5.6144680000000002E-2</v>
      </c>
      <c r="N1596">
        <v>0</v>
      </c>
      <c r="O1596">
        <v>-0.99832949999999998</v>
      </c>
      <c r="P1596">
        <v>-0.30256490000000003</v>
      </c>
      <c r="Q1596">
        <v>0.14257010000000001</v>
      </c>
      <c r="R1596">
        <v>-0.94240559999999995</v>
      </c>
      <c r="S1596">
        <v>-1.332306</v>
      </c>
      <c r="T1596">
        <v>-0.2031124</v>
      </c>
      <c r="U1596">
        <v>-2.7878720000000001</v>
      </c>
      <c r="V1596">
        <v>0.249805</v>
      </c>
      <c r="W1596">
        <v>0.15462039999999999</v>
      </c>
      <c r="X1596">
        <v>0.95587129999999998</v>
      </c>
      <c r="Y1596">
        <v>0.37890000000000001</v>
      </c>
      <c r="Z1596">
        <v>6.6215880000000005E-2</v>
      </c>
      <c r="AA1596">
        <v>0.92306569999999999</v>
      </c>
      <c r="AB1596">
        <v>21</v>
      </c>
      <c r="AC1596">
        <v>-7.2555000000000103</v>
      </c>
      <c r="AD1596">
        <v>-1.1085742715551901</v>
      </c>
      <c r="AE1596">
        <v>-14.980899999999901</v>
      </c>
      <c r="AF1596">
        <v>6.3746028711631304</v>
      </c>
      <c r="AG1596">
        <v>-1.1085742715551901</v>
      </c>
      <c r="AH1596">
        <v>15.2968122843704</v>
      </c>
      <c r="AI1596">
        <v>93.827087932986402</v>
      </c>
      <c r="AJ1596">
        <v>67.3771635371576</v>
      </c>
      <c r="AK1596">
        <v>16.6089423126176</v>
      </c>
      <c r="AL1596">
        <v>81.105218399571598</v>
      </c>
      <c r="AM1596">
        <v>75.354027375248506</v>
      </c>
      <c r="AN1596">
        <v>0.99999997414242403</v>
      </c>
    </row>
    <row r="1597" spans="1:40" x14ac:dyDescent="0.25">
      <c r="A1597" t="str">
        <f>"20190312172922386"</f>
        <v>20190312172922386</v>
      </c>
      <c r="B1597" t="str">
        <f>"1552382962378834"</f>
        <v>1552382962378834</v>
      </c>
      <c r="C1597" t="s">
        <v>40</v>
      </c>
      <c r="D1597">
        <v>3.7701720000000001</v>
      </c>
      <c r="E1597">
        <v>0.55386780000000002</v>
      </c>
      <c r="F1597" t="s">
        <v>46</v>
      </c>
      <c r="G1597">
        <v>-197.90299999999999</v>
      </c>
      <c r="H1597" s="1">
        <v>7.8700400000000005E-7</v>
      </c>
      <c r="I1597">
        <v>295.39659999999998</v>
      </c>
      <c r="J1597">
        <v>-190.60319999999999</v>
      </c>
      <c r="K1597">
        <v>1.108554</v>
      </c>
      <c r="L1597">
        <v>310.38339999999999</v>
      </c>
      <c r="M1597">
        <v>-5.8491950000000001E-2</v>
      </c>
      <c r="N1597">
        <v>0</v>
      </c>
      <c r="O1597">
        <v>-0.99819449999999998</v>
      </c>
      <c r="P1597">
        <v>-0.30554789999999998</v>
      </c>
      <c r="Q1597">
        <v>0.1428487</v>
      </c>
      <c r="R1597">
        <v>-0.94140060000000003</v>
      </c>
      <c r="S1597">
        <v>-1.3423769999999999</v>
      </c>
      <c r="T1597">
        <v>-0.20351079999999999</v>
      </c>
      <c r="U1597">
        <v>-2.7832029999999999</v>
      </c>
      <c r="V1597">
        <v>0.25059419999999999</v>
      </c>
      <c r="W1597">
        <v>0.1548852</v>
      </c>
      <c r="X1597">
        <v>0.95562179999999997</v>
      </c>
      <c r="Y1597">
        <v>0.38003609999999999</v>
      </c>
      <c r="Z1597">
        <v>6.6366019999999998E-2</v>
      </c>
      <c r="AA1597">
        <v>0.92258770000000001</v>
      </c>
      <c r="AB1597">
        <v>21</v>
      </c>
      <c r="AC1597">
        <v>-7.2998000000000003</v>
      </c>
      <c r="AD1597">
        <v>-1.1085532129960001</v>
      </c>
      <c r="AE1597">
        <v>-14.986800000000001</v>
      </c>
      <c r="AF1597">
        <v>6.3823864755531901</v>
      </c>
      <c r="AG1597">
        <v>-1.1085532129960001</v>
      </c>
      <c r="AH1597">
        <v>15.3204054872567</v>
      </c>
      <c r="AI1597">
        <v>93.821320218529095</v>
      </c>
      <c r="AJ1597">
        <v>67.383690791583106</v>
      </c>
      <c r="AK1597">
        <v>16.633657795065201</v>
      </c>
      <c r="AL1597">
        <v>81.089861271370907</v>
      </c>
      <c r="AM1597">
        <v>75.306085777548304</v>
      </c>
      <c r="AN1597">
        <v>0.99999995144395804</v>
      </c>
    </row>
    <row r="1598" spans="1:40" x14ac:dyDescent="0.25">
      <c r="A1598" t="str">
        <f>"20190312172922409"</f>
        <v>20190312172922409</v>
      </c>
      <c r="B1598" t="str">
        <f>"1552382962399329"</f>
        <v>1552382962399329</v>
      </c>
      <c r="C1598" t="s">
        <v>40</v>
      </c>
      <c r="D1598">
        <v>3.8012160000000002</v>
      </c>
      <c r="E1598">
        <v>0.55369740000000001</v>
      </c>
      <c r="F1598" t="s">
        <v>46</v>
      </c>
      <c r="G1598">
        <v>-197.93819999999999</v>
      </c>
      <c r="H1598" s="1">
        <v>8.2667740000000003E-7</v>
      </c>
      <c r="I1598">
        <v>295.27550000000002</v>
      </c>
      <c r="J1598">
        <v>-190.61930000000001</v>
      </c>
      <c r="K1598">
        <v>1.1085480000000001</v>
      </c>
      <c r="L1598">
        <v>310.16789999999997</v>
      </c>
      <c r="M1598">
        <v>-6.1426069999999999E-2</v>
      </c>
      <c r="N1598">
        <v>0</v>
      </c>
      <c r="O1598">
        <v>-0.99801850000000003</v>
      </c>
      <c r="P1598">
        <v>-0.30910520000000002</v>
      </c>
      <c r="Q1598">
        <v>0.14284469999999999</v>
      </c>
      <c r="R1598">
        <v>-0.94023939999999995</v>
      </c>
      <c r="S1598">
        <v>-1.349548</v>
      </c>
      <c r="T1598">
        <v>-0.2039599</v>
      </c>
      <c r="U1598">
        <v>-2.7796630000000002</v>
      </c>
      <c r="V1598">
        <v>0.25140400000000002</v>
      </c>
      <c r="W1598">
        <v>0.1548677</v>
      </c>
      <c r="X1598">
        <v>0.95541200000000004</v>
      </c>
      <c r="Y1598">
        <v>0.37970100000000001</v>
      </c>
      <c r="Z1598">
        <v>6.653908E-2</v>
      </c>
      <c r="AA1598">
        <v>0.92271320000000001</v>
      </c>
      <c r="AB1598">
        <v>21</v>
      </c>
      <c r="AC1598">
        <v>-7.3188999999999798</v>
      </c>
      <c r="AD1598">
        <v>-1.10854717332259</v>
      </c>
      <c r="AE1598">
        <v>-14.892399999999901</v>
      </c>
      <c r="AF1598">
        <v>6.3618174612003804</v>
      </c>
      <c r="AG1598">
        <v>-1.10854717332259</v>
      </c>
      <c r="AH1598">
        <v>15.245843887039999</v>
      </c>
      <c r="AI1598">
        <v>93.838996415123802</v>
      </c>
      <c r="AJ1598">
        <v>67.350097053637199</v>
      </c>
      <c r="AK1598">
        <v>16.5570937689291</v>
      </c>
      <c r="AL1598">
        <v>81.090876923867398</v>
      </c>
      <c r="AM1598">
        <v>75.257570690145698</v>
      </c>
      <c r="AN1598">
        <v>1.0000000327316401</v>
      </c>
    </row>
    <row r="1599" spans="1:40" x14ac:dyDescent="0.25">
      <c r="A1599" t="str">
        <f>"20190312172922431"</f>
        <v>20190312172922431</v>
      </c>
      <c r="B1599" t="str">
        <f>"1552382962418849"</f>
        <v>1552382962418849</v>
      </c>
      <c r="C1599" t="s">
        <v>40</v>
      </c>
      <c r="D1599">
        <v>3.7816269999999998</v>
      </c>
      <c r="E1599">
        <v>0.5536238</v>
      </c>
      <c r="F1599" t="s">
        <v>46</v>
      </c>
      <c r="G1599">
        <v>-197.9708</v>
      </c>
      <c r="H1599" s="1">
        <v>8.6676449999999998E-7</v>
      </c>
      <c r="I1599">
        <v>295.15390000000002</v>
      </c>
      <c r="J1599">
        <v>-190.6352</v>
      </c>
      <c r="K1599">
        <v>1.108538</v>
      </c>
      <c r="L1599">
        <v>309.96300000000002</v>
      </c>
      <c r="M1599">
        <v>-6.4241740000000006E-2</v>
      </c>
      <c r="N1599">
        <v>0</v>
      </c>
      <c r="O1599">
        <v>-0.99784099999999998</v>
      </c>
      <c r="P1599">
        <v>-0.31224980000000002</v>
      </c>
      <c r="Q1599">
        <v>0.14280870000000001</v>
      </c>
      <c r="R1599">
        <v>-0.93920490000000001</v>
      </c>
      <c r="S1599">
        <v>-1.358795</v>
      </c>
      <c r="T1599">
        <v>-0.2048941</v>
      </c>
      <c r="U1599">
        <v>-2.775055</v>
      </c>
      <c r="V1599">
        <v>0.25190889999999999</v>
      </c>
      <c r="W1599">
        <v>0.1548225</v>
      </c>
      <c r="X1599">
        <v>0.95528630000000003</v>
      </c>
      <c r="Y1599">
        <v>0.38016739999999999</v>
      </c>
      <c r="Z1599">
        <v>6.6870639999999995E-2</v>
      </c>
      <c r="AA1599">
        <v>0.92249720000000002</v>
      </c>
      <c r="AB1599">
        <v>21</v>
      </c>
      <c r="AC1599">
        <v>-7.3355999999999897</v>
      </c>
      <c r="AD1599">
        <v>-1.1085371332355001</v>
      </c>
      <c r="AE1599">
        <v>-14.8090999999999</v>
      </c>
      <c r="AF1599">
        <v>6.3404657645515297</v>
      </c>
      <c r="AG1599">
        <v>-1.1085371332355001</v>
      </c>
      <c r="AH1599">
        <v>15.181493436489699</v>
      </c>
      <c r="AI1599">
        <v>93.854690105456399</v>
      </c>
      <c r="AJ1599">
        <v>67.332418462758696</v>
      </c>
      <c r="AK1599">
        <v>16.489636249759801</v>
      </c>
      <c r="AL1599">
        <v>81.093498085304105</v>
      </c>
      <c r="AM1599">
        <v>75.227397834776198</v>
      </c>
      <c r="AN1599">
        <v>1.00000000768657</v>
      </c>
    </row>
    <row r="1600" spans="1:40" x14ac:dyDescent="0.25">
      <c r="A1600" t="str">
        <f>"20190312172922454"</f>
        <v>20190312172922454</v>
      </c>
      <c r="B1600" t="str">
        <f>"1552382962449106"</f>
        <v>1552382962449106</v>
      </c>
      <c r="C1600" t="s">
        <v>40</v>
      </c>
      <c r="D1600">
        <v>3.739465</v>
      </c>
      <c r="E1600">
        <v>0.55345889999999998</v>
      </c>
      <c r="F1600" t="s">
        <v>46</v>
      </c>
      <c r="G1600">
        <v>-197.98140000000001</v>
      </c>
      <c r="H1600" s="1">
        <v>8.8956089999999996E-7</v>
      </c>
      <c r="I1600">
        <v>295.08679999999998</v>
      </c>
      <c r="J1600">
        <v>-190.65360000000001</v>
      </c>
      <c r="K1600">
        <v>1.1085339999999999</v>
      </c>
      <c r="L1600">
        <v>309.73630000000003</v>
      </c>
      <c r="M1600">
        <v>-6.7379209999999995E-2</v>
      </c>
      <c r="N1600">
        <v>0</v>
      </c>
      <c r="O1600">
        <v>-0.99763409999999997</v>
      </c>
      <c r="P1600">
        <v>-0.31629930000000001</v>
      </c>
      <c r="Q1600">
        <v>0.14269409999999999</v>
      </c>
      <c r="R1600">
        <v>-0.93786659999999999</v>
      </c>
      <c r="S1600">
        <v>-1.3682099999999999</v>
      </c>
      <c r="T1600">
        <v>-0.20646249999999999</v>
      </c>
      <c r="U1600">
        <v>-2.7706599999999999</v>
      </c>
      <c r="V1600">
        <v>0.25302920000000001</v>
      </c>
      <c r="W1600">
        <v>0.15469479999999999</v>
      </c>
      <c r="X1600">
        <v>0.95501080000000005</v>
      </c>
      <c r="Y1600">
        <v>0.3803455</v>
      </c>
      <c r="Z1600">
        <v>6.7403759999999993E-2</v>
      </c>
      <c r="AA1600">
        <v>0.92238500000000001</v>
      </c>
      <c r="AB1600">
        <v>21</v>
      </c>
      <c r="AC1600">
        <v>-7.3277999999999901</v>
      </c>
      <c r="AD1600">
        <v>-1.1085331104391001</v>
      </c>
      <c r="AE1600">
        <v>-14.6495</v>
      </c>
      <c r="AF1600">
        <v>6.2951483138936402</v>
      </c>
      <c r="AG1600">
        <v>-1.1085331104391001</v>
      </c>
      <c r="AH1600">
        <v>15.0411004069288</v>
      </c>
      <c r="AI1600">
        <v>93.889323669401406</v>
      </c>
      <c r="AJ1600">
        <v>67.289238347745197</v>
      </c>
      <c r="AK1600">
        <v>16.342962993354998</v>
      </c>
      <c r="AL1600">
        <v>81.100903396853894</v>
      </c>
      <c r="AM1600">
        <v>75.160500881318598</v>
      </c>
      <c r="AN1600">
        <v>0.99999994265815795</v>
      </c>
    </row>
    <row r="1601" spans="1:40" x14ac:dyDescent="0.25">
      <c r="A1601" t="str">
        <f>"20190312172922477"</f>
        <v>20190312172922477</v>
      </c>
      <c r="B1601" t="str">
        <f>"1552382962468626"</f>
        <v>1552382962468626</v>
      </c>
      <c r="C1601" t="s">
        <v>40</v>
      </c>
      <c r="D1601">
        <v>3.7388249999999998</v>
      </c>
      <c r="E1601">
        <v>0.5534346</v>
      </c>
      <c r="F1601" t="s">
        <v>46</v>
      </c>
      <c r="G1601">
        <v>-197.95509999999999</v>
      </c>
      <c r="H1601" s="1">
        <v>8.9172699999999998E-7</v>
      </c>
      <c r="I1601">
        <v>295.0872</v>
      </c>
      <c r="J1601">
        <v>-190.67080000000001</v>
      </c>
      <c r="K1601">
        <v>1.108525</v>
      </c>
      <c r="L1601">
        <v>309.5308</v>
      </c>
      <c r="M1601">
        <v>-7.0235309999999995E-2</v>
      </c>
      <c r="N1601">
        <v>0</v>
      </c>
      <c r="O1601">
        <v>-0.99743700000000002</v>
      </c>
      <c r="P1601">
        <v>-0.31995259999999998</v>
      </c>
      <c r="Q1601">
        <v>0.14245379999999999</v>
      </c>
      <c r="R1601">
        <v>-0.93666309999999997</v>
      </c>
      <c r="S1601">
        <v>-1.3784940000000001</v>
      </c>
      <c r="T1601">
        <v>-0.2092868</v>
      </c>
      <c r="U1601">
        <v>-2.7656860000000001</v>
      </c>
      <c r="V1601">
        <v>0.25401620000000003</v>
      </c>
      <c r="W1601">
        <v>0.15444559999999999</v>
      </c>
      <c r="X1601">
        <v>0.9547892</v>
      </c>
      <c r="Y1601">
        <v>0.38108009999999998</v>
      </c>
      <c r="Z1601">
        <v>6.8346009999999999E-2</v>
      </c>
      <c r="AA1601">
        <v>0.92201239999999995</v>
      </c>
      <c r="AB1601">
        <v>21</v>
      </c>
      <c r="AC1601">
        <v>-7.2842999999999698</v>
      </c>
      <c r="AD1601">
        <v>-1.108524108273</v>
      </c>
      <c r="AE1601">
        <v>-14.4436</v>
      </c>
      <c r="AF1601">
        <v>6.22254175700159</v>
      </c>
      <c r="AG1601">
        <v>-1.108524108273</v>
      </c>
      <c r="AH1601">
        <v>14.849852990278</v>
      </c>
      <c r="AI1601">
        <v>93.938524121779196</v>
      </c>
      <c r="AJ1601">
        <v>67.264828038114103</v>
      </c>
      <c r="AK1601">
        <v>16.138989604343902</v>
      </c>
      <c r="AL1601">
        <v>81.115356105515303</v>
      </c>
      <c r="AM1601">
        <v>75.101880924515996</v>
      </c>
      <c r="AN1601">
        <v>1.0000000448292099</v>
      </c>
    </row>
    <row r="1602" spans="1:40" x14ac:dyDescent="0.25">
      <c r="A1602" t="str">
        <f>"20190312172922498"</f>
        <v>20190312172922498</v>
      </c>
      <c r="B1602" t="str">
        <f>"1552382962489122"</f>
        <v>1552382962489122</v>
      </c>
      <c r="C1602" t="s">
        <v>40</v>
      </c>
      <c r="D1602">
        <v>3.742597</v>
      </c>
      <c r="E1602">
        <v>0.55336799999999997</v>
      </c>
      <c r="F1602" t="s">
        <v>46</v>
      </c>
      <c r="G1602">
        <v>-197.91759999999999</v>
      </c>
      <c r="H1602" s="1">
        <v>8.8085809999999995E-7</v>
      </c>
      <c r="I1602">
        <v>295.12740000000002</v>
      </c>
      <c r="J1602">
        <v>-190.68889999999999</v>
      </c>
      <c r="K1602">
        <v>1.1085229999999999</v>
      </c>
      <c r="L1602">
        <v>309.3229</v>
      </c>
      <c r="M1602">
        <v>-7.3131349999999998E-2</v>
      </c>
      <c r="N1602">
        <v>0</v>
      </c>
      <c r="O1602">
        <v>-0.99722889999999997</v>
      </c>
      <c r="P1602">
        <v>-0.32326850000000001</v>
      </c>
      <c r="Q1602">
        <v>0.1422358</v>
      </c>
      <c r="R1602">
        <v>-0.93555679999999997</v>
      </c>
      <c r="S1602">
        <v>-1.3889769999999999</v>
      </c>
      <c r="T1602">
        <v>-0.21246909999999999</v>
      </c>
      <c r="U1602">
        <v>-2.7606809999999999</v>
      </c>
      <c r="V1602">
        <v>0.25462279999999998</v>
      </c>
      <c r="W1602">
        <v>0.15422379999999999</v>
      </c>
      <c r="X1602">
        <v>0.9546635</v>
      </c>
      <c r="Y1602">
        <v>0.38182909999999998</v>
      </c>
      <c r="Z1602">
        <v>6.9402829999999999E-2</v>
      </c>
      <c r="AA1602">
        <v>0.92162350000000004</v>
      </c>
      <c r="AB1602">
        <v>21</v>
      </c>
      <c r="AC1602">
        <v>-7.2286999999999999</v>
      </c>
      <c r="AD1602">
        <v>-1.1085221191418999</v>
      </c>
      <c r="AE1602">
        <v>-14.1954999999999</v>
      </c>
      <c r="AF1602">
        <v>6.1413688591851798</v>
      </c>
      <c r="AG1602">
        <v>-1.1085221191418999</v>
      </c>
      <c r="AH1602">
        <v>14.6154030538458</v>
      </c>
      <c r="AI1602">
        <v>93.999830753087295</v>
      </c>
      <c r="AJ1602">
        <v>67.207932411801806</v>
      </c>
      <c r="AK1602">
        <v>15.891986634136099</v>
      </c>
      <c r="AL1602">
        <v>81.128218682403798</v>
      </c>
      <c r="AM1602">
        <v>75.0660128416839</v>
      </c>
      <c r="AN1602">
        <v>1.0000000744992601</v>
      </c>
    </row>
    <row r="1603" spans="1:40" x14ac:dyDescent="0.25">
      <c r="A1603" t="str">
        <f>"20190312172922521"</f>
        <v>20190312172922521</v>
      </c>
      <c r="B1603" t="str">
        <f>"1552382962508645"</f>
        <v>1552382962508645</v>
      </c>
      <c r="C1603" t="s">
        <v>40</v>
      </c>
      <c r="D1603">
        <v>3.7466930000000001</v>
      </c>
      <c r="E1603">
        <v>0.553320699999999</v>
      </c>
      <c r="F1603" t="s">
        <v>46</v>
      </c>
      <c r="G1603">
        <v>-197.92150000000001</v>
      </c>
      <c r="H1603" s="1">
        <v>9.0112580000000003E-7</v>
      </c>
      <c r="I1603">
        <v>295.06909999999999</v>
      </c>
      <c r="J1603">
        <v>-190.7072</v>
      </c>
      <c r="K1603">
        <v>1.1085259999999999</v>
      </c>
      <c r="L1603">
        <v>309.11869999999999</v>
      </c>
      <c r="M1603">
        <v>-7.5978320000000002E-2</v>
      </c>
      <c r="N1603">
        <v>0</v>
      </c>
      <c r="O1603">
        <v>-0.99701600000000001</v>
      </c>
      <c r="P1603">
        <v>-0.32709709999999997</v>
      </c>
      <c r="Q1603">
        <v>0.14192279999999999</v>
      </c>
      <c r="R1603">
        <v>-0.93427260000000001</v>
      </c>
      <c r="S1603">
        <v>-1.3984829999999999</v>
      </c>
      <c r="T1603">
        <v>-0.21434220000000001</v>
      </c>
      <c r="U1603">
        <v>-2.7561040000000001</v>
      </c>
      <c r="V1603">
        <v>0.25580180000000002</v>
      </c>
      <c r="W1603">
        <v>0.15390429999999999</v>
      </c>
      <c r="X1603">
        <v>0.95439980000000002</v>
      </c>
      <c r="Y1603">
        <v>0.38231749999999998</v>
      </c>
      <c r="Z1603">
        <v>7.0033159999999997E-2</v>
      </c>
      <c r="AA1603">
        <v>0.92137329999999995</v>
      </c>
      <c r="AB1603">
        <v>21</v>
      </c>
      <c r="AC1603">
        <v>-7.2142999999999997</v>
      </c>
      <c r="AD1603">
        <v>-1.1085250988741999</v>
      </c>
      <c r="AE1603">
        <v>-14.0495999999999</v>
      </c>
      <c r="AF1603">
        <v>6.0958478796007904</v>
      </c>
      <c r="AG1603">
        <v>-1.1085250988741999</v>
      </c>
      <c r="AH1603">
        <v>14.4858002890583</v>
      </c>
      <c r="AI1603">
        <v>94.034623190998403</v>
      </c>
      <c r="AJ1603">
        <v>67.177892195963096</v>
      </c>
      <c r="AK1603">
        <v>15.7552086397023</v>
      </c>
      <c r="AL1603">
        <v>81.146745540878399</v>
      </c>
      <c r="AM1603">
        <v>74.996015149152299</v>
      </c>
      <c r="AN1603">
        <v>1.0000000363408801</v>
      </c>
    </row>
    <row r="1604" spans="1:40" x14ac:dyDescent="0.25">
      <c r="A1604" t="str">
        <f>"20190312172922546"</f>
        <v>20190312172922546</v>
      </c>
      <c r="B1604" t="str">
        <f>"1552382962538898"</f>
        <v>1552382962538898</v>
      </c>
      <c r="C1604" t="s">
        <v>40</v>
      </c>
      <c r="D1604">
        <v>3.743328</v>
      </c>
      <c r="E1604">
        <v>0.55214540000000001</v>
      </c>
      <c r="F1604" t="s">
        <v>46</v>
      </c>
      <c r="G1604">
        <v>-197.9068</v>
      </c>
      <c r="H1604" s="1">
        <v>9.0279310000000002E-7</v>
      </c>
      <c r="I1604">
        <v>295.06810000000002</v>
      </c>
      <c r="J1604">
        <v>-190.72919999999999</v>
      </c>
      <c r="K1604">
        <v>1.108535</v>
      </c>
      <c r="L1604">
        <v>308.88200000000001</v>
      </c>
      <c r="M1604">
        <v>-7.9277459999999994E-2</v>
      </c>
      <c r="N1604">
        <v>0</v>
      </c>
      <c r="O1604">
        <v>-0.99675930000000001</v>
      </c>
      <c r="P1604">
        <v>-0.3307889</v>
      </c>
      <c r="Q1604">
        <v>0.14198769999999999</v>
      </c>
      <c r="R1604">
        <v>-0.93296239999999997</v>
      </c>
      <c r="S1604">
        <v>-1.409378</v>
      </c>
      <c r="T1604">
        <v>-0.21700449999999999</v>
      </c>
      <c r="U1604">
        <v>-2.7505489999999999</v>
      </c>
      <c r="V1604">
        <v>0.25641580000000003</v>
      </c>
      <c r="W1604">
        <v>0.15396789999999999</v>
      </c>
      <c r="X1604">
        <v>0.95422479999999998</v>
      </c>
      <c r="Y1604">
        <v>0.38287789999999999</v>
      </c>
      <c r="Z1604">
        <v>7.0928619999999998E-2</v>
      </c>
      <c r="AA1604">
        <v>0.921072</v>
      </c>
      <c r="AB1604">
        <v>21</v>
      </c>
      <c r="AC1604">
        <v>-7.1776000000000098</v>
      </c>
      <c r="AD1604">
        <v>-1.1085340972069</v>
      </c>
      <c r="AE1604">
        <v>-13.813899999999901</v>
      </c>
      <c r="AF1604">
        <v>6.0291997802386001</v>
      </c>
      <c r="AG1604">
        <v>-1.1085340972069</v>
      </c>
      <c r="AH1604">
        <v>14.2671439727704</v>
      </c>
      <c r="AI1604">
        <v>94.0936836993573</v>
      </c>
      <c r="AJ1604">
        <v>67.091405240040103</v>
      </c>
      <c r="AK1604">
        <v>15.528409286673799</v>
      </c>
      <c r="AL1604">
        <v>81.143057897572803</v>
      </c>
      <c r="AM1604">
        <v>74.958997698117798</v>
      </c>
      <c r="AN1604">
        <v>1.00000007282754</v>
      </c>
    </row>
    <row r="1605" spans="1:40" x14ac:dyDescent="0.25">
      <c r="A1605" t="str">
        <f>"20190312172922568"</f>
        <v>20190312172922568</v>
      </c>
      <c r="B1605" t="str">
        <f>"1552382962559394"</f>
        <v>1552382962559394</v>
      </c>
      <c r="C1605" t="s">
        <v>40</v>
      </c>
      <c r="D1605">
        <v>3.8195039999999998</v>
      </c>
      <c r="E1605">
        <v>0.55086809999999997</v>
      </c>
      <c r="F1605" t="s">
        <v>46</v>
      </c>
      <c r="G1605">
        <v>-197.1189</v>
      </c>
      <c r="H1605" s="1">
        <v>5.6033759999999998E-7</v>
      </c>
      <c r="I1605">
        <v>296.43470000000002</v>
      </c>
      <c r="J1605">
        <v>-190.7492</v>
      </c>
      <c r="K1605">
        <v>1.10854599999999</v>
      </c>
      <c r="L1605">
        <v>308.67399999999998</v>
      </c>
      <c r="M1605">
        <v>-8.2172709999999996E-2</v>
      </c>
      <c r="N1605">
        <v>0</v>
      </c>
      <c r="O1605">
        <v>-0.99652479999999999</v>
      </c>
      <c r="P1605">
        <v>-0.33524500000000002</v>
      </c>
      <c r="Q1605">
        <v>0.14202579999999901</v>
      </c>
      <c r="R1605">
        <v>-0.93136439999999998</v>
      </c>
      <c r="S1605">
        <v>-1.4126890000000001</v>
      </c>
      <c r="T1605">
        <v>-0.24508369999999999</v>
      </c>
      <c r="U1605">
        <v>-2.7519529999999999</v>
      </c>
      <c r="V1605">
        <v>0.25820559999999998</v>
      </c>
      <c r="W1605">
        <v>0.1539962</v>
      </c>
      <c r="X1605">
        <v>0.95373739999999996</v>
      </c>
      <c r="Y1605">
        <v>0.38056879999999998</v>
      </c>
      <c r="Z1605">
        <v>8.0000650000000006E-2</v>
      </c>
      <c r="AA1605">
        <v>0.92128569999999999</v>
      </c>
      <c r="AB1605">
        <v>21</v>
      </c>
      <c r="AC1605">
        <v>-6.3696999999999901</v>
      </c>
      <c r="AD1605">
        <v>-1.1085454396623899</v>
      </c>
      <c r="AE1605">
        <v>-12.2393</v>
      </c>
      <c r="AF1605">
        <v>5.3080604860179603</v>
      </c>
      <c r="AG1605">
        <v>-1.1085454396623899</v>
      </c>
      <c r="AH1605">
        <v>12.6397739160463</v>
      </c>
      <c r="AI1605">
        <v>94.622993972082</v>
      </c>
      <c r="AJ1605">
        <v>67.220077967054394</v>
      </c>
      <c r="AK1605">
        <v>13.753845417329099</v>
      </c>
      <c r="AL1605">
        <v>81.141416158907802</v>
      </c>
      <c r="AM1605">
        <v>74.851432738017493</v>
      </c>
      <c r="AN1605">
        <v>0.99999999482227997</v>
      </c>
    </row>
    <row r="1606" spans="1:40" x14ac:dyDescent="0.25">
      <c r="A1606" t="str">
        <f>"20190312172922599"</f>
        <v>20190312172922599</v>
      </c>
      <c r="B1606" t="str">
        <f>"1552382962588677"</f>
        <v>1552382962588677</v>
      </c>
      <c r="C1606" t="s">
        <v>40</v>
      </c>
      <c r="D1606">
        <v>3.7516669999999999</v>
      </c>
      <c r="E1606">
        <v>0.55129240000000002</v>
      </c>
      <c r="F1606" t="s">
        <v>46</v>
      </c>
      <c r="G1606">
        <v>-196.98750000000001</v>
      </c>
      <c r="H1606" s="1">
        <v>5.3727580000000002E-7</v>
      </c>
      <c r="I1606">
        <v>296.56560000000002</v>
      </c>
      <c r="J1606">
        <v>-190.77860000000001</v>
      </c>
      <c r="K1606">
        <v>1.108571</v>
      </c>
      <c r="L1606">
        <v>308.37920000000003</v>
      </c>
      <c r="M1606">
        <v>-8.6269200000000004E-2</v>
      </c>
      <c r="N1606">
        <v>0</v>
      </c>
      <c r="O1606">
        <v>-0.99617860000000003</v>
      </c>
      <c r="P1606">
        <v>-0.3403292</v>
      </c>
      <c r="Q1606">
        <v>0.14249020000000001</v>
      </c>
      <c r="R1606">
        <v>-0.92944789999999999</v>
      </c>
      <c r="S1606">
        <v>-1.41658</v>
      </c>
      <c r="T1606">
        <v>-0.25172840000000002</v>
      </c>
      <c r="U1606">
        <v>-2.7495729999999998</v>
      </c>
      <c r="V1606">
        <v>0.25950129999999999</v>
      </c>
      <c r="W1606">
        <v>0.1544546</v>
      </c>
      <c r="X1606">
        <v>0.95331149999999998</v>
      </c>
      <c r="Y1606">
        <v>0.37804110000000002</v>
      </c>
      <c r="Z1606">
        <v>8.219253E-2</v>
      </c>
      <c r="AA1606">
        <v>0.92213299999999998</v>
      </c>
      <c r="AB1606">
        <v>21</v>
      </c>
      <c r="AC1606">
        <v>-6.2088999999999999</v>
      </c>
      <c r="AD1606">
        <v>-1.1085704627241999</v>
      </c>
      <c r="AE1606">
        <v>-11.813599999999999</v>
      </c>
      <c r="AF1606">
        <v>5.1311001392498898</v>
      </c>
      <c r="AG1606">
        <v>-1.1085704627241999</v>
      </c>
      <c r="AH1606">
        <v>12.220914226478101</v>
      </c>
      <c r="AI1606">
        <v>94.780975018372203</v>
      </c>
      <c r="AJ1606">
        <v>67.224305235538395</v>
      </c>
      <c r="AK1606">
        <v>13.300671473304201</v>
      </c>
      <c r="AL1606">
        <v>81.114833618841402</v>
      </c>
      <c r="AM1606">
        <v>74.772449559605505</v>
      </c>
      <c r="AN1606">
        <v>0.99999998209754903</v>
      </c>
    </row>
    <row r="1607" spans="1:40" x14ac:dyDescent="0.25">
      <c r="A1607" t="str">
        <f>"20190312172922621"</f>
        <v>20190312172922621</v>
      </c>
      <c r="B1607" t="str">
        <f>"1552382962618930"</f>
        <v>1552382962618930</v>
      </c>
      <c r="C1607" t="s">
        <v>40</v>
      </c>
      <c r="D1607">
        <v>3.3756879999999998</v>
      </c>
      <c r="E1607">
        <v>0.55167440000000001</v>
      </c>
      <c r="F1607" t="s">
        <v>46</v>
      </c>
      <c r="G1607">
        <v>-197.01419999999999</v>
      </c>
      <c r="H1607" s="1">
        <v>5.5423800000000002E-7</v>
      </c>
      <c r="I1607">
        <v>296.46929999999998</v>
      </c>
      <c r="J1607">
        <v>-190.7996</v>
      </c>
      <c r="K1607">
        <v>1.1085780000000001</v>
      </c>
      <c r="L1607">
        <v>308.17559999999997</v>
      </c>
      <c r="M1607">
        <v>-8.9093759999999994E-2</v>
      </c>
      <c r="N1607">
        <v>0</v>
      </c>
      <c r="O1607">
        <v>-0.99592979999999998</v>
      </c>
      <c r="P1607">
        <v>-0.343914</v>
      </c>
      <c r="Q1607">
        <v>0.1427243</v>
      </c>
      <c r="R1607">
        <v>-0.92809109999999995</v>
      </c>
      <c r="S1607">
        <v>-1.435257</v>
      </c>
      <c r="T1607">
        <v>-0.25516240000000001</v>
      </c>
      <c r="U1607">
        <v>-2.741333</v>
      </c>
      <c r="V1607">
        <v>0.2604805</v>
      </c>
      <c r="W1607">
        <v>0.15468399999999999</v>
      </c>
      <c r="X1607">
        <v>0.95300720000000005</v>
      </c>
      <c r="Y1607">
        <v>0.38144450000000002</v>
      </c>
      <c r="Z1607">
        <v>8.3310990000000001E-2</v>
      </c>
      <c r="AA1607">
        <v>0.9206299</v>
      </c>
      <c r="AB1607">
        <v>21</v>
      </c>
      <c r="AC1607">
        <v>-6.2145999999999901</v>
      </c>
      <c r="AD1607">
        <v>-1.1085774457619999</v>
      </c>
      <c r="AE1607">
        <v>-11.706300000000001</v>
      </c>
      <c r="AF1607">
        <v>5.1110680103668402</v>
      </c>
      <c r="AG1607">
        <v>-1.1085774457619999</v>
      </c>
      <c r="AH1607">
        <v>12.1286175648622</v>
      </c>
      <c r="AI1607">
        <v>94.814572980201206</v>
      </c>
      <c r="AJ1607">
        <v>67.149167225758802</v>
      </c>
      <c r="AK1607">
        <v>13.208153701200301</v>
      </c>
      <c r="AL1607">
        <v>81.101530038408001</v>
      </c>
      <c r="AM1607">
        <v>74.713020642959805</v>
      </c>
      <c r="AN1607">
        <v>0.99999997699404397</v>
      </c>
    </row>
    <row r="1608" spans="1:40" x14ac:dyDescent="0.25">
      <c r="A1608" t="str">
        <f>"20190312172922688"</f>
        <v>20190312172922688</v>
      </c>
      <c r="B1608" t="str">
        <f>"1552382962679442"</f>
        <v>1552382962679442</v>
      </c>
      <c r="C1608" t="s">
        <v>40</v>
      </c>
      <c r="D1608">
        <v>3.7708249999999999</v>
      </c>
      <c r="E1608">
        <v>0.556374699999999</v>
      </c>
      <c r="F1608" t="s">
        <v>46</v>
      </c>
      <c r="G1608">
        <v>-197.172</v>
      </c>
      <c r="H1608" s="1">
        <v>6.1035879999999996E-7</v>
      </c>
      <c r="I1608">
        <v>296.1506</v>
      </c>
      <c r="J1608">
        <v>-190.8672</v>
      </c>
      <c r="K1608">
        <v>1.1086009999999999</v>
      </c>
      <c r="L1608">
        <v>307.55560000000003</v>
      </c>
      <c r="M1608">
        <v>-9.7685690000000006E-2</v>
      </c>
      <c r="N1608">
        <v>0</v>
      </c>
      <c r="O1608">
        <v>-0.99512400000000001</v>
      </c>
      <c r="P1608">
        <v>-0.35372799999999999</v>
      </c>
      <c r="Q1608">
        <v>0.14301849999999999</v>
      </c>
      <c r="R1608">
        <v>-0.92434970000000005</v>
      </c>
      <c r="S1608">
        <v>-1.44899</v>
      </c>
      <c r="T1608">
        <v>-0.25207560000000001</v>
      </c>
      <c r="U1608">
        <v>-2.7343139999999999</v>
      </c>
      <c r="V1608">
        <v>0.2623547</v>
      </c>
      <c r="W1608">
        <v>0.15496849999999901</v>
      </c>
      <c r="X1608">
        <v>0.95244680000000004</v>
      </c>
      <c r="Y1608">
        <v>0.37809429999999999</v>
      </c>
      <c r="Z1608">
        <v>8.2363099999999995E-2</v>
      </c>
      <c r="AA1608">
        <v>0.92209600000000003</v>
      </c>
      <c r="AB1608">
        <v>21</v>
      </c>
      <c r="AC1608">
        <v>-6.3048000000000002</v>
      </c>
      <c r="AD1608">
        <v>-1.1086003896412</v>
      </c>
      <c r="AE1608">
        <v>-11.404999999999999</v>
      </c>
      <c r="AF1608">
        <v>5.1233547922238696</v>
      </c>
      <c r="AG1608">
        <v>-1.1086003896412</v>
      </c>
      <c r="AH1608">
        <v>11.8804124958705</v>
      </c>
      <c r="AI1608">
        <v>94.897444967543393</v>
      </c>
      <c r="AJ1608">
        <v>66.672176176061399</v>
      </c>
      <c r="AK1608">
        <v>12.9854518682621</v>
      </c>
      <c r="AL1608">
        <v>81.085031229143297</v>
      </c>
      <c r="AM1608">
        <v>74.599600623494496</v>
      </c>
      <c r="AN1608">
        <v>1.0000000657172801</v>
      </c>
    </row>
    <row r="1609" spans="1:40" x14ac:dyDescent="0.25">
      <c r="A1609" t="str">
        <f>"20190312172922710"</f>
        <v>20190312172922710</v>
      </c>
      <c r="B1609" t="str">
        <f>"1552382962708722"</f>
        <v>1552382962708722</v>
      </c>
      <c r="C1609" t="s">
        <v>40</v>
      </c>
      <c r="D1609">
        <v>3.7194600000000002</v>
      </c>
      <c r="E1609">
        <v>0.55472639999999995</v>
      </c>
      <c r="F1609" t="s">
        <v>41</v>
      </c>
      <c r="G1609">
        <v>-193.1225</v>
      </c>
      <c r="H1609" s="1">
        <v>-2.5042570000000002E-6</v>
      </c>
      <c r="I1609">
        <v>303.49</v>
      </c>
      <c r="J1609">
        <v>-190.8914</v>
      </c>
      <c r="K1609">
        <v>1.1086049999999901</v>
      </c>
      <c r="L1609">
        <v>307.34480000000002</v>
      </c>
      <c r="M1609">
        <v>-0.10060860000000001</v>
      </c>
      <c r="N1609">
        <v>0</v>
      </c>
      <c r="O1609">
        <v>-0.99483270000000001</v>
      </c>
      <c r="P1609">
        <v>-0.3570006</v>
      </c>
      <c r="Q1609">
        <v>0.14304320000000001</v>
      </c>
      <c r="R1609">
        <v>-0.92308679999999999</v>
      </c>
      <c r="S1609">
        <v>-1.538651</v>
      </c>
      <c r="T1609">
        <v>-0.75632690000000002</v>
      </c>
      <c r="U1609">
        <v>-2.7737430000000001</v>
      </c>
      <c r="V1609">
        <v>0.26293060000000001</v>
      </c>
      <c r="W1609">
        <v>0.15499019999999999</v>
      </c>
      <c r="X1609">
        <v>0.95228440000000003</v>
      </c>
      <c r="Y1609">
        <v>0.38103009999999998</v>
      </c>
      <c r="Z1609">
        <v>0.23549529999999999</v>
      </c>
      <c r="AA1609">
        <v>0.89406819999999898</v>
      </c>
      <c r="AB1609">
        <v>21</v>
      </c>
      <c r="AC1609">
        <v>-2.2310999999999899</v>
      </c>
      <c r="AD1609">
        <v>-1.1086075042569901</v>
      </c>
      <c r="AE1609">
        <v>-3.8548000000000102</v>
      </c>
      <c r="AF1609">
        <v>1.72504123491631</v>
      </c>
      <c r="AG1609">
        <v>-1.1086075042569901</v>
      </c>
      <c r="AH1609">
        <v>3.8228811985756299</v>
      </c>
      <c r="AI1609">
        <v>104.80622533915999</v>
      </c>
      <c r="AJ1609">
        <v>65.713145727437293</v>
      </c>
      <c r="AK1609">
        <v>4.3381100169405098</v>
      </c>
      <c r="AL1609">
        <v>81.083772298483893</v>
      </c>
      <c r="AM1609">
        <v>74.5648984152743</v>
      </c>
      <c r="AN1609">
        <v>1.0000000204978701</v>
      </c>
    </row>
    <row r="1610" spans="1:40" x14ac:dyDescent="0.25">
      <c r="A1610" t="str">
        <f>"20190312172922734"</f>
        <v>20190312172922734</v>
      </c>
      <c r="B1610" t="str">
        <f>"1552382962729218"</f>
        <v>1552382962729218</v>
      </c>
      <c r="C1610" t="s">
        <v>40</v>
      </c>
      <c r="D1610">
        <v>3.794832</v>
      </c>
      <c r="E1610">
        <v>0.55356510000000003</v>
      </c>
      <c r="F1610" t="s">
        <v>41</v>
      </c>
      <c r="G1610">
        <v>-193.56899999999999</v>
      </c>
      <c r="H1610" s="1">
        <v>-2.2089819999999999E-6</v>
      </c>
      <c r="I1610">
        <v>302.5247</v>
      </c>
      <c r="J1610">
        <v>-190.9161</v>
      </c>
      <c r="K1610">
        <v>1.1086119999999999</v>
      </c>
      <c r="L1610">
        <v>307.13459999999998</v>
      </c>
      <c r="M1610">
        <v>-0.1035244</v>
      </c>
      <c r="N1610">
        <v>0</v>
      </c>
      <c r="O1610">
        <v>-0.99453349999999996</v>
      </c>
      <c r="P1610">
        <v>-0.36031079999999999</v>
      </c>
      <c r="Q1610">
        <v>0.1431781</v>
      </c>
      <c r="R1610">
        <v>-0.92177900000000002</v>
      </c>
      <c r="S1610">
        <v>-1.531021</v>
      </c>
      <c r="T1610">
        <v>-0.63388069999999996</v>
      </c>
      <c r="U1610">
        <v>-2.7560419999999999</v>
      </c>
      <c r="V1610">
        <v>0.26355840000000003</v>
      </c>
      <c r="W1610">
        <v>0.15512119999999999</v>
      </c>
      <c r="X1610">
        <v>0.95208950000000003</v>
      </c>
      <c r="Y1610">
        <v>0.3826948</v>
      </c>
      <c r="Z1610">
        <v>0.20018240000000001</v>
      </c>
      <c r="AA1610">
        <v>0.90192669999999997</v>
      </c>
      <c r="AB1610">
        <v>21</v>
      </c>
      <c r="AC1610">
        <v>-2.65290000000001</v>
      </c>
      <c r="AD1610">
        <v>-1.1086142089819999</v>
      </c>
      <c r="AE1610">
        <v>-4.6098999999999801</v>
      </c>
      <c r="AF1610">
        <v>2.0713703791237599</v>
      </c>
      <c r="AG1610">
        <v>-1.1086142089819999</v>
      </c>
      <c r="AH1610">
        <v>4.6574473759277399</v>
      </c>
      <c r="AI1610">
        <v>102.270216778829</v>
      </c>
      <c r="AJ1610">
        <v>66.023194748701798</v>
      </c>
      <c r="AK1610">
        <v>5.2164563423270698</v>
      </c>
      <c r="AL1610">
        <v>81.076174627295501</v>
      </c>
      <c r="AM1610">
        <v>74.526792174661793</v>
      </c>
      <c r="AN1610">
        <v>1.0000000164551199</v>
      </c>
    </row>
    <row r="1611" spans="1:40" x14ac:dyDescent="0.25">
      <c r="A1611" t="str">
        <f>"20190312172922757"</f>
        <v>20190312172922757</v>
      </c>
      <c r="B1611" t="str">
        <f>"1552382962748738"</f>
        <v>1552382962748738</v>
      </c>
      <c r="C1611" t="s">
        <v>40</v>
      </c>
      <c r="D1611">
        <v>3.7773349999999999</v>
      </c>
      <c r="E1611">
        <v>0.55083909999999903</v>
      </c>
      <c r="F1611" t="s">
        <v>41</v>
      </c>
      <c r="G1611">
        <v>-193.96</v>
      </c>
      <c r="H1611" s="1">
        <v>-1.9472390000000002E-6</v>
      </c>
      <c r="I1611">
        <v>301.6721</v>
      </c>
      <c r="J1611">
        <v>-190.94239999999999</v>
      </c>
      <c r="K1611">
        <v>1.1086149999999999</v>
      </c>
      <c r="L1611">
        <v>306.91719999999998</v>
      </c>
      <c r="M1611">
        <v>-0.1065448</v>
      </c>
      <c r="N1611">
        <v>0</v>
      </c>
      <c r="O1611">
        <v>-0.99421470000000001</v>
      </c>
      <c r="P1611">
        <v>-0.3634328</v>
      </c>
      <c r="Q1611">
        <v>0.1433169</v>
      </c>
      <c r="R1611">
        <v>-0.92053119999999999</v>
      </c>
      <c r="S1611">
        <v>-1.528748</v>
      </c>
      <c r="T1611">
        <v>-0.55678519999999998</v>
      </c>
      <c r="U1611">
        <v>-2.7435</v>
      </c>
      <c r="V1611">
        <v>0.2638952</v>
      </c>
      <c r="W1611">
        <v>0.1552569</v>
      </c>
      <c r="X1611">
        <v>0.95197399999999999</v>
      </c>
      <c r="Y1611">
        <v>0.38321119999999997</v>
      </c>
      <c r="Z1611">
        <v>0.177321799999999</v>
      </c>
      <c r="AA1611">
        <v>0.90648010000000001</v>
      </c>
      <c r="AB1611">
        <v>21</v>
      </c>
      <c r="AC1611">
        <v>-3.0176000000000101</v>
      </c>
      <c r="AD1611">
        <v>-1.108616947239</v>
      </c>
      <c r="AE1611">
        <v>-5.2450999999999697</v>
      </c>
      <c r="AF1611">
        <v>2.3622428593120799</v>
      </c>
      <c r="AG1611">
        <v>-1.108616947239</v>
      </c>
      <c r="AH1611">
        <v>5.35697395025913</v>
      </c>
      <c r="AI1611">
        <v>100.722319925541</v>
      </c>
      <c r="AJ1611">
        <v>66.204156229675604</v>
      </c>
      <c r="AK1611">
        <v>5.95872408874847</v>
      </c>
      <c r="AL1611">
        <v>81.068303542422697</v>
      </c>
      <c r="AM1611">
        <v>74.506178911067195</v>
      </c>
      <c r="AN1611">
        <v>0.99999993912832297</v>
      </c>
    </row>
    <row r="1612" spans="1:40" x14ac:dyDescent="0.25">
      <c r="A1612" t="str">
        <f>"20190312172922779"</f>
        <v>20190312172922779</v>
      </c>
      <c r="B1612" t="str">
        <f>"1552382962769233"</f>
        <v>1552382962769233</v>
      </c>
      <c r="C1612" t="s">
        <v>40</v>
      </c>
      <c r="D1612">
        <v>3.7854040000000002</v>
      </c>
      <c r="E1612">
        <v>0.55271479999999995</v>
      </c>
      <c r="F1612" t="s">
        <v>46</v>
      </c>
      <c r="G1612">
        <v>-204.65530000000001</v>
      </c>
      <c r="H1612" s="1">
        <v>4.485445E-6</v>
      </c>
      <c r="I1612">
        <v>282.28250000000003</v>
      </c>
      <c r="J1612">
        <v>-190.96780000000001</v>
      </c>
      <c r="K1612">
        <v>1.1086129999999901</v>
      </c>
      <c r="L1612">
        <v>306.71140000000003</v>
      </c>
      <c r="M1612">
        <v>-0.10941149999999999</v>
      </c>
      <c r="N1612">
        <v>0</v>
      </c>
      <c r="O1612">
        <v>-0.99390319999999999</v>
      </c>
      <c r="P1612">
        <v>-0.3660426</v>
      </c>
      <c r="Q1612">
        <v>0.1437668</v>
      </c>
      <c r="R1612">
        <v>-0.91942590000000002</v>
      </c>
      <c r="S1612">
        <v>-1.4958499999999999</v>
      </c>
      <c r="T1612">
        <v>-0.12093089999999999</v>
      </c>
      <c r="U1612">
        <v>-2.6872250000000002</v>
      </c>
      <c r="V1612">
        <v>0.26385960000000003</v>
      </c>
      <c r="W1612">
        <v>0.15570429999999999</v>
      </c>
      <c r="X1612">
        <v>0.9519109</v>
      </c>
      <c r="Y1612">
        <v>0.38746029999999998</v>
      </c>
      <c r="Z1612">
        <v>3.9921680000000001E-2</v>
      </c>
      <c r="AA1612">
        <v>0.9210216</v>
      </c>
      <c r="AB1612">
        <v>21</v>
      </c>
      <c r="AC1612">
        <v>-13.6875</v>
      </c>
      <c r="AD1612">
        <v>-1.10860851455499</v>
      </c>
      <c r="AE1612">
        <v>-24.428899999999999</v>
      </c>
      <c r="AF1612">
        <v>10.9151535569651</v>
      </c>
      <c r="AG1612">
        <v>-1.10860851455499</v>
      </c>
      <c r="AH1612">
        <v>25.739579941229</v>
      </c>
      <c r="AI1612">
        <v>92.270714949481004</v>
      </c>
      <c r="AJ1612">
        <v>67.020090179245003</v>
      </c>
      <c r="AK1612">
        <v>27.980271005864001</v>
      </c>
      <c r="AL1612">
        <v>81.042354739909499</v>
      </c>
      <c r="AM1612">
        <v>74.507191071904003</v>
      </c>
      <c r="AN1612">
        <v>1.0000000395447199</v>
      </c>
    </row>
    <row r="1613" spans="1:40" x14ac:dyDescent="0.25">
      <c r="A1613" t="str">
        <f>"20190312172922800"</f>
        <v>20190312172922800</v>
      </c>
      <c r="B1613" t="str">
        <f>"1552382962788757"</f>
        <v>1552382962788757</v>
      </c>
      <c r="C1613" t="s">
        <v>40</v>
      </c>
      <c r="D1613">
        <v>3.768475</v>
      </c>
      <c r="E1613">
        <v>0.55223459999999902</v>
      </c>
      <c r="F1613" t="s">
        <v>46</v>
      </c>
      <c r="G1613">
        <v>-204.488</v>
      </c>
      <c r="H1613" s="1">
        <v>4.3608930000000001E-6</v>
      </c>
      <c r="I1613">
        <v>282.85890000000001</v>
      </c>
      <c r="J1613">
        <v>-190.99270000000001</v>
      </c>
      <c r="K1613">
        <v>1.108609</v>
      </c>
      <c r="L1613">
        <v>306.51519999999999</v>
      </c>
      <c r="M1613">
        <v>-0.11216180000000001</v>
      </c>
      <c r="N1613">
        <v>0</v>
      </c>
      <c r="O1613">
        <v>-0.99359660000000005</v>
      </c>
      <c r="P1613">
        <v>-0.3690291</v>
      </c>
      <c r="Q1613">
        <v>0.14431769999999999</v>
      </c>
      <c r="R1613">
        <v>-0.91814499999999999</v>
      </c>
      <c r="S1613">
        <v>-1.5179750000000001</v>
      </c>
      <c r="T1613">
        <v>-0.1244687</v>
      </c>
      <c r="U1613">
        <v>-2.6780400000000002</v>
      </c>
      <c r="V1613">
        <v>0.26433379999999901</v>
      </c>
      <c r="W1613">
        <v>0.15624499999999999</v>
      </c>
      <c r="X1613">
        <v>0.9516907</v>
      </c>
      <c r="Y1613">
        <v>0.39200249999999998</v>
      </c>
      <c r="Z1613">
        <v>4.1071730000000001E-2</v>
      </c>
      <c r="AA1613">
        <v>0.9190469</v>
      </c>
      <c r="AB1613">
        <v>21</v>
      </c>
      <c r="AC1613">
        <v>-13.495299999999901</v>
      </c>
      <c r="AD1613">
        <v>-1.1086046391069999</v>
      </c>
      <c r="AE1613">
        <v>-23.656299999999899</v>
      </c>
      <c r="AF1613">
        <v>10.738755691181799</v>
      </c>
      <c r="AG1613">
        <v>-1.1086046391069999</v>
      </c>
      <c r="AH1613">
        <v>24.979408821710699</v>
      </c>
      <c r="AI1613">
        <v>92.334806600749701</v>
      </c>
      <c r="AJ1613">
        <v>66.736922092142393</v>
      </c>
      <c r="AK1613">
        <v>27.212510783147099</v>
      </c>
      <c r="AL1613">
        <v>81.010990905922696</v>
      </c>
      <c r="AM1613">
        <v>74.477271087086805</v>
      </c>
      <c r="AN1613">
        <v>1.0000000231569599</v>
      </c>
    </row>
    <row r="1614" spans="1:40" x14ac:dyDescent="0.25">
      <c r="A1614" t="str">
        <f>"20190312172922821"</f>
        <v>20190312172922821</v>
      </c>
      <c r="B1614" t="str">
        <f>"1552382962819010"</f>
        <v>1552382962819010</v>
      </c>
      <c r="C1614" t="s">
        <v>40</v>
      </c>
      <c r="D1614">
        <v>3.7672479999999999</v>
      </c>
      <c r="E1614">
        <v>0.5512049</v>
      </c>
      <c r="F1614" t="s">
        <v>46</v>
      </c>
      <c r="G1614">
        <v>-202.20089999999999</v>
      </c>
      <c r="H1614" s="1">
        <v>2.999414E-6</v>
      </c>
      <c r="I1614">
        <v>286.8306</v>
      </c>
      <c r="J1614">
        <v>-191.01779999999999</v>
      </c>
      <c r="K1614">
        <v>1.1086039999999999</v>
      </c>
      <c r="L1614">
        <v>306.32159999999999</v>
      </c>
      <c r="M1614">
        <v>-0.1149005</v>
      </c>
      <c r="N1614">
        <v>0</v>
      </c>
      <c r="O1614">
        <v>-0.99328380000000005</v>
      </c>
      <c r="P1614">
        <v>-0.37214360000000002</v>
      </c>
      <c r="Q1614">
        <v>0.1449155</v>
      </c>
      <c r="R1614">
        <v>-0.91679259999999996</v>
      </c>
      <c r="S1614">
        <v>-1.5249629999999901</v>
      </c>
      <c r="T1614">
        <v>-0.15083489999999999</v>
      </c>
      <c r="U1614">
        <v>-2.6782530000000002</v>
      </c>
      <c r="V1614">
        <v>0.26495990000000003</v>
      </c>
      <c r="W1614">
        <v>0.15682760000000001</v>
      </c>
      <c r="X1614">
        <v>0.95142070000000001</v>
      </c>
      <c r="Y1614">
        <v>0.39105469999999998</v>
      </c>
      <c r="Z1614">
        <v>4.9703799999999999E-2</v>
      </c>
      <c r="AA1614">
        <v>0.91902430000000002</v>
      </c>
      <c r="AB1614">
        <v>21</v>
      </c>
      <c r="AC1614">
        <v>-11.1830999999999</v>
      </c>
      <c r="AD1614">
        <v>-1.1086010005859901</v>
      </c>
      <c r="AE1614">
        <v>-19.4909999999999</v>
      </c>
      <c r="AF1614">
        <v>8.8477535513329002</v>
      </c>
      <c r="AG1614">
        <v>-1.1086010005859901</v>
      </c>
      <c r="AH1614">
        <v>20.5968205282601</v>
      </c>
      <c r="AI1614">
        <v>92.831203631632405</v>
      </c>
      <c r="AJ1614">
        <v>66.753144237726403</v>
      </c>
      <c r="AK1614">
        <v>22.444169731958901</v>
      </c>
      <c r="AL1614">
        <v>80.977193498571907</v>
      </c>
      <c r="AM1614">
        <v>74.438081699316299</v>
      </c>
      <c r="AN1614">
        <v>0.99999999655912997</v>
      </c>
    </row>
    <row r="1615" spans="1:40" x14ac:dyDescent="0.25">
      <c r="A1615" t="str">
        <f>"20190312172922846"</f>
        <v>20190312172922846</v>
      </c>
      <c r="B1615" t="str">
        <f>"1552382962838530"</f>
        <v>1552382962838530</v>
      </c>
      <c r="C1615" t="s">
        <v>40</v>
      </c>
      <c r="D1615">
        <v>3.7743199999999999</v>
      </c>
      <c r="E1615">
        <v>0.5506508</v>
      </c>
      <c r="F1615" t="s">
        <v>46</v>
      </c>
      <c r="G1615">
        <v>-200.5179</v>
      </c>
      <c r="H1615" s="1">
        <v>2.0036709999999998E-6</v>
      </c>
      <c r="I1615">
        <v>289.66059999999999</v>
      </c>
      <c r="J1615">
        <v>-191.04679999999999</v>
      </c>
      <c r="K1615">
        <v>1.108584</v>
      </c>
      <c r="L1615">
        <v>306.10379999999998</v>
      </c>
      <c r="M1615">
        <v>-0.1180264</v>
      </c>
      <c r="N1615">
        <v>0</v>
      </c>
      <c r="O1615">
        <v>-0.99291700000000005</v>
      </c>
      <c r="P1615">
        <v>-0.37522309999999998</v>
      </c>
      <c r="Q1615">
        <v>0.14558660000000001</v>
      </c>
      <c r="R1615">
        <v>-0.91543019999999997</v>
      </c>
      <c r="S1615">
        <v>-1.528214</v>
      </c>
      <c r="T1615">
        <v>-0.178333299999999</v>
      </c>
      <c r="U1615">
        <v>-2.680145</v>
      </c>
      <c r="V1615">
        <v>0.26518799999999998</v>
      </c>
      <c r="W1615">
        <v>0.1574789</v>
      </c>
      <c r="X1615">
        <v>0.95124949999999997</v>
      </c>
      <c r="Y1615">
        <v>0.38847860000000001</v>
      </c>
      <c r="Z1615">
        <v>5.8681839999999999E-2</v>
      </c>
      <c r="AA1615">
        <v>0.9195873</v>
      </c>
      <c r="AB1615">
        <v>21</v>
      </c>
      <c r="AC1615">
        <v>-9.4710999999999999</v>
      </c>
      <c r="AD1615">
        <v>-1.108581996329</v>
      </c>
      <c r="AE1615">
        <v>-16.443199999999901</v>
      </c>
      <c r="AF1615">
        <v>7.4385893010872399</v>
      </c>
      <c r="AG1615">
        <v>-1.108581996329</v>
      </c>
      <c r="AH1615">
        <v>17.386850456791301</v>
      </c>
      <c r="AI1615">
        <v>93.354853933445895</v>
      </c>
      <c r="AJ1615">
        <v>66.8373830224686</v>
      </c>
      <c r="AK1615">
        <v>18.9437096060845</v>
      </c>
      <c r="AL1615">
        <v>80.939406764373601</v>
      </c>
      <c r="AM1615">
        <v>74.422667737803906</v>
      </c>
      <c r="AN1615">
        <v>0.99999994526972802</v>
      </c>
    </row>
    <row r="1616" spans="1:40" x14ac:dyDescent="0.25">
      <c r="A1616" t="str">
        <f>"20190312172922867"</f>
        <v>20190312172922867</v>
      </c>
      <c r="B1616" t="str">
        <f>"1552382962859026"</f>
        <v>1552382962859026</v>
      </c>
      <c r="C1616" t="s">
        <v>40</v>
      </c>
      <c r="D1616">
        <v>3.803426</v>
      </c>
      <c r="E1616">
        <v>0.55047579999999996</v>
      </c>
      <c r="F1616" t="s">
        <v>46</v>
      </c>
      <c r="G1616">
        <v>-200.1576</v>
      </c>
      <c r="H1616" s="1">
        <v>1.7551890000000001E-6</v>
      </c>
      <c r="I1616">
        <v>290.20319999999998</v>
      </c>
      <c r="J1616">
        <v>-191.07419999999999</v>
      </c>
      <c r="K1616">
        <v>1.10856</v>
      </c>
      <c r="L1616">
        <v>305.90260000000001</v>
      </c>
      <c r="M1616">
        <v>-0.1209635</v>
      </c>
      <c r="N1616">
        <v>0</v>
      </c>
      <c r="O1616">
        <v>-0.99256350000000004</v>
      </c>
      <c r="P1616">
        <v>-0.37834079999999998</v>
      </c>
      <c r="Q1616">
        <v>0.14652760000000001</v>
      </c>
      <c r="R1616">
        <v>-0.91399529999999995</v>
      </c>
      <c r="S1616">
        <v>-1.534424</v>
      </c>
      <c r="T1616">
        <v>-0.18670390000000001</v>
      </c>
      <c r="U1616">
        <v>-2.6779169999999999</v>
      </c>
      <c r="V1616">
        <v>0.26564979999999999</v>
      </c>
      <c r="W1616">
        <v>0.1583947</v>
      </c>
      <c r="X1616">
        <v>0.95096860000000005</v>
      </c>
      <c r="Y1616">
        <v>0.3876077</v>
      </c>
      <c r="Z1616">
        <v>6.1414870000000003E-2</v>
      </c>
      <c r="AA1616">
        <v>0.91977629999999999</v>
      </c>
      <c r="AB1616">
        <v>21</v>
      </c>
      <c r="AC1616">
        <v>-9.0834000000000099</v>
      </c>
      <c r="AD1616">
        <v>-1.1085582448109901</v>
      </c>
      <c r="AE1616">
        <v>-15.699400000000001</v>
      </c>
      <c r="AF1616">
        <v>7.0909689100382103</v>
      </c>
      <c r="AG1616">
        <v>-1.1085582448109901</v>
      </c>
      <c r="AH1616">
        <v>16.620871712192599</v>
      </c>
      <c r="AI1616">
        <v>93.510526095583501</v>
      </c>
      <c r="AJ1616">
        <v>66.895431764898206</v>
      </c>
      <c r="AK1616">
        <v>18.1042569010283</v>
      </c>
      <c r="AL1616">
        <v>80.886268746250394</v>
      </c>
      <c r="AM1616">
        <v>74.392477327359401</v>
      </c>
      <c r="AN1616">
        <v>0.99999998770704401</v>
      </c>
    </row>
    <row r="1617" spans="1:40" x14ac:dyDescent="0.25">
      <c r="A1617" t="str">
        <f>"20190312172922890"</f>
        <v>20190312172922890</v>
      </c>
      <c r="B1617" t="str">
        <f>"1552382962878546"</f>
        <v>1552382962878546</v>
      </c>
      <c r="C1617" t="s">
        <v>40</v>
      </c>
      <c r="D1617">
        <v>3.8018269999999998</v>
      </c>
      <c r="E1617">
        <v>0.55033669999999901</v>
      </c>
      <c r="F1617" t="s">
        <v>46</v>
      </c>
      <c r="G1617">
        <v>-199.96690000000001</v>
      </c>
      <c r="H1617" s="1">
        <v>1.6113670000000001E-6</v>
      </c>
      <c r="I1617">
        <v>290.49200000000002</v>
      </c>
      <c r="J1617">
        <v>-191.10319999999999</v>
      </c>
      <c r="K1617">
        <v>1.10853</v>
      </c>
      <c r="L1617">
        <v>305.69499999999999</v>
      </c>
      <c r="M1617">
        <v>-0.124041899999999</v>
      </c>
      <c r="N1617">
        <v>0</v>
      </c>
      <c r="O1617">
        <v>-0.99218360000000005</v>
      </c>
      <c r="P1617">
        <v>-0.3817796</v>
      </c>
      <c r="Q1617">
        <v>0.14709749999999999</v>
      </c>
      <c r="R1617">
        <v>-0.91247279999999997</v>
      </c>
      <c r="S1617">
        <v>-1.543228</v>
      </c>
      <c r="T1617">
        <v>-0.19237889999999999</v>
      </c>
      <c r="U1617">
        <v>-2.674347</v>
      </c>
      <c r="V1617">
        <v>0.26630740000000003</v>
      </c>
      <c r="W1617">
        <v>0.15893750000000001</v>
      </c>
      <c r="X1617">
        <v>0.95069409999999999</v>
      </c>
      <c r="Y1617">
        <v>0.38749620000000001</v>
      </c>
      <c r="Z1617">
        <v>6.3262840000000001E-2</v>
      </c>
      <c r="AA1617">
        <v>0.91969809999999996</v>
      </c>
      <c r="AB1617">
        <v>21</v>
      </c>
      <c r="AC1617">
        <v>-8.8637000000000192</v>
      </c>
      <c r="AD1617">
        <v>-1.108528388633</v>
      </c>
      <c r="AE1617">
        <v>-15.2029999999999</v>
      </c>
      <c r="AF1617">
        <v>6.8819423223485501</v>
      </c>
      <c r="AG1617">
        <v>-1.108528388633</v>
      </c>
      <c r="AH1617">
        <v>16.121170452451999</v>
      </c>
      <c r="AI1617">
        <v>93.618622029925206</v>
      </c>
      <c r="AJ1617">
        <v>66.882921200482102</v>
      </c>
      <c r="AK1617">
        <v>17.563658561744699</v>
      </c>
      <c r="AL1617">
        <v>80.8547698350785</v>
      </c>
      <c r="AM1617">
        <v>74.351435729404798</v>
      </c>
      <c r="AN1617">
        <v>1.0000000159878999</v>
      </c>
    </row>
    <row r="1618" spans="1:40" x14ac:dyDescent="0.25">
      <c r="A1618" t="str">
        <f>"20190312172922911"</f>
        <v>20190312172922911</v>
      </c>
      <c r="B1618" t="str">
        <f>"1552382962908802"</f>
        <v>1552382962908802</v>
      </c>
      <c r="C1618" t="s">
        <v>40</v>
      </c>
      <c r="D1618">
        <v>3.783903</v>
      </c>
      <c r="E1618">
        <v>0.55020179999999996</v>
      </c>
      <c r="F1618" t="s">
        <v>46</v>
      </c>
      <c r="G1618">
        <v>-199.786</v>
      </c>
      <c r="H1618" s="1">
        <v>1.574426E-6</v>
      </c>
      <c r="I1618">
        <v>290.76299999999998</v>
      </c>
      <c r="J1618">
        <v>-191.13059999999999</v>
      </c>
      <c r="K1618">
        <v>1.1084989999999999</v>
      </c>
      <c r="L1618">
        <v>305.50349999999997</v>
      </c>
      <c r="M1618">
        <v>-0.1269333</v>
      </c>
      <c r="N1618">
        <v>0</v>
      </c>
      <c r="O1618">
        <v>-0.99181779999999997</v>
      </c>
      <c r="P1618">
        <v>-0.3854844</v>
      </c>
      <c r="Q1618">
        <v>0.147118</v>
      </c>
      <c r="R1618">
        <v>-0.91091049999999996</v>
      </c>
      <c r="S1618">
        <v>-1.5526580000000001</v>
      </c>
      <c r="T1618">
        <v>-0.19822670000000001</v>
      </c>
      <c r="U1618">
        <v>-2.6701350000000001</v>
      </c>
      <c r="V1618">
        <v>0.26741340000000002</v>
      </c>
      <c r="W1618">
        <v>0.15893090000000001</v>
      </c>
      <c r="X1618">
        <v>0.95038469999999997</v>
      </c>
      <c r="Y1618">
        <v>0.38780720000000002</v>
      </c>
      <c r="Z1618">
        <v>6.5170939999999997E-2</v>
      </c>
      <c r="AA1618">
        <v>0.91943370000000002</v>
      </c>
      <c r="AB1618">
        <v>20</v>
      </c>
      <c r="AC1618">
        <v>-8.6553999999999807</v>
      </c>
      <c r="AD1618">
        <v>-1.1084974255740001</v>
      </c>
      <c r="AE1618">
        <v>-14.7404999999999</v>
      </c>
      <c r="AF1618">
        <v>6.6860254687707599</v>
      </c>
      <c r="AG1618">
        <v>-1.1084974255740001</v>
      </c>
      <c r="AH1618">
        <v>15.6541762830074</v>
      </c>
      <c r="AI1618">
        <v>93.725874274001995</v>
      </c>
      <c r="AJ1618">
        <v>66.872279562679594</v>
      </c>
      <c r="AK1618">
        <v>17.0582806346662</v>
      </c>
      <c r="AL1618">
        <v>80.855152871831393</v>
      </c>
      <c r="AM1618">
        <v>74.284786579139706</v>
      </c>
      <c r="AN1618">
        <v>1.0000000177342201</v>
      </c>
    </row>
    <row r="1619" spans="1:40" x14ac:dyDescent="0.25">
      <c r="A1619" t="str">
        <f>"20190312172922935"</f>
        <v>20190312172922935</v>
      </c>
      <c r="B1619" t="str">
        <f>"1552382962929297"</f>
        <v>1552382962929297</v>
      </c>
      <c r="C1619" t="s">
        <v>40</v>
      </c>
      <c r="D1619">
        <v>3.7499229999999999</v>
      </c>
      <c r="E1619">
        <v>0.55012810000000001</v>
      </c>
      <c r="F1619" t="s">
        <v>46</v>
      </c>
      <c r="G1619">
        <v>-199.4819</v>
      </c>
      <c r="H1619" s="1">
        <v>1.5138919999999901E-6</v>
      </c>
      <c r="I1619">
        <v>291.25990000000002</v>
      </c>
      <c r="J1619">
        <v>-191.1617</v>
      </c>
      <c r="K1619">
        <v>1.108471</v>
      </c>
      <c r="L1619">
        <v>305.29090000000002</v>
      </c>
      <c r="M1619">
        <v>-0.1302092</v>
      </c>
      <c r="N1619">
        <v>0</v>
      </c>
      <c r="O1619">
        <v>-0.99139310000000003</v>
      </c>
      <c r="P1619">
        <v>-0.3891927</v>
      </c>
      <c r="Q1619">
        <v>0.1464637</v>
      </c>
      <c r="R1619">
        <v>-0.90943830000000003</v>
      </c>
      <c r="S1619">
        <v>-1.5628660000000001</v>
      </c>
      <c r="T1619">
        <v>-0.20744470000000001</v>
      </c>
      <c r="U1619">
        <v>-2.6655579999999999</v>
      </c>
      <c r="V1619">
        <v>0.26814320000000003</v>
      </c>
      <c r="W1619">
        <v>0.15825110000000001</v>
      </c>
      <c r="X1619">
        <v>0.95029249999999998</v>
      </c>
      <c r="Y1619">
        <v>0.3879724</v>
      </c>
      <c r="Z1619">
        <v>6.8179080000000003E-2</v>
      </c>
      <c r="AA1619">
        <v>0.91914580000000001</v>
      </c>
      <c r="AB1619">
        <v>20</v>
      </c>
      <c r="AC1619">
        <v>-8.3201999999999998</v>
      </c>
      <c r="AD1619">
        <v>-1.108469486108</v>
      </c>
      <c r="AE1619">
        <v>-14.031000000000001</v>
      </c>
      <c r="AF1619">
        <v>6.3926999954704096</v>
      </c>
      <c r="AG1619">
        <v>-1.108469486108</v>
      </c>
      <c r="AH1619">
        <v>14.9260705885919</v>
      </c>
      <c r="AI1619">
        <v>93.905312067409895</v>
      </c>
      <c r="AJ1619">
        <v>66.814990548826898</v>
      </c>
      <c r="AK1619">
        <v>16.2752235330071</v>
      </c>
      <c r="AL1619">
        <v>80.894601731797195</v>
      </c>
      <c r="AM1619">
        <v>74.242572357264507</v>
      </c>
      <c r="AN1619">
        <v>1.0000000109568401</v>
      </c>
    </row>
    <row r="1620" spans="1:40" x14ac:dyDescent="0.25">
      <c r="A1620" t="str">
        <f>"20190312172922958"</f>
        <v>20190312172922958</v>
      </c>
      <c r="B1620" t="str">
        <f>"1552382962948817"</f>
        <v>1552382962948817</v>
      </c>
      <c r="C1620" t="s">
        <v>40</v>
      </c>
      <c r="D1620">
        <v>3.7785859999999998</v>
      </c>
      <c r="E1620">
        <v>0.55010680000000001</v>
      </c>
      <c r="F1620" t="s">
        <v>46</v>
      </c>
      <c r="G1620">
        <v>-199.3597</v>
      </c>
      <c r="H1620" s="1">
        <v>1.492972E-6</v>
      </c>
      <c r="I1620">
        <v>291.4402</v>
      </c>
      <c r="J1620">
        <v>-191.1935</v>
      </c>
      <c r="K1620">
        <v>1.108436</v>
      </c>
      <c r="L1620">
        <v>305.07909999999998</v>
      </c>
      <c r="M1620">
        <v>-0.13353999999999999</v>
      </c>
      <c r="N1620">
        <v>0</v>
      </c>
      <c r="O1620">
        <v>-0.99094990000000005</v>
      </c>
      <c r="P1620">
        <v>-0.39273740000000001</v>
      </c>
      <c r="Q1620">
        <v>0.14642910000000001</v>
      </c>
      <c r="R1620">
        <v>-0.90791849999999996</v>
      </c>
      <c r="S1620">
        <v>-1.5740510000000001</v>
      </c>
      <c r="T1620">
        <v>-0.21283079999999999</v>
      </c>
      <c r="U1620">
        <v>-2.6593930000000001</v>
      </c>
      <c r="V1620">
        <v>0.26866960000000001</v>
      </c>
      <c r="W1620">
        <v>0.15819129999999901</v>
      </c>
      <c r="X1620">
        <v>0.95015380000000005</v>
      </c>
      <c r="Y1620">
        <v>0.38861119999999999</v>
      </c>
      <c r="Z1620">
        <v>6.9952199999999895E-2</v>
      </c>
      <c r="AA1620">
        <v>0.91874270000000002</v>
      </c>
      <c r="AB1620">
        <v>20</v>
      </c>
      <c r="AC1620">
        <v>-8.1661999999999999</v>
      </c>
      <c r="AD1620">
        <v>-1.1084345070279999</v>
      </c>
      <c r="AE1620">
        <v>-13.6388999999999</v>
      </c>
      <c r="AF1620">
        <v>6.2411937481205699</v>
      </c>
      <c r="AG1620">
        <v>-1.1084345070279999</v>
      </c>
      <c r="AH1620">
        <v>14.5366594155442</v>
      </c>
      <c r="AI1620">
        <v>94.007944726689999</v>
      </c>
      <c r="AJ1620">
        <v>66.764135913445699</v>
      </c>
      <c r="AK1620">
        <v>15.8586125944699</v>
      </c>
      <c r="AL1620">
        <v>80.8980720181289</v>
      </c>
      <c r="AM1620">
        <v>74.210989504709403</v>
      </c>
      <c r="AN1620">
        <v>1.00000004250714</v>
      </c>
    </row>
    <row r="1621" spans="1:40" x14ac:dyDescent="0.25">
      <c r="A1621" t="str">
        <f>"20190312172922982"</f>
        <v>20190312172922982</v>
      </c>
      <c r="B1621" t="str">
        <f>"1552382962979074"</f>
        <v>1552382962979074</v>
      </c>
      <c r="C1621" t="s">
        <v>40</v>
      </c>
      <c r="D1621">
        <v>3.762575</v>
      </c>
      <c r="E1621">
        <v>0.549979</v>
      </c>
      <c r="F1621" t="s">
        <v>46</v>
      </c>
      <c r="G1621">
        <v>-199.3058</v>
      </c>
      <c r="H1621" s="1">
        <v>1.48882E-6</v>
      </c>
      <c r="I1621">
        <v>291.49099999999999</v>
      </c>
      <c r="J1621">
        <v>-191.22569999999999</v>
      </c>
      <c r="K1621">
        <v>1.108398</v>
      </c>
      <c r="L1621">
        <v>304.87009999999998</v>
      </c>
      <c r="M1621">
        <v>-0.13688629999999999</v>
      </c>
      <c r="N1621">
        <v>0</v>
      </c>
      <c r="O1621">
        <v>-0.99049339999999997</v>
      </c>
      <c r="P1621">
        <v>-0.39678550000000001</v>
      </c>
      <c r="Q1621">
        <v>0.14617430000000001</v>
      </c>
      <c r="R1621">
        <v>-0.90619839999999996</v>
      </c>
      <c r="S1621">
        <v>-1.5843659999999999</v>
      </c>
      <c r="T1621">
        <v>-0.2164837</v>
      </c>
      <c r="U1621">
        <v>-2.6538390000000001</v>
      </c>
      <c r="V1621">
        <v>0.269708</v>
      </c>
      <c r="W1621">
        <v>0.15790879999999999</v>
      </c>
      <c r="X1621">
        <v>0.94990649999999999</v>
      </c>
      <c r="Y1621">
        <v>0.38893650000000002</v>
      </c>
      <c r="Z1621">
        <v>7.1153090000000002E-2</v>
      </c>
      <c r="AA1621">
        <v>0.91851269999999996</v>
      </c>
      <c r="AB1621">
        <v>20</v>
      </c>
      <c r="AC1621">
        <v>-8.0801000000000105</v>
      </c>
      <c r="AD1621">
        <v>-1.1083965111799901</v>
      </c>
      <c r="AE1621">
        <v>-13.3790999999999</v>
      </c>
      <c r="AF1621">
        <v>6.1415547940882398</v>
      </c>
      <c r="AG1621">
        <v>-1.1083965111799901</v>
      </c>
      <c r="AH1621">
        <v>14.2874407662114</v>
      </c>
      <c r="AI1621">
        <v>94.076723748140196</v>
      </c>
      <c r="AJ1621">
        <v>66.739215828313505</v>
      </c>
      <c r="AK1621">
        <v>15.5909653890574</v>
      </c>
      <c r="AL1621">
        <v>80.914463501445894</v>
      </c>
      <c r="AM1621">
        <v>74.149106530634398</v>
      </c>
      <c r="AN1621">
        <v>0.99999997656184403</v>
      </c>
    </row>
    <row r="1622" spans="1:40" x14ac:dyDescent="0.25">
      <c r="A1622" t="str">
        <f>"20190312172923003"</f>
        <v>20190312172923003</v>
      </c>
      <c r="B1622" t="str">
        <f>"1552382962998594"</f>
        <v>1552382962998594</v>
      </c>
      <c r="C1622" t="s">
        <v>40</v>
      </c>
      <c r="D1622">
        <v>3.7555299999999998</v>
      </c>
      <c r="E1622">
        <v>0.54986919999999995</v>
      </c>
      <c r="F1622" t="s">
        <v>46</v>
      </c>
      <c r="G1622">
        <v>-199.21799999999999</v>
      </c>
      <c r="H1622" s="1">
        <v>1.47704E-6</v>
      </c>
      <c r="I1622">
        <v>291.60210000000001</v>
      </c>
      <c r="J1622">
        <v>-191.2567</v>
      </c>
      <c r="K1622">
        <v>1.1083689999999999</v>
      </c>
      <c r="L1622">
        <v>304.673</v>
      </c>
      <c r="M1622">
        <v>-0.14008429999999999</v>
      </c>
      <c r="N1622">
        <v>0</v>
      </c>
      <c r="O1622">
        <v>-0.99004610000000004</v>
      </c>
      <c r="P1622">
        <v>-0.40056399999999998</v>
      </c>
      <c r="Q1622">
        <v>0.14534269999999999</v>
      </c>
      <c r="R1622">
        <v>-0.90466800000000003</v>
      </c>
      <c r="S1622">
        <v>-1.595016</v>
      </c>
      <c r="T1622">
        <v>-0.2212015</v>
      </c>
      <c r="U1622">
        <v>-2.647888</v>
      </c>
      <c r="V1622">
        <v>0.27059319999999998</v>
      </c>
      <c r="W1622">
        <v>0.15705649999999999</v>
      </c>
      <c r="X1622">
        <v>0.94979610000000003</v>
      </c>
      <c r="Y1622">
        <v>0.38952890000000001</v>
      </c>
      <c r="Z1622">
        <v>7.2705190000000003E-2</v>
      </c>
      <c r="AA1622">
        <v>0.91814010000000001</v>
      </c>
      <c r="AB1622">
        <v>20</v>
      </c>
      <c r="AC1622">
        <v>-7.9612999999999898</v>
      </c>
      <c r="AD1622">
        <v>-1.1083675229600001</v>
      </c>
      <c r="AE1622">
        <v>-13.0708999999999</v>
      </c>
      <c r="AF1622">
        <v>6.0200128810457203</v>
      </c>
      <c r="AG1622">
        <v>-1.1083675229600001</v>
      </c>
      <c r="AH1622">
        <v>13.984005403805201</v>
      </c>
      <c r="AI1622">
        <v>94.163809187902402</v>
      </c>
      <c r="AJ1622">
        <v>66.708472761680497</v>
      </c>
      <c r="AK1622">
        <v>15.2650398226655</v>
      </c>
      <c r="AL1622">
        <v>80.963914216595597</v>
      </c>
      <c r="AM1622">
        <v>74.097954302830402</v>
      </c>
      <c r="AN1622">
        <v>1.0000000278268399</v>
      </c>
    </row>
    <row r="1623" spans="1:40" x14ac:dyDescent="0.25">
      <c r="A1623" t="str">
        <f>"20190312172923024"</f>
        <v>20190312172923024</v>
      </c>
      <c r="B1623" t="str">
        <f>"1552382963019090"</f>
        <v>1552382963019090</v>
      </c>
      <c r="C1623" t="s">
        <v>40</v>
      </c>
      <c r="D1623">
        <v>3.7720470000000001</v>
      </c>
      <c r="E1623">
        <v>0.5498478</v>
      </c>
      <c r="F1623" t="s">
        <v>46</v>
      </c>
      <c r="G1623">
        <v>-199.13159999999999</v>
      </c>
      <c r="H1623" s="1">
        <v>1.466168E-6</v>
      </c>
      <c r="I1623">
        <v>291.70729999999998</v>
      </c>
      <c r="J1623">
        <v>-191.2877</v>
      </c>
      <c r="K1623">
        <v>1.1083499999999999</v>
      </c>
      <c r="L1623">
        <v>304.48090000000002</v>
      </c>
      <c r="M1623">
        <v>-0.143232</v>
      </c>
      <c r="N1623">
        <v>0</v>
      </c>
      <c r="O1623">
        <v>-0.98959549999999996</v>
      </c>
      <c r="P1623">
        <v>-0.40429290000000001</v>
      </c>
      <c r="Q1623">
        <v>0.1448729</v>
      </c>
      <c r="R1623">
        <v>-0.90308310000000003</v>
      </c>
      <c r="S1623">
        <v>-1.60463</v>
      </c>
      <c r="T1623">
        <v>-0.2258472</v>
      </c>
      <c r="U1623">
        <v>-2.6419679999999999</v>
      </c>
      <c r="V1623">
        <v>0.27148529999999998</v>
      </c>
      <c r="W1623">
        <v>0.1565714</v>
      </c>
      <c r="X1623">
        <v>0.94962159999999995</v>
      </c>
      <c r="Y1623">
        <v>0.38989590000000002</v>
      </c>
      <c r="Z1623">
        <v>7.4242509999999998E-2</v>
      </c>
      <c r="AA1623">
        <v>0.91786120000000004</v>
      </c>
      <c r="AB1623">
        <v>20</v>
      </c>
      <c r="AC1623">
        <v>-7.8438999999999899</v>
      </c>
      <c r="AD1623">
        <v>-1.108348533832</v>
      </c>
      <c r="AE1623">
        <v>-12.7736</v>
      </c>
      <c r="AF1623">
        <v>5.9009877845333296</v>
      </c>
      <c r="AG1623">
        <v>-1.108348533832</v>
      </c>
      <c r="AH1623">
        <v>13.690620763088299</v>
      </c>
      <c r="AI1623">
        <v>94.251823485506407</v>
      </c>
      <c r="AJ1623">
        <v>66.682792266329798</v>
      </c>
      <c r="AK1623">
        <v>14.949354172818399</v>
      </c>
      <c r="AL1623">
        <v>80.992056566635597</v>
      </c>
      <c r="AM1623">
        <v>74.045409295109806</v>
      </c>
      <c r="AN1623">
        <v>1.0000000273003</v>
      </c>
    </row>
    <row r="1624" spans="1:40" x14ac:dyDescent="0.25">
      <c r="A1624" t="str">
        <f>"20190312172923046"</f>
        <v>20190312172923046</v>
      </c>
      <c r="B1624" t="str">
        <f>"1552382963038610"</f>
        <v>1552382963038610</v>
      </c>
      <c r="C1624" t="s">
        <v>40</v>
      </c>
      <c r="D1624">
        <v>3.7618580000000001</v>
      </c>
      <c r="E1624">
        <v>0.54987419999999998</v>
      </c>
      <c r="F1624" t="s">
        <v>46</v>
      </c>
      <c r="G1624">
        <v>-199.07980000000001</v>
      </c>
      <c r="H1624" s="1">
        <v>1.459723E-6</v>
      </c>
      <c r="I1624">
        <v>291.77</v>
      </c>
      <c r="J1624">
        <v>-191.32069999999999</v>
      </c>
      <c r="K1624">
        <v>1.1083499999999999</v>
      </c>
      <c r="L1624">
        <v>304.28050000000002</v>
      </c>
      <c r="M1624">
        <v>-0.14653389999999999</v>
      </c>
      <c r="N1624">
        <v>0</v>
      </c>
      <c r="O1624">
        <v>-0.98911210000000005</v>
      </c>
      <c r="P1624">
        <v>-0.40835460000000001</v>
      </c>
      <c r="Q1624">
        <v>0.14495350000000001</v>
      </c>
      <c r="R1624">
        <v>-0.90124110000000002</v>
      </c>
      <c r="S1624">
        <v>-1.6156459999999999</v>
      </c>
      <c r="T1624">
        <v>-0.2298095</v>
      </c>
      <c r="U1624">
        <v>-2.635529</v>
      </c>
      <c r="V1624">
        <v>0.27259670000000003</v>
      </c>
      <c r="W1624">
        <v>0.15663969999999999</v>
      </c>
      <c r="X1624">
        <v>0.94929189999999997</v>
      </c>
      <c r="Y1624">
        <v>0.3905613</v>
      </c>
      <c r="Z1624">
        <v>7.5550399999999907E-2</v>
      </c>
      <c r="AA1624">
        <v>0.9174715</v>
      </c>
      <c r="AB1624">
        <v>20</v>
      </c>
      <c r="AC1624">
        <v>-7.7591000000000099</v>
      </c>
      <c r="AD1624">
        <v>-1.1083485402769999</v>
      </c>
      <c r="AE1624">
        <v>-12.5105</v>
      </c>
      <c r="AF1624">
        <v>5.8090200417758799</v>
      </c>
      <c r="AG1624">
        <v>-1.1083485402769999</v>
      </c>
      <c r="AH1624">
        <v>13.4363458318625</v>
      </c>
      <c r="AI1624">
        <v>94.329923282197896</v>
      </c>
      <c r="AJ1624">
        <v>66.619419371317605</v>
      </c>
      <c r="AK1624">
        <v>14.6802091145153</v>
      </c>
      <c r="AL1624">
        <v>80.988094436744007</v>
      </c>
      <c r="AM1624">
        <v>73.978161022270399</v>
      </c>
      <c r="AN1624">
        <v>1.00000003393629</v>
      </c>
    </row>
    <row r="1625" spans="1:40" x14ac:dyDescent="0.25">
      <c r="A1625" t="str">
        <f>"20190312172923068"</f>
        <v>20190312172923068</v>
      </c>
      <c r="B1625" t="str">
        <f>"1552382963059106"</f>
        <v>1552382963059106</v>
      </c>
      <c r="C1625" t="s">
        <v>40</v>
      </c>
      <c r="D1625">
        <v>3.7664680000000001</v>
      </c>
      <c r="E1625">
        <v>0.54988519999999996</v>
      </c>
      <c r="F1625" t="s">
        <v>46</v>
      </c>
      <c r="G1625">
        <v>-199.0949</v>
      </c>
      <c r="H1625" s="1">
        <v>1.4661550000000001E-6</v>
      </c>
      <c r="I1625">
        <v>291.72590000000002</v>
      </c>
      <c r="J1625">
        <v>-191.35380000000001</v>
      </c>
      <c r="K1625">
        <v>1.1083590000000001</v>
      </c>
      <c r="L1625">
        <v>304.08350000000002</v>
      </c>
      <c r="M1625">
        <v>-0.1497868</v>
      </c>
      <c r="N1625">
        <v>0</v>
      </c>
      <c r="O1625">
        <v>-0.98862470000000002</v>
      </c>
      <c r="P1625">
        <v>-0.41228120000000001</v>
      </c>
      <c r="Q1625">
        <v>0.14535390000000001</v>
      </c>
      <c r="R1625">
        <v>-0.89938669999999998</v>
      </c>
      <c r="S1625">
        <v>-1.627686</v>
      </c>
      <c r="T1625">
        <v>-0.2320567</v>
      </c>
      <c r="U1625">
        <v>-2.628571</v>
      </c>
      <c r="V1625">
        <v>0.2736247</v>
      </c>
      <c r="W1625">
        <v>0.15703429999999999</v>
      </c>
      <c r="X1625">
        <v>0.94893079999999996</v>
      </c>
      <c r="Y1625">
        <v>0.39162960000000002</v>
      </c>
      <c r="Z1625">
        <v>7.6295580000000002E-2</v>
      </c>
      <c r="AA1625">
        <v>0.9169543</v>
      </c>
      <c r="AB1625">
        <v>20</v>
      </c>
      <c r="AC1625">
        <v>-7.7410999999999799</v>
      </c>
      <c r="AD1625">
        <v>-1.108357533845</v>
      </c>
      <c r="AE1625">
        <v>-12.3575999999999</v>
      </c>
      <c r="AF1625">
        <v>5.7692437353547099</v>
      </c>
      <c r="AG1625">
        <v>-1.108357533845</v>
      </c>
      <c r="AH1625">
        <v>13.3009379184344</v>
      </c>
      <c r="AI1625">
        <v>94.371627541842898</v>
      </c>
      <c r="AJ1625">
        <v>66.551349251517195</v>
      </c>
      <c r="AK1625">
        <v>14.540549481048</v>
      </c>
      <c r="AL1625">
        <v>80.9652015056556</v>
      </c>
      <c r="AM1625">
        <v>73.915055504670903</v>
      </c>
      <c r="AN1625">
        <v>0.99999995550760901</v>
      </c>
    </row>
    <row r="1626" spans="1:40" x14ac:dyDescent="0.25">
      <c r="A1626" t="str">
        <f>"20190312172923091"</f>
        <v>20190312172923091</v>
      </c>
      <c r="B1626" t="str">
        <f>"1552382963078630"</f>
        <v>1552382963078630</v>
      </c>
      <c r="C1626" t="s">
        <v>40</v>
      </c>
      <c r="D1626">
        <v>3.7703159999999998</v>
      </c>
      <c r="E1626">
        <v>0.54991230000000002</v>
      </c>
      <c r="F1626" t="s">
        <v>46</v>
      </c>
      <c r="G1626">
        <v>-199.14330000000001</v>
      </c>
      <c r="H1626" s="1">
        <v>1.479249E-6</v>
      </c>
      <c r="I1626">
        <v>291.62709999999998</v>
      </c>
      <c r="J1626">
        <v>-191.3879</v>
      </c>
      <c r="K1626">
        <v>1.1083750000000001</v>
      </c>
      <c r="L1626">
        <v>303.88510000000002</v>
      </c>
      <c r="M1626">
        <v>-0.1530608</v>
      </c>
      <c r="N1626">
        <v>0</v>
      </c>
      <c r="O1626">
        <v>-0.98812319999999998</v>
      </c>
      <c r="P1626">
        <v>-0.41560439999999998</v>
      </c>
      <c r="Q1626">
        <v>0.14594570000000001</v>
      </c>
      <c r="R1626">
        <v>-0.89776</v>
      </c>
      <c r="S1626">
        <v>-1.639481</v>
      </c>
      <c r="T1626">
        <v>-0.23328070000000001</v>
      </c>
      <c r="U1626">
        <v>-2.6217350000000001</v>
      </c>
      <c r="V1626">
        <v>0.27400370000000002</v>
      </c>
      <c r="W1626">
        <v>0.15762909999999999</v>
      </c>
      <c r="X1626">
        <v>0.94872279999999998</v>
      </c>
      <c r="Y1626">
        <v>0.3926077</v>
      </c>
      <c r="Z1626">
        <v>7.6704320000000006E-2</v>
      </c>
      <c r="AA1626">
        <v>0.91650189999999998</v>
      </c>
      <c r="AB1626">
        <v>20</v>
      </c>
      <c r="AC1626">
        <v>-7.7553999999999998</v>
      </c>
      <c r="AD1626">
        <v>-1.1083735207509999</v>
      </c>
      <c r="AE1626">
        <v>-12.257999999999999</v>
      </c>
      <c r="AF1626">
        <v>5.7540105839443196</v>
      </c>
      <c r="AG1626">
        <v>-1.1083735207509999</v>
      </c>
      <c r="AH1626">
        <v>13.2234837974766</v>
      </c>
      <c r="AI1626">
        <v>94.394974367108404</v>
      </c>
      <c r="AJ1626">
        <v>66.484419628254898</v>
      </c>
      <c r="AK1626">
        <v>14.4636666652606</v>
      </c>
      <c r="AL1626">
        <v>80.930692193058306</v>
      </c>
      <c r="AM1626">
        <v>73.890582660693596</v>
      </c>
      <c r="AN1626">
        <v>0.999999956010168</v>
      </c>
    </row>
    <row r="1627" spans="1:40" x14ac:dyDescent="0.25">
      <c r="A1627" t="str">
        <f>"20190312172923112"</f>
        <v>20190312172923112</v>
      </c>
      <c r="B1627" t="str">
        <f>"1552382963108882"</f>
        <v>1552382963108882</v>
      </c>
      <c r="C1627" t="s">
        <v>40</v>
      </c>
      <c r="D1627">
        <v>3.7776399999999999</v>
      </c>
      <c r="E1627">
        <v>0.54997089999999904</v>
      </c>
      <c r="F1627" t="s">
        <v>46</v>
      </c>
      <c r="G1627">
        <v>-199.2259</v>
      </c>
      <c r="H1627" s="1">
        <v>1.5018669999999999E-6</v>
      </c>
      <c r="I1627">
        <v>291.45710000000003</v>
      </c>
      <c r="J1627">
        <v>-191.42259999999999</v>
      </c>
      <c r="K1627">
        <v>1.108395</v>
      </c>
      <c r="L1627">
        <v>303.68650000000002</v>
      </c>
      <c r="M1627">
        <v>-0.15633050000000001</v>
      </c>
      <c r="N1627">
        <v>0</v>
      </c>
      <c r="O1627">
        <v>-0.98761100000000002</v>
      </c>
      <c r="P1627">
        <v>-0.4194196</v>
      </c>
      <c r="Q1627">
        <v>0.14653669999999999</v>
      </c>
      <c r="R1627">
        <v>-0.8958874</v>
      </c>
      <c r="S1627">
        <v>-1.6497649999999999</v>
      </c>
      <c r="T1627">
        <v>-0.2332938</v>
      </c>
      <c r="U1627">
        <v>-2.615875</v>
      </c>
      <c r="V1627">
        <v>0.27491300000000002</v>
      </c>
      <c r="W1627">
        <v>0.15821959999999999</v>
      </c>
      <c r="X1627">
        <v>0.94836149999999997</v>
      </c>
      <c r="Y1627">
        <v>0.39306980000000002</v>
      </c>
      <c r="Z1627">
        <v>7.6711189999999999E-2</v>
      </c>
      <c r="AA1627">
        <v>0.91630319999999998</v>
      </c>
      <c r="AB1627">
        <v>20</v>
      </c>
      <c r="AC1627">
        <v>-7.8033000000000001</v>
      </c>
      <c r="AD1627">
        <v>-1.1083934981329999</v>
      </c>
      <c r="AE1627">
        <v>-12.229399999999901</v>
      </c>
      <c r="AF1627">
        <v>5.7616987256523897</v>
      </c>
      <c r="AG1627">
        <v>-1.1083934981329999</v>
      </c>
      <c r="AH1627">
        <v>13.221831184345</v>
      </c>
      <c r="AI1627">
        <v>94.394581497789403</v>
      </c>
      <c r="AJ1627">
        <v>66.453794571617095</v>
      </c>
      <c r="AK1627">
        <v>14.465217876658601</v>
      </c>
      <c r="AL1627">
        <v>80.896430091953604</v>
      </c>
      <c r="AM1627">
        <v>73.834073606579494</v>
      </c>
      <c r="AN1627">
        <v>1.0000000670377001</v>
      </c>
    </row>
    <row r="1628" spans="1:40" x14ac:dyDescent="0.25">
      <c r="A1628" t="str">
        <f>"20190312172923135"</f>
        <v>20190312172923135</v>
      </c>
      <c r="B1628" t="str">
        <f>"1552382963129378"</f>
        <v>1552382963129378</v>
      </c>
      <c r="C1628" t="s">
        <v>40</v>
      </c>
      <c r="D1628">
        <v>3.764062</v>
      </c>
      <c r="E1628">
        <v>0.54998009999999997</v>
      </c>
      <c r="F1628" t="s">
        <v>46</v>
      </c>
      <c r="G1628">
        <v>-199.28729999999999</v>
      </c>
      <c r="H1628" s="1">
        <v>1.5176249999999999E-6</v>
      </c>
      <c r="I1628">
        <v>291.33670000000001</v>
      </c>
      <c r="J1628">
        <v>-191.45769999999999</v>
      </c>
      <c r="K1628">
        <v>1.108409</v>
      </c>
      <c r="L1628">
        <v>303.48950000000002</v>
      </c>
      <c r="M1628">
        <v>-0.1595616</v>
      </c>
      <c r="N1628">
        <v>0</v>
      </c>
      <c r="O1628">
        <v>-0.98709400000000003</v>
      </c>
      <c r="P1628">
        <v>-0.4230389</v>
      </c>
      <c r="Q1628">
        <v>0.1473641</v>
      </c>
      <c r="R1628">
        <v>-0.89404819999999996</v>
      </c>
      <c r="S1628">
        <v>-1.661545</v>
      </c>
      <c r="T1628">
        <v>-0.2341645</v>
      </c>
      <c r="U1628">
        <v>-2.60907</v>
      </c>
      <c r="V1628">
        <v>0.27566560000000001</v>
      </c>
      <c r="W1628">
        <v>0.1590472</v>
      </c>
      <c r="X1628">
        <v>0.94800450000000003</v>
      </c>
      <c r="Y1628">
        <v>0.39407740000000002</v>
      </c>
      <c r="Z1628">
        <v>7.700013E-2</v>
      </c>
      <c r="AA1628">
        <v>0.91584600000000005</v>
      </c>
      <c r="AB1628">
        <v>20</v>
      </c>
      <c r="AC1628">
        <v>-7.8295999999999903</v>
      </c>
      <c r="AD1628">
        <v>-1.1084074823749901</v>
      </c>
      <c r="AE1628">
        <v>-12.152799999999999</v>
      </c>
      <c r="AF1628">
        <v>5.7561306701995303</v>
      </c>
      <c r="AG1628">
        <v>-1.1084074823749901</v>
      </c>
      <c r="AH1628">
        <v>13.169073894540301</v>
      </c>
      <c r="AI1628">
        <v>94.410041973649996</v>
      </c>
      <c r="AJ1628">
        <v>66.390122735637703</v>
      </c>
      <c r="AK1628">
        <v>14.414788055301401</v>
      </c>
      <c r="AL1628">
        <v>80.848403668344105</v>
      </c>
      <c r="AM1628">
        <v>73.786355447490394</v>
      </c>
      <c r="AN1628">
        <v>1.00000003343572</v>
      </c>
    </row>
    <row r="1629" spans="1:40" x14ac:dyDescent="0.25">
      <c r="A1629" t="str">
        <f>"20190312172923160"</f>
        <v>20190312172923160</v>
      </c>
      <c r="B1629" t="str">
        <f>"1552382963148898"</f>
        <v>1552382963148898</v>
      </c>
      <c r="C1629" t="s">
        <v>40</v>
      </c>
      <c r="D1629">
        <v>3.7787950000000001</v>
      </c>
      <c r="E1629">
        <v>0.55002839999999997</v>
      </c>
      <c r="F1629" t="s">
        <v>46</v>
      </c>
      <c r="G1629">
        <v>-199.41909999999999</v>
      </c>
      <c r="H1629" s="1">
        <v>1.546458E-6</v>
      </c>
      <c r="I1629">
        <v>291.10660000000001</v>
      </c>
      <c r="J1629">
        <v>-191.49770000000001</v>
      </c>
      <c r="K1629">
        <v>1.108419</v>
      </c>
      <c r="L1629">
        <v>303.26929999999999</v>
      </c>
      <c r="M1629">
        <v>-0.16316220000000001</v>
      </c>
      <c r="N1629">
        <v>0</v>
      </c>
      <c r="O1629">
        <v>-0.98650559999999998</v>
      </c>
      <c r="P1629">
        <v>-0.42660360000000003</v>
      </c>
      <c r="Q1629">
        <v>0.1479211</v>
      </c>
      <c r="R1629">
        <v>-0.89226070000000002</v>
      </c>
      <c r="S1629">
        <v>-1.6730799999999999</v>
      </c>
      <c r="T1629">
        <v>-0.2329291</v>
      </c>
      <c r="U1629">
        <v>-2.6022340000000002</v>
      </c>
      <c r="V1629">
        <v>0.2760031</v>
      </c>
      <c r="W1629">
        <v>0.15960650000000001</v>
      </c>
      <c r="X1629">
        <v>0.94781230000000005</v>
      </c>
      <c r="Y1629">
        <v>0.39471010000000001</v>
      </c>
      <c r="Z1629">
        <v>7.6600749999999995E-2</v>
      </c>
      <c r="AA1629">
        <v>0.91560699999999995</v>
      </c>
      <c r="AB1629">
        <v>20</v>
      </c>
      <c r="AC1629">
        <v>-7.92139999999997</v>
      </c>
      <c r="AD1629">
        <v>-1.1084174535419999</v>
      </c>
      <c r="AE1629">
        <v>-12.1626999999999</v>
      </c>
      <c r="AF1629">
        <v>5.7967473316705203</v>
      </c>
      <c r="AG1629">
        <v>-1.1084174535419999</v>
      </c>
      <c r="AH1629">
        <v>13.2152078656462</v>
      </c>
      <c r="AI1629">
        <v>94.392257966146303</v>
      </c>
      <c r="AJ1629">
        <v>66.315717798741105</v>
      </c>
      <c r="AK1629">
        <v>14.4731678567888</v>
      </c>
      <c r="AL1629">
        <v>80.815943652648002</v>
      </c>
      <c r="AM1629">
        <v>73.764431332517006</v>
      </c>
      <c r="AN1629">
        <v>1.0000000510415701</v>
      </c>
    </row>
    <row r="1630" spans="1:40" x14ac:dyDescent="0.25">
      <c r="A1630" t="str">
        <f>"20190312172923184"</f>
        <v>20190312172923184</v>
      </c>
      <c r="B1630" t="str">
        <f>"1552382963179154"</f>
        <v>1552382963179154</v>
      </c>
      <c r="C1630" t="s">
        <v>40</v>
      </c>
      <c r="D1630">
        <v>3.7785869999999999</v>
      </c>
      <c r="E1630">
        <v>0.55006820000000001</v>
      </c>
      <c r="F1630" t="s">
        <v>46</v>
      </c>
      <c r="G1630">
        <v>-199.53100000000001</v>
      </c>
      <c r="H1630" s="1">
        <v>1.5745239999999999E-6</v>
      </c>
      <c r="I1630">
        <v>290.89089999999999</v>
      </c>
      <c r="J1630">
        <v>-191.5361</v>
      </c>
      <c r="K1630">
        <v>1.1084320000000001</v>
      </c>
      <c r="L1630">
        <v>303.06209999999999</v>
      </c>
      <c r="M1630">
        <v>-0.16655010000000001</v>
      </c>
      <c r="N1630">
        <v>0</v>
      </c>
      <c r="O1630">
        <v>-0.98593920000000002</v>
      </c>
      <c r="P1630">
        <v>-0.43029729999999999</v>
      </c>
      <c r="Q1630">
        <v>0.14785029999999999</v>
      </c>
      <c r="R1630">
        <v>-0.89049699999999998</v>
      </c>
      <c r="S1630">
        <v>-1.684418</v>
      </c>
      <c r="T1630">
        <v>-0.23241149999999999</v>
      </c>
      <c r="U1630">
        <v>-2.5954899999999999</v>
      </c>
      <c r="V1630">
        <v>0.27667129999999901</v>
      </c>
      <c r="W1630">
        <v>0.15953299999999901</v>
      </c>
      <c r="X1630">
        <v>0.94762979999999997</v>
      </c>
      <c r="Y1630">
        <v>0.39546379999999998</v>
      </c>
      <c r="Z1630">
        <v>7.6434870000000002E-2</v>
      </c>
      <c r="AA1630">
        <v>0.91529570000000005</v>
      </c>
      <c r="AB1630">
        <v>20</v>
      </c>
      <c r="AC1630">
        <v>-7.9948999999999701</v>
      </c>
      <c r="AD1630">
        <v>-1.10843042547599</v>
      </c>
      <c r="AE1630">
        <v>-12.171200000000001</v>
      </c>
      <c r="AF1630">
        <v>5.8221796296090202</v>
      </c>
      <c r="AG1630">
        <v>-1.10843042547599</v>
      </c>
      <c r="AH1630">
        <v>13.2560444777223</v>
      </c>
      <c r="AI1630">
        <v>94.377920413726102</v>
      </c>
      <c r="AJ1630">
        <v>66.288466294600894</v>
      </c>
      <c r="AK1630">
        <v>14.520644229610101</v>
      </c>
      <c r="AL1630">
        <v>80.8202091920096</v>
      </c>
      <c r="AM1630">
        <v>73.724234774187593</v>
      </c>
      <c r="AN1630">
        <v>1.00000001209036</v>
      </c>
    </row>
    <row r="1631" spans="1:40" x14ac:dyDescent="0.25">
      <c r="A1631" t="str">
        <f>"20190312172923202"</f>
        <v>20190312172923202</v>
      </c>
      <c r="B1631" t="str">
        <f>"1552382963198675"</f>
        <v>1552382963198675</v>
      </c>
      <c r="C1631" t="s">
        <v>40</v>
      </c>
      <c r="D1631">
        <v>3.7650990000000002</v>
      </c>
      <c r="E1631">
        <v>0.55010059999999905</v>
      </c>
      <c r="F1631" t="s">
        <v>46</v>
      </c>
      <c r="G1631">
        <v>-199.55520000000001</v>
      </c>
      <c r="H1631" s="1">
        <v>1.5842649999999999E-6</v>
      </c>
      <c r="I1631">
        <v>290.82339999999999</v>
      </c>
      <c r="J1631">
        <v>-191.56809999999999</v>
      </c>
      <c r="K1631">
        <v>1.108433</v>
      </c>
      <c r="L1631">
        <v>302.89269999999999</v>
      </c>
      <c r="M1631">
        <v>-0.16933129999999999</v>
      </c>
      <c r="N1631">
        <v>0</v>
      </c>
      <c r="O1631">
        <v>-0.98546540000000005</v>
      </c>
      <c r="P1631">
        <v>-0.4332491</v>
      </c>
      <c r="Q1631">
        <v>0.14773020000000001</v>
      </c>
      <c r="R1631">
        <v>-0.88908449999999895</v>
      </c>
      <c r="S1631">
        <v>-1.6959379999999999</v>
      </c>
      <c r="T1631">
        <v>-0.23441790000000001</v>
      </c>
      <c r="U1631">
        <v>-2.5883180000000001</v>
      </c>
      <c r="V1631">
        <v>0.27713870000000002</v>
      </c>
      <c r="W1631">
        <v>0.159407299999999</v>
      </c>
      <c r="X1631">
        <v>0.94751439999999998</v>
      </c>
      <c r="Y1631">
        <v>0.3968584</v>
      </c>
      <c r="Z1631">
        <v>7.7101909999999996E-2</v>
      </c>
      <c r="AA1631">
        <v>0.9146358</v>
      </c>
      <c r="AB1631">
        <v>20</v>
      </c>
      <c r="AC1631">
        <v>-7.9871000000000203</v>
      </c>
      <c r="AD1631">
        <v>-1.1084314157349999</v>
      </c>
      <c r="AE1631">
        <v>-12.069299999999901</v>
      </c>
      <c r="AF1631">
        <v>5.7938546499101902</v>
      </c>
      <c r="AG1631">
        <v>-1.1084314157349999</v>
      </c>
      <c r="AH1631">
        <v>13.1703161974824</v>
      </c>
      <c r="AI1631">
        <v>94.4051643002812</v>
      </c>
      <c r="AJ1631">
        <v>66.2544582734605</v>
      </c>
      <c r="AK1631">
        <v>14.4310290918334</v>
      </c>
      <c r="AL1631">
        <v>80.827504912190406</v>
      </c>
      <c r="AM1631">
        <v>73.6963179257164</v>
      </c>
      <c r="AN1631">
        <v>1.0000000422691599</v>
      </c>
    </row>
    <row r="1632" spans="1:40" x14ac:dyDescent="0.25">
      <c r="A1632" t="str">
        <f>"20190312172923226"</f>
        <v>20190312172923226</v>
      </c>
      <c r="B1632" t="str">
        <f>"1552382963219170"</f>
        <v>1552382963219170</v>
      </c>
      <c r="C1632" t="s">
        <v>40</v>
      </c>
      <c r="D1632">
        <v>3.765441</v>
      </c>
      <c r="E1632">
        <v>0.55011929999999998</v>
      </c>
      <c r="F1632" t="s">
        <v>46</v>
      </c>
      <c r="G1632">
        <v>-199.57660000000001</v>
      </c>
      <c r="H1632" s="1">
        <v>1.593029E-6</v>
      </c>
      <c r="I1632">
        <v>290.7629</v>
      </c>
      <c r="J1632">
        <v>-191.60839999999999</v>
      </c>
      <c r="K1632">
        <v>1.1084290000000001</v>
      </c>
      <c r="L1632">
        <v>302.68290000000002</v>
      </c>
      <c r="M1632">
        <v>-0.17280219999999999</v>
      </c>
      <c r="N1632">
        <v>0</v>
      </c>
      <c r="O1632">
        <v>-0.98486280000000004</v>
      </c>
      <c r="P1632">
        <v>-0.43722369999999999</v>
      </c>
      <c r="Q1632">
        <v>0.14786250000000001</v>
      </c>
      <c r="R1632">
        <v>-0.88711489999999904</v>
      </c>
      <c r="S1632">
        <v>-1.7051240000000001</v>
      </c>
      <c r="T1632">
        <v>-0.23600090000000001</v>
      </c>
      <c r="U1632">
        <v>-2.582611</v>
      </c>
      <c r="V1632">
        <v>0.27805049999999998</v>
      </c>
      <c r="W1632">
        <v>0.1595241</v>
      </c>
      <c r="X1632">
        <v>0.9472275</v>
      </c>
      <c r="Y1632">
        <v>0.39679930000000002</v>
      </c>
      <c r="Z1632">
        <v>7.7621250000000003E-2</v>
      </c>
      <c r="AA1632">
        <v>0.91461749999999997</v>
      </c>
      <c r="AB1632">
        <v>20</v>
      </c>
      <c r="AC1632">
        <v>-7.9682000000000199</v>
      </c>
      <c r="AD1632">
        <v>-1.1084274069710001</v>
      </c>
      <c r="AE1632">
        <v>-11.92</v>
      </c>
      <c r="AF1632">
        <v>5.7539284781203097</v>
      </c>
      <c r="AG1632">
        <v>-1.1084274069710001</v>
      </c>
      <c r="AH1632">
        <v>13.039767992996</v>
      </c>
      <c r="AI1632">
        <v>94.446880367217702</v>
      </c>
      <c r="AJ1632">
        <v>66.190048796301596</v>
      </c>
      <c r="AK1632">
        <v>14.2958684087051</v>
      </c>
      <c r="AL1632">
        <v>80.820725423089897</v>
      </c>
      <c r="AM1632">
        <v>73.640851470756999</v>
      </c>
      <c r="AN1632">
        <v>0.99999997789365402</v>
      </c>
    </row>
    <row r="1633" spans="1:40" x14ac:dyDescent="0.25">
      <c r="A1633" t="str">
        <f>"20190312172923248"</f>
        <v>20190312172923248</v>
      </c>
      <c r="B1633" t="str">
        <f>"1552382963238690"</f>
        <v>1552382963238690</v>
      </c>
      <c r="C1633" t="s">
        <v>40</v>
      </c>
      <c r="D1633">
        <v>3.76816</v>
      </c>
      <c r="E1633">
        <v>0.55010870000000001</v>
      </c>
      <c r="F1633" t="s">
        <v>46</v>
      </c>
      <c r="G1633">
        <v>-199.63910000000001</v>
      </c>
      <c r="H1633" s="1">
        <v>1.6092869999999901E-6</v>
      </c>
      <c r="I1633">
        <v>290.63909999999998</v>
      </c>
      <c r="J1633">
        <v>-191.64689999999999</v>
      </c>
      <c r="K1633">
        <v>1.108409</v>
      </c>
      <c r="L1633">
        <v>302.48680000000002</v>
      </c>
      <c r="M1633">
        <v>-0.1760816</v>
      </c>
      <c r="N1633">
        <v>0</v>
      </c>
      <c r="O1633">
        <v>-0.98428170000000004</v>
      </c>
      <c r="P1633">
        <v>-0.4411834</v>
      </c>
      <c r="Q1633">
        <v>0.1484356</v>
      </c>
      <c r="R1633">
        <v>-0.88505630000000002</v>
      </c>
      <c r="S1633">
        <v>-1.7169650000000001</v>
      </c>
      <c r="T1633">
        <v>-0.23698279999999999</v>
      </c>
      <c r="U1633">
        <v>-2.5749819999999999</v>
      </c>
      <c r="V1633">
        <v>0.27915600000000002</v>
      </c>
      <c r="W1633">
        <v>0.16007479999999999</v>
      </c>
      <c r="X1633">
        <v>0.94680940000000002</v>
      </c>
      <c r="Y1633">
        <v>0.39789160000000001</v>
      </c>
      <c r="Z1633">
        <v>7.7953699999999904E-2</v>
      </c>
      <c r="AA1633">
        <v>0.9141146</v>
      </c>
      <c r="AB1633">
        <v>20</v>
      </c>
      <c r="AC1633">
        <v>-7.99220000000002</v>
      </c>
      <c r="AD1633">
        <v>-1.1084073907130001</v>
      </c>
      <c r="AE1633">
        <v>-11.8477</v>
      </c>
      <c r="AF1633">
        <v>5.7463827066123798</v>
      </c>
      <c r="AG1633">
        <v>-1.1084073907130001</v>
      </c>
      <c r="AH1633">
        <v>12.991812876851499</v>
      </c>
      <c r="AI1633">
        <v>94.461426562010004</v>
      </c>
      <c r="AJ1633">
        <v>66.139810297378503</v>
      </c>
      <c r="AK1633">
        <v>14.2490941109169</v>
      </c>
      <c r="AL1633">
        <v>80.788762344378696</v>
      </c>
      <c r="AM1633">
        <v>73.572446007288505</v>
      </c>
      <c r="AN1633">
        <v>1.00000002692969</v>
      </c>
    </row>
    <row r="1634" spans="1:40" x14ac:dyDescent="0.25">
      <c r="A1634" t="str">
        <f>"20190312172923271"</f>
        <v>20190312172923271</v>
      </c>
      <c r="B1634" t="str">
        <f>"1552382963268947"</f>
        <v>1552382963268947</v>
      </c>
      <c r="C1634" t="s">
        <v>40</v>
      </c>
      <c r="D1634">
        <v>3.785974</v>
      </c>
      <c r="E1634">
        <v>0.5646272</v>
      </c>
      <c r="F1634" t="s">
        <v>46</v>
      </c>
      <c r="G1634">
        <v>-199.7741</v>
      </c>
      <c r="H1634" s="1">
        <v>1.6368280000000001E-6</v>
      </c>
      <c r="I1634">
        <v>290.41469999999998</v>
      </c>
      <c r="J1634">
        <v>-191.68879999999999</v>
      </c>
      <c r="K1634">
        <v>1.10839</v>
      </c>
      <c r="L1634">
        <v>302.27710000000002</v>
      </c>
      <c r="M1634">
        <v>-0.17962549999999999</v>
      </c>
      <c r="N1634">
        <v>0</v>
      </c>
      <c r="O1634">
        <v>-0.98364110000000005</v>
      </c>
      <c r="P1634">
        <v>-0.44513390000000003</v>
      </c>
      <c r="Q1634">
        <v>0.14840729999999999</v>
      </c>
      <c r="R1634">
        <v>-0.8830808</v>
      </c>
      <c r="S1634">
        <v>-1.7285459999999999</v>
      </c>
      <c r="T1634">
        <v>-0.23574300000000001</v>
      </c>
      <c r="U1634">
        <v>-2.5675659999999998</v>
      </c>
      <c r="V1634">
        <v>0.27998440000000002</v>
      </c>
      <c r="W1634">
        <v>0.16002729999999901</v>
      </c>
      <c r="X1634">
        <v>0.94657279999999999</v>
      </c>
      <c r="Y1634">
        <v>0.39866760000000001</v>
      </c>
      <c r="Z1634">
        <v>7.7554529999999997E-2</v>
      </c>
      <c r="AA1634">
        <v>0.91381040000000002</v>
      </c>
      <c r="AB1634">
        <v>20</v>
      </c>
      <c r="AC1634">
        <v>-8.0853000000000108</v>
      </c>
      <c r="AD1634">
        <v>-1.108388363172</v>
      </c>
      <c r="AE1634">
        <v>-11.862399999999999</v>
      </c>
      <c r="AF1634">
        <v>5.7882773177153801</v>
      </c>
      <c r="AG1634">
        <v>-1.108388363172</v>
      </c>
      <c r="AH1634">
        <v>13.0441252270472</v>
      </c>
      <c r="AI1634">
        <v>94.441174050800797</v>
      </c>
      <c r="AJ1634">
        <v>66.070940657290194</v>
      </c>
      <c r="AK1634">
        <v>14.3136956097746</v>
      </c>
      <c r="AL1634">
        <v>80.791519495805005</v>
      </c>
      <c r="AM1634">
        <v>73.522441590136694</v>
      </c>
      <c r="AN1634">
        <v>1.00000003334424</v>
      </c>
    </row>
    <row r="1635" spans="1:40" x14ac:dyDescent="0.25">
      <c r="A1635" t="str">
        <f>"20190312172923294"</f>
        <v>20190312172923294</v>
      </c>
      <c r="B1635" t="str">
        <f>"1552382963289443"</f>
        <v>1552382963289443</v>
      </c>
      <c r="C1635" t="s">
        <v>40</v>
      </c>
      <c r="D1635">
        <v>3.7775880000000002</v>
      </c>
      <c r="E1635">
        <v>0.56611739999999999</v>
      </c>
      <c r="F1635" t="s">
        <v>46</v>
      </c>
      <c r="G1635">
        <v>-199.4948</v>
      </c>
      <c r="H1635" s="1">
        <v>1.4433969999999999E-6</v>
      </c>
      <c r="I1635">
        <v>291.65370000000001</v>
      </c>
      <c r="J1635">
        <v>-191.7286</v>
      </c>
      <c r="K1635">
        <v>1.108376</v>
      </c>
      <c r="L1635">
        <v>302.08139999999997</v>
      </c>
      <c r="M1635">
        <v>-0.1829693</v>
      </c>
      <c r="N1635">
        <v>0</v>
      </c>
      <c r="O1635">
        <v>-0.98302460000000003</v>
      </c>
      <c r="P1635">
        <v>-0.4492081</v>
      </c>
      <c r="Q1635">
        <v>0.14817149999999901</v>
      </c>
      <c r="R1635">
        <v>-0.88105449999999996</v>
      </c>
      <c r="S1635">
        <v>-1.845154</v>
      </c>
      <c r="T1635">
        <v>-0.26199689999999998</v>
      </c>
      <c r="U1635">
        <v>-2.5111080000000001</v>
      </c>
      <c r="V1635">
        <v>0.2811381</v>
      </c>
      <c r="W1635">
        <v>0.15976979999999999</v>
      </c>
      <c r="X1635">
        <v>0.94627430000000001</v>
      </c>
      <c r="Y1635">
        <v>0.43248049999999999</v>
      </c>
      <c r="Z1635">
        <v>8.5867219999999994E-2</v>
      </c>
      <c r="AA1635">
        <v>0.89754519999999904</v>
      </c>
      <c r="AB1635">
        <v>20</v>
      </c>
      <c r="AC1635">
        <v>-7.7661999999999898</v>
      </c>
      <c r="AD1635">
        <v>-1.1083745566030001</v>
      </c>
      <c r="AE1635">
        <v>-10.4276999999999</v>
      </c>
      <c r="AF1635">
        <v>5.6856285444424097</v>
      </c>
      <c r="AG1635">
        <v>-1.1083745566030001</v>
      </c>
      <c r="AH1635">
        <v>11.588526858398</v>
      </c>
      <c r="AI1635">
        <v>94.907736430241101</v>
      </c>
      <c r="AJ1635">
        <v>63.866246425983803</v>
      </c>
      <c r="AK1635">
        <v>12.9556482219499</v>
      </c>
      <c r="AL1635">
        <v>80.806465482016705</v>
      </c>
      <c r="AM1635">
        <v>73.453315181730801</v>
      </c>
      <c r="AN1635">
        <v>1.00000003555206</v>
      </c>
    </row>
    <row r="1636" spans="1:40" x14ac:dyDescent="0.25">
      <c r="A1636" t="str">
        <f>"20190312172923316"</f>
        <v>20190312172923316</v>
      </c>
      <c r="B1636" t="str">
        <f>"1552382963308963"</f>
        <v>1552382963308963</v>
      </c>
      <c r="C1636" t="s">
        <v>40</v>
      </c>
      <c r="D1636">
        <v>3.773882</v>
      </c>
      <c r="E1636">
        <v>0.56710179999999999</v>
      </c>
      <c r="F1636" t="s">
        <v>46</v>
      </c>
      <c r="G1636">
        <v>-199.49520000000001</v>
      </c>
      <c r="H1636" s="1">
        <v>1.436019E-6</v>
      </c>
      <c r="I1636">
        <v>291.69540000000001</v>
      </c>
      <c r="J1636">
        <v>-191.76939999999999</v>
      </c>
      <c r="K1636">
        <v>1.108366</v>
      </c>
      <c r="L1636">
        <v>301.88479999999998</v>
      </c>
      <c r="M1636">
        <v>-0.18637390000000001</v>
      </c>
      <c r="N1636">
        <v>0</v>
      </c>
      <c r="O1636">
        <v>-0.98238490000000001</v>
      </c>
      <c r="P1636">
        <v>-0.45333279999999898</v>
      </c>
      <c r="Q1636">
        <v>0.14850469999999999</v>
      </c>
      <c r="R1636">
        <v>-0.87888349999999904</v>
      </c>
      <c r="S1636">
        <v>-1.867691</v>
      </c>
      <c r="T1636">
        <v>-0.26653680000000002</v>
      </c>
      <c r="U1636">
        <v>-2.4975890000000001</v>
      </c>
      <c r="V1636">
        <v>0.28231580000000001</v>
      </c>
      <c r="W1636">
        <v>0.16008</v>
      </c>
      <c r="X1636">
        <v>0.94587109999999996</v>
      </c>
      <c r="Y1636">
        <v>0.43680970000000002</v>
      </c>
      <c r="Z1636">
        <v>8.7325810000000004E-2</v>
      </c>
      <c r="AA1636">
        <v>0.89530529999999997</v>
      </c>
      <c r="AB1636">
        <v>20</v>
      </c>
      <c r="AC1636">
        <v>-7.72580000000002</v>
      </c>
      <c r="AD1636">
        <v>-1.108364563981</v>
      </c>
      <c r="AE1636">
        <v>-10.1893999999999</v>
      </c>
      <c r="AF1636">
        <v>5.6487572172104601</v>
      </c>
      <c r="AG1636">
        <v>-1.108364563981</v>
      </c>
      <c r="AH1636">
        <v>11.365468305281601</v>
      </c>
      <c r="AI1636">
        <v>94.990923565550602</v>
      </c>
      <c r="AJ1636">
        <v>63.572140668069999</v>
      </c>
      <c r="AK1636">
        <v>12.7401255843118</v>
      </c>
      <c r="AL1636">
        <v>80.788460055455701</v>
      </c>
      <c r="AM1636">
        <v>73.381122017854096</v>
      </c>
      <c r="AN1636">
        <v>0.99999997757242398</v>
      </c>
    </row>
    <row r="1637" spans="1:40" x14ac:dyDescent="0.25">
      <c r="A1637" t="str">
        <f>"20190312172923337"</f>
        <v>20190312172923337</v>
      </c>
      <c r="B1637" t="str">
        <f>"1552382963329459"</f>
        <v>1552382963329459</v>
      </c>
      <c r="C1637" t="s">
        <v>40</v>
      </c>
      <c r="D1637">
        <v>3.7547830000000002</v>
      </c>
      <c r="E1637">
        <v>0.56774259999999999</v>
      </c>
      <c r="F1637" t="s">
        <v>46</v>
      </c>
      <c r="G1637">
        <v>-199.5548</v>
      </c>
      <c r="H1637" s="1">
        <v>1.442534E-6</v>
      </c>
      <c r="I1637">
        <v>291.6284</v>
      </c>
      <c r="J1637">
        <v>-191.8074</v>
      </c>
      <c r="K1637">
        <v>1.108347</v>
      </c>
      <c r="L1637">
        <v>301.70429999999999</v>
      </c>
      <c r="M1637">
        <v>-0.18954119999999999</v>
      </c>
      <c r="N1637">
        <v>0</v>
      </c>
      <c r="O1637">
        <v>-0.9817787</v>
      </c>
      <c r="P1637">
        <v>-0.45782</v>
      </c>
      <c r="Q1637">
        <v>0.14806939999999999</v>
      </c>
      <c r="R1637">
        <v>-0.87662809999999902</v>
      </c>
      <c r="S1637">
        <v>-1.886765</v>
      </c>
      <c r="T1637">
        <v>-0.26860699999999998</v>
      </c>
      <c r="U1637">
        <v>-2.4855960000000001</v>
      </c>
      <c r="V1637">
        <v>0.2840953</v>
      </c>
      <c r="W1637">
        <v>0.15961729999999999</v>
      </c>
      <c r="X1637">
        <v>0.94541640000000005</v>
      </c>
      <c r="Y1637">
        <v>0.44031619999999999</v>
      </c>
      <c r="Z1637">
        <v>8.7990529999999997E-2</v>
      </c>
      <c r="AA1637">
        <v>0.8935208</v>
      </c>
      <c r="AB1637">
        <v>20</v>
      </c>
      <c r="AC1637">
        <v>-7.7473999999999901</v>
      </c>
      <c r="AD1637">
        <v>-1.1083455574659999</v>
      </c>
      <c r="AE1637">
        <v>-10.075899999999899</v>
      </c>
      <c r="AF1637">
        <v>5.6539663504793296</v>
      </c>
      <c r="AG1637">
        <v>-1.1083455574659999</v>
      </c>
      <c r="AH1637">
        <v>11.2760593559508</v>
      </c>
      <c r="AI1637">
        <v>95.021411632145899</v>
      </c>
      <c r="AJ1637">
        <v>63.370203667167203</v>
      </c>
      <c r="AK1637">
        <v>12.6627516743412</v>
      </c>
      <c r="AL1637">
        <v>80.815316309180005</v>
      </c>
      <c r="AM1637">
        <v>73.274606328365195</v>
      </c>
      <c r="AN1637">
        <v>0.99999999566516995</v>
      </c>
    </row>
    <row r="1638" spans="1:40" x14ac:dyDescent="0.25">
      <c r="A1638" t="str">
        <f>"20190312172923360"</f>
        <v>20190312172923360</v>
      </c>
      <c r="B1638" t="str">
        <f>"1552382963348979"</f>
        <v>1552382963348979</v>
      </c>
      <c r="C1638" t="s">
        <v>40</v>
      </c>
      <c r="D1638">
        <v>3.7417959999999999</v>
      </c>
      <c r="E1638">
        <v>0.56819049999999904</v>
      </c>
      <c r="F1638" t="s">
        <v>46</v>
      </c>
      <c r="G1638">
        <v>-199.5804</v>
      </c>
      <c r="H1638" s="1">
        <v>1.4440979999999901E-6</v>
      </c>
      <c r="I1638">
        <v>291.60660000000001</v>
      </c>
      <c r="J1638">
        <v>-191.85140000000001</v>
      </c>
      <c r="K1638">
        <v>1.108322</v>
      </c>
      <c r="L1638">
        <v>301.49939999999998</v>
      </c>
      <c r="M1638">
        <v>-0.193186</v>
      </c>
      <c r="N1638">
        <v>0</v>
      </c>
      <c r="O1638">
        <v>-0.98106789999999999</v>
      </c>
      <c r="P1638">
        <v>-0.46248210000000001</v>
      </c>
      <c r="Q1638">
        <v>0.1481256</v>
      </c>
      <c r="R1638">
        <v>-0.8741679</v>
      </c>
      <c r="S1638">
        <v>-1.904175</v>
      </c>
      <c r="T1638">
        <v>-0.27151550000000002</v>
      </c>
      <c r="U1638">
        <v>-2.4736630000000002</v>
      </c>
      <c r="V1638">
        <v>0.2856339</v>
      </c>
      <c r="W1638">
        <v>0.1596427</v>
      </c>
      <c r="X1638">
        <v>0.94494840000000002</v>
      </c>
      <c r="Y1638">
        <v>0.44296600000000003</v>
      </c>
      <c r="Z1638">
        <v>8.8943869999999994E-2</v>
      </c>
      <c r="AA1638">
        <v>0.89211549999999995</v>
      </c>
      <c r="AB1638">
        <v>20</v>
      </c>
      <c r="AC1638">
        <v>-7.7289999999999797</v>
      </c>
      <c r="AD1638">
        <v>-1.108320555902</v>
      </c>
      <c r="AE1638">
        <v>-9.8927999999999603</v>
      </c>
      <c r="AF1638">
        <v>5.6281817648809698</v>
      </c>
      <c r="AG1638">
        <v>-1.108320555902</v>
      </c>
      <c r="AH1638">
        <v>11.1130634950045</v>
      </c>
      <c r="AI1638">
        <v>95.084319654854198</v>
      </c>
      <c r="AJ1638">
        <v>63.140185997073303</v>
      </c>
      <c r="AK1638">
        <v>12.506197850553001</v>
      </c>
      <c r="AL1638">
        <v>80.813842110086796</v>
      </c>
      <c r="AM1638">
        <v>73.181266521553397</v>
      </c>
      <c r="AN1638">
        <v>0.99999999757753</v>
      </c>
    </row>
    <row r="1639" spans="1:40" x14ac:dyDescent="0.25">
      <c r="A1639" t="str">
        <f>"20190312172923384"</f>
        <v>20190312172923384</v>
      </c>
      <c r="B1639" t="str">
        <f>"1552382963379235"</f>
        <v>1552382963379235</v>
      </c>
      <c r="C1639" t="s">
        <v>40</v>
      </c>
      <c r="D1639">
        <v>3.767239</v>
      </c>
      <c r="E1639">
        <v>0.56873009999999902</v>
      </c>
      <c r="F1639" t="s">
        <v>46</v>
      </c>
      <c r="G1639">
        <v>-199.65270000000001</v>
      </c>
      <c r="H1639" s="1">
        <v>1.456465E-6</v>
      </c>
      <c r="I1639">
        <v>291.5</v>
      </c>
      <c r="J1639">
        <v>-191.8954</v>
      </c>
      <c r="K1639">
        <v>1.108301</v>
      </c>
      <c r="L1639">
        <v>301.29849999999999</v>
      </c>
      <c r="M1639">
        <v>-0.19681029999999999</v>
      </c>
      <c r="N1639">
        <v>0</v>
      </c>
      <c r="O1639">
        <v>-0.98034719999999997</v>
      </c>
      <c r="P1639">
        <v>-0.4674855</v>
      </c>
      <c r="Q1639">
        <v>0.14834040000000001</v>
      </c>
      <c r="R1639">
        <v>-0.87146559999999995</v>
      </c>
      <c r="S1639">
        <v>-1.920731</v>
      </c>
      <c r="T1639">
        <v>-0.2728778</v>
      </c>
      <c r="U1639">
        <v>-2.4619450000000001</v>
      </c>
      <c r="V1639">
        <v>0.28758109999999998</v>
      </c>
      <c r="W1639">
        <v>0.15982109999999999</v>
      </c>
      <c r="X1639">
        <v>0.94432749999999999</v>
      </c>
      <c r="Y1639">
        <v>0.44542009999999999</v>
      </c>
      <c r="Z1639">
        <v>8.9398210000000006E-2</v>
      </c>
      <c r="AA1639">
        <v>0.89084730000000001</v>
      </c>
      <c r="AB1639">
        <v>20</v>
      </c>
      <c r="AC1639">
        <v>-7.7573000000000096</v>
      </c>
      <c r="AD1639">
        <v>-1.108299543535</v>
      </c>
      <c r="AE1639">
        <v>-9.79849999999999</v>
      </c>
      <c r="AF1639">
        <v>5.6326291218349196</v>
      </c>
      <c r="AG1639">
        <v>-1.108299543535</v>
      </c>
      <c r="AH1639">
        <v>11.046801283553901</v>
      </c>
      <c r="AI1639">
        <v>95.107495154736895</v>
      </c>
      <c r="AJ1639">
        <v>62.983520624547097</v>
      </c>
      <c r="AK1639">
        <v>12.4493637307563</v>
      </c>
      <c r="AL1639">
        <v>80.8034880833535</v>
      </c>
      <c r="AM1639">
        <v>73.062654290186501</v>
      </c>
      <c r="AN1639">
        <v>1.00000005016933</v>
      </c>
    </row>
    <row r="1640" spans="1:40" x14ac:dyDescent="0.25">
      <c r="A1640" t="str">
        <f>"20190312172923405"</f>
        <v>20190312172923405</v>
      </c>
      <c r="B1640" t="str">
        <f>"1552382963398754"</f>
        <v>1552382963398754</v>
      </c>
      <c r="C1640" t="s">
        <v>40</v>
      </c>
      <c r="D1640">
        <v>3.7519339999999999</v>
      </c>
      <c r="E1640">
        <v>0.56882129999999997</v>
      </c>
      <c r="F1640" t="s">
        <v>46</v>
      </c>
      <c r="G1640">
        <v>-199.7355</v>
      </c>
      <c r="H1640" s="1">
        <v>1.467394E-6</v>
      </c>
      <c r="I1640">
        <v>291.39620000000002</v>
      </c>
      <c r="J1640">
        <v>-191.93680000000001</v>
      </c>
      <c r="K1640">
        <v>1.1082799999999999</v>
      </c>
      <c r="L1640">
        <v>301.11329999999998</v>
      </c>
      <c r="M1640">
        <v>-0.2001986</v>
      </c>
      <c r="N1640">
        <v>0</v>
      </c>
      <c r="O1640">
        <v>-0.979661</v>
      </c>
      <c r="P1640">
        <v>-0.47216150000000001</v>
      </c>
      <c r="Q1640">
        <v>0.14856369999999999</v>
      </c>
      <c r="R1640">
        <v>-0.86890330000000005</v>
      </c>
      <c r="S1640">
        <v>-1.939011</v>
      </c>
      <c r="T1640">
        <v>-0.27410669999999998</v>
      </c>
      <c r="U1640">
        <v>-2.449036</v>
      </c>
      <c r="V1640">
        <v>0.28941240000000001</v>
      </c>
      <c r="W1640">
        <v>0.16001029999999999</v>
      </c>
      <c r="X1640">
        <v>0.94373569999999996</v>
      </c>
      <c r="Y1640">
        <v>0.4486773</v>
      </c>
      <c r="Z1640">
        <v>8.9808990000000005E-2</v>
      </c>
      <c r="AA1640">
        <v>0.88916989999999996</v>
      </c>
      <c r="AB1640">
        <v>20</v>
      </c>
      <c r="AC1640">
        <v>-7.7986999999999904</v>
      </c>
      <c r="AD1640">
        <v>-1.1082785326059901</v>
      </c>
      <c r="AE1640">
        <v>-9.7170999999999594</v>
      </c>
      <c r="AF1640">
        <v>5.6505513474663696</v>
      </c>
      <c r="AG1640">
        <v>-1.1082785326059901</v>
      </c>
      <c r="AH1640">
        <v>10.9947856320389</v>
      </c>
      <c r="AI1640">
        <v>95.123070962795396</v>
      </c>
      <c r="AJ1640">
        <v>62.800003866902301</v>
      </c>
      <c r="AK1640">
        <v>12.411378768318899</v>
      </c>
      <c r="AL1640">
        <v>80.792505487615003</v>
      </c>
      <c r="AM1640">
        <v>72.950962442735005</v>
      </c>
      <c r="AN1640">
        <v>0.99999995241716799</v>
      </c>
    </row>
    <row r="1641" spans="1:40" x14ac:dyDescent="0.25">
      <c r="A1641" t="str">
        <f>"20190312172923426"</f>
        <v>20190312172923426</v>
      </c>
      <c r="B1641" t="str">
        <f>"1552382963419251"</f>
        <v>1552382963419251</v>
      </c>
      <c r="C1641" t="s">
        <v>40</v>
      </c>
      <c r="D1641">
        <v>3.7784209999999998</v>
      </c>
      <c r="E1641">
        <v>0.56882010000000005</v>
      </c>
      <c r="F1641" t="s">
        <v>46</v>
      </c>
      <c r="G1641">
        <v>-199.87370000000001</v>
      </c>
      <c r="H1641" s="1">
        <v>1.4894169999999999E-6</v>
      </c>
      <c r="I1641">
        <v>291.20159999999998</v>
      </c>
      <c r="J1641">
        <v>-191.97900000000001</v>
      </c>
      <c r="K1641">
        <v>1.108263</v>
      </c>
      <c r="L1641">
        <v>300.92739999999998</v>
      </c>
      <c r="M1641">
        <v>-0.20363500000000001</v>
      </c>
      <c r="N1641">
        <v>0</v>
      </c>
      <c r="O1641">
        <v>-0.97895239999999994</v>
      </c>
      <c r="P1641">
        <v>-0.47650720000000002</v>
      </c>
      <c r="Q1641">
        <v>0.1483341</v>
      </c>
      <c r="R1641">
        <v>-0.86656679999999997</v>
      </c>
      <c r="S1641">
        <v>-1.9524539999999999</v>
      </c>
      <c r="T1641">
        <v>-0.27263179999999998</v>
      </c>
      <c r="U1641">
        <v>-2.4382320000000002</v>
      </c>
      <c r="V1641">
        <v>0.2908288</v>
      </c>
      <c r="W1641">
        <v>0.15975420000000001</v>
      </c>
      <c r="X1641">
        <v>0.94334359999999995</v>
      </c>
      <c r="Y1641">
        <v>0.45047870000000001</v>
      </c>
      <c r="Z1641">
        <v>8.9359969999999997E-2</v>
      </c>
      <c r="AA1641">
        <v>0.88830390000000004</v>
      </c>
      <c r="AB1641">
        <v>20</v>
      </c>
      <c r="AC1641">
        <v>-7.8947000000000003</v>
      </c>
      <c r="AD1641">
        <v>-1.108261510583</v>
      </c>
      <c r="AE1641">
        <v>-9.7257999999999907</v>
      </c>
      <c r="AF1641">
        <v>5.7039076318652997</v>
      </c>
      <c r="AG1641">
        <v>-1.108261510583</v>
      </c>
      <c r="AH1641">
        <v>11.0433223168361</v>
      </c>
      <c r="AI1641">
        <v>95.095283745751104</v>
      </c>
      <c r="AJ1641">
        <v>62.683516827384302</v>
      </c>
      <c r="AK1641">
        <v>12.4786927857938</v>
      </c>
      <c r="AL1641">
        <v>80.807370332097307</v>
      </c>
      <c r="AM1641">
        <v>72.865693194540597</v>
      </c>
      <c r="AN1641">
        <v>0.99999997149401898</v>
      </c>
    </row>
    <row r="1642" spans="1:40" x14ac:dyDescent="0.25">
      <c r="A1642" t="str">
        <f>"20190312172923448"</f>
        <v>20190312172923448</v>
      </c>
      <c r="B1642" t="str">
        <f>"1552382963438771"</f>
        <v>1552382963438771</v>
      </c>
      <c r="C1642" t="s">
        <v>40</v>
      </c>
      <c r="D1642">
        <v>3.7652770000000002</v>
      </c>
      <c r="E1642">
        <v>0.56882200000000005</v>
      </c>
      <c r="F1642" t="s">
        <v>46</v>
      </c>
      <c r="G1642">
        <v>-199.98609999999999</v>
      </c>
      <c r="H1642" s="1">
        <v>1.525614E-6</v>
      </c>
      <c r="I1642">
        <v>291.03199999999998</v>
      </c>
      <c r="J1642">
        <v>-192.0239</v>
      </c>
      <c r="K1642">
        <v>1.1082449999999999</v>
      </c>
      <c r="L1642">
        <v>300.73320000000001</v>
      </c>
      <c r="M1642">
        <v>-0.2072628</v>
      </c>
      <c r="N1642">
        <v>0</v>
      </c>
      <c r="O1642">
        <v>-0.97819080000000003</v>
      </c>
      <c r="P1642">
        <v>-0.48095019999999999</v>
      </c>
      <c r="Q1642">
        <v>0.14829189999999901</v>
      </c>
      <c r="R1642">
        <v>-0.86411610000000005</v>
      </c>
      <c r="S1642">
        <v>-1.9647829999999999</v>
      </c>
      <c r="T1642">
        <v>-0.27194580000000002</v>
      </c>
      <c r="U1642">
        <v>-2.428131</v>
      </c>
      <c r="V1642">
        <v>0.2921821</v>
      </c>
      <c r="W1642">
        <v>0.15968840000000001</v>
      </c>
      <c r="X1642">
        <v>0.94293649999999996</v>
      </c>
      <c r="Y1642">
        <v>0.45171610000000001</v>
      </c>
      <c r="Z1642">
        <v>8.9163149999999997E-2</v>
      </c>
      <c r="AA1642">
        <v>0.88769509999999996</v>
      </c>
      <c r="AB1642">
        <v>20</v>
      </c>
      <c r="AC1642">
        <v>-7.9621999999999904</v>
      </c>
      <c r="AD1642">
        <v>-1.1082434743859999</v>
      </c>
      <c r="AE1642">
        <v>-9.7012000000000196</v>
      </c>
      <c r="AF1642">
        <v>5.7336780364360296</v>
      </c>
      <c r="AG1642">
        <v>-1.1082434743859999</v>
      </c>
      <c r="AH1642">
        <v>11.0547218260095</v>
      </c>
      <c r="AI1642">
        <v>95.085511318526798</v>
      </c>
      <c r="AJ1642">
        <v>62.585889207309599</v>
      </c>
      <c r="AK1642">
        <v>12.502405451531301</v>
      </c>
      <c r="AL1642">
        <v>80.811189723259105</v>
      </c>
      <c r="AM1642">
        <v>72.783671778173996</v>
      </c>
      <c r="AN1642">
        <v>1.0000000038436101</v>
      </c>
    </row>
    <row r="1643" spans="1:40" x14ac:dyDescent="0.25">
      <c r="A1643" t="str">
        <f>"20190312172923470"</f>
        <v>20190312172923470</v>
      </c>
      <c r="B1643" t="str">
        <f>"1552382963459266"</f>
        <v>1552382963459266</v>
      </c>
      <c r="C1643" t="s">
        <v>40</v>
      </c>
      <c r="D1643">
        <v>3.7594240000000001</v>
      </c>
      <c r="E1643">
        <v>0.56880659999999905</v>
      </c>
      <c r="F1643" t="s">
        <v>46</v>
      </c>
      <c r="G1643">
        <v>-200.10910000000001</v>
      </c>
      <c r="H1643" s="1">
        <v>1.6174719999999901E-6</v>
      </c>
      <c r="I1643">
        <v>290.85090000000002</v>
      </c>
      <c r="J1643">
        <v>-192.0693</v>
      </c>
      <c r="K1643">
        <v>1.108239</v>
      </c>
      <c r="L1643">
        <v>300.54000000000002</v>
      </c>
      <c r="M1643">
        <v>-0.21090909999999999</v>
      </c>
      <c r="N1643">
        <v>0</v>
      </c>
      <c r="O1643">
        <v>-0.97741120000000004</v>
      </c>
      <c r="P1643">
        <v>-0.48541830000000002</v>
      </c>
      <c r="Q1643">
        <v>0.1482589</v>
      </c>
      <c r="R1643">
        <v>-0.86161989999999999</v>
      </c>
      <c r="S1643">
        <v>-1.977814</v>
      </c>
      <c r="T1643">
        <v>-0.2710998</v>
      </c>
      <c r="U1643">
        <v>-2.4174190000000002</v>
      </c>
      <c r="V1643">
        <v>0.29355429999999999</v>
      </c>
      <c r="W1643">
        <v>0.1596342</v>
      </c>
      <c r="X1643">
        <v>0.94251940000000001</v>
      </c>
      <c r="Y1643">
        <v>0.45320050000000001</v>
      </c>
      <c r="Z1643">
        <v>8.8914549999999995E-2</v>
      </c>
      <c r="AA1643">
        <v>0.88696309999999901</v>
      </c>
      <c r="AB1643">
        <v>20</v>
      </c>
      <c r="AC1643">
        <v>-8.0398000000000103</v>
      </c>
      <c r="AD1643">
        <v>-1.1082373825280001</v>
      </c>
      <c r="AE1643">
        <v>-9.6890999999999892</v>
      </c>
      <c r="AF1643">
        <v>5.7704984337905501</v>
      </c>
      <c r="AG1643">
        <v>-1.1082373825280001</v>
      </c>
      <c r="AH1643">
        <v>11.0810769532943</v>
      </c>
      <c r="AI1643">
        <v>95.069138661691596</v>
      </c>
      <c r="AJ1643">
        <v>62.491641015398201</v>
      </c>
      <c r="AK1643">
        <v>12.5426117182684</v>
      </c>
      <c r="AL1643">
        <v>80.814335585753696</v>
      </c>
      <c r="AM1643">
        <v>72.700432382589796</v>
      </c>
      <c r="AN1643">
        <v>1.0000000121172401</v>
      </c>
    </row>
    <row r="1644" spans="1:40" x14ac:dyDescent="0.25">
      <c r="A1644" t="str">
        <f>"20190312172923493"</f>
        <v>20190312172923493</v>
      </c>
      <c r="B1644" t="str">
        <f>"1552382963489523"</f>
        <v>1552382963489523</v>
      </c>
      <c r="C1644" t="s">
        <v>40</v>
      </c>
      <c r="D1644">
        <v>3.7427100000000002</v>
      </c>
      <c r="E1644">
        <v>0.56885149999999995</v>
      </c>
      <c r="F1644" t="s">
        <v>46</v>
      </c>
      <c r="G1644">
        <v>-200.20359999999999</v>
      </c>
      <c r="H1644" s="1">
        <v>1.689481E-6</v>
      </c>
      <c r="I1644">
        <v>290.70339999999999</v>
      </c>
      <c r="J1644">
        <v>-192.11590000000001</v>
      </c>
      <c r="K1644">
        <v>1.1082299999999901</v>
      </c>
      <c r="L1644">
        <v>300.34570000000002</v>
      </c>
      <c r="M1644">
        <v>-0.21461669999999999</v>
      </c>
      <c r="N1644">
        <v>0</v>
      </c>
      <c r="O1644">
        <v>-0.97660369999999996</v>
      </c>
      <c r="P1644">
        <v>-0.48950110000000002</v>
      </c>
      <c r="Q1644">
        <v>0.14845899999999901</v>
      </c>
      <c r="R1644">
        <v>-0.85927209999999998</v>
      </c>
      <c r="S1644">
        <v>-1.990494</v>
      </c>
      <c r="T1644">
        <v>-0.27119149999999997</v>
      </c>
      <c r="U1644">
        <v>-2.4070740000000002</v>
      </c>
      <c r="V1644">
        <v>0.29446450000000002</v>
      </c>
      <c r="W1644">
        <v>0.1598174</v>
      </c>
      <c r="X1644">
        <v>0.94220440000000005</v>
      </c>
      <c r="Y1644">
        <v>0.45446540000000002</v>
      </c>
      <c r="Z1644">
        <v>8.8964039999999994E-2</v>
      </c>
      <c r="AA1644">
        <v>0.88631059999999995</v>
      </c>
      <c r="AB1644">
        <v>20</v>
      </c>
      <c r="AC1644">
        <v>-8.0876999999999803</v>
      </c>
      <c r="AD1644">
        <v>-1.1082283105189901</v>
      </c>
      <c r="AE1644">
        <v>-9.6423000000000307</v>
      </c>
      <c r="AF1644">
        <v>5.7847610609857796</v>
      </c>
      <c r="AG1644">
        <v>-1.1082283105189901</v>
      </c>
      <c r="AH1644">
        <v>11.0676699650015</v>
      </c>
      <c r="AI1644">
        <v>95.071233215796298</v>
      </c>
      <c r="AJ1644">
        <v>62.405192000971098</v>
      </c>
      <c r="AK1644">
        <v>12.537342181464499</v>
      </c>
      <c r="AL1644">
        <v>80.803702718198593</v>
      </c>
      <c r="AM1644">
        <v>72.644555745203306</v>
      </c>
      <c r="AN1644">
        <v>1.0000000372411799</v>
      </c>
    </row>
    <row r="1645" spans="1:40" x14ac:dyDescent="0.25">
      <c r="A1645" t="str">
        <f>"20190312172923516"</f>
        <v>20190312172923516</v>
      </c>
      <c r="B1645" t="str">
        <f>"1552382963509042"</f>
        <v>1552382963509042</v>
      </c>
      <c r="C1645" t="s">
        <v>40</v>
      </c>
      <c r="D1645">
        <v>3.73326</v>
      </c>
      <c r="E1645">
        <v>0.56886130000000001</v>
      </c>
      <c r="F1645" t="s">
        <v>46</v>
      </c>
      <c r="G1645">
        <v>-200.32320000000001</v>
      </c>
      <c r="H1645" s="1">
        <v>1.780042E-6</v>
      </c>
      <c r="I1645">
        <v>290.52030000000002</v>
      </c>
      <c r="J1645">
        <v>-192.16409999999999</v>
      </c>
      <c r="K1645">
        <v>1.108217</v>
      </c>
      <c r="L1645">
        <v>300.14760000000001</v>
      </c>
      <c r="M1645">
        <v>-0.21843000000000001</v>
      </c>
      <c r="N1645">
        <v>0</v>
      </c>
      <c r="O1645">
        <v>-0.97575800000000001</v>
      </c>
      <c r="P1645">
        <v>-0.49365880000000001</v>
      </c>
      <c r="Q1645">
        <v>0.14852199999999999</v>
      </c>
      <c r="R1645">
        <v>-0.85687939999999996</v>
      </c>
      <c r="S1645">
        <v>-2.002472</v>
      </c>
      <c r="T1645">
        <v>-0.27039099999999999</v>
      </c>
      <c r="U1645">
        <v>-2.3972470000000001</v>
      </c>
      <c r="V1645">
        <v>0.29535889999999998</v>
      </c>
      <c r="W1645">
        <v>0.15986300000000001</v>
      </c>
      <c r="X1645">
        <v>0.94191659999999999</v>
      </c>
      <c r="Y1645">
        <v>0.45540000000000003</v>
      </c>
      <c r="Z1645">
        <v>8.8717580000000004E-2</v>
      </c>
      <c r="AA1645">
        <v>0.88585559999999997</v>
      </c>
      <c r="AB1645">
        <v>20</v>
      </c>
      <c r="AC1645">
        <v>-8.15910000000002</v>
      </c>
      <c r="AD1645">
        <v>-1.108215219958</v>
      </c>
      <c r="AE1645">
        <v>-9.6272999999999893</v>
      </c>
      <c r="AF1645">
        <v>5.8141199066254901</v>
      </c>
      <c r="AG1645">
        <v>-1.108215219958</v>
      </c>
      <c r="AH1645">
        <v>11.0916035741204</v>
      </c>
      <c r="AI1645">
        <v>95.057146850980899</v>
      </c>
      <c r="AJ1645">
        <v>62.336871601815901</v>
      </c>
      <c r="AK1645">
        <v>12.5720245429209</v>
      </c>
      <c r="AL1645">
        <v>80.801055377435205</v>
      </c>
      <c r="AM1645">
        <v>72.590023264772896</v>
      </c>
      <c r="AN1645">
        <v>0.99999996996688401</v>
      </c>
    </row>
    <row r="1646" spans="1:40" x14ac:dyDescent="0.25">
      <c r="A1646" t="str">
        <f>"20190312172923538"</f>
        <v>20190312172923538</v>
      </c>
      <c r="B1646" t="str">
        <f>"1552382963529437"</f>
        <v>1552382963529437</v>
      </c>
      <c r="C1646" t="s">
        <v>40</v>
      </c>
      <c r="D1646">
        <v>3.7626219999999999</v>
      </c>
      <c r="E1646">
        <v>0.5689073</v>
      </c>
      <c r="F1646" t="s">
        <v>46</v>
      </c>
      <c r="G1646">
        <v>-200.42920000000001</v>
      </c>
      <c r="H1646" s="1">
        <v>1.861004E-6</v>
      </c>
      <c r="I1646">
        <v>290.3537</v>
      </c>
      <c r="J1646">
        <v>-192.2097</v>
      </c>
      <c r="K1646">
        <v>1.108201</v>
      </c>
      <c r="L1646">
        <v>299.96370000000002</v>
      </c>
      <c r="M1646">
        <v>-0.22200400000000001</v>
      </c>
      <c r="N1646">
        <v>0</v>
      </c>
      <c r="O1646">
        <v>-0.97495100000000001</v>
      </c>
      <c r="P1646">
        <v>-0.49758150000000001</v>
      </c>
      <c r="Q1646">
        <v>0.14880869999999999</v>
      </c>
      <c r="R1646">
        <v>-0.85455789999999998</v>
      </c>
      <c r="S1646">
        <v>-2.0146030000000001</v>
      </c>
      <c r="T1646">
        <v>-0.270126599999999</v>
      </c>
      <c r="U1646">
        <v>-2.3872680000000002</v>
      </c>
      <c r="V1646">
        <v>0.29624509999999998</v>
      </c>
      <c r="W1646">
        <v>0.160130299999999</v>
      </c>
      <c r="X1646">
        <v>0.94159289999999995</v>
      </c>
      <c r="Y1646">
        <v>0.45659959999999999</v>
      </c>
      <c r="Z1646">
        <v>8.864582E-2</v>
      </c>
      <c r="AA1646">
        <v>0.88524499999999995</v>
      </c>
      <c r="AB1646">
        <v>20</v>
      </c>
      <c r="AC1646">
        <v>-8.2195</v>
      </c>
      <c r="AD1646">
        <v>-1.108199138996</v>
      </c>
      <c r="AE1646">
        <v>-9.6100000000000101</v>
      </c>
      <c r="AF1646">
        <v>5.83587586128382</v>
      </c>
      <c r="AG1646">
        <v>-1.108199138996</v>
      </c>
      <c r="AH1646">
        <v>11.109753849717601</v>
      </c>
      <c r="AI1646">
        <v>95.046578055938696</v>
      </c>
      <c r="AJ1646">
        <v>62.2873687089143</v>
      </c>
      <c r="AK1646">
        <v>12.5981023571529</v>
      </c>
      <c r="AL1646">
        <v>80.7855409088599</v>
      </c>
      <c r="AM1646">
        <v>72.535318655023104</v>
      </c>
      <c r="AN1646">
        <v>1.00000003079125</v>
      </c>
    </row>
    <row r="1647" spans="1:40" x14ac:dyDescent="0.25">
      <c r="A1647" t="str">
        <f>"20190312172923560"</f>
        <v>20190312172923560</v>
      </c>
      <c r="B1647" t="str">
        <f>"1552382963548943"</f>
        <v>1552382963548943</v>
      </c>
      <c r="C1647" t="s">
        <v>40</v>
      </c>
      <c r="D1647">
        <v>3.7360540000000002</v>
      </c>
      <c r="E1647">
        <v>0.5689343</v>
      </c>
      <c r="F1647" t="s">
        <v>46</v>
      </c>
      <c r="G1647">
        <v>-200.55070000000001</v>
      </c>
      <c r="H1647" s="1">
        <v>1.949749E-6</v>
      </c>
      <c r="I1647">
        <v>290.17849999999999</v>
      </c>
      <c r="J1647">
        <v>-192.25890000000001</v>
      </c>
      <c r="K1647">
        <v>1.108185</v>
      </c>
      <c r="L1647">
        <v>299.76819999999998</v>
      </c>
      <c r="M1647">
        <v>-0.22584570000000001</v>
      </c>
      <c r="N1647">
        <v>0</v>
      </c>
      <c r="O1647">
        <v>-0.97406820000000005</v>
      </c>
      <c r="P1647">
        <v>-0.50142929999999997</v>
      </c>
      <c r="Q1647">
        <v>0.1492241</v>
      </c>
      <c r="R1647">
        <v>-0.85223300000000002</v>
      </c>
      <c r="S1647">
        <v>-2.0266109999999999</v>
      </c>
      <c r="T1647">
        <v>-0.26925779999999999</v>
      </c>
      <c r="U1647">
        <v>-2.3775019999999998</v>
      </c>
      <c r="V1647">
        <v>0.29680580000000001</v>
      </c>
      <c r="W1647">
        <v>0.16052569999999999</v>
      </c>
      <c r="X1647">
        <v>0.94134890000000004</v>
      </c>
      <c r="Y1647">
        <v>0.4574975</v>
      </c>
      <c r="Z1647">
        <v>8.8368520000000006E-2</v>
      </c>
      <c r="AA1647">
        <v>0.88480899999999996</v>
      </c>
      <c r="AB1647">
        <v>20</v>
      </c>
      <c r="AC1647">
        <v>-8.2917999999999896</v>
      </c>
      <c r="AD1647">
        <v>-1.1081830502509999</v>
      </c>
      <c r="AE1647">
        <v>-9.5896999999999899</v>
      </c>
      <c r="AF1647">
        <v>5.8667038089499997</v>
      </c>
      <c r="AG1647">
        <v>-1.1081830502509999</v>
      </c>
      <c r="AH1647">
        <v>11.1296814048927</v>
      </c>
      <c r="AI1647">
        <v>95.0337392775903</v>
      </c>
      <c r="AJ1647">
        <v>62.205283353935499</v>
      </c>
      <c r="AK1647">
        <v>12.6299679900317</v>
      </c>
      <c r="AL1647">
        <v>80.762588660131499</v>
      </c>
      <c r="AM1647">
        <v>72.5000203777537</v>
      </c>
      <c r="AN1647">
        <v>0.99999996740266905</v>
      </c>
    </row>
    <row r="1648" spans="1:40" x14ac:dyDescent="0.25">
      <c r="A1648" t="str">
        <f>"20190312172923586"</f>
        <v>20190312172923586</v>
      </c>
      <c r="B1648" t="str">
        <f>"1552382963579195"</f>
        <v>1552382963579195</v>
      </c>
      <c r="C1648" t="s">
        <v>40</v>
      </c>
      <c r="D1648">
        <v>3.7559450000000001</v>
      </c>
      <c r="E1648">
        <v>0.56903230000000005</v>
      </c>
      <c r="F1648" t="s">
        <v>46</v>
      </c>
      <c r="G1648">
        <v>-200.6773</v>
      </c>
      <c r="H1648" s="1">
        <v>2.0311809999999998E-6</v>
      </c>
      <c r="I1648">
        <v>289.98719999999997</v>
      </c>
      <c r="J1648">
        <v>-192.31139999999999</v>
      </c>
      <c r="K1648">
        <v>1.1081540000000001</v>
      </c>
      <c r="L1648">
        <v>299.56380000000001</v>
      </c>
      <c r="M1648">
        <v>-0.2299204</v>
      </c>
      <c r="N1648">
        <v>0</v>
      </c>
      <c r="O1648">
        <v>-0.97311460000000005</v>
      </c>
      <c r="P1648">
        <v>-0.50620129999999997</v>
      </c>
      <c r="Q1648">
        <v>0.14961389999999999</v>
      </c>
      <c r="R1648">
        <v>-0.84933890000000001</v>
      </c>
      <c r="S1648">
        <v>-2.0380859999999998</v>
      </c>
      <c r="T1648">
        <v>-0.26829180000000002</v>
      </c>
      <c r="U1648">
        <v>-2.3680110000000001</v>
      </c>
      <c r="V1648">
        <v>0.2981762</v>
      </c>
      <c r="W1648">
        <v>0.16088339999999901</v>
      </c>
      <c r="X1648">
        <v>0.94085469999999904</v>
      </c>
      <c r="Y1648">
        <v>0.4580149</v>
      </c>
      <c r="Z1648">
        <v>8.8055949999999994E-2</v>
      </c>
      <c r="AA1648">
        <v>0.88457249999999998</v>
      </c>
      <c r="AB1648">
        <v>20</v>
      </c>
      <c r="AC1648">
        <v>-8.3658999999999999</v>
      </c>
      <c r="AD1648">
        <v>-1.108151968819</v>
      </c>
      <c r="AE1648">
        <v>-9.57660000000004</v>
      </c>
      <c r="AF1648">
        <v>5.8949040571367997</v>
      </c>
      <c r="AG1648">
        <v>-1.108151968819</v>
      </c>
      <c r="AH1648">
        <v>11.158913561761601</v>
      </c>
      <c r="AI1648">
        <v>95.018117468549406</v>
      </c>
      <c r="AJ1648">
        <v>62.153911144790101</v>
      </c>
      <c r="AK1648">
        <v>12.6688297213165</v>
      </c>
      <c r="AL1648">
        <v>80.741824755868507</v>
      </c>
      <c r="AM1648">
        <v>72.415520877832407</v>
      </c>
      <c r="AN1648">
        <v>1.00000004057704</v>
      </c>
    </row>
    <row r="1649" spans="1:40" x14ac:dyDescent="0.25">
      <c r="A1649" t="str">
        <f>"20190312172923606"</f>
        <v>20190312172923606</v>
      </c>
      <c r="B1649" t="str">
        <f>"1552382963598715"</f>
        <v>1552382963598715</v>
      </c>
      <c r="C1649" t="s">
        <v>40</v>
      </c>
      <c r="D1649">
        <v>3.729997</v>
      </c>
      <c r="E1649">
        <v>0.56911659999999997</v>
      </c>
      <c r="F1649" t="s">
        <v>46</v>
      </c>
      <c r="G1649">
        <v>-200.7766</v>
      </c>
      <c r="H1649" s="1">
        <v>2.0946729999999999E-6</v>
      </c>
      <c r="I1649">
        <v>289.84030000000001</v>
      </c>
      <c r="J1649">
        <v>-192.36019999999999</v>
      </c>
      <c r="K1649">
        <v>1.108125</v>
      </c>
      <c r="L1649">
        <v>299.37729999999999</v>
      </c>
      <c r="M1649">
        <v>-0.2336956</v>
      </c>
      <c r="N1649">
        <v>0</v>
      </c>
      <c r="O1649">
        <v>-0.97221480000000005</v>
      </c>
      <c r="P1649">
        <v>-0.51073040000000003</v>
      </c>
      <c r="Q1649">
        <v>0.1494983</v>
      </c>
      <c r="R1649">
        <v>-0.84664309999999998</v>
      </c>
      <c r="S1649">
        <v>-2.051682</v>
      </c>
      <c r="T1649">
        <v>-0.26857839999999999</v>
      </c>
      <c r="U1649">
        <v>-2.3566590000000001</v>
      </c>
      <c r="V1649">
        <v>0.29955749999999998</v>
      </c>
      <c r="W1649">
        <v>0.16073699999999999</v>
      </c>
      <c r="X1649">
        <v>0.94044079999999997</v>
      </c>
      <c r="Y1649">
        <v>0.45957540000000002</v>
      </c>
      <c r="Z1649">
        <v>8.8161080000000003E-2</v>
      </c>
      <c r="AA1649">
        <v>0.88375219999999899</v>
      </c>
      <c r="AB1649">
        <v>20</v>
      </c>
      <c r="AC1649">
        <v>-8.4164000000000101</v>
      </c>
      <c r="AD1649">
        <v>-1.1081229053270001</v>
      </c>
      <c r="AE1649">
        <v>-9.5369999999999706</v>
      </c>
      <c r="AF1649">
        <v>5.9094925725207403</v>
      </c>
      <c r="AG1649">
        <v>-1.1081229053270001</v>
      </c>
      <c r="AH1649">
        <v>11.155261602827499</v>
      </c>
      <c r="AI1649">
        <v>95.016565351308202</v>
      </c>
      <c r="AJ1649">
        <v>62.0876232845335</v>
      </c>
      <c r="AK1649">
        <v>12.672407043080099</v>
      </c>
      <c r="AL1649">
        <v>80.750322980765802</v>
      </c>
      <c r="AM1649">
        <v>72.331823534275401</v>
      </c>
      <c r="AN1649">
        <v>0.99999998863994399</v>
      </c>
    </row>
    <row r="1650" spans="1:40" x14ac:dyDescent="0.25">
      <c r="A1650" t="str">
        <f>"20190312172923638"</f>
        <v>20190312172923638</v>
      </c>
      <c r="B1650" t="str">
        <f>"1552382963628971"</f>
        <v>1552382963628971</v>
      </c>
      <c r="C1650" t="s">
        <v>40</v>
      </c>
      <c r="D1650">
        <v>3.7217859999999998</v>
      </c>
      <c r="E1650">
        <v>0.56920219999999999</v>
      </c>
      <c r="F1650" t="s">
        <v>46</v>
      </c>
      <c r="G1650">
        <v>-200.8535</v>
      </c>
      <c r="H1650" s="1">
        <v>2.1430909999999998E-6</v>
      </c>
      <c r="I1650">
        <v>289.7319</v>
      </c>
      <c r="J1650">
        <v>-192.43299999999999</v>
      </c>
      <c r="K1650">
        <v>1.108098</v>
      </c>
      <c r="L1650">
        <v>299.10480000000001</v>
      </c>
      <c r="M1650">
        <v>-0.23929790000000001</v>
      </c>
      <c r="N1650">
        <v>0</v>
      </c>
      <c r="O1650">
        <v>-0.97085089999999996</v>
      </c>
      <c r="P1650">
        <v>-0.51604129999999904</v>
      </c>
      <c r="Q1650">
        <v>0.14951010000000001</v>
      </c>
      <c r="R1650">
        <v>-0.84341449999999996</v>
      </c>
      <c r="S1650">
        <v>-2.06514</v>
      </c>
      <c r="T1650">
        <v>-0.26943919999999999</v>
      </c>
      <c r="U1650">
        <v>-2.3452760000000001</v>
      </c>
      <c r="V1650">
        <v>0.30005959999999998</v>
      </c>
      <c r="W1650">
        <v>0.160721</v>
      </c>
      <c r="X1650">
        <v>0.94028350000000005</v>
      </c>
      <c r="Y1650">
        <v>0.4594278</v>
      </c>
      <c r="Z1650">
        <v>8.8432170000000004E-2</v>
      </c>
      <c r="AA1650">
        <v>0.88380190000000003</v>
      </c>
      <c r="AB1650">
        <v>20</v>
      </c>
      <c r="AC1650">
        <v>-8.4205000000000005</v>
      </c>
      <c r="AD1650">
        <v>-1.108095856909</v>
      </c>
      <c r="AE1650">
        <v>-9.3729000000000102</v>
      </c>
      <c r="AF1650">
        <v>5.8871503164313301</v>
      </c>
      <c r="AG1650">
        <v>-1.108095856909</v>
      </c>
      <c r="AH1650">
        <v>11.0304117091063</v>
      </c>
      <c r="AI1650">
        <v>95.064629207196504</v>
      </c>
      <c r="AJ1650">
        <v>61.910271750494502</v>
      </c>
      <c r="AK1650">
        <v>12.552147136994</v>
      </c>
      <c r="AL1650">
        <v>80.751252192531297</v>
      </c>
      <c r="AM1650">
        <v>72.301279875350104</v>
      </c>
      <c r="AN1650">
        <v>1.0000000318827</v>
      </c>
    </row>
    <row r="1651" spans="1:40" x14ac:dyDescent="0.25">
      <c r="A1651" t="str">
        <f>"20190312172923661"</f>
        <v>20190312172923661</v>
      </c>
      <c r="B1651" t="str">
        <f>"1552382963649290"</f>
        <v>1552382963649290</v>
      </c>
      <c r="C1651" t="s">
        <v>40</v>
      </c>
      <c r="D1651">
        <v>3.7125059999999999</v>
      </c>
      <c r="E1651">
        <v>0.56930059999999905</v>
      </c>
      <c r="F1651" t="s">
        <v>46</v>
      </c>
      <c r="G1651">
        <v>-200.9983</v>
      </c>
      <c r="H1651" s="1">
        <v>2.231724E-6</v>
      </c>
      <c r="I1651">
        <v>289.51159999999999</v>
      </c>
      <c r="J1651">
        <v>-192.48500000000001</v>
      </c>
      <c r="K1651">
        <v>1.10808</v>
      </c>
      <c r="L1651">
        <v>298.91399999999999</v>
      </c>
      <c r="M1651">
        <v>-0.24328279999999999</v>
      </c>
      <c r="N1651">
        <v>0</v>
      </c>
      <c r="O1651">
        <v>-0.9698601</v>
      </c>
      <c r="P1651">
        <v>-0.51998859999999902</v>
      </c>
      <c r="Q1651">
        <v>0.150257</v>
      </c>
      <c r="R1651">
        <v>-0.84085370000000004</v>
      </c>
      <c r="S1651">
        <v>-2.081375</v>
      </c>
      <c r="T1651">
        <v>-0.26927069999999997</v>
      </c>
      <c r="U1651">
        <v>-2.3311769999999998</v>
      </c>
      <c r="V1651">
        <v>0.3006511</v>
      </c>
      <c r="W1651">
        <v>0.161445799999999</v>
      </c>
      <c r="X1651">
        <v>0.93997030000000004</v>
      </c>
      <c r="Y1651">
        <v>0.46186579999999999</v>
      </c>
      <c r="Z1651">
        <v>8.8400210000000007E-2</v>
      </c>
      <c r="AA1651">
        <v>0.88253359999999903</v>
      </c>
      <c r="AB1651">
        <v>19</v>
      </c>
      <c r="AC1651">
        <v>-8.5132999999999797</v>
      </c>
      <c r="AD1651">
        <v>-1.1080777682759999</v>
      </c>
      <c r="AE1651">
        <v>-9.4024000000000001</v>
      </c>
      <c r="AF1651">
        <v>5.9246034375518599</v>
      </c>
      <c r="AG1651">
        <v>-1.1080777682759999</v>
      </c>
      <c r="AH1651">
        <v>11.1064230521137</v>
      </c>
      <c r="AI1651">
        <v>95.030647182967002</v>
      </c>
      <c r="AJ1651">
        <v>61.922782759413003</v>
      </c>
      <c r="AK1651">
        <v>12.6365104061731</v>
      </c>
      <c r="AL1651">
        <v>80.709174392017601</v>
      </c>
      <c r="AM1651">
        <v>72.263036314512505</v>
      </c>
      <c r="AN1651">
        <v>0.99999999757546998</v>
      </c>
    </row>
    <row r="1652" spans="1:40" x14ac:dyDescent="0.25">
      <c r="A1652" t="str">
        <f>"20190312172923684"</f>
        <v>20190312172923684</v>
      </c>
      <c r="B1652" t="str">
        <f>"1552382963678571"</f>
        <v>1552382963678571</v>
      </c>
      <c r="C1652" t="s">
        <v>40</v>
      </c>
      <c r="D1652">
        <v>3.7223410000000001</v>
      </c>
      <c r="E1652">
        <v>0.56943339999999998</v>
      </c>
      <c r="F1652" t="s">
        <v>46</v>
      </c>
      <c r="G1652">
        <v>-201.1644</v>
      </c>
      <c r="H1652" s="1">
        <v>2.3245139999999999E-6</v>
      </c>
      <c r="I1652">
        <v>289.29289999999997</v>
      </c>
      <c r="J1652">
        <v>-192.5385</v>
      </c>
      <c r="K1652">
        <v>1.1080559999999999</v>
      </c>
      <c r="L1652">
        <v>298.72120000000001</v>
      </c>
      <c r="M1652">
        <v>-0.2473795</v>
      </c>
      <c r="N1652">
        <v>0</v>
      </c>
      <c r="O1652">
        <v>-0.9688234</v>
      </c>
      <c r="P1652">
        <v>-0.52452639999999995</v>
      </c>
      <c r="Q1652">
        <v>0.1506526</v>
      </c>
      <c r="R1652">
        <v>-0.83795949999999997</v>
      </c>
      <c r="S1652">
        <v>-2.093658</v>
      </c>
      <c r="T1652">
        <v>-0.26729370000000002</v>
      </c>
      <c r="U1652">
        <v>-2.3208310000000001</v>
      </c>
      <c r="V1652">
        <v>0.301792</v>
      </c>
      <c r="W1652">
        <v>0.16181139999999999</v>
      </c>
      <c r="X1652">
        <v>0.93954170000000004</v>
      </c>
      <c r="Y1652">
        <v>0.46269280000000002</v>
      </c>
      <c r="Z1652">
        <v>8.7749640000000004E-2</v>
      </c>
      <c r="AA1652">
        <v>0.88216519999999998</v>
      </c>
      <c r="AB1652">
        <v>19</v>
      </c>
      <c r="AC1652">
        <v>-8.6258999999999997</v>
      </c>
      <c r="AD1652">
        <v>-1.108053675486</v>
      </c>
      <c r="AE1652">
        <v>-9.4283000000000303</v>
      </c>
      <c r="AF1652">
        <v>5.9801989430353499</v>
      </c>
      <c r="AG1652">
        <v>-1.108053675486</v>
      </c>
      <c r="AH1652">
        <v>11.185171660068599</v>
      </c>
      <c r="AI1652">
        <v>94.992792729657907</v>
      </c>
      <c r="AJ1652">
        <v>61.868625150813202</v>
      </c>
      <c r="AK1652">
        <v>12.731795922462799</v>
      </c>
      <c r="AL1652">
        <v>80.687947733836197</v>
      </c>
      <c r="AM1652">
        <v>72.192362248559505</v>
      </c>
      <c r="AN1652">
        <v>0.99999997323642398</v>
      </c>
    </row>
    <row r="1653" spans="1:40" x14ac:dyDescent="0.25">
      <c r="A1653" t="str">
        <f>"20190312172923706"</f>
        <v>20190312172923706</v>
      </c>
      <c r="B1653" t="str">
        <f>"1552382963699067"</f>
        <v>1552382963699067</v>
      </c>
      <c r="C1653" t="s">
        <v>40</v>
      </c>
      <c r="D1653">
        <v>3.695249</v>
      </c>
      <c r="E1653">
        <v>0.5695093</v>
      </c>
      <c r="F1653" t="s">
        <v>46</v>
      </c>
      <c r="G1653">
        <v>-201.268</v>
      </c>
      <c r="H1653" s="1">
        <v>2.382636E-6</v>
      </c>
      <c r="I1653">
        <v>289.15359999999998</v>
      </c>
      <c r="J1653">
        <v>-192.5909</v>
      </c>
      <c r="K1653">
        <v>1.1080289999999999</v>
      </c>
      <c r="L1653">
        <v>298.536</v>
      </c>
      <c r="M1653">
        <v>-0.25139499999999998</v>
      </c>
      <c r="N1653">
        <v>0</v>
      </c>
      <c r="O1653">
        <v>-0.96778889999999995</v>
      </c>
      <c r="P1653">
        <v>-0.52876140000000005</v>
      </c>
      <c r="Q1653">
        <v>0.15023020000000001</v>
      </c>
      <c r="R1653">
        <v>-0.8353699</v>
      </c>
      <c r="S1653">
        <v>-2.1070250000000001</v>
      </c>
      <c r="T1653">
        <v>-0.26745000000000002</v>
      </c>
      <c r="U1653">
        <v>-2.309326</v>
      </c>
      <c r="V1653">
        <v>0.30264590000000002</v>
      </c>
      <c r="W1653">
        <v>0.1613578</v>
      </c>
      <c r="X1653">
        <v>0.93934510000000004</v>
      </c>
      <c r="Y1653">
        <v>0.46399240000000003</v>
      </c>
      <c r="Z1653">
        <v>8.7800820000000002E-2</v>
      </c>
      <c r="AA1653">
        <v>0.88147719999999896</v>
      </c>
      <c r="AB1653">
        <v>19</v>
      </c>
      <c r="AC1653">
        <v>-8.6770999999999905</v>
      </c>
      <c r="AD1653">
        <v>-1.1080266173639901</v>
      </c>
      <c r="AE1653">
        <v>-9.3824000000000094</v>
      </c>
      <c r="AF1653">
        <v>5.9944106135152504</v>
      </c>
      <c r="AG1653">
        <v>-1.1080266173639901</v>
      </c>
      <c r="AH1653">
        <v>11.1785733370298</v>
      </c>
      <c r="AI1653">
        <v>94.992322288041294</v>
      </c>
      <c r="AJ1653">
        <v>61.797961072701803</v>
      </c>
      <c r="AK1653">
        <v>12.7326817065206</v>
      </c>
      <c r="AL1653">
        <v>80.714283884517101</v>
      </c>
      <c r="AM1653">
        <v>72.141672304498201</v>
      </c>
      <c r="AN1653">
        <v>1.00000004865082</v>
      </c>
    </row>
    <row r="1654" spans="1:40" x14ac:dyDescent="0.25">
      <c r="A1654" t="str">
        <f>"20190312172923728"</f>
        <v>20190312172923728</v>
      </c>
      <c r="B1654" t="str">
        <f>"1552382963718587"</f>
        <v>1552382963718587</v>
      </c>
      <c r="C1654" t="s">
        <v>40</v>
      </c>
      <c r="D1654">
        <v>3.7191559999999999</v>
      </c>
      <c r="E1654">
        <v>0.56960059999999901</v>
      </c>
      <c r="F1654" t="s">
        <v>46</v>
      </c>
      <c r="G1654">
        <v>-201.30600000000001</v>
      </c>
      <c r="H1654" s="1">
        <v>2.4056019999999999E-6</v>
      </c>
      <c r="I1654">
        <v>289.08339999999998</v>
      </c>
      <c r="J1654">
        <v>-192.64359999999999</v>
      </c>
      <c r="K1654">
        <v>1.107996</v>
      </c>
      <c r="L1654">
        <v>298.3528</v>
      </c>
      <c r="M1654">
        <v>-0.25542959999999998</v>
      </c>
      <c r="N1654">
        <v>0</v>
      </c>
      <c r="O1654">
        <v>-0.96673200000000004</v>
      </c>
      <c r="P1654">
        <v>-0.53308710000000004</v>
      </c>
      <c r="Q1654">
        <v>0.15052009999999999</v>
      </c>
      <c r="R1654">
        <v>-0.83256359999999996</v>
      </c>
      <c r="S1654">
        <v>-2.1190340000000001</v>
      </c>
      <c r="T1654">
        <v>-0.26941199999999998</v>
      </c>
      <c r="U1654">
        <v>-2.2983699999999998</v>
      </c>
      <c r="V1654">
        <v>0.3036317</v>
      </c>
      <c r="W1654">
        <v>0.1616119</v>
      </c>
      <c r="X1654">
        <v>0.93898309999999996</v>
      </c>
      <c r="Y1654">
        <v>0.46484569999999997</v>
      </c>
      <c r="Z1654">
        <v>8.8445659999999995E-2</v>
      </c>
      <c r="AA1654">
        <v>0.88096299999999905</v>
      </c>
      <c r="AB1654">
        <v>19</v>
      </c>
      <c r="AC1654">
        <v>-8.6623999999999892</v>
      </c>
      <c r="AD1654">
        <v>-1.1079935943979999</v>
      </c>
      <c r="AE1654">
        <v>-9.2694000000000099</v>
      </c>
      <c r="AF1654">
        <v>5.9616257947473299</v>
      </c>
      <c r="AG1654">
        <v>-1.1079935943979999</v>
      </c>
      <c r="AH1654">
        <v>11.0901071071497</v>
      </c>
      <c r="AI1654">
        <v>95.029037302709497</v>
      </c>
      <c r="AJ1654">
        <v>61.739191771155603</v>
      </c>
      <c r="AK1654">
        <v>12.639584944525501</v>
      </c>
      <c r="AL1654">
        <v>80.699530373186207</v>
      </c>
      <c r="AM1654">
        <v>72.080750143634901</v>
      </c>
      <c r="AN1654">
        <v>0.99999993877605298</v>
      </c>
    </row>
    <row r="1655" spans="1:40" x14ac:dyDescent="0.25">
      <c r="A1655" t="str">
        <f>"20190312172923750"</f>
        <v>20190312172923750</v>
      </c>
      <c r="B1655" t="str">
        <f>"1552382963738971"</f>
        <v>1552382963738971</v>
      </c>
      <c r="C1655" t="s">
        <v>40</v>
      </c>
      <c r="D1655">
        <v>3.696415</v>
      </c>
      <c r="E1655">
        <v>0.56967369999999995</v>
      </c>
      <c r="F1655" t="s">
        <v>46</v>
      </c>
      <c r="G1655">
        <v>-201.42449999999999</v>
      </c>
      <c r="H1655" s="1">
        <v>2.4710780000000002E-6</v>
      </c>
      <c r="I1655">
        <v>288.9357</v>
      </c>
      <c r="J1655">
        <v>-192.69929999999999</v>
      </c>
      <c r="K1655">
        <v>1.1079559999999999</v>
      </c>
      <c r="L1655">
        <v>298.16239999999999</v>
      </c>
      <c r="M1655">
        <v>-0.25969199999999998</v>
      </c>
      <c r="N1655">
        <v>0</v>
      </c>
      <c r="O1655">
        <v>-0.9655956</v>
      </c>
      <c r="P1655">
        <v>-0.53742230000000002</v>
      </c>
      <c r="Q1655">
        <v>0.15063689999999999</v>
      </c>
      <c r="R1655">
        <v>-0.82975049999999995</v>
      </c>
      <c r="S1655">
        <v>-2.1322329999999998</v>
      </c>
      <c r="T1655">
        <v>-0.26904899999999998</v>
      </c>
      <c r="U1655">
        <v>-2.2867130000000002</v>
      </c>
      <c r="V1655">
        <v>0.30441000000000001</v>
      </c>
      <c r="W1655">
        <v>0.16169420000000001</v>
      </c>
      <c r="X1655">
        <v>0.93871700000000002</v>
      </c>
      <c r="Y1655">
        <v>0.46591199999999999</v>
      </c>
      <c r="Z1655">
        <v>8.8322960000000006E-2</v>
      </c>
      <c r="AA1655">
        <v>0.88041190000000003</v>
      </c>
      <c r="AB1655">
        <v>19</v>
      </c>
      <c r="AC1655">
        <v>-8.7251999999999992</v>
      </c>
      <c r="AD1655">
        <v>-1.1079535289219999</v>
      </c>
      <c r="AE1655">
        <v>-9.2266999999999904</v>
      </c>
      <c r="AF1655">
        <v>5.9839217637451503</v>
      </c>
      <c r="AG1655">
        <v>-1.1079535289219999</v>
      </c>
      <c r="AH1655">
        <v>11.091727453062701</v>
      </c>
      <c r="AI1655">
        <v>95.024093358408805</v>
      </c>
      <c r="AJ1655">
        <v>61.653399358997298</v>
      </c>
      <c r="AK1655">
        <v>12.651533448159499</v>
      </c>
      <c r="AL1655">
        <v>80.694752980841997</v>
      </c>
      <c r="AM1655">
        <v>72.033000710193903</v>
      </c>
      <c r="AN1655">
        <v>1.00000003425131</v>
      </c>
    </row>
    <row r="1656" spans="1:40" x14ac:dyDescent="0.25">
      <c r="A1656" t="str">
        <f>"20190312172923774"</f>
        <v>20190312172923774</v>
      </c>
      <c r="B1656" t="str">
        <f>"1552382963769223"</f>
        <v>1552382963769223</v>
      </c>
      <c r="C1656" t="s">
        <v>40</v>
      </c>
      <c r="D1656">
        <v>3.7070910000000001</v>
      </c>
      <c r="E1656">
        <v>0.56971510000000003</v>
      </c>
      <c r="F1656" t="s">
        <v>46</v>
      </c>
      <c r="G1656">
        <v>-201.52260000000001</v>
      </c>
      <c r="H1656" s="1">
        <v>2.5263010000000001E-6</v>
      </c>
      <c r="I1656">
        <v>288.80160000000001</v>
      </c>
      <c r="J1656">
        <v>-192.7567</v>
      </c>
      <c r="K1656">
        <v>1.1079129999999999</v>
      </c>
      <c r="L1656">
        <v>297.97000000000003</v>
      </c>
      <c r="M1656">
        <v>-0.26408280000000001</v>
      </c>
      <c r="N1656">
        <v>0</v>
      </c>
      <c r="O1656">
        <v>-0.96440389999999998</v>
      </c>
      <c r="P1656">
        <v>-0.54251419999999995</v>
      </c>
      <c r="Q1656">
        <v>0.150620899999999</v>
      </c>
      <c r="R1656">
        <v>-0.82643339999999998</v>
      </c>
      <c r="S1656">
        <v>-2.144638</v>
      </c>
      <c r="T1656">
        <v>-0.26930549999999998</v>
      </c>
      <c r="U1656">
        <v>-2.275299</v>
      </c>
      <c r="V1656">
        <v>0.30592909999999901</v>
      </c>
      <c r="W1656">
        <v>0.16163540000000001</v>
      </c>
      <c r="X1656">
        <v>0.93823310000000004</v>
      </c>
      <c r="Y1656">
        <v>0.46663169999999998</v>
      </c>
      <c r="Z1656">
        <v>8.8403460000000003E-2</v>
      </c>
      <c r="AA1656">
        <v>0.88002259999999999</v>
      </c>
      <c r="AB1656">
        <v>19</v>
      </c>
      <c r="AC1656">
        <v>-8.7659000000000091</v>
      </c>
      <c r="AD1656">
        <v>-1.107910473699</v>
      </c>
      <c r="AE1656">
        <v>-9.1684000000000196</v>
      </c>
      <c r="AF1656">
        <v>5.9875334582134396</v>
      </c>
      <c r="AG1656">
        <v>-1.107910473699</v>
      </c>
      <c r="AH1656">
        <v>11.073521669336699</v>
      </c>
      <c r="AI1656">
        <v>95.029577679687804</v>
      </c>
      <c r="AJ1656">
        <v>61.599589118814599</v>
      </c>
      <c r="AK1656">
        <v>12.637282330162099</v>
      </c>
      <c r="AL1656">
        <v>80.698166402213303</v>
      </c>
      <c r="AM1656">
        <v>71.940437521397399</v>
      </c>
      <c r="AN1656">
        <v>0.99999998334778895</v>
      </c>
    </row>
    <row r="1657" spans="1:40" x14ac:dyDescent="0.25">
      <c r="A1657" t="str">
        <f>"20190312172923798"</f>
        <v>20190312172923798</v>
      </c>
      <c r="B1657" t="str">
        <f>"1552382963788743"</f>
        <v>1552382963788743</v>
      </c>
      <c r="C1657" t="s">
        <v>40</v>
      </c>
      <c r="D1657">
        <v>3.7252459999999998</v>
      </c>
      <c r="E1657">
        <v>0.5712547</v>
      </c>
      <c r="F1657" t="s">
        <v>46</v>
      </c>
      <c r="G1657">
        <v>-201.6215</v>
      </c>
      <c r="H1657" s="1">
        <v>2.5803460000000001E-6</v>
      </c>
      <c r="I1657">
        <v>288.68520000000001</v>
      </c>
      <c r="J1657">
        <v>-192.81700000000001</v>
      </c>
      <c r="K1657">
        <v>1.107866</v>
      </c>
      <c r="L1657">
        <v>297.77109999999999</v>
      </c>
      <c r="M1657">
        <v>-0.26872360000000001</v>
      </c>
      <c r="N1657">
        <v>0</v>
      </c>
      <c r="O1657">
        <v>-0.96312120000000001</v>
      </c>
      <c r="P1657">
        <v>-0.54749009999999998</v>
      </c>
      <c r="Q1657">
        <v>0.15064849999999999</v>
      </c>
      <c r="R1657">
        <v>-0.82314019999999999</v>
      </c>
      <c r="S1657">
        <v>-2.159424</v>
      </c>
      <c r="T1657">
        <v>-0.26988020000000001</v>
      </c>
      <c r="U1657">
        <v>-2.2617189999999998</v>
      </c>
      <c r="V1657">
        <v>0.30709340000000002</v>
      </c>
      <c r="W1657">
        <v>0.16161989999999901</v>
      </c>
      <c r="X1657">
        <v>0.93785540000000001</v>
      </c>
      <c r="Y1657">
        <v>0.46801480000000001</v>
      </c>
      <c r="Z1657">
        <v>8.8590199999999994E-2</v>
      </c>
      <c r="AA1657">
        <v>0.87926890000000002</v>
      </c>
      <c r="AB1657">
        <v>19</v>
      </c>
      <c r="AC1657">
        <v>-8.8044999999999902</v>
      </c>
      <c r="AD1657">
        <v>-1.107863419654</v>
      </c>
      <c r="AE1657">
        <v>-9.0858999999999792</v>
      </c>
      <c r="AF1657">
        <v>5.9928139860555696</v>
      </c>
      <c r="AG1657">
        <v>-1.107863419654</v>
      </c>
      <c r="AH1657">
        <v>11.033231776702801</v>
      </c>
      <c r="AI1657">
        <v>95.042478509492696</v>
      </c>
      <c r="AJ1657">
        <v>61.490945055997898</v>
      </c>
      <c r="AK1657">
        <v>12.604498572593601</v>
      </c>
      <c r="AL1657">
        <v>80.699066943150001</v>
      </c>
      <c r="AM1657">
        <v>71.869371479762805</v>
      </c>
      <c r="AN1657">
        <v>1.00000004985436</v>
      </c>
    </row>
    <row r="1658" spans="1:40" x14ac:dyDescent="0.25">
      <c r="A1658" t="str">
        <f>"20190312172923818"</f>
        <v>20190312172923818</v>
      </c>
      <c r="B1658" t="str">
        <f>"1552382963809240"</f>
        <v>1552382963809240</v>
      </c>
      <c r="C1658" t="s">
        <v>40</v>
      </c>
      <c r="D1658">
        <v>3.7321840000000002</v>
      </c>
      <c r="E1658">
        <v>0.57121359999999999</v>
      </c>
      <c r="F1658" t="s">
        <v>46</v>
      </c>
      <c r="G1658">
        <v>-200.85560000000001</v>
      </c>
      <c r="H1658" s="1">
        <v>2.168084E-6</v>
      </c>
      <c r="I1658">
        <v>289.51560000000001</v>
      </c>
      <c r="J1658">
        <v>-192.87039999999999</v>
      </c>
      <c r="K1658">
        <v>1.107826</v>
      </c>
      <c r="L1658">
        <v>297.59829999999999</v>
      </c>
      <c r="M1658">
        <v>-0.27284750000000002</v>
      </c>
      <c r="N1658">
        <v>0</v>
      </c>
      <c r="O1658">
        <v>-0.96196099999999996</v>
      </c>
      <c r="P1658">
        <v>-0.55178990000000006</v>
      </c>
      <c r="Q1658">
        <v>0.1508795</v>
      </c>
      <c r="R1658">
        <v>-0.8202216</v>
      </c>
      <c r="S1658">
        <v>-2.1865079999999999</v>
      </c>
      <c r="T1658">
        <v>-0.30134260000000002</v>
      </c>
      <c r="U1658">
        <v>-2.245514</v>
      </c>
      <c r="V1658">
        <v>0.3080157</v>
      </c>
      <c r="W1658">
        <v>0.1618105</v>
      </c>
      <c r="X1658">
        <v>0.93752000000000002</v>
      </c>
      <c r="Y1658">
        <v>0.47218880000000002</v>
      </c>
      <c r="Z1658">
        <v>9.8666030000000002E-2</v>
      </c>
      <c r="AA1658">
        <v>0.87595820000000002</v>
      </c>
      <c r="AB1658">
        <v>19</v>
      </c>
      <c r="AC1658">
        <v>-7.9852000000000096</v>
      </c>
      <c r="AD1658">
        <v>-1.1078238319160001</v>
      </c>
      <c r="AE1658">
        <v>-8.0826999999999796</v>
      </c>
      <c r="AF1658">
        <v>5.4250387628911101</v>
      </c>
      <c r="AG1658">
        <v>-1.1078238319160001</v>
      </c>
      <c r="AH1658">
        <v>9.8611576173942499</v>
      </c>
      <c r="AI1658">
        <v>95.621520461608995</v>
      </c>
      <c r="AJ1658">
        <v>61.182952202674102</v>
      </c>
      <c r="AK1658">
        <v>11.3093213225429</v>
      </c>
      <c r="AL1658">
        <v>80.688000520808501</v>
      </c>
      <c r="AM1658">
        <v>71.812420760663997</v>
      </c>
      <c r="AN1658">
        <v>1.00000002987836</v>
      </c>
    </row>
    <row r="1659" spans="1:40" x14ac:dyDescent="0.25">
      <c r="A1659" t="str">
        <f>"20190312172923840"</f>
        <v>20190312172923840</v>
      </c>
      <c r="B1659" t="str">
        <f>"1552382963828759"</f>
        <v>1552382963828759</v>
      </c>
      <c r="C1659" t="s">
        <v>40</v>
      </c>
      <c r="D1659">
        <v>3.7424970000000002</v>
      </c>
      <c r="E1659">
        <v>0.57091789999999998</v>
      </c>
      <c r="F1659" t="s">
        <v>46</v>
      </c>
      <c r="G1659">
        <v>-200.95150000000001</v>
      </c>
      <c r="H1659" s="1">
        <v>2.2218379999999998E-6</v>
      </c>
      <c r="I1659">
        <v>289.38720000000001</v>
      </c>
      <c r="J1659">
        <v>-192.92670000000001</v>
      </c>
      <c r="K1659">
        <v>1.1077760000000001</v>
      </c>
      <c r="L1659">
        <v>297.41930000000002</v>
      </c>
      <c r="M1659">
        <v>-0.2772174</v>
      </c>
      <c r="N1659">
        <v>0</v>
      </c>
      <c r="O1659">
        <v>-0.96071059999999997</v>
      </c>
      <c r="P1659">
        <v>-0.55642150000000001</v>
      </c>
      <c r="Q1659">
        <v>0.150894899999999</v>
      </c>
      <c r="R1659">
        <v>-0.81708409999999998</v>
      </c>
      <c r="S1659">
        <v>-2.1985929999999998</v>
      </c>
      <c r="T1659">
        <v>-0.30140230000000001</v>
      </c>
      <c r="U1659">
        <v>-2.2339479999999998</v>
      </c>
      <c r="V1659">
        <v>0.30908249999999998</v>
      </c>
      <c r="W1659">
        <v>0.16177800000000001</v>
      </c>
      <c r="X1659">
        <v>0.93717439999999996</v>
      </c>
      <c r="Y1659">
        <v>0.47286119999999998</v>
      </c>
      <c r="Z1659">
        <v>9.867658E-2</v>
      </c>
      <c r="AA1659">
        <v>0.87559430000000005</v>
      </c>
      <c r="AB1659">
        <v>19</v>
      </c>
      <c r="AC1659">
        <v>-8.0247999999999902</v>
      </c>
      <c r="AD1659">
        <v>-1.1077737781620001</v>
      </c>
      <c r="AE1659">
        <v>-8.0321000000000105</v>
      </c>
      <c r="AF1659">
        <v>5.4316753978241703</v>
      </c>
      <c r="AG1659">
        <v>-1.1077737781620001</v>
      </c>
      <c r="AH1659">
        <v>9.8483109332989898</v>
      </c>
      <c r="AI1659">
        <v>95.625265959167805</v>
      </c>
      <c r="AJ1659">
        <v>61.1217837634766</v>
      </c>
      <c r="AK1659">
        <v>11.301304730421499</v>
      </c>
      <c r="AL1659">
        <v>80.689887069653807</v>
      </c>
      <c r="AM1659">
        <v>71.747313087048795</v>
      </c>
      <c r="AN1659">
        <v>0.99999998455280403</v>
      </c>
    </row>
    <row r="1660" spans="1:40" x14ac:dyDescent="0.25">
      <c r="A1660" t="str">
        <f>"20190312172923862"</f>
        <v>20190312172923862</v>
      </c>
      <c r="B1660" t="str">
        <f>"1552382963859015"</f>
        <v>1552382963859015</v>
      </c>
      <c r="C1660" t="s">
        <v>40</v>
      </c>
      <c r="D1660">
        <v>3.740094</v>
      </c>
      <c r="E1660">
        <v>0.57083919999999999</v>
      </c>
      <c r="F1660" t="s">
        <v>46</v>
      </c>
      <c r="G1660">
        <v>-201.0196</v>
      </c>
      <c r="H1660" s="1">
        <v>2.2615580000000002E-6</v>
      </c>
      <c r="I1660">
        <v>289.27850000000001</v>
      </c>
      <c r="J1660">
        <v>-192.98480000000001</v>
      </c>
      <c r="K1660">
        <v>1.1077189999999999</v>
      </c>
      <c r="L1660">
        <v>297.23770000000002</v>
      </c>
      <c r="M1660">
        <v>-0.28175499999999998</v>
      </c>
      <c r="N1660">
        <v>0</v>
      </c>
      <c r="O1660">
        <v>-0.95938970000000001</v>
      </c>
      <c r="P1660">
        <v>-0.56128100000000003</v>
      </c>
      <c r="Q1660">
        <v>0.15098889999999901</v>
      </c>
      <c r="R1660">
        <v>-0.81373619999999902</v>
      </c>
      <c r="S1660">
        <v>-2.2096710000000002</v>
      </c>
      <c r="T1660">
        <v>-0.30246529999999999</v>
      </c>
      <c r="U1660">
        <v>-2.2227480000000002</v>
      </c>
      <c r="V1660">
        <v>0.3102702</v>
      </c>
      <c r="W1660">
        <v>0.1618184</v>
      </c>
      <c r="X1660">
        <v>0.93677489999999997</v>
      </c>
      <c r="Y1660">
        <v>0.47307850000000001</v>
      </c>
      <c r="Z1660">
        <v>9.9014270000000001E-2</v>
      </c>
      <c r="AA1660">
        <v>0.87543869999999901</v>
      </c>
      <c r="AB1660">
        <v>19</v>
      </c>
      <c r="AC1660">
        <v>-8.03479999999999</v>
      </c>
      <c r="AD1660">
        <v>-1.1077167384419999</v>
      </c>
      <c r="AE1660">
        <v>-7.9592000000000098</v>
      </c>
      <c r="AF1660">
        <v>5.4145244466117797</v>
      </c>
      <c r="AG1660">
        <v>-1.1077167384419999</v>
      </c>
      <c r="AH1660">
        <v>9.8066607584962107</v>
      </c>
      <c r="AI1660">
        <v>95.647305126948893</v>
      </c>
      <c r="AJ1660">
        <v>61.095715394409602</v>
      </c>
      <c r="AK1660">
        <v>11.2567627046061</v>
      </c>
      <c r="AL1660">
        <v>80.687541581390406</v>
      </c>
      <c r="AM1660">
        <v>71.674558758995701</v>
      </c>
      <c r="AN1660">
        <v>1.0000000024283</v>
      </c>
    </row>
    <row r="1661" spans="1:40" x14ac:dyDescent="0.25">
      <c r="A1661" t="str">
        <f>"20190312172923885"</f>
        <v>20190312172923885</v>
      </c>
      <c r="B1661" t="str">
        <f>"1552382963879512"</f>
        <v>1552382963879512</v>
      </c>
      <c r="C1661" t="s">
        <v>40</v>
      </c>
      <c r="D1661">
        <v>3.7416649999999998</v>
      </c>
      <c r="E1661">
        <v>0.57087779999999999</v>
      </c>
      <c r="F1661" t="s">
        <v>46</v>
      </c>
      <c r="G1661">
        <v>-201.078</v>
      </c>
      <c r="H1661" s="1">
        <v>2.2951720000000001E-6</v>
      </c>
      <c r="I1661">
        <v>289.19040000000001</v>
      </c>
      <c r="J1661">
        <v>-193.047</v>
      </c>
      <c r="K1661">
        <v>1.107658</v>
      </c>
      <c r="L1661">
        <v>297.04750000000001</v>
      </c>
      <c r="M1661">
        <v>-0.28663529999999998</v>
      </c>
      <c r="N1661">
        <v>0</v>
      </c>
      <c r="O1661">
        <v>-0.95794270000000004</v>
      </c>
      <c r="P1661">
        <v>-0.56643379999999999</v>
      </c>
      <c r="Q1661">
        <v>0.15101339999999999</v>
      </c>
      <c r="R1661">
        <v>-0.81015300000000001</v>
      </c>
      <c r="S1661">
        <v>-2.2226409999999999</v>
      </c>
      <c r="T1661">
        <v>-0.30421350000000003</v>
      </c>
      <c r="U1661">
        <v>-2.2100520000000001</v>
      </c>
      <c r="V1661">
        <v>0.3114768</v>
      </c>
      <c r="W1661">
        <v>0.1617855</v>
      </c>
      <c r="X1661">
        <v>0.93638010000000005</v>
      </c>
      <c r="Y1661">
        <v>0.47362870000000001</v>
      </c>
      <c r="Z1661">
        <v>9.9564760000000002E-2</v>
      </c>
      <c r="AA1661">
        <v>0.87507869999999999</v>
      </c>
      <c r="AB1661">
        <v>19</v>
      </c>
      <c r="AC1661">
        <v>-8.0310000000000006</v>
      </c>
      <c r="AD1661">
        <v>-1.107655704828</v>
      </c>
      <c r="AE1661">
        <v>-7.8571</v>
      </c>
      <c r="AF1661">
        <v>5.3892409797699798</v>
      </c>
      <c r="AG1661">
        <v>-1.107655704828</v>
      </c>
      <c r="AH1661">
        <v>9.7349153708074798</v>
      </c>
      <c r="AI1661">
        <v>95.684820809867901</v>
      </c>
      <c r="AJ1661">
        <v>61.031123133093899</v>
      </c>
      <c r="AK1661">
        <v>11.1821016260474</v>
      </c>
      <c r="AL1661">
        <v>80.689451931979505</v>
      </c>
      <c r="AM1661">
        <v>71.6008484451187</v>
      </c>
      <c r="AN1661">
        <v>1.0000000183122499</v>
      </c>
    </row>
    <row r="1662" spans="1:40" x14ac:dyDescent="0.25">
      <c r="A1662" t="str">
        <f>"20190312172923906"</f>
        <v>20190312172923906</v>
      </c>
      <c r="B1662" t="str">
        <f>"1552382963899031"</f>
        <v>1552382963899031</v>
      </c>
      <c r="C1662" t="s">
        <v>40</v>
      </c>
      <c r="D1662">
        <v>3.7138300000000002</v>
      </c>
      <c r="E1662">
        <v>0.57071879999999997</v>
      </c>
      <c r="F1662" t="s">
        <v>46</v>
      </c>
      <c r="G1662">
        <v>-201.16200000000001</v>
      </c>
      <c r="H1662" s="1">
        <v>2.342183E-6</v>
      </c>
      <c r="I1662">
        <v>289.07870000000003</v>
      </c>
      <c r="J1662">
        <v>-193.1045</v>
      </c>
      <c r="K1662">
        <v>1.1075999999999999</v>
      </c>
      <c r="L1662">
        <v>296.87479999999999</v>
      </c>
      <c r="M1662">
        <v>-0.29118139999999998</v>
      </c>
      <c r="N1662">
        <v>0</v>
      </c>
      <c r="O1662">
        <v>-0.95657049999999999</v>
      </c>
      <c r="P1662">
        <v>-0.57095589999999996</v>
      </c>
      <c r="Q1662">
        <v>0.15126199999999901</v>
      </c>
      <c r="R1662">
        <v>-0.80692619999999904</v>
      </c>
      <c r="S1662">
        <v>-2.2364959999999998</v>
      </c>
      <c r="T1662">
        <v>-0.3052684</v>
      </c>
      <c r="U1662">
        <v>-2.1961979999999999</v>
      </c>
      <c r="V1662">
        <v>0.31230770000000002</v>
      </c>
      <c r="W1662">
        <v>0.16198409999999999</v>
      </c>
      <c r="X1662">
        <v>0.93606900000000004</v>
      </c>
      <c r="Y1662">
        <v>0.47489680000000001</v>
      </c>
      <c r="Z1662">
        <v>9.9904129999999994E-2</v>
      </c>
      <c r="AA1662">
        <v>0.87435239999999903</v>
      </c>
      <c r="AB1662">
        <v>19</v>
      </c>
      <c r="AC1662">
        <v>-8.0574999999999992</v>
      </c>
      <c r="AD1662">
        <v>-1.1075976578169999</v>
      </c>
      <c r="AE1662">
        <v>-7.7960999999999601</v>
      </c>
      <c r="AF1662">
        <v>5.3854357157055501</v>
      </c>
      <c r="AG1662">
        <v>-1.1075976578169999</v>
      </c>
      <c r="AH1662">
        <v>9.7098647870252108</v>
      </c>
      <c r="AI1662">
        <v>95.696607102401103</v>
      </c>
      <c r="AJ1662">
        <v>60.985694059894698</v>
      </c>
      <c r="AK1662">
        <v>11.1584570887695</v>
      </c>
      <c r="AL1662">
        <v>80.677921288344294</v>
      </c>
      <c r="AM1662">
        <v>71.549369044877096</v>
      </c>
      <c r="AN1662">
        <v>1.00000006044654</v>
      </c>
    </row>
    <row r="1663" spans="1:40" x14ac:dyDescent="0.25">
      <c r="A1663" t="str">
        <f>"20190312172923929"</f>
        <v>20190312172923929</v>
      </c>
      <c r="B1663" t="str">
        <f>"1552382963918551"</f>
        <v>1552382963918551</v>
      </c>
      <c r="C1663" t="s">
        <v>40</v>
      </c>
      <c r="D1663">
        <v>3.7000479999999998</v>
      </c>
      <c r="E1663">
        <v>0.57059939999999998</v>
      </c>
      <c r="F1663" t="s">
        <v>46</v>
      </c>
      <c r="G1663">
        <v>-201.24469999999999</v>
      </c>
      <c r="H1663" s="1">
        <v>2.3889850000000001E-6</v>
      </c>
      <c r="I1663">
        <v>288.96280000000002</v>
      </c>
      <c r="J1663">
        <v>-193.16739999999999</v>
      </c>
      <c r="K1663">
        <v>1.107551</v>
      </c>
      <c r="L1663">
        <v>296.6893</v>
      </c>
      <c r="M1663">
        <v>-0.29616609999999999</v>
      </c>
      <c r="N1663">
        <v>0</v>
      </c>
      <c r="O1663">
        <v>-0.95503899999999997</v>
      </c>
      <c r="P1663">
        <v>-0.57584959999999996</v>
      </c>
      <c r="Q1663">
        <v>0.1509094</v>
      </c>
      <c r="R1663">
        <v>-0.80350749999999904</v>
      </c>
      <c r="S1663">
        <v>-2.2477420000000001</v>
      </c>
      <c r="T1663">
        <v>-0.30583949999999999</v>
      </c>
      <c r="U1663">
        <v>-2.184723</v>
      </c>
      <c r="V1663">
        <v>0.31311640000000002</v>
      </c>
      <c r="W1663">
        <v>0.16158789999999901</v>
      </c>
      <c r="X1663">
        <v>0.93586720000000001</v>
      </c>
      <c r="Y1663">
        <v>0.47478350000000002</v>
      </c>
      <c r="Z1663">
        <v>0.10006130000000001</v>
      </c>
      <c r="AA1663">
        <v>0.87439599999999995</v>
      </c>
      <c r="AB1663">
        <v>19</v>
      </c>
      <c r="AC1663">
        <v>-8.0772999999999993</v>
      </c>
      <c r="AD1663">
        <v>-1.1075486110149999</v>
      </c>
      <c r="AE1663">
        <v>-7.7264999999999802</v>
      </c>
      <c r="AF1663">
        <v>5.3735571724468398</v>
      </c>
      <c r="AG1663">
        <v>-1.1075486110149999</v>
      </c>
      <c r="AH1663">
        <v>9.6772307801871396</v>
      </c>
      <c r="AI1663">
        <v>95.713890575048396</v>
      </c>
      <c r="AJ1663">
        <v>60.957532159676703</v>
      </c>
      <c r="AK1663">
        <v>11.124323628172499</v>
      </c>
      <c r="AL1663">
        <v>80.700924104819407</v>
      </c>
      <c r="AM1663">
        <v>71.501122356378801</v>
      </c>
      <c r="AN1663">
        <v>0.99999997270560403</v>
      </c>
    </row>
    <row r="1664" spans="1:40" x14ac:dyDescent="0.25">
      <c r="A1664" t="str">
        <f>"20190312172923951"</f>
        <v>20190312172923951</v>
      </c>
      <c r="B1664" t="str">
        <f>"1552382963948807"</f>
        <v>1552382963948807</v>
      </c>
      <c r="C1664" t="s">
        <v>40</v>
      </c>
      <c r="D1664">
        <v>3.7108020000000002</v>
      </c>
      <c r="E1664">
        <v>0.57024169999999996</v>
      </c>
      <c r="F1664" t="s">
        <v>46</v>
      </c>
      <c r="G1664">
        <v>-201.30090000000001</v>
      </c>
      <c r="H1664" s="1">
        <v>2.4215949999999999E-6</v>
      </c>
      <c r="I1664">
        <v>288.87470000000002</v>
      </c>
      <c r="J1664">
        <v>-193.2313</v>
      </c>
      <c r="K1664">
        <v>1.107502</v>
      </c>
      <c r="L1664">
        <v>296.50450000000001</v>
      </c>
      <c r="M1664">
        <v>-0.30123860000000002</v>
      </c>
      <c r="N1664">
        <v>0</v>
      </c>
      <c r="O1664">
        <v>-0.95345100000000005</v>
      </c>
      <c r="P1664">
        <v>-0.58069939999999998</v>
      </c>
      <c r="Q1664">
        <v>0.15111260000000001</v>
      </c>
      <c r="R1664">
        <v>-0.79997119999999999</v>
      </c>
      <c r="S1664">
        <v>-2.2602229999999999</v>
      </c>
      <c r="T1664">
        <v>-0.30777870000000002</v>
      </c>
      <c r="U1664">
        <v>-2.1716310000000001</v>
      </c>
      <c r="V1664">
        <v>0.31383470000000002</v>
      </c>
      <c r="W1664">
        <v>0.16175400000000001</v>
      </c>
      <c r="X1664">
        <v>0.93559789999999998</v>
      </c>
      <c r="Y1664">
        <v>0.47511160000000002</v>
      </c>
      <c r="Z1664">
        <v>0.10067130000000001</v>
      </c>
      <c r="AA1664">
        <v>0.87414769999999897</v>
      </c>
      <c r="AB1664">
        <v>19</v>
      </c>
      <c r="AC1664">
        <v>-8.0695999999999994</v>
      </c>
      <c r="AD1664">
        <v>-1.1074995784049999</v>
      </c>
      <c r="AE1664">
        <v>-7.6297999999999799</v>
      </c>
      <c r="AF1664">
        <v>5.3429448524038401</v>
      </c>
      <c r="AG1664">
        <v>-1.1074995784049999</v>
      </c>
      <c r="AH1664">
        <v>9.6108395744547703</v>
      </c>
      <c r="AI1664">
        <v>95.751266742390996</v>
      </c>
      <c r="AJ1664">
        <v>60.929046209000198</v>
      </c>
      <c r="AK1664">
        <v>11.051780505325899</v>
      </c>
      <c r="AL1664">
        <v>80.691280694226407</v>
      </c>
      <c r="AM1664">
        <v>71.456611502266</v>
      </c>
      <c r="AN1664">
        <v>1.00000000296225</v>
      </c>
    </row>
    <row r="1665" spans="1:40" x14ac:dyDescent="0.25">
      <c r="A1665" t="str">
        <f>"20190312172923976"</f>
        <v>20190312172923976</v>
      </c>
      <c r="B1665" t="str">
        <f>"1552382963969304"</f>
        <v>1552382963969304</v>
      </c>
      <c r="C1665" t="s">
        <v>40</v>
      </c>
      <c r="D1665">
        <v>3.7227670000000002</v>
      </c>
      <c r="E1665">
        <v>0.57004569999999999</v>
      </c>
      <c r="F1665" t="s">
        <v>46</v>
      </c>
      <c r="G1665">
        <v>-201.40289999999999</v>
      </c>
      <c r="H1665" s="1">
        <v>2.479151E-6</v>
      </c>
      <c r="I1665">
        <v>288.73379999999997</v>
      </c>
      <c r="J1665">
        <v>-193.2989</v>
      </c>
      <c r="K1665">
        <v>1.107459</v>
      </c>
      <c r="L1665">
        <v>296.31279999999998</v>
      </c>
      <c r="M1665">
        <v>-0.30660660000000001</v>
      </c>
      <c r="N1665">
        <v>0</v>
      </c>
      <c r="O1665">
        <v>-0.95173839999999998</v>
      </c>
      <c r="P1665">
        <v>-0.58605830000000003</v>
      </c>
      <c r="Q1665">
        <v>0.15049849999999901</v>
      </c>
      <c r="R1665">
        <v>-0.79616949999999997</v>
      </c>
      <c r="S1665">
        <v>-2.2710720000000002</v>
      </c>
      <c r="T1665">
        <v>-0.30780049999999998</v>
      </c>
      <c r="U1665">
        <v>-2.1596679999999999</v>
      </c>
      <c r="V1665">
        <v>0.31482450000000001</v>
      </c>
      <c r="W1665">
        <v>0.16110360000000001</v>
      </c>
      <c r="X1665">
        <v>0.93537749999999997</v>
      </c>
      <c r="Y1665">
        <v>0.47466390000000003</v>
      </c>
      <c r="Z1665">
        <v>0.1006502</v>
      </c>
      <c r="AA1665">
        <v>0.87439339999999999</v>
      </c>
      <c r="AB1665">
        <v>19</v>
      </c>
      <c r="AC1665">
        <v>-8.1039999999999797</v>
      </c>
      <c r="AD1665">
        <v>-1.1074565208489999</v>
      </c>
      <c r="AE1665">
        <v>-7.5789999999999997</v>
      </c>
      <c r="AF1665">
        <v>5.3364581044459998</v>
      </c>
      <c r="AG1665">
        <v>-1.1074565208489999</v>
      </c>
      <c r="AH1665">
        <v>9.6032038649662397</v>
      </c>
      <c r="AI1665">
        <v>95.756153472526293</v>
      </c>
      <c r="AJ1665">
        <v>60.939264885407802</v>
      </c>
      <c r="AK1665">
        <v>11.0420002498723</v>
      </c>
      <c r="AL1665">
        <v>80.729040641772599</v>
      </c>
      <c r="AM1665">
        <v>71.398063636131496</v>
      </c>
      <c r="AN1665">
        <v>0.99999995161972799</v>
      </c>
    </row>
    <row r="1666" spans="1:40" x14ac:dyDescent="0.25">
      <c r="A1666" t="str">
        <f>"20190312172924002"</f>
        <v>20190312172924002</v>
      </c>
      <c r="B1666" t="str">
        <f>"1552382963998583"</f>
        <v>1552382963998583</v>
      </c>
      <c r="C1666" t="s">
        <v>40</v>
      </c>
      <c r="D1666">
        <v>3.722496</v>
      </c>
      <c r="E1666">
        <v>0.5699052</v>
      </c>
      <c r="F1666" t="s">
        <v>46</v>
      </c>
      <c r="G1666">
        <v>-201.43369999999999</v>
      </c>
      <c r="H1666" s="1">
        <v>2.4984769999999999E-6</v>
      </c>
      <c r="I1666">
        <v>288.66879999999998</v>
      </c>
      <c r="J1666">
        <v>-193.375</v>
      </c>
      <c r="K1666">
        <v>1.107405</v>
      </c>
      <c r="L1666">
        <v>296.10120000000001</v>
      </c>
      <c r="M1666">
        <v>-0.312662099999999</v>
      </c>
      <c r="N1666">
        <v>0</v>
      </c>
      <c r="O1666">
        <v>-0.94976609999999995</v>
      </c>
      <c r="P1666">
        <v>-0.5913079</v>
      </c>
      <c r="Q1666">
        <v>0.150972</v>
      </c>
      <c r="R1666">
        <v>-0.79218849999999996</v>
      </c>
      <c r="S1666">
        <v>-2.283585</v>
      </c>
      <c r="T1666">
        <v>-0.31088320000000003</v>
      </c>
      <c r="U1666">
        <v>-2.145813</v>
      </c>
      <c r="V1666">
        <v>0.31510139999999998</v>
      </c>
      <c r="W1666">
        <v>0.16154180000000001</v>
      </c>
      <c r="X1666">
        <v>0.9352087</v>
      </c>
      <c r="Y1666">
        <v>0.47419929999999899</v>
      </c>
      <c r="Z1666">
        <v>0.1016121</v>
      </c>
      <c r="AA1666">
        <v>0.87453419999999904</v>
      </c>
      <c r="AB1666">
        <v>19</v>
      </c>
      <c r="AC1666">
        <v>-8.0586999999999804</v>
      </c>
      <c r="AD1666">
        <v>-1.107402501523</v>
      </c>
      <c r="AE1666">
        <v>-7.4324000000000296</v>
      </c>
      <c r="AF1666">
        <v>5.2767049927225598</v>
      </c>
      <c r="AG1666">
        <v>-1.107402501523</v>
      </c>
      <c r="AH1666">
        <v>9.4828242314718398</v>
      </c>
      <c r="AI1666">
        <v>95.826591409372298</v>
      </c>
      <c r="AJ1666">
        <v>60.906307550740301</v>
      </c>
      <c r="AK1666">
        <v>10.908433035298501</v>
      </c>
      <c r="AL1666">
        <v>80.703600662877093</v>
      </c>
      <c r="AM1666">
        <v>71.379700958479901</v>
      </c>
      <c r="AN1666">
        <v>0.99999997899244397</v>
      </c>
    </row>
    <row r="1667" spans="1:40" x14ac:dyDescent="0.25">
      <c r="A1667" t="str">
        <f>"20190312172924021"</f>
        <v>20190312172924021</v>
      </c>
      <c r="B1667" t="str">
        <f>"1552382964009319"</f>
        <v>1552382964009319</v>
      </c>
      <c r="C1667" t="s">
        <v>40</v>
      </c>
      <c r="D1667">
        <v>3.6958009999999999</v>
      </c>
      <c r="E1667">
        <v>0.56704259999999995</v>
      </c>
      <c r="F1667" t="s">
        <v>46</v>
      </c>
      <c r="G1667">
        <v>-201.58600000000001</v>
      </c>
      <c r="H1667" s="1">
        <v>2.582292E-6</v>
      </c>
      <c r="I1667">
        <v>288.48309999999998</v>
      </c>
      <c r="J1667">
        <v>-193.43109999999999</v>
      </c>
      <c r="K1667">
        <v>1.1073569999999999</v>
      </c>
      <c r="L1667">
        <v>295.94819999999999</v>
      </c>
      <c r="M1667">
        <v>-0.31713930000000001</v>
      </c>
      <c r="N1667">
        <v>0</v>
      </c>
      <c r="O1667">
        <v>-0.94828040000000002</v>
      </c>
      <c r="P1667">
        <v>-0.59542359999999905</v>
      </c>
      <c r="Q1667">
        <v>0.15104119999999999</v>
      </c>
      <c r="R1667">
        <v>-0.78908659999999997</v>
      </c>
      <c r="S1667">
        <v>-2.2972260000000002</v>
      </c>
      <c r="T1667">
        <v>-0.30981900000000001</v>
      </c>
      <c r="U1667">
        <v>-2.1313170000000001</v>
      </c>
      <c r="V1667">
        <v>0.31558059999999899</v>
      </c>
      <c r="W1667">
        <v>0.16157750000000001</v>
      </c>
      <c r="X1667">
        <v>0.93504100000000001</v>
      </c>
      <c r="Y1667">
        <v>0.47563349999999999</v>
      </c>
      <c r="Z1667">
        <v>0.101258</v>
      </c>
      <c r="AA1667">
        <v>0.87379609999999996</v>
      </c>
      <c r="AB1667">
        <v>19</v>
      </c>
      <c r="AC1667">
        <v>-8.1548999999999907</v>
      </c>
      <c r="AD1667">
        <v>-1.1073544177079999</v>
      </c>
      <c r="AE1667">
        <v>-7.4650999999999996</v>
      </c>
      <c r="AF1667">
        <v>5.3128573516729398</v>
      </c>
      <c r="AG1667">
        <v>-1.1073544177079999</v>
      </c>
      <c r="AH1667">
        <v>9.57014153522924</v>
      </c>
      <c r="AI1667">
        <v>95.776706685051494</v>
      </c>
      <c r="AJ1667">
        <v>60.963186005781999</v>
      </c>
      <c r="AK1667">
        <v>11.0018314861645</v>
      </c>
      <c r="AL1667">
        <v>80.701528524678693</v>
      </c>
      <c r="AM1667">
        <v>71.3502267652337</v>
      </c>
      <c r="AN1667">
        <v>1.0000000376417999</v>
      </c>
    </row>
    <row r="1668" spans="1:40" x14ac:dyDescent="0.25">
      <c r="A1668" t="str">
        <f>"20190312172924041"</f>
        <v>20190312172924041</v>
      </c>
      <c r="B1668" t="str">
        <f>"1552382964028839"</f>
        <v>1552382964028839</v>
      </c>
      <c r="C1668" t="s">
        <v>40</v>
      </c>
      <c r="D1668">
        <v>3.704558</v>
      </c>
      <c r="E1668">
        <v>0.56740590000000002</v>
      </c>
      <c r="F1668" t="s">
        <v>46</v>
      </c>
      <c r="G1668">
        <v>-201.56010000000001</v>
      </c>
      <c r="H1668" s="1">
        <v>2.5802639999999999E-6</v>
      </c>
      <c r="I1668">
        <v>288.37450000000001</v>
      </c>
      <c r="J1668">
        <v>-193.49299999999999</v>
      </c>
      <c r="K1668">
        <v>1.107307</v>
      </c>
      <c r="L1668">
        <v>295.78219999999999</v>
      </c>
      <c r="M1668">
        <v>-0.32208829999999999</v>
      </c>
      <c r="N1668">
        <v>0</v>
      </c>
      <c r="O1668">
        <v>-0.94661070000000003</v>
      </c>
      <c r="P1668">
        <v>-0.59996749999999999</v>
      </c>
      <c r="Q1668">
        <v>0.15098399999999901</v>
      </c>
      <c r="R1668">
        <v>-0.78564799999999901</v>
      </c>
      <c r="S1668">
        <v>-2.2899929999999999</v>
      </c>
      <c r="T1668">
        <v>-0.3119518</v>
      </c>
      <c r="U1668">
        <v>-2.133575</v>
      </c>
      <c r="V1668">
        <v>0.31611220000000001</v>
      </c>
      <c r="W1668">
        <v>0.16147819999999999</v>
      </c>
      <c r="X1668">
        <v>0.93487849999999995</v>
      </c>
      <c r="Y1668">
        <v>0.4691438</v>
      </c>
      <c r="Z1668">
        <v>0.1019045</v>
      </c>
      <c r="AA1668">
        <v>0.87722269999999902</v>
      </c>
      <c r="AB1668">
        <v>19</v>
      </c>
      <c r="AC1668">
        <v>-8.0670999999999999</v>
      </c>
      <c r="AD1668">
        <v>-1.107304419736</v>
      </c>
      <c r="AE1668">
        <v>-7.40769999999997</v>
      </c>
      <c r="AF1668">
        <v>5.1978304482045203</v>
      </c>
      <c r="AG1668">
        <v>-1.107304419736</v>
      </c>
      <c r="AH1668">
        <v>9.5141750901920901</v>
      </c>
      <c r="AI1668">
        <v>95.831751995132905</v>
      </c>
      <c r="AJ1668">
        <v>61.351122794662501</v>
      </c>
      <c r="AK1668">
        <v>10.8978480487241</v>
      </c>
      <c r="AL1668">
        <v>80.707293077212697</v>
      </c>
      <c r="AM1668">
        <v>71.317966944592001</v>
      </c>
      <c r="AN1668">
        <v>0.99999997091316395</v>
      </c>
    </row>
    <row r="1669" spans="1:40" x14ac:dyDescent="0.25">
      <c r="A1669" t="str">
        <f>"20190312172924063"</f>
        <v>20190312172924063</v>
      </c>
      <c r="B1669" t="str">
        <f>"1552382964059096"</f>
        <v>1552382964059096</v>
      </c>
      <c r="C1669" t="s">
        <v>40</v>
      </c>
      <c r="D1669">
        <v>3.6838660000000001</v>
      </c>
      <c r="E1669">
        <v>0.56739399999999995</v>
      </c>
      <c r="F1669" t="s">
        <v>46</v>
      </c>
      <c r="G1669">
        <v>-201.6054</v>
      </c>
      <c r="H1669" s="1">
        <v>2.604614E-6</v>
      </c>
      <c r="I1669">
        <v>288.32600000000002</v>
      </c>
      <c r="J1669">
        <v>-193.55889999999999</v>
      </c>
      <c r="K1669">
        <v>1.107245</v>
      </c>
      <c r="L1669">
        <v>295.60890000000001</v>
      </c>
      <c r="M1669">
        <v>-0.3273682</v>
      </c>
      <c r="N1669">
        <v>0</v>
      </c>
      <c r="O1669">
        <v>-0.94479780000000002</v>
      </c>
      <c r="P1669">
        <v>-0.6047882</v>
      </c>
      <c r="Q1669">
        <v>0.1512329</v>
      </c>
      <c r="R1669">
        <v>-0.78189529999999996</v>
      </c>
      <c r="S1669">
        <v>-2.3050989999999998</v>
      </c>
      <c r="T1669">
        <v>-0.31463619999999998</v>
      </c>
      <c r="U1669">
        <v>-2.118652</v>
      </c>
      <c r="V1669">
        <v>0.31668760000000001</v>
      </c>
      <c r="W1669">
        <v>0.1616763</v>
      </c>
      <c r="X1669">
        <v>0.93464950000000002</v>
      </c>
      <c r="Y1669">
        <v>0.47010069999999998</v>
      </c>
      <c r="Z1669">
        <v>0.1027132</v>
      </c>
      <c r="AA1669">
        <v>0.87661579999999995</v>
      </c>
      <c r="AB1669">
        <v>19</v>
      </c>
      <c r="AC1669">
        <v>-8.0465</v>
      </c>
      <c r="AD1669">
        <v>-1.107242395386</v>
      </c>
      <c r="AE1669">
        <v>-7.2829000000000397</v>
      </c>
      <c r="AF1669">
        <v>5.1648555822671103</v>
      </c>
      <c r="AG1669">
        <v>-1.107242395386</v>
      </c>
      <c r="AH1669">
        <v>9.41790038454082</v>
      </c>
      <c r="AI1669">
        <v>95.885491752116906</v>
      </c>
      <c r="AJ1669">
        <v>61.259266793975499</v>
      </c>
      <c r="AK1669">
        <v>10.7980816148494</v>
      </c>
      <c r="AL1669">
        <v>80.695791692561599</v>
      </c>
      <c r="AM1669">
        <v>71.282060841488502</v>
      </c>
      <c r="AN1669">
        <v>0.99999997491284898</v>
      </c>
    </row>
    <row r="1670" spans="1:40" x14ac:dyDescent="0.25">
      <c r="A1670" t="str">
        <f>"20190312172924087"</f>
        <v>20190312172924087</v>
      </c>
      <c r="B1670" t="str">
        <f>"1552382964078616"</f>
        <v>1552382964078616</v>
      </c>
      <c r="C1670" t="s">
        <v>40</v>
      </c>
      <c r="D1670">
        <v>3.688596</v>
      </c>
      <c r="E1670">
        <v>0.56760749999999904</v>
      </c>
      <c r="F1670" t="s">
        <v>46</v>
      </c>
      <c r="G1670">
        <v>-201.60890000000001</v>
      </c>
      <c r="H1670" s="1">
        <v>2.6083990000000001E-6</v>
      </c>
      <c r="I1670">
        <v>288.30020000000002</v>
      </c>
      <c r="J1670">
        <v>-193.6317</v>
      </c>
      <c r="K1670">
        <v>1.10717</v>
      </c>
      <c r="L1670">
        <v>295.42140000000001</v>
      </c>
      <c r="M1670">
        <v>-0.33323170000000002</v>
      </c>
      <c r="N1670">
        <v>0</v>
      </c>
      <c r="O1670">
        <v>-0.94274539999999996</v>
      </c>
      <c r="P1670">
        <v>-0.61030869999999904</v>
      </c>
      <c r="Q1670">
        <v>0.15169920000000001</v>
      </c>
      <c r="R1670">
        <v>-0.7775031</v>
      </c>
      <c r="S1670">
        <v>-2.318619</v>
      </c>
      <c r="T1670">
        <v>-0.31891930000000002</v>
      </c>
      <c r="U1670">
        <v>-2.1051329999999999</v>
      </c>
      <c r="V1670">
        <v>0.3175637</v>
      </c>
      <c r="W1670">
        <v>0.162082</v>
      </c>
      <c r="X1670">
        <v>0.9342819</v>
      </c>
      <c r="Y1670">
        <v>0.4698678</v>
      </c>
      <c r="Z1670">
        <v>0.10400760000000001</v>
      </c>
      <c r="AA1670">
        <v>0.87658809999999998</v>
      </c>
      <c r="AB1670">
        <v>19</v>
      </c>
      <c r="AC1670">
        <v>-7.9772000000000096</v>
      </c>
      <c r="AD1670">
        <v>-1.1071673916010001</v>
      </c>
      <c r="AE1670">
        <v>-7.1211999999999804</v>
      </c>
      <c r="AF1670">
        <v>5.0933408993183598</v>
      </c>
      <c r="AG1670">
        <v>-1.1071673916010001</v>
      </c>
      <c r="AH1670">
        <v>9.2732041594586807</v>
      </c>
      <c r="AI1670">
        <v>95.974150786092196</v>
      </c>
      <c r="AJ1670">
        <v>61.222049433248003</v>
      </c>
      <c r="AK1670">
        <v>10.6376809753204</v>
      </c>
      <c r="AL1670">
        <v>80.672236096266701</v>
      </c>
      <c r="AM1670">
        <v>71.227032317359701</v>
      </c>
      <c r="AN1670">
        <v>0.99999997347464897</v>
      </c>
    </row>
    <row r="1671" spans="1:40" x14ac:dyDescent="0.25">
      <c r="A1671" t="str">
        <f>"20190312172924108"</f>
        <v>20190312172924108</v>
      </c>
      <c r="B1671" t="str">
        <f>"1552382964099112"</f>
        <v>1552382964099112</v>
      </c>
      <c r="C1671" t="s">
        <v>40</v>
      </c>
      <c r="D1671">
        <v>3.6718929999999999</v>
      </c>
      <c r="E1671">
        <v>0.56766229999999995</v>
      </c>
      <c r="F1671" t="s">
        <v>46</v>
      </c>
      <c r="G1671">
        <v>-201.73220000000001</v>
      </c>
      <c r="H1671" s="1">
        <v>2.6735220000000001E-6</v>
      </c>
      <c r="I1671">
        <v>288.18110000000001</v>
      </c>
      <c r="J1671">
        <v>-193.7013</v>
      </c>
      <c r="K1671">
        <v>1.107108</v>
      </c>
      <c r="L1671">
        <v>295.2457</v>
      </c>
      <c r="M1671">
        <v>-0.338860099999999</v>
      </c>
      <c r="N1671">
        <v>0</v>
      </c>
      <c r="O1671">
        <v>-0.94073680000000004</v>
      </c>
      <c r="P1671">
        <v>-0.61585210000000001</v>
      </c>
      <c r="Q1671">
        <v>0.15218499999999999</v>
      </c>
      <c r="R1671">
        <v>-0.77302369999999898</v>
      </c>
      <c r="S1671">
        <v>-2.3355410000000001</v>
      </c>
      <c r="T1671">
        <v>-0.31921909999999998</v>
      </c>
      <c r="U1671">
        <v>-2.0875240000000002</v>
      </c>
      <c r="V1671">
        <v>0.3187258</v>
      </c>
      <c r="W1671">
        <v>0.16250870000000001</v>
      </c>
      <c r="X1671">
        <v>0.93381199999999998</v>
      </c>
      <c r="Y1671">
        <v>0.47142640000000002</v>
      </c>
      <c r="Z1671">
        <v>0.1040514</v>
      </c>
      <c r="AA1671">
        <v>0.87574569999999996</v>
      </c>
      <c r="AB1671">
        <v>19</v>
      </c>
      <c r="AC1671">
        <v>-8.0309000000000008</v>
      </c>
      <c r="AD1671">
        <v>-1.107105326478</v>
      </c>
      <c r="AE1671">
        <v>-7.06459999999998</v>
      </c>
      <c r="AF1671">
        <v>5.1068249144398301</v>
      </c>
      <c r="AG1671">
        <v>-1.107105326478</v>
      </c>
      <c r="AH1671">
        <v>9.2688587266756901</v>
      </c>
      <c r="AI1671">
        <v>95.972309771717406</v>
      </c>
      <c r="AJ1671">
        <v>61.146735367116698</v>
      </c>
      <c r="AK1671">
        <v>10.6403517331774</v>
      </c>
      <c r="AL1671">
        <v>80.647460058456701</v>
      </c>
      <c r="AM1671">
        <v>71.154360590231505</v>
      </c>
      <c r="AN1671">
        <v>1.0000000322526601</v>
      </c>
    </row>
    <row r="1672" spans="1:40" x14ac:dyDescent="0.25">
      <c r="A1672" t="str">
        <f>"20190312172924131"</f>
        <v>20190312172924131</v>
      </c>
      <c r="B1672" t="str">
        <f>"1552382964118635"</f>
        <v>1552382964118635</v>
      </c>
      <c r="C1672" t="s">
        <v>40</v>
      </c>
      <c r="D1672">
        <v>3.720113</v>
      </c>
      <c r="E1672">
        <v>0.56758019999999998</v>
      </c>
      <c r="F1672" t="s">
        <v>46</v>
      </c>
      <c r="G1672">
        <v>-201.85740000000001</v>
      </c>
      <c r="H1672" s="1">
        <v>2.7398680000000002E-6</v>
      </c>
      <c r="I1672">
        <v>288.05709999999999</v>
      </c>
      <c r="J1672">
        <v>-193.77379999999999</v>
      </c>
      <c r="K1672">
        <v>1.107056</v>
      </c>
      <c r="L1672">
        <v>295.06650000000002</v>
      </c>
      <c r="M1672">
        <v>-0.3447288</v>
      </c>
      <c r="N1672">
        <v>0</v>
      </c>
      <c r="O1672">
        <v>-0.93860209999999999</v>
      </c>
      <c r="P1672">
        <v>-0.62148649999999905</v>
      </c>
      <c r="Q1672">
        <v>0.1525803</v>
      </c>
      <c r="R1672">
        <v>-0.76842310000000003</v>
      </c>
      <c r="S1672">
        <v>-2.3501430000000001</v>
      </c>
      <c r="T1672">
        <v>-0.31900849999999997</v>
      </c>
      <c r="U1672">
        <v>-2.0713810000000001</v>
      </c>
      <c r="V1672">
        <v>0.31977559999999999</v>
      </c>
      <c r="W1672">
        <v>0.162854</v>
      </c>
      <c r="X1672">
        <v>0.93339280000000002</v>
      </c>
      <c r="Y1672">
        <v>0.47202129999999998</v>
      </c>
      <c r="Z1672">
        <v>0.1039235</v>
      </c>
      <c r="AA1672">
        <v>0.87544040000000001</v>
      </c>
      <c r="AB1672">
        <v>19</v>
      </c>
      <c r="AC1672">
        <v>-8.0836000000000094</v>
      </c>
      <c r="AD1672">
        <v>-1.107053260132</v>
      </c>
      <c r="AE1672">
        <v>-7.0094000000000198</v>
      </c>
      <c r="AF1672">
        <v>5.1166502777922904</v>
      </c>
      <c r="AG1672">
        <v>-1.107053260132</v>
      </c>
      <c r="AH1672">
        <v>9.2673535166555396</v>
      </c>
      <c r="AI1672">
        <v>95.970111481460805</v>
      </c>
      <c r="AJ1672">
        <v>61.096226902701702</v>
      </c>
      <c r="AK1672">
        <v>10.643754891421899</v>
      </c>
      <c r="AL1672">
        <v>80.627408310148098</v>
      </c>
      <c r="AM1672">
        <v>71.088802320629895</v>
      </c>
      <c r="AN1672">
        <v>0.99999998938159895</v>
      </c>
    </row>
    <row r="1673" spans="1:40" x14ac:dyDescent="0.25">
      <c r="A1673" t="str">
        <f>"20190312172924153"</f>
        <v>20190312172924153</v>
      </c>
      <c r="B1673" t="str">
        <f>"1552382964148888"</f>
        <v>1552382964148888</v>
      </c>
      <c r="C1673" t="s">
        <v>40</v>
      </c>
      <c r="D1673">
        <v>3.653832</v>
      </c>
      <c r="E1673">
        <v>0.56658260000000005</v>
      </c>
      <c r="F1673" t="s">
        <v>46</v>
      </c>
      <c r="G1673">
        <v>-202.0121</v>
      </c>
      <c r="H1673" s="1">
        <v>2.8215699999999998E-6</v>
      </c>
      <c r="I1673">
        <v>287.9074</v>
      </c>
      <c r="J1673">
        <v>-193.846</v>
      </c>
      <c r="K1673">
        <v>1.107011</v>
      </c>
      <c r="L1673">
        <v>294.89120000000003</v>
      </c>
      <c r="M1673">
        <v>-0.35059069999999998</v>
      </c>
      <c r="N1673">
        <v>0</v>
      </c>
      <c r="O1673">
        <v>-0.93642809999999999</v>
      </c>
      <c r="P1673">
        <v>-0.62676809999999905</v>
      </c>
      <c r="Q1673">
        <v>0.15231979999999901</v>
      </c>
      <c r="R1673">
        <v>-0.76417299999999999</v>
      </c>
      <c r="S1673">
        <v>-2.364563</v>
      </c>
      <c r="T1673">
        <v>-0.31774520000000001</v>
      </c>
      <c r="U1673">
        <v>-2.0547789999999999</v>
      </c>
      <c r="V1673">
        <v>0.32037450000000001</v>
      </c>
      <c r="W1673">
        <v>0.16255620000000001</v>
      </c>
      <c r="X1673">
        <v>0.93323929999999999</v>
      </c>
      <c r="Y1673">
        <v>0.47269870000000003</v>
      </c>
      <c r="Z1673">
        <v>0.1034636</v>
      </c>
      <c r="AA1673">
        <v>0.87512919999999905</v>
      </c>
      <c r="AB1673">
        <v>19</v>
      </c>
      <c r="AC1673">
        <v>-8.1661000000000197</v>
      </c>
      <c r="AD1673">
        <v>-1.1070081784300001</v>
      </c>
      <c r="AE1673">
        <v>-6.9838000000000298</v>
      </c>
      <c r="AF1673">
        <v>5.1443982476580699</v>
      </c>
      <c r="AG1673">
        <v>-1.1070081784300001</v>
      </c>
      <c r="AH1673">
        <v>9.3049105365097802</v>
      </c>
      <c r="AI1673">
        <v>95.944064363784804</v>
      </c>
      <c r="AJ1673">
        <v>61.063146644165798</v>
      </c>
      <c r="AK1673">
        <v>10.689792352055701</v>
      </c>
      <c r="AL1673">
        <v>80.6447011961436</v>
      </c>
      <c r="AM1673">
        <v>71.053013635283904</v>
      </c>
      <c r="AN1673">
        <v>0.99999996473658903</v>
      </c>
    </row>
    <row r="1674" spans="1:40" x14ac:dyDescent="0.25">
      <c r="A1674" t="str">
        <f>"20190312172924176"</f>
        <v>20190312172924176</v>
      </c>
      <c r="B1674" t="str">
        <f>"1552382964169384"</f>
        <v>1552382964169384</v>
      </c>
      <c r="C1674" t="s">
        <v>40</v>
      </c>
      <c r="D1674">
        <v>3.6702279999999998</v>
      </c>
      <c r="E1674">
        <v>0.56627430000000001</v>
      </c>
      <c r="F1674" t="s">
        <v>46</v>
      </c>
      <c r="G1674">
        <v>-202.36259999999999</v>
      </c>
      <c r="H1674" s="1">
        <v>3.0078630000000001E-6</v>
      </c>
      <c r="I1674">
        <v>287.55410000000001</v>
      </c>
      <c r="J1674">
        <v>-193.92070000000001</v>
      </c>
      <c r="K1674">
        <v>1.106959</v>
      </c>
      <c r="L1674">
        <v>294.71350000000001</v>
      </c>
      <c r="M1674">
        <v>-0.3566742</v>
      </c>
      <c r="N1674">
        <v>0</v>
      </c>
      <c r="O1674">
        <v>-0.93412790000000001</v>
      </c>
      <c r="P1674">
        <v>-0.63271069999999996</v>
      </c>
      <c r="Q1674">
        <v>0.15258089999999999</v>
      </c>
      <c r="R1674">
        <v>-0.75920779999999999</v>
      </c>
      <c r="S1674">
        <v>-2.3709560000000001</v>
      </c>
      <c r="T1674">
        <v>-0.30818499999999999</v>
      </c>
      <c r="U1674">
        <v>-2.0426030000000002</v>
      </c>
      <c r="V1674">
        <v>0.32163039999999998</v>
      </c>
      <c r="W1674">
        <v>0.16276650000000001</v>
      </c>
      <c r="X1674">
        <v>0.93277060000000001</v>
      </c>
      <c r="Y1674">
        <v>0.47096539999999998</v>
      </c>
      <c r="Z1674">
        <v>0.100366</v>
      </c>
      <c r="AA1674">
        <v>0.87642359999999897</v>
      </c>
      <c r="AB1674">
        <v>19</v>
      </c>
      <c r="AC1674">
        <v>-8.4418999999999702</v>
      </c>
      <c r="AD1674">
        <v>-1.106955992137</v>
      </c>
      <c r="AE1674">
        <v>-7.1593999999999998</v>
      </c>
      <c r="AF1674">
        <v>5.2799391372672497</v>
      </c>
      <c r="AG1674">
        <v>-1.106955992137</v>
      </c>
      <c r="AH1674">
        <v>9.6036713627914008</v>
      </c>
      <c r="AI1674">
        <v>95.767613343183299</v>
      </c>
      <c r="AJ1674">
        <v>61.198734966910898</v>
      </c>
      <c r="AK1674">
        <v>11.015153766801101</v>
      </c>
      <c r="AL1674">
        <v>80.632489776197701</v>
      </c>
      <c r="AM1674">
        <v>70.975197365771194</v>
      </c>
      <c r="AN1674">
        <v>1.00000001997538</v>
      </c>
    </row>
    <row r="1675" spans="1:40" x14ac:dyDescent="0.25">
      <c r="A1675" t="str">
        <f>"20190312172924199"</f>
        <v>20190312172924199</v>
      </c>
      <c r="B1675" t="str">
        <f>"1552382964188903"</f>
        <v>1552382964188903</v>
      </c>
      <c r="C1675" t="s">
        <v>40</v>
      </c>
      <c r="D1675">
        <v>3.6233610000000001</v>
      </c>
      <c r="E1675">
        <v>0.56599560000000004</v>
      </c>
      <c r="F1675" t="s">
        <v>46</v>
      </c>
      <c r="G1675">
        <v>-202.63120000000001</v>
      </c>
      <c r="H1675" s="1">
        <v>3.1480779999999998E-6</v>
      </c>
      <c r="I1675">
        <v>287.31290000000001</v>
      </c>
      <c r="J1675">
        <v>-193.99770000000001</v>
      </c>
      <c r="K1675">
        <v>1.1068960000000001</v>
      </c>
      <c r="L1675">
        <v>294.53410000000002</v>
      </c>
      <c r="M1675">
        <v>-0.3629676</v>
      </c>
      <c r="N1675">
        <v>0</v>
      </c>
      <c r="O1675">
        <v>-0.93170019999999998</v>
      </c>
      <c r="P1675">
        <v>-0.63849089999999997</v>
      </c>
      <c r="Q1675">
        <v>0.1524016</v>
      </c>
      <c r="R1675">
        <v>-0.75438930000000004</v>
      </c>
      <c r="S1675">
        <v>-2.384064</v>
      </c>
      <c r="T1675">
        <v>-0.30297429999999997</v>
      </c>
      <c r="U1675">
        <v>-2.0255429999999999</v>
      </c>
      <c r="V1675">
        <v>0.322476599999999</v>
      </c>
      <c r="W1675">
        <v>0.1625355</v>
      </c>
      <c r="X1675">
        <v>0.93251870000000003</v>
      </c>
      <c r="Y1675">
        <v>0.47117589999999998</v>
      </c>
      <c r="Z1675">
        <v>9.8642099999999996E-2</v>
      </c>
      <c r="AA1675">
        <v>0.87650609999999995</v>
      </c>
      <c r="AB1675">
        <v>19</v>
      </c>
      <c r="AC1675">
        <v>-8.6334999999999908</v>
      </c>
      <c r="AD1675">
        <v>-1.1068928519219901</v>
      </c>
      <c r="AE1675">
        <v>-7.2211999999999996</v>
      </c>
      <c r="AF1675">
        <v>5.37133653047667</v>
      </c>
      <c r="AG1675">
        <v>-1.1068928519219901</v>
      </c>
      <c r="AH1675">
        <v>9.7681353323491198</v>
      </c>
      <c r="AI1675">
        <v>95.670584189147604</v>
      </c>
      <c r="AJ1675">
        <v>61.194330852351499</v>
      </c>
      <c r="AK1675">
        <v>11.2023629552142</v>
      </c>
      <c r="AL1675">
        <v>80.645903877674101</v>
      </c>
      <c r="AM1675">
        <v>70.923976096001894</v>
      </c>
      <c r="AN1675">
        <v>1.00000003607874</v>
      </c>
    </row>
    <row r="1676" spans="1:40" x14ac:dyDescent="0.25">
      <c r="A1676" t="str">
        <f>"20190312172924221"</f>
        <v>20190312172924221</v>
      </c>
      <c r="B1676" t="str">
        <f>"1552382964209400"</f>
        <v>1552382964209400</v>
      </c>
      <c r="C1676" t="s">
        <v>40</v>
      </c>
      <c r="D1676">
        <v>3.642493</v>
      </c>
      <c r="E1676">
        <v>0.56566939999999999</v>
      </c>
      <c r="F1676" t="s">
        <v>46</v>
      </c>
      <c r="G1676">
        <v>-202.85509999999999</v>
      </c>
      <c r="H1676" s="1">
        <v>3.2647089999999999E-6</v>
      </c>
      <c r="I1676">
        <v>287.11470000000003</v>
      </c>
      <c r="J1676">
        <v>-194.0729</v>
      </c>
      <c r="K1676">
        <v>1.106822</v>
      </c>
      <c r="L1676">
        <v>294.36239999999998</v>
      </c>
      <c r="M1676">
        <v>-0.36913760000000001</v>
      </c>
      <c r="N1676">
        <v>0</v>
      </c>
      <c r="O1676">
        <v>-0.92927269999999895</v>
      </c>
      <c r="P1676">
        <v>-0.64384629999999998</v>
      </c>
      <c r="Q1676">
        <v>0.15266930000000001</v>
      </c>
      <c r="R1676">
        <v>-0.74976940000000003</v>
      </c>
      <c r="S1676">
        <v>-2.397354</v>
      </c>
      <c r="T1676">
        <v>-0.2995929</v>
      </c>
      <c r="U1676">
        <v>-2.0081479999999998</v>
      </c>
      <c r="V1676">
        <v>0.32298769999999999</v>
      </c>
      <c r="W1676">
        <v>0.16274720000000001</v>
      </c>
      <c r="X1676">
        <v>0.93230480000000004</v>
      </c>
      <c r="Y1676">
        <v>0.47155029999999998</v>
      </c>
      <c r="Z1676">
        <v>9.7507940000000001E-2</v>
      </c>
      <c r="AA1676">
        <v>0.87643169999999904</v>
      </c>
      <c r="AB1676">
        <v>19</v>
      </c>
      <c r="AC1676">
        <v>-8.78219999999998</v>
      </c>
      <c r="AD1676">
        <v>-1.1068187352909999</v>
      </c>
      <c r="AE1676">
        <v>-7.2476999999999503</v>
      </c>
      <c r="AF1676">
        <v>5.4348298399259098</v>
      </c>
      <c r="AG1676">
        <v>-1.1068187352909999</v>
      </c>
      <c r="AH1676">
        <v>9.8844834619715307</v>
      </c>
      <c r="AI1676">
        <v>95.604006775154801</v>
      </c>
      <c r="AJ1676">
        <v>61.196487769614201</v>
      </c>
      <c r="AK1676">
        <v>11.334259411700801</v>
      </c>
      <c r="AL1676">
        <v>80.633610082577604</v>
      </c>
      <c r="AM1676">
        <v>70.891866840799906</v>
      </c>
      <c r="AN1676">
        <v>0.99999997278108399</v>
      </c>
    </row>
    <row r="1677" spans="1:40" x14ac:dyDescent="0.25">
      <c r="A1677" t="str">
        <f>"20190312172924241"</f>
        <v>20190312172924241</v>
      </c>
      <c r="B1677" t="str">
        <f>"1552382964238680"</f>
        <v>1552382964238680</v>
      </c>
      <c r="C1677" t="s">
        <v>40</v>
      </c>
      <c r="D1677">
        <v>3.6075469999999998</v>
      </c>
      <c r="E1677">
        <v>0.56515709999999997</v>
      </c>
      <c r="F1677" t="s">
        <v>46</v>
      </c>
      <c r="G1677">
        <v>-203.0899</v>
      </c>
      <c r="H1677" s="1">
        <v>3.387163E-6</v>
      </c>
      <c r="I1677">
        <v>286.90499999999997</v>
      </c>
      <c r="J1677">
        <v>-194.1438</v>
      </c>
      <c r="K1677">
        <v>1.10673</v>
      </c>
      <c r="L1677">
        <v>294.20389999999998</v>
      </c>
      <c r="M1677">
        <v>-0.37497249999999999</v>
      </c>
      <c r="N1677">
        <v>0</v>
      </c>
      <c r="O1677">
        <v>-0.92693329999999996</v>
      </c>
      <c r="P1677">
        <v>-0.64911280000000005</v>
      </c>
      <c r="Q1677">
        <v>0.15290860000000001</v>
      </c>
      <c r="R1677">
        <v>-0.74516539999999998</v>
      </c>
      <c r="S1677">
        <v>-2.4093170000000002</v>
      </c>
      <c r="T1677">
        <v>-0.29573890000000003</v>
      </c>
      <c r="U1677">
        <v>-1.9925839999999999</v>
      </c>
      <c r="V1677">
        <v>0.32374999999999998</v>
      </c>
      <c r="W1677">
        <v>0.1629246</v>
      </c>
      <c r="X1677">
        <v>0.93200939999999999</v>
      </c>
      <c r="Y1677">
        <v>0.47161219999999998</v>
      </c>
      <c r="Z1677">
        <v>9.6206689999999997E-2</v>
      </c>
      <c r="AA1677">
        <v>0.87654219999999905</v>
      </c>
      <c r="AB1677">
        <v>19</v>
      </c>
      <c r="AC1677">
        <v>-8.9460999999999995</v>
      </c>
      <c r="AD1677">
        <v>-1.1067266128369999</v>
      </c>
      <c r="AE1677">
        <v>-7.2988999999999997</v>
      </c>
      <c r="AF1677">
        <v>5.5054944447921397</v>
      </c>
      <c r="AG1677">
        <v>-1.1067266128369999</v>
      </c>
      <c r="AH1677">
        <v>10.0289502460938</v>
      </c>
      <c r="AI1677">
        <v>95.525352851283699</v>
      </c>
      <c r="AJ1677">
        <v>61.234966573526599</v>
      </c>
      <c r="AK1677">
        <v>11.4941357185229</v>
      </c>
      <c r="AL1677">
        <v>80.623308617352194</v>
      </c>
      <c r="AM1677">
        <v>70.844422316145995</v>
      </c>
      <c r="AN1677">
        <v>1.0000000047367501</v>
      </c>
    </row>
    <row r="1678" spans="1:40" x14ac:dyDescent="0.25">
      <c r="A1678" t="str">
        <f>"20190312172924266"</f>
        <v>20190312172924266</v>
      </c>
      <c r="B1678" t="str">
        <f>"1552382964259176"</f>
        <v>1552382964259176</v>
      </c>
      <c r="C1678" t="s">
        <v>40</v>
      </c>
      <c r="D1678">
        <v>3.6332599999999999</v>
      </c>
      <c r="E1678">
        <v>0.56482639999999995</v>
      </c>
      <c r="F1678" t="s">
        <v>46</v>
      </c>
      <c r="G1678">
        <v>-203.31100000000001</v>
      </c>
      <c r="H1678" s="1">
        <v>3.5021910000000001E-6</v>
      </c>
      <c r="I1678">
        <v>286.71069999999997</v>
      </c>
      <c r="J1678">
        <v>-194.23179999999999</v>
      </c>
      <c r="K1678">
        <v>1.1066229999999999</v>
      </c>
      <c r="L1678">
        <v>294.01139999999998</v>
      </c>
      <c r="M1678">
        <v>-0.38226189999999999</v>
      </c>
      <c r="N1678">
        <v>0</v>
      </c>
      <c r="O1678">
        <v>-0.92395099999999997</v>
      </c>
      <c r="P1678">
        <v>-0.65515690000000004</v>
      </c>
      <c r="Q1678">
        <v>0.15279589999999901</v>
      </c>
      <c r="R1678">
        <v>-0.73988050000000005</v>
      </c>
      <c r="S1678">
        <v>-2.4198460000000002</v>
      </c>
      <c r="T1678">
        <v>-0.29213889999999998</v>
      </c>
      <c r="U1678">
        <v>-1.9779659999999999</v>
      </c>
      <c r="V1678">
        <v>0.32402809999999999</v>
      </c>
      <c r="W1678">
        <v>0.16274259999999999</v>
      </c>
      <c r="X1678">
        <v>0.93194449999999995</v>
      </c>
      <c r="Y1678">
        <v>0.4698119</v>
      </c>
      <c r="Z1678">
        <v>9.4934459999999998E-2</v>
      </c>
      <c r="AA1678">
        <v>0.87764699999999995</v>
      </c>
      <c r="AB1678">
        <v>19</v>
      </c>
      <c r="AC1678">
        <v>-9.0791999999999806</v>
      </c>
      <c r="AD1678">
        <v>-1.10661949780899</v>
      </c>
      <c r="AE1678">
        <v>-7.3007</v>
      </c>
      <c r="AF1678">
        <v>5.5484302018659104</v>
      </c>
      <c r="AG1678">
        <v>-1.10661949780899</v>
      </c>
      <c r="AH1678">
        <v>10.1257371967473</v>
      </c>
      <c r="AI1678">
        <v>95.474644212484407</v>
      </c>
      <c r="AJ1678">
        <v>61.279320475238201</v>
      </c>
      <c r="AK1678">
        <v>11.5991481668052</v>
      </c>
      <c r="AL1678">
        <v>80.633877057731198</v>
      </c>
      <c r="AM1678">
        <v>70.827930580239098</v>
      </c>
      <c r="AN1678">
        <v>0.99999995726230895</v>
      </c>
    </row>
    <row r="1679" spans="1:40" x14ac:dyDescent="0.25">
      <c r="A1679" t="str">
        <f>"20190312172924288"</f>
        <v>20190312172924288</v>
      </c>
      <c r="B1679" t="str">
        <f>"1552382964278695"</f>
        <v>1552382964278695</v>
      </c>
      <c r="C1679" t="s">
        <v>40</v>
      </c>
      <c r="D1679">
        <v>3.6137410000000001</v>
      </c>
      <c r="E1679">
        <v>0.56449039999999995</v>
      </c>
      <c r="F1679" t="s">
        <v>46</v>
      </c>
      <c r="G1679">
        <v>-203.48939999999999</v>
      </c>
      <c r="H1679" s="1">
        <v>3.5950049999999998E-6</v>
      </c>
      <c r="I1679">
        <v>286.55410000000001</v>
      </c>
      <c r="J1679">
        <v>-194.3066</v>
      </c>
      <c r="K1679">
        <v>1.106538</v>
      </c>
      <c r="L1679">
        <v>293.85129999999998</v>
      </c>
      <c r="M1679">
        <v>-0.38848100000000002</v>
      </c>
      <c r="N1679">
        <v>0</v>
      </c>
      <c r="O1679">
        <v>-0.92135310000000004</v>
      </c>
      <c r="P1679">
        <v>-0.66039759999999903</v>
      </c>
      <c r="Q1679">
        <v>0.1524104</v>
      </c>
      <c r="R1679">
        <v>-0.73528669999999996</v>
      </c>
      <c r="S1679">
        <v>-2.433319</v>
      </c>
      <c r="T1679">
        <v>-0.29086980000000001</v>
      </c>
      <c r="U1679">
        <v>-1.9601139999999999</v>
      </c>
      <c r="V1679">
        <v>0.32436779999999998</v>
      </c>
      <c r="W1679">
        <v>0.16230220000000001</v>
      </c>
      <c r="X1679">
        <v>0.93190320000000004</v>
      </c>
      <c r="Y1679">
        <v>0.47018149999999997</v>
      </c>
      <c r="Z1679">
        <v>9.4461229999999993E-2</v>
      </c>
      <c r="AA1679">
        <v>0.87750010000000001</v>
      </c>
      <c r="AB1679">
        <v>19</v>
      </c>
      <c r="AC1679">
        <v>-9.1827999999999808</v>
      </c>
      <c r="AD1679">
        <v>-1.1065344049950001</v>
      </c>
      <c r="AE1679">
        <v>-7.2971999999999699</v>
      </c>
      <c r="AF1679">
        <v>5.5766817243823201</v>
      </c>
      <c r="AG1679">
        <v>-1.1065344049950001</v>
      </c>
      <c r="AH1679">
        <v>10.2008350953754</v>
      </c>
      <c r="AI1679">
        <v>95.437044376318497</v>
      </c>
      <c r="AJ1679">
        <v>61.335069011011797</v>
      </c>
      <c r="AK1679">
        <v>11.678220501752</v>
      </c>
      <c r="AL1679">
        <v>80.659450746740205</v>
      </c>
      <c r="AM1679">
        <v>70.808512129403795</v>
      </c>
      <c r="AN1679">
        <v>1.0000000239859499</v>
      </c>
    </row>
    <row r="1680" spans="1:40" x14ac:dyDescent="0.25">
      <c r="A1680" t="str">
        <f>"20190312172924310"</f>
        <v>20190312172924310</v>
      </c>
      <c r="B1680" t="str">
        <f>"1552382964299192"</f>
        <v>1552382964299192</v>
      </c>
      <c r="C1680" t="s">
        <v>40</v>
      </c>
      <c r="D1680">
        <v>3.6563119999999998</v>
      </c>
      <c r="E1680">
        <v>0.56410680000000002</v>
      </c>
      <c r="F1680" t="s">
        <v>46</v>
      </c>
      <c r="G1680">
        <v>-203.60159999999999</v>
      </c>
      <c r="H1680" s="1">
        <v>3.653106E-6</v>
      </c>
      <c r="I1680">
        <v>286.45839999999998</v>
      </c>
      <c r="J1680">
        <v>-194.3905</v>
      </c>
      <c r="K1680">
        <v>1.1064659999999999</v>
      </c>
      <c r="L1680">
        <v>293.67559999999997</v>
      </c>
      <c r="M1680">
        <v>-0.3954627</v>
      </c>
      <c r="N1680">
        <v>0</v>
      </c>
      <c r="O1680">
        <v>-0.91837789999999997</v>
      </c>
      <c r="P1680">
        <v>-0.66636240000000002</v>
      </c>
      <c r="Q1680">
        <v>0.15233579999999999</v>
      </c>
      <c r="R1680">
        <v>-0.72990080000000002</v>
      </c>
      <c r="S1680">
        <v>-2.444855</v>
      </c>
      <c r="T1680">
        <v>-0.29105110000000001</v>
      </c>
      <c r="U1680">
        <v>-1.94455</v>
      </c>
      <c r="V1680">
        <v>0.32490560000000002</v>
      </c>
      <c r="W1680">
        <v>0.16217889999999999</v>
      </c>
      <c r="X1680">
        <v>0.93173729999999999</v>
      </c>
      <c r="Y1680">
        <v>0.4689295</v>
      </c>
      <c r="Z1680">
        <v>9.4400910000000005E-2</v>
      </c>
      <c r="AA1680">
        <v>0.87817630000000002</v>
      </c>
      <c r="AB1680">
        <v>19</v>
      </c>
      <c r="AC1680">
        <v>-9.2110999999999805</v>
      </c>
      <c r="AD1680">
        <v>-1.106462346894</v>
      </c>
      <c r="AE1680">
        <v>-7.2171999999999903</v>
      </c>
      <c r="AF1680">
        <v>5.5559994090260698</v>
      </c>
      <c r="AG1680">
        <v>-1.106462346894</v>
      </c>
      <c r="AH1680">
        <v>10.1807240177223</v>
      </c>
      <c r="AI1680">
        <v>95.449535630240007</v>
      </c>
      <c r="AJ1680">
        <v>61.377062167299002</v>
      </c>
      <c r="AK1680">
        <v>11.650773789033099</v>
      </c>
      <c r="AL1680">
        <v>80.666610135574103</v>
      </c>
      <c r="AM1680">
        <v>70.775853905579694</v>
      </c>
      <c r="AN1680">
        <v>1.0000000203639201</v>
      </c>
    </row>
    <row r="1681" spans="1:40" x14ac:dyDescent="0.25">
      <c r="A1681" t="str">
        <f>"20190312172924333"</f>
        <v>20190312172924333</v>
      </c>
      <c r="B1681" t="str">
        <f>"1552382964329449"</f>
        <v>1552382964329449</v>
      </c>
      <c r="C1681" t="s">
        <v>40</v>
      </c>
      <c r="D1681">
        <v>3.62392</v>
      </c>
      <c r="E1681">
        <v>0.56349450000000001</v>
      </c>
      <c r="F1681" t="s">
        <v>46</v>
      </c>
      <c r="G1681">
        <v>-203.75389999999999</v>
      </c>
      <c r="H1681" s="1">
        <v>3.731246E-6</v>
      </c>
      <c r="I1681">
        <v>286.33690000000001</v>
      </c>
      <c r="J1681">
        <v>-194.47120000000001</v>
      </c>
      <c r="K1681">
        <v>1.1064179999999999</v>
      </c>
      <c r="L1681">
        <v>293.51</v>
      </c>
      <c r="M1681">
        <v>-0.40217550000000002</v>
      </c>
      <c r="N1681">
        <v>0</v>
      </c>
      <c r="O1681">
        <v>-0.91545779999999999</v>
      </c>
      <c r="P1681">
        <v>-0.67217530000000003</v>
      </c>
      <c r="Q1681">
        <v>0.1526382</v>
      </c>
      <c r="R1681">
        <v>-0.72448749999999995</v>
      </c>
      <c r="S1681">
        <v>-2.458145</v>
      </c>
      <c r="T1681">
        <v>-0.29047810000000002</v>
      </c>
      <c r="U1681">
        <v>-1.9266049999999999</v>
      </c>
      <c r="V1681">
        <v>0.32558369999999998</v>
      </c>
      <c r="W1681">
        <v>0.16244140000000001</v>
      </c>
      <c r="X1681">
        <v>0.93145480000000003</v>
      </c>
      <c r="Y1681">
        <v>0.4687656</v>
      </c>
      <c r="Z1681">
        <v>9.4119240000000007E-2</v>
      </c>
      <c r="AA1681">
        <v>0.87829400000000002</v>
      </c>
      <c r="AB1681">
        <v>19</v>
      </c>
      <c r="AC1681">
        <v>-9.28269999999997</v>
      </c>
      <c r="AD1681">
        <v>-1.106414268754</v>
      </c>
      <c r="AE1681">
        <v>-7.1730999999999696</v>
      </c>
      <c r="AF1681">
        <v>5.5641205567848901</v>
      </c>
      <c r="AG1681">
        <v>-1.106414268754</v>
      </c>
      <c r="AH1681">
        <v>10.2101137977245</v>
      </c>
      <c r="AI1681">
        <v>95.435469404494995</v>
      </c>
      <c r="AJ1681">
        <v>61.411309658334801</v>
      </c>
      <c r="AK1681">
        <v>11.6803259315408</v>
      </c>
      <c r="AL1681">
        <v>80.651367679433704</v>
      </c>
      <c r="AM1681">
        <v>70.733273079483595</v>
      </c>
      <c r="AN1681">
        <v>0.99999999929134498</v>
      </c>
    </row>
    <row r="1682" spans="1:40" x14ac:dyDescent="0.25">
      <c r="A1682" t="str">
        <f>"20190312172924353"</f>
        <v>20190312172924353</v>
      </c>
      <c r="B1682" t="str">
        <f>"1552382964348968"</f>
        <v>1552382964348968</v>
      </c>
      <c r="C1682" t="s">
        <v>40</v>
      </c>
      <c r="D1682">
        <v>3.5905459999999998</v>
      </c>
      <c r="E1682">
        <v>0.56312240000000002</v>
      </c>
      <c r="F1682" t="s">
        <v>46</v>
      </c>
      <c r="G1682">
        <v>-203.96019999999999</v>
      </c>
      <c r="H1682" s="1">
        <v>3.8371330000000003E-6</v>
      </c>
      <c r="I1682">
        <v>286.17230000000001</v>
      </c>
      <c r="J1682">
        <v>-194.55</v>
      </c>
      <c r="K1682">
        <v>1.106379</v>
      </c>
      <c r="L1682">
        <v>293.35160000000002</v>
      </c>
      <c r="M1682">
        <v>-0.40873009999999999</v>
      </c>
      <c r="N1682">
        <v>0</v>
      </c>
      <c r="O1682">
        <v>-0.91254999999999997</v>
      </c>
      <c r="P1682">
        <v>-0.67794759999999998</v>
      </c>
      <c r="Q1682">
        <v>0.153338</v>
      </c>
      <c r="R1682">
        <v>-0.71893999999999902</v>
      </c>
      <c r="S1682">
        <v>-2.4698790000000002</v>
      </c>
      <c r="T1682">
        <v>-0.28798889999999999</v>
      </c>
      <c r="U1682">
        <v>-1.9099429999999999</v>
      </c>
      <c r="V1682">
        <v>0.32644099999999998</v>
      </c>
      <c r="W1682">
        <v>0.1631029</v>
      </c>
      <c r="X1682">
        <v>0.93103899999999995</v>
      </c>
      <c r="Y1682">
        <v>0.46823219999999999</v>
      </c>
      <c r="Z1682">
        <v>9.3219640000000006E-2</v>
      </c>
      <c r="AA1682">
        <v>0.87867439999999997</v>
      </c>
      <c r="AB1682">
        <v>19</v>
      </c>
      <c r="AC1682">
        <v>-9.4101999999999695</v>
      </c>
      <c r="AD1682">
        <v>-1.106375162867</v>
      </c>
      <c r="AE1682">
        <v>-7.1793000000000102</v>
      </c>
      <c r="AF1682">
        <v>5.6044566784663497</v>
      </c>
      <c r="AG1682">
        <v>-1.106375162867</v>
      </c>
      <c r="AH1682">
        <v>10.3086304499489</v>
      </c>
      <c r="AI1682">
        <v>95.386553198683202</v>
      </c>
      <c r="AJ1682">
        <v>61.468557534360201</v>
      </c>
      <c r="AK1682">
        <v>11.785663427038299</v>
      </c>
      <c r="AL1682">
        <v>80.6129537691222</v>
      </c>
      <c r="AM1682">
        <v>70.678307434895004</v>
      </c>
      <c r="AN1682">
        <v>0.999999950995203</v>
      </c>
    </row>
    <row r="1683" spans="1:40" x14ac:dyDescent="0.25">
      <c r="A1683" t="str">
        <f>"20190312172924376"</f>
        <v>20190312172924376</v>
      </c>
      <c r="B1683" t="str">
        <f>"1552382964369464"</f>
        <v>1552382964369464</v>
      </c>
      <c r="C1683" t="s">
        <v>40</v>
      </c>
      <c r="D1683">
        <v>3.606071</v>
      </c>
      <c r="E1683">
        <v>0.56274630000000003</v>
      </c>
      <c r="F1683" t="s">
        <v>46</v>
      </c>
      <c r="G1683">
        <v>-204.17519999999999</v>
      </c>
      <c r="H1683" s="1">
        <v>3.9461899999999997E-6</v>
      </c>
      <c r="I1683">
        <v>286.0154</v>
      </c>
      <c r="J1683">
        <v>-194.63579999999999</v>
      </c>
      <c r="K1683">
        <v>1.106322</v>
      </c>
      <c r="L1683">
        <v>293.1825</v>
      </c>
      <c r="M1683">
        <v>-0.41585680000000003</v>
      </c>
      <c r="N1683">
        <v>0</v>
      </c>
      <c r="O1683">
        <v>-0.90932409999999997</v>
      </c>
      <c r="P1683">
        <v>-0.68421290000000001</v>
      </c>
      <c r="Q1683">
        <v>0.15338160000000001</v>
      </c>
      <c r="R1683">
        <v>-0.7129704</v>
      </c>
      <c r="S1683">
        <v>-2.4828640000000002</v>
      </c>
      <c r="T1683">
        <v>-0.28539720000000002</v>
      </c>
      <c r="U1683">
        <v>-1.8924259999999999</v>
      </c>
      <c r="V1683">
        <v>0.32733190000000001</v>
      </c>
      <c r="W1683">
        <v>0.16310620000000001</v>
      </c>
      <c r="X1683">
        <v>0.93072560000000004</v>
      </c>
      <c r="Y1683">
        <v>0.46753640000000002</v>
      </c>
      <c r="Z1683">
        <v>9.2250670000000007E-2</v>
      </c>
      <c r="AA1683">
        <v>0.87914709999999996</v>
      </c>
      <c r="AB1683">
        <v>18</v>
      </c>
      <c r="AC1683">
        <v>-9.5394000000000005</v>
      </c>
      <c r="AD1683">
        <v>-1.1063180538099999</v>
      </c>
      <c r="AE1683">
        <v>-7.1670999999999996</v>
      </c>
      <c r="AF1683">
        <v>5.6459297163496096</v>
      </c>
      <c r="AG1683">
        <v>-1.1063180538099999</v>
      </c>
      <c r="AH1683">
        <v>10.395878122435001</v>
      </c>
      <c r="AI1683">
        <v>95.342612358096801</v>
      </c>
      <c r="AJ1683">
        <v>61.493920126572498</v>
      </c>
      <c r="AK1683">
        <v>11.881697855722001</v>
      </c>
      <c r="AL1683">
        <v>80.612762343349402</v>
      </c>
      <c r="AM1683">
        <v>70.623461916360199</v>
      </c>
      <c r="AN1683">
        <v>0.99999997386570405</v>
      </c>
    </row>
    <row r="1684" spans="1:40" x14ac:dyDescent="0.25">
      <c r="A1684" t="str">
        <f>"20190312172924400"</f>
        <v>20190312172924400</v>
      </c>
      <c r="B1684" t="str">
        <f>"1552382964388984"</f>
        <v>1552382964388984</v>
      </c>
      <c r="C1684" t="s">
        <v>40</v>
      </c>
      <c r="D1684">
        <v>3.585229</v>
      </c>
      <c r="E1684">
        <v>0.56234849999999903</v>
      </c>
      <c r="F1684" t="s">
        <v>46</v>
      </c>
      <c r="G1684">
        <v>-204.32239999999999</v>
      </c>
      <c r="H1684" s="1">
        <v>4.0202339999999997E-6</v>
      </c>
      <c r="I1684">
        <v>285.91539999999998</v>
      </c>
      <c r="J1684">
        <v>-194.73070000000001</v>
      </c>
      <c r="K1684">
        <v>1.1062590000000001</v>
      </c>
      <c r="L1684">
        <v>292.99959999999999</v>
      </c>
      <c r="M1684">
        <v>-0.42372179999999998</v>
      </c>
      <c r="N1684">
        <v>0</v>
      </c>
      <c r="O1684">
        <v>-0.90568599999999999</v>
      </c>
      <c r="P1684">
        <v>-0.69078479999999998</v>
      </c>
      <c r="Q1684">
        <v>0.15346989999999999</v>
      </c>
      <c r="R1684">
        <v>-0.70658609999999999</v>
      </c>
      <c r="S1684">
        <v>-2.49675</v>
      </c>
      <c r="T1684">
        <v>-0.28515770000000001</v>
      </c>
      <c r="U1684">
        <v>-1.873138</v>
      </c>
      <c r="V1684">
        <v>0.32791959999999998</v>
      </c>
      <c r="W1684">
        <v>0.16315089999999999</v>
      </c>
      <c r="X1684">
        <v>0.93051090000000003</v>
      </c>
      <c r="Y1684">
        <v>0.46658949999999999</v>
      </c>
      <c r="Z1684">
        <v>9.2016410000000007E-2</v>
      </c>
      <c r="AA1684">
        <v>0.87967450000000003</v>
      </c>
      <c r="AB1684">
        <v>18</v>
      </c>
      <c r="AC1684">
        <v>-9.5916999999999693</v>
      </c>
      <c r="AD1684">
        <v>-1.106254979766</v>
      </c>
      <c r="AE1684">
        <v>-7.0842000000000098</v>
      </c>
      <c r="AF1684">
        <v>5.6373655021908604</v>
      </c>
      <c r="AG1684">
        <v>-1.106254979766</v>
      </c>
      <c r="AH1684">
        <v>10.391840526573899</v>
      </c>
      <c r="AI1684">
        <v>95.345739216577002</v>
      </c>
      <c r="AJ1684">
        <v>61.521054841306899</v>
      </c>
      <c r="AK1684">
        <v>11.874091098492199</v>
      </c>
      <c r="AL1684">
        <v>80.610166769358301</v>
      </c>
      <c r="AM1684">
        <v>70.587128329611303</v>
      </c>
      <c r="AN1684">
        <v>1.00000000762689</v>
      </c>
    </row>
    <row r="1685" spans="1:40" x14ac:dyDescent="0.25">
      <c r="A1685" t="str">
        <f>"20190312172924425"</f>
        <v>20190312172924425</v>
      </c>
      <c r="B1685" t="str">
        <f>"1552382964419240"</f>
        <v>1552382964419240</v>
      </c>
      <c r="C1685" t="s">
        <v>40</v>
      </c>
      <c r="D1685">
        <v>3.6148440000000002</v>
      </c>
      <c r="E1685">
        <v>0.56176190000000004</v>
      </c>
      <c r="F1685" t="s">
        <v>46</v>
      </c>
      <c r="G1685">
        <v>-204.48580000000001</v>
      </c>
      <c r="H1685" s="1">
        <v>4.1023199999999901E-6</v>
      </c>
      <c r="I1685">
        <v>285.80520000000001</v>
      </c>
      <c r="J1685">
        <v>-194.8211</v>
      </c>
      <c r="K1685">
        <v>1.106193</v>
      </c>
      <c r="L1685">
        <v>292.8295</v>
      </c>
      <c r="M1685">
        <v>-0.4311876</v>
      </c>
      <c r="N1685">
        <v>0</v>
      </c>
      <c r="O1685">
        <v>-0.90215489999999998</v>
      </c>
      <c r="P1685">
        <v>-0.69641309999999901</v>
      </c>
      <c r="Q1685">
        <v>0.1536409</v>
      </c>
      <c r="R1685">
        <v>-0.70100180000000001</v>
      </c>
      <c r="S1685">
        <v>-2.511536</v>
      </c>
      <c r="T1685">
        <v>-0.28481600000000001</v>
      </c>
      <c r="U1685">
        <v>-1.8522639999999999</v>
      </c>
      <c r="V1685">
        <v>0.32772059999999997</v>
      </c>
      <c r="W1685">
        <v>0.16328589999999901</v>
      </c>
      <c r="X1685">
        <v>0.93055730000000003</v>
      </c>
      <c r="Y1685">
        <v>0.46651619999999999</v>
      </c>
      <c r="Z1685">
        <v>9.1771350000000002E-2</v>
      </c>
      <c r="AA1685">
        <v>0.87973899999999905</v>
      </c>
      <c r="AB1685">
        <v>18</v>
      </c>
      <c r="AC1685">
        <v>-9.6646999999999998</v>
      </c>
      <c r="AD1685">
        <v>-1.1061888976799901</v>
      </c>
      <c r="AE1685">
        <v>-7.0242999999999798</v>
      </c>
      <c r="AF1685">
        <v>5.6424487929602103</v>
      </c>
      <c r="AG1685">
        <v>-1.1061888976799901</v>
      </c>
      <c r="AH1685">
        <v>10.416035364337899</v>
      </c>
      <c r="AI1685">
        <v>95.334792278064199</v>
      </c>
      <c r="AJ1685">
        <v>61.555244197664997</v>
      </c>
      <c r="AK1685">
        <v>11.8976751918039</v>
      </c>
      <c r="AL1685">
        <v>80.602326467159003</v>
      </c>
      <c r="AM1685">
        <v>70.598923904179699</v>
      </c>
      <c r="AN1685">
        <v>0.99999998269322898</v>
      </c>
    </row>
    <row r="1686" spans="1:40" x14ac:dyDescent="0.25">
      <c r="A1686" t="str">
        <f>"20190312172924443"</f>
        <v>20190312172924443</v>
      </c>
      <c r="B1686" t="str">
        <f>"1552382964438760"</f>
        <v>1552382964438760</v>
      </c>
      <c r="C1686" t="s">
        <v>40</v>
      </c>
      <c r="D1686">
        <v>3.5936900000000001</v>
      </c>
      <c r="E1686">
        <v>0.56133690000000003</v>
      </c>
      <c r="F1686" t="s">
        <v>46</v>
      </c>
      <c r="G1686">
        <v>-204.6259</v>
      </c>
      <c r="H1686" s="1">
        <v>4.1740979999999999E-6</v>
      </c>
      <c r="I1686">
        <v>285.69490000000002</v>
      </c>
      <c r="J1686">
        <v>-194.9006</v>
      </c>
      <c r="K1686">
        <v>1.106134</v>
      </c>
      <c r="L1686">
        <v>292.68290000000002</v>
      </c>
      <c r="M1686">
        <v>-0.43774540000000001</v>
      </c>
      <c r="N1686">
        <v>0</v>
      </c>
      <c r="O1686">
        <v>-0.89899079999999998</v>
      </c>
      <c r="P1686">
        <v>-0.70143250000000001</v>
      </c>
      <c r="Q1686">
        <v>0.15394479999999999</v>
      </c>
      <c r="R1686">
        <v>-0.69591169999999902</v>
      </c>
      <c r="S1686">
        <v>-2.5227659999999998</v>
      </c>
      <c r="T1686">
        <v>-0.2846205</v>
      </c>
      <c r="U1686">
        <v>-1.8357239999999999</v>
      </c>
      <c r="V1686">
        <v>0.32768940000000002</v>
      </c>
      <c r="W1686">
        <v>0.16355410000000001</v>
      </c>
      <c r="X1686">
        <v>0.93052120000000005</v>
      </c>
      <c r="Y1686">
        <v>0.46572740000000001</v>
      </c>
      <c r="Z1686">
        <v>9.1572249999999994E-2</v>
      </c>
      <c r="AA1686">
        <v>0.8801776</v>
      </c>
      <c r="AB1686">
        <v>18</v>
      </c>
      <c r="AC1686">
        <v>-9.7253000000000007</v>
      </c>
      <c r="AD1686">
        <v>-1.106129825902</v>
      </c>
      <c r="AE1686">
        <v>-6.9880000000000004</v>
      </c>
      <c r="AF1686">
        <v>5.6364562044395603</v>
      </c>
      <c r="AG1686">
        <v>-1.106129825902</v>
      </c>
      <c r="AH1686">
        <v>10.451214375053</v>
      </c>
      <c r="AI1686">
        <v>95.321958479035303</v>
      </c>
      <c r="AJ1686">
        <v>61.661521123416101</v>
      </c>
      <c r="AK1686">
        <v>11.925646466738399</v>
      </c>
      <c r="AL1686">
        <v>80.586750460132507</v>
      </c>
      <c r="AM1686">
        <v>70.599936589721494</v>
      </c>
      <c r="AN1686">
        <v>0.99999999507430504</v>
      </c>
    </row>
    <row r="1687" spans="1:40" x14ac:dyDescent="0.25">
      <c r="A1687" t="str">
        <f>"20190312172924467"</f>
        <v>20190312172924467</v>
      </c>
      <c r="B1687" t="str">
        <f>"1552382964459256"</f>
        <v>1552382964459256</v>
      </c>
      <c r="C1687" t="s">
        <v>40</v>
      </c>
      <c r="D1687">
        <v>3.626144</v>
      </c>
      <c r="E1687">
        <v>0.56095640000000002</v>
      </c>
      <c r="F1687" t="s">
        <v>46</v>
      </c>
      <c r="G1687">
        <v>-204.7775</v>
      </c>
      <c r="H1687" s="1">
        <v>4.2506350000000003E-6</v>
      </c>
      <c r="I1687">
        <v>285.5881</v>
      </c>
      <c r="J1687">
        <v>-194.9933</v>
      </c>
      <c r="K1687">
        <v>1.1060760000000001</v>
      </c>
      <c r="L1687">
        <v>292.51569999999998</v>
      </c>
      <c r="M1687">
        <v>-0.44535079999999999</v>
      </c>
      <c r="N1687">
        <v>0</v>
      </c>
      <c r="O1687">
        <v>-0.89524760000000003</v>
      </c>
      <c r="P1687">
        <v>-0.70696289999999995</v>
      </c>
      <c r="Q1687">
        <v>0.15438640000000001</v>
      </c>
      <c r="R1687">
        <v>-0.69019489999999994</v>
      </c>
      <c r="S1687">
        <v>-2.5336460000000001</v>
      </c>
      <c r="T1687">
        <v>-0.28374890000000003</v>
      </c>
      <c r="U1687">
        <v>-1.819977</v>
      </c>
      <c r="V1687">
        <v>0.32729720000000001</v>
      </c>
      <c r="W1687">
        <v>0.16396849999999999</v>
      </c>
      <c r="X1687">
        <v>0.93058629999999998</v>
      </c>
      <c r="Y1687">
        <v>0.46366489999999999</v>
      </c>
      <c r="Z1687">
        <v>9.1088310000000006E-2</v>
      </c>
      <c r="AA1687">
        <v>0.88131589999999904</v>
      </c>
      <c r="AB1687">
        <v>18</v>
      </c>
      <c r="AC1687">
        <v>-9.7841999999999896</v>
      </c>
      <c r="AD1687">
        <v>-1.1060717493650001</v>
      </c>
      <c r="AE1687">
        <v>-6.9275999999999804</v>
      </c>
      <c r="AF1687">
        <v>5.6267250575882004</v>
      </c>
      <c r="AG1687">
        <v>-1.1060717493650001</v>
      </c>
      <c r="AH1687">
        <v>10.4712118524447</v>
      </c>
      <c r="AI1687">
        <v>95.315896177770199</v>
      </c>
      <c r="AJ1687">
        <v>61.748556520573899</v>
      </c>
      <c r="AK1687">
        <v>11.938580621129599</v>
      </c>
      <c r="AL1687">
        <v>80.562682155807295</v>
      </c>
      <c r="AM1687">
        <v>70.622678874070203</v>
      </c>
      <c r="AN1687">
        <v>0.99999999393388905</v>
      </c>
    </row>
    <row r="1688" spans="1:40" x14ac:dyDescent="0.25">
      <c r="A1688" t="str">
        <f>"20190312172924489"</f>
        <v>20190312172924489</v>
      </c>
      <c r="B1688" t="str">
        <f>"1552382964478776"</f>
        <v>1552382964478776</v>
      </c>
      <c r="C1688" t="s">
        <v>40</v>
      </c>
      <c r="D1688">
        <v>3.6352220000000002</v>
      </c>
      <c r="E1688">
        <v>0.55021450000000005</v>
      </c>
      <c r="F1688" t="s">
        <v>46</v>
      </c>
      <c r="G1688">
        <v>-204.95519999999999</v>
      </c>
      <c r="H1688" s="1">
        <v>4.3400890000000001E-6</v>
      </c>
      <c r="I1688">
        <v>285.46629999999999</v>
      </c>
      <c r="J1688">
        <v>-195.0849</v>
      </c>
      <c r="K1688">
        <v>1.1060350000000001</v>
      </c>
      <c r="L1688">
        <v>292.35399999999998</v>
      </c>
      <c r="M1688">
        <v>-0.45282729999999999</v>
      </c>
      <c r="N1688">
        <v>0</v>
      </c>
      <c r="O1688">
        <v>-0.89148879999999997</v>
      </c>
      <c r="P1688">
        <v>-0.71248389999999995</v>
      </c>
      <c r="Q1688">
        <v>0.15491820000000001</v>
      </c>
      <c r="R1688">
        <v>-0.68437360000000003</v>
      </c>
      <c r="S1688">
        <v>-2.5462039999999999</v>
      </c>
      <c r="T1688">
        <v>-0.28270719999999999</v>
      </c>
      <c r="U1688">
        <v>-1.8017879999999999</v>
      </c>
      <c r="V1688">
        <v>0.32706210000000002</v>
      </c>
      <c r="W1688">
        <v>0.16448070000000001</v>
      </c>
      <c r="X1688">
        <v>0.93057860000000003</v>
      </c>
      <c r="Y1688">
        <v>0.46253850000000002</v>
      </c>
      <c r="Z1688">
        <v>9.0566419999999995E-2</v>
      </c>
      <c r="AA1688">
        <v>0.88196129999999995</v>
      </c>
      <c r="AB1688">
        <v>18</v>
      </c>
      <c r="AC1688">
        <v>-9.8702999999999808</v>
      </c>
      <c r="AD1688">
        <v>-1.1060306599109999</v>
      </c>
      <c r="AE1688">
        <v>-6.8877000000000503</v>
      </c>
      <c r="AF1688">
        <v>5.6333069602011596</v>
      </c>
      <c r="AG1688">
        <v>-1.1060306599109999</v>
      </c>
      <c r="AH1688">
        <v>10.5220304060585</v>
      </c>
      <c r="AI1688">
        <v>95.294489937698501</v>
      </c>
      <c r="AJ1688">
        <v>61.8361996303137</v>
      </c>
      <c r="AK1688">
        <v>11.9862660989373</v>
      </c>
      <c r="AL1688">
        <v>80.532931619844604</v>
      </c>
      <c r="AM1688">
        <v>70.6354131368727</v>
      </c>
      <c r="AN1688">
        <v>1.0000000243534299</v>
      </c>
    </row>
    <row r="1689" spans="1:40" x14ac:dyDescent="0.25">
      <c r="A1689" t="str">
        <f>"20190312172924510"</f>
        <v>20190312172924510</v>
      </c>
      <c r="B1689" t="str">
        <f>"1552382964499271"</f>
        <v>1552382964499271</v>
      </c>
      <c r="C1689" t="s">
        <v>40</v>
      </c>
      <c r="D1689">
        <v>3.6485249999999998</v>
      </c>
      <c r="E1689">
        <v>0.54983130000000002</v>
      </c>
      <c r="F1689" t="s">
        <v>46</v>
      </c>
      <c r="G1689">
        <v>-204.61600000000001</v>
      </c>
      <c r="H1689" s="1">
        <v>4.2015180000000004E-6</v>
      </c>
      <c r="I1689">
        <v>285.33089999999999</v>
      </c>
      <c r="J1689">
        <v>-195.17429999999999</v>
      </c>
      <c r="K1689">
        <v>1.1060000000000001</v>
      </c>
      <c r="L1689">
        <v>292.19920000000002</v>
      </c>
      <c r="M1689">
        <v>-0.46009240000000001</v>
      </c>
      <c r="N1689">
        <v>0</v>
      </c>
      <c r="O1689">
        <v>-0.88776089999999996</v>
      </c>
      <c r="P1689">
        <v>-0.7177057</v>
      </c>
      <c r="Q1689">
        <v>0.15464800000000001</v>
      </c>
      <c r="R1689">
        <v>-0.67895689999999997</v>
      </c>
      <c r="S1689">
        <v>-2.5025179999999998</v>
      </c>
      <c r="T1689">
        <v>-0.29040290000000002</v>
      </c>
      <c r="U1689">
        <v>-1.8439939999999999</v>
      </c>
      <c r="V1689">
        <v>0.32657399999999998</v>
      </c>
      <c r="W1689">
        <v>0.16420270000000001</v>
      </c>
      <c r="X1689">
        <v>0.93079909999999999</v>
      </c>
      <c r="Y1689">
        <v>0.43802370000000002</v>
      </c>
      <c r="Z1689">
        <v>9.2529189999999997E-2</v>
      </c>
      <c r="AA1689">
        <v>0.89418880000000001</v>
      </c>
      <c r="AB1689">
        <v>18</v>
      </c>
      <c r="AC1689">
        <v>-9.4416999999999902</v>
      </c>
      <c r="AD1689">
        <v>-1.1059957984819999</v>
      </c>
      <c r="AE1689">
        <v>-6.8683000000000298</v>
      </c>
      <c r="AF1689">
        <v>5.1759847463122401</v>
      </c>
      <c r="AG1689">
        <v>-1.1059957984819999</v>
      </c>
      <c r="AH1689">
        <v>10.349614081251</v>
      </c>
      <c r="AI1689">
        <v>95.459589065947398</v>
      </c>
      <c r="AJ1689">
        <v>63.429733208626601</v>
      </c>
      <c r="AK1689">
        <v>11.624480910180299</v>
      </c>
      <c r="AL1689">
        <v>80.549079495442598</v>
      </c>
      <c r="AM1689">
        <v>70.666406858659599</v>
      </c>
      <c r="AN1689">
        <v>1.0000000343620401</v>
      </c>
    </row>
    <row r="1690" spans="1:40" x14ac:dyDescent="0.25">
      <c r="A1690" t="str">
        <f>"20190312172924533"</f>
        <v>20190312172924533</v>
      </c>
      <c r="B1690" t="str">
        <f>"1552382964529528"</f>
        <v>1552382964529528</v>
      </c>
      <c r="C1690" t="s">
        <v>40</v>
      </c>
      <c r="D1690">
        <v>3.6407039999999999</v>
      </c>
      <c r="E1690">
        <v>0.54948200000000003</v>
      </c>
      <c r="F1690" t="s">
        <v>46</v>
      </c>
      <c r="G1690">
        <v>-204.7782</v>
      </c>
      <c r="H1690" s="1">
        <v>4.2829400000000004E-6</v>
      </c>
      <c r="I1690">
        <v>285.2226</v>
      </c>
      <c r="J1690">
        <v>-195.27070000000001</v>
      </c>
      <c r="K1690">
        <v>1.105963</v>
      </c>
      <c r="L1690">
        <v>292.036</v>
      </c>
      <c r="M1690">
        <v>-0.46788580000000002</v>
      </c>
      <c r="N1690">
        <v>0</v>
      </c>
      <c r="O1690">
        <v>-0.88367799999999996</v>
      </c>
      <c r="P1690">
        <v>-0.72332189999999996</v>
      </c>
      <c r="Q1690">
        <v>0.15496579999999999</v>
      </c>
      <c r="R1690">
        <v>-0.67289769999999904</v>
      </c>
      <c r="S1690">
        <v>-2.5144039999999999</v>
      </c>
      <c r="T1690">
        <v>-0.2895606</v>
      </c>
      <c r="U1690">
        <v>-1.8265690000000001</v>
      </c>
      <c r="V1690">
        <v>0.3261693</v>
      </c>
      <c r="W1690">
        <v>0.164511299999999</v>
      </c>
      <c r="X1690">
        <v>0.93088649999999995</v>
      </c>
      <c r="Y1690">
        <v>0.43622</v>
      </c>
      <c r="Z1690">
        <v>9.2026940000000002E-2</v>
      </c>
      <c r="AA1690">
        <v>0.89512190000000003</v>
      </c>
      <c r="AB1690">
        <v>18</v>
      </c>
      <c r="AC1690">
        <v>-9.5074999999999896</v>
      </c>
      <c r="AD1690">
        <v>-1.10595871706</v>
      </c>
      <c r="AE1690">
        <v>-6.8133999999999997</v>
      </c>
      <c r="AF1690">
        <v>5.1679841856009601</v>
      </c>
      <c r="AG1690">
        <v>-1.10595871706</v>
      </c>
      <c r="AH1690">
        <v>10.3775259297873</v>
      </c>
      <c r="AI1690">
        <v>95.449389288801299</v>
      </c>
      <c r="AJ1690">
        <v>63.526800358749099</v>
      </c>
      <c r="AK1690">
        <v>11.645782483365799</v>
      </c>
      <c r="AL1690">
        <v>80.5311541906933</v>
      </c>
      <c r="AM1690">
        <v>70.690269842254494</v>
      </c>
      <c r="AN1690">
        <v>1.00000002798621</v>
      </c>
    </row>
    <row r="1691" spans="1:40" x14ac:dyDescent="0.25">
      <c r="A1691" t="str">
        <f>"20190312172924554"</f>
        <v>20190312172924554</v>
      </c>
      <c r="B1691" t="str">
        <f>"1552382964549048"</f>
        <v>1552382964549048</v>
      </c>
      <c r="C1691" t="s">
        <v>40</v>
      </c>
      <c r="D1691">
        <v>3.6406010000000002</v>
      </c>
      <c r="E1691">
        <v>0.5488248</v>
      </c>
      <c r="F1691" t="s">
        <v>46</v>
      </c>
      <c r="G1691">
        <v>-204.98390000000001</v>
      </c>
      <c r="H1691" s="1">
        <v>4.3857150000000004E-6</v>
      </c>
      <c r="I1691">
        <v>285.08999999999997</v>
      </c>
      <c r="J1691">
        <v>-195.36449999999999</v>
      </c>
      <c r="K1691">
        <v>1.1059219999999901</v>
      </c>
      <c r="L1691">
        <v>291.88049999999998</v>
      </c>
      <c r="M1691">
        <v>-0.47542279999999998</v>
      </c>
      <c r="N1691">
        <v>0</v>
      </c>
      <c r="O1691">
        <v>-0.87964580000000003</v>
      </c>
      <c r="P1691">
        <v>-0.72894099999999995</v>
      </c>
      <c r="Q1691">
        <v>0.15478129999999901</v>
      </c>
      <c r="R1691">
        <v>-0.66684960000000004</v>
      </c>
      <c r="S1691">
        <v>-2.5276489999999998</v>
      </c>
      <c r="T1691">
        <v>-0.28780260000000002</v>
      </c>
      <c r="U1691">
        <v>-1.8075559999999999</v>
      </c>
      <c r="V1691">
        <v>0.32601380000000002</v>
      </c>
      <c r="W1691">
        <v>0.16431279999999901</v>
      </c>
      <c r="X1691">
        <v>0.93097600000000003</v>
      </c>
      <c r="Y1691">
        <v>0.43526569999999998</v>
      </c>
      <c r="Z1691">
        <v>9.1247830000000002E-2</v>
      </c>
      <c r="AA1691">
        <v>0.89566599999999996</v>
      </c>
      <c r="AB1691">
        <v>18</v>
      </c>
      <c r="AC1691">
        <v>-9.6194000000000095</v>
      </c>
      <c r="AD1691">
        <v>-1.10591761428499</v>
      </c>
      <c r="AE1691">
        <v>-6.7904999999999998</v>
      </c>
      <c r="AF1691">
        <v>5.1880536312977599</v>
      </c>
      <c r="AG1691">
        <v>-1.10591761428499</v>
      </c>
      <c r="AH1691">
        <v>10.4553206430627</v>
      </c>
      <c r="AI1691">
        <v>95.412712572139995</v>
      </c>
      <c r="AJ1691">
        <v>63.608849412951002</v>
      </c>
      <c r="AK1691">
        <v>11.724021664943299</v>
      </c>
      <c r="AL1691">
        <v>80.542684071809504</v>
      </c>
      <c r="AM1691">
        <v>70.700513043923095</v>
      </c>
      <c r="AN1691">
        <v>1.0000000033051399</v>
      </c>
    </row>
    <row r="1692" spans="1:40" x14ac:dyDescent="0.25">
      <c r="A1692" t="str">
        <f>"20190312172924578"</f>
        <v>20190312172924578</v>
      </c>
      <c r="B1692" t="str">
        <f>"1552382964569543"</f>
        <v>1552382964569543</v>
      </c>
      <c r="C1692" t="s">
        <v>40</v>
      </c>
      <c r="D1692">
        <v>3.6571289999999999</v>
      </c>
      <c r="E1692">
        <v>0.54847729999999995</v>
      </c>
      <c r="F1692" t="s">
        <v>46</v>
      </c>
      <c r="G1692">
        <v>-205.13589999999999</v>
      </c>
      <c r="H1692" s="1">
        <v>4.4618420000000001E-6</v>
      </c>
      <c r="I1692">
        <v>284.99029999999999</v>
      </c>
      <c r="J1692">
        <v>-195.46449999999999</v>
      </c>
      <c r="K1692">
        <v>1.1058760000000001</v>
      </c>
      <c r="L1692">
        <v>291.71800000000002</v>
      </c>
      <c r="M1692">
        <v>-0.48341079999999997</v>
      </c>
      <c r="N1692">
        <v>0</v>
      </c>
      <c r="O1692">
        <v>-0.87528099999999998</v>
      </c>
      <c r="P1692">
        <v>-0.73492400000000002</v>
      </c>
      <c r="Q1692">
        <v>0.1549285</v>
      </c>
      <c r="R1692">
        <v>-0.660215</v>
      </c>
      <c r="S1692">
        <v>-2.538834</v>
      </c>
      <c r="T1692">
        <v>-0.28734280000000001</v>
      </c>
      <c r="U1692">
        <v>-1.790222</v>
      </c>
      <c r="V1692">
        <v>0.32597100000000001</v>
      </c>
      <c r="W1692">
        <v>0.164437</v>
      </c>
      <c r="X1692">
        <v>0.93096909999999999</v>
      </c>
      <c r="Y1692">
        <v>0.43304280000000001</v>
      </c>
      <c r="Z1692">
        <v>9.0839970000000006E-2</v>
      </c>
      <c r="AA1692">
        <v>0.89678419999999903</v>
      </c>
      <c r="AB1692">
        <v>18</v>
      </c>
      <c r="AC1692">
        <v>-9.6714000000000002</v>
      </c>
      <c r="AD1692">
        <v>-1.105871538158</v>
      </c>
      <c r="AE1692">
        <v>-6.72770000000002</v>
      </c>
      <c r="AF1692">
        <v>5.16792907017863</v>
      </c>
      <c r="AG1692">
        <v>-1.105871538158</v>
      </c>
      <c r="AH1692">
        <v>10.472653980734901</v>
      </c>
      <c r="AI1692">
        <v>95.409443127212</v>
      </c>
      <c r="AJ1692">
        <v>63.735093634675998</v>
      </c>
      <c r="AK1692">
        <v>11.730597773920399</v>
      </c>
      <c r="AL1692">
        <v>80.535470181342504</v>
      </c>
      <c r="AM1692">
        <v>70.702726970173899</v>
      </c>
      <c r="AN1692">
        <v>1.0000000424824</v>
      </c>
    </row>
    <row r="1693" spans="1:40" x14ac:dyDescent="0.25">
      <c r="A1693" t="str">
        <f>"20190312172924602"</f>
        <v>20190312172924602</v>
      </c>
      <c r="B1693" t="str">
        <f>"1552382964598824"</f>
        <v>1552382964598824</v>
      </c>
      <c r="C1693" t="s">
        <v>40</v>
      </c>
      <c r="D1693">
        <v>3.6702050000000002</v>
      </c>
      <c r="E1693">
        <v>0.54790050000000001</v>
      </c>
      <c r="F1693" t="s">
        <v>46</v>
      </c>
      <c r="G1693">
        <v>-205.2689</v>
      </c>
      <c r="H1693" s="1">
        <v>4.5269900000000002E-6</v>
      </c>
      <c r="I1693">
        <v>284.91969999999998</v>
      </c>
      <c r="J1693">
        <v>-195.5712</v>
      </c>
      <c r="K1693">
        <v>1.1058209999999999</v>
      </c>
      <c r="L1693">
        <v>291.54849999999999</v>
      </c>
      <c r="M1693">
        <v>-0.4918786</v>
      </c>
      <c r="N1693">
        <v>0</v>
      </c>
      <c r="O1693">
        <v>-0.87055049999999901</v>
      </c>
      <c r="P1693">
        <v>-0.74079640000000002</v>
      </c>
      <c r="Q1693">
        <v>0.1551797</v>
      </c>
      <c r="R1693">
        <v>-0.65355989999999997</v>
      </c>
      <c r="S1693">
        <v>-2.552673</v>
      </c>
      <c r="T1693">
        <v>-0.28792450000000003</v>
      </c>
      <c r="U1693">
        <v>-1.7700199999999999</v>
      </c>
      <c r="V1693">
        <v>0.32531539999999998</v>
      </c>
      <c r="W1693">
        <v>0.16467029999999999</v>
      </c>
      <c r="X1693">
        <v>0.93115720000000002</v>
      </c>
      <c r="Y1693">
        <v>0.43137619999999999</v>
      </c>
      <c r="Z1693">
        <v>9.0728400000000001E-2</v>
      </c>
      <c r="AA1693">
        <v>0.89759840000000002</v>
      </c>
      <c r="AB1693">
        <v>18</v>
      </c>
      <c r="AC1693">
        <v>-9.6976999999999904</v>
      </c>
      <c r="AD1693">
        <v>-1.10581647301</v>
      </c>
      <c r="AE1693">
        <v>-6.6288000000000098</v>
      </c>
      <c r="AF1693">
        <v>5.1367621065442197</v>
      </c>
      <c r="AG1693">
        <v>-1.10581647301</v>
      </c>
      <c r="AH1693">
        <v>10.4492353664292</v>
      </c>
      <c r="AI1693">
        <v>95.4252364315725</v>
      </c>
      <c r="AJ1693">
        <v>63.821630774729897</v>
      </c>
      <c r="AK1693">
        <v>11.6959683119545</v>
      </c>
      <c r="AL1693">
        <v>80.521918642518997</v>
      </c>
      <c r="AM1693">
        <v>70.742281211712793</v>
      </c>
      <c r="AN1693">
        <v>1.0000000741455399</v>
      </c>
    </row>
    <row r="1694" spans="1:40" x14ac:dyDescent="0.25">
      <c r="A1694" t="str">
        <f>"20190312172924624"</f>
        <v>20190312172924624</v>
      </c>
      <c r="B1694" t="str">
        <f>"1552382964619320"</f>
        <v>1552382964619320</v>
      </c>
      <c r="C1694" t="s">
        <v>40</v>
      </c>
      <c r="D1694">
        <v>3.6614399999999998</v>
      </c>
      <c r="E1694">
        <v>0.54745900000000003</v>
      </c>
      <c r="F1694" t="s">
        <v>46</v>
      </c>
      <c r="G1694">
        <v>-205.4906</v>
      </c>
      <c r="H1694" s="1">
        <v>4.6373280000000004E-6</v>
      </c>
      <c r="I1694">
        <v>284.78210000000001</v>
      </c>
      <c r="J1694">
        <v>-195.66720000000001</v>
      </c>
      <c r="K1694">
        <v>1.1057790000000001</v>
      </c>
      <c r="L1694">
        <v>291.39949999999999</v>
      </c>
      <c r="M1694">
        <v>-0.49944339999999998</v>
      </c>
      <c r="N1694">
        <v>0</v>
      </c>
      <c r="O1694">
        <v>-0.86623220000000001</v>
      </c>
      <c r="P1694">
        <v>-0.74617440000000002</v>
      </c>
      <c r="Q1694">
        <v>0.15526599999999999</v>
      </c>
      <c r="R1694">
        <v>-0.64739219999999997</v>
      </c>
      <c r="S1694">
        <v>-2.565582</v>
      </c>
      <c r="T1694">
        <v>-0.28601399999999999</v>
      </c>
      <c r="U1694">
        <v>-1.75009199999999</v>
      </c>
      <c r="V1694">
        <v>0.32493339999999998</v>
      </c>
      <c r="W1694">
        <v>0.16473699999999999</v>
      </c>
      <c r="X1694">
        <v>0.93127859999999996</v>
      </c>
      <c r="Y1694">
        <v>0.43044569999999999</v>
      </c>
      <c r="Z1694">
        <v>8.9887419999999996E-2</v>
      </c>
      <c r="AA1694">
        <v>0.89812959999999997</v>
      </c>
      <c r="AB1694">
        <v>18</v>
      </c>
      <c r="AC1694">
        <v>-9.8233999999999906</v>
      </c>
      <c r="AD1694">
        <v>-1.105774362672</v>
      </c>
      <c r="AE1694">
        <v>-6.6173999999999698</v>
      </c>
      <c r="AF1694">
        <v>5.1598715376731104</v>
      </c>
      <c r="AG1694">
        <v>-1.105774362672</v>
      </c>
      <c r="AH1694">
        <v>10.547560197783699</v>
      </c>
      <c r="AI1694">
        <v>95.379810572582699</v>
      </c>
      <c r="AJ1694">
        <v>63.9320974059384</v>
      </c>
      <c r="AK1694">
        <v>11.7939830995428</v>
      </c>
      <c r="AL1694">
        <v>80.518042550444207</v>
      </c>
      <c r="AM1694">
        <v>70.765555609125698</v>
      </c>
      <c r="AN1694">
        <v>0.99999991221125595</v>
      </c>
    </row>
    <row r="1695" spans="1:40" x14ac:dyDescent="0.25">
      <c r="A1695" t="str">
        <f>"20190312172924646"</f>
        <v>20190312172924646</v>
      </c>
      <c r="B1695" t="str">
        <f>"1552382964638840"</f>
        <v>1552382964638840</v>
      </c>
      <c r="C1695" t="s">
        <v>40</v>
      </c>
      <c r="D1695">
        <v>3.6815850000000001</v>
      </c>
      <c r="E1695">
        <v>0.54710780000000003</v>
      </c>
      <c r="F1695" t="s">
        <v>46</v>
      </c>
      <c r="G1695">
        <v>-205.6661</v>
      </c>
      <c r="H1695" s="1">
        <v>4.7233659999999999E-6</v>
      </c>
      <c r="I1695">
        <v>284.6884</v>
      </c>
      <c r="J1695">
        <v>-195.7687</v>
      </c>
      <c r="K1695">
        <v>1.105729</v>
      </c>
      <c r="L1695">
        <v>291.24549999999999</v>
      </c>
      <c r="M1695">
        <v>-0.50739849999999997</v>
      </c>
      <c r="N1695">
        <v>0</v>
      </c>
      <c r="O1695">
        <v>-0.86159629999999998</v>
      </c>
      <c r="P1695">
        <v>-0.75160550000000004</v>
      </c>
      <c r="Q1695">
        <v>0.15567790000000001</v>
      </c>
      <c r="R1695">
        <v>-0.64097850000000001</v>
      </c>
      <c r="S1695">
        <v>-2.5783689999999999</v>
      </c>
      <c r="T1695">
        <v>-0.28514080000000003</v>
      </c>
      <c r="U1695">
        <v>-1.7305600000000001</v>
      </c>
      <c r="V1695">
        <v>0.32428430000000003</v>
      </c>
      <c r="W1695">
        <v>0.16513349999999999</v>
      </c>
      <c r="X1695">
        <v>0.93143469999999995</v>
      </c>
      <c r="Y1695">
        <v>0.42892999999999998</v>
      </c>
      <c r="Z1695">
        <v>8.9326269999999999E-2</v>
      </c>
      <c r="AA1695">
        <v>0.898910399999999</v>
      </c>
      <c r="AB1695">
        <v>18</v>
      </c>
      <c r="AC1695">
        <v>-9.8973999999999993</v>
      </c>
      <c r="AD1695">
        <v>-1.1057242766339901</v>
      </c>
      <c r="AE1695">
        <v>-6.5570999999999904</v>
      </c>
      <c r="AF1695">
        <v>5.1562916215274903</v>
      </c>
      <c r="AG1695">
        <v>-1.1057242766339901</v>
      </c>
      <c r="AH1695">
        <v>10.5807817509861</v>
      </c>
      <c r="AI1695">
        <v>95.366717549199095</v>
      </c>
      <c r="AJ1695">
        <v>64.018815197626395</v>
      </c>
      <c r="AK1695">
        <v>11.8221365211273</v>
      </c>
      <c r="AL1695">
        <v>80.495010065855993</v>
      </c>
      <c r="AM1695">
        <v>70.804146486167298</v>
      </c>
      <c r="AN1695">
        <v>0.99999999020641495</v>
      </c>
    </row>
    <row r="1696" spans="1:40" x14ac:dyDescent="0.25">
      <c r="A1696" t="str">
        <f>"20190312172924667"</f>
        <v>20190312172924667</v>
      </c>
      <c r="B1696" t="str">
        <f>"1552382964659336"</f>
        <v>1552382964659336</v>
      </c>
      <c r="C1696" t="s">
        <v>40</v>
      </c>
      <c r="D1696">
        <v>3.6779549999999999</v>
      </c>
      <c r="E1696">
        <v>0.54232650000000004</v>
      </c>
      <c r="F1696" t="s">
        <v>46</v>
      </c>
      <c r="G1696">
        <v>-205.87559999999999</v>
      </c>
      <c r="H1696" s="1">
        <v>4.8261259999999997E-6</v>
      </c>
      <c r="I1696">
        <v>284.57560000000001</v>
      </c>
      <c r="J1696">
        <v>-195.8646</v>
      </c>
      <c r="K1696">
        <v>1.1056889999999999</v>
      </c>
      <c r="L1696">
        <v>291.10289999999998</v>
      </c>
      <c r="M1696">
        <v>-0.51485509999999901</v>
      </c>
      <c r="N1696">
        <v>0</v>
      </c>
      <c r="O1696">
        <v>-0.85716130000000001</v>
      </c>
      <c r="P1696">
        <v>-0.75695000000000001</v>
      </c>
      <c r="Q1696">
        <v>0.15613260000000001</v>
      </c>
      <c r="R1696">
        <v>-0.63454659999999996</v>
      </c>
      <c r="S1696">
        <v>-2.5916139999999999</v>
      </c>
      <c r="T1696">
        <v>-0.28353119999999998</v>
      </c>
      <c r="U1696">
        <v>-1.710297</v>
      </c>
      <c r="V1696">
        <v>0.32408540000000002</v>
      </c>
      <c r="W1696">
        <v>0.16557369999999999</v>
      </c>
      <c r="X1696">
        <v>0.93142579999999997</v>
      </c>
      <c r="Y1696">
        <v>0.4281626</v>
      </c>
      <c r="Z1696">
        <v>8.8561180000000003E-2</v>
      </c>
      <c r="AA1696">
        <v>0.89935180000000003</v>
      </c>
      <c r="AB1696">
        <v>18</v>
      </c>
      <c r="AC1696">
        <v>-10.0109999999999</v>
      </c>
      <c r="AD1696">
        <v>-1.105684173874</v>
      </c>
      <c r="AE1696">
        <v>-6.5272999999999604</v>
      </c>
      <c r="AF1696">
        <v>5.1766367303828504</v>
      </c>
      <c r="AG1696">
        <v>-1.105684173874</v>
      </c>
      <c r="AH1696">
        <v>10.658994437749699</v>
      </c>
      <c r="AI1696">
        <v>95.3308482701689</v>
      </c>
      <c r="AJ1696">
        <v>64.096054383802695</v>
      </c>
      <c r="AK1696">
        <v>11.9010196098773</v>
      </c>
      <c r="AL1696">
        <v>80.469436603895105</v>
      </c>
      <c r="AM1696">
        <v>70.814889611669997</v>
      </c>
      <c r="AN1696">
        <v>1.0000000087652401</v>
      </c>
    </row>
    <row r="1697" spans="1:40" x14ac:dyDescent="0.25">
      <c r="A1697" t="str">
        <f>"20190312172924700"</f>
        <v>20190312172924700</v>
      </c>
      <c r="B1697" t="str">
        <f>"1552382964689592"</f>
        <v>1552382964689592</v>
      </c>
      <c r="C1697" t="s">
        <v>40</v>
      </c>
      <c r="D1697">
        <v>3.652536</v>
      </c>
      <c r="E1697">
        <v>0.54145279999999996</v>
      </c>
      <c r="F1697" t="s">
        <v>46</v>
      </c>
      <c r="G1697">
        <v>-205.82300000000001</v>
      </c>
      <c r="H1697" s="1">
        <v>4.8116959999999999E-6</v>
      </c>
      <c r="I1697">
        <v>284.47410000000002</v>
      </c>
      <c r="J1697">
        <v>-196.0224</v>
      </c>
      <c r="K1697">
        <v>1.1056410000000001</v>
      </c>
      <c r="L1697">
        <v>290.87430000000001</v>
      </c>
      <c r="M1697">
        <v>-0.52699359999999995</v>
      </c>
      <c r="N1697">
        <v>0</v>
      </c>
      <c r="O1697">
        <v>-0.8497519</v>
      </c>
      <c r="P1697">
        <v>-0.76565490000000003</v>
      </c>
      <c r="Q1697">
        <v>0.1563098</v>
      </c>
      <c r="R1697">
        <v>-0.62397159999999996</v>
      </c>
      <c r="S1697">
        <v>-2.5817570000000001</v>
      </c>
      <c r="T1697">
        <v>-0.28665269999999998</v>
      </c>
      <c r="U1697">
        <v>-1.7185360000000001</v>
      </c>
      <c r="V1697">
        <v>0.32376500000000002</v>
      </c>
      <c r="W1697">
        <v>0.1657411</v>
      </c>
      <c r="X1697">
        <v>0.93150739999999999</v>
      </c>
      <c r="Y1697">
        <v>0.4116436</v>
      </c>
      <c r="Z1697">
        <v>8.8741609999999999E-2</v>
      </c>
      <c r="AA1697">
        <v>0.90701410000000005</v>
      </c>
      <c r="AB1697">
        <v>18</v>
      </c>
      <c r="AC1697">
        <v>-9.8005999999999691</v>
      </c>
      <c r="AD1697">
        <v>-1.105636188304</v>
      </c>
      <c r="AE1697">
        <v>-6.4001999999999803</v>
      </c>
      <c r="AF1697">
        <v>4.9118848110365603</v>
      </c>
      <c r="AG1697">
        <v>-1.105636188304</v>
      </c>
      <c r="AH1697">
        <v>10.5107173699406</v>
      </c>
      <c r="AI1697">
        <v>95.443771298945805</v>
      </c>
      <c r="AJ1697">
        <v>64.952302002752901</v>
      </c>
      <c r="AK1697">
        <v>11.6543649937931</v>
      </c>
      <c r="AL1697">
        <v>80.459710462431005</v>
      </c>
      <c r="AM1697">
        <v>70.834028756538999</v>
      </c>
      <c r="AN1697">
        <v>0.99999996185448403</v>
      </c>
    </row>
    <row r="1698" spans="1:40" x14ac:dyDescent="0.25">
      <c r="A1698" t="str">
        <f>"20190312172924722"</f>
        <v>20190312172924722</v>
      </c>
      <c r="B1698" t="str">
        <f>"1552382964718872"</f>
        <v>1552382964718872</v>
      </c>
      <c r="C1698" t="s">
        <v>40</v>
      </c>
      <c r="D1698">
        <v>3.6811590000000001</v>
      </c>
      <c r="E1698">
        <v>0.54075719999999905</v>
      </c>
      <c r="F1698" t="s">
        <v>46</v>
      </c>
      <c r="G1698">
        <v>-206.0634</v>
      </c>
      <c r="H1698" s="1">
        <v>4.9283480000000004E-6</v>
      </c>
      <c r="I1698">
        <v>284.35930000000002</v>
      </c>
      <c r="J1698">
        <v>-196.12819999999999</v>
      </c>
      <c r="K1698">
        <v>1.1056189999999999</v>
      </c>
      <c r="L1698">
        <v>290.72489999999999</v>
      </c>
      <c r="M1698">
        <v>-0.53504039999999997</v>
      </c>
      <c r="N1698">
        <v>0</v>
      </c>
      <c r="O1698">
        <v>-0.84470840000000003</v>
      </c>
      <c r="P1698">
        <v>-0.77147619999999995</v>
      </c>
      <c r="Q1698">
        <v>0.15623570000000001</v>
      </c>
      <c r="R1698">
        <v>-0.61677819999999905</v>
      </c>
      <c r="S1698">
        <v>-2.6012420000000001</v>
      </c>
      <c r="T1698">
        <v>-0.28642689999999998</v>
      </c>
      <c r="U1698">
        <v>-1.687775</v>
      </c>
      <c r="V1698">
        <v>0.3236579</v>
      </c>
      <c r="W1698">
        <v>0.16566210000000001</v>
      </c>
      <c r="X1698">
        <v>0.93155869999999996</v>
      </c>
      <c r="Y1698">
        <v>0.4136592</v>
      </c>
      <c r="Z1698">
        <v>8.8444060000000005E-2</v>
      </c>
      <c r="AA1698">
        <v>0.90612570000000003</v>
      </c>
      <c r="AB1698">
        <v>18</v>
      </c>
      <c r="AC1698">
        <v>-9.9352</v>
      </c>
      <c r="AD1698">
        <v>-1.105614071652</v>
      </c>
      <c r="AE1698">
        <v>-6.3655999999999704</v>
      </c>
      <c r="AF1698">
        <v>4.9435882005478602</v>
      </c>
      <c r="AG1698">
        <v>-1.105614071652</v>
      </c>
      <c r="AH1698">
        <v>10.600804527089</v>
      </c>
      <c r="AI1698">
        <v>95.399693807793497</v>
      </c>
      <c r="AJ1698">
        <v>64.998437902278596</v>
      </c>
      <c r="AK1698">
        <v>11.748978823437501</v>
      </c>
      <c r="AL1698">
        <v>80.464300545927898</v>
      </c>
      <c r="AM1698">
        <v>70.840884716515205</v>
      </c>
      <c r="AN1698">
        <v>0.999999989577255</v>
      </c>
    </row>
    <row r="1699" spans="1:40" x14ac:dyDescent="0.25">
      <c r="A1699" t="str">
        <f>"20190312172924746"</f>
        <v>20190312172924746</v>
      </c>
      <c r="B1699" t="str">
        <f>"1552382964739369"</f>
        <v>1552382964739369</v>
      </c>
      <c r="C1699" t="s">
        <v>40</v>
      </c>
      <c r="D1699">
        <v>3.6717</v>
      </c>
      <c r="E1699">
        <v>0.53761159999999997</v>
      </c>
      <c r="F1699" t="s">
        <v>46</v>
      </c>
      <c r="G1699">
        <v>-206.19300000000001</v>
      </c>
      <c r="H1699" s="1">
        <v>4.9906729999999998E-6</v>
      </c>
      <c r="I1699">
        <v>284.30340000000001</v>
      </c>
      <c r="J1699">
        <v>-196.2353</v>
      </c>
      <c r="K1699">
        <v>1.1055950000000001</v>
      </c>
      <c r="L1699">
        <v>290.5772</v>
      </c>
      <c r="M1699">
        <v>-0.54311489999999996</v>
      </c>
      <c r="N1699">
        <v>0</v>
      </c>
      <c r="O1699">
        <v>-0.83953929999999999</v>
      </c>
      <c r="P1699">
        <v>-0.77751059999999905</v>
      </c>
      <c r="Q1699">
        <v>0.1568098</v>
      </c>
      <c r="R1699">
        <v>-0.60900600000000005</v>
      </c>
      <c r="S1699">
        <v>-2.613632</v>
      </c>
      <c r="T1699">
        <v>-0.28710639999999998</v>
      </c>
      <c r="U1699">
        <v>-1.6675420000000001</v>
      </c>
      <c r="V1699">
        <v>0.32399630000000001</v>
      </c>
      <c r="W1699">
        <v>0.16621929999999999</v>
      </c>
      <c r="X1699">
        <v>0.9313418</v>
      </c>
      <c r="Y1699">
        <v>0.41186850000000003</v>
      </c>
      <c r="Z1699">
        <v>8.8302030000000004E-2</v>
      </c>
      <c r="AA1699">
        <v>0.90695479999999995</v>
      </c>
      <c r="AB1699">
        <v>18</v>
      </c>
      <c r="AC1699">
        <v>-9.9576999999999796</v>
      </c>
      <c r="AD1699">
        <v>-1.1055900093269999</v>
      </c>
      <c r="AE1699">
        <v>-6.2737999999999898</v>
      </c>
      <c r="AF1699">
        <v>4.9096565053052803</v>
      </c>
      <c r="AG1699">
        <v>-1.1055900093269999</v>
      </c>
      <c r="AH1699">
        <v>10.5829557651562</v>
      </c>
      <c r="AI1699">
        <v>95.413606968706404</v>
      </c>
      <c r="AJ1699">
        <v>65.112419656331994</v>
      </c>
      <c r="AK1699">
        <v>11.7186180497559</v>
      </c>
      <c r="AL1699">
        <v>80.431926626500498</v>
      </c>
      <c r="AM1699">
        <v>70.818175244024999</v>
      </c>
      <c r="AN1699">
        <v>1.00000000326671</v>
      </c>
    </row>
    <row r="1700" spans="1:40" x14ac:dyDescent="0.25">
      <c r="A1700" t="str">
        <f>"20190312172924768"</f>
        <v>20190312172924768</v>
      </c>
      <c r="B1700" t="str">
        <f>"1552382964758888"</f>
        <v>1552382964758888</v>
      </c>
      <c r="C1700" t="s">
        <v>40</v>
      </c>
      <c r="D1700">
        <v>3.6877040000000001</v>
      </c>
      <c r="E1700">
        <v>0.53728920000000002</v>
      </c>
      <c r="F1700" t="s">
        <v>46</v>
      </c>
      <c r="G1700">
        <v>-206.15190000000001</v>
      </c>
      <c r="H1700" s="1">
        <v>4.974569E-6</v>
      </c>
      <c r="I1700">
        <v>284.27910000000003</v>
      </c>
      <c r="J1700">
        <v>-196.34729999999999</v>
      </c>
      <c r="K1700">
        <v>1.1055619999999999</v>
      </c>
      <c r="L1700">
        <v>290.42610000000002</v>
      </c>
      <c r="M1700">
        <v>-0.55148109999999995</v>
      </c>
      <c r="N1700">
        <v>0</v>
      </c>
      <c r="O1700">
        <v>-0.834067</v>
      </c>
      <c r="P1700">
        <v>-0.78364460000000002</v>
      </c>
      <c r="Q1700">
        <v>0.15768399999999999</v>
      </c>
      <c r="R1700">
        <v>-0.60086349999999999</v>
      </c>
      <c r="S1700">
        <v>-2.615936</v>
      </c>
      <c r="T1700">
        <v>-0.29164849999999998</v>
      </c>
      <c r="U1700">
        <v>-1.6614070000000001</v>
      </c>
      <c r="V1700">
        <v>0.32427929999999999</v>
      </c>
      <c r="W1700">
        <v>0.16707169999999999</v>
      </c>
      <c r="X1700">
        <v>0.93109070000000005</v>
      </c>
      <c r="Y1700">
        <v>0.40453650000000002</v>
      </c>
      <c r="Z1700">
        <v>8.9168410000000004E-2</v>
      </c>
      <c r="AA1700">
        <v>0.91016439999999998</v>
      </c>
      <c r="AB1700">
        <v>18</v>
      </c>
      <c r="AC1700">
        <v>-9.8046000000000202</v>
      </c>
      <c r="AD1700">
        <v>-1.1055570254310001</v>
      </c>
      <c r="AE1700">
        <v>-6.1469999999999896</v>
      </c>
      <c r="AF1700">
        <v>4.7449127697251399</v>
      </c>
      <c r="AG1700">
        <v>-1.1055570254310001</v>
      </c>
      <c r="AH1700">
        <v>10.439834501094801</v>
      </c>
      <c r="AI1700">
        <v>95.506727920213706</v>
      </c>
      <c r="AJ1700">
        <v>65.558167320654306</v>
      </c>
      <c r="AK1700">
        <v>11.520703014097201</v>
      </c>
      <c r="AL1700">
        <v>80.382394623384897</v>
      </c>
      <c r="AM1700">
        <v>70.797847977747097</v>
      </c>
      <c r="AN1700">
        <v>0.999999954487934</v>
      </c>
    </row>
    <row r="1701" spans="1:40" x14ac:dyDescent="0.25">
      <c r="A1701" t="str">
        <f>"20190312172924790"</f>
        <v>20190312172924790</v>
      </c>
      <c r="B1701" t="str">
        <f>"1552382964779385"</f>
        <v>1552382964779385</v>
      </c>
      <c r="C1701" t="s">
        <v>40</v>
      </c>
      <c r="D1701">
        <v>3.6875089999999999</v>
      </c>
      <c r="E1701">
        <v>0.5366976</v>
      </c>
      <c r="F1701" t="s">
        <v>46</v>
      </c>
      <c r="G1701">
        <v>-206.40960000000001</v>
      </c>
      <c r="H1701" s="1">
        <v>5.0986840000000004E-6</v>
      </c>
      <c r="I1701">
        <v>284.16669999999999</v>
      </c>
      <c r="J1701">
        <v>-196.4538</v>
      </c>
      <c r="K1701">
        <v>1.105539</v>
      </c>
      <c r="L1701">
        <v>290.28530000000001</v>
      </c>
      <c r="M1701">
        <v>-0.55935389999999996</v>
      </c>
      <c r="N1701">
        <v>0</v>
      </c>
      <c r="O1701">
        <v>-0.82880769999999904</v>
      </c>
      <c r="P1701">
        <v>-0.78942579999999996</v>
      </c>
      <c r="Q1701">
        <v>0.15809870000000001</v>
      </c>
      <c r="R1701">
        <v>-0.59313729999999998</v>
      </c>
      <c r="S1701">
        <v>-2.6313629999999999</v>
      </c>
      <c r="T1701">
        <v>-0.28911100000000001</v>
      </c>
      <c r="U1701">
        <v>-1.636871</v>
      </c>
      <c r="V1701">
        <v>0.32455909999999999</v>
      </c>
      <c r="W1701">
        <v>0.16746900000000001</v>
      </c>
      <c r="X1701">
        <v>0.93092189999999997</v>
      </c>
      <c r="Y1701">
        <v>0.4044818</v>
      </c>
      <c r="Z1701">
        <v>8.8063740000000001E-2</v>
      </c>
      <c r="AA1701">
        <v>0.91029629999999995</v>
      </c>
      <c r="AB1701">
        <v>18</v>
      </c>
      <c r="AC1701">
        <v>-9.9558</v>
      </c>
      <c r="AD1701">
        <v>-1.1055339013159999</v>
      </c>
      <c r="AE1701">
        <v>-6.1186000000000096</v>
      </c>
      <c r="AF1701">
        <v>4.7866247859508002</v>
      </c>
      <c r="AG1701">
        <v>-1.1055339013159999</v>
      </c>
      <c r="AH1701">
        <v>10.546632743482199</v>
      </c>
      <c r="AI1701">
        <v>95.452510379137905</v>
      </c>
      <c r="AJ1701">
        <v>65.588917443769006</v>
      </c>
      <c r="AK1701">
        <v>11.634665627955499</v>
      </c>
      <c r="AL1701">
        <v>80.359306442089405</v>
      </c>
      <c r="AM1701">
        <v>70.779265113970993</v>
      </c>
      <c r="AN1701">
        <v>1.0000000296267</v>
      </c>
    </row>
    <row r="1702" spans="1:40" x14ac:dyDescent="0.25">
      <c r="A1702" t="str">
        <f>"20190312172924814"</f>
        <v>20190312172924814</v>
      </c>
      <c r="B1702" t="str">
        <f>"1552382964808664"</f>
        <v>1552382964808664</v>
      </c>
      <c r="C1702" t="s">
        <v>40</v>
      </c>
      <c r="D1702">
        <v>3.7027480000000002</v>
      </c>
      <c r="E1702">
        <v>0.53394219999999903</v>
      </c>
      <c r="F1702" t="s">
        <v>46</v>
      </c>
      <c r="G1702">
        <v>-206.5427</v>
      </c>
      <c r="H1702" s="1">
        <v>5.1613390000000001E-6</v>
      </c>
      <c r="I1702">
        <v>284.12529999999998</v>
      </c>
      <c r="J1702">
        <v>-196.57749999999999</v>
      </c>
      <c r="K1702">
        <v>1.1055109999999999</v>
      </c>
      <c r="L1702">
        <v>290.12560000000002</v>
      </c>
      <c r="M1702">
        <v>-0.56837649999999995</v>
      </c>
      <c r="N1702">
        <v>0</v>
      </c>
      <c r="O1702">
        <v>-0.82264619999999999</v>
      </c>
      <c r="P1702">
        <v>-0.79557829999999996</v>
      </c>
      <c r="Q1702">
        <v>0.15858849999999999</v>
      </c>
      <c r="R1702">
        <v>-0.58472659999999999</v>
      </c>
      <c r="S1702">
        <v>-2.6449129999999998</v>
      </c>
      <c r="T1702">
        <v>-0.28982790000000003</v>
      </c>
      <c r="U1702">
        <v>-1.6148990000000001</v>
      </c>
      <c r="V1702">
        <v>0.32420379999999999</v>
      </c>
      <c r="W1702">
        <v>0.16795309999999999</v>
      </c>
      <c r="X1702">
        <v>0.93095839999999996</v>
      </c>
      <c r="Y1702">
        <v>0.40208440000000001</v>
      </c>
      <c r="Z1702">
        <v>8.7813420000000003E-2</v>
      </c>
      <c r="AA1702">
        <v>0.91138189999999997</v>
      </c>
      <c r="AB1702">
        <v>18</v>
      </c>
      <c r="AC1702">
        <v>-9.96520000000001</v>
      </c>
      <c r="AD1702">
        <v>-1.1055058386609999</v>
      </c>
      <c r="AE1702">
        <v>-6.0003000000000304</v>
      </c>
      <c r="AF1702">
        <v>4.7450282385635498</v>
      </c>
      <c r="AG1702">
        <v>-1.1055058386609999</v>
      </c>
      <c r="AH1702">
        <v>10.506281624600501</v>
      </c>
      <c r="AI1702">
        <v>95.477718091424293</v>
      </c>
      <c r="AJ1702">
        <v>65.694291646322299</v>
      </c>
      <c r="AK1702">
        <v>11.5809926051051</v>
      </c>
      <c r="AL1702">
        <v>80.331170226783499</v>
      </c>
      <c r="AM1702">
        <v>70.799462923405201</v>
      </c>
      <c r="AN1702">
        <v>0.99999994513230295</v>
      </c>
    </row>
    <row r="1703" spans="1:40" x14ac:dyDescent="0.25">
      <c r="A1703" t="str">
        <f>"20190312172924835"</f>
        <v>20190312172924835</v>
      </c>
      <c r="B1703" t="str">
        <f>"1552382964829160"</f>
        <v>1552382964829160</v>
      </c>
      <c r="C1703" t="s">
        <v>40</v>
      </c>
      <c r="D1703">
        <v>3.6713010000000001</v>
      </c>
      <c r="E1703">
        <v>0.53351870000000001</v>
      </c>
      <c r="F1703" t="s">
        <v>46</v>
      </c>
      <c r="G1703">
        <v>-206.37309999999999</v>
      </c>
      <c r="H1703" s="1">
        <v>5.0802339999999997E-6</v>
      </c>
      <c r="I1703">
        <v>284.19260000000003</v>
      </c>
      <c r="J1703">
        <v>-196.68629999999999</v>
      </c>
      <c r="K1703">
        <v>1.1054930000000001</v>
      </c>
      <c r="L1703">
        <v>289.988</v>
      </c>
      <c r="M1703">
        <v>-0.57622629999999997</v>
      </c>
      <c r="N1703">
        <v>0</v>
      </c>
      <c r="O1703">
        <v>-0.81716679999999997</v>
      </c>
      <c r="P1703">
        <v>-0.80079650000000002</v>
      </c>
      <c r="Q1703">
        <v>0.1586128</v>
      </c>
      <c r="R1703">
        <v>-0.57755319999999899</v>
      </c>
      <c r="S1703">
        <v>-2.6505580000000002</v>
      </c>
      <c r="T1703">
        <v>-0.29913529999999999</v>
      </c>
      <c r="U1703">
        <v>-1.6053770000000001</v>
      </c>
      <c r="V1703">
        <v>0.32366080000000003</v>
      </c>
      <c r="W1703">
        <v>0.167981399999999</v>
      </c>
      <c r="X1703">
        <v>0.93114229999999998</v>
      </c>
      <c r="Y1703">
        <v>0.39635199999999998</v>
      </c>
      <c r="Z1703">
        <v>9.0069670000000004E-2</v>
      </c>
      <c r="AA1703">
        <v>0.91366979999999998</v>
      </c>
      <c r="AB1703">
        <v>18</v>
      </c>
      <c r="AC1703">
        <v>-9.6867999999999999</v>
      </c>
      <c r="AD1703">
        <v>-1.1054879197659999</v>
      </c>
      <c r="AE1703">
        <v>-5.7953999999999697</v>
      </c>
      <c r="AF1703">
        <v>4.5332521665454903</v>
      </c>
      <c r="AG1703">
        <v>-1.1054879197659999</v>
      </c>
      <c r="AH1703">
        <v>10.2206111689363</v>
      </c>
      <c r="AI1703">
        <v>95.646675099909999</v>
      </c>
      <c r="AJ1703">
        <v>66.080787907045703</v>
      </c>
      <c r="AK1703">
        <v>11.2353625403377</v>
      </c>
      <c r="AL1703">
        <v>80.329526152583796</v>
      </c>
      <c r="AM1703">
        <v>70.832782624149203</v>
      </c>
      <c r="AN1703">
        <v>1.0000000235259401</v>
      </c>
    </row>
    <row r="1704" spans="1:40" x14ac:dyDescent="0.25">
      <c r="A1704" t="str">
        <f>"20190312172924857"</f>
        <v>20190312172924857</v>
      </c>
      <c r="B1704" t="str">
        <f>"1552382964848680"</f>
        <v>1552382964848680</v>
      </c>
      <c r="C1704" t="s">
        <v>40</v>
      </c>
      <c r="D1704">
        <v>3.7342930000000001</v>
      </c>
      <c r="E1704">
        <v>0.53374109999999997</v>
      </c>
      <c r="F1704" t="s">
        <v>46</v>
      </c>
      <c r="G1704">
        <v>-206.4941</v>
      </c>
      <c r="H1704" s="1">
        <v>5.1373349999999998E-6</v>
      </c>
      <c r="I1704">
        <v>284.15300000000002</v>
      </c>
      <c r="J1704">
        <v>-196.79419999999999</v>
      </c>
      <c r="K1704">
        <v>1.10548</v>
      </c>
      <c r="L1704">
        <v>289.8546</v>
      </c>
      <c r="M1704">
        <v>-0.58391579999999998</v>
      </c>
      <c r="N1704">
        <v>0</v>
      </c>
      <c r="O1704">
        <v>-0.81168960000000001</v>
      </c>
      <c r="P1704">
        <v>-0.80607869999999904</v>
      </c>
      <c r="Q1704">
        <v>0.15896640000000001</v>
      </c>
      <c r="R1704">
        <v>-0.57005850000000002</v>
      </c>
      <c r="S1704">
        <v>-2.6630549999999999</v>
      </c>
      <c r="T1704">
        <v>-0.30016910000000002</v>
      </c>
      <c r="U1704">
        <v>-1.5843510000000001</v>
      </c>
      <c r="V1704">
        <v>0.32350770000000001</v>
      </c>
      <c r="W1704">
        <v>0.16833529999999999</v>
      </c>
      <c r="X1704">
        <v>0.9311315</v>
      </c>
      <c r="Y1704">
        <v>0.39489639999999998</v>
      </c>
      <c r="Z1704">
        <v>8.9962020000000004E-2</v>
      </c>
      <c r="AA1704">
        <v>0.91431050000000003</v>
      </c>
      <c r="AB1704">
        <v>18</v>
      </c>
      <c r="AC1704">
        <v>-9.6999000000000102</v>
      </c>
      <c r="AD1704">
        <v>-1.1054748626649999</v>
      </c>
      <c r="AE1704">
        <v>-5.7015999999999796</v>
      </c>
      <c r="AF1704">
        <v>4.5010631935076999</v>
      </c>
      <c r="AG1704">
        <v>-1.1054748626649999</v>
      </c>
      <c r="AH1704">
        <v>10.194485004108399</v>
      </c>
      <c r="AI1704">
        <v>95.665193362573504</v>
      </c>
      <c r="AJ1704">
        <v>66.177610012177595</v>
      </c>
      <c r="AK1704">
        <v>11.1986235334047</v>
      </c>
      <c r="AL1704">
        <v>80.308955421860901</v>
      </c>
      <c r="AM1704">
        <v>70.840982170957204</v>
      </c>
      <c r="AN1704">
        <v>0.99999993773881302</v>
      </c>
    </row>
    <row r="1705" spans="1:40" x14ac:dyDescent="0.25">
      <c r="A1705" t="str">
        <f>"20190312172924879"</f>
        <v>20190312172924879</v>
      </c>
      <c r="B1705" t="str">
        <f>"1552382964869176"</f>
        <v>1552382964869176</v>
      </c>
      <c r="C1705" t="s">
        <v>40</v>
      </c>
      <c r="D1705">
        <v>3.7023130000000002</v>
      </c>
      <c r="E1705">
        <v>0.56353779999999998</v>
      </c>
      <c r="F1705" t="s">
        <v>46</v>
      </c>
      <c r="G1705">
        <v>-206.69720000000001</v>
      </c>
      <c r="H1705" s="1">
        <v>5.2328459999999899E-6</v>
      </c>
      <c r="I1705">
        <v>284.09089999999998</v>
      </c>
      <c r="J1705">
        <v>-196.90989999999999</v>
      </c>
      <c r="K1705">
        <v>1.105469</v>
      </c>
      <c r="L1705">
        <v>289.71429999999998</v>
      </c>
      <c r="M1705">
        <v>-0.59207500000000002</v>
      </c>
      <c r="N1705">
        <v>0</v>
      </c>
      <c r="O1705">
        <v>-0.80575719999999995</v>
      </c>
      <c r="P1705">
        <v>-0.81170850000000005</v>
      </c>
      <c r="Q1705">
        <v>0.15884010000000001</v>
      </c>
      <c r="R1705">
        <v>-0.56204919999999903</v>
      </c>
      <c r="S1705">
        <v>-2.678299</v>
      </c>
      <c r="T1705">
        <v>-0.29897869999999999</v>
      </c>
      <c r="U1705">
        <v>-1.5588070000000001</v>
      </c>
      <c r="V1705">
        <v>0.3233567</v>
      </c>
      <c r="W1705">
        <v>0.16821259999999999</v>
      </c>
      <c r="X1705">
        <v>0.93120619999999998</v>
      </c>
      <c r="Y1705">
        <v>0.39446759999999997</v>
      </c>
      <c r="Z1705">
        <v>8.9182029999999995E-2</v>
      </c>
      <c r="AA1705">
        <v>0.91457189999999999</v>
      </c>
      <c r="AB1705">
        <v>18</v>
      </c>
      <c r="AC1705">
        <v>-9.7873000000000108</v>
      </c>
      <c r="AD1705">
        <v>-1.105463767154</v>
      </c>
      <c r="AE1705">
        <v>-5.6234000000000002</v>
      </c>
      <c r="AF1705">
        <v>4.5138809195867404</v>
      </c>
      <c r="AG1705">
        <v>-1.105463767154</v>
      </c>
      <c r="AH1705">
        <v>10.228849691149</v>
      </c>
      <c r="AI1705">
        <v>95.646704686850896</v>
      </c>
      <c r="AJ1705">
        <v>66.188650003962394</v>
      </c>
      <c r="AK1705">
        <v>11.2350583932981</v>
      </c>
      <c r="AL1705">
        <v>80.316088025460303</v>
      </c>
      <c r="AM1705">
        <v>70.850697725291894</v>
      </c>
      <c r="AN1705">
        <v>1.00000001057604</v>
      </c>
    </row>
    <row r="1706" spans="1:40" x14ac:dyDescent="0.25">
      <c r="A1706" t="str">
        <f>"20190312172924903"</f>
        <v>20190312172924903</v>
      </c>
      <c r="B1706" t="str">
        <f>"1552382964899432"</f>
        <v>1552382964899432</v>
      </c>
      <c r="C1706" t="s">
        <v>40</v>
      </c>
      <c r="D1706">
        <v>3.7063120000000001</v>
      </c>
      <c r="E1706">
        <v>0.56838949999999999</v>
      </c>
      <c r="F1706" t="s">
        <v>46</v>
      </c>
      <c r="G1706">
        <v>-209.7312</v>
      </c>
      <c r="H1706" s="1">
        <v>6.616135E-6</v>
      </c>
      <c r="I1706">
        <v>283.65809999999999</v>
      </c>
      <c r="J1706">
        <v>-197.0316</v>
      </c>
      <c r="K1706">
        <v>1.105456</v>
      </c>
      <c r="L1706">
        <v>289.56970000000001</v>
      </c>
      <c r="M1706">
        <v>-0.60055179999999997</v>
      </c>
      <c r="N1706">
        <v>0</v>
      </c>
      <c r="O1706">
        <v>-0.79945889999999997</v>
      </c>
      <c r="P1706">
        <v>-0.81745829999999997</v>
      </c>
      <c r="Q1706">
        <v>0.15877079999999999</v>
      </c>
      <c r="R1706">
        <v>-0.55367330000000003</v>
      </c>
      <c r="S1706">
        <v>-2.8208769999999999</v>
      </c>
      <c r="T1706">
        <v>-0.24321780000000001</v>
      </c>
      <c r="U1706">
        <v>-1.3324579999999999</v>
      </c>
      <c r="V1706">
        <v>0.32311139999999999</v>
      </c>
      <c r="W1706">
        <v>0.1681482</v>
      </c>
      <c r="X1706">
        <v>0.93130299999999999</v>
      </c>
      <c r="Y1706">
        <v>0.4634682</v>
      </c>
      <c r="Z1706">
        <v>7.3679430000000004E-2</v>
      </c>
      <c r="AA1706">
        <v>0.88304509999999903</v>
      </c>
      <c r="AB1706">
        <v>18</v>
      </c>
      <c r="AC1706">
        <v>-12.6996</v>
      </c>
      <c r="AD1706">
        <v>-1.1054493838649999</v>
      </c>
      <c r="AE1706">
        <v>-5.9116000000000204</v>
      </c>
      <c r="AF1706">
        <v>6.56238870168586</v>
      </c>
      <c r="AG1706">
        <v>-1.1054493838649999</v>
      </c>
      <c r="AH1706">
        <v>12.277642897088</v>
      </c>
      <c r="AI1706">
        <v>94.540128824337799</v>
      </c>
      <c r="AJ1706">
        <v>61.875537738584804</v>
      </c>
      <c r="AK1706">
        <v>13.9652239123015</v>
      </c>
      <c r="AL1706">
        <v>80.319831437799095</v>
      </c>
      <c r="AM1706">
        <v>70.866012078560004</v>
      </c>
      <c r="AN1706">
        <v>1.0000000358910901</v>
      </c>
    </row>
    <row r="1707" spans="1:40" x14ac:dyDescent="0.25">
      <c r="A1707" t="str">
        <f>"20190312172924924"</f>
        <v>20190312172924924</v>
      </c>
      <c r="B1707" t="str">
        <f>"1552382964918953"</f>
        <v>1552382964918953</v>
      </c>
      <c r="C1707" t="s">
        <v>40</v>
      </c>
      <c r="D1707">
        <v>3.6975199999999999</v>
      </c>
      <c r="E1707">
        <v>0.56992039999999999</v>
      </c>
      <c r="F1707" t="s">
        <v>47</v>
      </c>
      <c r="G1707">
        <v>-211.0592</v>
      </c>
      <c r="H1707" s="1">
        <v>-9.7312930000000003E-7</v>
      </c>
      <c r="I1707">
        <v>283.33030000000002</v>
      </c>
      <c r="J1707">
        <v>-197.1421</v>
      </c>
      <c r="K1707">
        <v>1.1054349999999999</v>
      </c>
      <c r="L1707">
        <v>289.44150000000002</v>
      </c>
      <c r="M1707">
        <v>-0.60813159999999999</v>
      </c>
      <c r="N1707">
        <v>0</v>
      </c>
      <c r="O1707">
        <v>-0.79370830000000003</v>
      </c>
      <c r="P1707">
        <v>-0.82252309999999995</v>
      </c>
      <c r="Q1707">
        <v>0.15874920000000001</v>
      </c>
      <c r="R1707">
        <v>-0.54612700000000003</v>
      </c>
      <c r="S1707">
        <v>-2.8538359999999998</v>
      </c>
      <c r="T1707">
        <v>-0.2248994</v>
      </c>
      <c r="U1707">
        <v>-1.269379</v>
      </c>
      <c r="V1707">
        <v>0.32282739999999999</v>
      </c>
      <c r="W1707">
        <v>0.1681318</v>
      </c>
      <c r="X1707">
        <v>0.93140440000000002</v>
      </c>
      <c r="Y1707">
        <v>0.47554220000000003</v>
      </c>
      <c r="Z1707">
        <v>6.8111610000000003E-2</v>
      </c>
      <c r="AA1707">
        <v>0.8770521</v>
      </c>
      <c r="AB1707">
        <v>18</v>
      </c>
      <c r="AC1707">
        <v>-13.9171</v>
      </c>
      <c r="AD1707">
        <v>-1.1054359731293</v>
      </c>
      <c r="AE1707">
        <v>-6.1111999999999904</v>
      </c>
      <c r="AF1707">
        <v>7.2918797752827302</v>
      </c>
      <c r="AG1707">
        <v>-1.1054359731293</v>
      </c>
      <c r="AH1707">
        <v>13.245233262590499</v>
      </c>
      <c r="AI1707">
        <v>94.181564037712604</v>
      </c>
      <c r="AJ1707">
        <v>61.165958650690101</v>
      </c>
      <c r="AK1707">
        <v>15.160135340039</v>
      </c>
      <c r="AL1707">
        <v>80.320784253497195</v>
      </c>
      <c r="AM1707">
        <v>70.883538955420605</v>
      </c>
      <c r="AN1707">
        <v>0.99999999435067899</v>
      </c>
    </row>
    <row r="1708" spans="1:40" x14ac:dyDescent="0.25">
      <c r="A1708" t="str">
        <f>"20190312172924945"</f>
        <v>20190312172924945</v>
      </c>
      <c r="B1708" t="str">
        <f>"1552382964939449"</f>
        <v>1552382964939449</v>
      </c>
      <c r="C1708" t="s">
        <v>40</v>
      </c>
      <c r="D1708">
        <v>3.7012489999999998</v>
      </c>
      <c r="E1708">
        <v>0.57064130000000002</v>
      </c>
      <c r="F1708" t="s">
        <v>47</v>
      </c>
      <c r="G1708">
        <v>-211.2585</v>
      </c>
      <c r="H1708" s="1">
        <v>-8.6705590000000004E-7</v>
      </c>
      <c r="I1708">
        <v>283.38350000000003</v>
      </c>
      <c r="J1708">
        <v>-197.26159999999999</v>
      </c>
      <c r="K1708">
        <v>1.1054280000000001</v>
      </c>
      <c r="L1708">
        <v>289.3057</v>
      </c>
      <c r="M1708">
        <v>-0.61622209999999999</v>
      </c>
      <c r="N1708">
        <v>0</v>
      </c>
      <c r="O1708">
        <v>-0.78744349999999996</v>
      </c>
      <c r="P1708">
        <v>-0.82817419999999997</v>
      </c>
      <c r="Q1708">
        <v>0.1589875</v>
      </c>
      <c r="R1708">
        <v>-0.53744879999999995</v>
      </c>
      <c r="S1708">
        <v>-2.8722989999999999</v>
      </c>
      <c r="T1708">
        <v>-0.2249246</v>
      </c>
      <c r="U1708">
        <v>-1.2326349999999999</v>
      </c>
      <c r="V1708">
        <v>0.32306079999999998</v>
      </c>
      <c r="W1708">
        <v>0.16836590000000001</v>
      </c>
      <c r="X1708">
        <v>0.93128120000000003</v>
      </c>
      <c r="Y1708">
        <v>0.47808289999999998</v>
      </c>
      <c r="Z1708">
        <v>6.7837670000000003E-2</v>
      </c>
      <c r="AA1708">
        <v>0.87569109999999994</v>
      </c>
      <c r="AB1708">
        <v>18</v>
      </c>
      <c r="AC1708">
        <v>-13.9969</v>
      </c>
      <c r="AD1708">
        <v>-1.1054288670559</v>
      </c>
      <c r="AE1708">
        <v>-5.9221999999999699</v>
      </c>
      <c r="AF1708">
        <v>7.3343255776754397</v>
      </c>
      <c r="AG1708">
        <v>-1.1054288670559</v>
      </c>
      <c r="AH1708">
        <v>13.2200091738884</v>
      </c>
      <c r="AI1708">
        <v>94.181963275202605</v>
      </c>
      <c r="AJ1708">
        <v>60.978935800663102</v>
      </c>
      <c r="AK1708">
        <v>15.1585931806734</v>
      </c>
      <c r="AL1708">
        <v>80.307177542072907</v>
      </c>
      <c r="AM1708">
        <v>70.8683754060594</v>
      </c>
      <c r="AN1708">
        <v>1.0000000151264401</v>
      </c>
    </row>
    <row r="1709" spans="1:40" x14ac:dyDescent="0.25">
      <c r="A1709" t="str">
        <f>"20190312172924968"</f>
        <v>20190312172924968</v>
      </c>
      <c r="B1709" t="str">
        <f>"1552382964958968"</f>
        <v>1552382964958968</v>
      </c>
      <c r="C1709" t="s">
        <v>40</v>
      </c>
      <c r="D1709">
        <v>3.6977890000000002</v>
      </c>
      <c r="E1709">
        <v>0.57071190000000005</v>
      </c>
      <c r="F1709" t="s">
        <v>47</v>
      </c>
      <c r="G1709">
        <v>-211.43940000000001</v>
      </c>
      <c r="H1709" s="1">
        <v>-7.7079059999999999E-7</v>
      </c>
      <c r="I1709">
        <v>283.42450000000002</v>
      </c>
      <c r="J1709">
        <v>-197.38149999999999</v>
      </c>
      <c r="K1709">
        <v>1.105424</v>
      </c>
      <c r="L1709">
        <v>289.17230000000001</v>
      </c>
      <c r="M1709">
        <v>-0.62421979999999999</v>
      </c>
      <c r="N1709">
        <v>0</v>
      </c>
      <c r="O1709">
        <v>-0.78111839999999999</v>
      </c>
      <c r="P1709">
        <v>-0.83357519999999996</v>
      </c>
      <c r="Q1709">
        <v>0.15887309999999999</v>
      </c>
      <c r="R1709">
        <v>-0.5290667</v>
      </c>
      <c r="S1709">
        <v>-2.8881679999999998</v>
      </c>
      <c r="T1709">
        <v>-0.22518630000000001</v>
      </c>
      <c r="U1709">
        <v>-1.198059</v>
      </c>
      <c r="V1709">
        <v>0.32297540000000002</v>
      </c>
      <c r="W1709">
        <v>0.16825680000000001</v>
      </c>
      <c r="X1709">
        <v>0.93133049999999995</v>
      </c>
      <c r="Y1709">
        <v>0.47979040000000001</v>
      </c>
      <c r="Z1709">
        <v>6.7630209999999996E-2</v>
      </c>
      <c r="AA1709">
        <v>0.87477269999999896</v>
      </c>
      <c r="AB1709">
        <v>18</v>
      </c>
      <c r="AC1709">
        <v>-14.0579</v>
      </c>
      <c r="AD1709">
        <v>-1.1054247707906</v>
      </c>
      <c r="AE1709">
        <v>-5.7477999999999803</v>
      </c>
      <c r="AF1709">
        <v>7.3547838024991998</v>
      </c>
      <c r="AG1709">
        <v>-1.1054247707906</v>
      </c>
      <c r="AH1709">
        <v>13.1963733251185</v>
      </c>
      <c r="AI1709">
        <v>94.184903267188005</v>
      </c>
      <c r="AJ1709">
        <v>60.867602079019797</v>
      </c>
      <c r="AK1709">
        <v>15.1479067082313</v>
      </c>
      <c r="AL1709">
        <v>80.313518635583094</v>
      </c>
      <c r="AM1709">
        <v>70.874004221591804</v>
      </c>
      <c r="AN1709">
        <v>0.99999997999082402</v>
      </c>
    </row>
    <row r="1710" spans="1:40" x14ac:dyDescent="0.25">
      <c r="A1710" t="str">
        <f>"20190312172924993"</f>
        <v>20190312172924993</v>
      </c>
      <c r="B1710" t="str">
        <f>"1552382964989224"</f>
        <v>1552382964989224</v>
      </c>
      <c r="C1710" t="s">
        <v>40</v>
      </c>
      <c r="D1710">
        <v>3.6850100000000001</v>
      </c>
      <c r="E1710">
        <v>0.5706078</v>
      </c>
      <c r="F1710" t="s">
        <v>47</v>
      </c>
      <c r="G1710">
        <v>-211.5324</v>
      </c>
      <c r="H1710" s="1">
        <v>-7.2134380000000005E-7</v>
      </c>
      <c r="I1710">
        <v>283.47059999999999</v>
      </c>
      <c r="J1710">
        <v>-197.51310000000001</v>
      </c>
      <c r="K1710">
        <v>1.1054310000000001</v>
      </c>
      <c r="L1710">
        <v>289.02910000000003</v>
      </c>
      <c r="M1710">
        <v>-0.63285609999999903</v>
      </c>
      <c r="N1710">
        <v>0</v>
      </c>
      <c r="O1710">
        <v>-0.77413769999999904</v>
      </c>
      <c r="P1710">
        <v>-0.83941889999999997</v>
      </c>
      <c r="Q1710">
        <v>0.15876179999999901</v>
      </c>
      <c r="R1710">
        <v>-0.51977969999999996</v>
      </c>
      <c r="S1710">
        <v>-2.9004059999999998</v>
      </c>
      <c r="T1710">
        <v>-0.22657160000000001</v>
      </c>
      <c r="U1710">
        <v>-1.1686399999999999</v>
      </c>
      <c r="V1710">
        <v>0.3229861</v>
      </c>
      <c r="W1710">
        <v>0.16815479999999899</v>
      </c>
      <c r="X1710">
        <v>0.93134519999999998</v>
      </c>
      <c r="Y1710">
        <v>0.47895209999999999</v>
      </c>
      <c r="Z1710">
        <v>6.7673129999999998E-2</v>
      </c>
      <c r="AA1710">
        <v>0.87522869999999997</v>
      </c>
      <c r="AB1710">
        <v>18</v>
      </c>
      <c r="AC1710">
        <v>-14.0192999999999</v>
      </c>
      <c r="AD1710">
        <v>-1.1054317213438001</v>
      </c>
      <c r="AE1710">
        <v>-5.5585000000000298</v>
      </c>
      <c r="AF1710">
        <v>7.2966825624459304</v>
      </c>
      <c r="AG1710">
        <v>-1.1054317213438001</v>
      </c>
      <c r="AH1710">
        <v>13.106170911727601</v>
      </c>
      <c r="AI1710">
        <v>94.214694864408798</v>
      </c>
      <c r="AJ1710">
        <v>60.893720846400598</v>
      </c>
      <c r="AK1710">
        <v>15.041119362436801</v>
      </c>
      <c r="AL1710">
        <v>80.319447175140596</v>
      </c>
      <c r="AM1710">
        <v>70.873696576706607</v>
      </c>
      <c r="AN1710">
        <v>0.99999996955964399</v>
      </c>
    </row>
    <row r="1711" spans="1:40" x14ac:dyDescent="0.25">
      <c r="A1711" t="str">
        <f>"20190312172925037"</f>
        <v>20190312172925037</v>
      </c>
      <c r="B1711" t="str">
        <f>"1552382965029241"</f>
        <v>1552382965029241</v>
      </c>
      <c r="C1711" t="s">
        <v>40</v>
      </c>
      <c r="D1711">
        <v>3.6915140000000002</v>
      </c>
      <c r="E1711">
        <v>0.56986530000000002</v>
      </c>
      <c r="F1711" t="s">
        <v>47</v>
      </c>
      <c r="G1711">
        <v>-211.63550000000001</v>
      </c>
      <c r="H1711" s="1">
        <v>-6.6647249999999997E-7</v>
      </c>
      <c r="I1711">
        <v>283.51679999999999</v>
      </c>
      <c r="J1711">
        <v>-197.75800000000001</v>
      </c>
      <c r="K1711">
        <v>1.1054440000000001</v>
      </c>
      <c r="L1711">
        <v>288.77089999999998</v>
      </c>
      <c r="M1711">
        <v>-0.64854990000000001</v>
      </c>
      <c r="N1711">
        <v>0</v>
      </c>
      <c r="O1711">
        <v>-0.76103790000000004</v>
      </c>
      <c r="P1711">
        <v>-0.84948119999999905</v>
      </c>
      <c r="Q1711">
        <v>0.15952169999999999</v>
      </c>
      <c r="R1711">
        <v>-0.50292579999999998</v>
      </c>
      <c r="S1711">
        <v>-2.912979</v>
      </c>
      <c r="T1711">
        <v>-0.22801469999999999</v>
      </c>
      <c r="U1711">
        <v>-1.1369929999999999</v>
      </c>
      <c r="V1711">
        <v>0.32242510000000002</v>
      </c>
      <c r="W1711">
        <v>0.1689407</v>
      </c>
      <c r="X1711">
        <v>0.93139740000000004</v>
      </c>
      <c r="Y1711">
        <v>0.47053800000000001</v>
      </c>
      <c r="Z1711">
        <v>6.7201499999999997E-2</v>
      </c>
      <c r="AA1711">
        <v>0.87981699999999996</v>
      </c>
      <c r="AB1711">
        <v>18</v>
      </c>
      <c r="AC1711">
        <v>-13.8775</v>
      </c>
      <c r="AD1711">
        <v>-1.1054446664724999</v>
      </c>
      <c r="AE1711">
        <v>-5.2540999999999896</v>
      </c>
      <c r="AF1711">
        <v>7.1150017944014801</v>
      </c>
      <c r="AG1711">
        <v>-1.1054446664724999</v>
      </c>
      <c r="AH1711">
        <v>12.9283990808468</v>
      </c>
      <c r="AI1711">
        <v>94.284039506968298</v>
      </c>
      <c r="AJ1711">
        <v>61.174297546526503</v>
      </c>
      <c r="AK1711">
        <v>14.798268859519</v>
      </c>
      <c r="AL1711">
        <v>80.273765271624498</v>
      </c>
      <c r="AM1711">
        <v>70.905502297329704</v>
      </c>
      <c r="AN1711">
        <v>1.00000001097663</v>
      </c>
    </row>
    <row r="1712" spans="1:40" x14ac:dyDescent="0.25">
      <c r="A1712" t="str">
        <f>"20190312172925057"</f>
        <v>20190312172925057</v>
      </c>
      <c r="B1712" t="str">
        <f>"1552382965048761"</f>
        <v>1552382965048761</v>
      </c>
      <c r="C1712" t="s">
        <v>40</v>
      </c>
      <c r="D1712">
        <v>3.6391360000000001</v>
      </c>
      <c r="E1712">
        <v>0.56934379999999996</v>
      </c>
      <c r="F1712" t="s">
        <v>47</v>
      </c>
      <c r="G1712">
        <v>-212.0352</v>
      </c>
      <c r="H1712" s="1">
        <v>-4.5377200000000002E-7</v>
      </c>
      <c r="I1712">
        <v>283.49189999999999</v>
      </c>
      <c r="J1712">
        <v>-197.87200000000001</v>
      </c>
      <c r="K1712">
        <v>1.105453</v>
      </c>
      <c r="L1712">
        <v>288.65440000000001</v>
      </c>
      <c r="M1712">
        <v>-0.65568719999999903</v>
      </c>
      <c r="N1712">
        <v>0</v>
      </c>
      <c r="O1712">
        <v>-0.7548975</v>
      </c>
      <c r="P1712">
        <v>-0.85377510000000001</v>
      </c>
      <c r="Q1712">
        <v>0.15952160000000001</v>
      </c>
      <c r="R1712">
        <v>-0.49560149999999997</v>
      </c>
      <c r="S1712">
        <v>-2.932312</v>
      </c>
      <c r="T1712">
        <v>-0.22704170000000001</v>
      </c>
      <c r="U1712">
        <v>-1.0842290000000001</v>
      </c>
      <c r="V1712">
        <v>0.32166129999999998</v>
      </c>
      <c r="W1712">
        <v>0.1689609</v>
      </c>
      <c r="X1712">
        <v>0.93165779999999998</v>
      </c>
      <c r="Y1712">
        <v>0.47805249999999999</v>
      </c>
      <c r="Z1712">
        <v>6.6831669999999996E-2</v>
      </c>
      <c r="AA1712">
        <v>0.87578500000000004</v>
      </c>
      <c r="AB1712">
        <v>18</v>
      </c>
      <c r="AC1712">
        <v>-14.1631999999999</v>
      </c>
      <c r="AD1712">
        <v>-1.105453453772</v>
      </c>
      <c r="AE1712">
        <v>-5.1625000000000201</v>
      </c>
      <c r="AF1712">
        <v>7.26843859833187</v>
      </c>
      <c r="AG1712">
        <v>-1.105453453772</v>
      </c>
      <c r="AH1712">
        <v>13.1146086542318</v>
      </c>
      <c r="AI1712">
        <v>94.2165528386586</v>
      </c>
      <c r="AJ1712">
        <v>61.003702010366098</v>
      </c>
      <c r="AK1712">
        <v>15.0347992055041</v>
      </c>
      <c r="AL1712">
        <v>80.272591075271094</v>
      </c>
      <c r="AM1712">
        <v>70.952412131673498</v>
      </c>
      <c r="AN1712">
        <v>1.00000001697366</v>
      </c>
    </row>
    <row r="1713" spans="1:40" x14ac:dyDescent="0.25">
      <c r="A1713" t="str">
        <f>"20190312172925079"</f>
        <v>20190312172925079</v>
      </c>
      <c r="B1713" t="str">
        <f>"1552382965069257"</f>
        <v>1552382965069257</v>
      </c>
      <c r="C1713" t="s">
        <v>40</v>
      </c>
      <c r="D1713">
        <v>3.6738230000000001</v>
      </c>
      <c r="E1713">
        <v>0.56876780000000005</v>
      </c>
      <c r="F1713" t="s">
        <v>47</v>
      </c>
      <c r="G1713">
        <v>-212.1439</v>
      </c>
      <c r="H1713" s="1">
        <v>-3.9591200000000001E-7</v>
      </c>
      <c r="I1713">
        <v>283.49610000000001</v>
      </c>
      <c r="J1713">
        <v>-198.0016</v>
      </c>
      <c r="K1713">
        <v>1.105459</v>
      </c>
      <c r="L1713">
        <v>288.52460000000002</v>
      </c>
      <c r="M1713">
        <v>-0.66367159999999903</v>
      </c>
      <c r="N1713">
        <v>0</v>
      </c>
      <c r="O1713">
        <v>-0.74788769999999904</v>
      </c>
      <c r="P1713">
        <v>-0.85868349999999904</v>
      </c>
      <c r="Q1713">
        <v>0.15993760000000001</v>
      </c>
      <c r="R1713">
        <v>-0.48691190000000001</v>
      </c>
      <c r="S1713">
        <v>-2.9396059999999999</v>
      </c>
      <c r="T1713">
        <v>-0.22769239999999999</v>
      </c>
      <c r="U1713">
        <v>-1.0624690000000001</v>
      </c>
      <c r="V1713">
        <v>0.32116099999999997</v>
      </c>
      <c r="W1713">
        <v>0.16939089999999901</v>
      </c>
      <c r="X1713">
        <v>0.93175229999999998</v>
      </c>
      <c r="Y1713">
        <v>0.47515590000000002</v>
      </c>
      <c r="Z1713">
        <v>6.6590070000000001E-2</v>
      </c>
      <c r="AA1713">
        <v>0.87737830000000006</v>
      </c>
      <c r="AB1713">
        <v>18</v>
      </c>
      <c r="AC1713">
        <v>-14.142300000000001</v>
      </c>
      <c r="AD1713">
        <v>-1.105459395912</v>
      </c>
      <c r="AE1713">
        <v>-5.0285000000000002</v>
      </c>
      <c r="AF1713">
        <v>7.2012564201785798</v>
      </c>
      <c r="AG1713">
        <v>-1.105459395912</v>
      </c>
      <c r="AH1713">
        <v>13.077003854259701</v>
      </c>
      <c r="AI1713">
        <v>94.234981227731097</v>
      </c>
      <c r="AJ1713">
        <v>61.159262136901603</v>
      </c>
      <c r="AK1713">
        <v>14.969574620192001</v>
      </c>
      <c r="AL1713">
        <v>80.247593472368393</v>
      </c>
      <c r="AM1713">
        <v>70.981697971971698</v>
      </c>
      <c r="AN1713">
        <v>1.00000000673955</v>
      </c>
    </row>
    <row r="1714" spans="1:40" x14ac:dyDescent="0.25">
      <c r="A1714" t="str">
        <f>"20190312172925102"</f>
        <v>20190312172925102</v>
      </c>
      <c r="B1714" t="str">
        <f>"1552382965099513"</f>
        <v>1552382965099513</v>
      </c>
      <c r="C1714" t="s">
        <v>40</v>
      </c>
      <c r="D1714">
        <v>3.6275409999999999</v>
      </c>
      <c r="E1714">
        <v>0.56004849999999995</v>
      </c>
      <c r="F1714" t="s">
        <v>47</v>
      </c>
      <c r="G1714">
        <v>-212.34780000000001</v>
      </c>
      <c r="H1714" s="1">
        <v>-2.8742740000000002E-7</v>
      </c>
      <c r="I1714">
        <v>283.47820000000002</v>
      </c>
      <c r="J1714">
        <v>-198.12729999999999</v>
      </c>
      <c r="K1714">
        <v>1.1054649999999999</v>
      </c>
      <c r="L1714">
        <v>288.40120000000002</v>
      </c>
      <c r="M1714">
        <v>-0.6712996</v>
      </c>
      <c r="N1714">
        <v>0</v>
      </c>
      <c r="O1714">
        <v>-0.74104829999999999</v>
      </c>
      <c r="P1714">
        <v>-0.86332509999999996</v>
      </c>
      <c r="Q1714">
        <v>0.1602816</v>
      </c>
      <c r="R1714">
        <v>-0.47851860000000002</v>
      </c>
      <c r="S1714">
        <v>-2.948013</v>
      </c>
      <c r="T1714">
        <v>-0.22716159999999999</v>
      </c>
      <c r="U1714">
        <v>-1.0369870000000001</v>
      </c>
      <c r="V1714">
        <v>0.32065179999999999</v>
      </c>
      <c r="W1714">
        <v>0.16974719999999999</v>
      </c>
      <c r="X1714">
        <v>0.93186279999999999</v>
      </c>
      <c r="Y1714">
        <v>0.47370679999999998</v>
      </c>
      <c r="Z1714">
        <v>6.6050860000000003E-2</v>
      </c>
      <c r="AA1714">
        <v>0.87820229999999999</v>
      </c>
      <c r="AB1714">
        <v>17</v>
      </c>
      <c r="AC1714">
        <v>-14.220499999999999</v>
      </c>
      <c r="AD1714">
        <v>-1.10546528742739</v>
      </c>
      <c r="AE1714">
        <v>-4.923</v>
      </c>
      <c r="AF1714">
        <v>7.1951804449951204</v>
      </c>
      <c r="AG1714">
        <v>-1.10546528742739</v>
      </c>
      <c r="AH1714">
        <v>13.124917644103601</v>
      </c>
      <c r="AI1714">
        <v>94.223990139173594</v>
      </c>
      <c r="AJ1714">
        <v>61.268109129146403</v>
      </c>
      <c r="AK1714">
        <v>15.0085355149078</v>
      </c>
      <c r="AL1714">
        <v>80.226878775178903</v>
      </c>
      <c r="AM1714">
        <v>71.011780160528502</v>
      </c>
      <c r="AN1714">
        <v>0.99999998338745899</v>
      </c>
    </row>
    <row r="1715" spans="1:40" x14ac:dyDescent="0.25">
      <c r="A1715" t="str">
        <f>"20190312172925124"</f>
        <v>20190312172925124</v>
      </c>
      <c r="B1715" t="str">
        <f>"1552382965119032"</f>
        <v>1552382965119032</v>
      </c>
      <c r="C1715" t="s">
        <v>40</v>
      </c>
      <c r="D1715">
        <v>3.604876</v>
      </c>
      <c r="E1715">
        <v>0.55888090000000001</v>
      </c>
      <c r="F1715" t="s">
        <v>47</v>
      </c>
      <c r="G1715">
        <v>-211.6284</v>
      </c>
      <c r="H1715" s="1">
        <v>-6.7021859999999998E-7</v>
      </c>
      <c r="I1715">
        <v>283.46519999999998</v>
      </c>
      <c r="J1715">
        <v>-198.2594</v>
      </c>
      <c r="K1715">
        <v>1.105475</v>
      </c>
      <c r="L1715">
        <v>288.27449999999999</v>
      </c>
      <c r="M1715">
        <v>-0.67917309999999997</v>
      </c>
      <c r="N1715">
        <v>0</v>
      </c>
      <c r="O1715">
        <v>-0.73383880000000001</v>
      </c>
      <c r="P1715">
        <v>-0.86785499999999904</v>
      </c>
      <c r="Q1715">
        <v>0.16055</v>
      </c>
      <c r="R1715">
        <v>-0.4701612</v>
      </c>
      <c r="S1715">
        <v>-2.9264220000000001</v>
      </c>
      <c r="T1715">
        <v>-0.23961470000000001</v>
      </c>
      <c r="U1715">
        <v>-1.069885</v>
      </c>
      <c r="V1715">
        <v>0.31966309999999998</v>
      </c>
      <c r="W1715">
        <v>0.17003560000000001</v>
      </c>
      <c r="X1715">
        <v>0.93214989999999998</v>
      </c>
      <c r="Y1715">
        <v>0.45316770000000001</v>
      </c>
      <c r="Z1715">
        <v>6.8821049999999995E-2</v>
      </c>
      <c r="AA1715">
        <v>0.88876469999999896</v>
      </c>
      <c r="AB1715">
        <v>17</v>
      </c>
      <c r="AC1715">
        <v>-13.369</v>
      </c>
      <c r="AD1715">
        <v>-1.1054756702185999</v>
      </c>
      <c r="AE1715">
        <v>-4.8093000000000004</v>
      </c>
      <c r="AF1715">
        <v>6.5056273645736402</v>
      </c>
      <c r="AG1715">
        <v>-1.1054756702185999</v>
      </c>
      <c r="AH1715">
        <v>12.534520535049101</v>
      </c>
      <c r="AI1715">
        <v>94.475935406300295</v>
      </c>
      <c r="AJ1715">
        <v>62.569926852267798</v>
      </c>
      <c r="AK1715">
        <v>14.1654321821716</v>
      </c>
      <c r="AL1715">
        <v>80.210111270340704</v>
      </c>
      <c r="AM1715">
        <v>71.071568938811396</v>
      </c>
      <c r="AN1715">
        <v>1.00000001941948</v>
      </c>
    </row>
    <row r="1716" spans="1:40" x14ac:dyDescent="0.25">
      <c r="A1716" t="str">
        <f>"20190312172925146"</f>
        <v>20190312172925146</v>
      </c>
      <c r="B1716" t="str">
        <f>"1552382965139529"</f>
        <v>1552382965139529</v>
      </c>
      <c r="C1716" t="s">
        <v>40</v>
      </c>
      <c r="D1716">
        <v>3.6026310000000001</v>
      </c>
      <c r="E1716">
        <v>0.55799619999999905</v>
      </c>
      <c r="F1716" t="s">
        <v>47</v>
      </c>
      <c r="G1716">
        <v>-211.8168</v>
      </c>
      <c r="H1716" s="1">
        <v>-5.6995490000000003E-7</v>
      </c>
      <c r="I1716">
        <v>283.4239</v>
      </c>
      <c r="J1716">
        <v>-198.38740000000001</v>
      </c>
      <c r="K1716">
        <v>1.10548</v>
      </c>
      <c r="L1716">
        <v>288.15429999999998</v>
      </c>
      <c r="M1716">
        <v>-0.68668030000000002</v>
      </c>
      <c r="N1716">
        <v>0</v>
      </c>
      <c r="O1716">
        <v>-0.72681859999999998</v>
      </c>
      <c r="P1716">
        <v>-0.8720234</v>
      </c>
      <c r="Q1716">
        <v>0.160960299999999</v>
      </c>
      <c r="R1716">
        <v>-0.46224130000000002</v>
      </c>
      <c r="S1716">
        <v>-2.932617</v>
      </c>
      <c r="T1716">
        <v>-0.23912539999999999</v>
      </c>
      <c r="U1716">
        <v>-1.0492250000000001</v>
      </c>
      <c r="V1716">
        <v>0.31851279999999998</v>
      </c>
      <c r="W1716">
        <v>0.17046939999999999</v>
      </c>
      <c r="X1716">
        <v>0.93246439999999997</v>
      </c>
      <c r="Y1716">
        <v>0.4501867</v>
      </c>
      <c r="Z1716">
        <v>6.8215330000000005E-2</v>
      </c>
      <c r="AA1716">
        <v>0.89032500000000003</v>
      </c>
      <c r="AB1716">
        <v>17</v>
      </c>
      <c r="AC1716">
        <v>-13.4293999999999</v>
      </c>
      <c r="AD1716">
        <v>-1.10548056995489</v>
      </c>
      <c r="AE1716">
        <v>-4.7303999999999702</v>
      </c>
      <c r="AF1716">
        <v>6.4741047213551397</v>
      </c>
      <c r="AG1716">
        <v>-1.10548056995489</v>
      </c>
      <c r="AH1716">
        <v>12.585276594478101</v>
      </c>
      <c r="AI1716">
        <v>94.466310078587995</v>
      </c>
      <c r="AJ1716">
        <v>62.777851854971303</v>
      </c>
      <c r="AK1716">
        <v>14.1959609112289</v>
      </c>
      <c r="AL1716">
        <v>80.184888306209203</v>
      </c>
      <c r="AM1716">
        <v>71.140770517946905</v>
      </c>
      <c r="AN1716">
        <v>1.00000003868377</v>
      </c>
    </row>
    <row r="1717" spans="1:40" x14ac:dyDescent="0.25">
      <c r="A1717" t="str">
        <f>"20190312172925167"</f>
        <v>20190312172925167</v>
      </c>
      <c r="B1717" t="str">
        <f>"1552382965159049"</f>
        <v>1552382965159049</v>
      </c>
      <c r="C1717" t="s">
        <v>40</v>
      </c>
      <c r="D1717">
        <v>3.5851549999999999</v>
      </c>
      <c r="E1717">
        <v>0.55744039999999995</v>
      </c>
      <c r="F1717" t="s">
        <v>47</v>
      </c>
      <c r="G1717">
        <v>-212.03790000000001</v>
      </c>
      <c r="H1717" s="1">
        <v>-4.523229E-7</v>
      </c>
      <c r="I1717">
        <v>283.37909999999999</v>
      </c>
      <c r="J1717">
        <v>-198.5137</v>
      </c>
      <c r="K1717">
        <v>1.105488</v>
      </c>
      <c r="L1717">
        <v>288.03809999999999</v>
      </c>
      <c r="M1717">
        <v>-0.69396389999999997</v>
      </c>
      <c r="N1717">
        <v>0</v>
      </c>
      <c r="O1717">
        <v>-0.71986749999999999</v>
      </c>
      <c r="P1717">
        <v>-0.87614360000000002</v>
      </c>
      <c r="Q1717">
        <v>0.1607286</v>
      </c>
      <c r="R1717">
        <v>-0.45446510000000001</v>
      </c>
      <c r="S1717">
        <v>-2.9391780000000001</v>
      </c>
      <c r="T1717">
        <v>-0.2380284</v>
      </c>
      <c r="U1717">
        <v>-1.028168</v>
      </c>
      <c r="V1717">
        <v>0.31744129999999998</v>
      </c>
      <c r="W1717">
        <v>0.17026350000000001</v>
      </c>
      <c r="X1717">
        <v>0.93286729999999995</v>
      </c>
      <c r="Y1717">
        <v>0.44754939999999999</v>
      </c>
      <c r="Z1717">
        <v>6.7441959999999995E-2</v>
      </c>
      <c r="AA1717">
        <v>0.89171250000000002</v>
      </c>
      <c r="AB1717">
        <v>17</v>
      </c>
      <c r="AC1717">
        <v>-13.5242</v>
      </c>
      <c r="AD1717">
        <v>-1.1054884523228901</v>
      </c>
      <c r="AE1717">
        <v>-4.65899999999999</v>
      </c>
      <c r="AF1717">
        <v>6.4645089846366002</v>
      </c>
      <c r="AG1717">
        <v>-1.1054884523228901</v>
      </c>
      <c r="AH1717">
        <v>12.664829489737899</v>
      </c>
      <c r="AI1717">
        <v>94.445561826825099</v>
      </c>
      <c r="AJ1717">
        <v>62.958869797077199</v>
      </c>
      <c r="AK1717">
        <v>14.2621838136662</v>
      </c>
      <c r="AL1717">
        <v>80.196860335491095</v>
      </c>
      <c r="AM1717">
        <v>71.207300496197902</v>
      </c>
      <c r="AN1717">
        <v>1.00000001889361</v>
      </c>
    </row>
    <row r="1718" spans="1:40" x14ac:dyDescent="0.25">
      <c r="A1718" t="str">
        <f>"20190312172925191"</f>
        <v>20190312172925191</v>
      </c>
      <c r="B1718" t="str">
        <f>"1552382965189305"</f>
        <v>1552382965189305</v>
      </c>
      <c r="C1718" t="s">
        <v>40</v>
      </c>
      <c r="D1718">
        <v>3.5472320000000002</v>
      </c>
      <c r="E1718">
        <v>0.55690150000000005</v>
      </c>
      <c r="F1718" t="s">
        <v>47</v>
      </c>
      <c r="G1718">
        <v>-212.10849999999999</v>
      </c>
      <c r="H1718" s="1">
        <v>-4.1474389999999998E-7</v>
      </c>
      <c r="I1718">
        <v>283.39609999999999</v>
      </c>
      <c r="J1718">
        <v>-198.65</v>
      </c>
      <c r="K1718">
        <v>1.105494</v>
      </c>
      <c r="L1718">
        <v>287.91539999999998</v>
      </c>
      <c r="M1718">
        <v>-0.70169230000000005</v>
      </c>
      <c r="N1718">
        <v>0</v>
      </c>
      <c r="O1718">
        <v>-0.71233659999999999</v>
      </c>
      <c r="P1718">
        <v>-0.88069869999999995</v>
      </c>
      <c r="Q1718">
        <v>0.16036600000000001</v>
      </c>
      <c r="R1718">
        <v>-0.44570500000000002</v>
      </c>
      <c r="S1718">
        <v>-2.9462130000000002</v>
      </c>
      <c r="T1718">
        <v>-0.2395767</v>
      </c>
      <c r="U1718">
        <v>-1.0060119999999999</v>
      </c>
      <c r="V1718">
        <v>0.31671359999999998</v>
      </c>
      <c r="W1718">
        <v>0.16992289999999999</v>
      </c>
      <c r="X1718">
        <v>0.93317669999999997</v>
      </c>
      <c r="Y1718">
        <v>0.4445462</v>
      </c>
      <c r="Z1718">
        <v>6.7359080000000002E-2</v>
      </c>
      <c r="AA1718">
        <v>0.89321969999999995</v>
      </c>
      <c r="AB1718">
        <v>17</v>
      </c>
      <c r="AC1718">
        <v>-13.4584999999999</v>
      </c>
      <c r="AD1718">
        <v>-1.1054944147439001</v>
      </c>
      <c r="AE1718">
        <v>-4.5192999999999799</v>
      </c>
      <c r="AF1718">
        <v>6.3778087446532998</v>
      </c>
      <c r="AG1718">
        <v>-1.1054944147439001</v>
      </c>
      <c r="AH1718">
        <v>12.587957216597401</v>
      </c>
      <c r="AI1718">
        <v>94.479415517106105</v>
      </c>
      <c r="AJ1718">
        <v>63.130511354132402</v>
      </c>
      <c r="AK1718">
        <v>14.154689299708901</v>
      </c>
      <c r="AL1718">
        <v>80.216663914308498</v>
      </c>
      <c r="AM1718">
        <v>71.253149469234302</v>
      </c>
      <c r="AN1718">
        <v>1.0000000248961201</v>
      </c>
    </row>
    <row r="1719" spans="1:40" x14ac:dyDescent="0.25">
      <c r="A1719" t="str">
        <f>"20190312172925215"</f>
        <v>20190312172925215</v>
      </c>
      <c r="B1719" t="str">
        <f>"1552382965208824"</f>
        <v>1552382965208824</v>
      </c>
      <c r="C1719" t="s">
        <v>40</v>
      </c>
      <c r="D1719">
        <v>3.5130119999999998</v>
      </c>
      <c r="E1719">
        <v>0.55278109999999903</v>
      </c>
      <c r="F1719" t="s">
        <v>47</v>
      </c>
      <c r="G1719">
        <v>-212.1371</v>
      </c>
      <c r="H1719" s="1">
        <v>-3.9952000000000002E-7</v>
      </c>
      <c r="I1719">
        <v>283.43689999999998</v>
      </c>
      <c r="J1719">
        <v>-198.79470000000001</v>
      </c>
      <c r="K1719">
        <v>1.105502</v>
      </c>
      <c r="L1719">
        <v>287.78809999999999</v>
      </c>
      <c r="M1719">
        <v>-0.70974780000000004</v>
      </c>
      <c r="N1719">
        <v>0</v>
      </c>
      <c r="O1719">
        <v>-0.70431080000000001</v>
      </c>
      <c r="P1719">
        <v>-0.88548649999999995</v>
      </c>
      <c r="Q1719">
        <v>0.16053970000000001</v>
      </c>
      <c r="R1719">
        <v>-0.43605179999999999</v>
      </c>
      <c r="S1719">
        <v>-2.9540709999999999</v>
      </c>
      <c r="T1719">
        <v>-0.2421354</v>
      </c>
      <c r="U1719">
        <v>-0.98092650000000003</v>
      </c>
      <c r="V1719">
        <v>0.3162759</v>
      </c>
      <c r="W1719">
        <v>0.17011229999999999</v>
      </c>
      <c r="X1719">
        <v>0.93329059999999997</v>
      </c>
      <c r="Y1719">
        <v>0.4418705</v>
      </c>
      <c r="Z1719">
        <v>6.7525760000000004E-2</v>
      </c>
      <c r="AA1719">
        <v>0.89453379999999905</v>
      </c>
      <c r="AB1719">
        <v>17</v>
      </c>
      <c r="AC1719">
        <v>-13.3423999999999</v>
      </c>
      <c r="AD1719">
        <v>-1.10550239952</v>
      </c>
      <c r="AE1719">
        <v>-4.3512000000000004</v>
      </c>
      <c r="AF1719">
        <v>6.2706755605820597</v>
      </c>
      <c r="AG1719">
        <v>-1.10550239952</v>
      </c>
      <c r="AH1719">
        <v>12.458310487673</v>
      </c>
      <c r="AI1719">
        <v>94.531907530535307</v>
      </c>
      <c r="AJ1719">
        <v>63.282390983297297</v>
      </c>
      <c r="AK1719">
        <v>13.9911760673894</v>
      </c>
      <c r="AL1719">
        <v>80.205651440935895</v>
      </c>
      <c r="AM1719">
        <v>71.279377016298994</v>
      </c>
      <c r="AN1719">
        <v>0.99999999179022903</v>
      </c>
    </row>
    <row r="1720" spans="1:40" x14ac:dyDescent="0.25">
      <c r="A1720" t="str">
        <f>"20190312172925239"</f>
        <v>20190312172925239</v>
      </c>
      <c r="B1720" t="str">
        <f>"1552382965229321"</f>
        <v>1552382965229321</v>
      </c>
      <c r="C1720" t="s">
        <v>40</v>
      </c>
      <c r="D1720">
        <v>3.5434410000000001</v>
      </c>
      <c r="E1720">
        <v>0.55203899999999995</v>
      </c>
      <c r="F1720" t="s">
        <v>47</v>
      </c>
      <c r="G1720">
        <v>-212.0103</v>
      </c>
      <c r="H1720" s="1">
        <v>-4.6698060000000002E-7</v>
      </c>
      <c r="I1720">
        <v>283.40359999999998</v>
      </c>
      <c r="J1720">
        <v>-198.9359</v>
      </c>
      <c r="K1720">
        <v>1.105507</v>
      </c>
      <c r="L1720">
        <v>287.66649999999998</v>
      </c>
      <c r="M1720">
        <v>-0.71747490000000003</v>
      </c>
      <c r="N1720">
        <v>0</v>
      </c>
      <c r="O1720">
        <v>-0.69643769999999905</v>
      </c>
      <c r="P1720">
        <v>-0.88994799999999996</v>
      </c>
      <c r="Q1720">
        <v>0.16087209999999999</v>
      </c>
      <c r="R1720">
        <v>-0.4267475</v>
      </c>
      <c r="S1720">
        <v>-2.950653</v>
      </c>
      <c r="T1720">
        <v>-0.2468244</v>
      </c>
      <c r="U1720">
        <v>-0.97891240000000002</v>
      </c>
      <c r="V1720">
        <v>0.31571890000000002</v>
      </c>
      <c r="W1720">
        <v>0.170459</v>
      </c>
      <c r="X1720">
        <v>0.93341589999999997</v>
      </c>
      <c r="Y1720">
        <v>0.43211759999999999</v>
      </c>
      <c r="Z1720">
        <v>6.8108340000000003E-2</v>
      </c>
      <c r="AA1720">
        <v>0.89924169999999903</v>
      </c>
      <c r="AB1720">
        <v>17</v>
      </c>
      <c r="AC1720">
        <v>-13.074399999999899</v>
      </c>
      <c r="AD1720">
        <v>-1.1055074669806</v>
      </c>
      <c r="AE1720">
        <v>-4.2629000000000001</v>
      </c>
      <c r="AF1720">
        <v>6.0087671626606802</v>
      </c>
      <c r="AG1720">
        <v>-1.1055074669806</v>
      </c>
      <c r="AH1720">
        <v>12.271355566707101</v>
      </c>
      <c r="AI1720">
        <v>94.625696078775107</v>
      </c>
      <c r="AJ1720">
        <v>63.910950381964398</v>
      </c>
      <c r="AK1720">
        <v>13.708158046184501</v>
      </c>
      <c r="AL1720">
        <v>80.185492336878994</v>
      </c>
      <c r="AM1720">
        <v>71.312389693516394</v>
      </c>
      <c r="AN1720">
        <v>0.99999996843550898</v>
      </c>
    </row>
    <row r="1721" spans="1:40" x14ac:dyDescent="0.25">
      <c r="A1721" t="str">
        <f>"20190312172925259"</f>
        <v>20190312172925259</v>
      </c>
      <c r="B1721" t="str">
        <f>"1552382965248841"</f>
        <v>1552382965248841</v>
      </c>
      <c r="C1721" t="s">
        <v>40</v>
      </c>
      <c r="D1721">
        <v>3.526122</v>
      </c>
      <c r="E1721">
        <v>0.55178169999999904</v>
      </c>
      <c r="F1721" t="s">
        <v>47</v>
      </c>
      <c r="G1721">
        <v>-212.20769999999999</v>
      </c>
      <c r="H1721" s="1">
        <v>-3.6197499999999998E-7</v>
      </c>
      <c r="I1721">
        <v>283.38810000000001</v>
      </c>
      <c r="J1721">
        <v>-199.06059999999999</v>
      </c>
      <c r="K1721">
        <v>1.105513</v>
      </c>
      <c r="L1721">
        <v>287.56150000000002</v>
      </c>
      <c r="M1721">
        <v>-0.72418300000000002</v>
      </c>
      <c r="N1721">
        <v>0</v>
      </c>
      <c r="O1721">
        <v>-0.6894593</v>
      </c>
      <c r="P1721">
        <v>-0.89378489999999999</v>
      </c>
      <c r="Q1721">
        <v>0.1610702</v>
      </c>
      <c r="R1721">
        <v>-0.41857529999999998</v>
      </c>
      <c r="S1721">
        <v>-2.958237</v>
      </c>
      <c r="T1721">
        <v>-0.24641489999999999</v>
      </c>
      <c r="U1721">
        <v>-0.95364380000000004</v>
      </c>
      <c r="V1721">
        <v>0.31521139999999997</v>
      </c>
      <c r="W1721">
        <v>0.1706676</v>
      </c>
      <c r="X1721">
        <v>0.93354930000000003</v>
      </c>
      <c r="Y1721">
        <v>0.4310543</v>
      </c>
      <c r="Z1721">
        <v>6.7543880000000001E-2</v>
      </c>
      <c r="AA1721">
        <v>0.89979449999999905</v>
      </c>
      <c r="AB1721">
        <v>17</v>
      </c>
      <c r="AC1721">
        <v>-13.147099999999901</v>
      </c>
      <c r="AD1721">
        <v>-1.1055133619749999</v>
      </c>
      <c r="AE1721">
        <v>-4.1734000000000098</v>
      </c>
      <c r="AF1721">
        <v>6.0041363668770504</v>
      </c>
      <c r="AG1721">
        <v>-1.1055133619749999</v>
      </c>
      <c r="AH1721">
        <v>12.3204254974239</v>
      </c>
      <c r="AI1721">
        <v>94.611587109223194</v>
      </c>
      <c r="AJ1721">
        <v>64.018548913399698</v>
      </c>
      <c r="AK1721">
        <v>13.7500799176999</v>
      </c>
      <c r="AL1721">
        <v>80.173362772501306</v>
      </c>
      <c r="AM1721">
        <v>71.342829880401396</v>
      </c>
      <c r="AN1721">
        <v>0.99999997595510404</v>
      </c>
    </row>
    <row r="1722" spans="1:40" x14ac:dyDescent="0.25">
      <c r="A1722" t="str">
        <f>"20190312172925283"</f>
        <v>20190312172925283</v>
      </c>
      <c r="B1722" t="str">
        <f>"1552382965279098"</f>
        <v>1552382965279098</v>
      </c>
      <c r="C1722" t="s">
        <v>40</v>
      </c>
      <c r="D1722">
        <v>3.4912839999999998</v>
      </c>
      <c r="E1722">
        <v>0.54740080000000002</v>
      </c>
      <c r="F1722" t="s">
        <v>47</v>
      </c>
      <c r="G1722">
        <v>-212.32820000000001</v>
      </c>
      <c r="H1722" s="1">
        <v>-2.9786320000000001E-7</v>
      </c>
      <c r="I1722">
        <v>283.40859999999998</v>
      </c>
      <c r="J1722">
        <v>-199.1995</v>
      </c>
      <c r="K1722">
        <v>1.1055090000000001</v>
      </c>
      <c r="L1722">
        <v>287.44690000000003</v>
      </c>
      <c r="M1722">
        <v>-0.73153669999999904</v>
      </c>
      <c r="N1722">
        <v>0</v>
      </c>
      <c r="O1722">
        <v>-0.68165189999999998</v>
      </c>
      <c r="P1722">
        <v>-0.89792959999999999</v>
      </c>
      <c r="Q1722">
        <v>0.16127049999999901</v>
      </c>
      <c r="R1722">
        <v>-0.40952939999999999</v>
      </c>
      <c r="S1722">
        <v>-2.9662320000000002</v>
      </c>
      <c r="T1722">
        <v>-0.24716080000000001</v>
      </c>
      <c r="U1722">
        <v>-0.92846680000000004</v>
      </c>
      <c r="V1722">
        <v>0.31460199999999999</v>
      </c>
      <c r="W1722">
        <v>0.17087620000000001</v>
      </c>
      <c r="X1722">
        <v>0.93371669999999996</v>
      </c>
      <c r="Y1722">
        <v>0.42903760000000002</v>
      </c>
      <c r="Z1722">
        <v>6.7193089999999997E-2</v>
      </c>
      <c r="AA1722">
        <v>0.90078400000000003</v>
      </c>
      <c r="AB1722">
        <v>17</v>
      </c>
      <c r="AC1722">
        <v>-13.1287</v>
      </c>
      <c r="AD1722">
        <v>-1.1055092978632</v>
      </c>
      <c r="AE1722">
        <v>-4.0383000000000404</v>
      </c>
      <c r="AF1722">
        <v>5.9570644150067098</v>
      </c>
      <c r="AG1722">
        <v>-1.1055092978632</v>
      </c>
      <c r="AH1722">
        <v>12.2785691023239</v>
      </c>
      <c r="AI1722">
        <v>94.631160111504599</v>
      </c>
      <c r="AJ1722">
        <v>64.119216965194397</v>
      </c>
      <c r="AK1722">
        <v>13.6920424500052</v>
      </c>
      <c r="AL1722">
        <v>80.1612327786207</v>
      </c>
      <c r="AM1722">
        <v>71.379518994413303</v>
      </c>
      <c r="AN1722">
        <v>0.99999998499466403</v>
      </c>
    </row>
    <row r="1723" spans="1:40" x14ac:dyDescent="0.25">
      <c r="A1723" t="str">
        <f>"20190312172925305"</f>
        <v>20190312172925305</v>
      </c>
      <c r="B1723" t="str">
        <f>"1552382965299594"</f>
        <v>1552382965299594</v>
      </c>
      <c r="C1723" t="s">
        <v>40</v>
      </c>
      <c r="D1723">
        <v>3.4831279999999998</v>
      </c>
      <c r="E1723">
        <v>0.54657349999999905</v>
      </c>
      <c r="F1723" t="s">
        <v>47</v>
      </c>
      <c r="G1723">
        <v>-212.60560000000001</v>
      </c>
      <c r="H1723" s="1">
        <v>-1.502085E-7</v>
      </c>
      <c r="I1723">
        <v>283.23469999999998</v>
      </c>
      <c r="J1723">
        <v>-199.33670000000001</v>
      </c>
      <c r="K1723">
        <v>1.1055060000000001</v>
      </c>
      <c r="L1723">
        <v>287.33629999999999</v>
      </c>
      <c r="M1723">
        <v>-0.7386876</v>
      </c>
      <c r="N1723">
        <v>0</v>
      </c>
      <c r="O1723">
        <v>-0.673896099999999</v>
      </c>
      <c r="P1723">
        <v>-0.90195329999999996</v>
      </c>
      <c r="Q1723">
        <v>0.16145139999999999</v>
      </c>
      <c r="R1723">
        <v>-0.40051720000000002</v>
      </c>
      <c r="S1723">
        <v>-2.9606170000000001</v>
      </c>
      <c r="T1723">
        <v>-0.24414069999999999</v>
      </c>
      <c r="U1723">
        <v>-0.93020630000000004</v>
      </c>
      <c r="V1723">
        <v>0.31408419999999998</v>
      </c>
      <c r="W1723">
        <v>0.171061299999999</v>
      </c>
      <c r="X1723">
        <v>0.9338571</v>
      </c>
      <c r="Y1723">
        <v>0.41862690000000002</v>
      </c>
      <c r="Z1723">
        <v>6.5646200000000002E-2</v>
      </c>
      <c r="AA1723">
        <v>0.90578259999999999</v>
      </c>
      <c r="AB1723">
        <v>17</v>
      </c>
      <c r="AC1723">
        <v>-13.2689</v>
      </c>
      <c r="AD1723">
        <v>-1.1055061502085</v>
      </c>
      <c r="AE1723">
        <v>-4.1016000000000101</v>
      </c>
      <c r="AF1723">
        <v>5.8754368616029202</v>
      </c>
      <c r="AG1723">
        <v>-1.1055061502085</v>
      </c>
      <c r="AH1723">
        <v>12.487786825595901</v>
      </c>
      <c r="AI1723">
        <v>94.579828535071599</v>
      </c>
      <c r="AJ1723">
        <v>64.803266513562207</v>
      </c>
      <c r="AK1723">
        <v>13.845133511973</v>
      </c>
      <c r="AL1723">
        <v>80.150468678650597</v>
      </c>
      <c r="AM1723">
        <v>71.410661337550493</v>
      </c>
      <c r="AN1723">
        <v>0.99999996813386904</v>
      </c>
    </row>
    <row r="1724" spans="1:40" x14ac:dyDescent="0.25">
      <c r="A1724" t="str">
        <f>"20190312172925328"</f>
        <v>20190312172925328</v>
      </c>
      <c r="B1724" t="str">
        <f>"1552382965319113"</f>
        <v>1552382965319113</v>
      </c>
      <c r="C1724" t="s">
        <v>40</v>
      </c>
      <c r="D1724">
        <v>3.4688140000000001</v>
      </c>
      <c r="E1724">
        <v>0.54277690000000001</v>
      </c>
      <c r="F1724" t="s">
        <v>47</v>
      </c>
      <c r="G1724">
        <v>-212.6438</v>
      </c>
      <c r="H1724" s="1">
        <v>-1.2990960000000001E-7</v>
      </c>
      <c r="I1724">
        <v>283.2704</v>
      </c>
      <c r="J1724">
        <v>-199.47989999999999</v>
      </c>
      <c r="K1724">
        <v>1.1054999999999999</v>
      </c>
      <c r="L1724">
        <v>287.2235</v>
      </c>
      <c r="M1724">
        <v>-0.74602840000000004</v>
      </c>
      <c r="N1724">
        <v>0</v>
      </c>
      <c r="O1724">
        <v>-0.66576020000000002</v>
      </c>
      <c r="P1724">
        <v>-0.90604700000000005</v>
      </c>
      <c r="Q1724">
        <v>0.16202269999999999</v>
      </c>
      <c r="R1724">
        <v>-0.39093159999999999</v>
      </c>
      <c r="S1724">
        <v>-2.9676209999999998</v>
      </c>
      <c r="T1724">
        <v>-0.24654029999999999</v>
      </c>
      <c r="U1724">
        <v>-0.9067383</v>
      </c>
      <c r="V1724">
        <v>0.31369380000000002</v>
      </c>
      <c r="W1724">
        <v>0.1716326</v>
      </c>
      <c r="X1724">
        <v>0.93388349999999998</v>
      </c>
      <c r="Y1724">
        <v>0.41579919999999998</v>
      </c>
      <c r="Z1724">
        <v>6.5681450000000002E-2</v>
      </c>
      <c r="AA1724">
        <v>0.90708160000000004</v>
      </c>
      <c r="AB1724">
        <v>17</v>
      </c>
      <c r="AC1724">
        <v>-13.1639</v>
      </c>
      <c r="AD1724">
        <v>-1.1055001299095999</v>
      </c>
      <c r="AE1724">
        <v>-3.9531000000000001</v>
      </c>
      <c r="AF1724">
        <v>5.77809226225488</v>
      </c>
      <c r="AG1724">
        <v>-1.1055001299095999</v>
      </c>
      <c r="AH1724">
        <v>12.3736885053646</v>
      </c>
      <c r="AI1724">
        <v>94.628096548415002</v>
      </c>
      <c r="AJ1724">
        <v>64.969023011434302</v>
      </c>
      <c r="AK1724">
        <v>13.700972518626299</v>
      </c>
      <c r="AL1724">
        <v>80.117244257814903</v>
      </c>
      <c r="AM1724">
        <v>71.432671408488503</v>
      </c>
      <c r="AN1724">
        <v>0.99999997055672396</v>
      </c>
    </row>
    <row r="1725" spans="1:40" x14ac:dyDescent="0.25">
      <c r="A1725" t="str">
        <f>"20190312172925347"</f>
        <v>20190312172925347</v>
      </c>
      <c r="B1725" t="str">
        <f>"1552382965339501"</f>
        <v>1552382965339501</v>
      </c>
      <c r="C1725" t="s">
        <v>40</v>
      </c>
      <c r="D1725">
        <v>3.4412780000000001</v>
      </c>
      <c r="E1725">
        <v>0.542317099999999</v>
      </c>
      <c r="F1725" t="s">
        <v>47</v>
      </c>
      <c r="G1725">
        <v>-213.2261</v>
      </c>
      <c r="H1725" s="1">
        <v>1.7998290000000001E-7</v>
      </c>
      <c r="I1725">
        <v>283.03609999999998</v>
      </c>
      <c r="J1725">
        <v>-199.60120000000001</v>
      </c>
      <c r="K1725">
        <v>1.1054949999999999</v>
      </c>
      <c r="L1725">
        <v>287.13</v>
      </c>
      <c r="M1725">
        <v>-0.75214840000000005</v>
      </c>
      <c r="N1725">
        <v>0</v>
      </c>
      <c r="O1725">
        <v>-0.65883829999999999</v>
      </c>
      <c r="P1725">
        <v>-0.90909549999999995</v>
      </c>
      <c r="Q1725">
        <v>0.16248889999999999</v>
      </c>
      <c r="R1725">
        <v>-0.3835924</v>
      </c>
      <c r="S1725">
        <v>-2.9640960000000001</v>
      </c>
      <c r="T1725">
        <v>-0.23837939999999999</v>
      </c>
      <c r="U1725">
        <v>-0.90292360000000005</v>
      </c>
      <c r="V1725">
        <v>0.31256610000000001</v>
      </c>
      <c r="W1725">
        <v>0.1721155</v>
      </c>
      <c r="X1725">
        <v>0.93417269999999997</v>
      </c>
      <c r="Y1725">
        <v>0.40837269999999998</v>
      </c>
      <c r="Z1725">
        <v>6.2931570000000006E-2</v>
      </c>
      <c r="AA1725">
        <v>0.91064339999999999</v>
      </c>
      <c r="AB1725">
        <v>17</v>
      </c>
      <c r="AC1725">
        <v>-13.624899999999901</v>
      </c>
      <c r="AD1725">
        <v>-1.1054948200171</v>
      </c>
      <c r="AE1725">
        <v>-4.0939000000000103</v>
      </c>
      <c r="AF1725">
        <v>5.86259035230725</v>
      </c>
      <c r="AG1725">
        <v>-1.1054948200171</v>
      </c>
      <c r="AH1725">
        <v>12.868786861123301</v>
      </c>
      <c r="AI1725">
        <v>94.470009262297694</v>
      </c>
      <c r="AJ1725">
        <v>65.507571699958703</v>
      </c>
      <c r="AK1725">
        <v>14.1844196114283</v>
      </c>
      <c r="AL1725">
        <v>80.089158196462506</v>
      </c>
      <c r="AM1725">
        <v>71.500204803422605</v>
      </c>
      <c r="AN1725">
        <v>0.99999997281737396</v>
      </c>
    </row>
    <row r="1726" spans="1:40" x14ac:dyDescent="0.25">
      <c r="A1726" t="str">
        <f>"20190312172925370"</f>
        <v>20190312172925370</v>
      </c>
      <c r="B1726" t="str">
        <f>"1552382965358997"</f>
        <v>1552382965358997</v>
      </c>
      <c r="C1726" t="s">
        <v>40</v>
      </c>
      <c r="D1726">
        <v>3.4717669999999998</v>
      </c>
      <c r="E1726">
        <v>0.54144720000000002</v>
      </c>
      <c r="F1726" t="s">
        <v>47</v>
      </c>
      <c r="G1726">
        <v>-213.4333</v>
      </c>
      <c r="H1726" s="1">
        <v>2.9023340000000002E-7</v>
      </c>
      <c r="I1726">
        <v>283.02210000000002</v>
      </c>
      <c r="J1726">
        <v>-199.74420000000001</v>
      </c>
      <c r="K1726">
        <v>1.1055010000000001</v>
      </c>
      <c r="L1726">
        <v>287.0222</v>
      </c>
      <c r="M1726">
        <v>-0.759248699999999</v>
      </c>
      <c r="N1726">
        <v>0</v>
      </c>
      <c r="O1726">
        <v>-0.65064290000000002</v>
      </c>
      <c r="P1726">
        <v>-0.91292260000000003</v>
      </c>
      <c r="Q1726">
        <v>0.16256470000000001</v>
      </c>
      <c r="R1726">
        <v>-0.37435930000000001</v>
      </c>
      <c r="S1726">
        <v>-2.9702449999999998</v>
      </c>
      <c r="T1726">
        <v>-0.23738909999999999</v>
      </c>
      <c r="U1726">
        <v>-0.88211059999999997</v>
      </c>
      <c r="V1726">
        <v>0.31189359999999999</v>
      </c>
      <c r="W1726">
        <v>0.17220379999999999</v>
      </c>
      <c r="X1726">
        <v>0.93438120000000002</v>
      </c>
      <c r="Y1726">
        <v>0.40490730000000003</v>
      </c>
      <c r="Z1726">
        <v>6.2048060000000002E-2</v>
      </c>
      <c r="AA1726">
        <v>0.91225000000000001</v>
      </c>
      <c r="AB1726">
        <v>17</v>
      </c>
      <c r="AC1726">
        <v>-13.6890999999999</v>
      </c>
      <c r="AD1726">
        <v>-1.1055007097666001</v>
      </c>
      <c r="AE1726">
        <v>-4.0000999999999696</v>
      </c>
      <c r="AF1726">
        <v>5.8351852697955504</v>
      </c>
      <c r="AG1726">
        <v>-1.1055007097666001</v>
      </c>
      <c r="AH1726">
        <v>12.919770249222699</v>
      </c>
      <c r="AI1726">
        <v>94.459007216649795</v>
      </c>
      <c r="AJ1726">
        <v>65.6937920181404</v>
      </c>
      <c r="AK1726">
        <v>14.219422711377399</v>
      </c>
      <c r="AL1726">
        <v>80.084022534215293</v>
      </c>
      <c r="AM1726">
        <v>71.541147260060498</v>
      </c>
      <c r="AN1726">
        <v>0.99999999668441997</v>
      </c>
    </row>
    <row r="1727" spans="1:40" x14ac:dyDescent="0.25">
      <c r="A1727" t="str">
        <f>"20190312172925392"</f>
        <v>20190312172925392</v>
      </c>
      <c r="B1727" t="str">
        <f>"1552382965389254"</f>
        <v>1552382965389254</v>
      </c>
      <c r="C1727" t="s">
        <v>40</v>
      </c>
      <c r="D1727">
        <v>3.4471310000000002</v>
      </c>
      <c r="E1727">
        <v>0.53662399999999999</v>
      </c>
      <c r="F1727" t="s">
        <v>47</v>
      </c>
      <c r="G1727">
        <v>-213.55340000000001</v>
      </c>
      <c r="H1727" s="1">
        <v>3.5415150000000002E-7</v>
      </c>
      <c r="I1727">
        <v>283.04239999999999</v>
      </c>
      <c r="J1727">
        <v>-199.88249999999999</v>
      </c>
      <c r="K1727">
        <v>1.105502</v>
      </c>
      <c r="L1727">
        <v>286.92009999999999</v>
      </c>
      <c r="M1727">
        <v>-0.76600330000000005</v>
      </c>
      <c r="N1727">
        <v>0</v>
      </c>
      <c r="O1727">
        <v>-0.6426771</v>
      </c>
      <c r="P1727">
        <v>-0.91624430000000001</v>
      </c>
      <c r="Q1727">
        <v>0.1629612</v>
      </c>
      <c r="R1727">
        <v>-0.36597790000000002</v>
      </c>
      <c r="S1727">
        <v>-2.9767760000000001</v>
      </c>
      <c r="T1727">
        <v>-0.2383063</v>
      </c>
      <c r="U1727">
        <v>-0.85787959999999996</v>
      </c>
      <c r="V1727">
        <v>0.3106506</v>
      </c>
      <c r="W1727">
        <v>0.17262469999999999</v>
      </c>
      <c r="X1727">
        <v>0.93471760000000004</v>
      </c>
      <c r="Y1727">
        <v>0.40275369999999999</v>
      </c>
      <c r="Z1727">
        <v>6.1724199999999903E-2</v>
      </c>
      <c r="AA1727">
        <v>0.91322479999999995</v>
      </c>
      <c r="AB1727">
        <v>17</v>
      </c>
      <c r="AC1727">
        <v>-13.6709</v>
      </c>
      <c r="AD1727">
        <v>-1.1055016458485001</v>
      </c>
      <c r="AE1727">
        <v>-3.8776999999999999</v>
      </c>
      <c r="AF1727">
        <v>5.7812501779907404</v>
      </c>
      <c r="AG1727">
        <v>-1.1055016458485001</v>
      </c>
      <c r="AH1727">
        <v>12.8873951987088</v>
      </c>
      <c r="AI1727">
        <v>94.475253382700799</v>
      </c>
      <c r="AJ1727">
        <v>65.839126401098</v>
      </c>
      <c r="AK1727">
        <v>14.1679194844266</v>
      </c>
      <c r="AL1727">
        <v>80.059540509692397</v>
      </c>
      <c r="AM1727">
        <v>71.615927140976197</v>
      </c>
      <c r="AN1727">
        <v>1.0000000370401001</v>
      </c>
    </row>
    <row r="1728" spans="1:40" x14ac:dyDescent="0.25">
      <c r="A1728" t="str">
        <f>"20190312172925415"</f>
        <v>20190312172925415</v>
      </c>
      <c r="B1728" t="str">
        <f>"1552382965408774"</f>
        <v>1552382965408774</v>
      </c>
      <c r="C1728" t="s">
        <v>40</v>
      </c>
      <c r="D1728">
        <v>3.4458660000000001</v>
      </c>
      <c r="E1728">
        <v>0.53562270000000001</v>
      </c>
      <c r="F1728" t="s">
        <v>47</v>
      </c>
      <c r="G1728">
        <v>-213.7628</v>
      </c>
      <c r="H1728" s="1">
        <v>4.6556100000000002E-7</v>
      </c>
      <c r="I1728">
        <v>282.8707</v>
      </c>
      <c r="J1728">
        <v>-200.0247</v>
      </c>
      <c r="K1728">
        <v>1.105515</v>
      </c>
      <c r="L1728">
        <v>286.81740000000002</v>
      </c>
      <c r="M1728">
        <v>-0.77283329999999995</v>
      </c>
      <c r="N1728">
        <v>0</v>
      </c>
      <c r="O1728">
        <v>-0.63444750000000005</v>
      </c>
      <c r="P1728">
        <v>-0.919821</v>
      </c>
      <c r="Q1728">
        <v>0.1629121</v>
      </c>
      <c r="R1728">
        <v>-0.35691630000000002</v>
      </c>
      <c r="S1728">
        <v>-2.970215</v>
      </c>
      <c r="T1728">
        <v>-0.236564</v>
      </c>
      <c r="U1728">
        <v>-0.86651610000000001</v>
      </c>
      <c r="V1728">
        <v>0.30987999999999999</v>
      </c>
      <c r="W1728">
        <v>0.1725951</v>
      </c>
      <c r="X1728">
        <v>0.9349788</v>
      </c>
      <c r="Y1728">
        <v>0.39002900000000001</v>
      </c>
      <c r="Z1728">
        <v>6.0406630000000003E-2</v>
      </c>
      <c r="AA1728">
        <v>0.91881900000000005</v>
      </c>
      <c r="AB1728">
        <v>17</v>
      </c>
      <c r="AC1728">
        <v>-13.738099999999999</v>
      </c>
      <c r="AD1728">
        <v>-1.1055145344390001</v>
      </c>
      <c r="AE1728">
        <v>-3.9467000000000199</v>
      </c>
      <c r="AF1728">
        <v>5.6328481921977396</v>
      </c>
      <c r="AG1728">
        <v>-1.1055145344390001</v>
      </c>
      <c r="AH1728">
        <v>13.0445501153699</v>
      </c>
      <c r="AI1728">
        <v>94.448938600734493</v>
      </c>
      <c r="AJ1728">
        <v>66.644530361199799</v>
      </c>
      <c r="AK1728">
        <v>14.2517166985103</v>
      </c>
      <c r="AL1728">
        <v>80.061262134322803</v>
      </c>
      <c r="AM1728">
        <v>71.663256133272597</v>
      </c>
      <c r="AN1728">
        <v>1.00000001969672</v>
      </c>
    </row>
    <row r="1729" spans="1:40" x14ac:dyDescent="0.25">
      <c r="A1729" t="str">
        <f>"20190312172925439"</f>
        <v>20190312172925439</v>
      </c>
      <c r="B1729" t="str">
        <f>"1552382965429269"</f>
        <v>1552382965429269</v>
      </c>
      <c r="C1729" t="s">
        <v>40</v>
      </c>
      <c r="D1729">
        <v>3.4578280000000001</v>
      </c>
      <c r="E1729">
        <v>0.53509530000000005</v>
      </c>
      <c r="F1729" t="s">
        <v>47</v>
      </c>
      <c r="G1729">
        <v>-213.8031</v>
      </c>
      <c r="H1729" s="1">
        <v>4.8701709999999899E-7</v>
      </c>
      <c r="I1729">
        <v>282.90699999999998</v>
      </c>
      <c r="J1729">
        <v>-200.17449999999999</v>
      </c>
      <c r="K1729">
        <v>1.1055250000000001</v>
      </c>
      <c r="L1729">
        <v>286.71190000000001</v>
      </c>
      <c r="M1729">
        <v>-0.77989109999999995</v>
      </c>
      <c r="N1729">
        <v>0</v>
      </c>
      <c r="O1729">
        <v>-0.62575159999999996</v>
      </c>
      <c r="P1729">
        <v>-0.92336309999999999</v>
      </c>
      <c r="Q1729">
        <v>0.16303489999999901</v>
      </c>
      <c r="R1729">
        <v>-0.34759289999999998</v>
      </c>
      <c r="S1729">
        <v>-2.9760439999999999</v>
      </c>
      <c r="T1729">
        <v>-0.23878479999999999</v>
      </c>
      <c r="U1729">
        <v>-0.84463500000000002</v>
      </c>
      <c r="V1729">
        <v>0.30884879999999998</v>
      </c>
      <c r="W1729">
        <v>0.1727407</v>
      </c>
      <c r="X1729">
        <v>0.93529309999999999</v>
      </c>
      <c r="Y1729">
        <v>0.38642349999999998</v>
      </c>
      <c r="Z1729">
        <v>6.0299279999999997E-2</v>
      </c>
      <c r="AA1729">
        <v>0.92034819999999995</v>
      </c>
      <c r="AB1729">
        <v>17</v>
      </c>
      <c r="AC1729">
        <v>-13.6286</v>
      </c>
      <c r="AD1729">
        <v>-1.1055245129828899</v>
      </c>
      <c r="AE1729">
        <v>-3.8049000000000301</v>
      </c>
      <c r="AF1729">
        <v>5.52753821908719</v>
      </c>
      <c r="AG1729">
        <v>-1.1055245129828899</v>
      </c>
      <c r="AH1729">
        <v>12.932136535405199</v>
      </c>
      <c r="AI1729">
        <v>94.494615103509105</v>
      </c>
      <c r="AJ1729">
        <v>66.856851426304502</v>
      </c>
      <c r="AK1729">
        <v>14.1073037318489</v>
      </c>
      <c r="AL1729">
        <v>80.052793031154295</v>
      </c>
      <c r="AM1729">
        <v>71.725947300673994</v>
      </c>
      <c r="AN1729">
        <v>1.0000000568027601</v>
      </c>
    </row>
    <row r="1730" spans="1:40" x14ac:dyDescent="0.25">
      <c r="A1730" t="str">
        <f>"20190312172925459"</f>
        <v>20190312172925459</v>
      </c>
      <c r="B1730" t="str">
        <f>"1552382965449596"</f>
        <v>1552382965449596</v>
      </c>
      <c r="C1730" t="s">
        <v>40</v>
      </c>
      <c r="D1730">
        <v>3.4741059999999999</v>
      </c>
      <c r="E1730">
        <v>0.52995329999999996</v>
      </c>
      <c r="F1730" t="s">
        <v>47</v>
      </c>
      <c r="G1730">
        <v>-213.9898</v>
      </c>
      <c r="H1730" s="1">
        <v>5.8636060000000002E-7</v>
      </c>
      <c r="I1730">
        <v>282.91969999999998</v>
      </c>
      <c r="J1730">
        <v>-200.3125</v>
      </c>
      <c r="K1730">
        <v>1.1055280000000001</v>
      </c>
      <c r="L1730">
        <v>286.61680000000001</v>
      </c>
      <c r="M1730">
        <v>-0.78627999999999998</v>
      </c>
      <c r="N1730">
        <v>0</v>
      </c>
      <c r="O1730">
        <v>-0.61770419999999904</v>
      </c>
      <c r="P1730">
        <v>-0.92659970000000003</v>
      </c>
      <c r="Q1730">
        <v>0.1626351</v>
      </c>
      <c r="R1730">
        <v>-0.33906209999999998</v>
      </c>
      <c r="S1730">
        <v>-2.9828950000000001</v>
      </c>
      <c r="T1730">
        <v>-0.23869660000000001</v>
      </c>
      <c r="U1730">
        <v>-0.81878660000000003</v>
      </c>
      <c r="V1730">
        <v>0.30789729999999998</v>
      </c>
      <c r="W1730">
        <v>0.1723626</v>
      </c>
      <c r="X1730">
        <v>0.93567650000000002</v>
      </c>
      <c r="Y1730">
        <v>0.38493280000000002</v>
      </c>
      <c r="Z1730">
        <v>5.9712830000000001E-2</v>
      </c>
      <c r="AA1730">
        <v>0.92101089999999997</v>
      </c>
      <c r="AB1730">
        <v>17</v>
      </c>
      <c r="AC1730">
        <v>-13.677300000000001</v>
      </c>
      <c r="AD1730">
        <v>-1.10552741363939</v>
      </c>
      <c r="AE1730">
        <v>-3.69710000000003</v>
      </c>
      <c r="AF1730">
        <v>5.5085995547877804</v>
      </c>
      <c r="AG1730">
        <v>-1.10552741363939</v>
      </c>
      <c r="AH1730">
        <v>12.9603309003815</v>
      </c>
      <c r="AI1730">
        <v>94.488742992801704</v>
      </c>
      <c r="AJ1730">
        <v>66.972789576579999</v>
      </c>
      <c r="AK1730">
        <v>14.125757925318601</v>
      </c>
      <c r="AL1730">
        <v>80.074786516787</v>
      </c>
      <c r="AM1730">
        <v>71.785494113626498</v>
      </c>
      <c r="AN1730">
        <v>1.0000000629391399</v>
      </c>
    </row>
    <row r="1731" spans="1:40" x14ac:dyDescent="0.25">
      <c r="A1731" t="str">
        <f>"20190312172925481"</f>
        <v>20190312172925481</v>
      </c>
      <c r="B1731" t="str">
        <f>"1552382965478876"</f>
        <v>1552382965478876</v>
      </c>
      <c r="C1731" t="s">
        <v>40</v>
      </c>
      <c r="D1731">
        <v>3.4319790000000001</v>
      </c>
      <c r="E1731">
        <v>0.52897479999999997</v>
      </c>
      <c r="F1731" t="s">
        <v>47</v>
      </c>
      <c r="G1731">
        <v>-213.95959999999999</v>
      </c>
      <c r="H1731" s="1">
        <v>5.7032819999999998E-7</v>
      </c>
      <c r="I1731">
        <v>282.81130000000002</v>
      </c>
      <c r="J1731">
        <v>-200.4555</v>
      </c>
      <c r="K1731">
        <v>1.105532</v>
      </c>
      <c r="L1731">
        <v>286.5206</v>
      </c>
      <c r="M1731">
        <v>-0.79277489999999995</v>
      </c>
      <c r="N1731">
        <v>0</v>
      </c>
      <c r="O1731">
        <v>-0.609346099999999</v>
      </c>
      <c r="P1731">
        <v>-0.92974000000000001</v>
      </c>
      <c r="Q1731">
        <v>0.16284399999999999</v>
      </c>
      <c r="R1731">
        <v>-0.33025009999999999</v>
      </c>
      <c r="S1731">
        <v>-2.9762729999999999</v>
      </c>
      <c r="T1731">
        <v>-0.2411026</v>
      </c>
      <c r="U1731">
        <v>-0.82992549999999898</v>
      </c>
      <c r="V1731">
        <v>0.30685020000000002</v>
      </c>
      <c r="W1731">
        <v>0.17259360000000001</v>
      </c>
      <c r="X1731">
        <v>0.93597779999999997</v>
      </c>
      <c r="Y1731">
        <v>0.3713997</v>
      </c>
      <c r="Z1731">
        <v>5.9360280000000001E-2</v>
      </c>
      <c r="AA1731">
        <v>0.9265736</v>
      </c>
      <c r="AB1731">
        <v>17</v>
      </c>
      <c r="AC1731">
        <v>-13.5040999999999</v>
      </c>
      <c r="AD1731">
        <v>-1.1055314296718</v>
      </c>
      <c r="AE1731">
        <v>-3.7092999999999798</v>
      </c>
      <c r="AF1731">
        <v>5.2558198082125198</v>
      </c>
      <c r="AG1731">
        <v>-1.1055314296718</v>
      </c>
      <c r="AH1731">
        <v>12.886979610342401</v>
      </c>
      <c r="AI1731">
        <v>94.541719766170203</v>
      </c>
      <c r="AJ1731">
        <v>67.812422687583606</v>
      </c>
      <c r="AK1731">
        <v>13.961378337247799</v>
      </c>
      <c r="AL1731">
        <v>80.061349380874404</v>
      </c>
      <c r="AM1731">
        <v>71.848828907895907</v>
      </c>
      <c r="AN1731">
        <v>1.00000001904691</v>
      </c>
    </row>
    <row r="1732" spans="1:40" x14ac:dyDescent="0.25">
      <c r="A1732" t="str">
        <f>"20190312172925503"</f>
        <v>20190312172925503</v>
      </c>
      <c r="B1732" t="str">
        <f>"1552382965499372"</f>
        <v>1552382965499372</v>
      </c>
      <c r="C1732" t="s">
        <v>40</v>
      </c>
      <c r="D1732">
        <v>3.4235470000000001</v>
      </c>
      <c r="E1732">
        <v>0.52851009999999998</v>
      </c>
      <c r="F1732" t="s">
        <v>47</v>
      </c>
      <c r="G1732">
        <v>-214.1576</v>
      </c>
      <c r="H1732" s="1">
        <v>6.7568289999999996E-7</v>
      </c>
      <c r="I1732">
        <v>282.80369999999999</v>
      </c>
      <c r="J1732">
        <v>-200.59370000000001</v>
      </c>
      <c r="K1732">
        <v>1.105542</v>
      </c>
      <c r="L1732">
        <v>286.42959999999999</v>
      </c>
      <c r="M1732">
        <v>-0.79893610000000004</v>
      </c>
      <c r="N1732">
        <v>0</v>
      </c>
      <c r="O1732">
        <v>-0.60124519999999904</v>
      </c>
      <c r="P1732">
        <v>-0.93287120000000001</v>
      </c>
      <c r="Q1732">
        <v>0.1630394</v>
      </c>
      <c r="R1732">
        <v>-0.32120029999999999</v>
      </c>
      <c r="S1732">
        <v>-2.9815670000000001</v>
      </c>
      <c r="T1732">
        <v>-0.24056259999999999</v>
      </c>
      <c r="U1732">
        <v>-0.80877690000000002</v>
      </c>
      <c r="V1732">
        <v>0.3063958</v>
      </c>
      <c r="W1732">
        <v>0.1728017</v>
      </c>
      <c r="X1732">
        <v>0.93608820000000004</v>
      </c>
      <c r="Y1732">
        <v>0.36852960000000001</v>
      </c>
      <c r="Z1732">
        <v>5.8601189999999997E-2</v>
      </c>
      <c r="AA1732">
        <v>0.92776709999999996</v>
      </c>
      <c r="AB1732">
        <v>17</v>
      </c>
      <c r="AC1732">
        <v>-13.563899999999901</v>
      </c>
      <c r="AD1732">
        <v>-1.1055413243170999</v>
      </c>
      <c r="AE1732">
        <v>-3.6259000000000001</v>
      </c>
      <c r="AF1732">
        <v>5.2265019680120002</v>
      </c>
      <c r="AG1732">
        <v>-1.1055413243170999</v>
      </c>
      <c r="AH1732">
        <v>12.9378636365053</v>
      </c>
      <c r="AI1732">
        <v>94.530052060253396</v>
      </c>
      <c r="AJ1732">
        <v>68.002795392338996</v>
      </c>
      <c r="AK1732">
        <v>13.9973876104869</v>
      </c>
      <c r="AL1732">
        <v>80.049243714913302</v>
      </c>
      <c r="AM1732">
        <v>71.875947031619503</v>
      </c>
      <c r="AN1732">
        <v>0.99999996597988405</v>
      </c>
    </row>
    <row r="1733" spans="1:40" x14ac:dyDescent="0.25">
      <c r="A1733" t="str">
        <f>"20190312172925526"</f>
        <v>20190312172925526</v>
      </c>
      <c r="B1733" t="str">
        <f>"1552382965518892"</f>
        <v>1552382965518892</v>
      </c>
      <c r="C1733" t="s">
        <v>40</v>
      </c>
      <c r="D1733">
        <v>3.4347490000000001</v>
      </c>
      <c r="E1733">
        <v>0.52411509999999994</v>
      </c>
      <c r="F1733" t="s">
        <v>47</v>
      </c>
      <c r="G1733">
        <v>-214.24590000000001</v>
      </c>
      <c r="H1733" s="1">
        <v>7.2268769999999898E-7</v>
      </c>
      <c r="I1733">
        <v>282.8503</v>
      </c>
      <c r="J1733">
        <v>-200.7388</v>
      </c>
      <c r="K1733">
        <v>1.1055539999999999</v>
      </c>
      <c r="L1733">
        <v>286.3365</v>
      </c>
      <c r="M1733">
        <v>-0.80528269999999902</v>
      </c>
      <c r="N1733">
        <v>0</v>
      </c>
      <c r="O1733">
        <v>-0.59271799999999997</v>
      </c>
      <c r="P1733">
        <v>-0.93618420000000002</v>
      </c>
      <c r="Q1733">
        <v>0.1628578</v>
      </c>
      <c r="R1733">
        <v>-0.31150679999999997</v>
      </c>
      <c r="S1733">
        <v>-2.9884029999999999</v>
      </c>
      <c r="T1733">
        <v>-0.24199689999999999</v>
      </c>
      <c r="U1733">
        <v>-0.78350830000000005</v>
      </c>
      <c r="V1733">
        <v>0.30616539999999998</v>
      </c>
      <c r="W1733">
        <v>0.1726317</v>
      </c>
      <c r="X1733">
        <v>0.936195</v>
      </c>
      <c r="Y1733">
        <v>0.36651050000000002</v>
      </c>
      <c r="Z1733">
        <v>5.8305500000000003E-2</v>
      </c>
      <c r="AA1733">
        <v>0.9285852</v>
      </c>
      <c r="AB1733">
        <v>17</v>
      </c>
      <c r="AC1733">
        <v>-13.507099999999999</v>
      </c>
      <c r="AD1733">
        <v>-1.1055532773123</v>
      </c>
      <c r="AE1733">
        <v>-3.48619999999999</v>
      </c>
      <c r="AF1733">
        <v>5.1666067416683497</v>
      </c>
      <c r="AG1733">
        <v>-1.1055532773123</v>
      </c>
      <c r="AH1733">
        <v>12.8638974995353</v>
      </c>
      <c r="AI1733">
        <v>94.559709310928199</v>
      </c>
      <c r="AJ1733">
        <v>68.117820095309099</v>
      </c>
      <c r="AK1733">
        <v>13.9066865985604</v>
      </c>
      <c r="AL1733">
        <v>80.059133125125896</v>
      </c>
      <c r="AM1733">
        <v>71.890616791772899</v>
      </c>
      <c r="AN1733">
        <v>1.0000000170135199</v>
      </c>
    </row>
    <row r="1734" spans="1:40" x14ac:dyDescent="0.25">
      <c r="A1734" t="str">
        <f>"20190312172925548"</f>
        <v>20190312172925548</v>
      </c>
      <c r="B1734" t="str">
        <f>"1552382965539388"</f>
        <v>1552382965539388</v>
      </c>
      <c r="C1734" t="s">
        <v>40</v>
      </c>
      <c r="D1734">
        <v>3.4138009999999999</v>
      </c>
      <c r="E1734">
        <v>0.52365810000000002</v>
      </c>
      <c r="F1734" t="s">
        <v>47</v>
      </c>
      <c r="G1734">
        <v>-213.9787</v>
      </c>
      <c r="H1734" s="1">
        <v>5.8047359999999899E-7</v>
      </c>
      <c r="I1734">
        <v>282.8501</v>
      </c>
      <c r="J1734">
        <v>-200.8854</v>
      </c>
      <c r="K1734">
        <v>1.105564</v>
      </c>
      <c r="L1734">
        <v>286.24459999999999</v>
      </c>
      <c r="M1734">
        <v>-0.81156809999999902</v>
      </c>
      <c r="N1734">
        <v>0</v>
      </c>
      <c r="O1734">
        <v>-0.58408209999999905</v>
      </c>
      <c r="P1734">
        <v>-0.93945449999999997</v>
      </c>
      <c r="Q1734">
        <v>0.1626561</v>
      </c>
      <c r="R1734">
        <v>-0.30160989999999999</v>
      </c>
      <c r="S1734">
        <v>-2.9862060000000001</v>
      </c>
      <c r="T1734">
        <v>-0.24935280000000001</v>
      </c>
      <c r="U1734">
        <v>-0.7863464</v>
      </c>
      <c r="V1734">
        <v>0.30605650000000001</v>
      </c>
      <c r="W1734">
        <v>0.1724415</v>
      </c>
      <c r="X1734">
        <v>0.93626560000000003</v>
      </c>
      <c r="Y1734">
        <v>0.35544910000000002</v>
      </c>
      <c r="Z1734">
        <v>5.9097150000000001E-2</v>
      </c>
      <c r="AA1734">
        <v>0.93282549999999997</v>
      </c>
      <c r="AB1734">
        <v>17</v>
      </c>
      <c r="AC1734">
        <v>-13.093299999999999</v>
      </c>
      <c r="AD1734">
        <v>-1.1055634195263999</v>
      </c>
      <c r="AE1734">
        <v>-3.3944999999999901</v>
      </c>
      <c r="AF1734">
        <v>4.8607238658319902</v>
      </c>
      <c r="AG1734">
        <v>-1.1055634195263999</v>
      </c>
      <c r="AH1734">
        <v>12.526381677715101</v>
      </c>
      <c r="AI1734">
        <v>94.703770347907806</v>
      </c>
      <c r="AJ1734">
        <v>68.791807739678902</v>
      </c>
      <c r="AK1734">
        <v>13.4818079243942</v>
      </c>
      <c r="AL1734">
        <v>80.070196158990996</v>
      </c>
      <c r="AM1734">
        <v>71.897913880749897</v>
      </c>
      <c r="AN1734">
        <v>0.99999996292892901</v>
      </c>
    </row>
    <row r="1735" spans="1:40" x14ac:dyDescent="0.25">
      <c r="A1735" t="str">
        <f>"20190312172925570"</f>
        <v>20190312172925570</v>
      </c>
      <c r="B1735" t="str">
        <f>"1552382965558912"</f>
        <v>1552382965558912</v>
      </c>
      <c r="C1735" t="s">
        <v>40</v>
      </c>
      <c r="D1735">
        <v>3.4159639999999998</v>
      </c>
      <c r="E1735">
        <v>0.52291659999999995</v>
      </c>
      <c r="F1735" t="s">
        <v>47</v>
      </c>
      <c r="G1735">
        <v>-214.02760000000001</v>
      </c>
      <c r="H1735" s="1">
        <v>6.0652390000000002E-7</v>
      </c>
      <c r="I1735">
        <v>282.91910000000001</v>
      </c>
      <c r="J1735">
        <v>-201.0317</v>
      </c>
      <c r="K1735">
        <v>1.1055870000000001</v>
      </c>
      <c r="L1735">
        <v>286.15499999999997</v>
      </c>
      <c r="M1735">
        <v>-0.81771459999999996</v>
      </c>
      <c r="N1735">
        <v>0</v>
      </c>
      <c r="O1735">
        <v>-0.57544580000000001</v>
      </c>
      <c r="P1735">
        <v>-0.94249810000000001</v>
      </c>
      <c r="Q1735">
        <v>0.1623714</v>
      </c>
      <c r="R1735">
        <v>-0.29211870000000001</v>
      </c>
      <c r="S1735">
        <v>-2.993744</v>
      </c>
      <c r="T1735">
        <v>-0.25184210000000001</v>
      </c>
      <c r="U1735">
        <v>-0.75753780000000004</v>
      </c>
      <c r="V1735">
        <v>0.30559069999999999</v>
      </c>
      <c r="W1735">
        <v>0.17217660000000001</v>
      </c>
      <c r="X1735">
        <v>0.93646649999999998</v>
      </c>
      <c r="Y1735">
        <v>0.35451450000000001</v>
      </c>
      <c r="Z1735">
        <v>5.9038430000000003E-2</v>
      </c>
      <c r="AA1735">
        <v>0.93318480000000004</v>
      </c>
      <c r="AB1735">
        <v>17</v>
      </c>
      <c r="AC1735">
        <v>-12.995900000000001</v>
      </c>
      <c r="AD1735">
        <v>-1.1055863934761001</v>
      </c>
      <c r="AE1735">
        <v>-3.2358999999999498</v>
      </c>
      <c r="AF1735">
        <v>4.80017677613918</v>
      </c>
      <c r="AG1735">
        <v>-1.1055863934761001</v>
      </c>
      <c r="AH1735">
        <v>12.4057603650148</v>
      </c>
      <c r="AI1735">
        <v>94.751159734627095</v>
      </c>
      <c r="AJ1735">
        <v>68.846986926988706</v>
      </c>
      <c r="AK1735">
        <v>13.347917762325199</v>
      </c>
      <c r="AL1735">
        <v>80.0856044583619</v>
      </c>
      <c r="AM1735">
        <v>71.927296607242894</v>
      </c>
      <c r="AN1735">
        <v>0.99999998156814895</v>
      </c>
    </row>
    <row r="1736" spans="1:40" x14ac:dyDescent="0.25">
      <c r="A1736" t="str">
        <f>"20190312172925593"</f>
        <v>20190312172925593</v>
      </c>
      <c r="B1736" t="str">
        <f>"1552382965589164"</f>
        <v>1552382965589164</v>
      </c>
      <c r="C1736" t="s">
        <v>40</v>
      </c>
      <c r="D1736">
        <v>3.5161850000000001</v>
      </c>
      <c r="E1736">
        <v>0.54205309999999995</v>
      </c>
      <c r="F1736" t="s">
        <v>47</v>
      </c>
      <c r="G1736">
        <v>-214.06440000000001</v>
      </c>
      <c r="H1736" s="1">
        <v>6.2608219999999899E-7</v>
      </c>
      <c r="I1736">
        <v>282.96969999999999</v>
      </c>
      <c r="J1736">
        <v>-201.18100000000001</v>
      </c>
      <c r="K1736">
        <v>1.105613</v>
      </c>
      <c r="L1736">
        <v>286.06569999999999</v>
      </c>
      <c r="M1736">
        <v>-0.82385529999999996</v>
      </c>
      <c r="N1736">
        <v>0</v>
      </c>
      <c r="O1736">
        <v>-0.56661930000000005</v>
      </c>
      <c r="P1736">
        <v>-0.9454882</v>
      </c>
      <c r="Q1736">
        <v>0.16225059999999999</v>
      </c>
      <c r="R1736">
        <v>-0.2823599</v>
      </c>
      <c r="S1736">
        <v>-2.9996339999999999</v>
      </c>
      <c r="T1736">
        <v>-0.25446429999999998</v>
      </c>
      <c r="U1736">
        <v>-0.73312379999999999</v>
      </c>
      <c r="V1736">
        <v>0.30520150000000001</v>
      </c>
      <c r="W1736">
        <v>0.1720756</v>
      </c>
      <c r="X1736">
        <v>0.936612</v>
      </c>
      <c r="Y1736">
        <v>0.35202909999999998</v>
      </c>
      <c r="Z1736">
        <v>5.892849E-2</v>
      </c>
      <c r="AA1736">
        <v>0.93413219999999997</v>
      </c>
      <c r="AB1736">
        <v>17</v>
      </c>
      <c r="AC1736">
        <v>-12.8834</v>
      </c>
      <c r="AD1736">
        <v>-1.1056123739178001</v>
      </c>
      <c r="AE1736">
        <v>-3.0960000000000001</v>
      </c>
      <c r="AF1736">
        <v>4.7169722889252901</v>
      </c>
      <c r="AG1736">
        <v>-1.1056123739178001</v>
      </c>
      <c r="AH1736">
        <v>12.284051604995</v>
      </c>
      <c r="AI1736">
        <v>94.8028409581689</v>
      </c>
      <c r="AJ1736">
        <v>68.993631394159095</v>
      </c>
      <c r="AK1736">
        <v>13.2049282516048</v>
      </c>
      <c r="AL1736">
        <v>80.091479226150497</v>
      </c>
      <c r="AM1736">
        <v>71.951442301212893</v>
      </c>
      <c r="AN1736">
        <v>1.0000000031308001</v>
      </c>
    </row>
    <row r="1737" spans="1:40" x14ac:dyDescent="0.25">
      <c r="A1737" t="str">
        <f>"20190312172925615"</f>
        <v>20190312172925615</v>
      </c>
      <c r="B1737" t="str">
        <f>"1552382965608685"</f>
        <v>1552382965608685</v>
      </c>
      <c r="C1737" t="s">
        <v>40</v>
      </c>
      <c r="D1737">
        <v>3.4054730000000002</v>
      </c>
      <c r="E1737">
        <v>0.55212499999999998</v>
      </c>
      <c r="F1737" t="s">
        <v>47</v>
      </c>
      <c r="G1737">
        <v>-215.95859999999999</v>
      </c>
      <c r="H1737" s="1">
        <v>1.6340599999999999E-6</v>
      </c>
      <c r="I1737">
        <v>283.37509999999997</v>
      </c>
      <c r="J1737">
        <v>-201.3287</v>
      </c>
      <c r="K1737">
        <v>1.105639</v>
      </c>
      <c r="L1737">
        <v>285.97949999999997</v>
      </c>
      <c r="M1737">
        <v>-0.82979820000000004</v>
      </c>
      <c r="N1737">
        <v>0</v>
      </c>
      <c r="O1737">
        <v>-0.55788019999999905</v>
      </c>
      <c r="P1737">
        <v>-0.94818959999999997</v>
      </c>
      <c r="Q1737">
        <v>0.16253879999999901</v>
      </c>
      <c r="R1737">
        <v>-0.27297949999999999</v>
      </c>
      <c r="S1737">
        <v>-3.0464319999999998</v>
      </c>
      <c r="T1737">
        <v>-0.2279253</v>
      </c>
      <c r="U1737">
        <v>-0.5546875</v>
      </c>
      <c r="V1737">
        <v>0.30454550000000002</v>
      </c>
      <c r="W1737">
        <v>0.1723865</v>
      </c>
      <c r="X1737">
        <v>0.93676839999999995</v>
      </c>
      <c r="Y1737">
        <v>0.3978699</v>
      </c>
      <c r="Z1737">
        <v>5.3662929999999998E-2</v>
      </c>
      <c r="AA1737">
        <v>0.91587110000000005</v>
      </c>
      <c r="AB1737">
        <v>17</v>
      </c>
      <c r="AC1737">
        <v>-14.6298999999999</v>
      </c>
      <c r="AD1737">
        <v>-1.1056373659400001</v>
      </c>
      <c r="AE1737">
        <v>-2.6043999999999898</v>
      </c>
      <c r="AF1737">
        <v>5.9681795316692101</v>
      </c>
      <c r="AG1737">
        <v>-1.1056373659400001</v>
      </c>
      <c r="AH1737">
        <v>13.519356186587499</v>
      </c>
      <c r="AI1737">
        <v>94.278666806084004</v>
      </c>
      <c r="AJ1737">
        <v>66.1807272066753</v>
      </c>
      <c r="AK1737">
        <v>14.8193991985849</v>
      </c>
      <c r="AL1737">
        <v>80.073396220079999</v>
      </c>
      <c r="AM1737">
        <v>71.9905405522953</v>
      </c>
      <c r="AN1737">
        <v>1.00000005109552</v>
      </c>
    </row>
    <row r="1738" spans="1:40" x14ac:dyDescent="0.25">
      <c r="A1738" t="str">
        <f>"20190312172925638"</f>
        <v>20190312172925638</v>
      </c>
      <c r="B1738" t="str">
        <f>"1552382965629180"</f>
        <v>1552382965629180</v>
      </c>
      <c r="C1738" t="s">
        <v>40</v>
      </c>
      <c r="D1738">
        <v>3.4076149999999998</v>
      </c>
      <c r="E1738">
        <v>0.5548843</v>
      </c>
      <c r="F1738" t="s">
        <v>47</v>
      </c>
      <c r="G1738">
        <v>-217.0932</v>
      </c>
      <c r="H1738" s="1">
        <v>2.2378699999999998E-6</v>
      </c>
      <c r="I1738">
        <v>283.68439999999998</v>
      </c>
      <c r="J1738">
        <v>-201.4853</v>
      </c>
      <c r="K1738">
        <v>1.1056649999999999</v>
      </c>
      <c r="L1738">
        <v>285.8904</v>
      </c>
      <c r="M1738">
        <v>-0.8359607</v>
      </c>
      <c r="N1738">
        <v>0</v>
      </c>
      <c r="O1738">
        <v>-0.54860279999999995</v>
      </c>
      <c r="P1738">
        <v>-0.9509763</v>
      </c>
      <c r="Q1738">
        <v>0.16284509999999999</v>
      </c>
      <c r="R1738">
        <v>-0.26291740000000002</v>
      </c>
      <c r="S1738">
        <v>-3.0720830000000001</v>
      </c>
      <c r="T1738">
        <v>-0.21545900000000001</v>
      </c>
      <c r="U1738">
        <v>-0.44726559999999999</v>
      </c>
      <c r="V1738">
        <v>0.304000299999999</v>
      </c>
      <c r="W1738">
        <v>0.1727148</v>
      </c>
      <c r="X1738">
        <v>0.93688490000000002</v>
      </c>
      <c r="Y1738">
        <v>0.42031600000000002</v>
      </c>
      <c r="Z1738">
        <v>5.0799190000000001E-2</v>
      </c>
      <c r="AA1738">
        <v>0.9059547</v>
      </c>
      <c r="AB1738">
        <v>17</v>
      </c>
      <c r="AC1738">
        <v>-15.607900000000001</v>
      </c>
      <c r="AD1738">
        <v>-1.1056627621299999</v>
      </c>
      <c r="AE1738">
        <v>-2.2060000000000102</v>
      </c>
      <c r="AF1738">
        <v>6.6861998053905101</v>
      </c>
      <c r="AG1738">
        <v>-1.1056627621299999</v>
      </c>
      <c r="AH1738">
        <v>14.189455826075701</v>
      </c>
      <c r="AI1738">
        <v>94.031990508514497</v>
      </c>
      <c r="AJ1738">
        <v>64.769762863688101</v>
      </c>
      <c r="AK1738">
        <v>15.7247707335058</v>
      </c>
      <c r="AL1738">
        <v>80.054298565548294</v>
      </c>
      <c r="AM1738">
        <v>72.022796206206607</v>
      </c>
      <c r="AN1738">
        <v>0.99999995019356802</v>
      </c>
    </row>
    <row r="1739" spans="1:40" x14ac:dyDescent="0.25">
      <c r="A1739" t="str">
        <f>"20190312172925661"</f>
        <v>20190312172925661</v>
      </c>
      <c r="B1739" t="str">
        <f>"1552382965648700"</f>
        <v>1552382965648700</v>
      </c>
      <c r="C1739" t="s">
        <v>40</v>
      </c>
      <c r="D1739">
        <v>3.4319769999999998</v>
      </c>
      <c r="E1739">
        <v>0.55599989999999999</v>
      </c>
      <c r="F1739" t="s">
        <v>47</v>
      </c>
      <c r="G1739">
        <v>-217.8605</v>
      </c>
      <c r="H1739" s="1">
        <v>2.6461529999999999E-6</v>
      </c>
      <c r="I1739">
        <v>283.80439999999999</v>
      </c>
      <c r="J1739">
        <v>-201.6369</v>
      </c>
      <c r="K1739">
        <v>1.1056889999999999</v>
      </c>
      <c r="L1739">
        <v>285.80619999999999</v>
      </c>
      <c r="M1739">
        <v>-0.84179009999999999</v>
      </c>
      <c r="N1739">
        <v>0</v>
      </c>
      <c r="O1739">
        <v>-0.53961530000000002</v>
      </c>
      <c r="P1739">
        <v>-0.95348239999999995</v>
      </c>
      <c r="Q1739">
        <v>0.162725799999999</v>
      </c>
      <c r="R1739">
        <v>-0.25375550000000002</v>
      </c>
      <c r="S1739">
        <v>-3.0817570000000001</v>
      </c>
      <c r="T1739">
        <v>-0.2080824</v>
      </c>
      <c r="U1739">
        <v>-0.39257809999999999</v>
      </c>
      <c r="V1739">
        <v>0.30297449999999998</v>
      </c>
      <c r="W1739">
        <v>0.17262369999999999</v>
      </c>
      <c r="X1739">
        <v>0.93723400000000001</v>
      </c>
      <c r="Y1739">
        <v>0.42693320000000001</v>
      </c>
      <c r="Z1739">
        <v>4.8731190000000001E-2</v>
      </c>
      <c r="AA1739">
        <v>0.90296920000000003</v>
      </c>
      <c r="AB1739">
        <v>17</v>
      </c>
      <c r="AC1739">
        <v>-16.223600000000001</v>
      </c>
      <c r="AD1739">
        <v>-1.1056863538470001</v>
      </c>
      <c r="AE1739">
        <v>-2.0017999999999998</v>
      </c>
      <c r="AF1739">
        <v>7.0379314831572497</v>
      </c>
      <c r="AG1739">
        <v>-1.1056863538470001</v>
      </c>
      <c r="AH1739">
        <v>14.6714523565793</v>
      </c>
      <c r="AI1739">
        <v>93.887242669311604</v>
      </c>
      <c r="AJ1739">
        <v>64.372852232177493</v>
      </c>
      <c r="AK1739">
        <v>16.309706806870501</v>
      </c>
      <c r="AL1739">
        <v>80.059598609068999</v>
      </c>
      <c r="AM1739">
        <v>72.085820347776107</v>
      </c>
      <c r="AN1739">
        <v>1.00000003010396</v>
      </c>
    </row>
    <row r="1740" spans="1:40" x14ac:dyDescent="0.25">
      <c r="A1740" t="str">
        <f>"20190312172925681"</f>
        <v>20190312172925681</v>
      </c>
      <c r="B1740" t="str">
        <f>"1552382965678957"</f>
        <v>1552382965678957</v>
      </c>
      <c r="C1740" t="s">
        <v>40</v>
      </c>
      <c r="D1740">
        <v>3.4481929999999998</v>
      </c>
      <c r="E1740">
        <v>0.55648359999999997</v>
      </c>
      <c r="F1740" t="s">
        <v>47</v>
      </c>
      <c r="G1740">
        <v>-218.17269999999999</v>
      </c>
      <c r="H1740" s="1">
        <v>2.8123289999999999E-6</v>
      </c>
      <c r="I1740">
        <v>283.91269999999997</v>
      </c>
      <c r="J1740">
        <v>-201.7765</v>
      </c>
      <c r="K1740">
        <v>1.105699</v>
      </c>
      <c r="L1740">
        <v>285.73050000000001</v>
      </c>
      <c r="M1740">
        <v>-0.84704040000000003</v>
      </c>
      <c r="N1740">
        <v>0</v>
      </c>
      <c r="O1740">
        <v>-0.53133619999999904</v>
      </c>
      <c r="P1740">
        <v>-0.95563730000000002</v>
      </c>
      <c r="Q1740">
        <v>0.1627159</v>
      </c>
      <c r="R1740">
        <v>-0.24552180000000001</v>
      </c>
      <c r="S1740">
        <v>-3.0875089999999998</v>
      </c>
      <c r="T1740">
        <v>-0.20644960000000001</v>
      </c>
      <c r="U1740">
        <v>-0.35354609999999997</v>
      </c>
      <c r="V1740">
        <v>0.30185879999999998</v>
      </c>
      <c r="W1740">
        <v>0.17263870000000001</v>
      </c>
      <c r="X1740">
        <v>0.93759110000000001</v>
      </c>
      <c r="Y1740">
        <v>0.42957709999999999</v>
      </c>
      <c r="Z1740">
        <v>4.7949499999999999E-2</v>
      </c>
      <c r="AA1740">
        <v>0.90175629999999996</v>
      </c>
      <c r="AB1740">
        <v>17</v>
      </c>
      <c r="AC1740">
        <v>-16.396199999999901</v>
      </c>
      <c r="AD1740">
        <v>-1.1056961876710001</v>
      </c>
      <c r="AE1740">
        <v>-1.8178000000000301</v>
      </c>
      <c r="AF1740">
        <v>7.14079827077492</v>
      </c>
      <c r="AG1740">
        <v>-1.1056961876710001</v>
      </c>
      <c r="AH1740">
        <v>14.789185976921299</v>
      </c>
      <c r="AI1740">
        <v>93.851715339355096</v>
      </c>
      <c r="AJ1740">
        <v>64.226929685433404</v>
      </c>
      <c r="AK1740">
        <v>16.460060323804999</v>
      </c>
      <c r="AL1740">
        <v>80.058725402115897</v>
      </c>
      <c r="AM1740">
        <v>72.153962655877706</v>
      </c>
      <c r="AN1740">
        <v>0.99999996333716901</v>
      </c>
    </row>
    <row r="1741" spans="1:40" x14ac:dyDescent="0.25">
      <c r="A1741" t="str">
        <f>"20190312172925704"</f>
        <v>20190312172925704</v>
      </c>
      <c r="B1741" t="str">
        <f>"1552382965699453"</f>
        <v>1552382965699453</v>
      </c>
      <c r="C1741" t="s">
        <v>40</v>
      </c>
      <c r="D1741">
        <v>3.4407160000000001</v>
      </c>
      <c r="E1741">
        <v>0.55633189999999999</v>
      </c>
      <c r="F1741" t="s">
        <v>47</v>
      </c>
      <c r="G1741">
        <v>-218.4736</v>
      </c>
      <c r="H1741" s="1">
        <v>2.9724469999999999E-6</v>
      </c>
      <c r="I1741">
        <v>283.98869999999999</v>
      </c>
      <c r="J1741">
        <v>-201.9248</v>
      </c>
      <c r="K1741">
        <v>1.1057220000000001</v>
      </c>
      <c r="L1741">
        <v>285.65210000000002</v>
      </c>
      <c r="M1741">
        <v>-0.85250059999999905</v>
      </c>
      <c r="N1741">
        <v>0</v>
      </c>
      <c r="O1741">
        <v>-0.52253099999999997</v>
      </c>
      <c r="P1741">
        <v>-0.95779499999999995</v>
      </c>
      <c r="Q1741">
        <v>0.16288629999999901</v>
      </c>
      <c r="R1741">
        <v>-0.236848</v>
      </c>
      <c r="S1741">
        <v>-3.0912630000000001</v>
      </c>
      <c r="T1741">
        <v>-0.20470559999999999</v>
      </c>
      <c r="U1741">
        <v>-0.32247920000000002</v>
      </c>
      <c r="V1741">
        <v>0.30061959999999999</v>
      </c>
      <c r="W1741">
        <v>0.17282939999999999</v>
      </c>
      <c r="X1741">
        <v>0.93795410000000001</v>
      </c>
      <c r="Y1741">
        <v>0.42935709999999999</v>
      </c>
      <c r="Z1741">
        <v>4.7035010000000002E-2</v>
      </c>
      <c r="AA1741">
        <v>0.90190919999999997</v>
      </c>
      <c r="AB1741">
        <v>17</v>
      </c>
      <c r="AC1741">
        <v>-16.5488</v>
      </c>
      <c r="AD1741">
        <v>-1.10571902755299</v>
      </c>
      <c r="AE1741">
        <v>-1.66340000000002</v>
      </c>
      <c r="AF1741">
        <v>7.1981358457687801</v>
      </c>
      <c r="AG1741">
        <v>-1.10571902755299</v>
      </c>
      <c r="AH1741">
        <v>14.9126593168713</v>
      </c>
      <c r="AI1741">
        <v>93.820225528586604</v>
      </c>
      <c r="AJ1741">
        <v>64.2340345269984</v>
      </c>
      <c r="AK1741">
        <v>16.595878467954101</v>
      </c>
      <c r="AL1741">
        <v>80.047632916572994</v>
      </c>
      <c r="AM1741">
        <v>72.229051107197805</v>
      </c>
      <c r="AN1741">
        <v>1.0000000195576599</v>
      </c>
    </row>
    <row r="1742" spans="1:40" x14ac:dyDescent="0.25">
      <c r="A1742" t="str">
        <f>"20190312172925725"</f>
        <v>20190312172925725</v>
      </c>
      <c r="B1742" t="str">
        <f>"1552382965718973"</f>
        <v>1552382965718973</v>
      </c>
      <c r="C1742" t="s">
        <v>40</v>
      </c>
      <c r="D1742">
        <v>3.4380000000000002</v>
      </c>
      <c r="E1742">
        <v>0.55616379999999999</v>
      </c>
      <c r="F1742" t="s">
        <v>47</v>
      </c>
      <c r="G1742">
        <v>-218.5959</v>
      </c>
      <c r="H1742" s="1">
        <v>3.0375390000000002E-6</v>
      </c>
      <c r="I1742">
        <v>284.05950000000001</v>
      </c>
      <c r="J1742">
        <v>-202.0771</v>
      </c>
      <c r="K1742">
        <v>1.105734</v>
      </c>
      <c r="L1742">
        <v>285.57369999999997</v>
      </c>
      <c r="M1742">
        <v>-0.85798059999999998</v>
      </c>
      <c r="N1742">
        <v>0</v>
      </c>
      <c r="O1742">
        <v>-0.5134841</v>
      </c>
      <c r="P1742">
        <v>-0.95999869999999998</v>
      </c>
      <c r="Q1742">
        <v>0.16317419999999999</v>
      </c>
      <c r="R1742">
        <v>-0.22754550000000001</v>
      </c>
      <c r="S1742">
        <v>-3.0940089999999998</v>
      </c>
      <c r="T1742">
        <v>-0.20521120000000001</v>
      </c>
      <c r="U1742">
        <v>-0.29556270000000001</v>
      </c>
      <c r="V1742">
        <v>0.29976560000000002</v>
      </c>
      <c r="W1742">
        <v>0.17312529999999901</v>
      </c>
      <c r="X1742">
        <v>0.93817280000000003</v>
      </c>
      <c r="Y1742">
        <v>0.4276721</v>
      </c>
      <c r="Z1742">
        <v>4.6579830000000003E-2</v>
      </c>
      <c r="AA1742">
        <v>0.90273300000000001</v>
      </c>
      <c r="AB1742">
        <v>17</v>
      </c>
      <c r="AC1742">
        <v>-16.518799999999999</v>
      </c>
      <c r="AD1742">
        <v>-1.1057309624610001</v>
      </c>
      <c r="AE1742">
        <v>-1.51419999999995</v>
      </c>
      <c r="AF1742">
        <v>7.1519390507815999</v>
      </c>
      <c r="AG1742">
        <v>-1.1057309624610001</v>
      </c>
      <c r="AH1742">
        <v>14.885705986655701</v>
      </c>
      <c r="AI1742">
        <v>93.830490373764206</v>
      </c>
      <c r="AJ1742">
        <v>64.337725047398095</v>
      </c>
      <c r="AK1742">
        <v>16.551649943996399</v>
      </c>
      <c r="AL1742">
        <v>80.030419357122398</v>
      </c>
      <c r="AM1742">
        <v>72.280244472278397</v>
      </c>
      <c r="AN1742">
        <v>0.99999999355164404</v>
      </c>
    </row>
    <row r="1743" spans="1:40" x14ac:dyDescent="0.25">
      <c r="A1743" t="str">
        <f>"20190312172925749"</f>
        <v>20190312172925749</v>
      </c>
      <c r="B1743" t="str">
        <f>"1552382965739468"</f>
        <v>1552382965739468</v>
      </c>
      <c r="C1743" t="s">
        <v>40</v>
      </c>
      <c r="D1743">
        <v>3.4870209999999999</v>
      </c>
      <c r="E1743">
        <v>0.55585739999999995</v>
      </c>
      <c r="F1743" t="s">
        <v>47</v>
      </c>
      <c r="G1743">
        <v>-218.7593</v>
      </c>
      <c r="H1743" s="1">
        <v>3.1244940000000002E-6</v>
      </c>
      <c r="I1743">
        <v>284.13209999999998</v>
      </c>
      <c r="J1743">
        <v>-202.23599999999999</v>
      </c>
      <c r="K1743">
        <v>1.1057459999999999</v>
      </c>
      <c r="L1743">
        <v>285.4941</v>
      </c>
      <c r="M1743">
        <v>-0.86356189999999999</v>
      </c>
      <c r="N1743">
        <v>0</v>
      </c>
      <c r="O1743">
        <v>-0.50404179999999998</v>
      </c>
      <c r="P1743">
        <v>-0.96215949999999995</v>
      </c>
      <c r="Q1743">
        <v>0.1629651</v>
      </c>
      <c r="R1743">
        <v>-0.2183843</v>
      </c>
      <c r="S1743">
        <v>-3.0964510000000001</v>
      </c>
      <c r="T1743">
        <v>-0.2052389</v>
      </c>
      <c r="U1743">
        <v>-0.26757809999999999</v>
      </c>
      <c r="V1743">
        <v>0.29842150000000001</v>
      </c>
      <c r="W1743">
        <v>0.17293229999999901</v>
      </c>
      <c r="X1743">
        <v>0.93863680000000005</v>
      </c>
      <c r="Y1743">
        <v>0.42594280000000001</v>
      </c>
      <c r="Z1743">
        <v>4.5990669999999997E-2</v>
      </c>
      <c r="AA1743">
        <v>0.90358039999999995</v>
      </c>
      <c r="AB1743">
        <v>17</v>
      </c>
      <c r="AC1743">
        <v>-16.523299999999999</v>
      </c>
      <c r="AD1743">
        <v>-1.1057428755059999</v>
      </c>
      <c r="AE1743">
        <v>-1.3620000000000201</v>
      </c>
      <c r="AF1743">
        <v>7.1213113336071601</v>
      </c>
      <c r="AG1743">
        <v>-1.1057428755059999</v>
      </c>
      <c r="AH1743">
        <v>14.890678176330701</v>
      </c>
      <c r="AI1743">
        <v>93.832557296704493</v>
      </c>
      <c r="AJ1743">
        <v>64.441028642993203</v>
      </c>
      <c r="AK1743">
        <v>16.542915068631199</v>
      </c>
      <c r="AL1743">
        <v>80.041646925745297</v>
      </c>
      <c r="AM1743">
        <v>72.362939512624394</v>
      </c>
      <c r="AN1743">
        <v>1.00000000717989</v>
      </c>
    </row>
    <row r="1744" spans="1:40" x14ac:dyDescent="0.25">
      <c r="A1744" t="str">
        <f>"20190312172925770"</f>
        <v>20190312172925770</v>
      </c>
      <c r="B1744" t="str">
        <f>"1552382965758992"</f>
        <v>1552382965758992</v>
      </c>
      <c r="C1744" t="s">
        <v>40</v>
      </c>
      <c r="D1744">
        <v>3.4534769999999901</v>
      </c>
      <c r="E1744">
        <v>0.55535829999999997</v>
      </c>
      <c r="F1744" t="s">
        <v>47</v>
      </c>
      <c r="G1744">
        <v>-218.80439999999999</v>
      </c>
      <c r="H1744" s="1">
        <v>3.1484810000000001E-6</v>
      </c>
      <c r="I1744">
        <v>284.20600000000002</v>
      </c>
      <c r="J1744">
        <v>-202.38040000000001</v>
      </c>
      <c r="K1744">
        <v>1.1057570000000001</v>
      </c>
      <c r="L1744">
        <v>285.42349999999999</v>
      </c>
      <c r="M1744">
        <v>-0.8685216</v>
      </c>
      <c r="N1744">
        <v>0</v>
      </c>
      <c r="O1744">
        <v>-0.49544719999999998</v>
      </c>
      <c r="P1744">
        <v>-0.96385430000000005</v>
      </c>
      <c r="Q1744">
        <v>0.16328239999999999</v>
      </c>
      <c r="R1744">
        <v>-0.2105332</v>
      </c>
      <c r="S1744">
        <v>-3.0983429999999998</v>
      </c>
      <c r="T1744">
        <v>-0.20677699999999999</v>
      </c>
      <c r="U1744">
        <v>-0.24087520000000001</v>
      </c>
      <c r="V1744">
        <v>0.2967243</v>
      </c>
      <c r="W1744">
        <v>0.17327329999999999</v>
      </c>
      <c r="X1744">
        <v>0.9391119</v>
      </c>
      <c r="Y1744">
        <v>0.42474269999999997</v>
      </c>
      <c r="Z1744">
        <v>4.580161E-2</v>
      </c>
      <c r="AA1744">
        <v>0.90415480000000004</v>
      </c>
      <c r="AB1744">
        <v>17</v>
      </c>
      <c r="AC1744">
        <v>-16.4239999999999</v>
      </c>
      <c r="AD1744">
        <v>-1.105753851519</v>
      </c>
      <c r="AE1744">
        <v>-1.21750000000002</v>
      </c>
      <c r="AF1744">
        <v>7.0487406349748802</v>
      </c>
      <c r="AG1744">
        <v>-1.105753851519</v>
      </c>
      <c r="AH1744">
        <v>14.802580559346</v>
      </c>
      <c r="AI1744">
        <v>93.858409767076196</v>
      </c>
      <c r="AJ1744">
        <v>64.536993335342302</v>
      </c>
      <c r="AK1744">
        <v>16.432401751880999</v>
      </c>
      <c r="AL1744">
        <v>80.021810064982105</v>
      </c>
      <c r="AM1744">
        <v>72.465408699709002</v>
      </c>
      <c r="AN1744">
        <v>1.00000005371249</v>
      </c>
    </row>
    <row r="1745" spans="1:40" x14ac:dyDescent="0.25">
      <c r="A1745" t="str">
        <f>"20190312172925793"</f>
        <v>20190312172925793</v>
      </c>
      <c r="B1745" t="str">
        <f>"1552382965789245"</f>
        <v>1552382965789245</v>
      </c>
      <c r="C1745" t="s">
        <v>40</v>
      </c>
      <c r="D1745">
        <v>3.4359169999999999</v>
      </c>
      <c r="E1745">
        <v>0.55459419999999904</v>
      </c>
      <c r="F1745" t="s">
        <v>47</v>
      </c>
      <c r="G1745">
        <v>-219.02629999999999</v>
      </c>
      <c r="H1745" s="1">
        <v>3.266548E-6</v>
      </c>
      <c r="I1745">
        <v>284.24970000000002</v>
      </c>
      <c r="J1745">
        <v>-202.5359</v>
      </c>
      <c r="K1745">
        <v>1.105777</v>
      </c>
      <c r="L1745">
        <v>285.34949999999998</v>
      </c>
      <c r="M1745">
        <v>-0.87374059999999898</v>
      </c>
      <c r="N1745">
        <v>0</v>
      </c>
      <c r="O1745">
        <v>-0.48618450000000002</v>
      </c>
      <c r="P1745">
        <v>-0.96587820000000002</v>
      </c>
      <c r="Q1745">
        <v>0.16308420000000001</v>
      </c>
      <c r="R1745">
        <v>-0.20120360000000001</v>
      </c>
      <c r="S1745">
        <v>-3.09964</v>
      </c>
      <c r="T1745">
        <v>-0.2059029</v>
      </c>
      <c r="U1745">
        <v>-0.21856690000000001</v>
      </c>
      <c r="V1745">
        <v>0.29582380000000003</v>
      </c>
      <c r="W1745">
        <v>0.1730854</v>
      </c>
      <c r="X1745">
        <v>0.93943049999999995</v>
      </c>
      <c r="Y1745">
        <v>0.4216626</v>
      </c>
      <c r="Z1745">
        <v>4.4974640000000003E-2</v>
      </c>
      <c r="AA1745">
        <v>0.90563669999999996</v>
      </c>
      <c r="AB1745">
        <v>17</v>
      </c>
      <c r="AC1745">
        <v>-16.490399999999902</v>
      </c>
      <c r="AD1745">
        <v>-1.1057737334519999</v>
      </c>
      <c r="AE1745">
        <v>-1.0997999999999499</v>
      </c>
      <c r="AF1745">
        <v>7.0256989216079999</v>
      </c>
      <c r="AG1745">
        <v>-1.1057737334519999</v>
      </c>
      <c r="AH1745">
        <v>14.8779453951144</v>
      </c>
      <c r="AI1745">
        <v>93.8448658919324</v>
      </c>
      <c r="AJ1745">
        <v>64.722269939411007</v>
      </c>
      <c r="AK1745">
        <v>16.490495446368001</v>
      </c>
      <c r="AL1745">
        <v>80.032740266540301</v>
      </c>
      <c r="AM1745">
        <v>72.520944147438797</v>
      </c>
      <c r="AN1745">
        <v>0.99999997033492405</v>
      </c>
    </row>
    <row r="1746" spans="1:40" x14ac:dyDescent="0.25">
      <c r="A1746" t="str">
        <f>"20190312172925815"</f>
        <v>20190312172925815</v>
      </c>
      <c r="B1746" t="str">
        <f>"1552382965808765"</f>
        <v>1552382965808765</v>
      </c>
      <c r="C1746" t="s">
        <v>40</v>
      </c>
      <c r="D1746">
        <v>3.4253149999999999</v>
      </c>
      <c r="E1746">
        <v>0.55431750000000002</v>
      </c>
      <c r="F1746" t="s">
        <v>47</v>
      </c>
      <c r="G1746">
        <v>-219.04920000000001</v>
      </c>
      <c r="H1746" s="1">
        <v>3.278735E-6</v>
      </c>
      <c r="I1746">
        <v>284.31490000000002</v>
      </c>
      <c r="J1746">
        <v>-202.68719999999999</v>
      </c>
      <c r="K1746">
        <v>1.1057950000000001</v>
      </c>
      <c r="L1746">
        <v>285.27940000000001</v>
      </c>
      <c r="M1746">
        <v>-0.87870210000000004</v>
      </c>
      <c r="N1746">
        <v>0</v>
      </c>
      <c r="O1746">
        <v>-0.47715970000000002</v>
      </c>
      <c r="P1746">
        <v>-0.96749309999999999</v>
      </c>
      <c r="Q1746">
        <v>0.16324959999999999</v>
      </c>
      <c r="R1746">
        <v>-0.19314970000000001</v>
      </c>
      <c r="S1746">
        <v>-3.1005859999999998</v>
      </c>
      <c r="T1746">
        <v>-0.20762359999999999</v>
      </c>
      <c r="U1746">
        <v>-0.1942749</v>
      </c>
      <c r="V1746">
        <v>0.29395130000000003</v>
      </c>
      <c r="W1746">
        <v>0.17327000000000001</v>
      </c>
      <c r="X1746">
        <v>0.93998409999999999</v>
      </c>
      <c r="Y1746">
        <v>0.4194021</v>
      </c>
      <c r="Z1746">
        <v>4.475378E-2</v>
      </c>
      <c r="AA1746">
        <v>0.90669679999999997</v>
      </c>
      <c r="AB1746">
        <v>17</v>
      </c>
      <c r="AC1746">
        <v>-16.361999999999998</v>
      </c>
      <c r="AD1746">
        <v>-1.1057917212649999</v>
      </c>
      <c r="AE1746">
        <v>-0.96449999999998604</v>
      </c>
      <c r="AF1746">
        <v>6.9289412247406901</v>
      </c>
      <c r="AG1746">
        <v>-1.1057917212649999</v>
      </c>
      <c r="AH1746">
        <v>14.7718016238878</v>
      </c>
      <c r="AI1746">
        <v>93.877171356669507</v>
      </c>
      <c r="AJ1746">
        <v>64.870350625737899</v>
      </c>
      <c r="AK1746">
        <v>16.3535661261458</v>
      </c>
      <c r="AL1746">
        <v>80.022001341829096</v>
      </c>
      <c r="AM1746">
        <v>72.634521762202795</v>
      </c>
      <c r="AN1746">
        <v>0.99999998396224898</v>
      </c>
    </row>
    <row r="1747" spans="1:40" x14ac:dyDescent="0.25">
      <c r="A1747" t="str">
        <f>"20190312172925839"</f>
        <v>20190312172925839</v>
      </c>
      <c r="B1747" t="str">
        <f>"1552382965829260"</f>
        <v>1552382965829260</v>
      </c>
      <c r="C1747" t="s">
        <v>40</v>
      </c>
      <c r="D1747">
        <v>3.421751</v>
      </c>
      <c r="E1747">
        <v>0.54608009999999996</v>
      </c>
      <c r="F1747" t="s">
        <v>47</v>
      </c>
      <c r="G1747">
        <v>-219.20429999999999</v>
      </c>
      <c r="H1747" s="1">
        <v>3.3612999999999999E-6</v>
      </c>
      <c r="I1747">
        <v>284.36900000000003</v>
      </c>
      <c r="J1747">
        <v>-202.85140000000001</v>
      </c>
      <c r="K1747">
        <v>1.1058079999999999</v>
      </c>
      <c r="L1747">
        <v>285.2054</v>
      </c>
      <c r="M1747">
        <v>-0.88395469999999898</v>
      </c>
      <c r="N1747">
        <v>0</v>
      </c>
      <c r="O1747">
        <v>-0.4673583</v>
      </c>
      <c r="P1747">
        <v>-0.96905019999999997</v>
      </c>
      <c r="Q1747">
        <v>0.16372400000000001</v>
      </c>
      <c r="R1747">
        <v>-0.1847598</v>
      </c>
      <c r="S1747">
        <v>-3.1017000000000001</v>
      </c>
      <c r="T1747">
        <v>-0.207653</v>
      </c>
      <c r="U1747">
        <v>-0.17095949999999999</v>
      </c>
      <c r="V1747">
        <v>0.29159620000000003</v>
      </c>
      <c r="W1747">
        <v>0.173763</v>
      </c>
      <c r="X1747">
        <v>0.94062639999999997</v>
      </c>
      <c r="Y1747">
        <v>0.41614879999999999</v>
      </c>
      <c r="Z1747">
        <v>4.4075929999999999E-2</v>
      </c>
      <c r="AA1747">
        <v>0.90822769999999997</v>
      </c>
      <c r="AB1747">
        <v>17</v>
      </c>
      <c r="AC1747">
        <v>-16.352899999999899</v>
      </c>
      <c r="AD1747">
        <v>-1.1058046387</v>
      </c>
      <c r="AE1747">
        <v>-0.83639999999996895</v>
      </c>
      <c r="AF1747">
        <v>6.8726710602387904</v>
      </c>
      <c r="AG1747">
        <v>-1.1058046387</v>
      </c>
      <c r="AH1747">
        <v>14.7802001839311</v>
      </c>
      <c r="AI1747">
        <v>93.881058506803498</v>
      </c>
      <c r="AJ1747">
        <v>65.061961281853002</v>
      </c>
      <c r="AK1747">
        <v>16.337402758036301</v>
      </c>
      <c r="AL1747">
        <v>79.993319346272401</v>
      </c>
      <c r="AM1747">
        <v>72.776451775974294</v>
      </c>
      <c r="AN1747">
        <v>0.99999997420019904</v>
      </c>
    </row>
    <row r="1748" spans="1:40" x14ac:dyDescent="0.25">
      <c r="A1748" t="str">
        <f>"20190312172925861"</f>
        <v>20190312172925861</v>
      </c>
      <c r="B1748" t="str">
        <f>"1552382965859517"</f>
        <v>1552382965859517</v>
      </c>
      <c r="C1748" t="s">
        <v>40</v>
      </c>
      <c r="D1748">
        <v>3.3947069999999999</v>
      </c>
      <c r="E1748">
        <v>0.54458450000000003</v>
      </c>
      <c r="F1748" t="s">
        <v>47</v>
      </c>
      <c r="G1748">
        <v>-218.59360000000001</v>
      </c>
      <c r="H1748" s="1">
        <v>3.0363189999999999E-6</v>
      </c>
      <c r="I1748">
        <v>284.14319999999998</v>
      </c>
      <c r="J1748">
        <v>-203.0086</v>
      </c>
      <c r="K1748">
        <v>1.105828</v>
      </c>
      <c r="L1748">
        <v>285.13659999999999</v>
      </c>
      <c r="M1748">
        <v>-0.88885059999999905</v>
      </c>
      <c r="N1748">
        <v>0</v>
      </c>
      <c r="O1748">
        <v>-0.45797919999999998</v>
      </c>
      <c r="P1748">
        <v>-0.97055910000000001</v>
      </c>
      <c r="Q1748">
        <v>0.16390729999999901</v>
      </c>
      <c r="R1748">
        <v>-0.17649319999999999</v>
      </c>
      <c r="S1748">
        <v>-3.0927280000000001</v>
      </c>
      <c r="T1748">
        <v>-0.2172472</v>
      </c>
      <c r="U1748">
        <v>-0.20867920000000001</v>
      </c>
      <c r="V1748">
        <v>0.28963480000000003</v>
      </c>
      <c r="W1748">
        <v>0.1739598</v>
      </c>
      <c r="X1748">
        <v>0.94119589999999997</v>
      </c>
      <c r="Y1748">
        <v>0.3951308</v>
      </c>
      <c r="Z1748">
        <v>4.4875989999999998E-2</v>
      </c>
      <c r="AA1748">
        <v>0.91752809999999996</v>
      </c>
      <c r="AB1748">
        <v>16</v>
      </c>
      <c r="AC1748">
        <v>-15.585000000000001</v>
      </c>
      <c r="AD1748">
        <v>-1.105824963681</v>
      </c>
      <c r="AE1748">
        <v>-0.99340000000000805</v>
      </c>
      <c r="AF1748">
        <v>6.22403782243381</v>
      </c>
      <c r="AG1748">
        <v>-1.105824963681</v>
      </c>
      <c r="AH1748">
        <v>14.237731438471901</v>
      </c>
      <c r="AI1748">
        <v>94.0706369627827</v>
      </c>
      <c r="AJ1748">
        <v>66.3874105495739</v>
      </c>
      <c r="AK1748">
        <v>15.5780131011447</v>
      </c>
      <c r="AL1748">
        <v>79.981869673678304</v>
      </c>
      <c r="AM1748">
        <v>72.895265648749401</v>
      </c>
      <c r="AN1748">
        <v>1.0000000257819399</v>
      </c>
    </row>
    <row r="1749" spans="1:40" x14ac:dyDescent="0.25">
      <c r="A1749" t="str">
        <f>"20190312172925882"</f>
        <v>20190312172925882</v>
      </c>
      <c r="B1749" t="str">
        <f>"1552382965879037"</f>
        <v>1552382965879037</v>
      </c>
      <c r="C1749" t="s">
        <v>40</v>
      </c>
      <c r="D1749">
        <v>3.369653</v>
      </c>
      <c r="E1749">
        <v>0.54401259999999996</v>
      </c>
      <c r="F1749" t="s">
        <v>47</v>
      </c>
      <c r="G1749">
        <v>-219.18559999999999</v>
      </c>
      <c r="H1749" s="1">
        <v>3.3513169999999998E-6</v>
      </c>
      <c r="I1749">
        <v>284.12209999999999</v>
      </c>
      <c r="J1749">
        <v>-203.15280000000001</v>
      </c>
      <c r="K1749">
        <v>1.1058520000000001</v>
      </c>
      <c r="L1749">
        <v>285.07530000000003</v>
      </c>
      <c r="M1749">
        <v>-0.89322040000000003</v>
      </c>
      <c r="N1749">
        <v>0</v>
      </c>
      <c r="O1749">
        <v>-0.44939820000000003</v>
      </c>
      <c r="P1749">
        <v>-0.97180009999999994</v>
      </c>
      <c r="Q1749">
        <v>0.1644436</v>
      </c>
      <c r="R1749">
        <v>-0.16900599999999999</v>
      </c>
      <c r="S1749">
        <v>-3.091431</v>
      </c>
      <c r="T1749">
        <v>-0.21132419999999999</v>
      </c>
      <c r="U1749">
        <v>-0.1938782</v>
      </c>
      <c r="V1749">
        <v>0.28777509999999901</v>
      </c>
      <c r="W1749">
        <v>0.17450539999999901</v>
      </c>
      <c r="X1749">
        <v>0.94166519999999998</v>
      </c>
      <c r="Y1749">
        <v>0.39076709999999998</v>
      </c>
      <c r="Z1749">
        <v>4.3013280000000001E-2</v>
      </c>
      <c r="AA1749">
        <v>0.91948410000000003</v>
      </c>
      <c r="AB1749">
        <v>16</v>
      </c>
      <c r="AC1749">
        <v>-16.032799999999899</v>
      </c>
      <c r="AD1749">
        <v>-1.1058486486829999</v>
      </c>
      <c r="AE1749">
        <v>-0.95320000000003802</v>
      </c>
      <c r="AF1749">
        <v>6.3243430519178396</v>
      </c>
      <c r="AG1749">
        <v>-1.1058486486829999</v>
      </c>
      <c r="AH1749">
        <v>14.681056890513601</v>
      </c>
      <c r="AI1749">
        <v>93.957358264941107</v>
      </c>
      <c r="AJ1749">
        <v>66.694466010132103</v>
      </c>
      <c r="AK1749">
        <v>16.023534182402798</v>
      </c>
      <c r="AL1749">
        <v>79.950123220394005</v>
      </c>
      <c r="AM1749">
        <v>73.006724452141398</v>
      </c>
      <c r="AN1749">
        <v>0.99999999585010402</v>
      </c>
    </row>
    <row r="1750" spans="1:40" x14ac:dyDescent="0.25">
      <c r="A1750" t="str">
        <f>"20190312172925904"</f>
        <v>20190312172925904</v>
      </c>
      <c r="B1750" t="str">
        <f>"1552382965899533"</f>
        <v>1552382965899533</v>
      </c>
      <c r="C1750" t="s">
        <v>40</v>
      </c>
      <c r="D1750">
        <v>3.375308</v>
      </c>
      <c r="E1750">
        <v>0.53864919999999905</v>
      </c>
      <c r="F1750" t="s">
        <v>47</v>
      </c>
      <c r="G1750">
        <v>-219.49109999999999</v>
      </c>
      <c r="H1750" s="1">
        <v>3.5138999999999999E-6</v>
      </c>
      <c r="I1750">
        <v>284.1542</v>
      </c>
      <c r="J1750">
        <v>-203.30529999999999</v>
      </c>
      <c r="K1750">
        <v>1.10589</v>
      </c>
      <c r="L1750">
        <v>285.01209999999998</v>
      </c>
      <c r="M1750">
        <v>-0.89771599999999996</v>
      </c>
      <c r="N1750">
        <v>0</v>
      </c>
      <c r="O1750">
        <v>-0.44035089999999999</v>
      </c>
      <c r="P1750">
        <v>-0.97310609999999997</v>
      </c>
      <c r="Q1750">
        <v>0.16465529999999901</v>
      </c>
      <c r="R1750">
        <v>-0.16109879999999999</v>
      </c>
      <c r="S1750">
        <v>-3.0921479999999999</v>
      </c>
      <c r="T1750">
        <v>-0.2092899</v>
      </c>
      <c r="U1750">
        <v>-0.17431640000000001</v>
      </c>
      <c r="V1750">
        <v>0.28588150000000001</v>
      </c>
      <c r="W1750">
        <v>0.17472089999999901</v>
      </c>
      <c r="X1750">
        <v>0.94220190000000004</v>
      </c>
      <c r="Y1750">
        <v>0.38734160000000001</v>
      </c>
      <c r="Z1750">
        <v>4.1940199999999997E-2</v>
      </c>
      <c r="AA1750">
        <v>0.92098179999999996</v>
      </c>
      <c r="AB1750">
        <v>16</v>
      </c>
      <c r="AC1750">
        <v>-16.1858</v>
      </c>
      <c r="AD1750">
        <v>-1.1058864861</v>
      </c>
      <c r="AE1750">
        <v>-0.85789999999997202</v>
      </c>
      <c r="AF1750">
        <v>6.3284476212619296</v>
      </c>
      <c r="AG1750">
        <v>-1.1058864861</v>
      </c>
      <c r="AH1750">
        <v>14.840413372951501</v>
      </c>
      <c r="AI1750">
        <v>93.921281629061497</v>
      </c>
      <c r="AJ1750">
        <v>66.904981955748696</v>
      </c>
      <c r="AK1750">
        <v>16.171274015836602</v>
      </c>
      <c r="AL1750">
        <v>79.937583603439506</v>
      </c>
      <c r="AM1750">
        <v>73.121231318363201</v>
      </c>
      <c r="AN1750">
        <v>1.0000000226513299</v>
      </c>
    </row>
    <row r="1751" spans="1:40" x14ac:dyDescent="0.25">
      <c r="A1751" t="str">
        <f>"20190312172925927"</f>
        <v>20190312172925927</v>
      </c>
      <c r="B1751" t="str">
        <f>"1552382965919053"</f>
        <v>1552382965919053</v>
      </c>
      <c r="C1751" t="s">
        <v>40</v>
      </c>
      <c r="D1751">
        <v>3.4062339999999902</v>
      </c>
      <c r="E1751">
        <v>0.53784189999999998</v>
      </c>
      <c r="F1751" t="s">
        <v>47</v>
      </c>
      <c r="G1751">
        <v>-220.91589999999999</v>
      </c>
      <c r="H1751" s="1">
        <v>-1.0493709999999999E-6</v>
      </c>
      <c r="I1751">
        <v>283.92419999999998</v>
      </c>
      <c r="J1751">
        <v>-203.46559999999999</v>
      </c>
      <c r="K1751">
        <v>1.1059330000000001</v>
      </c>
      <c r="L1751">
        <v>284.94760000000002</v>
      </c>
      <c r="M1751">
        <v>-0.90229309999999996</v>
      </c>
      <c r="N1751">
        <v>0</v>
      </c>
      <c r="O1751">
        <v>-0.43089709999999998</v>
      </c>
      <c r="P1751">
        <v>-0.97434169999999998</v>
      </c>
      <c r="Q1751">
        <v>0.1650026</v>
      </c>
      <c r="R1751">
        <v>-0.15307780000000001</v>
      </c>
      <c r="S1751">
        <v>-3.0841370000000001</v>
      </c>
      <c r="T1751">
        <v>-0.1936735</v>
      </c>
      <c r="U1751">
        <v>-0.1905212</v>
      </c>
      <c r="V1751">
        <v>0.28369280000000002</v>
      </c>
      <c r="W1751">
        <v>0.17507159999999999</v>
      </c>
      <c r="X1751">
        <v>0.94279809999999997</v>
      </c>
      <c r="Y1751">
        <v>0.37295729999999999</v>
      </c>
      <c r="Z1751">
        <v>3.7914389999999999E-2</v>
      </c>
      <c r="AA1751">
        <v>0.92707349999999999</v>
      </c>
      <c r="AB1751">
        <v>16</v>
      </c>
      <c r="AC1751">
        <v>-17.450299999999999</v>
      </c>
      <c r="AD1751">
        <v>-1.1059340493709999</v>
      </c>
      <c r="AE1751">
        <v>-1.0234000000000301</v>
      </c>
      <c r="AF1751">
        <v>6.5702204717493302</v>
      </c>
      <c r="AG1751">
        <v>-1.1059340493709999</v>
      </c>
      <c r="AH1751">
        <v>16.123304550805599</v>
      </c>
      <c r="AI1751">
        <v>93.634588171301999</v>
      </c>
      <c r="AJ1751">
        <v>67.829184006608799</v>
      </c>
      <c r="AK1751">
        <v>17.4456824689371</v>
      </c>
      <c r="AL1751">
        <v>79.917174818590397</v>
      </c>
      <c r="AM1751">
        <v>73.253188682066906</v>
      </c>
      <c r="AN1751">
        <v>0.99999996363100396</v>
      </c>
    </row>
    <row r="1752" spans="1:40" x14ac:dyDescent="0.25">
      <c r="A1752" t="str">
        <f>"20190312172925949"</f>
        <v>20190312172925949</v>
      </c>
      <c r="B1752" t="str">
        <f>"1552382965939548"</f>
        <v>1552382965939548</v>
      </c>
      <c r="C1752" t="s">
        <v>40</v>
      </c>
      <c r="D1752">
        <v>3.3876249999999999</v>
      </c>
      <c r="E1752">
        <v>0.53316799999999998</v>
      </c>
      <c r="F1752" t="s">
        <v>47</v>
      </c>
      <c r="G1752">
        <v>-220.88910000000001</v>
      </c>
      <c r="H1752" s="1">
        <v>-1.063666E-6</v>
      </c>
      <c r="I1752">
        <v>283.9794</v>
      </c>
      <c r="J1752">
        <v>-203.62280000000001</v>
      </c>
      <c r="K1752">
        <v>1.105988</v>
      </c>
      <c r="L1752">
        <v>284.8861</v>
      </c>
      <c r="M1752">
        <v>-0.90663470000000002</v>
      </c>
      <c r="N1752">
        <v>0</v>
      </c>
      <c r="O1752">
        <v>-0.4216876</v>
      </c>
      <c r="P1752">
        <v>-0.97546909999999998</v>
      </c>
      <c r="Q1752">
        <v>0.16502820000000001</v>
      </c>
      <c r="R1752">
        <v>-0.14569070000000001</v>
      </c>
      <c r="S1752">
        <v>-3.085251</v>
      </c>
      <c r="T1752">
        <v>-0.19583239999999999</v>
      </c>
      <c r="U1752">
        <v>-0.17144779999999901</v>
      </c>
      <c r="V1752">
        <v>0.28120050000000002</v>
      </c>
      <c r="W1752">
        <v>0.17510870000000001</v>
      </c>
      <c r="X1752">
        <v>0.94353759999999998</v>
      </c>
      <c r="Y1752">
        <v>0.36923339999999999</v>
      </c>
      <c r="Z1752">
        <v>3.7687039999999998E-2</v>
      </c>
      <c r="AA1752">
        <v>0.92857219999999996</v>
      </c>
      <c r="AB1752">
        <v>16</v>
      </c>
      <c r="AC1752">
        <v>-17.266300000000001</v>
      </c>
      <c r="AD1752">
        <v>-1.1059890636659999</v>
      </c>
      <c r="AE1752">
        <v>-0.90669999999999995</v>
      </c>
      <c r="AF1752">
        <v>6.4332395001906404</v>
      </c>
      <c r="AG1752">
        <v>-1.1059890636659999</v>
      </c>
      <c r="AH1752">
        <v>15.9727630721281</v>
      </c>
      <c r="AI1752">
        <v>93.674967177197203</v>
      </c>
      <c r="AJ1752">
        <v>68.062243340176295</v>
      </c>
      <c r="AK1752">
        <v>17.255113515538</v>
      </c>
      <c r="AL1752">
        <v>79.915016065264496</v>
      </c>
      <c r="AM1752">
        <v>73.404476903775105</v>
      </c>
      <c r="AN1752">
        <v>0.99999999031484998</v>
      </c>
    </row>
    <row r="1753" spans="1:40" x14ac:dyDescent="0.25">
      <c r="A1753" t="str">
        <f>"20190312172925970"</f>
        <v>20190312172925970</v>
      </c>
      <c r="B1753" t="str">
        <f>"1552382965959072"</f>
        <v>1552382965959072</v>
      </c>
      <c r="C1753" t="s">
        <v>40</v>
      </c>
      <c r="D1753">
        <v>3.3439739999999998</v>
      </c>
      <c r="E1753">
        <v>0.53238980000000002</v>
      </c>
      <c r="F1753" t="s">
        <v>47</v>
      </c>
      <c r="G1753">
        <v>-221.04589999999999</v>
      </c>
      <c r="H1753" s="1">
        <v>-9.802224000000001E-7</v>
      </c>
      <c r="I1753">
        <v>283.84059999999999</v>
      </c>
      <c r="J1753">
        <v>-203.77449999999999</v>
      </c>
      <c r="K1753">
        <v>1.1060430000000001</v>
      </c>
      <c r="L1753">
        <v>284.82839999999999</v>
      </c>
      <c r="M1753">
        <v>-0.91068479999999996</v>
      </c>
      <c r="N1753">
        <v>0</v>
      </c>
      <c r="O1753">
        <v>-0.41287119999999999</v>
      </c>
      <c r="P1753">
        <v>-0.97649929999999996</v>
      </c>
      <c r="Q1753">
        <v>0.16483149999999999</v>
      </c>
      <c r="R1753">
        <v>-0.1388539</v>
      </c>
      <c r="S1753">
        <v>-3.080902</v>
      </c>
      <c r="T1753">
        <v>-0.19557050000000001</v>
      </c>
      <c r="U1753">
        <v>-0.1848755</v>
      </c>
      <c r="V1753">
        <v>0.27863070000000001</v>
      </c>
      <c r="W1753">
        <v>0.17492469999999999</v>
      </c>
      <c r="X1753">
        <v>0.9443338</v>
      </c>
      <c r="Y1753">
        <v>0.35612050000000001</v>
      </c>
      <c r="Z1753">
        <v>3.6750959999999999E-2</v>
      </c>
      <c r="AA1753">
        <v>0.93371709999999997</v>
      </c>
      <c r="AB1753">
        <v>16</v>
      </c>
      <c r="AC1753">
        <v>-17.2714</v>
      </c>
      <c r="AD1753">
        <v>-1.10604398022239</v>
      </c>
      <c r="AE1753">
        <v>-0.98779999999999202</v>
      </c>
      <c r="AF1753">
        <v>6.2065131018033304</v>
      </c>
      <c r="AG1753">
        <v>-1.10604398022239</v>
      </c>
      <c r="AH1753">
        <v>16.072475092406101</v>
      </c>
      <c r="AI1753">
        <v>93.673114270854995</v>
      </c>
      <c r="AJ1753">
        <v>68.885538691880299</v>
      </c>
      <c r="AK1753">
        <v>17.264663152377398</v>
      </c>
      <c r="AL1753">
        <v>79.925724076925306</v>
      </c>
      <c r="AM1753">
        <v>73.561025612939503</v>
      </c>
      <c r="AN1753">
        <v>1.0000000217375</v>
      </c>
    </row>
    <row r="1754" spans="1:40" x14ac:dyDescent="0.25">
      <c r="A1754" t="str">
        <f>"20190312172925996"</f>
        <v>20190312172925996</v>
      </c>
      <c r="B1754" t="str">
        <f>"1552382965989325"</f>
        <v>1552382965989325</v>
      </c>
      <c r="C1754" t="s">
        <v>40</v>
      </c>
      <c r="D1754">
        <v>3.3417240000000001</v>
      </c>
      <c r="E1754">
        <v>0.53178859999999994</v>
      </c>
      <c r="F1754" t="s">
        <v>47</v>
      </c>
      <c r="G1754">
        <v>-221.31280000000001</v>
      </c>
      <c r="H1754" s="1">
        <v>-8.3819800000000003E-7</v>
      </c>
      <c r="I1754">
        <v>283.86489999999998</v>
      </c>
      <c r="J1754">
        <v>-203.9477</v>
      </c>
      <c r="K1754">
        <v>1.1061129999999999</v>
      </c>
      <c r="L1754">
        <v>284.76429999999999</v>
      </c>
      <c r="M1754">
        <v>-0.91513389999999994</v>
      </c>
      <c r="N1754">
        <v>0</v>
      </c>
      <c r="O1754">
        <v>-0.40291690000000002</v>
      </c>
      <c r="P1754">
        <v>-0.97768140000000003</v>
      </c>
      <c r="Q1754">
        <v>0.1642779</v>
      </c>
      <c r="R1754">
        <v>-0.1309659</v>
      </c>
      <c r="S1754">
        <v>-3.0809169999999999</v>
      </c>
      <c r="T1754">
        <v>-0.19429650000000001</v>
      </c>
      <c r="U1754">
        <v>-0.1692505</v>
      </c>
      <c r="V1754">
        <v>0.27594449999999998</v>
      </c>
      <c r="W1754">
        <v>0.17437250000000001</v>
      </c>
      <c r="X1754">
        <v>0.94522419999999996</v>
      </c>
      <c r="Y1754">
        <v>0.35069699999999998</v>
      </c>
      <c r="Z1754">
        <v>3.5775319999999999E-2</v>
      </c>
      <c r="AA1754">
        <v>0.93580540000000001</v>
      </c>
      <c r="AB1754">
        <v>16</v>
      </c>
      <c r="AC1754">
        <v>-17.365100000000002</v>
      </c>
      <c r="AD1754">
        <v>-1.10611383819799</v>
      </c>
      <c r="AE1754">
        <v>-0.89940000000001397</v>
      </c>
      <c r="AF1754">
        <v>6.1493176436470103</v>
      </c>
      <c r="AG1754">
        <v>-1.10611383819799</v>
      </c>
      <c r="AH1754">
        <v>16.189790242949002</v>
      </c>
      <c r="AI1754">
        <v>93.654498337418204</v>
      </c>
      <c r="AJ1754">
        <v>69.2018765538011</v>
      </c>
      <c r="AK1754">
        <v>17.353584742531101</v>
      </c>
      <c r="AL1754">
        <v>79.957856051692701</v>
      </c>
      <c r="AM1754">
        <v>73.725600867384202</v>
      </c>
      <c r="AN1754">
        <v>0.999999962051069</v>
      </c>
    </row>
    <row r="1755" spans="1:40" x14ac:dyDescent="0.25">
      <c r="A1755" t="str">
        <f>"20190312172926017"</f>
        <v>20190312172926017</v>
      </c>
      <c r="B1755" t="str">
        <f>"1552382966008845"</f>
        <v>1552382966008845</v>
      </c>
      <c r="C1755" t="s">
        <v>40</v>
      </c>
      <c r="D1755">
        <v>3.3392520000000001</v>
      </c>
      <c r="E1755">
        <v>0.53131410000000001</v>
      </c>
      <c r="F1755" t="s">
        <v>47</v>
      </c>
      <c r="G1755">
        <v>-221.12989999999999</v>
      </c>
      <c r="H1755" s="1">
        <v>-9.3552419999999999E-7</v>
      </c>
      <c r="I1755">
        <v>283.93470000000002</v>
      </c>
      <c r="J1755">
        <v>-204.1001</v>
      </c>
      <c r="K1755">
        <v>1.1061749999999999</v>
      </c>
      <c r="L1755">
        <v>284.70949999999999</v>
      </c>
      <c r="M1755">
        <v>-0.91888879999999995</v>
      </c>
      <c r="N1755">
        <v>0</v>
      </c>
      <c r="O1755">
        <v>-0.39428210000000002</v>
      </c>
      <c r="P1755">
        <v>-0.97864510000000005</v>
      </c>
      <c r="Q1755">
        <v>0.16382070000000001</v>
      </c>
      <c r="R1755">
        <v>-0.1241642</v>
      </c>
      <c r="S1755">
        <v>-3.0818629999999998</v>
      </c>
      <c r="T1755">
        <v>-0.19839670000000001</v>
      </c>
      <c r="U1755">
        <v>-0.14880370000000001</v>
      </c>
      <c r="V1755">
        <v>0.273599599999999</v>
      </c>
      <c r="W1755">
        <v>0.1739049</v>
      </c>
      <c r="X1755">
        <v>0.94599180000000005</v>
      </c>
      <c r="Y1755">
        <v>0.34804849999999998</v>
      </c>
      <c r="Z1755">
        <v>3.5932970000000002E-2</v>
      </c>
      <c r="AA1755">
        <v>0.93678760000000005</v>
      </c>
      <c r="AB1755">
        <v>16</v>
      </c>
      <c r="AC1755">
        <v>-17.029799999999899</v>
      </c>
      <c r="AD1755">
        <v>-1.10617593552419</v>
      </c>
      <c r="AE1755">
        <v>-0.77479999999996996</v>
      </c>
      <c r="AF1755">
        <v>5.9779754506375102</v>
      </c>
      <c r="AG1755">
        <v>-1.10617593552419</v>
      </c>
      <c r="AH1755">
        <v>15.888559784057</v>
      </c>
      <c r="AI1755">
        <v>93.728202342025099</v>
      </c>
      <c r="AJ1755">
        <v>69.381491332118898</v>
      </c>
      <c r="AK1755">
        <v>17.011941326618501</v>
      </c>
      <c r="AL1755">
        <v>79.9850643521725</v>
      </c>
      <c r="AM1755">
        <v>73.869081661924298</v>
      </c>
      <c r="AN1755">
        <v>1.0000000705156999</v>
      </c>
    </row>
    <row r="1756" spans="1:40" x14ac:dyDescent="0.25">
      <c r="A1756" t="str">
        <f>"20190312172926041"</f>
        <v>20190312172926041</v>
      </c>
      <c r="B1756" t="str">
        <f>"1552382966029340"</f>
        <v>1552382966029340</v>
      </c>
      <c r="C1756" t="s">
        <v>40</v>
      </c>
      <c r="D1756">
        <v>3.316065</v>
      </c>
      <c r="E1756">
        <v>0.52766349999999995</v>
      </c>
      <c r="F1756" t="s">
        <v>47</v>
      </c>
      <c r="G1756">
        <v>-221.2045</v>
      </c>
      <c r="H1756" s="1">
        <v>-8.9579359999999898E-7</v>
      </c>
      <c r="I1756">
        <v>283.98570000000001</v>
      </c>
      <c r="J1756">
        <v>-204.2679</v>
      </c>
      <c r="K1756">
        <v>1.1062559999999999</v>
      </c>
      <c r="L1756">
        <v>284.6508</v>
      </c>
      <c r="M1756">
        <v>-0.92284889999999997</v>
      </c>
      <c r="N1756">
        <v>0</v>
      </c>
      <c r="O1756">
        <v>-0.38492609999999999</v>
      </c>
      <c r="P1756">
        <v>-0.97979039999999995</v>
      </c>
      <c r="Q1756">
        <v>0.162856</v>
      </c>
      <c r="R1756">
        <v>-0.1161412</v>
      </c>
      <c r="S1756">
        <v>-3.0822910000000001</v>
      </c>
      <c r="T1756">
        <v>-0.19933699999999999</v>
      </c>
      <c r="U1756">
        <v>-0.1304321</v>
      </c>
      <c r="V1756">
        <v>0.27174110000000001</v>
      </c>
      <c r="W1756">
        <v>0.1729135</v>
      </c>
      <c r="X1756">
        <v>0.94670889999999996</v>
      </c>
      <c r="Y1756">
        <v>0.34411439999999999</v>
      </c>
      <c r="Z1756">
        <v>3.5420809999999997E-2</v>
      </c>
      <c r="AA1756">
        <v>0.93825939999999997</v>
      </c>
      <c r="AB1756">
        <v>16</v>
      </c>
      <c r="AC1756">
        <v>-16.936599999999999</v>
      </c>
      <c r="AD1756">
        <v>-1.1062568957936001</v>
      </c>
      <c r="AE1756">
        <v>-0.66509999999999503</v>
      </c>
      <c r="AF1756">
        <v>5.8810373797050897</v>
      </c>
      <c r="AG1756">
        <v>-1.1062568957936001</v>
      </c>
      <c r="AH1756">
        <v>15.819991132603599</v>
      </c>
      <c r="AI1756">
        <v>93.750102022832294</v>
      </c>
      <c r="AJ1756">
        <v>69.607523725265395</v>
      </c>
      <c r="AK1756">
        <v>16.9139742348342</v>
      </c>
      <c r="AL1756">
        <v>80.042740716980404</v>
      </c>
      <c r="AM1756">
        <v>73.984527828881795</v>
      </c>
      <c r="AN1756">
        <v>1.0000000226253301</v>
      </c>
    </row>
    <row r="1757" spans="1:40" x14ac:dyDescent="0.25">
      <c r="A1757" t="str">
        <f>"20190312172926063"</f>
        <v>20190312172926063</v>
      </c>
      <c r="B1757" t="str">
        <f>"1552382966059596"</f>
        <v>1552382966059596</v>
      </c>
      <c r="C1757" t="s">
        <v>40</v>
      </c>
      <c r="D1757">
        <v>3.491835</v>
      </c>
      <c r="E1757">
        <v>0.52715100000000004</v>
      </c>
      <c r="F1757" t="s">
        <v>47</v>
      </c>
      <c r="G1757">
        <v>-221.08680000000001</v>
      </c>
      <c r="H1757" s="1">
        <v>-9.584589E-7</v>
      </c>
      <c r="I1757">
        <v>283.91879999999998</v>
      </c>
      <c r="J1757">
        <v>-204.42490000000001</v>
      </c>
      <c r="K1757">
        <v>1.106344</v>
      </c>
      <c r="L1757">
        <v>284.59739999999999</v>
      </c>
      <c r="M1757">
        <v>-0.92638359999999997</v>
      </c>
      <c r="N1757">
        <v>0</v>
      </c>
      <c r="O1757">
        <v>-0.37634469999999998</v>
      </c>
      <c r="P1757">
        <v>-0.98083719999999996</v>
      </c>
      <c r="Q1757">
        <v>0.161575</v>
      </c>
      <c r="R1757">
        <v>-0.1088669</v>
      </c>
      <c r="S1757">
        <v>-3.079666</v>
      </c>
      <c r="T1757">
        <v>-0.2025641</v>
      </c>
      <c r="U1757">
        <v>-0.13403319999999999</v>
      </c>
      <c r="V1757">
        <v>0.26999380000000001</v>
      </c>
      <c r="W1757">
        <v>0.17161100000000001</v>
      </c>
      <c r="X1757">
        <v>0.94744550000000005</v>
      </c>
      <c r="Y1757">
        <v>0.33424340000000002</v>
      </c>
      <c r="Z1757">
        <v>3.5170649999999998E-2</v>
      </c>
      <c r="AA1757">
        <v>0.94183030000000001</v>
      </c>
      <c r="AB1757">
        <v>16</v>
      </c>
      <c r="AC1757">
        <v>-16.661899999999999</v>
      </c>
      <c r="AD1757">
        <v>-1.10634495845889</v>
      </c>
      <c r="AE1757">
        <v>-0.67860000000001697</v>
      </c>
      <c r="AF1757">
        <v>5.6177491272148199</v>
      </c>
      <c r="AG1757">
        <v>-1.10634495845889</v>
      </c>
      <c r="AH1757">
        <v>15.623327890385999</v>
      </c>
      <c r="AI1757">
        <v>93.812366046738504</v>
      </c>
      <c r="AJ1757">
        <v>70.222712716712707</v>
      </c>
      <c r="AK1757">
        <v>16.639455483697201</v>
      </c>
      <c r="AL1757">
        <v>80.118500593824507</v>
      </c>
      <c r="AM1757">
        <v>74.094023517289799</v>
      </c>
      <c r="AN1757">
        <v>0.99999998141484403</v>
      </c>
    </row>
    <row r="1758" spans="1:40" x14ac:dyDescent="0.25">
      <c r="A1758" t="str">
        <f>"20190312172926083"</f>
        <v>20190312172926083</v>
      </c>
      <c r="B1758" t="str">
        <f>"1552382966079117"</f>
        <v>1552382966079117</v>
      </c>
      <c r="C1758" t="s">
        <v>40</v>
      </c>
      <c r="D1758">
        <v>3.279798</v>
      </c>
      <c r="E1758">
        <v>0.52674639999999995</v>
      </c>
      <c r="F1758" t="s">
        <v>47</v>
      </c>
      <c r="G1758">
        <v>-220.70500000000001</v>
      </c>
      <c r="H1758" s="1">
        <v>-1.1616339999999999E-6</v>
      </c>
      <c r="I1758">
        <v>283.9864</v>
      </c>
      <c r="J1758">
        <v>-204.57409999999999</v>
      </c>
      <c r="K1758">
        <v>1.1064430000000001</v>
      </c>
      <c r="L1758">
        <v>284.54790000000003</v>
      </c>
      <c r="M1758">
        <v>-0.92958989999999997</v>
      </c>
      <c r="N1758">
        <v>0</v>
      </c>
      <c r="O1758">
        <v>-0.36835849999999998</v>
      </c>
      <c r="P1758">
        <v>-0.98170060000000003</v>
      </c>
      <c r="Q1758">
        <v>0.16067419999999999</v>
      </c>
      <c r="R1758">
        <v>-0.1022166</v>
      </c>
      <c r="S1758">
        <v>-3.080276</v>
      </c>
      <c r="T1758">
        <v>-0.20932629999999999</v>
      </c>
      <c r="U1758">
        <v>-0.1156006</v>
      </c>
      <c r="V1758">
        <v>0.26825329999999997</v>
      </c>
      <c r="W1758">
        <v>0.17069200000000001</v>
      </c>
      <c r="X1758">
        <v>0.94810570000000005</v>
      </c>
      <c r="Y1758">
        <v>0.33169019999999999</v>
      </c>
      <c r="Z1758">
        <v>3.5751570000000003E-2</v>
      </c>
      <c r="AA1758">
        <v>0.94271070000000001</v>
      </c>
      <c r="AB1758">
        <v>16</v>
      </c>
      <c r="AC1758">
        <v>-16.1309</v>
      </c>
      <c r="AD1758">
        <v>-1.1064441616339999</v>
      </c>
      <c r="AE1758">
        <v>-0.56150000000002298</v>
      </c>
      <c r="AF1758">
        <v>5.3951104813690698</v>
      </c>
      <c r="AG1758">
        <v>-1.1064441616339999</v>
      </c>
      <c r="AH1758">
        <v>15.1321747714944</v>
      </c>
      <c r="AI1758">
        <v>93.939864958555404</v>
      </c>
      <c r="AJ1758">
        <v>70.377202284789504</v>
      </c>
      <c r="AK1758">
        <v>16.103234119394902</v>
      </c>
      <c r="AL1758">
        <v>80.171944225487593</v>
      </c>
      <c r="AM1758">
        <v>74.2018783416042</v>
      </c>
      <c r="AN1758">
        <v>1.0000000050986899</v>
      </c>
    </row>
    <row r="1759" spans="1:40" x14ac:dyDescent="0.25">
      <c r="A1759" t="str">
        <f>"20190312172926105"</f>
        <v>20190312172926105</v>
      </c>
      <c r="B1759" t="str">
        <f>"1552382966099614"</f>
        <v>1552382966099614</v>
      </c>
      <c r="C1759" t="s">
        <v>40</v>
      </c>
      <c r="D1759">
        <v>3.2743850000000001</v>
      </c>
      <c r="E1759">
        <v>0.52648869999999903</v>
      </c>
      <c r="F1759" t="s">
        <v>47</v>
      </c>
      <c r="G1759">
        <v>-220.53790000000001</v>
      </c>
      <c r="H1759" s="1">
        <v>-1.250549E-6</v>
      </c>
      <c r="I1759">
        <v>284.04039999999998</v>
      </c>
      <c r="J1759">
        <v>-204.72819999999999</v>
      </c>
      <c r="K1759">
        <v>1.1065480000000001</v>
      </c>
      <c r="L1759">
        <v>284.49799999999999</v>
      </c>
      <c r="M1759">
        <v>-0.9327474</v>
      </c>
      <c r="N1759">
        <v>0</v>
      </c>
      <c r="O1759">
        <v>-0.36029250000000002</v>
      </c>
      <c r="P1759">
        <v>-0.98244120000000001</v>
      </c>
      <c r="Q1759">
        <v>0.1604604</v>
      </c>
      <c r="R1759">
        <v>-9.519321E-2</v>
      </c>
      <c r="S1759">
        <v>-3.080673</v>
      </c>
      <c r="T1759">
        <v>-0.21352080000000001</v>
      </c>
      <c r="U1759">
        <v>-9.7930909999999996E-2</v>
      </c>
      <c r="V1759">
        <v>0.26677640000000002</v>
      </c>
      <c r="W1759">
        <v>0.17045060000000001</v>
      </c>
      <c r="X1759">
        <v>0.94856580000000001</v>
      </c>
      <c r="Y1759">
        <v>0.32888600000000001</v>
      </c>
      <c r="Z1759">
        <v>3.584938E-2</v>
      </c>
      <c r="AA1759">
        <v>0.94368890000000005</v>
      </c>
      <c r="AB1759">
        <v>16</v>
      </c>
      <c r="AC1759">
        <v>-15.809699999999999</v>
      </c>
      <c r="AD1759">
        <v>-1.10654925054899</v>
      </c>
      <c r="AE1759">
        <v>-0.457600000000013</v>
      </c>
      <c r="AF1759">
        <v>5.2440748586649102</v>
      </c>
      <c r="AG1759">
        <v>-1.10654925054899</v>
      </c>
      <c r="AH1759">
        <v>14.839968051110001</v>
      </c>
      <c r="AI1759">
        <v>94.021559259274795</v>
      </c>
      <c r="AJ1759">
        <v>70.537861290764098</v>
      </c>
      <c r="AK1759">
        <v>15.7781311987554</v>
      </c>
      <c r="AL1759">
        <v>80.185981734239306</v>
      </c>
      <c r="AM1759">
        <v>74.291794927373104</v>
      </c>
      <c r="AN1759">
        <v>1.00000006578347</v>
      </c>
    </row>
    <row r="1760" spans="1:40" x14ac:dyDescent="0.25">
      <c r="A1760" t="str">
        <f>"20190312172926128"</f>
        <v>20190312172926128</v>
      </c>
      <c r="B1760" t="str">
        <f>"1552382966119134"</f>
        <v>1552382966119134</v>
      </c>
      <c r="C1760" t="s">
        <v>40</v>
      </c>
      <c r="D1760">
        <v>3.2752210000000002</v>
      </c>
      <c r="E1760">
        <v>0.52612269999999906</v>
      </c>
      <c r="F1760" t="s">
        <v>47</v>
      </c>
      <c r="G1760">
        <v>-220.6465</v>
      </c>
      <c r="H1760" s="1">
        <v>-1.1927330000000001E-6</v>
      </c>
      <c r="I1760">
        <v>284.09379999999999</v>
      </c>
      <c r="J1760">
        <v>-204.8954</v>
      </c>
      <c r="K1760">
        <v>1.1066400000000001</v>
      </c>
      <c r="L1760">
        <v>284.44529999999997</v>
      </c>
      <c r="M1760">
        <v>-0.93601639999999997</v>
      </c>
      <c r="N1760">
        <v>0</v>
      </c>
      <c r="O1760">
        <v>-0.35171819999999998</v>
      </c>
      <c r="P1760">
        <v>-0.98315859999999999</v>
      </c>
      <c r="Q1760">
        <v>0.16029160000000001</v>
      </c>
      <c r="R1760">
        <v>-8.7783630000000001E-2</v>
      </c>
      <c r="S1760">
        <v>-3.0810240000000002</v>
      </c>
      <c r="T1760">
        <v>-0.21417520000000001</v>
      </c>
      <c r="U1760">
        <v>-7.8247070000000002E-2</v>
      </c>
      <c r="V1760">
        <v>0.26518069999999999</v>
      </c>
      <c r="W1760">
        <v>0.17023959999999999</v>
      </c>
      <c r="X1760">
        <v>0.94905099999999998</v>
      </c>
      <c r="Y1760">
        <v>0.32626500000000003</v>
      </c>
      <c r="Z1760">
        <v>3.5312059999999999E-2</v>
      </c>
      <c r="AA1760">
        <v>0.94461850000000003</v>
      </c>
      <c r="AB1760">
        <v>16</v>
      </c>
      <c r="AC1760">
        <v>-15.751099999999999</v>
      </c>
      <c r="AD1760">
        <v>-1.106641192733</v>
      </c>
      <c r="AE1760">
        <v>-0.35149999999998699</v>
      </c>
      <c r="AF1760">
        <v>5.1857902190472398</v>
      </c>
      <c r="AG1760">
        <v>-1.106641192733</v>
      </c>
      <c r="AH1760">
        <v>14.795167510187101</v>
      </c>
      <c r="AI1760">
        <v>94.037645117158903</v>
      </c>
      <c r="AJ1760">
        <v>70.684146524892498</v>
      </c>
      <c r="AK1760">
        <v>15.716680838520499</v>
      </c>
      <c r="AL1760">
        <v>80.198250427621602</v>
      </c>
      <c r="AM1760">
        <v>74.388749091564705</v>
      </c>
      <c r="AN1760">
        <v>1.0000000628308201</v>
      </c>
    </row>
    <row r="1761" spans="1:40" x14ac:dyDescent="0.25">
      <c r="A1761" t="str">
        <f>"20190312172926150"</f>
        <v>20190312172926150</v>
      </c>
      <c r="B1761" t="str">
        <f>"1552382966138656"</f>
        <v>1552382966138656</v>
      </c>
      <c r="C1761" t="s">
        <v>40</v>
      </c>
      <c r="D1761">
        <v>3.2851469999999998</v>
      </c>
      <c r="E1761">
        <v>0.52582810000000002</v>
      </c>
      <c r="F1761" t="s">
        <v>47</v>
      </c>
      <c r="G1761">
        <v>-220.7946</v>
      </c>
      <c r="H1761" s="1">
        <v>-1.113953E-6</v>
      </c>
      <c r="I1761">
        <v>284.14679999999998</v>
      </c>
      <c r="J1761">
        <v>-205.0515</v>
      </c>
      <c r="K1761">
        <v>1.106714</v>
      </c>
      <c r="L1761">
        <v>284.3974</v>
      </c>
      <c r="M1761">
        <v>-0.93892929999999997</v>
      </c>
      <c r="N1761">
        <v>0</v>
      </c>
      <c r="O1761">
        <v>-0.34387089999999998</v>
      </c>
      <c r="P1761">
        <v>-0.9837612</v>
      </c>
      <c r="Q1761">
        <v>0.15978909999999999</v>
      </c>
      <c r="R1761">
        <v>-8.1739950000000006E-2</v>
      </c>
      <c r="S1761">
        <v>-3.081207</v>
      </c>
      <c r="T1761">
        <v>-0.2144636</v>
      </c>
      <c r="U1761">
        <v>-5.7861330000000002E-2</v>
      </c>
      <c r="V1761">
        <v>0.26305230000000002</v>
      </c>
      <c r="W1761">
        <v>0.1696964</v>
      </c>
      <c r="X1761">
        <v>0.94974029999999998</v>
      </c>
      <c r="Y1761">
        <v>0.32462029999999997</v>
      </c>
      <c r="Z1761">
        <v>3.4792770000000001E-2</v>
      </c>
      <c r="AA1761">
        <v>0.9452043</v>
      </c>
      <c r="AB1761">
        <v>16</v>
      </c>
      <c r="AC1761">
        <v>-15.743099999999901</v>
      </c>
      <c r="AD1761">
        <v>-1.106715113953</v>
      </c>
      <c r="AE1761">
        <v>-0.25060000000001897</v>
      </c>
      <c r="AF1761">
        <v>5.1532641399542198</v>
      </c>
      <c r="AG1761">
        <v>-1.106715113953</v>
      </c>
      <c r="AH1761">
        <v>14.7959543526106</v>
      </c>
      <c r="AI1761">
        <v>94.040478948665694</v>
      </c>
      <c r="AJ1761">
        <v>70.797348755052695</v>
      </c>
      <c r="AK1761">
        <v>15.706725147023</v>
      </c>
      <c r="AL1761">
        <v>80.229832503239606</v>
      </c>
      <c r="AM1761">
        <v>74.5187119459992</v>
      </c>
      <c r="AN1761">
        <v>1.00000000907617</v>
      </c>
    </row>
    <row r="1762" spans="1:40" x14ac:dyDescent="0.25">
      <c r="A1762" t="str">
        <f>"20190312172926173"</f>
        <v>20190312172926173</v>
      </c>
      <c r="B1762" t="str">
        <f>"1552382966168910"</f>
        <v>1552382966168910</v>
      </c>
      <c r="C1762" t="s">
        <v>40</v>
      </c>
      <c r="D1762">
        <v>3.270248</v>
      </c>
      <c r="E1762">
        <v>0.52170859999999997</v>
      </c>
      <c r="F1762" t="s">
        <v>47</v>
      </c>
      <c r="G1762">
        <v>-220.91919999999999</v>
      </c>
      <c r="H1762" s="1">
        <v>-1.047624E-6</v>
      </c>
      <c r="I1762">
        <v>284.1859</v>
      </c>
      <c r="J1762">
        <v>-205.21719999999999</v>
      </c>
      <c r="K1762">
        <v>1.106778</v>
      </c>
      <c r="L1762">
        <v>284.34789999999998</v>
      </c>
      <c r="M1762">
        <v>-0.94187799999999999</v>
      </c>
      <c r="N1762">
        <v>0</v>
      </c>
      <c r="O1762">
        <v>-0.33571509999999999</v>
      </c>
      <c r="P1762">
        <v>-0.98430799999999996</v>
      </c>
      <c r="Q1762">
        <v>0.15966079999999999</v>
      </c>
      <c r="R1762">
        <v>-7.5141299999999994E-2</v>
      </c>
      <c r="S1762">
        <v>-3.0810240000000002</v>
      </c>
      <c r="T1762">
        <v>-0.21488989999999999</v>
      </c>
      <c r="U1762">
        <v>-4.1076660000000001E-2</v>
      </c>
      <c r="V1762">
        <v>0.26115359999999999</v>
      </c>
      <c r="W1762">
        <v>0.1695112</v>
      </c>
      <c r="X1762">
        <v>0.95029719999999995</v>
      </c>
      <c r="Y1762">
        <v>0.32158490000000001</v>
      </c>
      <c r="Z1762">
        <v>3.4224909999999997E-2</v>
      </c>
      <c r="AA1762">
        <v>0.94626209999999999</v>
      </c>
      <c r="AB1762">
        <v>16</v>
      </c>
      <c r="AC1762">
        <v>-15.7019999999999</v>
      </c>
      <c r="AD1762">
        <v>-1.106779047624</v>
      </c>
      <c r="AE1762">
        <v>-0.161999999999977</v>
      </c>
      <c r="AF1762">
        <v>5.0939212285406104</v>
      </c>
      <c r="AG1762">
        <v>-1.106779047624</v>
      </c>
      <c r="AH1762">
        <v>14.771568324064299</v>
      </c>
      <c r="AI1762">
        <v>94.051658901504396</v>
      </c>
      <c r="AJ1762">
        <v>70.973433796005096</v>
      </c>
      <c r="AK1762">
        <v>15.6643615923323</v>
      </c>
      <c r="AL1762">
        <v>80.240599672207296</v>
      </c>
      <c r="AM1762">
        <v>74.633734029438003</v>
      </c>
      <c r="AN1762">
        <v>1.00000000902311</v>
      </c>
    </row>
    <row r="1763" spans="1:40" x14ac:dyDescent="0.25">
      <c r="A1763" t="str">
        <f>"20190312172926195"</f>
        <v>20190312172926195</v>
      </c>
      <c r="B1763" t="str">
        <f>"1552382966189405"</f>
        <v>1552382966189405</v>
      </c>
      <c r="C1763" t="s">
        <v>40</v>
      </c>
      <c r="D1763">
        <v>3.252084</v>
      </c>
      <c r="E1763">
        <v>0.52091259999999995</v>
      </c>
      <c r="F1763" t="s">
        <v>47</v>
      </c>
      <c r="G1763">
        <v>-221.1482</v>
      </c>
      <c r="H1763" s="1">
        <v>-9.2575460000000005E-7</v>
      </c>
      <c r="I1763">
        <v>284.07229999999998</v>
      </c>
      <c r="J1763">
        <v>-205.3759</v>
      </c>
      <c r="K1763">
        <v>1.106835</v>
      </c>
      <c r="L1763">
        <v>284.30169999999998</v>
      </c>
      <c r="M1763">
        <v>-0.94456589999999996</v>
      </c>
      <c r="N1763">
        <v>0</v>
      </c>
      <c r="O1763">
        <v>-0.32808130000000002</v>
      </c>
      <c r="P1763">
        <v>-0.98473549999999999</v>
      </c>
      <c r="Q1763">
        <v>0.15974869999999999</v>
      </c>
      <c r="R1763">
        <v>-6.9111699999999998E-2</v>
      </c>
      <c r="S1763">
        <v>-3.0784609999999999</v>
      </c>
      <c r="T1763">
        <v>-0.2138708</v>
      </c>
      <c r="U1763">
        <v>-5.3253170000000002E-2</v>
      </c>
      <c r="V1763">
        <v>0.2592431</v>
      </c>
      <c r="W1763">
        <v>0.1695422</v>
      </c>
      <c r="X1763">
        <v>0.95081459999999995</v>
      </c>
      <c r="Y1763">
        <v>0.31020629999999999</v>
      </c>
      <c r="Z1763">
        <v>3.3186790000000001E-2</v>
      </c>
      <c r="AA1763">
        <v>0.95008990000000004</v>
      </c>
      <c r="AB1763">
        <v>16</v>
      </c>
      <c r="AC1763">
        <v>-15.7723</v>
      </c>
      <c r="AD1763">
        <v>-1.1068359257546001</v>
      </c>
      <c r="AE1763">
        <v>-0.22939999999999799</v>
      </c>
      <c r="AF1763">
        <v>4.9340115957770303</v>
      </c>
      <c r="AG1763">
        <v>-1.1068359257546001</v>
      </c>
      <c r="AH1763">
        <v>14.9010538954289</v>
      </c>
      <c r="AI1763">
        <v>94.033478226626798</v>
      </c>
      <c r="AJ1763">
        <v>71.679347964835799</v>
      </c>
      <c r="AK1763">
        <v>15.7356589753426</v>
      </c>
      <c r="AL1763">
        <v>80.238797061662595</v>
      </c>
      <c r="AM1763">
        <v>74.748805990229499</v>
      </c>
      <c r="AN1763">
        <v>0.99999997302580401</v>
      </c>
    </row>
    <row r="1764" spans="1:40" x14ac:dyDescent="0.25">
      <c r="A1764" t="str">
        <f>"20190312172926216"</f>
        <v>20190312172926216</v>
      </c>
      <c r="B1764" t="str">
        <f>"1552382966208925"</f>
        <v>1552382966208925</v>
      </c>
      <c r="C1764" t="s">
        <v>40</v>
      </c>
      <c r="D1764">
        <v>3.2960780000000001</v>
      </c>
      <c r="E1764">
        <v>0.52071140000000005</v>
      </c>
      <c r="F1764" t="s">
        <v>47</v>
      </c>
      <c r="G1764">
        <v>-221.35040000000001</v>
      </c>
      <c r="H1764" s="1">
        <v>-8.1815049999999996E-7</v>
      </c>
      <c r="I1764">
        <v>284.08870000000002</v>
      </c>
      <c r="J1764">
        <v>-205.53200000000001</v>
      </c>
      <c r="K1764">
        <v>1.1069009999999999</v>
      </c>
      <c r="L1764">
        <v>284.25729999999999</v>
      </c>
      <c r="M1764">
        <v>-0.94708680000000001</v>
      </c>
      <c r="N1764">
        <v>0</v>
      </c>
      <c r="O1764">
        <v>-0.32073669999999999</v>
      </c>
      <c r="P1764">
        <v>-0.98517650000000001</v>
      </c>
      <c r="Q1764">
        <v>0.15953120000000001</v>
      </c>
      <c r="R1764">
        <v>-6.3066140000000007E-2</v>
      </c>
      <c r="S1764">
        <v>-3.078217</v>
      </c>
      <c r="T1764">
        <v>-0.21328150000000001</v>
      </c>
      <c r="U1764">
        <v>-4.1046140000000002E-2</v>
      </c>
      <c r="V1764">
        <v>0.25766699999999998</v>
      </c>
      <c r="W1764">
        <v>0.1692697</v>
      </c>
      <c r="X1764">
        <v>0.95129149999999996</v>
      </c>
      <c r="Y1764">
        <v>0.30662289999999998</v>
      </c>
      <c r="Z1764">
        <v>3.249312E-2</v>
      </c>
      <c r="AA1764">
        <v>0.95127629999999996</v>
      </c>
      <c r="AB1764">
        <v>16</v>
      </c>
      <c r="AC1764">
        <v>-15.818399999999899</v>
      </c>
      <c r="AD1764">
        <v>-1.1069018181504999</v>
      </c>
      <c r="AE1764">
        <v>-0.168599999999969</v>
      </c>
      <c r="AF1764">
        <v>4.8902993391672203</v>
      </c>
      <c r="AG1764">
        <v>-1.1069018181504999</v>
      </c>
      <c r="AH1764">
        <v>14.963375059032799</v>
      </c>
      <c r="AI1764">
        <v>94.022086817174596</v>
      </c>
      <c r="AJ1764">
        <v>71.901679629481293</v>
      </c>
      <c r="AK1764">
        <v>15.7810916104992</v>
      </c>
      <c r="AL1764">
        <v>80.254639561627201</v>
      </c>
      <c r="AM1764">
        <v>74.844498142522795</v>
      </c>
      <c r="AN1764">
        <v>1.00000001609966</v>
      </c>
    </row>
    <row r="1765" spans="1:40" x14ac:dyDescent="0.25">
      <c r="A1765" t="str">
        <f>"20190312172926242"</f>
        <v>20190312172926242</v>
      </c>
      <c r="B1765" t="str">
        <f>"1552382966239181"</f>
        <v>1552382966239181</v>
      </c>
      <c r="C1765" t="s">
        <v>40</v>
      </c>
      <c r="D1765">
        <v>3.2730950000000001</v>
      </c>
      <c r="E1765">
        <v>0.51965669999999997</v>
      </c>
      <c r="F1765" t="s">
        <v>47</v>
      </c>
      <c r="G1765">
        <v>-221.36869999999999</v>
      </c>
      <c r="H1765" s="1">
        <v>-8.0843899999999998E-7</v>
      </c>
      <c r="I1765">
        <v>284.13440000000003</v>
      </c>
      <c r="J1765">
        <v>-205.71250000000001</v>
      </c>
      <c r="K1765">
        <v>1.106997</v>
      </c>
      <c r="L1765">
        <v>284.20729999999998</v>
      </c>
      <c r="M1765">
        <v>-0.94985229999999998</v>
      </c>
      <c r="N1765">
        <v>0</v>
      </c>
      <c r="O1765">
        <v>-0.31245780000000001</v>
      </c>
      <c r="P1765">
        <v>-0.98566640000000005</v>
      </c>
      <c r="Q1765">
        <v>0.15887670000000001</v>
      </c>
      <c r="R1765">
        <v>-5.6745370000000003E-2</v>
      </c>
      <c r="S1765">
        <v>-3.0784760000000002</v>
      </c>
      <c r="T1765">
        <v>-0.2151699</v>
      </c>
      <c r="U1765">
        <v>-2.3895260000000001E-2</v>
      </c>
      <c r="V1765">
        <v>0.25543979999999999</v>
      </c>
      <c r="W1765">
        <v>0.16856750000000001</v>
      </c>
      <c r="X1765">
        <v>0.95201659999999999</v>
      </c>
      <c r="Y1765">
        <v>0.30361630000000001</v>
      </c>
      <c r="Z1765">
        <v>3.2124430000000002E-2</v>
      </c>
      <c r="AA1765">
        <v>0.95225269999999995</v>
      </c>
      <c r="AB1765">
        <v>16</v>
      </c>
      <c r="AC1765">
        <v>-15.656199999999901</v>
      </c>
      <c r="AD1765">
        <v>-1.106997808439</v>
      </c>
      <c r="AE1765">
        <v>-7.2899999999947299E-2</v>
      </c>
      <c r="AF1765">
        <v>4.7990291724387202</v>
      </c>
      <c r="AG1765">
        <v>-1.106997808439</v>
      </c>
      <c r="AH1765">
        <v>14.820883947568699</v>
      </c>
      <c r="AI1765">
        <v>94.064570949373802</v>
      </c>
      <c r="AJ1765">
        <v>72.057952501470794</v>
      </c>
      <c r="AK1765">
        <v>15.617769563324501</v>
      </c>
      <c r="AL1765">
        <v>80.295459569725395</v>
      </c>
      <c r="AM1765">
        <v>74.980476542666395</v>
      </c>
      <c r="AN1765">
        <v>1.00000005007792</v>
      </c>
    </row>
    <row r="1766" spans="1:40" x14ac:dyDescent="0.25">
      <c r="A1766" t="str">
        <f>"20190312172926264"</f>
        <v>20190312172926264</v>
      </c>
      <c r="B1766" t="str">
        <f>"1552382966258703"</f>
        <v>1552382966258703</v>
      </c>
      <c r="C1766" t="s">
        <v>40</v>
      </c>
      <c r="D1766">
        <v>3.2687059999999999</v>
      </c>
      <c r="E1766">
        <v>0.51915020000000001</v>
      </c>
      <c r="F1766" t="s">
        <v>47</v>
      </c>
      <c r="G1766">
        <v>-221.5077</v>
      </c>
      <c r="H1766" s="1">
        <v>-7.3447819999999897E-7</v>
      </c>
      <c r="I1766">
        <v>284.14479999999998</v>
      </c>
      <c r="J1766">
        <v>-205.8768</v>
      </c>
      <c r="K1766">
        <v>1.107097</v>
      </c>
      <c r="L1766">
        <v>284.16300000000001</v>
      </c>
      <c r="M1766">
        <v>-0.9522294</v>
      </c>
      <c r="N1766">
        <v>0</v>
      </c>
      <c r="O1766">
        <v>-0.30514210000000003</v>
      </c>
      <c r="P1766">
        <v>-0.98605849999999995</v>
      </c>
      <c r="Q1766">
        <v>0.15835929999999901</v>
      </c>
      <c r="R1766">
        <v>-5.1096200000000001E-2</v>
      </c>
      <c r="S1766">
        <v>-3.0776979999999998</v>
      </c>
      <c r="T1766">
        <v>-0.21569920000000001</v>
      </c>
      <c r="U1766">
        <v>-1.217651E-2</v>
      </c>
      <c r="V1766">
        <v>0.25353940000000003</v>
      </c>
      <c r="W1766">
        <v>0.16801189999999999</v>
      </c>
      <c r="X1766">
        <v>0.95262259999999999</v>
      </c>
      <c r="Y1766">
        <v>0.29992920000000001</v>
      </c>
      <c r="Z1766">
        <v>3.1593870000000003E-2</v>
      </c>
      <c r="AA1766">
        <v>0.95343820000000001</v>
      </c>
      <c r="AB1766">
        <v>17</v>
      </c>
      <c r="AC1766">
        <v>-15.630899999999899</v>
      </c>
      <c r="AD1766">
        <v>-1.1070977344782</v>
      </c>
      <c r="AE1766">
        <v>-1.8200000000035702E-2</v>
      </c>
      <c r="AF1766">
        <v>4.7289426431288399</v>
      </c>
      <c r="AG1766">
        <v>-1.1070977344782</v>
      </c>
      <c r="AH1766">
        <v>14.816526579836999</v>
      </c>
      <c r="AI1766">
        <v>94.071604673272802</v>
      </c>
      <c r="AJ1766">
        <v>72.298645879524898</v>
      </c>
      <c r="AK1766">
        <v>15.5922424239333</v>
      </c>
      <c r="AL1766">
        <v>80.327753421475606</v>
      </c>
      <c r="AM1766">
        <v>75.096285925863597</v>
      </c>
      <c r="AN1766">
        <v>1.0000000219623599</v>
      </c>
    </row>
    <row r="1767" spans="1:40" x14ac:dyDescent="0.25">
      <c r="A1767" t="str">
        <f>"20190312172926286"</f>
        <v>20190312172926286</v>
      </c>
      <c r="B1767" t="str">
        <f>"1552382966279197"</f>
        <v>1552382966279197</v>
      </c>
      <c r="C1767" t="s">
        <v>40</v>
      </c>
      <c r="D1767">
        <v>3.2806790000000001</v>
      </c>
      <c r="E1767">
        <v>0.51547339999999997</v>
      </c>
      <c r="F1767" t="s">
        <v>47</v>
      </c>
      <c r="G1767">
        <v>-221.46870000000001</v>
      </c>
      <c r="H1767" s="1">
        <v>-7.5523209999999996E-7</v>
      </c>
      <c r="I1767">
        <v>284.17239999999998</v>
      </c>
      <c r="J1767">
        <v>-206.03489999999999</v>
      </c>
      <c r="K1767">
        <v>1.1072029999999999</v>
      </c>
      <c r="L1767">
        <v>284.12130000000002</v>
      </c>
      <c r="M1767">
        <v>-0.95438780000000001</v>
      </c>
      <c r="N1767">
        <v>0</v>
      </c>
      <c r="O1767">
        <v>-0.29832839999999999</v>
      </c>
      <c r="P1767">
        <v>-0.98630419999999996</v>
      </c>
      <c r="Q1767">
        <v>0.158251799999999</v>
      </c>
      <c r="R1767">
        <v>-4.6481300000000003E-2</v>
      </c>
      <c r="S1767">
        <v>-3.0776059999999998</v>
      </c>
      <c r="T1767">
        <v>-0.2185252</v>
      </c>
      <c r="U1767">
        <v>1.8615719999999999E-3</v>
      </c>
      <c r="V1767">
        <v>0.251137</v>
      </c>
      <c r="W1767">
        <v>0.1678761</v>
      </c>
      <c r="X1767">
        <v>0.95328270000000004</v>
      </c>
      <c r="Y1767">
        <v>0.2974446</v>
      </c>
      <c r="Z1767">
        <v>3.1458069999999998E-2</v>
      </c>
      <c r="AA1767">
        <v>0.95422070000000003</v>
      </c>
      <c r="AB1767">
        <v>17</v>
      </c>
      <c r="AC1767">
        <v>-15.4338</v>
      </c>
      <c r="AD1767">
        <v>-1.1072037552320999</v>
      </c>
      <c r="AE1767">
        <v>5.1099999999962599E-2</v>
      </c>
      <c r="AF1767">
        <v>4.6296194211430004</v>
      </c>
      <c r="AG1767">
        <v>-1.1072037552320999</v>
      </c>
      <c r="AH1767">
        <v>14.6403010650053</v>
      </c>
      <c r="AI1767">
        <v>94.124328449330207</v>
      </c>
      <c r="AJ1767">
        <v>72.451778266425194</v>
      </c>
      <c r="AK1767">
        <v>15.3947293387776</v>
      </c>
      <c r="AL1767">
        <v>80.335646489014707</v>
      </c>
      <c r="AM1767">
        <v>75.241085264708701</v>
      </c>
      <c r="AN1767">
        <v>1.0000000419197399</v>
      </c>
    </row>
    <row r="1768" spans="1:40" x14ac:dyDescent="0.25">
      <c r="A1768" t="str">
        <f>"20190312172926308"</f>
        <v>20190312172926308</v>
      </c>
      <c r="B1768" t="str">
        <f>"1552382966299694"</f>
        <v>1552382966299694</v>
      </c>
      <c r="C1768" t="s">
        <v>40</v>
      </c>
      <c r="D1768">
        <v>3.2782460000000002</v>
      </c>
      <c r="E1768">
        <v>0.51471409999999995</v>
      </c>
      <c r="F1768" t="s">
        <v>47</v>
      </c>
      <c r="G1768">
        <v>-220.65430000000001</v>
      </c>
      <c r="H1768" s="1">
        <v>-1.1886149999999999E-6</v>
      </c>
      <c r="I1768">
        <v>284.06420000000003</v>
      </c>
      <c r="J1768">
        <v>-206.19579999999999</v>
      </c>
      <c r="K1768">
        <v>1.107291</v>
      </c>
      <c r="L1768">
        <v>284.07990000000001</v>
      </c>
      <c r="M1768">
        <v>-0.95647280000000001</v>
      </c>
      <c r="N1768">
        <v>0</v>
      </c>
      <c r="O1768">
        <v>-0.29158010000000001</v>
      </c>
      <c r="P1768">
        <v>-0.9865623</v>
      </c>
      <c r="Q1768">
        <v>0.1577104</v>
      </c>
      <c r="R1768">
        <v>-4.2686160000000001E-2</v>
      </c>
      <c r="S1768">
        <v>-3.0784910000000001</v>
      </c>
      <c r="T1768">
        <v>-0.23315060000000001</v>
      </c>
      <c r="U1768">
        <v>-1.202393E-2</v>
      </c>
      <c r="V1768">
        <v>0.2480417</v>
      </c>
      <c r="W1768">
        <v>0.16730439999999999</v>
      </c>
      <c r="X1768">
        <v>0.95419310000000002</v>
      </c>
      <c r="Y1768">
        <v>0.286226599999999</v>
      </c>
      <c r="Z1768">
        <v>3.26276E-2</v>
      </c>
      <c r="AA1768">
        <v>0.95760630000000002</v>
      </c>
      <c r="AB1768">
        <v>17</v>
      </c>
      <c r="AC1768">
        <v>-14.458500000000001</v>
      </c>
      <c r="AD1768">
        <v>-1.107292188615</v>
      </c>
      <c r="AE1768">
        <v>-1.5699999999981101E-2</v>
      </c>
      <c r="AF1768">
        <v>4.1765938225192603</v>
      </c>
      <c r="AG1768">
        <v>-1.107292188615</v>
      </c>
      <c r="AH1768">
        <v>13.754044748643</v>
      </c>
      <c r="AI1768">
        <v>94.404983368432795</v>
      </c>
      <c r="AJ1768">
        <v>73.108407600259298</v>
      </c>
      <c r="AK1768">
        <v>14.4167880922537</v>
      </c>
      <c r="AL1768">
        <v>80.368871608155899</v>
      </c>
      <c r="AM1768">
        <v>75.428512017224406</v>
      </c>
      <c r="AN1768">
        <v>0.99999995964292898</v>
      </c>
    </row>
    <row r="1769" spans="1:40" x14ac:dyDescent="0.25">
      <c r="A1769" t="str">
        <f>"20190312172926340"</f>
        <v>20190312172926340</v>
      </c>
      <c r="B1769" t="str">
        <f>"1552382966328976"</f>
        <v>1552382966328976</v>
      </c>
      <c r="C1769" t="s">
        <v>40</v>
      </c>
      <c r="D1769">
        <v>3.2695249999999998</v>
      </c>
      <c r="E1769">
        <v>0.51361099999999904</v>
      </c>
      <c r="F1769" t="s">
        <v>47</v>
      </c>
      <c r="G1769">
        <v>-220.81290000000001</v>
      </c>
      <c r="H1769" s="1">
        <v>-1.1041820000000001E-6</v>
      </c>
      <c r="I1769">
        <v>284.04919999999998</v>
      </c>
      <c r="J1769">
        <v>-206.43639999999999</v>
      </c>
      <c r="K1769">
        <v>1.10738799999999</v>
      </c>
      <c r="L1769">
        <v>284.0197</v>
      </c>
      <c r="M1769">
        <v>-0.95938950000000001</v>
      </c>
      <c r="N1769">
        <v>0</v>
      </c>
      <c r="O1769">
        <v>-0.28184330000000002</v>
      </c>
      <c r="P1769">
        <v>-0.98679360000000005</v>
      </c>
      <c r="Q1769">
        <v>0.15759579999999901</v>
      </c>
      <c r="R1769">
        <v>-3.7450259999999999E-2</v>
      </c>
      <c r="S1769">
        <v>-3.0778349999999999</v>
      </c>
      <c r="T1769">
        <v>-0.23315569999999999</v>
      </c>
      <c r="U1769">
        <v>-6.4697269999999998E-3</v>
      </c>
      <c r="V1769">
        <v>0.24334839999999999</v>
      </c>
      <c r="W1769">
        <v>0.1671202</v>
      </c>
      <c r="X1769">
        <v>0.95543310000000004</v>
      </c>
      <c r="Y1769">
        <v>0.27825729999999999</v>
      </c>
      <c r="Z1769">
        <v>3.1623270000000002E-2</v>
      </c>
      <c r="AA1769">
        <v>0.95998589999999995</v>
      </c>
      <c r="AB1769">
        <v>17</v>
      </c>
      <c r="AC1769">
        <v>-14.3765</v>
      </c>
      <c r="AD1769">
        <v>-1.1073891041820001</v>
      </c>
      <c r="AE1769">
        <v>2.94999999999845E-2</v>
      </c>
      <c r="AF1769">
        <v>4.0564321566532202</v>
      </c>
      <c r="AG1769">
        <v>-1.1073891041820001</v>
      </c>
      <c r="AH1769">
        <v>13.7039781085345</v>
      </c>
      <c r="AI1769">
        <v>94.430686909919302</v>
      </c>
      <c r="AJ1769">
        <v>73.511036263301094</v>
      </c>
      <c r="AK1769">
        <v>14.3345724899205</v>
      </c>
      <c r="AL1769">
        <v>80.379576660119696</v>
      </c>
      <c r="AM1769">
        <v>75.710611710947305</v>
      </c>
      <c r="AN1769">
        <v>1.0000000068031001</v>
      </c>
    </row>
    <row r="1770" spans="1:40" x14ac:dyDescent="0.25">
      <c r="A1770" t="str">
        <f>"20190312172926362"</f>
        <v>20190312172926362</v>
      </c>
      <c r="B1770" t="str">
        <f>"1552382966359621"</f>
        <v>1552382966359621</v>
      </c>
      <c r="C1770" t="s">
        <v>40</v>
      </c>
      <c r="D1770">
        <v>3.309771</v>
      </c>
      <c r="E1770">
        <v>0.51303109999999996</v>
      </c>
      <c r="F1770" t="s">
        <v>47</v>
      </c>
      <c r="G1770">
        <v>-221.09399999999999</v>
      </c>
      <c r="H1770" s="1">
        <v>-9.546384000000001E-7</v>
      </c>
      <c r="I1770">
        <v>284.0265</v>
      </c>
      <c r="J1770">
        <v>-206.6001</v>
      </c>
      <c r="K1770">
        <v>1.1074459999999999</v>
      </c>
      <c r="L1770">
        <v>283.97980000000001</v>
      </c>
      <c r="M1770">
        <v>-0.96123930000000002</v>
      </c>
      <c r="N1770">
        <v>0</v>
      </c>
      <c r="O1770">
        <v>-0.27547389999999999</v>
      </c>
      <c r="P1770">
        <v>-0.98697020000000002</v>
      </c>
      <c r="Q1770">
        <v>0.1571639</v>
      </c>
      <c r="R1770">
        <v>-3.4489560000000002E-2</v>
      </c>
      <c r="S1770">
        <v>-3.0773320000000002</v>
      </c>
      <c r="T1770">
        <v>-0.23249410000000001</v>
      </c>
      <c r="U1770">
        <v>1.4343260000000001E-3</v>
      </c>
      <c r="V1770">
        <v>0.23985480000000001</v>
      </c>
      <c r="W1770">
        <v>0.16662929999999901</v>
      </c>
      <c r="X1770">
        <v>0.95640179999999997</v>
      </c>
      <c r="Y1770">
        <v>0.27438869999999999</v>
      </c>
      <c r="Z1770">
        <v>3.0929350000000001E-2</v>
      </c>
      <c r="AA1770">
        <v>0.96112129999999996</v>
      </c>
      <c r="AB1770">
        <v>17</v>
      </c>
      <c r="AC1770">
        <v>-14.4939</v>
      </c>
      <c r="AD1770">
        <v>-1.1074469546384</v>
      </c>
      <c r="AE1770">
        <v>4.6699999999987002E-2</v>
      </c>
      <c r="AF1770">
        <v>4.0144133311460299</v>
      </c>
      <c r="AG1770">
        <v>-1.1074469546384</v>
      </c>
      <c r="AH1770">
        <v>13.839372831940601</v>
      </c>
      <c r="AI1770">
        <v>94.394740766174095</v>
      </c>
      <c r="AJ1770">
        <v>73.824040462627394</v>
      </c>
      <c r="AK1770">
        <v>14.4523421469351</v>
      </c>
      <c r="AL1770">
        <v>80.408103338624599</v>
      </c>
      <c r="AM1770">
        <v>75.921231413561102</v>
      </c>
      <c r="AN1770">
        <v>1.00000002587238</v>
      </c>
    </row>
    <row r="1771" spans="1:40" x14ac:dyDescent="0.25">
      <c r="A1771" t="str">
        <f>"20190312172926384"</f>
        <v>20190312172926384</v>
      </c>
      <c r="B1771" t="str">
        <f>"1552382966379141"</f>
        <v>1552382966379141</v>
      </c>
      <c r="C1771" t="s">
        <v>40</v>
      </c>
      <c r="D1771">
        <v>3.3203740000000002</v>
      </c>
      <c r="E1771">
        <v>0.51283619999999996</v>
      </c>
      <c r="F1771" t="s">
        <v>47</v>
      </c>
      <c r="G1771">
        <v>-221.197</v>
      </c>
      <c r="H1771" s="1">
        <v>-8.9979069999999903E-7</v>
      </c>
      <c r="I1771">
        <v>284.0102</v>
      </c>
      <c r="J1771">
        <v>-206.75550000000001</v>
      </c>
      <c r="K1771">
        <v>1.107504</v>
      </c>
      <c r="L1771">
        <v>283.94290000000001</v>
      </c>
      <c r="M1771">
        <v>-0.96288980000000002</v>
      </c>
      <c r="N1771">
        <v>0</v>
      </c>
      <c r="O1771">
        <v>-0.26965499999999998</v>
      </c>
      <c r="P1771">
        <v>-0.98699809999999999</v>
      </c>
      <c r="Q1771">
        <v>0.15770049999999999</v>
      </c>
      <c r="R1771">
        <v>-3.107437E-2</v>
      </c>
      <c r="S1771">
        <v>-3.0770110000000002</v>
      </c>
      <c r="T1771">
        <v>-0.23344760000000001</v>
      </c>
      <c r="U1771">
        <v>6.4086909999999898E-3</v>
      </c>
      <c r="V1771">
        <v>0.23731859999999999</v>
      </c>
      <c r="W1771">
        <v>0.1670934</v>
      </c>
      <c r="X1771">
        <v>0.95695330000000001</v>
      </c>
      <c r="Y1771">
        <v>0.27014060000000001</v>
      </c>
      <c r="Z1771">
        <v>3.0471410000000001E-2</v>
      </c>
      <c r="AA1771">
        <v>0.96233860000000004</v>
      </c>
      <c r="AB1771">
        <v>17</v>
      </c>
      <c r="AC1771">
        <v>-14.4414999999999</v>
      </c>
      <c r="AD1771">
        <v>-1.1075048997907</v>
      </c>
      <c r="AE1771">
        <v>6.7299999999988799E-2</v>
      </c>
      <c r="AF1771">
        <v>3.9361326467789501</v>
      </c>
      <c r="AG1771">
        <v>-1.1075048997907</v>
      </c>
      <c r="AH1771">
        <v>13.8071231360049</v>
      </c>
      <c r="AI1771">
        <v>94.411016726328995</v>
      </c>
      <c r="AJ1771">
        <v>74.088216575802704</v>
      </c>
      <c r="AK1771">
        <v>14.399873492808901</v>
      </c>
      <c r="AL1771">
        <v>80.381133731876403</v>
      </c>
      <c r="AM1771">
        <v>76.071986242609796</v>
      </c>
      <c r="AN1771">
        <v>0.99999997030520404</v>
      </c>
    </row>
    <row r="1772" spans="1:40" x14ac:dyDescent="0.25">
      <c r="A1772" t="str">
        <f>"20190312172926406"</f>
        <v>20190312172926406</v>
      </c>
      <c r="B1772" t="str">
        <f>"1552382966399637"</f>
        <v>1552382966399637</v>
      </c>
      <c r="C1772" t="s">
        <v>40</v>
      </c>
      <c r="D1772">
        <v>3.3393760000000001</v>
      </c>
      <c r="E1772">
        <v>0.5088686</v>
      </c>
      <c r="F1772" t="s">
        <v>47</v>
      </c>
      <c r="G1772">
        <v>-221.44460000000001</v>
      </c>
      <c r="H1772" s="1">
        <v>-7.6803589999999999E-7</v>
      </c>
      <c r="I1772">
        <v>284.01049999999998</v>
      </c>
      <c r="J1772">
        <v>-206.92359999999999</v>
      </c>
      <c r="K1772">
        <v>1.107593</v>
      </c>
      <c r="L1772">
        <v>283.90370000000001</v>
      </c>
      <c r="M1772">
        <v>-0.96456299999999995</v>
      </c>
      <c r="N1772">
        <v>0</v>
      </c>
      <c r="O1772">
        <v>-0.26361469999999998</v>
      </c>
      <c r="P1772">
        <v>-0.98704060000000005</v>
      </c>
      <c r="Q1772">
        <v>0.1580896</v>
      </c>
      <c r="R1772">
        <v>-2.755061E-2</v>
      </c>
      <c r="S1772">
        <v>-3.0770420000000001</v>
      </c>
      <c r="T1772">
        <v>-0.23199710000000001</v>
      </c>
      <c r="U1772">
        <v>1.416016E-2</v>
      </c>
      <c r="V1772">
        <v>0.2346693</v>
      </c>
      <c r="W1772">
        <v>0.167406</v>
      </c>
      <c r="X1772">
        <v>0.95755179999999995</v>
      </c>
      <c r="Y1772">
        <v>0.26657570000000003</v>
      </c>
      <c r="Z1772">
        <v>2.9707669999999999E-2</v>
      </c>
      <c r="AA1772">
        <v>0.96335599999999999</v>
      </c>
      <c r="AB1772">
        <v>17</v>
      </c>
      <c r="AC1772">
        <v>-14.521000000000001</v>
      </c>
      <c r="AD1772">
        <v>-1.10759376803589</v>
      </c>
      <c r="AE1772">
        <v>0.10679999999996399</v>
      </c>
      <c r="AF1772">
        <v>3.90847313092172</v>
      </c>
      <c r="AG1772">
        <v>-1.10759376803589</v>
      </c>
      <c r="AH1772">
        <v>13.898287762631799</v>
      </c>
      <c r="AI1772">
        <v>94.386965825490094</v>
      </c>
      <c r="AJ1772">
        <v>74.292967870292301</v>
      </c>
      <c r="AK1772">
        <v>14.4798248920023</v>
      </c>
      <c r="AL1772">
        <v>80.362966983973294</v>
      </c>
      <c r="AM1772">
        <v>76.229798353508997</v>
      </c>
      <c r="AN1772">
        <v>0.99999994944086301</v>
      </c>
    </row>
    <row r="1773" spans="1:40" x14ac:dyDescent="0.25">
      <c r="A1773" t="str">
        <f>"20190312172926430"</f>
        <v>20190312172926430</v>
      </c>
      <c r="B1773" t="str">
        <f>"1552382966419160"</f>
        <v>1552382966419160</v>
      </c>
      <c r="C1773" t="s">
        <v>40</v>
      </c>
      <c r="D1773">
        <v>3.3820679999999999</v>
      </c>
      <c r="E1773">
        <v>0.50680239999999999</v>
      </c>
      <c r="F1773" t="s">
        <v>47</v>
      </c>
      <c r="G1773">
        <v>-221.50489999999999</v>
      </c>
      <c r="H1773" s="1">
        <v>-7.3595109999999904E-7</v>
      </c>
      <c r="I1773">
        <v>283.86669999999998</v>
      </c>
      <c r="J1773">
        <v>-207.1037</v>
      </c>
      <c r="K1773">
        <v>1.107691</v>
      </c>
      <c r="L1773">
        <v>283.86259999999999</v>
      </c>
      <c r="M1773">
        <v>-0.96624920000000003</v>
      </c>
      <c r="N1773">
        <v>0</v>
      </c>
      <c r="O1773">
        <v>-0.25737199999999999</v>
      </c>
      <c r="P1773">
        <v>-0.98718819999999996</v>
      </c>
      <c r="Q1773">
        <v>0.15776989999999999</v>
      </c>
      <c r="R1773">
        <v>-2.3831669999999999E-2</v>
      </c>
      <c r="S1773">
        <v>-3.0766140000000002</v>
      </c>
      <c r="T1773">
        <v>-0.23369880000000001</v>
      </c>
      <c r="U1773">
        <v>-7.8125E-3</v>
      </c>
      <c r="V1773">
        <v>0.23203989999999999</v>
      </c>
      <c r="W1773">
        <v>0.16701009999999999</v>
      </c>
      <c r="X1773">
        <v>0.95826149999999999</v>
      </c>
      <c r="Y1773">
        <v>0.25347439999999999</v>
      </c>
      <c r="Z1773">
        <v>2.8966929999999998E-2</v>
      </c>
      <c r="AA1773">
        <v>0.96690830000000005</v>
      </c>
      <c r="AB1773">
        <v>17</v>
      </c>
      <c r="AC1773">
        <v>-14.4011999999999</v>
      </c>
      <c r="AD1773">
        <v>-1.1076917359511</v>
      </c>
      <c r="AE1773">
        <v>4.0999999999939904E-3</v>
      </c>
      <c r="AF1773">
        <v>3.6888301437623401</v>
      </c>
      <c r="AG1773">
        <v>-1.1076917359511</v>
      </c>
      <c r="AH1773">
        <v>13.833103592804401</v>
      </c>
      <c r="AI1773">
        <v>94.424256116644997</v>
      </c>
      <c r="AJ1773">
        <v>75.068573080961499</v>
      </c>
      <c r="AK1773">
        <v>14.3592898090637</v>
      </c>
      <c r="AL1773">
        <v>80.385974737090095</v>
      </c>
      <c r="AM1773">
        <v>76.388023163731305</v>
      </c>
      <c r="AN1773">
        <v>0.99999999553813401</v>
      </c>
    </row>
    <row r="1774" spans="1:40" x14ac:dyDescent="0.25">
      <c r="A1774" t="str">
        <f>"20190312172926452"</f>
        <v>20190312172926452</v>
      </c>
      <c r="B1774" t="str">
        <f>"1552382966449412"</f>
        <v>1552382966449412</v>
      </c>
      <c r="C1774" t="s">
        <v>40</v>
      </c>
      <c r="D1774">
        <v>3.3641160000000001</v>
      </c>
      <c r="E1774">
        <v>0.50669819999999999</v>
      </c>
      <c r="F1774" t="s">
        <v>47</v>
      </c>
      <c r="G1774">
        <v>-223.67699999999999</v>
      </c>
      <c r="H1774" s="1">
        <v>4.199338E-7</v>
      </c>
      <c r="I1774">
        <v>283.79559999999998</v>
      </c>
      <c r="J1774">
        <v>-207.2654</v>
      </c>
      <c r="K1774">
        <v>1.1077680000000001</v>
      </c>
      <c r="L1774">
        <v>283.82639999999998</v>
      </c>
      <c r="M1774">
        <v>-0.9676747</v>
      </c>
      <c r="N1774">
        <v>0</v>
      </c>
      <c r="O1774">
        <v>-0.25196659999999999</v>
      </c>
      <c r="P1774">
        <v>-0.98729940000000005</v>
      </c>
      <c r="Q1774">
        <v>0.1573312</v>
      </c>
      <c r="R1774">
        <v>-2.207131E-2</v>
      </c>
      <c r="S1774">
        <v>-3.0714260000000002</v>
      </c>
      <c r="T1774">
        <v>-0.20528099999999999</v>
      </c>
      <c r="U1774">
        <v>-1.242065E-2</v>
      </c>
      <c r="V1774">
        <v>0.22835739999999999</v>
      </c>
      <c r="W1774">
        <v>0.16651839999999901</v>
      </c>
      <c r="X1774">
        <v>0.95923119999999995</v>
      </c>
      <c r="Y1774">
        <v>0.2469624</v>
      </c>
      <c r="Z1774">
        <v>2.492604E-2</v>
      </c>
      <c r="AA1774">
        <v>0.96870440000000002</v>
      </c>
      <c r="AB1774">
        <v>17</v>
      </c>
      <c r="AC1774">
        <v>-16.4116</v>
      </c>
      <c r="AD1774">
        <v>-1.1077675800661999</v>
      </c>
      <c r="AE1774">
        <v>-3.07999999999992E-2</v>
      </c>
      <c r="AF1774">
        <v>4.0869931732969604</v>
      </c>
      <c r="AG1774">
        <v>-1.1077675800661999</v>
      </c>
      <c r="AH1774">
        <v>15.8177249858979</v>
      </c>
      <c r="AI1774">
        <v>93.879087070492204</v>
      </c>
      <c r="AJ1774">
        <v>75.512728051612896</v>
      </c>
      <c r="AK1774">
        <v>16.374708728387201</v>
      </c>
      <c r="AL1774">
        <v>80.414547098897302</v>
      </c>
      <c r="AM1774">
        <v>76.609253503447903</v>
      </c>
      <c r="AN1774">
        <v>0.99999998736337903</v>
      </c>
    </row>
    <row r="1775" spans="1:40" x14ac:dyDescent="0.25">
      <c r="A1775" t="str">
        <f>"20190312172926474"</f>
        <v>20190312172926474</v>
      </c>
      <c r="B1775" t="str">
        <f>"1552382966468933"</f>
        <v>1552382966468933</v>
      </c>
      <c r="C1775" t="s">
        <v>40</v>
      </c>
      <c r="D1775">
        <v>3.3727209999999999</v>
      </c>
      <c r="E1775">
        <v>0.50625399999999998</v>
      </c>
      <c r="F1775" t="s">
        <v>47</v>
      </c>
      <c r="G1775">
        <v>-223.4126</v>
      </c>
      <c r="H1775" s="1">
        <v>2.7922900000000002E-7</v>
      </c>
      <c r="I1775">
        <v>283.79020000000003</v>
      </c>
      <c r="J1775">
        <v>-207.42959999999999</v>
      </c>
      <c r="K1775">
        <v>1.1078410000000001</v>
      </c>
      <c r="L1775">
        <v>283.7903</v>
      </c>
      <c r="M1775">
        <v>-0.969032</v>
      </c>
      <c r="N1775">
        <v>0</v>
      </c>
      <c r="O1775">
        <v>-0.24670120000000001</v>
      </c>
      <c r="P1775">
        <v>-0.98729880000000003</v>
      </c>
      <c r="Q1775">
        <v>0.15765660000000001</v>
      </c>
      <c r="R1775">
        <v>-1.9644189999999999E-2</v>
      </c>
      <c r="S1775">
        <v>-3.0720209999999999</v>
      </c>
      <c r="T1775">
        <v>-0.21075360000000001</v>
      </c>
      <c r="U1775">
        <v>-6.8969729999999998E-3</v>
      </c>
      <c r="V1775">
        <v>0.22544249999999999</v>
      </c>
      <c r="W1775">
        <v>0.16677839999999999</v>
      </c>
      <c r="X1775">
        <v>0.95987529999999999</v>
      </c>
      <c r="Y1775">
        <v>0.24339640000000001</v>
      </c>
      <c r="Z1775">
        <v>2.5111000000000001E-2</v>
      </c>
      <c r="AA1775">
        <v>0.96960179999999996</v>
      </c>
      <c r="AB1775">
        <v>17</v>
      </c>
      <c r="AC1775">
        <v>-15.983000000000001</v>
      </c>
      <c r="AD1775">
        <v>-1.1078407207709999</v>
      </c>
      <c r="AE1775" s="1">
        <v>-9.9999999974897906E-5</v>
      </c>
      <c r="AF1775">
        <v>3.9243022324772201</v>
      </c>
      <c r="AG1775">
        <v>-1.1078407207709999</v>
      </c>
      <c r="AH1775">
        <v>15.414898496856299</v>
      </c>
      <c r="AI1775">
        <v>93.984028591283902</v>
      </c>
      <c r="AJ1775">
        <v>75.717124395913402</v>
      </c>
      <c r="AK1775">
        <v>15.945110684557999</v>
      </c>
      <c r="AL1775">
        <v>80.399438795097694</v>
      </c>
      <c r="AM1775">
        <v>76.782700651564994</v>
      </c>
      <c r="AN1775">
        <v>0.99999997353144898</v>
      </c>
    </row>
    <row r="1776" spans="1:40" x14ac:dyDescent="0.25">
      <c r="A1776" t="str">
        <f>"20190312172926496"</f>
        <v>20190312172926496</v>
      </c>
      <c r="B1776" t="str">
        <f>"1552382966489429"</f>
        <v>1552382966489429</v>
      </c>
      <c r="C1776" t="s">
        <v>40</v>
      </c>
      <c r="D1776">
        <v>3.380077</v>
      </c>
      <c r="E1776">
        <v>0.50587890000000002</v>
      </c>
      <c r="F1776" t="s">
        <v>47</v>
      </c>
      <c r="G1776">
        <v>-223.64089999999999</v>
      </c>
      <c r="H1776" s="1">
        <v>4.0068950000000001E-7</v>
      </c>
      <c r="I1776">
        <v>283.78089999999997</v>
      </c>
      <c r="J1776">
        <v>-207.5941</v>
      </c>
      <c r="K1776">
        <v>1.1079220000000001</v>
      </c>
      <c r="L1776">
        <v>283.75479999999999</v>
      </c>
      <c r="M1776">
        <v>-0.97029860000000001</v>
      </c>
      <c r="N1776">
        <v>0</v>
      </c>
      <c r="O1776">
        <v>-0.24167820000000001</v>
      </c>
      <c r="P1776">
        <v>-0.98726959999999997</v>
      </c>
      <c r="Q1776">
        <v>0.15812850000000001</v>
      </c>
      <c r="R1776">
        <v>-1.7158110000000001E-2</v>
      </c>
      <c r="S1776">
        <v>-3.0720670000000001</v>
      </c>
      <c r="T1776">
        <v>-0.2099384</v>
      </c>
      <c r="U1776">
        <v>-1.8005370000000001E-3</v>
      </c>
      <c r="V1776">
        <v>0.22282469999999999</v>
      </c>
      <c r="W1776">
        <v>0.16718079999999999</v>
      </c>
      <c r="X1776">
        <v>0.96041639999999995</v>
      </c>
      <c r="Y1776">
        <v>0.2400081</v>
      </c>
      <c r="Z1776">
        <v>2.456417E-2</v>
      </c>
      <c r="AA1776">
        <v>0.97046010000000005</v>
      </c>
      <c r="AB1776">
        <v>17</v>
      </c>
      <c r="AC1776">
        <v>-16.046799999999902</v>
      </c>
      <c r="AD1776">
        <v>-1.1079215993104901</v>
      </c>
      <c r="AE1776">
        <v>2.6099999999985302E-2</v>
      </c>
      <c r="AF1776">
        <v>3.88518522311381</v>
      </c>
      <c r="AG1776">
        <v>-1.1079215993104901</v>
      </c>
      <c r="AH1776">
        <v>15.4909092667693</v>
      </c>
      <c r="AI1776">
        <v>93.968375446400401</v>
      </c>
      <c r="AJ1776">
        <v>75.920397498551694</v>
      </c>
      <c r="AK1776">
        <v>16.009073189894501</v>
      </c>
      <c r="AL1776">
        <v>80.376054576078403</v>
      </c>
      <c r="AM1776">
        <v>76.937990646324394</v>
      </c>
      <c r="AN1776">
        <v>0.99999996410384395</v>
      </c>
    </row>
    <row r="1777" spans="1:40" x14ac:dyDescent="0.25">
      <c r="A1777" t="str">
        <f>"20190312172926518"</f>
        <v>20190312172926518</v>
      </c>
      <c r="B1777" t="str">
        <f>"1552382966508954"</f>
        <v>1552382966508954</v>
      </c>
      <c r="C1777" t="s">
        <v>40</v>
      </c>
      <c r="D1777">
        <v>3.39114</v>
      </c>
      <c r="E1777">
        <v>0.50544920000000004</v>
      </c>
      <c r="F1777" t="s">
        <v>47</v>
      </c>
      <c r="G1777">
        <v>-223.923</v>
      </c>
      <c r="H1777" s="1">
        <v>5.5082480000000005E-7</v>
      </c>
      <c r="I1777">
        <v>283.76749999999998</v>
      </c>
      <c r="J1777">
        <v>-207.76490000000001</v>
      </c>
      <c r="K1777">
        <v>1.1080190000000001</v>
      </c>
      <c r="L1777">
        <v>283.71870000000001</v>
      </c>
      <c r="M1777">
        <v>-0.97151829999999995</v>
      </c>
      <c r="N1777">
        <v>0</v>
      </c>
      <c r="O1777">
        <v>-0.236735</v>
      </c>
      <c r="P1777">
        <v>-0.98726809999999998</v>
      </c>
      <c r="Q1777">
        <v>0.15836040000000001</v>
      </c>
      <c r="R1777">
        <v>-1.495633E-2</v>
      </c>
      <c r="S1777">
        <v>-3.0721129999999999</v>
      </c>
      <c r="T1777">
        <v>-0.20844470000000001</v>
      </c>
      <c r="U1777">
        <v>2.380371E-3</v>
      </c>
      <c r="V1777">
        <v>0.2200163</v>
      </c>
      <c r="W1777">
        <v>0.16734389999999999</v>
      </c>
      <c r="X1777">
        <v>0.96103530000000004</v>
      </c>
      <c r="Y1777">
        <v>0.23642060000000001</v>
      </c>
      <c r="Z1777">
        <v>2.3941029999999999E-2</v>
      </c>
      <c r="AA1777">
        <v>0.97135590000000005</v>
      </c>
      <c r="AB1777">
        <v>17</v>
      </c>
      <c r="AC1777">
        <v>-16.158099999999902</v>
      </c>
      <c r="AD1777">
        <v>-1.1080184491752001</v>
      </c>
      <c r="AE1777">
        <v>4.8799999999971498E-2</v>
      </c>
      <c r="AF1777">
        <v>3.85468261566698</v>
      </c>
      <c r="AG1777">
        <v>-1.1080184491752001</v>
      </c>
      <c r="AH1777">
        <v>15.6137695749083</v>
      </c>
      <c r="AI1777">
        <v>93.941204864691599</v>
      </c>
      <c r="AJ1777">
        <v>76.132282034064204</v>
      </c>
      <c r="AK1777">
        <v>16.120672544579801</v>
      </c>
      <c r="AL1777">
        <v>80.366576459258894</v>
      </c>
      <c r="AM1777">
        <v>77.105107804101806</v>
      </c>
      <c r="AN1777">
        <v>1.00000000048949</v>
      </c>
    </row>
    <row r="1778" spans="1:40" x14ac:dyDescent="0.25">
      <c r="A1778" t="str">
        <f>"20190312172926541"</f>
        <v>20190312172926541</v>
      </c>
      <c r="B1778" t="str">
        <f>"1552382966529445"</f>
        <v>1552382966529445</v>
      </c>
      <c r="C1778" t="s">
        <v>40</v>
      </c>
      <c r="D1778">
        <v>3.3676179999999998</v>
      </c>
      <c r="E1778">
        <v>0.50521329999999998</v>
      </c>
      <c r="F1778" t="s">
        <v>47</v>
      </c>
      <c r="G1778">
        <v>-224.18100000000001</v>
      </c>
      <c r="H1778" s="1">
        <v>6.8812770000000003E-7</v>
      </c>
      <c r="I1778">
        <v>283.74279999999999</v>
      </c>
      <c r="J1778">
        <v>-207.9306</v>
      </c>
      <c r="K1778">
        <v>1.1081289999999999</v>
      </c>
      <c r="L1778">
        <v>283.6841</v>
      </c>
      <c r="M1778">
        <v>-0.97261399999999998</v>
      </c>
      <c r="N1778">
        <v>0</v>
      </c>
      <c r="O1778">
        <v>-0.23219799999999999</v>
      </c>
      <c r="P1778">
        <v>-0.98729029999999995</v>
      </c>
      <c r="Q1778">
        <v>0.15840460000000001</v>
      </c>
      <c r="R1778">
        <v>-1.2882340000000001E-2</v>
      </c>
      <c r="S1778">
        <v>-3.0720209999999999</v>
      </c>
      <c r="T1778">
        <v>-0.20734820000000001</v>
      </c>
      <c r="U1778">
        <v>4.5166019999999998E-3</v>
      </c>
      <c r="V1778">
        <v>0.2174922</v>
      </c>
      <c r="W1778">
        <v>0.16732939999999999</v>
      </c>
      <c r="X1778">
        <v>0.96161220000000003</v>
      </c>
      <c r="Y1778">
        <v>0.23258980000000001</v>
      </c>
      <c r="Z1778">
        <v>2.3387950000000001E-2</v>
      </c>
      <c r="AA1778">
        <v>0.97229370000000004</v>
      </c>
      <c r="AB1778">
        <v>17</v>
      </c>
      <c r="AC1778">
        <v>-16.2503999999999</v>
      </c>
      <c r="AD1778">
        <v>-1.1081283118723</v>
      </c>
      <c r="AE1778">
        <v>5.8699999999987498E-2</v>
      </c>
      <c r="AF1778">
        <v>3.8128764272227298</v>
      </c>
      <c r="AG1778">
        <v>-1.1081283118723</v>
      </c>
      <c r="AH1778">
        <v>15.719479842524599</v>
      </c>
      <c r="AI1778">
        <v>93.919065385618396</v>
      </c>
      <c r="AJ1778">
        <v>76.365798558824096</v>
      </c>
      <c r="AK1778">
        <v>16.2132051588938</v>
      </c>
      <c r="AL1778">
        <v>80.367419165731704</v>
      </c>
      <c r="AM1778">
        <v>77.255578994646896</v>
      </c>
      <c r="AN1778">
        <v>1.0000000041770201</v>
      </c>
    </row>
    <row r="1779" spans="1:40" x14ac:dyDescent="0.25">
      <c r="A1779" t="str">
        <f>"20190312172926563"</f>
        <v>20190312172926563</v>
      </c>
      <c r="B1779" t="str">
        <f>"1552382966558725"</f>
        <v>1552382966558725</v>
      </c>
      <c r="C1779" t="s">
        <v>40</v>
      </c>
      <c r="D1779">
        <v>3.339518</v>
      </c>
      <c r="E1779">
        <v>0.50493459999999901</v>
      </c>
      <c r="F1779" t="s">
        <v>47</v>
      </c>
      <c r="G1779">
        <v>-224.35079999999999</v>
      </c>
      <c r="H1779" s="1">
        <v>7.7849689999999896E-7</v>
      </c>
      <c r="I1779">
        <v>283.7296</v>
      </c>
      <c r="J1779">
        <v>-208.10040000000001</v>
      </c>
      <c r="K1779">
        <v>1.1082459999999901</v>
      </c>
      <c r="L1779">
        <v>283.649</v>
      </c>
      <c r="M1779">
        <v>-0.97365089999999999</v>
      </c>
      <c r="N1779">
        <v>0</v>
      </c>
      <c r="O1779">
        <v>-0.22781779999999999</v>
      </c>
      <c r="P1779">
        <v>-0.98726899999999995</v>
      </c>
      <c r="Q1779">
        <v>0.15860969999999999</v>
      </c>
      <c r="R1779">
        <v>-1.1965979999999999E-2</v>
      </c>
      <c r="S1779">
        <v>-3.0719910000000001</v>
      </c>
      <c r="T1779">
        <v>-0.20731520000000001</v>
      </c>
      <c r="U1779">
        <v>8.5144039999999997E-3</v>
      </c>
      <c r="V1779">
        <v>0.21398610000000001</v>
      </c>
      <c r="W1779">
        <v>0.1674911</v>
      </c>
      <c r="X1779">
        <v>0.96237030000000001</v>
      </c>
      <c r="Y1779">
        <v>0.2294939</v>
      </c>
      <c r="Z1779">
        <v>2.2991459999999998E-2</v>
      </c>
      <c r="AA1779">
        <v>0.97303850000000003</v>
      </c>
      <c r="AB1779">
        <v>17</v>
      </c>
      <c r="AC1779">
        <v>-16.2503999999999</v>
      </c>
      <c r="AD1779">
        <v>-1.10824522150309</v>
      </c>
      <c r="AE1779">
        <v>8.0600000000004002E-2</v>
      </c>
      <c r="AF1779">
        <v>3.7632987461030201</v>
      </c>
      <c r="AG1779">
        <v>-1.10824522150309</v>
      </c>
      <c r="AH1779">
        <v>15.731503269658599</v>
      </c>
      <c r="AI1779">
        <v>93.919458604510893</v>
      </c>
      <c r="AJ1779">
        <v>76.546501514308005</v>
      </c>
      <c r="AK1779">
        <v>16.213291462460202</v>
      </c>
      <c r="AL1779">
        <v>80.358021356695204</v>
      </c>
      <c r="AM1779">
        <v>77.464042062852002</v>
      </c>
      <c r="AN1779">
        <v>0.99999995694725397</v>
      </c>
    </row>
    <row r="1780" spans="1:40" x14ac:dyDescent="0.25">
      <c r="A1780" t="str">
        <f>"20190312172926585"</f>
        <v>20190312172926585</v>
      </c>
      <c r="B1780" t="str">
        <f>"1552382966579222"</f>
        <v>1552382966579222</v>
      </c>
      <c r="C1780" t="s">
        <v>40</v>
      </c>
      <c r="D1780">
        <v>3.3357000000000001</v>
      </c>
      <c r="E1780">
        <v>0.50222770000000005</v>
      </c>
      <c r="F1780" t="s">
        <v>47</v>
      </c>
      <c r="G1780">
        <v>-224.44499999999999</v>
      </c>
      <c r="H1780" s="1">
        <v>8.286385E-7</v>
      </c>
      <c r="I1780">
        <v>283.69959999999998</v>
      </c>
      <c r="J1780">
        <v>-208.2671</v>
      </c>
      <c r="K1780">
        <v>1.108376</v>
      </c>
      <c r="L1780">
        <v>283.61509999999998</v>
      </c>
      <c r="M1780">
        <v>-0.97457990000000005</v>
      </c>
      <c r="N1780">
        <v>0</v>
      </c>
      <c r="O1780">
        <v>-0.22381709999999999</v>
      </c>
      <c r="P1780">
        <v>-0.98726069999999999</v>
      </c>
      <c r="Q1780">
        <v>0.15872329999999901</v>
      </c>
      <c r="R1780">
        <v>-1.111669E-2</v>
      </c>
      <c r="S1780">
        <v>-3.0722659999999999</v>
      </c>
      <c r="T1780">
        <v>-0.2083142</v>
      </c>
      <c r="U1780">
        <v>9.4909669999999995E-3</v>
      </c>
      <c r="V1780">
        <v>0.21079390000000001</v>
      </c>
      <c r="W1780">
        <v>0.1675682</v>
      </c>
      <c r="X1780">
        <v>0.96306119999999995</v>
      </c>
      <c r="Y1780">
        <v>0.22581209999999999</v>
      </c>
      <c r="Z1780">
        <v>2.2709759999999999E-2</v>
      </c>
      <c r="AA1780">
        <v>0.9739061</v>
      </c>
      <c r="AB1780">
        <v>17</v>
      </c>
      <c r="AC1780">
        <v>-16.177899999999902</v>
      </c>
      <c r="AD1780">
        <v>-1.1083751713615</v>
      </c>
      <c r="AE1780">
        <v>8.4499999999991304E-2</v>
      </c>
      <c r="AF1780">
        <v>3.6861260456073</v>
      </c>
      <c r="AG1780">
        <v>-1.1083751713615</v>
      </c>
      <c r="AH1780">
        <v>15.674956568318301</v>
      </c>
      <c r="AI1780">
        <v>93.937590637768807</v>
      </c>
      <c r="AJ1780">
        <v>76.766750274672404</v>
      </c>
      <c r="AK1780">
        <v>16.140640760616101</v>
      </c>
      <c r="AL1780">
        <v>80.353541162246898</v>
      </c>
      <c r="AM1780">
        <v>77.653857715999493</v>
      </c>
      <c r="AN1780">
        <v>1.0000000224369401</v>
      </c>
    </row>
    <row r="1781" spans="1:40" x14ac:dyDescent="0.25">
      <c r="A1781" t="str">
        <f>"20190312172926608"</f>
        <v>20190312172926608</v>
      </c>
      <c r="B1781" t="str">
        <f>"1552382966599717"</f>
        <v>1552382966599717</v>
      </c>
      <c r="C1781" t="s">
        <v>40</v>
      </c>
      <c r="D1781">
        <v>3.3411550000000001</v>
      </c>
      <c r="E1781">
        <v>0.50220140000000002</v>
      </c>
      <c r="F1781" t="s">
        <v>47</v>
      </c>
      <c r="G1781">
        <v>-222.7517</v>
      </c>
      <c r="H1781" s="1">
        <v>-7.2454669999999897E-8</v>
      </c>
      <c r="I1781">
        <v>283.57089999999999</v>
      </c>
      <c r="J1781">
        <v>-208.44149999999999</v>
      </c>
      <c r="K1781">
        <v>1.108492</v>
      </c>
      <c r="L1781">
        <v>283.58010000000002</v>
      </c>
      <c r="M1781">
        <v>-0.9754642</v>
      </c>
      <c r="N1781">
        <v>0</v>
      </c>
      <c r="O1781">
        <v>-0.21993589999999999</v>
      </c>
      <c r="P1781">
        <v>-0.98731009999999997</v>
      </c>
      <c r="Q1781">
        <v>0.15844159999999999</v>
      </c>
      <c r="R1781">
        <v>-1.073323E-2</v>
      </c>
      <c r="S1781">
        <v>-3.0764770000000001</v>
      </c>
      <c r="T1781">
        <v>-0.23541509999999999</v>
      </c>
      <c r="U1781">
        <v>-9.399414E-3</v>
      </c>
      <c r="V1781">
        <v>0.2072784</v>
      </c>
      <c r="W1781">
        <v>0.16724800000000001</v>
      </c>
      <c r="X1781">
        <v>0.9638795</v>
      </c>
      <c r="Y1781">
        <v>0.2156998</v>
      </c>
      <c r="Z1781">
        <v>2.4940919999999998E-2</v>
      </c>
      <c r="AA1781">
        <v>0.97614120000000004</v>
      </c>
      <c r="AB1781">
        <v>17</v>
      </c>
      <c r="AC1781">
        <v>-14.3102</v>
      </c>
      <c r="AD1781">
        <v>-1.1084920724546601</v>
      </c>
      <c r="AE1781">
        <v>-9.2000000000211895E-3</v>
      </c>
      <c r="AF1781">
        <v>3.1197862328850601</v>
      </c>
      <c r="AG1781">
        <v>-1.1084920724546601</v>
      </c>
      <c r="AH1781">
        <v>13.8785185186607</v>
      </c>
      <c r="AI1781">
        <v>94.455852029457503</v>
      </c>
      <c r="AJ1781">
        <v>77.330935532448393</v>
      </c>
      <c r="AK1781">
        <v>14.2679745264141</v>
      </c>
      <c r="AL1781">
        <v>80.372149271548693</v>
      </c>
      <c r="AM1781">
        <v>77.863602454229294</v>
      </c>
      <c r="AN1781">
        <v>0.999999959565404</v>
      </c>
    </row>
    <row r="1782" spans="1:40" x14ac:dyDescent="0.25">
      <c r="A1782" t="str">
        <f>"20190312172926631"</f>
        <v>20190312172926631</v>
      </c>
      <c r="B1782" t="str">
        <f>"1552382966619241"</f>
        <v>1552382966619241</v>
      </c>
      <c r="C1782" t="s">
        <v>40</v>
      </c>
      <c r="D1782">
        <v>3.3526980000000002</v>
      </c>
      <c r="E1782">
        <v>0.50186039999999998</v>
      </c>
      <c r="F1782" t="s">
        <v>47</v>
      </c>
      <c r="G1782">
        <v>-222.9171</v>
      </c>
      <c r="H1782" s="1">
        <v>1.5517909999999899E-8</v>
      </c>
      <c r="I1782">
        <v>283.53960000000001</v>
      </c>
      <c r="J1782">
        <v>-208.61770000000001</v>
      </c>
      <c r="K1782">
        <v>1.108584</v>
      </c>
      <c r="L1782">
        <v>283.54500000000002</v>
      </c>
      <c r="M1782">
        <v>-0.97628519999999996</v>
      </c>
      <c r="N1782">
        <v>0</v>
      </c>
      <c r="O1782">
        <v>-0.21626870000000001</v>
      </c>
      <c r="P1782">
        <v>-0.98743590000000003</v>
      </c>
      <c r="Q1782">
        <v>0.15765090000000001</v>
      </c>
      <c r="R1782">
        <v>-1.080296E-2</v>
      </c>
      <c r="S1782">
        <v>-3.076263</v>
      </c>
      <c r="T1782">
        <v>-0.23557</v>
      </c>
      <c r="U1782">
        <v>-8.6059569999999991E-3</v>
      </c>
      <c r="V1782">
        <v>0.20355889999999999</v>
      </c>
      <c r="W1782">
        <v>0.16641020000000001</v>
      </c>
      <c r="X1782">
        <v>0.96481669999999997</v>
      </c>
      <c r="Y1782">
        <v>0.21229990000000001</v>
      </c>
      <c r="Z1782">
        <v>2.4553970000000001E-2</v>
      </c>
      <c r="AA1782">
        <v>0.97689599999999999</v>
      </c>
      <c r="AB1782">
        <v>17</v>
      </c>
      <c r="AC1782">
        <v>-14.299399999999901</v>
      </c>
      <c r="AD1782">
        <v>-1.1085839844820899</v>
      </c>
      <c r="AE1782">
        <v>-5.4000000000087303E-3</v>
      </c>
      <c r="AF1782">
        <v>3.0689419626428598</v>
      </c>
      <c r="AG1782">
        <v>-1.1085839844820899</v>
      </c>
      <c r="AH1782">
        <v>13.8787078321816</v>
      </c>
      <c r="AI1782">
        <v>94.459617151297806</v>
      </c>
      <c r="AJ1782">
        <v>77.531064025964497</v>
      </c>
      <c r="AK1782">
        <v>14.257134856337</v>
      </c>
      <c r="AL1782">
        <v>80.420833596507805</v>
      </c>
      <c r="AM1782">
        <v>78.086346781996497</v>
      </c>
      <c r="AN1782">
        <v>0.99999992251606695</v>
      </c>
    </row>
    <row r="1783" spans="1:40" x14ac:dyDescent="0.25">
      <c r="A1783" t="str">
        <f>"20190312172926654"</f>
        <v>20190312172926654</v>
      </c>
      <c r="B1783" t="str">
        <f>"1552382966649494"</f>
        <v>1552382966649494</v>
      </c>
      <c r="C1783" t="s">
        <v>40</v>
      </c>
      <c r="D1783">
        <v>3.3610340000000001</v>
      </c>
      <c r="E1783">
        <v>0.50177620000000001</v>
      </c>
      <c r="F1783" t="s">
        <v>47</v>
      </c>
      <c r="G1783">
        <v>-222.97399999999999</v>
      </c>
      <c r="H1783" s="1">
        <v>4.5836029999999997E-8</v>
      </c>
      <c r="I1783">
        <v>283.49009999999998</v>
      </c>
      <c r="J1783">
        <v>-208.79140000000001</v>
      </c>
      <c r="K1783">
        <v>1.108657</v>
      </c>
      <c r="L1783">
        <v>283.51080000000002</v>
      </c>
      <c r="M1783">
        <v>-0.97702829999999996</v>
      </c>
      <c r="N1783">
        <v>0</v>
      </c>
      <c r="O1783">
        <v>-0.21289159999999999</v>
      </c>
      <c r="P1783">
        <v>-0.98744730000000003</v>
      </c>
      <c r="Q1783">
        <v>0.15755469999999999</v>
      </c>
      <c r="R1783">
        <v>-1.115476E-2</v>
      </c>
      <c r="S1783">
        <v>-3.075974</v>
      </c>
      <c r="T1783">
        <v>-0.2375244</v>
      </c>
      <c r="U1783">
        <v>-1.1749269999999999E-2</v>
      </c>
      <c r="V1783">
        <v>0.19983870000000001</v>
      </c>
      <c r="W1783">
        <v>0.16626350000000001</v>
      </c>
      <c r="X1783">
        <v>0.96561940000000002</v>
      </c>
      <c r="Y1783">
        <v>0.20792279999999999</v>
      </c>
      <c r="Z1783">
        <v>2.4334479999999999E-2</v>
      </c>
      <c r="AA1783">
        <v>0.97784249999999995</v>
      </c>
      <c r="AB1783">
        <v>17</v>
      </c>
      <c r="AC1783">
        <v>-14.182600000000001</v>
      </c>
      <c r="AD1783">
        <v>-1.1086569541639699</v>
      </c>
      <c r="AE1783">
        <v>-2.07000000000334E-2</v>
      </c>
      <c r="AF1783">
        <v>2.9810552439080098</v>
      </c>
      <c r="AG1783">
        <v>-1.1086569541639699</v>
      </c>
      <c r="AH1783">
        <v>13.7776627223357</v>
      </c>
      <c r="AI1783">
        <v>94.496930382487193</v>
      </c>
      <c r="AJ1783">
        <v>77.791183972731602</v>
      </c>
      <c r="AK1783">
        <v>14.140007096875401</v>
      </c>
      <c r="AL1783">
        <v>80.429357820441297</v>
      </c>
      <c r="AM1783">
        <v>78.307479968160095</v>
      </c>
      <c r="AN1783">
        <v>0.99999994155314798</v>
      </c>
    </row>
    <row r="1784" spans="1:40" x14ac:dyDescent="0.25">
      <c r="A1784" t="str">
        <f>"20190312172926674"</f>
        <v>20190312172926674</v>
      </c>
      <c r="B1784" t="str">
        <f>"1552382966669013"</f>
        <v>1552382966669013</v>
      </c>
      <c r="C1784" t="s">
        <v>40</v>
      </c>
      <c r="D1784">
        <v>3.3854259999999998</v>
      </c>
      <c r="E1784">
        <v>0.50177349999999998</v>
      </c>
      <c r="F1784" t="s">
        <v>47</v>
      </c>
      <c r="G1784">
        <v>-223.2062</v>
      </c>
      <c r="H1784" s="1">
        <v>1.6937170000000001E-7</v>
      </c>
      <c r="I1784">
        <v>283.44850000000002</v>
      </c>
      <c r="J1784">
        <v>-208.9563</v>
      </c>
      <c r="K1784">
        <v>1.1087290000000001</v>
      </c>
      <c r="L1784">
        <v>283.4787</v>
      </c>
      <c r="M1784">
        <v>-0.97767519999999997</v>
      </c>
      <c r="N1784">
        <v>0</v>
      </c>
      <c r="O1784">
        <v>-0.2099058</v>
      </c>
      <c r="P1784">
        <v>-0.98740329999999998</v>
      </c>
      <c r="Q1784">
        <v>0.15775349999999999</v>
      </c>
      <c r="R1784">
        <v>-1.2195549999999999E-2</v>
      </c>
      <c r="S1784">
        <v>-3.0757289999999999</v>
      </c>
      <c r="T1784">
        <v>-0.23655770000000001</v>
      </c>
      <c r="U1784">
        <v>-1.330566E-2</v>
      </c>
      <c r="V1784">
        <v>0.1958259</v>
      </c>
      <c r="W1784">
        <v>0.16641909999999999</v>
      </c>
      <c r="X1784">
        <v>0.96641449999999995</v>
      </c>
      <c r="Y1784">
        <v>0.20446729999999999</v>
      </c>
      <c r="Z1784">
        <v>2.3879439999999998E-2</v>
      </c>
      <c r="AA1784">
        <v>0.97858210000000001</v>
      </c>
      <c r="AB1784">
        <v>17</v>
      </c>
      <c r="AC1784">
        <v>-14.249899999999901</v>
      </c>
      <c r="AD1784">
        <v>-1.1087288306283001</v>
      </c>
      <c r="AE1784">
        <v>-3.0199999999979299E-2</v>
      </c>
      <c r="AF1784">
        <v>2.94392347113352</v>
      </c>
      <c r="AG1784">
        <v>-1.1087288306283001</v>
      </c>
      <c r="AH1784">
        <v>13.854871484203001</v>
      </c>
      <c r="AI1784">
        <v>94.475810609046306</v>
      </c>
      <c r="AJ1784">
        <v>78.004037334902705</v>
      </c>
      <c r="AK1784">
        <v>14.207513113403801</v>
      </c>
      <c r="AL1784">
        <v>80.420317616850795</v>
      </c>
      <c r="AM1784">
        <v>78.545173133624203</v>
      </c>
      <c r="AN1784">
        <v>1.0000000428829301</v>
      </c>
    </row>
    <row r="1785" spans="1:40" x14ac:dyDescent="0.25">
      <c r="A1785" t="str">
        <f>"20190312172926697"</f>
        <v>20190312172926697</v>
      </c>
      <c r="B1785" t="str">
        <f>"1552382966689510"</f>
        <v>1552382966689510</v>
      </c>
      <c r="C1785" t="s">
        <v>40</v>
      </c>
      <c r="D1785">
        <v>3.3835670000000002</v>
      </c>
      <c r="E1785">
        <v>0.50203059999999999</v>
      </c>
      <c r="F1785" t="s">
        <v>47</v>
      </c>
      <c r="G1785">
        <v>-224.5009</v>
      </c>
      <c r="H1785" s="1">
        <v>8.5836550000000001E-7</v>
      </c>
      <c r="I1785">
        <v>283.3922</v>
      </c>
      <c r="J1785">
        <v>-209.12469999999999</v>
      </c>
      <c r="K1785">
        <v>1.1088</v>
      </c>
      <c r="L1785">
        <v>283.4461</v>
      </c>
      <c r="M1785">
        <v>-0.97827949999999997</v>
      </c>
      <c r="N1785">
        <v>0</v>
      </c>
      <c r="O1785">
        <v>-0.20707590000000001</v>
      </c>
      <c r="P1785">
        <v>-0.98731429999999998</v>
      </c>
      <c r="Q1785">
        <v>0.15824969999999999</v>
      </c>
      <c r="R1785">
        <v>-1.294185E-2</v>
      </c>
      <c r="S1785">
        <v>-3.0730590000000002</v>
      </c>
      <c r="T1785">
        <v>-0.21918770000000001</v>
      </c>
      <c r="U1785">
        <v>-1.7089839999999999E-2</v>
      </c>
      <c r="V1785">
        <v>0.1922441</v>
      </c>
      <c r="W1785">
        <v>0.16687199999999999</v>
      </c>
      <c r="X1785">
        <v>0.96705529999999995</v>
      </c>
      <c r="Y1785">
        <v>0.20061180000000001</v>
      </c>
      <c r="Z1785">
        <v>2.1813820000000001E-2</v>
      </c>
      <c r="AA1785">
        <v>0.97942790000000002</v>
      </c>
      <c r="AB1785">
        <v>17</v>
      </c>
      <c r="AC1785">
        <v>-15.376200000000001</v>
      </c>
      <c r="AD1785">
        <v>-1.1087991416345</v>
      </c>
      <c r="AE1785">
        <v>-5.3899999999998699E-2</v>
      </c>
      <c r="AF1785">
        <v>3.11525094549242</v>
      </c>
      <c r="AG1785">
        <v>-1.1087991416345</v>
      </c>
      <c r="AH1785">
        <v>14.9761750510458</v>
      </c>
      <c r="AI1785">
        <v>94.145886443187294</v>
      </c>
      <c r="AJ1785">
        <v>78.249259037982</v>
      </c>
      <c r="AK1785">
        <v>15.3368850536687</v>
      </c>
      <c r="AL1785">
        <v>80.394000002042802</v>
      </c>
      <c r="AM1785">
        <v>78.7565633776738</v>
      </c>
      <c r="AN1785">
        <v>1.0000000058134499</v>
      </c>
    </row>
    <row r="1786" spans="1:40" x14ac:dyDescent="0.25">
      <c r="A1786" t="str">
        <f>"20190312172926719"</f>
        <v>20190312172926719</v>
      </c>
      <c r="B1786" t="str">
        <f>"1552382966709029"</f>
        <v>1552382966709029</v>
      </c>
      <c r="C1786" t="s">
        <v>40</v>
      </c>
      <c r="D1786">
        <v>3.4022459999999999</v>
      </c>
      <c r="E1786">
        <v>0.50217909999999999</v>
      </c>
      <c r="F1786" t="s">
        <v>47</v>
      </c>
      <c r="G1786">
        <v>-225.9204</v>
      </c>
      <c r="H1786" s="1">
        <v>1.6137769999999999E-6</v>
      </c>
      <c r="I1786">
        <v>283.3476</v>
      </c>
      <c r="J1786">
        <v>-209.29949999999999</v>
      </c>
      <c r="K1786">
        <v>1.108884</v>
      </c>
      <c r="L1786">
        <v>283.4126</v>
      </c>
      <c r="M1786">
        <v>-0.97885239999999996</v>
      </c>
      <c r="N1786">
        <v>0</v>
      </c>
      <c r="O1786">
        <v>-0.20435519999999999</v>
      </c>
      <c r="P1786">
        <v>-0.98732169999999997</v>
      </c>
      <c r="Q1786">
        <v>0.1580926</v>
      </c>
      <c r="R1786">
        <v>-1.423582E-2</v>
      </c>
      <c r="S1786">
        <v>-3.0708310000000001</v>
      </c>
      <c r="T1786">
        <v>-0.2027262</v>
      </c>
      <c r="U1786">
        <v>-1.800537E-2</v>
      </c>
      <c r="V1786">
        <v>0.1882471</v>
      </c>
      <c r="W1786">
        <v>0.1666782</v>
      </c>
      <c r="X1786">
        <v>0.96787469999999998</v>
      </c>
      <c r="Y1786">
        <v>0.1977508</v>
      </c>
      <c r="Z1786">
        <v>1.9922990000000002E-2</v>
      </c>
      <c r="AA1786">
        <v>0.98004979999999997</v>
      </c>
      <c r="AB1786">
        <v>17</v>
      </c>
      <c r="AC1786">
        <v>-16.620899999999999</v>
      </c>
      <c r="AD1786">
        <v>-1.1088823862229999</v>
      </c>
      <c r="AE1786">
        <v>-6.4999999999997699E-2</v>
      </c>
      <c r="AF1786">
        <v>3.3183170658201702</v>
      </c>
      <c r="AG1786">
        <v>-1.1088823862229999</v>
      </c>
      <c r="AH1786">
        <v>16.211242873247699</v>
      </c>
      <c r="AI1786">
        <v>93.833806356859</v>
      </c>
      <c r="AJ1786">
        <v>78.431792078207906</v>
      </c>
      <c r="AK1786">
        <v>16.5844880473053</v>
      </c>
      <c r="AL1786">
        <v>80.405261722653293</v>
      </c>
      <c r="AM1786">
        <v>78.993650387059603</v>
      </c>
      <c r="AN1786">
        <v>1.0000000139568599</v>
      </c>
    </row>
    <row r="1787" spans="1:40" x14ac:dyDescent="0.25">
      <c r="A1787" t="str">
        <f>"20190312172926741"</f>
        <v>20190312172926741</v>
      </c>
      <c r="B1787" t="str">
        <f>"1552382966729531"</f>
        <v>1552382966729531</v>
      </c>
      <c r="C1787" t="s">
        <v>40</v>
      </c>
      <c r="D1787">
        <v>3.36049</v>
      </c>
      <c r="E1787">
        <v>0.50232860000000001</v>
      </c>
      <c r="F1787" t="s">
        <v>47</v>
      </c>
      <c r="G1787">
        <v>-226.9616</v>
      </c>
      <c r="H1787" s="1">
        <v>2.1678109999999999E-6</v>
      </c>
      <c r="I1787">
        <v>283.29230000000001</v>
      </c>
      <c r="J1787">
        <v>-209.46960000000001</v>
      </c>
      <c r="K1787">
        <v>1.108968</v>
      </c>
      <c r="L1787">
        <v>283.3802</v>
      </c>
      <c r="M1787">
        <v>-0.97936239999999997</v>
      </c>
      <c r="N1787">
        <v>0</v>
      </c>
      <c r="O1787">
        <v>-0.20190040000000001</v>
      </c>
      <c r="P1787">
        <v>-0.98728760000000004</v>
      </c>
      <c r="Q1787">
        <v>0.1581958</v>
      </c>
      <c r="R1787">
        <v>-1.540244E-2</v>
      </c>
      <c r="S1787">
        <v>-3.0690919999999999</v>
      </c>
      <c r="T1787">
        <v>-0.1926879</v>
      </c>
      <c r="U1787">
        <v>-2.0904539999999999E-2</v>
      </c>
      <c r="V1787">
        <v>0.18462890000000001</v>
      </c>
      <c r="W1787">
        <v>0.16675200000000001</v>
      </c>
      <c r="X1787">
        <v>0.96855869999999999</v>
      </c>
      <c r="Y1787">
        <v>0.19445750000000001</v>
      </c>
      <c r="Z1787">
        <v>1.8694059999999998E-2</v>
      </c>
      <c r="AA1787">
        <v>0.98073279999999996</v>
      </c>
      <c r="AB1787">
        <v>17</v>
      </c>
      <c r="AC1787">
        <v>-17.491999999999901</v>
      </c>
      <c r="AD1787">
        <v>-1.1089658321889999</v>
      </c>
      <c r="AE1787">
        <v>-8.78999999999905E-2</v>
      </c>
      <c r="AF1787">
        <v>3.4319094330580802</v>
      </c>
      <c r="AG1787">
        <v>-1.1089658321889999</v>
      </c>
      <c r="AH1787">
        <v>17.080835087346902</v>
      </c>
      <c r="AI1787">
        <v>93.642104343339298</v>
      </c>
      <c r="AJ1787">
        <v>78.639301345893102</v>
      </c>
      <c r="AK1787">
        <v>17.4574549936357</v>
      </c>
      <c r="AL1787">
        <v>80.400973218039297</v>
      </c>
      <c r="AM1787">
        <v>79.207623245485394</v>
      </c>
      <c r="AN1787">
        <v>1.00000000778245</v>
      </c>
    </row>
    <row r="1788" spans="1:40" x14ac:dyDescent="0.25">
      <c r="A1788" t="str">
        <f>"20190312172926763"</f>
        <v>20190312172926763</v>
      </c>
      <c r="B1788" t="str">
        <f>"1552382966758805"</f>
        <v>1552382966758805</v>
      </c>
      <c r="C1788" t="s">
        <v>40</v>
      </c>
      <c r="D1788">
        <v>3.3783370000000001</v>
      </c>
      <c r="E1788">
        <v>0.50252520000000001</v>
      </c>
      <c r="F1788" t="s">
        <v>47</v>
      </c>
      <c r="G1788">
        <v>-227.9982</v>
      </c>
      <c r="H1788" s="1">
        <v>2.7194379999999999E-6</v>
      </c>
      <c r="I1788">
        <v>283.23849999999999</v>
      </c>
      <c r="J1788">
        <v>-209.64269999999999</v>
      </c>
      <c r="K1788">
        <v>1.109048</v>
      </c>
      <c r="L1788">
        <v>283.34739999999999</v>
      </c>
      <c r="M1788">
        <v>-0.97983750000000003</v>
      </c>
      <c r="N1788">
        <v>0</v>
      </c>
      <c r="O1788">
        <v>-0.19958600000000001</v>
      </c>
      <c r="P1788">
        <v>-0.9872687</v>
      </c>
      <c r="Q1788">
        <v>0.15816329999999901</v>
      </c>
      <c r="R1788">
        <v>-1.6879849999999998E-2</v>
      </c>
      <c r="S1788">
        <v>-3.067688</v>
      </c>
      <c r="T1788">
        <v>-0.18360599999999999</v>
      </c>
      <c r="U1788">
        <v>-2.3468019999999999E-2</v>
      </c>
      <c r="V1788">
        <v>0.18084819999999999</v>
      </c>
      <c r="W1788">
        <v>0.16669700000000001</v>
      </c>
      <c r="X1788">
        <v>0.96928119999999995</v>
      </c>
      <c r="Y1788">
        <v>0.19139690000000001</v>
      </c>
      <c r="Z1788">
        <v>1.759471E-2</v>
      </c>
      <c r="AA1788">
        <v>0.98135499999999998</v>
      </c>
      <c r="AB1788">
        <v>18</v>
      </c>
      <c r="AC1788">
        <v>-18.355499999999999</v>
      </c>
      <c r="AD1788">
        <v>-1.1090452805619999</v>
      </c>
      <c r="AE1788">
        <v>-0.10890000000000501</v>
      </c>
      <c r="AF1788">
        <v>3.5440083828718199</v>
      </c>
      <c r="AG1788">
        <v>-1.1090452805619999</v>
      </c>
      <c r="AH1788">
        <v>17.9423991150185</v>
      </c>
      <c r="AI1788">
        <v>93.4701565437651</v>
      </c>
      <c r="AJ1788">
        <v>78.826681839889105</v>
      </c>
      <c r="AK1788">
        <v>18.3226543616044</v>
      </c>
      <c r="AL1788">
        <v>80.404169171961399</v>
      </c>
      <c r="AM1788">
        <v>79.4312914459517</v>
      </c>
      <c r="AN1788">
        <v>1.00000000296284</v>
      </c>
    </row>
    <row r="1789" spans="1:40" x14ac:dyDescent="0.25">
      <c r="A1789" t="str">
        <f>"20190312172926786"</f>
        <v>20190312172926786</v>
      </c>
      <c r="B1789" t="str">
        <f>"1552382966779301"</f>
        <v>1552382966779301</v>
      </c>
      <c r="C1789" t="s">
        <v>40</v>
      </c>
      <c r="D1789">
        <v>3.3727369999999999</v>
      </c>
      <c r="E1789">
        <v>0.50262489999999904</v>
      </c>
      <c r="F1789" t="s">
        <v>47</v>
      </c>
      <c r="G1789">
        <v>-229.28559999999999</v>
      </c>
      <c r="H1789" s="1">
        <v>3.4045589999999999E-6</v>
      </c>
      <c r="I1789">
        <v>283.18259999999998</v>
      </c>
      <c r="J1789">
        <v>-209.81979999999999</v>
      </c>
      <c r="K1789">
        <v>1.1091089999999999</v>
      </c>
      <c r="L1789">
        <v>283.3141</v>
      </c>
      <c r="M1789">
        <v>-0.98027880000000001</v>
      </c>
      <c r="N1789">
        <v>0</v>
      </c>
      <c r="O1789">
        <v>-0.1974098</v>
      </c>
      <c r="P1789">
        <v>-0.98725819999999997</v>
      </c>
      <c r="Q1789">
        <v>0.15806919999999999</v>
      </c>
      <c r="R1789">
        <v>-1.831083E-2</v>
      </c>
      <c r="S1789">
        <v>-3.065979</v>
      </c>
      <c r="T1789">
        <v>-0.17310599999999901</v>
      </c>
      <c r="U1789">
        <v>-2.572632E-2</v>
      </c>
      <c r="V1789">
        <v>0.17725679999999999</v>
      </c>
      <c r="W1789">
        <v>0.1665748</v>
      </c>
      <c r="X1789">
        <v>0.96996539999999998</v>
      </c>
      <c r="Y1789">
        <v>0.1885743</v>
      </c>
      <c r="Z1789">
        <v>1.6398659999999999E-2</v>
      </c>
      <c r="AA1789">
        <v>0.98192199999999996</v>
      </c>
      <c r="AB1789">
        <v>18</v>
      </c>
      <c r="AC1789">
        <v>-19.465800000000002</v>
      </c>
      <c r="AD1789">
        <v>-1.1091055954410001</v>
      </c>
      <c r="AE1789">
        <v>-0.13150000000001599</v>
      </c>
      <c r="AF1789">
        <v>3.7019693645623399</v>
      </c>
      <c r="AG1789">
        <v>-1.1091055954410001</v>
      </c>
      <c r="AH1789">
        <v>19.0468312954706</v>
      </c>
      <c r="AI1789">
        <v>93.271512437940501</v>
      </c>
      <c r="AJ1789">
        <v>79.001042324849493</v>
      </c>
      <c r="AK1789">
        <v>19.434929245976601</v>
      </c>
      <c r="AL1789">
        <v>80.4112700371128</v>
      </c>
      <c r="AM1789">
        <v>79.643731411208904</v>
      </c>
      <c r="AN1789">
        <v>1.0000000071692099</v>
      </c>
    </row>
    <row r="1790" spans="1:40" x14ac:dyDescent="0.25">
      <c r="A1790" t="str">
        <f>"20190312172926809"</f>
        <v>20190312172926809</v>
      </c>
      <c r="B1790" t="str">
        <f>"1552382966798824"</f>
        <v>1552382966798824</v>
      </c>
      <c r="C1790" t="s">
        <v>40</v>
      </c>
      <c r="D1790">
        <v>3.3753069999999998</v>
      </c>
      <c r="E1790">
        <v>0.50268069999999998</v>
      </c>
      <c r="F1790" t="s">
        <v>47</v>
      </c>
      <c r="G1790">
        <v>-229.9973</v>
      </c>
      <c r="H1790" s="1">
        <v>-1.473004E-6</v>
      </c>
      <c r="I1790">
        <v>283.12450000000001</v>
      </c>
      <c r="J1790">
        <v>-210.0027</v>
      </c>
      <c r="K1790">
        <v>1.109146</v>
      </c>
      <c r="L1790">
        <v>283.2799</v>
      </c>
      <c r="M1790">
        <v>-0.98070060000000003</v>
      </c>
      <c r="N1790">
        <v>0</v>
      </c>
      <c r="O1790">
        <v>-0.19530749999999999</v>
      </c>
      <c r="P1790">
        <v>-0.9871299</v>
      </c>
      <c r="Q1790">
        <v>0.15879089999999901</v>
      </c>
      <c r="R1790">
        <v>-1.8968740000000001E-2</v>
      </c>
      <c r="S1790">
        <v>-3.06514</v>
      </c>
      <c r="T1790">
        <v>-0.16848360000000001</v>
      </c>
      <c r="U1790">
        <v>-2.8808589999999999E-2</v>
      </c>
      <c r="V1790">
        <v>0.17448649999999999</v>
      </c>
      <c r="W1790">
        <v>0.16725039999999999</v>
      </c>
      <c r="X1790">
        <v>0.97035130000000003</v>
      </c>
      <c r="Y1790">
        <v>0.18551770000000001</v>
      </c>
      <c r="Z1790">
        <v>1.576783E-2</v>
      </c>
      <c r="AA1790">
        <v>0.98251440000000001</v>
      </c>
      <c r="AB1790">
        <v>18</v>
      </c>
      <c r="AC1790">
        <v>-19.994599999999899</v>
      </c>
      <c r="AD1790">
        <v>-1.1091474730040001</v>
      </c>
      <c r="AE1790">
        <v>-0.15539999999998599</v>
      </c>
      <c r="AF1790">
        <v>3.7413349758194498</v>
      </c>
      <c r="AG1790">
        <v>-1.1091474730040001</v>
      </c>
      <c r="AH1790">
        <v>19.579619105321001</v>
      </c>
      <c r="AI1790">
        <v>93.184731138471705</v>
      </c>
      <c r="AJ1790">
        <v>79.182148108433395</v>
      </c>
      <c r="AK1790">
        <v>19.964700844931599</v>
      </c>
      <c r="AL1790">
        <v>80.372009608873</v>
      </c>
      <c r="AM1790">
        <v>79.806134611216095</v>
      </c>
      <c r="AN1790">
        <v>0.99999994019704797</v>
      </c>
    </row>
    <row r="1791" spans="1:40" x14ac:dyDescent="0.25">
      <c r="A1791" t="str">
        <f>"20190312172926831"</f>
        <v>20190312172926831</v>
      </c>
      <c r="B1791" t="str">
        <f>"1552382966819317"</f>
        <v>1552382966819317</v>
      </c>
      <c r="C1791" t="s">
        <v>40</v>
      </c>
      <c r="D1791">
        <v>3.381151</v>
      </c>
      <c r="E1791">
        <v>0.50277479999999997</v>
      </c>
      <c r="F1791" t="s">
        <v>47</v>
      </c>
      <c r="G1791">
        <v>-231.07980000000001</v>
      </c>
      <c r="H1791" s="1">
        <v>-8.9459190000000003E-7</v>
      </c>
      <c r="I1791">
        <v>283.06979999999999</v>
      </c>
      <c r="J1791">
        <v>-210.17410000000001</v>
      </c>
      <c r="K1791">
        <v>1.1091530000000001</v>
      </c>
      <c r="L1791">
        <v>283.24810000000002</v>
      </c>
      <c r="M1791">
        <v>-0.98107049999999996</v>
      </c>
      <c r="N1791">
        <v>0</v>
      </c>
      <c r="O1791">
        <v>-0.19344330000000001</v>
      </c>
      <c r="P1791">
        <v>-0.98707520000000004</v>
      </c>
      <c r="Q1791">
        <v>0.15920889999999999</v>
      </c>
      <c r="R1791">
        <v>-1.8302249999999999E-2</v>
      </c>
      <c r="S1791">
        <v>-3.0644990000000001</v>
      </c>
      <c r="T1791">
        <v>-0.1612642</v>
      </c>
      <c r="U1791">
        <v>-3.0548100000000002E-2</v>
      </c>
      <c r="V1791">
        <v>0.1732773</v>
      </c>
      <c r="W1791">
        <v>0.16761419999999999</v>
      </c>
      <c r="X1791">
        <v>0.97050519999999996</v>
      </c>
      <c r="Y1791">
        <v>0.18314359999999999</v>
      </c>
      <c r="Z1791">
        <v>1.493713E-2</v>
      </c>
      <c r="AA1791">
        <v>0.98297270000000003</v>
      </c>
      <c r="AB1791">
        <v>18</v>
      </c>
      <c r="AC1791">
        <v>-20.9057</v>
      </c>
      <c r="AD1791">
        <v>-1.1091538945918999</v>
      </c>
      <c r="AE1791">
        <v>-0.17830000000003501</v>
      </c>
      <c r="AF1791">
        <v>3.8584380975569399</v>
      </c>
      <c r="AG1791">
        <v>-1.1091538945918999</v>
      </c>
      <c r="AH1791">
        <v>20.487616824538598</v>
      </c>
      <c r="AI1791">
        <v>93.045406997299807</v>
      </c>
      <c r="AJ1791">
        <v>79.334397133746805</v>
      </c>
      <c r="AK1791">
        <v>20.877265387585702</v>
      </c>
      <c r="AL1791">
        <v>80.350866971177794</v>
      </c>
      <c r="AM1791">
        <v>79.876884537099201</v>
      </c>
      <c r="AN1791">
        <v>0.99999994298198303</v>
      </c>
    </row>
    <row r="1792" spans="1:40" x14ac:dyDescent="0.25">
      <c r="A1792" t="str">
        <f>"20190312172926854"</f>
        <v>20190312172926854</v>
      </c>
      <c r="B1792" t="str">
        <f>"1552382966849132"</f>
        <v>1552382966849132</v>
      </c>
      <c r="C1792" t="s">
        <v>40</v>
      </c>
      <c r="D1792">
        <v>3.3802539999999999</v>
      </c>
      <c r="E1792">
        <v>0.50290219999999997</v>
      </c>
      <c r="F1792" t="s">
        <v>47</v>
      </c>
      <c r="G1792">
        <v>-231.96940000000001</v>
      </c>
      <c r="H1792" s="1">
        <v>-4.2025680000000002E-7</v>
      </c>
      <c r="I1792">
        <v>283.04840000000002</v>
      </c>
      <c r="J1792">
        <v>-210.3588</v>
      </c>
      <c r="K1792">
        <v>1.109146</v>
      </c>
      <c r="L1792">
        <v>283.214</v>
      </c>
      <c r="M1792">
        <v>-0.98144699999999996</v>
      </c>
      <c r="N1792">
        <v>0</v>
      </c>
      <c r="O1792">
        <v>-0.19152810000000001</v>
      </c>
      <c r="P1792">
        <v>-0.98713329999999999</v>
      </c>
      <c r="Q1792">
        <v>0.15874360000000001</v>
      </c>
      <c r="R1792">
        <v>-1.919386E-2</v>
      </c>
      <c r="S1792">
        <v>-3.063904</v>
      </c>
      <c r="T1792">
        <v>-0.155921</v>
      </c>
      <c r="U1792">
        <v>-2.8076170000000001E-2</v>
      </c>
      <c r="V1792">
        <v>0.1705159</v>
      </c>
      <c r="W1792">
        <v>0.1670934</v>
      </c>
      <c r="X1792">
        <v>0.97108399999999995</v>
      </c>
      <c r="Y1792">
        <v>0.1820532</v>
      </c>
      <c r="Z1792">
        <v>1.432222E-2</v>
      </c>
      <c r="AA1792">
        <v>0.98318439999999996</v>
      </c>
      <c r="AB1792">
        <v>18</v>
      </c>
      <c r="AC1792">
        <v>-21.610600000000002</v>
      </c>
      <c r="AD1792">
        <v>-1.1091464202568</v>
      </c>
      <c r="AE1792">
        <v>-0.16559999999998301</v>
      </c>
      <c r="AF1792">
        <v>3.9662190754912898</v>
      </c>
      <c r="AG1792">
        <v>-1.1091464202568</v>
      </c>
      <c r="AH1792">
        <v>21.1864069044973</v>
      </c>
      <c r="AI1792">
        <v>92.9457201718497</v>
      </c>
      <c r="AJ1792">
        <v>79.396627380187894</v>
      </c>
      <c r="AK1792">
        <v>21.582977946967599</v>
      </c>
      <c r="AL1792">
        <v>80.381134076211893</v>
      </c>
      <c r="AM1792">
        <v>80.040771154762297</v>
      </c>
      <c r="AN1792">
        <v>1.00000000576618</v>
      </c>
    </row>
    <row r="1793" spans="1:40" x14ac:dyDescent="0.25">
      <c r="A1793" t="str">
        <f>"20190312172926876"</f>
        <v>20190312172926876</v>
      </c>
      <c r="B1793" t="str">
        <f>"1552382966869621"</f>
        <v>1552382966869621</v>
      </c>
      <c r="C1793" t="s">
        <v>40</v>
      </c>
      <c r="D1793">
        <v>3.3702130000000001</v>
      </c>
      <c r="E1793">
        <v>0.50302519999999995</v>
      </c>
      <c r="F1793" t="s">
        <v>47</v>
      </c>
      <c r="G1793">
        <v>-232.63570000000001</v>
      </c>
      <c r="H1793" s="1">
        <v>-6.3770459999999996E-8</v>
      </c>
      <c r="I1793">
        <v>283.00490000000002</v>
      </c>
      <c r="J1793">
        <v>-210.52860000000001</v>
      </c>
      <c r="K1793">
        <v>1.109127</v>
      </c>
      <c r="L1793">
        <v>283.18299999999999</v>
      </c>
      <c r="M1793">
        <v>-0.98177749999999997</v>
      </c>
      <c r="N1793">
        <v>0</v>
      </c>
      <c r="O1793">
        <v>-0.18982940000000001</v>
      </c>
      <c r="P1793">
        <v>-0.9871839</v>
      </c>
      <c r="Q1793">
        <v>0.158303799999999</v>
      </c>
      <c r="R1793">
        <v>-2.020249E-2</v>
      </c>
      <c r="S1793">
        <v>-3.0630649999999999</v>
      </c>
      <c r="T1793">
        <v>-0.15250729999999901</v>
      </c>
      <c r="U1793">
        <v>-2.8747559999999998E-2</v>
      </c>
      <c r="V1793">
        <v>0.167854799999999</v>
      </c>
      <c r="W1793">
        <v>0.16660159999999999</v>
      </c>
      <c r="X1793">
        <v>0.97163200000000005</v>
      </c>
      <c r="Y1793">
        <v>0.1801584</v>
      </c>
      <c r="Z1793">
        <v>1.388238E-2</v>
      </c>
      <c r="AA1793">
        <v>0.98353959999999996</v>
      </c>
      <c r="AB1793">
        <v>18</v>
      </c>
      <c r="AC1793">
        <v>-22.107099999999999</v>
      </c>
      <c r="AD1793">
        <v>-1.10912706377046</v>
      </c>
      <c r="AE1793">
        <v>-0.178099999999972</v>
      </c>
      <c r="AF1793">
        <v>4.0117819202476399</v>
      </c>
      <c r="AG1793">
        <v>-1.10912706377046</v>
      </c>
      <c r="AH1793">
        <v>21.6843290829698</v>
      </c>
      <c r="AI1793">
        <v>92.879280544544201</v>
      </c>
      <c r="AJ1793">
        <v>79.518319330818301</v>
      </c>
      <c r="AK1793">
        <v>22.080187607847499</v>
      </c>
      <c r="AL1793">
        <v>80.409713021070203</v>
      </c>
      <c r="AM1793">
        <v>80.198579284239102</v>
      </c>
      <c r="AN1793">
        <v>1.00000003521479</v>
      </c>
    </row>
    <row r="1794" spans="1:40" x14ac:dyDescent="0.25">
      <c r="A1794" t="str">
        <f>"20190312172926898"</f>
        <v>20190312172926898</v>
      </c>
      <c r="B1794" t="str">
        <f>"1552382966889145"</f>
        <v>1552382966889145</v>
      </c>
      <c r="C1794" t="s">
        <v>40</v>
      </c>
      <c r="D1794">
        <v>3.3628629999999999</v>
      </c>
      <c r="E1794">
        <v>0.50316970000000005</v>
      </c>
      <c r="F1794" t="s">
        <v>47</v>
      </c>
      <c r="G1794">
        <v>-233.00360000000001</v>
      </c>
      <c r="H1794" s="1">
        <v>1.341056E-7</v>
      </c>
      <c r="I1794">
        <v>282.95699999999999</v>
      </c>
      <c r="J1794">
        <v>-210.7072</v>
      </c>
      <c r="K1794">
        <v>1.109103</v>
      </c>
      <c r="L1794">
        <v>283.15069999999997</v>
      </c>
      <c r="M1794">
        <v>-0.98211459999999995</v>
      </c>
      <c r="N1794">
        <v>0</v>
      </c>
      <c r="O1794">
        <v>-0.18808069999999999</v>
      </c>
      <c r="P1794">
        <v>-0.98716490000000001</v>
      </c>
      <c r="Q1794">
        <v>0.15833710000000001</v>
      </c>
      <c r="R1794">
        <v>-2.0859249999999999E-2</v>
      </c>
      <c r="S1794">
        <v>-3.0625460000000002</v>
      </c>
      <c r="T1794">
        <v>-0.15113470000000001</v>
      </c>
      <c r="U1794">
        <v>-3.0792239999999999E-2</v>
      </c>
      <c r="V1794">
        <v>0.16547770000000001</v>
      </c>
      <c r="W1794">
        <v>0.1665739</v>
      </c>
      <c r="X1794">
        <v>0.97204440000000003</v>
      </c>
      <c r="Y1794">
        <v>0.177761</v>
      </c>
      <c r="Z1794">
        <v>1.361559E-2</v>
      </c>
      <c r="AA1794">
        <v>0.98397950000000001</v>
      </c>
      <c r="AB1794">
        <v>18</v>
      </c>
      <c r="AC1794">
        <v>-22.296399999999998</v>
      </c>
      <c r="AD1794">
        <v>-1.1091028658944</v>
      </c>
      <c r="AE1794">
        <v>-0.193699999999978</v>
      </c>
      <c r="AF1794">
        <v>3.9935591677487201</v>
      </c>
      <c r="AG1794">
        <v>-1.1091028658944</v>
      </c>
      <c r="AH1794">
        <v>21.880752734008301</v>
      </c>
      <c r="AI1794">
        <v>92.854676996034499</v>
      </c>
      <c r="AJ1794">
        <v>79.656527389782795</v>
      </c>
      <c r="AK1794">
        <v>22.2698442787608</v>
      </c>
      <c r="AL1794">
        <v>80.411322501367394</v>
      </c>
      <c r="AM1794">
        <v>80.3387702611913</v>
      </c>
      <c r="AN1794">
        <v>1.0000000244649201</v>
      </c>
    </row>
    <row r="1795" spans="1:40" x14ac:dyDescent="0.25">
      <c r="A1795" t="str">
        <f>"20190312172926921"</f>
        <v>20190312172926921</v>
      </c>
      <c r="B1795" t="str">
        <f>"1552382966909637"</f>
        <v>1552382966909637</v>
      </c>
      <c r="C1795" t="s">
        <v>40</v>
      </c>
      <c r="D1795">
        <v>3.388506</v>
      </c>
      <c r="E1795">
        <v>0.50327060000000001</v>
      </c>
      <c r="F1795" t="s">
        <v>47</v>
      </c>
      <c r="G1795">
        <v>-233.58590000000001</v>
      </c>
      <c r="H1795" s="1">
        <v>4.4602340000000002E-7</v>
      </c>
      <c r="I1795">
        <v>282.91079999999999</v>
      </c>
      <c r="J1795">
        <v>-210.88579999999999</v>
      </c>
      <c r="K1795">
        <v>1.1090709999999999</v>
      </c>
      <c r="L1795">
        <v>283.11849999999998</v>
      </c>
      <c r="M1795">
        <v>-0.98244540000000002</v>
      </c>
      <c r="N1795">
        <v>0</v>
      </c>
      <c r="O1795">
        <v>-0.18634809999999999</v>
      </c>
      <c r="P1795">
        <v>-0.98719129999999999</v>
      </c>
      <c r="Q1795">
        <v>0.15816179999999999</v>
      </c>
      <c r="R1795">
        <v>-2.093509E-2</v>
      </c>
      <c r="S1795">
        <v>-3.0621339999999999</v>
      </c>
      <c r="T1795">
        <v>-0.1484443</v>
      </c>
      <c r="U1795">
        <v>-3.2104489999999999E-2</v>
      </c>
      <c r="V1795">
        <v>0.1636956</v>
      </c>
      <c r="W1795">
        <v>0.166328</v>
      </c>
      <c r="X1795">
        <v>0.97238809999999998</v>
      </c>
      <c r="Y1795">
        <v>0.1756219</v>
      </c>
      <c r="Z1795">
        <v>1.324058E-2</v>
      </c>
      <c r="AA1795">
        <v>0.98436869999999999</v>
      </c>
      <c r="AB1795">
        <v>18</v>
      </c>
      <c r="AC1795">
        <v>-22.700099999999999</v>
      </c>
      <c r="AD1795">
        <v>-1.1090705539765999</v>
      </c>
      <c r="AE1795">
        <v>-0.20769999999998801</v>
      </c>
      <c r="AF1795">
        <v>4.0166313044148199</v>
      </c>
      <c r="AG1795">
        <v>-1.1090705539765999</v>
      </c>
      <c r="AH1795">
        <v>22.287957670045</v>
      </c>
      <c r="AI1795">
        <v>92.803653884243502</v>
      </c>
      <c r="AJ1795">
        <v>79.784077268742294</v>
      </c>
      <c r="AK1795">
        <v>22.674135521139998</v>
      </c>
      <c r="AL1795">
        <v>80.425609995287601</v>
      </c>
      <c r="AM1795">
        <v>80.444202451712499</v>
      </c>
      <c r="AN1795">
        <v>0.99999993503248197</v>
      </c>
    </row>
    <row r="1796" spans="1:40" x14ac:dyDescent="0.25">
      <c r="A1796" t="str">
        <f>"20190312172926941"</f>
        <v>20190312172926941</v>
      </c>
      <c r="B1796" t="str">
        <f>"1552382966938917"</f>
        <v>1552382966938917</v>
      </c>
      <c r="C1796" t="s">
        <v>40</v>
      </c>
      <c r="D1796">
        <v>3.3567949999999902</v>
      </c>
      <c r="E1796">
        <v>0.50352489999999905</v>
      </c>
      <c r="F1796" t="s">
        <v>47</v>
      </c>
      <c r="G1796">
        <v>-234.018</v>
      </c>
      <c r="H1796" s="1">
        <v>6.7727430000000001E-7</v>
      </c>
      <c r="I1796">
        <v>282.88010000000003</v>
      </c>
      <c r="J1796">
        <v>-211.0575</v>
      </c>
      <c r="K1796">
        <v>1.109032</v>
      </c>
      <c r="L1796">
        <v>283.08800000000002</v>
      </c>
      <c r="M1796">
        <v>-0.98275970000000001</v>
      </c>
      <c r="N1796">
        <v>0</v>
      </c>
      <c r="O1796">
        <v>-0.18468670000000001</v>
      </c>
      <c r="P1796">
        <v>-0.98732330000000001</v>
      </c>
      <c r="Q1796">
        <v>0.1573407</v>
      </c>
      <c r="R1796">
        <v>-2.089448E-2</v>
      </c>
      <c r="S1796">
        <v>-3.0617679999999998</v>
      </c>
      <c r="T1796">
        <v>-0.14679629999999999</v>
      </c>
      <c r="U1796">
        <v>-3.1555180000000002E-2</v>
      </c>
      <c r="V1796">
        <v>0.1621187</v>
      </c>
      <c r="W1796">
        <v>0.16543169999999999</v>
      </c>
      <c r="X1796">
        <v>0.97280509999999998</v>
      </c>
      <c r="Y1796">
        <v>0.1741453</v>
      </c>
      <c r="Z1796">
        <v>1.298148E-2</v>
      </c>
      <c r="AA1796">
        <v>0.98463440000000002</v>
      </c>
      <c r="AB1796">
        <v>18</v>
      </c>
      <c r="AC1796">
        <v>-22.9605</v>
      </c>
      <c r="AD1796">
        <v>-1.1090313227257</v>
      </c>
      <c r="AE1796">
        <v>-0.207899999999938</v>
      </c>
      <c r="AF1796">
        <v>4.0269386757163801</v>
      </c>
      <c r="AG1796">
        <v>-1.1090313227257</v>
      </c>
      <c r="AH1796">
        <v>22.551279960024001</v>
      </c>
      <c r="AI1796">
        <v>92.771662338377098</v>
      </c>
      <c r="AJ1796">
        <v>79.875514492205895</v>
      </c>
      <c r="AK1796">
        <v>22.934829700875198</v>
      </c>
      <c r="AL1796">
        <v>80.477685727074402</v>
      </c>
      <c r="AM1796">
        <v>80.538565077005501</v>
      </c>
      <c r="AN1796">
        <v>0.99999994142029303</v>
      </c>
    </row>
    <row r="1797" spans="1:40" x14ac:dyDescent="0.25">
      <c r="A1797" t="str">
        <f>"20190312172926965"</f>
        <v>20190312172926965</v>
      </c>
      <c r="B1797" t="str">
        <f>"1552382966958988"</f>
        <v>1552382966958988</v>
      </c>
      <c r="C1797" t="s">
        <v>40</v>
      </c>
      <c r="D1797">
        <v>3.361758</v>
      </c>
      <c r="E1797">
        <v>0.50367399999999996</v>
      </c>
      <c r="F1797" t="s">
        <v>47</v>
      </c>
      <c r="G1797">
        <v>-234.07220000000001</v>
      </c>
      <c r="H1797" s="1">
        <v>7.068055E-7</v>
      </c>
      <c r="I1797">
        <v>282.86500000000001</v>
      </c>
      <c r="J1797">
        <v>-211.24299999999999</v>
      </c>
      <c r="K1797">
        <v>1.1089800000000001</v>
      </c>
      <c r="L1797">
        <v>283.05529999999999</v>
      </c>
      <c r="M1797">
        <v>-0.98309709999999995</v>
      </c>
      <c r="N1797">
        <v>0</v>
      </c>
      <c r="O1797">
        <v>-0.18288660000000001</v>
      </c>
      <c r="P1797">
        <v>-0.98750599999999999</v>
      </c>
      <c r="Q1797">
        <v>0.1562384</v>
      </c>
      <c r="R1797">
        <v>-2.054081E-2</v>
      </c>
      <c r="S1797">
        <v>-3.0613860000000002</v>
      </c>
      <c r="T1797">
        <v>-0.1475216</v>
      </c>
      <c r="U1797">
        <v>-2.966309E-2</v>
      </c>
      <c r="V1797">
        <v>0.16072400000000001</v>
      </c>
      <c r="W1797">
        <v>0.16424079999999999</v>
      </c>
      <c r="X1797">
        <v>0.9732383</v>
      </c>
      <c r="Y1797">
        <v>0.1729482</v>
      </c>
      <c r="Z1797">
        <v>1.293298E-2</v>
      </c>
      <c r="AA1797">
        <v>0.984846</v>
      </c>
      <c r="AB1797">
        <v>18</v>
      </c>
      <c r="AC1797">
        <v>-22.8292</v>
      </c>
      <c r="AD1797">
        <v>-1.1089792931944999</v>
      </c>
      <c r="AE1797">
        <v>-0.19029999999997901</v>
      </c>
      <c r="AF1797">
        <v>3.9788277570872101</v>
      </c>
      <c r="AG1797">
        <v>-1.1089792931944999</v>
      </c>
      <c r="AH1797">
        <v>22.426023380222802</v>
      </c>
      <c r="AI1797">
        <v>92.787539235536002</v>
      </c>
      <c r="AJ1797">
        <v>79.939267707389007</v>
      </c>
      <c r="AK1797">
        <v>22.803232885790599</v>
      </c>
      <c r="AL1797">
        <v>80.546866311517604</v>
      </c>
      <c r="AM1797">
        <v>80.622609861292801</v>
      </c>
      <c r="AN1797">
        <v>1.0000000165737599</v>
      </c>
    </row>
    <row r="1798" spans="1:40" x14ac:dyDescent="0.25">
      <c r="A1798" t="str">
        <f>"20190312172926989"</f>
        <v>20190312172926989</v>
      </c>
      <c r="B1798" t="str">
        <f>"1552382966979484"</f>
        <v>1552382966979484</v>
      </c>
      <c r="C1798" t="s">
        <v>40</v>
      </c>
      <c r="D1798">
        <v>3.3768690000000001</v>
      </c>
      <c r="E1798">
        <v>0.50381339999999997</v>
      </c>
      <c r="F1798" t="s">
        <v>47</v>
      </c>
      <c r="G1798">
        <v>-233.98009999999999</v>
      </c>
      <c r="H1798" s="1">
        <v>6.5855190000000004E-7</v>
      </c>
      <c r="I1798">
        <v>282.84719999999999</v>
      </c>
      <c r="J1798">
        <v>-211.43379999999999</v>
      </c>
      <c r="K1798">
        <v>1.1089260000000001</v>
      </c>
      <c r="L1798">
        <v>283.02199999999999</v>
      </c>
      <c r="M1798">
        <v>-0.98344189999999998</v>
      </c>
      <c r="N1798">
        <v>0</v>
      </c>
      <c r="O1798">
        <v>-0.1810272</v>
      </c>
      <c r="P1798">
        <v>-0.98778410000000005</v>
      </c>
      <c r="Q1798">
        <v>0.15457760000000001</v>
      </c>
      <c r="R1798">
        <v>-1.970218E-2</v>
      </c>
      <c r="S1798">
        <v>-3.0609890000000002</v>
      </c>
      <c r="T1798">
        <v>-0.1492966</v>
      </c>
      <c r="U1798">
        <v>-2.8015140000000001E-2</v>
      </c>
      <c r="V1798">
        <v>0.15976580000000001</v>
      </c>
      <c r="W1798">
        <v>0.16248570000000001</v>
      </c>
      <c r="X1798">
        <v>0.97369059999999996</v>
      </c>
      <c r="Y1798">
        <v>0.17160819999999999</v>
      </c>
      <c r="Z1798">
        <v>1.296814E-2</v>
      </c>
      <c r="AA1798">
        <v>0.98507990000000001</v>
      </c>
      <c r="AB1798">
        <v>18</v>
      </c>
      <c r="AC1798">
        <v>-22.546299999999999</v>
      </c>
      <c r="AD1798">
        <v>-1.1089253414481</v>
      </c>
      <c r="AE1798">
        <v>-0.17480000000000401</v>
      </c>
      <c r="AF1798">
        <v>3.90029243380082</v>
      </c>
      <c r="AG1798">
        <v>-1.1089253414481</v>
      </c>
      <c r="AH1798">
        <v>22.1518257040333</v>
      </c>
      <c r="AI1798">
        <v>92.822502739376304</v>
      </c>
      <c r="AJ1798">
        <v>80.014229173021903</v>
      </c>
      <c r="AK1798">
        <v>22.5198885100246</v>
      </c>
      <c r="AL1798">
        <v>80.648795770582495</v>
      </c>
      <c r="AM1798">
        <v>80.6817858993915</v>
      </c>
      <c r="AN1798">
        <v>1.00000004904124</v>
      </c>
    </row>
    <row r="1799" spans="1:40" x14ac:dyDescent="0.25">
      <c r="A1799" t="str">
        <f>"20190312172927009"</f>
        <v>20190312172927009</v>
      </c>
      <c r="B1799" t="str">
        <f>"1552382966999007"</f>
        <v>1552382966999007</v>
      </c>
      <c r="C1799" t="s">
        <v>40</v>
      </c>
      <c r="D1799">
        <v>3.3310110000000002</v>
      </c>
      <c r="E1799">
        <v>0.50398279999999995</v>
      </c>
      <c r="F1799" t="s">
        <v>47</v>
      </c>
      <c r="G1799">
        <v>-233.61940000000001</v>
      </c>
      <c r="H1799" s="1">
        <v>4.6684600000000002E-7</v>
      </c>
      <c r="I1799">
        <v>282.8417</v>
      </c>
      <c r="J1799">
        <v>-211.60749999999999</v>
      </c>
      <c r="K1799">
        <v>1.1088720000000001</v>
      </c>
      <c r="L1799">
        <v>282.99200000000002</v>
      </c>
      <c r="M1799">
        <v>-0.98375420000000002</v>
      </c>
      <c r="N1799">
        <v>0</v>
      </c>
      <c r="O1799">
        <v>-0.17932629999999999</v>
      </c>
      <c r="P1799">
        <v>-0.98796949999999994</v>
      </c>
      <c r="Q1799">
        <v>0.15348539999999999</v>
      </c>
      <c r="R1799">
        <v>-1.894328E-2</v>
      </c>
      <c r="S1799">
        <v>-3.0605470000000001</v>
      </c>
      <c r="T1799">
        <v>-0.15297829999999901</v>
      </c>
      <c r="U1799">
        <v>-2.4871830000000001E-2</v>
      </c>
      <c r="V1799">
        <v>0.1588696</v>
      </c>
      <c r="W1799">
        <v>0.16131019999999999</v>
      </c>
      <c r="X1799">
        <v>0.97403260000000003</v>
      </c>
      <c r="Y1799">
        <v>0.17089679999999999</v>
      </c>
      <c r="Z1799">
        <v>1.318808E-2</v>
      </c>
      <c r="AA1799">
        <v>0.98520059999999998</v>
      </c>
      <c r="AB1799">
        <v>18</v>
      </c>
      <c r="AC1799">
        <v>-22.011900000000001</v>
      </c>
      <c r="AD1799">
        <v>-1.10887153315399</v>
      </c>
      <c r="AE1799">
        <v>-0.150300000000015</v>
      </c>
      <c r="AF1799">
        <v>3.7899693290227701</v>
      </c>
      <c r="AG1799">
        <v>-1.10887153315399</v>
      </c>
      <c r="AH1799">
        <v>21.627126513111602</v>
      </c>
      <c r="AI1799">
        <v>92.891133018987802</v>
      </c>
      <c r="AJ1799">
        <v>80.060331235603201</v>
      </c>
      <c r="AK1799">
        <v>21.984677955478698</v>
      </c>
      <c r="AL1799">
        <v>80.717047079780002</v>
      </c>
      <c r="AM1799">
        <v>80.736344111819903</v>
      </c>
      <c r="AN1799">
        <v>1.00000001814547</v>
      </c>
    </row>
    <row r="1800" spans="1:40" x14ac:dyDescent="0.25">
      <c r="A1800" t="str">
        <f>"20190312172927033"</f>
        <v>20190312172927033</v>
      </c>
      <c r="B1800" t="str">
        <f>"1552382967029259"</f>
        <v>1552382967029259</v>
      </c>
      <c r="C1800" t="s">
        <v>40</v>
      </c>
      <c r="D1800">
        <v>3.3266770000000001</v>
      </c>
      <c r="E1800">
        <v>0.50424060000000004</v>
      </c>
      <c r="F1800" t="s">
        <v>47</v>
      </c>
      <c r="G1800">
        <v>-233.42230000000001</v>
      </c>
      <c r="H1800" s="1">
        <v>3.6193919999999998E-7</v>
      </c>
      <c r="I1800">
        <v>282.84190000000001</v>
      </c>
      <c r="J1800">
        <v>-211.79079999999999</v>
      </c>
      <c r="K1800">
        <v>1.1088229999999999</v>
      </c>
      <c r="L1800">
        <v>282.96069999999997</v>
      </c>
      <c r="M1800">
        <v>-0.98408249999999997</v>
      </c>
      <c r="N1800">
        <v>0</v>
      </c>
      <c r="O1800">
        <v>-0.17752000000000001</v>
      </c>
      <c r="P1800">
        <v>-0.98794689999999996</v>
      </c>
      <c r="Q1800">
        <v>0.1537898</v>
      </c>
      <c r="R1800">
        <v>-1.7600879999999999E-2</v>
      </c>
      <c r="S1800">
        <v>-3.0603030000000002</v>
      </c>
      <c r="T1800">
        <v>-0.15555859999999999</v>
      </c>
      <c r="U1800">
        <v>-2.105713E-2</v>
      </c>
      <c r="V1800">
        <v>0.1584091</v>
      </c>
      <c r="W1800">
        <v>0.16152529999999901</v>
      </c>
      <c r="X1800">
        <v>0.97407189999999999</v>
      </c>
      <c r="Y1800">
        <v>0.1703036</v>
      </c>
      <c r="Z1800">
        <v>1.330594E-2</v>
      </c>
      <c r="AA1800">
        <v>0.98530180000000001</v>
      </c>
      <c r="AB1800">
        <v>18</v>
      </c>
      <c r="AC1800">
        <v>-21.631499999999999</v>
      </c>
      <c r="AD1800">
        <v>-1.1088226380607999</v>
      </c>
      <c r="AE1800">
        <v>-0.118799999999964</v>
      </c>
      <c r="AF1800">
        <v>3.7134849269091399</v>
      </c>
      <c r="AG1800">
        <v>-1.1088226380607999</v>
      </c>
      <c r="AH1800">
        <v>21.253155473676099</v>
      </c>
      <c r="AI1800">
        <v>92.942044251093193</v>
      </c>
      <c r="AJ1800">
        <v>80.088971833777805</v>
      </c>
      <c r="AK1800">
        <v>21.603612557470701</v>
      </c>
      <c r="AL1800">
        <v>80.704558501511201</v>
      </c>
      <c r="AM1800">
        <v>80.763098512644902</v>
      </c>
      <c r="AN1800">
        <v>0.99999996593625395</v>
      </c>
    </row>
    <row r="1801" spans="1:40" x14ac:dyDescent="0.25">
      <c r="A1801" t="str">
        <f>"20190312172927046"</f>
        <v>20190312172927046</v>
      </c>
      <c r="B1801" t="str">
        <f>"1552382967039020"</f>
        <v>1552382967039020</v>
      </c>
      <c r="C1801" t="s">
        <v>40</v>
      </c>
      <c r="D1801">
        <v>3.3980060000000001</v>
      </c>
      <c r="E1801">
        <v>0.50419650000000005</v>
      </c>
      <c r="F1801" t="s">
        <v>47</v>
      </c>
      <c r="G1801">
        <v>-233.8032</v>
      </c>
      <c r="H1801" s="1">
        <v>5.6418859999999998E-7</v>
      </c>
      <c r="I1801">
        <v>282.85210000000001</v>
      </c>
      <c r="J1801">
        <v>-211.90809999999999</v>
      </c>
      <c r="K1801">
        <v>1.108792</v>
      </c>
      <c r="L1801">
        <v>282.9409</v>
      </c>
      <c r="M1801">
        <v>-0.98429169999999999</v>
      </c>
      <c r="N1801">
        <v>0</v>
      </c>
      <c r="O1801">
        <v>-0.17635780000000001</v>
      </c>
      <c r="P1801">
        <v>-0.98794729999999997</v>
      </c>
      <c r="Q1801">
        <v>0.153939299999999</v>
      </c>
      <c r="R1801">
        <v>-1.6211529999999998E-2</v>
      </c>
      <c r="S1801">
        <v>-3.060333</v>
      </c>
      <c r="T1801">
        <v>-0.15415719999999999</v>
      </c>
      <c r="U1801">
        <v>-1.51062E-2</v>
      </c>
      <c r="V1801">
        <v>0.15863260000000001</v>
      </c>
      <c r="W1801">
        <v>0.1616147</v>
      </c>
      <c r="X1801">
        <v>0.97402069999999996</v>
      </c>
      <c r="Y1801">
        <v>0.171064299999999</v>
      </c>
      <c r="Z1801">
        <v>1.314791E-2</v>
      </c>
      <c r="AA1801">
        <v>0.98517220000000005</v>
      </c>
      <c r="AB1801">
        <v>18</v>
      </c>
      <c r="AC1801">
        <v>-21.895099999999999</v>
      </c>
      <c r="AD1801">
        <v>-1.1087914358113999</v>
      </c>
      <c r="AE1801">
        <v>-8.8799999999991996E-2</v>
      </c>
      <c r="AF1801">
        <v>3.7644406425226999</v>
      </c>
      <c r="AG1801">
        <v>-1.1087914358113999</v>
      </c>
      <c r="AH1801">
        <v>21.512388649537101</v>
      </c>
      <c r="AI1801">
        <v>92.906441368421596</v>
      </c>
      <c r="AJ1801">
        <v>80.074342076662802</v>
      </c>
      <c r="AK1801">
        <v>21.867402616861899</v>
      </c>
      <c r="AL1801">
        <v>80.699368087158803</v>
      </c>
      <c r="AM1801">
        <v>80.749813424478404</v>
      </c>
      <c r="AN1801">
        <v>0.99999996853366901</v>
      </c>
    </row>
    <row r="1802" spans="1:40" x14ac:dyDescent="0.25">
      <c r="A1802" t="str">
        <f>"20190312172927067"</f>
        <v>20190312172927067</v>
      </c>
      <c r="B1802" t="str">
        <f>"1552382967059213"</f>
        <v>1552382967059213</v>
      </c>
      <c r="C1802" t="s">
        <v>40</v>
      </c>
      <c r="D1802">
        <v>2.703735</v>
      </c>
      <c r="E1802">
        <v>0.49315979999999998</v>
      </c>
      <c r="F1802" t="s">
        <v>47</v>
      </c>
      <c r="G1802">
        <v>-234.0437</v>
      </c>
      <c r="H1802" s="1">
        <v>6.9187640000000004E-7</v>
      </c>
      <c r="I1802">
        <v>282.85890000000001</v>
      </c>
      <c r="J1802">
        <v>-212.07679999999999</v>
      </c>
      <c r="K1802">
        <v>1.108749</v>
      </c>
      <c r="L1802">
        <v>282.9126</v>
      </c>
      <c r="M1802">
        <v>-0.98459160000000001</v>
      </c>
      <c r="N1802">
        <v>0</v>
      </c>
      <c r="O1802">
        <v>-0.174679799999999</v>
      </c>
      <c r="P1802">
        <v>-0.98797060000000003</v>
      </c>
      <c r="Q1802">
        <v>0.15395420000000001</v>
      </c>
      <c r="R1802">
        <v>-1.456939E-2</v>
      </c>
      <c r="S1802">
        <v>-3.0602870000000002</v>
      </c>
      <c r="T1802">
        <v>-0.15329289999999901</v>
      </c>
      <c r="U1802">
        <v>-1.132202E-2</v>
      </c>
      <c r="V1802">
        <v>0.15859970000000001</v>
      </c>
      <c r="W1802">
        <v>0.1615422</v>
      </c>
      <c r="X1802">
        <v>0.97403810000000002</v>
      </c>
      <c r="Y1802">
        <v>0.1706105</v>
      </c>
      <c r="Z1802">
        <v>1.29804E-2</v>
      </c>
      <c r="AA1802">
        <v>0.98525300000000005</v>
      </c>
      <c r="AB1802">
        <v>19</v>
      </c>
      <c r="AC1802">
        <v>-21.966899999999999</v>
      </c>
      <c r="AD1802">
        <v>-1.1087483081236</v>
      </c>
      <c r="AE1802">
        <v>-5.3699999999991997E-2</v>
      </c>
      <c r="AF1802">
        <v>3.77481009193902</v>
      </c>
      <c r="AG1802">
        <v>-1.1087483081236</v>
      </c>
      <c r="AH1802">
        <v>21.583537846852501</v>
      </c>
      <c r="AI1802">
        <v>92.896811598336697</v>
      </c>
      <c r="AJ1802">
        <v>80.079702028621497</v>
      </c>
      <c r="AK1802">
        <v>21.939180021766699</v>
      </c>
      <c r="AL1802">
        <v>80.703577484037496</v>
      </c>
      <c r="AM1802">
        <v>80.751861091832097</v>
      </c>
      <c r="AN1802">
        <v>0.99999998373626997</v>
      </c>
    </row>
    <row r="1803" spans="1:40" x14ac:dyDescent="0.25">
      <c r="A1803" t="str">
        <f>"20190312172927154"</f>
        <v>20190312172927154</v>
      </c>
      <c r="B1803" t="str">
        <f>"1552382967149663"</f>
        <v>1552382967149663</v>
      </c>
      <c r="C1803" t="s">
        <v>40</v>
      </c>
      <c r="D1803">
        <v>3.0597850000000002</v>
      </c>
      <c r="E1803">
        <v>0.48247380000000001</v>
      </c>
      <c r="F1803" t="s">
        <v>42</v>
      </c>
      <c r="G1803">
        <v>-212.9143</v>
      </c>
      <c r="H1803">
        <v>0.9688871</v>
      </c>
      <c r="I1803">
        <v>282.88749999999999</v>
      </c>
      <c r="J1803">
        <v>-212.80719999999999</v>
      </c>
      <c r="K1803">
        <v>1.1086149999999999</v>
      </c>
      <c r="L1803">
        <v>282.79379999999998</v>
      </c>
      <c r="M1803">
        <v>-0.98586490000000004</v>
      </c>
      <c r="N1803">
        <v>0</v>
      </c>
      <c r="O1803">
        <v>-0.16736210000000001</v>
      </c>
      <c r="P1803">
        <v>-0.98796539999999999</v>
      </c>
      <c r="Q1803">
        <v>0.15428900000000001</v>
      </c>
      <c r="R1803">
        <v>-1.092975E-2</v>
      </c>
      <c r="S1803">
        <v>-3.116241</v>
      </c>
      <c r="T1803">
        <v>-0.52036709999999997</v>
      </c>
      <c r="U1803">
        <v>-9.3658450000000004E-2</v>
      </c>
      <c r="V1803">
        <v>0.15496309999999999</v>
      </c>
      <c r="W1803">
        <v>0.1614989</v>
      </c>
      <c r="X1803">
        <v>0.97463049999999996</v>
      </c>
      <c r="Y1803">
        <v>0.13353319999999999</v>
      </c>
      <c r="Z1803">
        <v>3.8703019999999998E-2</v>
      </c>
      <c r="AA1803">
        <v>0.99028830000000001</v>
      </c>
      <c r="AB1803">
        <v>19</v>
      </c>
      <c r="AC1803">
        <v>-0.107100000000002</v>
      </c>
      <c r="AD1803">
        <v>-0.13972789999999999</v>
      </c>
      <c r="AE1803">
        <v>9.3700000000012496E-2</v>
      </c>
      <c r="AF1803">
        <v>5.6158662331576001E-2</v>
      </c>
      <c r="AG1803">
        <v>-0.13972789999999999</v>
      </c>
      <c r="AH1803">
        <v>4.5774291300374102E-2</v>
      </c>
      <c r="AI1803">
        <v>152.59273521260499</v>
      </c>
      <c r="AJ1803">
        <v>39.1830878480568</v>
      </c>
      <c r="AK1803">
        <v>0.157394304653419</v>
      </c>
      <c r="AL1803">
        <v>80.706091874761995</v>
      </c>
      <c r="AM1803">
        <v>80.965777982811602</v>
      </c>
      <c r="AN1803">
        <v>1.0000000342965301</v>
      </c>
    </row>
    <row r="1804" spans="1:40" x14ac:dyDescent="0.25">
      <c r="A1804" t="str">
        <f>"20190312172927176"</f>
        <v>20190312172927176</v>
      </c>
      <c r="B1804" t="str">
        <f>"1552382967169161"</f>
        <v>1552382967169161</v>
      </c>
      <c r="C1804" t="s">
        <v>40</v>
      </c>
      <c r="D1804">
        <v>3.4494039999999999</v>
      </c>
      <c r="E1804">
        <v>0.47208319999999998</v>
      </c>
      <c r="F1804" t="s">
        <v>42</v>
      </c>
      <c r="G1804">
        <v>-213.59</v>
      </c>
      <c r="H1804">
        <v>0.99348780000000003</v>
      </c>
      <c r="I1804">
        <v>282.75170000000003</v>
      </c>
      <c r="J1804">
        <v>-212.99709999999999</v>
      </c>
      <c r="K1804">
        <v>1.1085849999999999</v>
      </c>
      <c r="L1804">
        <v>282.7638</v>
      </c>
      <c r="M1804">
        <v>-0.98618939999999999</v>
      </c>
      <c r="N1804">
        <v>0</v>
      </c>
      <c r="O1804">
        <v>-0.16544329999999999</v>
      </c>
      <c r="P1804">
        <v>-0.98785959999999995</v>
      </c>
      <c r="Q1804">
        <v>0.1549941</v>
      </c>
      <c r="R1804">
        <v>-1.0504960000000001E-2</v>
      </c>
      <c r="S1804">
        <v>-3.1060180000000002</v>
      </c>
      <c r="T1804">
        <v>-0.45677040000000002</v>
      </c>
      <c r="U1804">
        <v>-0.16714479999999901</v>
      </c>
      <c r="V1804">
        <v>0.1534739</v>
      </c>
      <c r="W1804">
        <v>0.16210359999999999</v>
      </c>
      <c r="X1804">
        <v>0.97476569999999996</v>
      </c>
      <c r="Y1804">
        <v>0.1092868</v>
      </c>
      <c r="Z1804">
        <v>3.2059570000000003E-2</v>
      </c>
      <c r="AA1804">
        <v>0.99349310000000002</v>
      </c>
      <c r="AB1804">
        <v>19</v>
      </c>
      <c r="AC1804">
        <v>-0.59290000000001397</v>
      </c>
      <c r="AD1804">
        <v>-0.115097199999999</v>
      </c>
      <c r="AE1804">
        <v>-1.2099999999975301E-2</v>
      </c>
      <c r="AF1804">
        <v>8.3033192392830704E-2</v>
      </c>
      <c r="AG1804">
        <v>-0.115097199999999</v>
      </c>
      <c r="AH1804">
        <v>0.56543153950307401</v>
      </c>
      <c r="AI1804">
        <v>101.386844601631</v>
      </c>
      <c r="AJ1804">
        <v>81.645868231379694</v>
      </c>
      <c r="AK1804">
        <v>0.58297058446511796</v>
      </c>
      <c r="AL1804">
        <v>80.670982100709097</v>
      </c>
      <c r="AM1804">
        <v>81.0524065561832</v>
      </c>
      <c r="AN1804">
        <v>0.99999999250532901</v>
      </c>
    </row>
    <row r="1805" spans="1:40" x14ac:dyDescent="0.25">
      <c r="A1805" t="str">
        <f>"20190312172927200"</f>
        <v>20190312172927200</v>
      </c>
      <c r="B1805" t="str">
        <f>"1552382967189657"</f>
        <v>1552382967189657</v>
      </c>
      <c r="C1805" t="s">
        <v>40</v>
      </c>
      <c r="D1805">
        <v>3.3319559999999999</v>
      </c>
      <c r="E1805">
        <v>0.46774159999999998</v>
      </c>
      <c r="F1805" t="s">
        <v>42</v>
      </c>
      <c r="G1805">
        <v>-213.76310000000001</v>
      </c>
      <c r="H1805">
        <v>1.009266</v>
      </c>
      <c r="I1805">
        <v>282.70240000000001</v>
      </c>
      <c r="J1805">
        <v>-213.19159999999999</v>
      </c>
      <c r="K1805">
        <v>1.1085419999999999</v>
      </c>
      <c r="L1805">
        <v>282.73349999999999</v>
      </c>
      <c r="M1805">
        <v>-0.98652189999999995</v>
      </c>
      <c r="N1805">
        <v>0</v>
      </c>
      <c r="O1805">
        <v>-0.16345489999999999</v>
      </c>
      <c r="P1805">
        <v>-0.98777950000000003</v>
      </c>
      <c r="Q1805">
        <v>0.15550629999999999</v>
      </c>
      <c r="R1805">
        <v>-1.047616E-2</v>
      </c>
      <c r="S1805">
        <v>-3.0972439999999999</v>
      </c>
      <c r="T1805">
        <v>-0.40160299999999999</v>
      </c>
      <c r="U1805">
        <v>-0.24902340000000001</v>
      </c>
      <c r="V1805">
        <v>0.1515329</v>
      </c>
      <c r="W1805">
        <v>0.16251199999999999</v>
      </c>
      <c r="X1805">
        <v>0.97500129999999996</v>
      </c>
      <c r="Y1805">
        <v>8.1844299999999995E-2</v>
      </c>
      <c r="Z1805">
        <v>2.6242700000000001E-2</v>
      </c>
      <c r="AA1805">
        <v>0.99629959999999995</v>
      </c>
      <c r="AB1805">
        <v>19</v>
      </c>
      <c r="AC1805">
        <v>-0.571500000000014</v>
      </c>
      <c r="AD1805">
        <v>-9.9275999999999906E-2</v>
      </c>
      <c r="AE1805">
        <v>-3.1099999999980799E-2</v>
      </c>
      <c r="AF1805">
        <v>6.0903072223801202E-2</v>
      </c>
      <c r="AG1805">
        <v>-9.9275999999999906E-2</v>
      </c>
      <c r="AH1805">
        <v>0.55228073506425301</v>
      </c>
      <c r="AI1805">
        <v>100.130327575857</v>
      </c>
      <c r="AJ1805">
        <v>83.7071018080199</v>
      </c>
      <c r="AK1805">
        <v>0.56442795705511395</v>
      </c>
      <c r="AL1805">
        <v>80.647267682169499</v>
      </c>
      <c r="AM1805">
        <v>81.165872260125099</v>
      </c>
      <c r="AN1805">
        <v>0.99999995246404805</v>
      </c>
    </row>
    <row r="1806" spans="1:40" x14ac:dyDescent="0.25">
      <c r="A1806" t="str">
        <f>"20190312172927221"</f>
        <v>20190312172927221</v>
      </c>
      <c r="B1806" t="str">
        <f>"1552382967218937"</f>
        <v>1552382967218937</v>
      </c>
      <c r="C1806" t="s">
        <v>40</v>
      </c>
      <c r="D1806">
        <v>3.2802639999999998</v>
      </c>
      <c r="E1806">
        <v>0.46466020000000002</v>
      </c>
      <c r="F1806" t="s">
        <v>42</v>
      </c>
      <c r="G1806">
        <v>-213.93450000000001</v>
      </c>
      <c r="H1806">
        <v>1.0151539999999999</v>
      </c>
      <c r="I1806">
        <v>282.66559999999998</v>
      </c>
      <c r="J1806">
        <v>-213.37909999999999</v>
      </c>
      <c r="K1806">
        <v>1.108495</v>
      </c>
      <c r="L1806">
        <v>282.7047</v>
      </c>
      <c r="M1806">
        <v>-0.98684439999999995</v>
      </c>
      <c r="N1806">
        <v>0</v>
      </c>
      <c r="O1806">
        <v>-0.161500799999999</v>
      </c>
      <c r="P1806">
        <v>-0.98770219999999997</v>
      </c>
      <c r="Q1806">
        <v>0.15598699999999999</v>
      </c>
      <c r="R1806">
        <v>-1.06199E-2</v>
      </c>
      <c r="S1806">
        <v>-3.095383</v>
      </c>
      <c r="T1806">
        <v>-0.38912279999999999</v>
      </c>
      <c r="U1806">
        <v>-0.28250120000000001</v>
      </c>
      <c r="V1806">
        <v>0.14945999999999901</v>
      </c>
      <c r="W1806">
        <v>0.16288929999999999</v>
      </c>
      <c r="X1806">
        <v>0.97525830000000002</v>
      </c>
      <c r="Y1806">
        <v>6.9355260000000002E-2</v>
      </c>
      <c r="Z1806">
        <v>2.4411510000000001E-2</v>
      </c>
      <c r="AA1806">
        <v>0.99729330000000005</v>
      </c>
      <c r="AB1806">
        <v>19</v>
      </c>
      <c r="AC1806">
        <v>-0.55540000000001999</v>
      </c>
      <c r="AD1806">
        <v>-9.3340999999999896E-2</v>
      </c>
      <c r="AE1806">
        <v>-3.9100000000019002E-2</v>
      </c>
      <c r="AF1806">
        <v>4.9716071700572899E-2</v>
      </c>
      <c r="AG1806">
        <v>-9.3340999999999896E-2</v>
      </c>
      <c r="AH1806">
        <v>0.53926728733564799</v>
      </c>
      <c r="AI1806">
        <v>99.779283075647697</v>
      </c>
      <c r="AJ1806">
        <v>84.732682905347602</v>
      </c>
      <c r="AK1806">
        <v>0.54953929546183</v>
      </c>
      <c r="AL1806">
        <v>80.625358343295005</v>
      </c>
      <c r="AM1806">
        <v>81.287112460130004</v>
      </c>
      <c r="AN1806">
        <v>0.99999998368668896</v>
      </c>
    </row>
    <row r="1807" spans="1:40" x14ac:dyDescent="0.25">
      <c r="A1807" t="str">
        <f>"20190312172927245"</f>
        <v>20190312172927245</v>
      </c>
      <c r="B1807" t="str">
        <f>"1552382967239433"</f>
        <v>1552382967239433</v>
      </c>
      <c r="C1807" t="s">
        <v>40</v>
      </c>
      <c r="D1807">
        <v>3.2119360000000001</v>
      </c>
      <c r="E1807">
        <v>0.46372239999999998</v>
      </c>
      <c r="F1807" t="s">
        <v>42</v>
      </c>
      <c r="G1807">
        <v>-214.11109999999999</v>
      </c>
      <c r="H1807">
        <v>1.0290440000000001</v>
      </c>
      <c r="I1807">
        <v>282.63209999999998</v>
      </c>
      <c r="J1807">
        <v>-213.57210000000001</v>
      </c>
      <c r="K1807">
        <v>1.1084309999999999</v>
      </c>
      <c r="L1807">
        <v>282.6755</v>
      </c>
      <c r="M1807">
        <v>-0.98718150000000005</v>
      </c>
      <c r="N1807">
        <v>0</v>
      </c>
      <c r="O1807">
        <v>-0.1594315</v>
      </c>
      <c r="P1807">
        <v>-0.98762930000000004</v>
      </c>
      <c r="Q1807">
        <v>0.15648049999999999</v>
      </c>
      <c r="R1807">
        <v>-1.0107949999999999E-2</v>
      </c>
      <c r="S1807">
        <v>-3.0869749999999998</v>
      </c>
      <c r="T1807">
        <v>-0.33506639999999999</v>
      </c>
      <c r="U1807">
        <v>-0.3067627</v>
      </c>
      <c r="V1807">
        <v>0.147927</v>
      </c>
      <c r="W1807">
        <v>0.16327130000000001</v>
      </c>
      <c r="X1807">
        <v>0.97542819999999997</v>
      </c>
      <c r="Y1807">
        <v>5.9769179999999998E-2</v>
      </c>
      <c r="Z1807">
        <v>2.0349820000000001E-2</v>
      </c>
      <c r="AA1807">
        <v>0.99800480000000003</v>
      </c>
      <c r="AB1807">
        <v>19</v>
      </c>
      <c r="AC1807">
        <v>-0.53899999999998705</v>
      </c>
      <c r="AD1807">
        <v>-7.9386999999999805E-2</v>
      </c>
      <c r="AE1807">
        <v>-4.3400000000019603E-2</v>
      </c>
      <c r="AF1807">
        <v>4.2181909800014503E-2</v>
      </c>
      <c r="AG1807">
        <v>-7.9386999999999805E-2</v>
      </c>
      <c r="AH1807">
        <v>0.527652118619652</v>
      </c>
      <c r="AI1807">
        <v>98.529355028347396</v>
      </c>
      <c r="AJ1807">
        <v>85.429343646727204</v>
      </c>
      <c r="AK1807">
        <v>0.53525542273496296</v>
      </c>
      <c r="AL1807">
        <v>80.603174946061102</v>
      </c>
      <c r="AM1807">
        <v>81.376608852726406</v>
      </c>
      <c r="AN1807">
        <v>1.00000004404396</v>
      </c>
    </row>
    <row r="1808" spans="1:40" x14ac:dyDescent="0.25">
      <c r="A1808" t="str">
        <f>"20190312172927268"</f>
        <v>20190312172927268</v>
      </c>
      <c r="B1808" t="str">
        <f>"1552382967259141"</f>
        <v>1552382967259141</v>
      </c>
      <c r="C1808" t="s">
        <v>40</v>
      </c>
      <c r="D1808">
        <v>3.2548499999999998</v>
      </c>
      <c r="E1808">
        <v>0.4630319</v>
      </c>
      <c r="F1808" t="s">
        <v>42</v>
      </c>
      <c r="G1808">
        <v>-214.45140000000001</v>
      </c>
      <c r="H1808">
        <v>1.0183199999999999</v>
      </c>
      <c r="I1808">
        <v>282.58659999999998</v>
      </c>
      <c r="J1808">
        <v>-213.78229999999999</v>
      </c>
      <c r="K1808">
        <v>1.108352</v>
      </c>
      <c r="L1808">
        <v>282.64429999999999</v>
      </c>
      <c r="M1808">
        <v>-0.98755760000000004</v>
      </c>
      <c r="N1808">
        <v>0</v>
      </c>
      <c r="O1808">
        <v>-0.1570897</v>
      </c>
      <c r="P1808">
        <v>-0.98757260000000002</v>
      </c>
      <c r="Q1808">
        <v>0.15684629999999999</v>
      </c>
      <c r="R1808">
        <v>-1.000207E-2</v>
      </c>
      <c r="S1808">
        <v>-3.084457</v>
      </c>
      <c r="T1808">
        <v>-0.31606919999999999</v>
      </c>
      <c r="U1808">
        <v>-0.3123474</v>
      </c>
      <c r="V1808">
        <v>0.145733</v>
      </c>
      <c r="W1808">
        <v>0.16352159999999999</v>
      </c>
      <c r="X1808">
        <v>0.97571640000000004</v>
      </c>
      <c r="Y1808">
        <v>5.5702210000000002E-2</v>
      </c>
      <c r="Z1808">
        <v>1.8772569999999999E-2</v>
      </c>
      <c r="AA1808">
        <v>0.99827089999999996</v>
      </c>
      <c r="AB1808">
        <v>19</v>
      </c>
      <c r="AC1808">
        <v>-0.66910000000001402</v>
      </c>
      <c r="AD1808">
        <v>-9.0031999999999807E-2</v>
      </c>
      <c r="AE1808">
        <v>-5.7700000000011097E-2</v>
      </c>
      <c r="AF1808">
        <v>4.7278235821325003E-2</v>
      </c>
      <c r="AG1808">
        <v>-9.0031999999999807E-2</v>
      </c>
      <c r="AH1808">
        <v>0.65803049488405696</v>
      </c>
      <c r="AI1808">
        <v>97.771071501893701</v>
      </c>
      <c r="AJ1808">
        <v>85.890469165434794</v>
      </c>
      <c r="AK1808">
        <v>0.66584166646713605</v>
      </c>
      <c r="AL1808">
        <v>80.588637623891302</v>
      </c>
      <c r="AM1808">
        <v>81.505100234106195</v>
      </c>
      <c r="AN1808">
        <v>0.99999995709225897</v>
      </c>
    </row>
    <row r="1809" spans="1:40" x14ac:dyDescent="0.25">
      <c r="A1809" t="str">
        <f>"20190312172927291"</f>
        <v>20190312172927291</v>
      </c>
      <c r="B1809" t="str">
        <f>"1552382967289398"</f>
        <v>1552382967289398</v>
      </c>
      <c r="C1809" t="s">
        <v>40</v>
      </c>
      <c r="D1809">
        <v>3.2435480000000001</v>
      </c>
      <c r="E1809">
        <v>0.46198899999999998</v>
      </c>
      <c r="F1809" t="s">
        <v>42</v>
      </c>
      <c r="G1809">
        <v>-214.62799999999999</v>
      </c>
      <c r="H1809">
        <v>1.0255369999999999</v>
      </c>
      <c r="I1809">
        <v>282.55739999999997</v>
      </c>
      <c r="J1809">
        <v>-213.97640000000001</v>
      </c>
      <c r="K1809">
        <v>1.108279</v>
      </c>
      <c r="L1809">
        <v>282.61599999999999</v>
      </c>
      <c r="M1809">
        <v>-0.98791090000000004</v>
      </c>
      <c r="N1809">
        <v>0</v>
      </c>
      <c r="O1809">
        <v>-0.15485579999999999</v>
      </c>
      <c r="P1809">
        <v>-0.98750389999999999</v>
      </c>
      <c r="Q1809">
        <v>0.15730529999999901</v>
      </c>
      <c r="R1809">
        <v>-9.5374259999999999E-3</v>
      </c>
      <c r="S1809">
        <v>-3.0824739999999999</v>
      </c>
      <c r="T1809">
        <v>-0.3018209</v>
      </c>
      <c r="U1809">
        <v>-0.31698609999999999</v>
      </c>
      <c r="V1809">
        <v>0.14399709999999999</v>
      </c>
      <c r="W1809">
        <v>0.1638801</v>
      </c>
      <c r="X1809">
        <v>0.97591399999999995</v>
      </c>
      <c r="Y1809">
        <v>5.2015310000000002E-2</v>
      </c>
      <c r="Z1809">
        <v>1.7545640000000001E-2</v>
      </c>
      <c r="AA1809">
        <v>0.99849209999999999</v>
      </c>
      <c r="AB1809">
        <v>19</v>
      </c>
      <c r="AC1809">
        <v>-0.65159999999997298</v>
      </c>
      <c r="AD1809">
        <v>-8.2741999999999802E-2</v>
      </c>
      <c r="AE1809">
        <v>-5.86000000000126E-2</v>
      </c>
      <c r="AF1809">
        <v>4.2336391317620202E-2</v>
      </c>
      <c r="AG1809">
        <v>-8.2741999999999802E-2</v>
      </c>
      <c r="AH1809">
        <v>0.64253663407724804</v>
      </c>
      <c r="AI1809">
        <v>97.322118882899105</v>
      </c>
      <c r="AJ1809">
        <v>86.230261114618997</v>
      </c>
      <c r="AK1809">
        <v>0.64922410208272296</v>
      </c>
      <c r="AL1809">
        <v>80.567816553869804</v>
      </c>
      <c r="AM1809">
        <v>81.606512373838697</v>
      </c>
      <c r="AN1809">
        <v>0.99999999369020998</v>
      </c>
    </row>
    <row r="1810" spans="1:40" x14ac:dyDescent="0.25">
      <c r="A1810" t="str">
        <f>"20190312172927312"</f>
        <v>20190312172927312</v>
      </c>
      <c r="B1810" t="str">
        <f>"1552382967308917"</f>
        <v>1552382967308917</v>
      </c>
      <c r="C1810" t="s">
        <v>40</v>
      </c>
      <c r="D1810">
        <v>3.2575959999999999</v>
      </c>
      <c r="E1810">
        <v>0.46165400000000001</v>
      </c>
      <c r="F1810" t="s">
        <v>42</v>
      </c>
      <c r="G1810">
        <v>-214.8047</v>
      </c>
      <c r="H1810">
        <v>1.030937</v>
      </c>
      <c r="I1810">
        <v>282.52929999999998</v>
      </c>
      <c r="J1810">
        <v>-214.16560000000001</v>
      </c>
      <c r="K1810">
        <v>1.1082000000000001</v>
      </c>
      <c r="L1810">
        <v>282.589</v>
      </c>
      <c r="M1810">
        <v>-0.98826179999999997</v>
      </c>
      <c r="N1810">
        <v>0</v>
      </c>
      <c r="O1810">
        <v>-0.15260470000000001</v>
      </c>
      <c r="P1810">
        <v>-0.98745380000000005</v>
      </c>
      <c r="Q1810">
        <v>0.15767039999999999</v>
      </c>
      <c r="R1810">
        <v>-8.6762379999999993E-3</v>
      </c>
      <c r="S1810">
        <v>-3.080673</v>
      </c>
      <c r="T1810">
        <v>-0.2877557</v>
      </c>
      <c r="U1810">
        <v>-0.32330320000000001</v>
      </c>
      <c r="V1810">
        <v>0.1426386</v>
      </c>
      <c r="W1810">
        <v>0.1641492</v>
      </c>
      <c r="X1810">
        <v>0.9760683</v>
      </c>
      <c r="Y1810">
        <v>4.7769649999999997E-2</v>
      </c>
      <c r="Z1810">
        <v>1.6335099999999901E-2</v>
      </c>
      <c r="AA1810">
        <v>0.99872479999999997</v>
      </c>
      <c r="AB1810">
        <v>20</v>
      </c>
      <c r="AC1810">
        <v>-0.63909999999998401</v>
      </c>
      <c r="AD1810">
        <v>-7.7262999999999998E-2</v>
      </c>
      <c r="AE1810">
        <v>-5.9700000000020702E-2</v>
      </c>
      <c r="AF1810">
        <v>3.7981105189128901E-2</v>
      </c>
      <c r="AG1810">
        <v>-7.7262999999999998E-2</v>
      </c>
      <c r="AH1810">
        <v>0.63157402226366999</v>
      </c>
      <c r="AI1810">
        <v>96.962114838579794</v>
      </c>
      <c r="AJ1810">
        <v>86.558535843479106</v>
      </c>
      <c r="AK1810">
        <v>0.63741499913219701</v>
      </c>
      <c r="AL1810">
        <v>80.552186925783502</v>
      </c>
      <c r="AM1810">
        <v>81.685882099565305</v>
      </c>
      <c r="AN1810">
        <v>1.0000000281677399</v>
      </c>
    </row>
    <row r="1811" spans="1:40" x14ac:dyDescent="0.25">
      <c r="A1811" t="str">
        <f>"20190312172927335"</f>
        <v>20190312172927335</v>
      </c>
      <c r="B1811" t="str">
        <f>"1552382967329413"</f>
        <v>1552382967329413</v>
      </c>
      <c r="C1811" t="s">
        <v>40</v>
      </c>
      <c r="D1811">
        <v>3.3896259999999998</v>
      </c>
      <c r="E1811">
        <v>0.46138980000000002</v>
      </c>
      <c r="F1811" t="s">
        <v>42</v>
      </c>
      <c r="G1811">
        <v>-214.9812</v>
      </c>
      <c r="H1811">
        <v>1.033493</v>
      </c>
      <c r="I1811">
        <v>282.5034</v>
      </c>
      <c r="J1811">
        <v>-214.36150000000001</v>
      </c>
      <c r="K1811">
        <v>1.1081219999999901</v>
      </c>
      <c r="L1811">
        <v>282.56150000000002</v>
      </c>
      <c r="M1811">
        <v>-0.98863290000000004</v>
      </c>
      <c r="N1811">
        <v>0</v>
      </c>
      <c r="O1811">
        <v>-0.1501865</v>
      </c>
      <c r="P1811">
        <v>-0.98742540000000001</v>
      </c>
      <c r="Q1811">
        <v>0.15786120000000001</v>
      </c>
      <c r="R1811">
        <v>-8.4194339999999999E-3</v>
      </c>
      <c r="S1811">
        <v>-3.0803530000000001</v>
      </c>
      <c r="T1811">
        <v>-0.28218670000000001</v>
      </c>
      <c r="U1811">
        <v>-0.32293699999999997</v>
      </c>
      <c r="V1811">
        <v>0.14052229999999999</v>
      </c>
      <c r="W1811">
        <v>0.16424459999999999</v>
      </c>
      <c r="X1811">
        <v>0.97635910000000004</v>
      </c>
      <c r="Y1811">
        <v>4.548427E-2</v>
      </c>
      <c r="Z1811">
        <v>1.5700209999999999E-2</v>
      </c>
      <c r="AA1811">
        <v>0.9988416</v>
      </c>
      <c r="AB1811">
        <v>20</v>
      </c>
      <c r="AC1811">
        <v>-0.61969999999999403</v>
      </c>
      <c r="AD1811">
        <v>-7.4628999999999807E-2</v>
      </c>
      <c r="AE1811">
        <v>-5.8100000000024403E-2</v>
      </c>
      <c r="AF1811">
        <v>3.5126876057048902E-2</v>
      </c>
      <c r="AG1811">
        <v>-7.4628999999999807E-2</v>
      </c>
      <c r="AH1811">
        <v>0.61259000356347704</v>
      </c>
      <c r="AI1811">
        <v>96.934571939746604</v>
      </c>
      <c r="AJ1811">
        <v>86.718163528182401</v>
      </c>
      <c r="AK1811">
        <v>0.61811802880067201</v>
      </c>
      <c r="AL1811">
        <v>80.546644943487905</v>
      </c>
      <c r="AM1811">
        <v>81.809957145094998</v>
      </c>
      <c r="AN1811">
        <v>0.99999994878962795</v>
      </c>
    </row>
    <row r="1812" spans="1:40" x14ac:dyDescent="0.25">
      <c r="A1812" t="str">
        <f>"20190312172927368"</f>
        <v>20190312172927368</v>
      </c>
      <c r="B1812" t="str">
        <f>"1552382967358692"</f>
        <v>1552382967358692</v>
      </c>
      <c r="C1812" t="s">
        <v>40</v>
      </c>
      <c r="D1812">
        <v>3.216974</v>
      </c>
      <c r="E1812">
        <v>0.4609568</v>
      </c>
      <c r="F1812" t="s">
        <v>42</v>
      </c>
      <c r="G1812">
        <v>-215.1583</v>
      </c>
      <c r="H1812">
        <v>1.035161</v>
      </c>
      <c r="I1812">
        <v>282.47789999999998</v>
      </c>
      <c r="J1812">
        <v>-214.6498</v>
      </c>
      <c r="K1812">
        <v>1.1080139999999901</v>
      </c>
      <c r="L1812">
        <v>282.52210000000002</v>
      </c>
      <c r="M1812">
        <v>-0.98919170000000001</v>
      </c>
      <c r="N1812">
        <v>0</v>
      </c>
      <c r="O1812">
        <v>-0.14646609999999999</v>
      </c>
      <c r="P1812">
        <v>-0.98752969999999896</v>
      </c>
      <c r="Q1812">
        <v>0.15729479999999901</v>
      </c>
      <c r="R1812">
        <v>-6.62205E-3</v>
      </c>
      <c r="S1812">
        <v>-3.0805359999999999</v>
      </c>
      <c r="T1812">
        <v>-0.28206690000000001</v>
      </c>
      <c r="U1812">
        <v>-0.32385249999999999</v>
      </c>
      <c r="V1812">
        <v>0.13867189999999999</v>
      </c>
      <c r="W1812">
        <v>0.16353670000000001</v>
      </c>
      <c r="X1812">
        <v>0.97674249999999996</v>
      </c>
      <c r="Y1812">
        <v>4.1470600000000003E-2</v>
      </c>
      <c r="Z1812">
        <v>1.517459E-2</v>
      </c>
      <c r="AA1812">
        <v>0.99902449999999998</v>
      </c>
      <c r="AB1812">
        <v>20</v>
      </c>
      <c r="AC1812">
        <v>-0.50849999999999795</v>
      </c>
      <c r="AD1812">
        <v>-7.2852999999999807E-2</v>
      </c>
      <c r="AE1812">
        <v>-4.4200000000046202E-2</v>
      </c>
      <c r="AF1812">
        <v>3.0142393171225499E-2</v>
      </c>
      <c r="AG1812">
        <v>-7.2852999999999807E-2</v>
      </c>
      <c r="AH1812">
        <v>0.49931753335013901</v>
      </c>
      <c r="AI1812">
        <v>98.2862993789402</v>
      </c>
      <c r="AJ1812">
        <v>86.545407497922099</v>
      </c>
      <c r="AK1812">
        <v>0.50550383043648295</v>
      </c>
      <c r="AL1812">
        <v>80.587761341859803</v>
      </c>
      <c r="AM1812">
        <v>81.919500149180706</v>
      </c>
      <c r="AN1812">
        <v>1.00000002970137</v>
      </c>
    </row>
    <row r="1813" spans="1:40" x14ac:dyDescent="0.25">
      <c r="A1813" t="str">
        <f>"20190312172927389"</f>
        <v>20190312172927389</v>
      </c>
      <c r="B1813" t="str">
        <f>"1552382967379188"</f>
        <v>1552382967379188</v>
      </c>
      <c r="C1813" t="s">
        <v>40</v>
      </c>
      <c r="D1813">
        <v>3.24457</v>
      </c>
      <c r="E1813">
        <v>0.46085159999999997</v>
      </c>
      <c r="F1813" t="s">
        <v>42</v>
      </c>
      <c r="G1813">
        <v>-215.51089999999999</v>
      </c>
      <c r="H1813">
        <v>1.028562</v>
      </c>
      <c r="I1813">
        <v>282.4323</v>
      </c>
      <c r="J1813">
        <v>-214.85079999999999</v>
      </c>
      <c r="K1813">
        <v>1.107942</v>
      </c>
      <c r="L1813">
        <v>282.49540000000002</v>
      </c>
      <c r="M1813">
        <v>-0.98958749999999995</v>
      </c>
      <c r="N1813">
        <v>0</v>
      </c>
      <c r="O1813">
        <v>-0.1437715</v>
      </c>
      <c r="P1813">
        <v>-0.98767499999999997</v>
      </c>
      <c r="Q1813">
        <v>0.15644169999999999</v>
      </c>
      <c r="R1813">
        <v>-4.9303699999999999E-3</v>
      </c>
      <c r="S1813">
        <v>-3.0810089999999999</v>
      </c>
      <c r="T1813">
        <v>-0.284253599999999</v>
      </c>
      <c r="U1813">
        <v>-0.32196039999999998</v>
      </c>
      <c r="V1813">
        <v>0.13772390000000001</v>
      </c>
      <c r="W1813">
        <v>0.1625925</v>
      </c>
      <c r="X1813">
        <v>0.97703419999999996</v>
      </c>
      <c r="Y1813">
        <v>3.9380129999999999E-2</v>
      </c>
      <c r="Z1813">
        <v>1.4949580000000001E-2</v>
      </c>
      <c r="AA1813">
        <v>0.99911249999999996</v>
      </c>
      <c r="AB1813">
        <v>20</v>
      </c>
      <c r="AC1813">
        <v>-0.66009999999999902</v>
      </c>
      <c r="AD1813">
        <v>-7.9379999999999895E-2</v>
      </c>
      <c r="AE1813">
        <v>-6.3100000000019904E-2</v>
      </c>
      <c r="AF1813">
        <v>3.2002742249661403E-2</v>
      </c>
      <c r="AG1813">
        <v>-7.9379999999999895E-2</v>
      </c>
      <c r="AH1813">
        <v>0.65295702970050795</v>
      </c>
      <c r="AI1813">
        <v>96.923205896125495</v>
      </c>
      <c r="AJ1813">
        <v>87.194063523170499</v>
      </c>
      <c r="AK1813">
        <v>0.65854251384918805</v>
      </c>
      <c r="AL1813">
        <v>80.642593751844601</v>
      </c>
      <c r="AM1813">
        <v>81.976383484454402</v>
      </c>
      <c r="AN1813">
        <v>1.0000000108285401</v>
      </c>
    </row>
    <row r="1814" spans="1:40" x14ac:dyDescent="0.25">
      <c r="A1814" t="str">
        <f>"20190312172927411"</f>
        <v>20190312172927411</v>
      </c>
      <c r="B1814" t="str">
        <f>"1552382967399684"</f>
        <v>1552382967399684</v>
      </c>
      <c r="C1814" t="s">
        <v>40</v>
      </c>
      <c r="D1814">
        <v>3.4152330000000002</v>
      </c>
      <c r="E1814">
        <v>0.46080330000000003</v>
      </c>
      <c r="F1814" t="s">
        <v>42</v>
      </c>
      <c r="G1814">
        <v>-215.69069999999999</v>
      </c>
      <c r="H1814">
        <v>1.029757</v>
      </c>
      <c r="I1814">
        <v>282.40879999999999</v>
      </c>
      <c r="J1814">
        <v>-215.04169999999999</v>
      </c>
      <c r="K1814">
        <v>1.107874</v>
      </c>
      <c r="L1814">
        <v>282.47059999999999</v>
      </c>
      <c r="M1814">
        <v>-0.98996419999999996</v>
      </c>
      <c r="N1814">
        <v>0</v>
      </c>
      <c r="O1814">
        <v>-0.14115849999999999</v>
      </c>
      <c r="P1814">
        <v>-0.98765119999999895</v>
      </c>
      <c r="Q1814">
        <v>0.15664049999999999</v>
      </c>
      <c r="R1814">
        <v>-3.0088039999999999E-3</v>
      </c>
      <c r="S1814">
        <v>-3.0812680000000001</v>
      </c>
      <c r="T1814">
        <v>-0.28678179999999998</v>
      </c>
      <c r="U1814">
        <v>-0.3175964</v>
      </c>
      <c r="V1814">
        <v>0.1370604</v>
      </c>
      <c r="W1814">
        <v>0.16271060000000001</v>
      </c>
      <c r="X1814">
        <v>0.97710779999999997</v>
      </c>
      <c r="Y1814">
        <v>3.8153289999999999E-2</v>
      </c>
      <c r="Z1814">
        <v>1.478603E-2</v>
      </c>
      <c r="AA1814">
        <v>0.99916249999999995</v>
      </c>
      <c r="AB1814">
        <v>20</v>
      </c>
      <c r="AC1814">
        <v>-0.64900000000000002</v>
      </c>
      <c r="AD1814">
        <v>-7.8116999999999895E-2</v>
      </c>
      <c r="AE1814">
        <v>-6.1800000000005101E-2</v>
      </c>
      <c r="AF1814">
        <v>3.00020096218486E-2</v>
      </c>
      <c r="AG1814">
        <v>-7.8116999999999895E-2</v>
      </c>
      <c r="AH1814">
        <v>0.64200738825938997</v>
      </c>
      <c r="AI1814">
        <v>96.929939557628103</v>
      </c>
      <c r="AJ1814">
        <v>87.3244251308234</v>
      </c>
      <c r="AK1814">
        <v>0.64743792972762404</v>
      </c>
      <c r="AL1814">
        <v>80.635735436740404</v>
      </c>
      <c r="AM1814">
        <v>82.015132067350805</v>
      </c>
      <c r="AN1814">
        <v>0.99999997271067897</v>
      </c>
    </row>
    <row r="1815" spans="1:40" x14ac:dyDescent="0.25">
      <c r="A1815" t="str">
        <f>"20190312172927433"</f>
        <v>20190312172927433</v>
      </c>
      <c r="B1815" t="str">
        <f>"1552382967428964"</f>
        <v>1552382967428964</v>
      </c>
      <c r="C1815" t="s">
        <v>40</v>
      </c>
      <c r="D1815">
        <v>3.4333999999999998</v>
      </c>
      <c r="E1815">
        <v>0.46053709999999998</v>
      </c>
      <c r="F1815" t="s">
        <v>42</v>
      </c>
      <c r="G1815">
        <v>-215.87139999999999</v>
      </c>
      <c r="H1815">
        <v>1.030991</v>
      </c>
      <c r="I1815">
        <v>282.38630000000001</v>
      </c>
      <c r="J1815">
        <v>-215.245</v>
      </c>
      <c r="K1815">
        <v>1.107815</v>
      </c>
      <c r="L1815">
        <v>282.44490000000002</v>
      </c>
      <c r="M1815">
        <v>-0.99036469999999999</v>
      </c>
      <c r="N1815">
        <v>0</v>
      </c>
      <c r="O1815">
        <v>-0.13832369999999999</v>
      </c>
      <c r="P1815">
        <v>-0.98773529999999998</v>
      </c>
      <c r="Q1815">
        <v>0.15613079999999999</v>
      </c>
      <c r="R1815">
        <v>-1.6032760000000001E-3</v>
      </c>
      <c r="S1815">
        <v>-3.081833</v>
      </c>
      <c r="T1815">
        <v>-0.28545710000000002</v>
      </c>
      <c r="U1815">
        <v>-0.31411739999999999</v>
      </c>
      <c r="V1815">
        <v>0.1356783</v>
      </c>
      <c r="W1815">
        <v>0.16212199999999999</v>
      </c>
      <c r="X1815">
        <v>0.97739849999999995</v>
      </c>
      <c r="Y1815">
        <v>3.6453399999999997E-2</v>
      </c>
      <c r="Z1815">
        <v>1.4379619999999999E-2</v>
      </c>
      <c r="AA1815">
        <v>0.99923189999999995</v>
      </c>
      <c r="AB1815">
        <v>20</v>
      </c>
      <c r="AC1815">
        <v>-0.62639999999998897</v>
      </c>
      <c r="AD1815">
        <v>-7.6824000000000003E-2</v>
      </c>
      <c r="AE1815">
        <v>-5.86000000000126E-2</v>
      </c>
      <c r="AF1815">
        <v>2.8190874774169799E-2</v>
      </c>
      <c r="AG1815">
        <v>-7.6824000000000003E-2</v>
      </c>
      <c r="AH1815">
        <v>0.61925051339117598</v>
      </c>
      <c r="AI1815">
        <v>97.064718049296999</v>
      </c>
      <c r="AJ1815">
        <v>87.393455999616407</v>
      </c>
      <c r="AK1815">
        <v>0.62463417352220496</v>
      </c>
      <c r="AL1815">
        <v>80.669913663861806</v>
      </c>
      <c r="AM1815">
        <v>82.096948916357803</v>
      </c>
      <c r="AN1815">
        <v>0.99999998588856998</v>
      </c>
    </row>
    <row r="1816" spans="1:40" x14ac:dyDescent="0.25">
      <c r="A1816" t="str">
        <f>"20190312172927458"</f>
        <v>20190312172927458</v>
      </c>
      <c r="B1816" t="str">
        <f>"1552382967449461"</f>
        <v>1552382967449461</v>
      </c>
      <c r="C1816" t="s">
        <v>40</v>
      </c>
      <c r="D1816">
        <v>3.2282950000000001</v>
      </c>
      <c r="E1816">
        <v>0.46043129999999999</v>
      </c>
      <c r="F1816" t="s">
        <v>42</v>
      </c>
      <c r="G1816">
        <v>-216.0531</v>
      </c>
      <c r="H1816">
        <v>1.032454</v>
      </c>
      <c r="I1816">
        <v>282.36290000000002</v>
      </c>
      <c r="J1816">
        <v>-215.46279999999999</v>
      </c>
      <c r="K1816">
        <v>1.1077629999999901</v>
      </c>
      <c r="L1816">
        <v>282.41809999999998</v>
      </c>
      <c r="M1816">
        <v>-0.99079070000000002</v>
      </c>
      <c r="N1816">
        <v>0</v>
      </c>
      <c r="O1816">
        <v>-0.13524169999999999</v>
      </c>
      <c r="P1816">
        <v>-0.98776520000000001</v>
      </c>
      <c r="Q1816">
        <v>0.15594829999999901</v>
      </c>
      <c r="R1816">
        <v>-1.06574E-4</v>
      </c>
      <c r="S1816">
        <v>-3.082214</v>
      </c>
      <c r="T1816">
        <v>-0.28743950000000001</v>
      </c>
      <c r="U1816">
        <v>-0.3129883</v>
      </c>
      <c r="V1816">
        <v>0.13413349999999999</v>
      </c>
      <c r="W1816">
        <v>0.1618571</v>
      </c>
      <c r="X1816">
        <v>0.97765559999999996</v>
      </c>
      <c r="Y1816">
        <v>3.3733239999999998E-2</v>
      </c>
      <c r="Z1816">
        <v>1.406832E-2</v>
      </c>
      <c r="AA1816">
        <v>0.99933179999999999</v>
      </c>
      <c r="AB1816">
        <v>20</v>
      </c>
      <c r="AC1816">
        <v>-0.59030000000001304</v>
      </c>
      <c r="AD1816">
        <v>-7.5308999999999807E-2</v>
      </c>
      <c r="AE1816">
        <v>-5.5199999999956603E-2</v>
      </c>
      <c r="AF1816">
        <v>2.47428512291951E-2</v>
      </c>
      <c r="AG1816">
        <v>-7.5308999999999807E-2</v>
      </c>
      <c r="AH1816">
        <v>0.58293633132150302</v>
      </c>
      <c r="AI1816">
        <v>97.354666977985204</v>
      </c>
      <c r="AJ1816">
        <v>87.569527852215799</v>
      </c>
      <c r="AK1816">
        <v>0.58830130081661602</v>
      </c>
      <c r="AL1816">
        <v>80.685294538616901</v>
      </c>
      <c r="AM1816">
        <v>82.187842759325406</v>
      </c>
      <c r="AN1816">
        <v>0.99999999442700904</v>
      </c>
    </row>
    <row r="1817" spans="1:40" x14ac:dyDescent="0.25">
      <c r="A1817" t="str">
        <f>"20190312172927480"</f>
        <v>20190312172927480</v>
      </c>
      <c r="B1817" t="str">
        <f>"1552382967468980"</f>
        <v>1552382967468980</v>
      </c>
      <c r="C1817" t="s">
        <v>40</v>
      </c>
      <c r="D1817">
        <v>3.4018799999999998</v>
      </c>
      <c r="E1817">
        <v>0.46039910000000001</v>
      </c>
      <c r="F1817" t="s">
        <v>42</v>
      </c>
      <c r="G1817">
        <v>-216.23679999999999</v>
      </c>
      <c r="H1817">
        <v>1.035809</v>
      </c>
      <c r="I1817">
        <v>282.34039999999999</v>
      </c>
      <c r="J1817">
        <v>-215.67160000000001</v>
      </c>
      <c r="K1817">
        <v>1.10772</v>
      </c>
      <c r="L1817">
        <v>282.3929</v>
      </c>
      <c r="M1817">
        <v>-0.99119380000000001</v>
      </c>
      <c r="N1817">
        <v>0</v>
      </c>
      <c r="O1817">
        <v>-0.13225990000000001</v>
      </c>
      <c r="P1817">
        <v>-0.98775670000000004</v>
      </c>
      <c r="Q1817">
        <v>0.15599350000000001</v>
      </c>
      <c r="R1817">
        <v>1.7434550000000001E-3</v>
      </c>
      <c r="S1817">
        <v>-3.0823670000000001</v>
      </c>
      <c r="T1817">
        <v>-0.28651880000000002</v>
      </c>
      <c r="U1817">
        <v>-0.30950929999999999</v>
      </c>
      <c r="V1817">
        <v>0.1330306</v>
      </c>
      <c r="W1817">
        <v>0.16182829999999901</v>
      </c>
      <c r="X1817">
        <v>0.97781099999999999</v>
      </c>
      <c r="Y1817">
        <v>3.1872480000000002E-2</v>
      </c>
      <c r="Z1817">
        <v>1.3664620000000001E-2</v>
      </c>
      <c r="AA1817">
        <v>0.99939849999999997</v>
      </c>
      <c r="AB1817">
        <v>20</v>
      </c>
      <c r="AC1817">
        <v>-0.56519999999997494</v>
      </c>
      <c r="AD1817">
        <v>-7.1911000000000003E-2</v>
      </c>
      <c r="AE1817">
        <v>-5.2500000000008998E-2</v>
      </c>
      <c r="AF1817">
        <v>2.2357281888165499E-2</v>
      </c>
      <c r="AG1817">
        <v>-7.1911000000000003E-2</v>
      </c>
      <c r="AH1817">
        <v>0.55821932659130602</v>
      </c>
      <c r="AI1817">
        <v>97.334720189068506</v>
      </c>
      <c r="AJ1817">
        <v>87.706468484390896</v>
      </c>
      <c r="AK1817">
        <v>0.56327600388661803</v>
      </c>
      <c r="AL1817">
        <v>80.686966241921596</v>
      </c>
      <c r="AM1817">
        <v>82.252510453129901</v>
      </c>
      <c r="AN1817">
        <v>0.99999994546912296</v>
      </c>
    </row>
    <row r="1818" spans="1:40" x14ac:dyDescent="0.25">
      <c r="A1818" t="str">
        <f>"20190312172927500"</f>
        <v>20190312172927500</v>
      </c>
      <c r="B1818" t="str">
        <f>"1552382967489477"</f>
        <v>1552382967489477</v>
      </c>
      <c r="C1818" t="s">
        <v>40</v>
      </c>
      <c r="D1818">
        <v>3.2886039999999999</v>
      </c>
      <c r="E1818">
        <v>0.46038249999999997</v>
      </c>
      <c r="F1818" t="s">
        <v>42</v>
      </c>
      <c r="G1818">
        <v>-216.4211</v>
      </c>
      <c r="H1818">
        <v>1.038319</v>
      </c>
      <c r="I1818">
        <v>282.31900000000002</v>
      </c>
      <c r="J1818">
        <v>-215.85640000000001</v>
      </c>
      <c r="K1818">
        <v>1.107701</v>
      </c>
      <c r="L1818">
        <v>282.37130000000002</v>
      </c>
      <c r="M1818">
        <v>-0.99154370000000003</v>
      </c>
      <c r="N1818">
        <v>0</v>
      </c>
      <c r="O1818">
        <v>-0.1296129</v>
      </c>
      <c r="P1818">
        <v>-0.98774830000000002</v>
      </c>
      <c r="Q1818">
        <v>0.1560279</v>
      </c>
      <c r="R1818">
        <v>2.885547E-3</v>
      </c>
      <c r="S1818">
        <v>-3.0828250000000001</v>
      </c>
      <c r="T1818">
        <v>-0.28553959999999901</v>
      </c>
      <c r="U1818">
        <v>-0.30435180000000001</v>
      </c>
      <c r="V1818">
        <v>0.1315537</v>
      </c>
      <c r="W1818">
        <v>0.16180530000000001</v>
      </c>
      <c r="X1818">
        <v>0.97801459999999996</v>
      </c>
      <c r="Y1818">
        <v>3.0894040000000001E-2</v>
      </c>
      <c r="Z1818">
        <v>1.333077E-2</v>
      </c>
      <c r="AA1818">
        <v>0.99943380000000004</v>
      </c>
      <c r="AB1818">
        <v>20</v>
      </c>
      <c r="AC1818">
        <v>-0.56469999999998699</v>
      </c>
      <c r="AD1818">
        <v>-6.9381999999999999E-2</v>
      </c>
      <c r="AE1818">
        <v>-5.23000000000024E-2</v>
      </c>
      <c r="AF1818">
        <v>2.1020488986358301E-2</v>
      </c>
      <c r="AG1818">
        <v>-6.9381999999999999E-2</v>
      </c>
      <c r="AH1818">
        <v>0.55835805262186899</v>
      </c>
      <c r="AI1818">
        <v>97.078345900602898</v>
      </c>
      <c r="AJ1818">
        <v>87.844005669066405</v>
      </c>
      <c r="AK1818">
        <v>0.56304479200940205</v>
      </c>
      <c r="AL1818">
        <v>80.688301634888404</v>
      </c>
      <c r="AM1818">
        <v>82.339071424249994</v>
      </c>
      <c r="AN1818">
        <v>0.99999994445246798</v>
      </c>
    </row>
    <row r="1819" spans="1:40" x14ac:dyDescent="0.25">
      <c r="A1819" t="str">
        <f>"20190312172927524"</f>
        <v>20190312172927524</v>
      </c>
      <c r="B1819" t="str">
        <f>"1552382967519733"</f>
        <v>1552382967519733</v>
      </c>
      <c r="C1819" t="s">
        <v>40</v>
      </c>
      <c r="D1819">
        <v>3.1909429999999999</v>
      </c>
      <c r="E1819">
        <v>0.46042379999999999</v>
      </c>
      <c r="F1819" t="s">
        <v>42</v>
      </c>
      <c r="G1819">
        <v>-216.6052</v>
      </c>
      <c r="H1819">
        <v>1.038567</v>
      </c>
      <c r="I1819">
        <v>282.29820000000001</v>
      </c>
      <c r="J1819">
        <v>-216.07089999999999</v>
      </c>
      <c r="K1819">
        <v>1.1076779999999999</v>
      </c>
      <c r="L1819">
        <v>282.3467</v>
      </c>
      <c r="M1819">
        <v>-0.99194099999999996</v>
      </c>
      <c r="N1819">
        <v>0</v>
      </c>
      <c r="O1819">
        <v>-0.12653989999999901</v>
      </c>
      <c r="P1819">
        <v>-0.98786399999999996</v>
      </c>
      <c r="Q1819">
        <v>0.1552529</v>
      </c>
      <c r="R1819">
        <v>4.6271609999999899E-3</v>
      </c>
      <c r="S1819">
        <v>-3.0830380000000002</v>
      </c>
      <c r="T1819">
        <v>-0.28459269999999998</v>
      </c>
      <c r="U1819">
        <v>-0.30148320000000001</v>
      </c>
      <c r="V1819">
        <v>0.13026260000000001</v>
      </c>
      <c r="W1819">
        <v>0.16096759999999999</v>
      </c>
      <c r="X1819">
        <v>0.97832569999999996</v>
      </c>
      <c r="Y1819">
        <v>2.8750810000000002E-2</v>
      </c>
      <c r="Z1819">
        <v>1.2908360000000001E-2</v>
      </c>
      <c r="AA1819">
        <v>0.99950329999999998</v>
      </c>
      <c r="AB1819">
        <v>21</v>
      </c>
      <c r="AC1819">
        <v>-0.534300000000001</v>
      </c>
      <c r="AD1819">
        <v>-6.9111000000000103E-2</v>
      </c>
      <c r="AE1819">
        <v>-4.8499999999990002E-2</v>
      </c>
      <c r="AF1819">
        <v>1.9183194384472298E-2</v>
      </c>
      <c r="AG1819">
        <v>-6.9111000000000103E-2</v>
      </c>
      <c r="AH1819">
        <v>0.52739047260671701</v>
      </c>
      <c r="AI1819">
        <v>97.460810554523206</v>
      </c>
      <c r="AJ1819">
        <v>87.916853284923704</v>
      </c>
      <c r="AK1819">
        <v>0.53224527791623399</v>
      </c>
      <c r="AL1819">
        <v>80.736936778074295</v>
      </c>
      <c r="AM1819">
        <v>82.415762041327596</v>
      </c>
      <c r="AN1819">
        <v>1.0000000442445001</v>
      </c>
    </row>
    <row r="1820" spans="1:40" x14ac:dyDescent="0.25">
      <c r="A1820" t="str">
        <f>"20190312172927545"</f>
        <v>20190312172927545</v>
      </c>
      <c r="B1820" t="str">
        <f>"1552382967539253"</f>
        <v>1552382967539253</v>
      </c>
      <c r="C1820" t="s">
        <v>40</v>
      </c>
      <c r="D1820">
        <v>3.3393929999999998</v>
      </c>
      <c r="E1820">
        <v>0.46036680000000002</v>
      </c>
      <c r="F1820" t="s">
        <v>42</v>
      </c>
      <c r="G1820">
        <v>-216.96950000000001</v>
      </c>
      <c r="H1820">
        <v>1.024051</v>
      </c>
      <c r="I1820">
        <v>282.26069999999999</v>
      </c>
      <c r="J1820">
        <v>-216.268</v>
      </c>
      <c r="K1820">
        <v>1.107658</v>
      </c>
      <c r="L1820">
        <v>282.32479999999998</v>
      </c>
      <c r="M1820">
        <v>-0.99229650000000003</v>
      </c>
      <c r="N1820">
        <v>0</v>
      </c>
      <c r="O1820">
        <v>-0.1237249</v>
      </c>
      <c r="P1820">
        <v>-0.98785780000000001</v>
      </c>
      <c r="Q1820">
        <v>0.15525459999999999</v>
      </c>
      <c r="R1820">
        <v>5.7927029999999997E-3</v>
      </c>
      <c r="S1820">
        <v>-3.0833279999999998</v>
      </c>
      <c r="T1820">
        <v>-0.28695999999999999</v>
      </c>
      <c r="U1820">
        <v>-0.29583739999999997</v>
      </c>
      <c r="V1820">
        <v>0.12864200000000001</v>
      </c>
      <c r="W1820">
        <v>0.16091820000000001</v>
      </c>
      <c r="X1820">
        <v>0.97854819999999998</v>
      </c>
      <c r="Y1820">
        <v>2.774219E-2</v>
      </c>
      <c r="Z1820">
        <v>1.2710310000000001E-2</v>
      </c>
      <c r="AA1820">
        <v>0.99953429999999999</v>
      </c>
      <c r="AB1820">
        <v>21</v>
      </c>
      <c r="AC1820">
        <v>-0.70150000000001</v>
      </c>
      <c r="AD1820">
        <v>-8.3606999999999904E-2</v>
      </c>
      <c r="AE1820">
        <v>-6.4099999999996202E-2</v>
      </c>
      <c r="AF1820">
        <v>2.2865171282090601E-2</v>
      </c>
      <c r="AG1820">
        <v>-8.3606999999999904E-2</v>
      </c>
      <c r="AH1820">
        <v>0.694260715188317</v>
      </c>
      <c r="AI1820">
        <v>96.863144743244504</v>
      </c>
      <c r="AJ1820">
        <v>88.1136705308774</v>
      </c>
      <c r="AK1820">
        <v>0.69965054645912605</v>
      </c>
      <c r="AL1820">
        <v>80.739804212819195</v>
      </c>
      <c r="AM1820">
        <v>82.5107234612301</v>
      </c>
      <c r="AN1820">
        <v>1.00000000548924</v>
      </c>
    </row>
    <row r="1821" spans="1:40" x14ac:dyDescent="0.25">
      <c r="A1821" t="str">
        <f>"20190312172927568"</f>
        <v>20190312172927568</v>
      </c>
      <c r="B1821" t="str">
        <f>"1552382967559750"</f>
        <v>1552382967559750</v>
      </c>
      <c r="C1821" t="s">
        <v>40</v>
      </c>
      <c r="D1821">
        <v>3.196758</v>
      </c>
      <c r="E1821">
        <v>0.4604433</v>
      </c>
      <c r="F1821" t="s">
        <v>42</v>
      </c>
      <c r="G1821">
        <v>-217.15700000000001</v>
      </c>
      <c r="H1821">
        <v>1.025407</v>
      </c>
      <c r="I1821">
        <v>282.2405</v>
      </c>
      <c r="J1821">
        <v>-216.48480000000001</v>
      </c>
      <c r="K1821">
        <v>1.1076459999999999</v>
      </c>
      <c r="L1821">
        <v>282.3014</v>
      </c>
      <c r="M1821">
        <v>-0.99267649999999996</v>
      </c>
      <c r="N1821">
        <v>0</v>
      </c>
      <c r="O1821">
        <v>-0.12064030000000001</v>
      </c>
      <c r="P1821">
        <v>-0.98785140000000005</v>
      </c>
      <c r="Q1821">
        <v>0.15523399999999901</v>
      </c>
      <c r="R1821">
        <v>7.2107830000000001E-3</v>
      </c>
      <c r="S1821">
        <v>-3.0834199999999998</v>
      </c>
      <c r="T1821">
        <v>-0.28530749999999999</v>
      </c>
      <c r="U1821">
        <v>-0.29232789999999997</v>
      </c>
      <c r="V1821">
        <v>0.1270057</v>
      </c>
      <c r="W1821">
        <v>0.16084760000000001</v>
      </c>
      <c r="X1821">
        <v>0.97877349999999996</v>
      </c>
      <c r="Y1821">
        <v>2.5794029999999999E-2</v>
      </c>
      <c r="Z1821">
        <v>1.226644E-2</v>
      </c>
      <c r="AA1821">
        <v>0.99959200000000004</v>
      </c>
      <c r="AB1821">
        <v>21</v>
      </c>
      <c r="AC1821">
        <v>-0.67220000000000302</v>
      </c>
      <c r="AD1821">
        <v>-8.2238999999999896E-2</v>
      </c>
      <c r="AE1821">
        <v>-6.0900000000003701E-2</v>
      </c>
      <c r="AF1821">
        <v>2.0338866114023701E-2</v>
      </c>
      <c r="AG1821">
        <v>-8.2238999999999896E-2</v>
      </c>
      <c r="AH1821">
        <v>0.66476826152508095</v>
      </c>
      <c r="AI1821">
        <v>97.049009140998393</v>
      </c>
      <c r="AJ1821">
        <v>88.247558065632902</v>
      </c>
      <c r="AK1821">
        <v>0.67014458449418401</v>
      </c>
      <c r="AL1821">
        <v>80.743902457503495</v>
      </c>
      <c r="AM1821">
        <v>82.606607828411001</v>
      </c>
      <c r="AN1821">
        <v>0.99999998128024903</v>
      </c>
    </row>
    <row r="1822" spans="1:40" x14ac:dyDescent="0.25">
      <c r="A1822" t="str">
        <f>"20190312172927590"</f>
        <v>20190312172927590</v>
      </c>
      <c r="B1822" t="str">
        <f>"1552382967579278"</f>
        <v>1552382967579278</v>
      </c>
      <c r="C1822" t="s">
        <v>40</v>
      </c>
      <c r="D1822">
        <v>3.167592</v>
      </c>
      <c r="E1822">
        <v>0.46050410000000003</v>
      </c>
      <c r="F1822" t="s">
        <v>42</v>
      </c>
      <c r="G1822">
        <v>-217.3458</v>
      </c>
      <c r="H1822">
        <v>1.027301</v>
      </c>
      <c r="I1822">
        <v>282.2217</v>
      </c>
      <c r="J1822">
        <v>-216.6891</v>
      </c>
      <c r="K1822">
        <v>1.107631</v>
      </c>
      <c r="L1822">
        <v>282.2799</v>
      </c>
      <c r="M1822">
        <v>-0.99302460000000004</v>
      </c>
      <c r="N1822">
        <v>0</v>
      </c>
      <c r="O1822">
        <v>-0.11774279999999999</v>
      </c>
      <c r="P1822">
        <v>-0.98778719999999998</v>
      </c>
      <c r="Q1822">
        <v>0.15557079999999901</v>
      </c>
      <c r="R1822">
        <v>8.6053650000000002E-3</v>
      </c>
      <c r="S1822">
        <v>-3.0841980000000002</v>
      </c>
      <c r="T1822">
        <v>-0.28774</v>
      </c>
      <c r="U1822">
        <v>-0.2861938</v>
      </c>
      <c r="V1822">
        <v>0.12552679999999999</v>
      </c>
      <c r="W1822">
        <v>0.16114319999999999</v>
      </c>
      <c r="X1822">
        <v>0.97891570000000006</v>
      </c>
      <c r="Y1822">
        <v>2.4876869999999999E-2</v>
      </c>
      <c r="Z1822">
        <v>1.205938E-2</v>
      </c>
      <c r="AA1822">
        <v>0.9996178</v>
      </c>
      <c r="AB1822">
        <v>21</v>
      </c>
      <c r="AC1822">
        <v>-0.65669999999999995</v>
      </c>
      <c r="AD1822">
        <v>-8.0329999999999999E-2</v>
      </c>
      <c r="AE1822">
        <v>-5.8199999999999301E-2</v>
      </c>
      <c r="AF1822">
        <v>1.9242362174335399E-2</v>
      </c>
      <c r="AG1822">
        <v>-8.0329999999999999E-2</v>
      </c>
      <c r="AH1822">
        <v>0.64934418236431901</v>
      </c>
      <c r="AI1822">
        <v>97.049135071005793</v>
      </c>
      <c r="AJ1822">
        <v>88.302620367187103</v>
      </c>
      <c r="AK1822">
        <v>0.65457699667222802</v>
      </c>
      <c r="AL1822">
        <v>80.726742406477996</v>
      </c>
      <c r="AM1822">
        <v>82.692813141969097</v>
      </c>
      <c r="AN1822">
        <v>1.0000000280654799</v>
      </c>
    </row>
    <row r="1823" spans="1:40" x14ac:dyDescent="0.25">
      <c r="A1823" t="str">
        <f>"20190312172927613"</f>
        <v>20190312172927613</v>
      </c>
      <c r="B1823" t="str">
        <f>"1552382967609524"</f>
        <v>1552382967609524</v>
      </c>
      <c r="C1823" t="s">
        <v>40</v>
      </c>
      <c r="D1823">
        <v>3.2219389999999999</v>
      </c>
      <c r="E1823">
        <v>0.46052109999999902</v>
      </c>
      <c r="F1823" t="s">
        <v>42</v>
      </c>
      <c r="G1823">
        <v>-217.5352</v>
      </c>
      <c r="H1823">
        <v>1.0284960000000001</v>
      </c>
      <c r="I1823">
        <v>282.20280000000002</v>
      </c>
      <c r="J1823">
        <v>-216.90960000000001</v>
      </c>
      <c r="K1823">
        <v>1.107621</v>
      </c>
      <c r="L1823">
        <v>282.25729999999999</v>
      </c>
      <c r="M1823">
        <v>-0.99338970000000004</v>
      </c>
      <c r="N1823">
        <v>0</v>
      </c>
      <c r="O1823">
        <v>-0.1146245</v>
      </c>
      <c r="P1823">
        <v>-0.98778250000000001</v>
      </c>
      <c r="Q1823">
        <v>0.1555319</v>
      </c>
      <c r="R1823">
        <v>9.7925100000000008E-3</v>
      </c>
      <c r="S1823">
        <v>-3.0849760000000002</v>
      </c>
      <c r="T1823">
        <v>-0.2884892</v>
      </c>
      <c r="U1823">
        <v>-0.2814026</v>
      </c>
      <c r="V1823">
        <v>0.12363159999999999</v>
      </c>
      <c r="W1823">
        <v>0.16106409999999999</v>
      </c>
      <c r="X1823">
        <v>0.97916979999999998</v>
      </c>
      <c r="Y1823">
        <v>2.3317870000000001E-2</v>
      </c>
      <c r="Z1823">
        <v>1.1728010000000001E-2</v>
      </c>
      <c r="AA1823">
        <v>0.99965930000000003</v>
      </c>
      <c r="AB1823">
        <v>21</v>
      </c>
      <c r="AC1823">
        <v>-0.62559999999999105</v>
      </c>
      <c r="AD1823">
        <v>-7.9125000000000098E-2</v>
      </c>
      <c r="AE1823">
        <v>-5.4499999999961801E-2</v>
      </c>
      <c r="AF1823">
        <v>1.7295100575811101E-2</v>
      </c>
      <c r="AG1823">
        <v>-7.9125000000000098E-2</v>
      </c>
      <c r="AH1823">
        <v>0.61791339443752802</v>
      </c>
      <c r="AI1823">
        <v>97.294297566445294</v>
      </c>
      <c r="AJ1823">
        <v>88.396737101292501</v>
      </c>
      <c r="AK1823">
        <v>0.62319888410862501</v>
      </c>
      <c r="AL1823">
        <v>80.731333822378403</v>
      </c>
      <c r="AM1823">
        <v>82.803819316627198</v>
      </c>
      <c r="AN1823">
        <v>0.99999995702970401</v>
      </c>
    </row>
    <row r="1824" spans="1:40" x14ac:dyDescent="0.25">
      <c r="A1824" t="str">
        <f>"20190312172927634"</f>
        <v>20190312172927634</v>
      </c>
      <c r="B1824" t="str">
        <f>"1552382967629045"</f>
        <v>1552382967629045</v>
      </c>
      <c r="C1824" t="s">
        <v>40</v>
      </c>
      <c r="D1824">
        <v>3.318457</v>
      </c>
      <c r="E1824">
        <v>0.4604374</v>
      </c>
      <c r="F1824" t="s">
        <v>42</v>
      </c>
      <c r="G1824">
        <v>-217.7261</v>
      </c>
      <c r="H1824">
        <v>1.030888</v>
      </c>
      <c r="I1824">
        <v>282.1841</v>
      </c>
      <c r="J1824">
        <v>-217.11699999999999</v>
      </c>
      <c r="K1824">
        <v>1.107604</v>
      </c>
      <c r="L1824">
        <v>282.23669999999998</v>
      </c>
      <c r="M1824">
        <v>-0.99372360000000004</v>
      </c>
      <c r="N1824">
        <v>0</v>
      </c>
      <c r="O1824">
        <v>-0.11169560000000001</v>
      </c>
      <c r="P1824">
        <v>-0.98771070000000005</v>
      </c>
      <c r="Q1824">
        <v>0.1559364</v>
      </c>
      <c r="R1824">
        <v>1.0571530000000001E-2</v>
      </c>
      <c r="S1824">
        <v>-3.0855100000000002</v>
      </c>
      <c r="T1824">
        <v>-0.28991479999999997</v>
      </c>
      <c r="U1824">
        <v>-0.27740479999999901</v>
      </c>
      <c r="V1824">
        <v>0.12151380000000001</v>
      </c>
      <c r="W1824">
        <v>0.1614321</v>
      </c>
      <c r="X1824">
        <v>0.97937430000000003</v>
      </c>
      <c r="Y1824">
        <v>2.1685079999999999E-2</v>
      </c>
      <c r="Z1824">
        <v>1.1436150000000001E-2</v>
      </c>
      <c r="AA1824">
        <v>0.99969940000000002</v>
      </c>
      <c r="AB1824">
        <v>21</v>
      </c>
      <c r="AC1824">
        <v>-0.60909999999998299</v>
      </c>
      <c r="AD1824">
        <v>-7.6715999999999895E-2</v>
      </c>
      <c r="AE1824">
        <v>-5.2599999999983903E-2</v>
      </c>
      <c r="AF1824">
        <v>1.55198499101984E-2</v>
      </c>
      <c r="AG1824">
        <v>-7.6715999999999895E-2</v>
      </c>
      <c r="AH1824">
        <v>0.60168953907848799</v>
      </c>
      <c r="AI1824">
        <v>97.263673033179103</v>
      </c>
      <c r="AJ1824">
        <v>88.522452670383302</v>
      </c>
      <c r="AK1824">
        <v>0.60675902286963901</v>
      </c>
      <c r="AL1824">
        <v>80.709969547185693</v>
      </c>
      <c r="AM1824">
        <v>82.927291860517997</v>
      </c>
      <c r="AN1824">
        <v>0.99999997300066901</v>
      </c>
    </row>
    <row r="1825" spans="1:40" x14ac:dyDescent="0.25">
      <c r="A1825" t="str">
        <f>"20190312172927658"</f>
        <v>20190312172927658</v>
      </c>
      <c r="B1825" t="str">
        <f>"1552382967649541"</f>
        <v>1552382967649541</v>
      </c>
      <c r="C1825" t="s">
        <v>40</v>
      </c>
      <c r="D1825">
        <v>3.3216239999999999</v>
      </c>
      <c r="E1825">
        <v>0.46036650000000001</v>
      </c>
      <c r="F1825" t="s">
        <v>42</v>
      </c>
      <c r="G1825">
        <v>-217.9179</v>
      </c>
      <c r="H1825">
        <v>1.0328930000000001</v>
      </c>
      <c r="I1825">
        <v>282.1653</v>
      </c>
      <c r="J1825">
        <v>-217.33779999999999</v>
      </c>
      <c r="K1825">
        <v>1.107577</v>
      </c>
      <c r="L1825">
        <v>282.21550000000002</v>
      </c>
      <c r="M1825">
        <v>-0.9940696</v>
      </c>
      <c r="N1825">
        <v>0</v>
      </c>
      <c r="O1825">
        <v>-0.1085745</v>
      </c>
      <c r="P1825">
        <v>-0.9876239</v>
      </c>
      <c r="Q1825">
        <v>0.15646309999999999</v>
      </c>
      <c r="R1825">
        <v>1.0884680000000001E-2</v>
      </c>
      <c r="S1825">
        <v>-3.085709</v>
      </c>
      <c r="T1825">
        <v>-0.28783039999999999</v>
      </c>
      <c r="U1825">
        <v>-0.27523799999999998</v>
      </c>
      <c r="V1825">
        <v>0.118745</v>
      </c>
      <c r="W1825">
        <v>0.1619206</v>
      </c>
      <c r="X1825">
        <v>0.97963330000000004</v>
      </c>
      <c r="Y1825">
        <v>1.9279560000000001E-2</v>
      </c>
      <c r="Z1825">
        <v>1.095439E-2</v>
      </c>
      <c r="AA1825">
        <v>0.99975409999999998</v>
      </c>
      <c r="AB1825">
        <v>21</v>
      </c>
      <c r="AC1825">
        <v>-0.58010000000001505</v>
      </c>
      <c r="AD1825">
        <v>-7.4683999999999903E-2</v>
      </c>
      <c r="AE1825">
        <v>-5.0200000000018001E-2</v>
      </c>
      <c r="AF1825">
        <v>1.287027967329E-2</v>
      </c>
      <c r="AG1825">
        <v>-7.4683999999999903E-2</v>
      </c>
      <c r="AH1825">
        <v>0.57269920234865002</v>
      </c>
      <c r="AI1825">
        <v>97.427989740977296</v>
      </c>
      <c r="AJ1825">
        <v>88.712607594198204</v>
      </c>
      <c r="AK1825">
        <v>0.57769171737670599</v>
      </c>
      <c r="AL1825">
        <v>80.6816079484488</v>
      </c>
      <c r="AM1825">
        <v>83.088682403508699</v>
      </c>
      <c r="AN1825">
        <v>1.00000002909912</v>
      </c>
    </row>
    <row r="1826" spans="1:40" x14ac:dyDescent="0.25">
      <c r="A1826" t="str">
        <f>"20190312172927681"</f>
        <v>20190312172927681</v>
      </c>
      <c r="B1826" t="str">
        <f>"1552382967669060"</f>
        <v>1552382967669060</v>
      </c>
      <c r="C1826" t="s">
        <v>40</v>
      </c>
      <c r="D1826">
        <v>3.3015460000000001</v>
      </c>
      <c r="E1826">
        <v>0.46031889999999998</v>
      </c>
      <c r="F1826" t="s">
        <v>42</v>
      </c>
      <c r="G1826">
        <v>-218.11109999999999</v>
      </c>
      <c r="H1826">
        <v>1.0360290000000001</v>
      </c>
      <c r="I1826">
        <v>282.14710000000002</v>
      </c>
      <c r="J1826">
        <v>-217.56020000000001</v>
      </c>
      <c r="K1826">
        <v>1.1075440000000001</v>
      </c>
      <c r="L1826">
        <v>282.19470000000001</v>
      </c>
      <c r="M1826">
        <v>-0.99440930000000005</v>
      </c>
      <c r="N1826">
        <v>0</v>
      </c>
      <c r="O1826">
        <v>-0.1054225</v>
      </c>
      <c r="P1826">
        <v>-0.9874887</v>
      </c>
      <c r="Q1826">
        <v>0.15729589999999999</v>
      </c>
      <c r="R1826">
        <v>1.116027E-2</v>
      </c>
      <c r="S1826">
        <v>-3.0858310000000002</v>
      </c>
      <c r="T1826">
        <v>-0.28551259999999901</v>
      </c>
      <c r="U1826">
        <v>-0.27380369999999998</v>
      </c>
      <c r="V1826">
        <v>0.11590739999999899</v>
      </c>
      <c r="W1826">
        <v>0.16271240000000001</v>
      </c>
      <c r="X1826">
        <v>0.97984190000000004</v>
      </c>
      <c r="Y1826">
        <v>1.6607549999999999E-2</v>
      </c>
      <c r="Z1826">
        <v>1.045479E-2</v>
      </c>
      <c r="AA1826">
        <v>0.99980740000000001</v>
      </c>
      <c r="AB1826">
        <v>21</v>
      </c>
      <c r="AC1826">
        <v>-0.55089999999998396</v>
      </c>
      <c r="AD1826">
        <v>-7.1514999999999995E-2</v>
      </c>
      <c r="AE1826">
        <v>-4.7599999999988499E-2</v>
      </c>
      <c r="AF1826">
        <v>1.05668159424749E-2</v>
      </c>
      <c r="AG1826">
        <v>-7.1514999999999995E-2</v>
      </c>
      <c r="AH1826">
        <v>0.54375284928543599</v>
      </c>
      <c r="AI1826">
        <v>97.491204110841807</v>
      </c>
      <c r="AJ1826">
        <v>88.886704205477898</v>
      </c>
      <c r="AK1826">
        <v>0.54853734050672598</v>
      </c>
      <c r="AL1826">
        <v>80.6356311668073</v>
      </c>
      <c r="AM1826">
        <v>83.253721333709294</v>
      </c>
      <c r="AN1826">
        <v>0.99999999974206499</v>
      </c>
    </row>
    <row r="1827" spans="1:40" x14ac:dyDescent="0.25">
      <c r="A1827" t="str">
        <f>"20190312172927702"</f>
        <v>20190312172927702</v>
      </c>
      <c r="B1827" t="str">
        <f>"1552382967689561"</f>
        <v>1552382967689561</v>
      </c>
      <c r="C1827" t="s">
        <v>40</v>
      </c>
      <c r="D1827">
        <v>3.3218960000000002</v>
      </c>
      <c r="E1827">
        <v>0.46030539999999998</v>
      </c>
      <c r="F1827" t="s">
        <v>42</v>
      </c>
      <c r="G1827">
        <v>-218.30539999999999</v>
      </c>
      <c r="H1827">
        <v>1.039364</v>
      </c>
      <c r="I1827">
        <v>282.12889999999999</v>
      </c>
      <c r="J1827">
        <v>-217.75810000000001</v>
      </c>
      <c r="K1827">
        <v>1.1075090000000001</v>
      </c>
      <c r="L1827">
        <v>282.17689999999999</v>
      </c>
      <c r="M1827">
        <v>-0.99470460000000005</v>
      </c>
      <c r="N1827">
        <v>0</v>
      </c>
      <c r="O1827">
        <v>-0.102601</v>
      </c>
      <c r="P1827">
        <v>-0.9873499</v>
      </c>
      <c r="Q1827">
        <v>0.158146799999999</v>
      </c>
      <c r="R1827">
        <v>1.139512E-2</v>
      </c>
      <c r="S1827">
        <v>-3.0860599999999998</v>
      </c>
      <c r="T1827">
        <v>-0.28233049999999998</v>
      </c>
      <c r="U1827">
        <v>-0.27258300000000002</v>
      </c>
      <c r="V1827">
        <v>0.1133575</v>
      </c>
      <c r="W1827">
        <v>0.16352630000000001</v>
      </c>
      <c r="X1827">
        <v>0.98000469999999895</v>
      </c>
      <c r="Y1827">
        <v>1.42028E-2</v>
      </c>
      <c r="Z1827">
        <v>9.9732069999999996E-3</v>
      </c>
      <c r="AA1827">
        <v>0.9998494</v>
      </c>
      <c r="AB1827">
        <v>21</v>
      </c>
      <c r="AC1827">
        <v>-0.54729999999997803</v>
      </c>
      <c r="AD1827">
        <v>-6.8145000000000094E-2</v>
      </c>
      <c r="AE1827">
        <v>-4.8000000000001798E-2</v>
      </c>
      <c r="AF1827">
        <v>8.2804644224432396E-3</v>
      </c>
      <c r="AG1827">
        <v>-6.8145000000000094E-2</v>
      </c>
      <c r="AH1827">
        <v>0.54101317564322704</v>
      </c>
      <c r="AI1827">
        <v>97.178229417152906</v>
      </c>
      <c r="AJ1827">
        <v>89.123129262545305</v>
      </c>
      <c r="AK1827">
        <v>0.54535086259730103</v>
      </c>
      <c r="AL1827">
        <v>80.588364998659799</v>
      </c>
      <c r="AM1827">
        <v>83.401898811734299</v>
      </c>
      <c r="AN1827">
        <v>0.99999999281001395</v>
      </c>
    </row>
    <row r="1828" spans="1:40" x14ac:dyDescent="0.25">
      <c r="A1828" t="str">
        <f>"20190312172927724"</f>
        <v>20190312172927724</v>
      </c>
      <c r="B1828" t="str">
        <f>"1552382967718837"</f>
        <v>1552382967718837</v>
      </c>
      <c r="C1828" t="s">
        <v>40</v>
      </c>
      <c r="D1828">
        <v>3.320166</v>
      </c>
      <c r="E1828">
        <v>0.4603334</v>
      </c>
      <c r="F1828" t="s">
        <v>42</v>
      </c>
      <c r="G1828">
        <v>-218.5</v>
      </c>
      <c r="H1828">
        <v>1.0404960000000001</v>
      </c>
      <c r="I1828">
        <v>282.11169999999998</v>
      </c>
      <c r="J1828">
        <v>-217.976</v>
      </c>
      <c r="K1828">
        <v>1.107467</v>
      </c>
      <c r="L1828">
        <v>282.15789999999998</v>
      </c>
      <c r="M1828">
        <v>-0.99502349999999995</v>
      </c>
      <c r="N1828">
        <v>0</v>
      </c>
      <c r="O1828">
        <v>-9.9463449999999995E-2</v>
      </c>
      <c r="P1828">
        <v>-0.98726000000000003</v>
      </c>
      <c r="Q1828">
        <v>0.15864239999999999</v>
      </c>
      <c r="R1828">
        <v>1.226318E-2</v>
      </c>
      <c r="S1828">
        <v>-3.0862120000000002</v>
      </c>
      <c r="T1828">
        <v>-0.27862940000000003</v>
      </c>
      <c r="U1828">
        <v>-0.27209470000000002</v>
      </c>
      <c r="V1828">
        <v>0.11113430000000001</v>
      </c>
      <c r="W1828">
        <v>0.163971799999999</v>
      </c>
      <c r="X1828">
        <v>0.98018490000000003</v>
      </c>
      <c r="Y1828">
        <v>1.124759E-2</v>
      </c>
      <c r="Z1828">
        <v>9.4292899999999999E-3</v>
      </c>
      <c r="AA1828">
        <v>0.99989229999999996</v>
      </c>
      <c r="AB1828">
        <v>22</v>
      </c>
      <c r="AC1828">
        <v>-0.52400000000000002</v>
      </c>
      <c r="AD1828">
        <v>-6.69710000000001E-2</v>
      </c>
      <c r="AE1828">
        <v>-4.6199999999998902E-2</v>
      </c>
      <c r="AF1828">
        <v>6.05079501035882E-3</v>
      </c>
      <c r="AG1828">
        <v>-6.69710000000001E-2</v>
      </c>
      <c r="AH1828">
        <v>0.51760706340227403</v>
      </c>
      <c r="AI1828">
        <v>97.371804621094199</v>
      </c>
      <c r="AJ1828">
        <v>89.330246338282706</v>
      </c>
      <c r="AK1828">
        <v>0.52195670227058399</v>
      </c>
      <c r="AL1828">
        <v>80.562490648162395</v>
      </c>
      <c r="AM1828">
        <v>83.531373999018598</v>
      </c>
      <c r="AN1828">
        <v>1.0000000110098699</v>
      </c>
    </row>
    <row r="1829" spans="1:40" x14ac:dyDescent="0.25">
      <c r="A1829" t="str">
        <f>"20190312172927747"</f>
        <v>20190312172927747</v>
      </c>
      <c r="B1829" t="str">
        <f>"1552382967739333"</f>
        <v>1552382967739333</v>
      </c>
      <c r="C1829" t="s">
        <v>40</v>
      </c>
      <c r="D1829">
        <v>3.313005</v>
      </c>
      <c r="E1829">
        <v>0.4603563</v>
      </c>
      <c r="F1829" t="s">
        <v>42</v>
      </c>
      <c r="G1829">
        <v>-218.8835</v>
      </c>
      <c r="H1829">
        <v>1.0262869999999999</v>
      </c>
      <c r="I1829">
        <v>282.07900000000001</v>
      </c>
      <c r="J1829">
        <v>-218.19909999999999</v>
      </c>
      <c r="K1829">
        <v>1.107418</v>
      </c>
      <c r="L1829">
        <v>282.13929999999999</v>
      </c>
      <c r="M1829">
        <v>-0.99534299999999998</v>
      </c>
      <c r="N1829">
        <v>0</v>
      </c>
      <c r="O1829">
        <v>-9.6217200000000003E-2</v>
      </c>
      <c r="P1829">
        <v>-0.98717220000000006</v>
      </c>
      <c r="Q1829">
        <v>0.1591072</v>
      </c>
      <c r="R1829">
        <v>1.32654E-2</v>
      </c>
      <c r="S1829">
        <v>-3.0864410000000002</v>
      </c>
      <c r="T1829">
        <v>-0.27615430000000002</v>
      </c>
      <c r="U1829">
        <v>-0.26940920000000002</v>
      </c>
      <c r="V1829">
        <v>0.1089408</v>
      </c>
      <c r="W1829">
        <v>0.1643782</v>
      </c>
      <c r="X1829">
        <v>0.98036310000000004</v>
      </c>
      <c r="Y1829">
        <v>8.8855879999999998E-3</v>
      </c>
      <c r="Z1829">
        <v>8.9526869999999904E-3</v>
      </c>
      <c r="AA1829">
        <v>0.99992040000000004</v>
      </c>
      <c r="AB1829">
        <v>22</v>
      </c>
      <c r="AC1829">
        <v>-0.68440000000001</v>
      </c>
      <c r="AD1829">
        <v>-8.11309999999998E-2</v>
      </c>
      <c r="AE1829">
        <v>-6.0299999999983797E-2</v>
      </c>
      <c r="AF1829">
        <v>5.75176547243543E-3</v>
      </c>
      <c r="AG1829">
        <v>-8.11309999999998E-2</v>
      </c>
      <c r="AH1829">
        <v>0.67757819509432105</v>
      </c>
      <c r="AI1829">
        <v>96.827659368831306</v>
      </c>
      <c r="AJ1829">
        <v>89.513644368417403</v>
      </c>
      <c r="AK1829">
        <v>0.68244232901713198</v>
      </c>
      <c r="AL1829">
        <v>80.538885713099504</v>
      </c>
      <c r="AM1829">
        <v>83.659140503162206</v>
      </c>
      <c r="AN1829">
        <v>1.0000000491907399</v>
      </c>
    </row>
    <row r="1830" spans="1:40" x14ac:dyDescent="0.25">
      <c r="A1830" t="str">
        <f>"20190312172927769"</f>
        <v>20190312172927769</v>
      </c>
      <c r="B1830" t="str">
        <f>"1552382967758853"</f>
        <v>1552382967758853</v>
      </c>
      <c r="C1830" t="s">
        <v>40</v>
      </c>
      <c r="D1830">
        <v>3.3183150000000001</v>
      </c>
      <c r="E1830">
        <v>0.4603584</v>
      </c>
      <c r="F1830" t="s">
        <v>42</v>
      </c>
      <c r="G1830">
        <v>-219.08170000000001</v>
      </c>
      <c r="H1830">
        <v>1.0290239999999999</v>
      </c>
      <c r="I1830">
        <v>282.06330000000003</v>
      </c>
      <c r="J1830">
        <v>-218.42760000000001</v>
      </c>
      <c r="K1830">
        <v>1.1073630000000001</v>
      </c>
      <c r="L1830">
        <v>282.12110000000001</v>
      </c>
      <c r="M1830">
        <v>-0.99566220000000005</v>
      </c>
      <c r="N1830">
        <v>0</v>
      </c>
      <c r="O1830">
        <v>-9.2860929999999994E-2</v>
      </c>
      <c r="P1830">
        <v>-0.98714360000000001</v>
      </c>
      <c r="Q1830">
        <v>0.15912799999999999</v>
      </c>
      <c r="R1830">
        <v>1.503605E-2</v>
      </c>
      <c r="S1830">
        <v>-3.0867309999999999</v>
      </c>
      <c r="T1830">
        <v>-0.27418569999999998</v>
      </c>
      <c r="U1830">
        <v>-0.26623540000000001</v>
      </c>
      <c r="V1830">
        <v>0.10740860000000001</v>
      </c>
      <c r="W1830">
        <v>0.16433629999999999</v>
      </c>
      <c r="X1830">
        <v>0.9805391</v>
      </c>
      <c r="Y1830">
        <v>6.5707409999999997E-3</v>
      </c>
      <c r="Z1830">
        <v>8.4909709999999999E-3</v>
      </c>
      <c r="AA1830">
        <v>0.99994240000000001</v>
      </c>
      <c r="AB1830">
        <v>22</v>
      </c>
      <c r="AC1830">
        <v>-0.65409999999999902</v>
      </c>
      <c r="AD1830">
        <v>-7.8338999999999895E-2</v>
      </c>
      <c r="AE1830">
        <v>-5.7799999999986001E-2</v>
      </c>
      <c r="AF1830">
        <v>3.1463317663504801E-3</v>
      </c>
      <c r="AG1830">
        <v>-7.8338999999999895E-2</v>
      </c>
      <c r="AH1830">
        <v>0.64742637161731598</v>
      </c>
      <c r="AI1830">
        <v>96.899204138028693</v>
      </c>
      <c r="AJ1830">
        <v>89.721558898565505</v>
      </c>
      <c r="AK1830">
        <v>0.65215627344229898</v>
      </c>
      <c r="AL1830">
        <v>80.5413188119702</v>
      </c>
      <c r="AM1830">
        <v>83.748723738508204</v>
      </c>
      <c r="AN1830">
        <v>0.999999976740229</v>
      </c>
    </row>
    <row r="1831" spans="1:40" x14ac:dyDescent="0.25">
      <c r="A1831" t="str">
        <f>"20190312172927791"</f>
        <v>20190312172927791</v>
      </c>
      <c r="B1831" t="str">
        <f>"1552382967779349"</f>
        <v>1552382967779349</v>
      </c>
      <c r="C1831" t="s">
        <v>40</v>
      </c>
      <c r="D1831">
        <v>3.301453</v>
      </c>
      <c r="E1831">
        <v>0.46046110000000001</v>
      </c>
      <c r="F1831" t="s">
        <v>42</v>
      </c>
      <c r="G1831">
        <v>-219.28100000000001</v>
      </c>
      <c r="H1831">
        <v>1.0317080000000001</v>
      </c>
      <c r="I1831">
        <v>282.04899999999998</v>
      </c>
      <c r="J1831">
        <v>-218.63560000000001</v>
      </c>
      <c r="K1831">
        <v>1.107316</v>
      </c>
      <c r="L1831">
        <v>282.10509999999999</v>
      </c>
      <c r="M1831">
        <v>-0.99594459999999996</v>
      </c>
      <c r="N1831">
        <v>0</v>
      </c>
      <c r="O1831">
        <v>-8.9784580000000003E-2</v>
      </c>
      <c r="P1831">
        <v>-0.98723970000000005</v>
      </c>
      <c r="Q1831">
        <v>0.158359</v>
      </c>
      <c r="R1831">
        <v>1.67508E-2</v>
      </c>
      <c r="S1831">
        <v>-3.087189</v>
      </c>
      <c r="T1831">
        <v>-0.27367019999999997</v>
      </c>
      <c r="U1831">
        <v>-0.26138309999999998</v>
      </c>
      <c r="V1831">
        <v>0.10610260000000001</v>
      </c>
      <c r="W1831">
        <v>0.16351459999999901</v>
      </c>
      <c r="X1831">
        <v>0.98081859999999998</v>
      </c>
      <c r="Y1831">
        <v>5.0736139999999997E-3</v>
      </c>
      <c r="Z1831">
        <v>8.1381040000000002E-3</v>
      </c>
      <c r="AA1831">
        <v>0.99995400000000001</v>
      </c>
      <c r="AB1831">
        <v>22</v>
      </c>
      <c r="AC1831">
        <v>-0.645399999999966</v>
      </c>
      <c r="AD1831">
        <v>-7.5607999999999898E-2</v>
      </c>
      <c r="AE1831">
        <v>-5.6099999999958003E-2</v>
      </c>
      <c r="AF1831">
        <v>2.0466330267227598E-3</v>
      </c>
      <c r="AG1831">
        <v>-7.5607999999999898E-2</v>
      </c>
      <c r="AH1831">
        <v>0.63912476605261503</v>
      </c>
      <c r="AI1831">
        <v>96.746659128004694</v>
      </c>
      <c r="AJ1831">
        <v>89.8165255986723</v>
      </c>
      <c r="AK1831">
        <v>0.64358466805274095</v>
      </c>
      <c r="AL1831">
        <v>80.589044157085198</v>
      </c>
      <c r="AM1831">
        <v>83.825889464886203</v>
      </c>
      <c r="AN1831">
        <v>0.99999995612293902</v>
      </c>
    </row>
    <row r="1832" spans="1:40" x14ac:dyDescent="0.25">
      <c r="A1832" t="str">
        <f>"20190312172927813"</f>
        <v>20190312172927813</v>
      </c>
      <c r="B1832" t="str">
        <f>"1552382967809605"</f>
        <v>1552382967809605</v>
      </c>
      <c r="C1832" t="s">
        <v>40</v>
      </c>
      <c r="D1832">
        <v>3.3855919999999999</v>
      </c>
      <c r="E1832">
        <v>0.48862549999999999</v>
      </c>
      <c r="F1832" t="s">
        <v>42</v>
      </c>
      <c r="G1832">
        <v>-219.4803</v>
      </c>
      <c r="H1832">
        <v>1.032057</v>
      </c>
      <c r="I1832">
        <v>282.0351</v>
      </c>
      <c r="J1832">
        <v>-218.8571</v>
      </c>
      <c r="K1832">
        <v>1.10727</v>
      </c>
      <c r="L1832">
        <v>282.08879999999999</v>
      </c>
      <c r="M1832">
        <v>-0.99623649999999997</v>
      </c>
      <c r="N1832">
        <v>0</v>
      </c>
      <c r="O1832">
        <v>-8.6488770000000006E-2</v>
      </c>
      <c r="P1832">
        <v>-0.98736550000000001</v>
      </c>
      <c r="Q1832">
        <v>0.15734519999999999</v>
      </c>
      <c r="R1832">
        <v>1.8762879999999999E-2</v>
      </c>
      <c r="S1832">
        <v>-3.087234</v>
      </c>
      <c r="T1832">
        <v>-0.27503509999999998</v>
      </c>
      <c r="U1832">
        <v>-0.25604250000000001</v>
      </c>
      <c r="V1832">
        <v>0.1048767</v>
      </c>
      <c r="W1832">
        <v>0.1624466</v>
      </c>
      <c r="X1832">
        <v>0.98112790000000005</v>
      </c>
      <c r="Y1832">
        <v>3.499168E-3</v>
      </c>
      <c r="Z1832">
        <v>7.8181259999999999E-3</v>
      </c>
      <c r="AA1832">
        <v>0.9999633</v>
      </c>
      <c r="AB1832">
        <v>22</v>
      </c>
      <c r="AC1832">
        <v>-0.62319999999999698</v>
      </c>
      <c r="AD1832">
        <v>-7.5212999999999905E-2</v>
      </c>
      <c r="AE1832">
        <v>-5.3699999999991997E-2</v>
      </c>
      <c r="AF1832">
        <v>3.96179850535763E-4</v>
      </c>
      <c r="AG1832">
        <v>-7.5212999999999905E-2</v>
      </c>
      <c r="AH1832">
        <v>0.61659428174153097</v>
      </c>
      <c r="AI1832">
        <v>96.954656827528495</v>
      </c>
      <c r="AJ1832">
        <v>89.963185791837105</v>
      </c>
      <c r="AK1832">
        <v>0.62116476123797304</v>
      </c>
      <c r="AL1832">
        <v>80.651065625322502</v>
      </c>
      <c r="AM1832">
        <v>83.898592622151298</v>
      </c>
      <c r="AN1832">
        <v>0.99999998810642998</v>
      </c>
    </row>
    <row r="1833" spans="1:40" x14ac:dyDescent="0.25">
      <c r="A1833" t="str">
        <f>"20190312172927835"</f>
        <v>20190312172927835</v>
      </c>
      <c r="B1833" t="str">
        <f>"1552382967829125"</f>
        <v>1552382967829125</v>
      </c>
      <c r="C1833" t="s">
        <v>40</v>
      </c>
      <c r="D1833">
        <v>3.3738350000000001</v>
      </c>
      <c r="E1833">
        <v>0.49078889999999997</v>
      </c>
      <c r="F1833" t="s">
        <v>47</v>
      </c>
      <c r="G1833">
        <v>-240.87200000000001</v>
      </c>
      <c r="H1833" s="1">
        <v>-1.072748E-6</v>
      </c>
      <c r="I1833">
        <v>281.89620000000002</v>
      </c>
      <c r="J1833">
        <v>-219.08500000000001</v>
      </c>
      <c r="K1833">
        <v>1.107229</v>
      </c>
      <c r="L1833">
        <v>282.07279999999997</v>
      </c>
      <c r="M1833">
        <v>-0.99652660000000004</v>
      </c>
      <c r="N1833">
        <v>0</v>
      </c>
      <c r="O1833">
        <v>-8.3083530000000003E-2</v>
      </c>
      <c r="P1833">
        <v>-0.98741809999999997</v>
      </c>
      <c r="Q1833">
        <v>0.1567239</v>
      </c>
      <c r="R1833">
        <v>2.10575E-2</v>
      </c>
      <c r="S1833">
        <v>-3.0634459999999999</v>
      </c>
      <c r="T1833">
        <v>-0.15408039999999901</v>
      </c>
      <c r="U1833">
        <v>-2.6794430000000001E-2</v>
      </c>
      <c r="V1833">
        <v>0.10381849999999999</v>
      </c>
      <c r="W1833">
        <v>0.1617709</v>
      </c>
      <c r="X1833">
        <v>0.98135209999999995</v>
      </c>
      <c r="Y1833">
        <v>7.4167220000000006E-2</v>
      </c>
      <c r="Z1833">
        <v>6.0361159999999898E-3</v>
      </c>
      <c r="AA1833">
        <v>0.99722750000000004</v>
      </c>
      <c r="AB1833">
        <v>22</v>
      </c>
      <c r="AC1833">
        <v>-21.786999999999999</v>
      </c>
      <c r="AD1833">
        <v>-1.107230072748</v>
      </c>
      <c r="AE1833">
        <v>-0.17659999999994999</v>
      </c>
      <c r="AF1833">
        <v>1.62997078929968</v>
      </c>
      <c r="AG1833">
        <v>-1.107230072748</v>
      </c>
      <c r="AH1833">
        <v>21.670378415986601</v>
      </c>
      <c r="AI1833">
        <v>92.916712203796394</v>
      </c>
      <c r="AJ1833">
        <v>85.698509692012394</v>
      </c>
      <c r="AK1833">
        <v>21.759780878952501</v>
      </c>
      <c r="AL1833">
        <v>80.690299675847598</v>
      </c>
      <c r="AM1833">
        <v>83.961067829414006</v>
      </c>
      <c r="AN1833">
        <v>1.00000002460173</v>
      </c>
    </row>
    <row r="1834" spans="1:40" x14ac:dyDescent="0.25">
      <c r="A1834" t="str">
        <f>"20190312172927859"</f>
        <v>20190312172927859</v>
      </c>
      <c r="B1834" t="str">
        <f>"1552382967849624"</f>
        <v>1552382967849624</v>
      </c>
      <c r="C1834" t="s">
        <v>40</v>
      </c>
      <c r="D1834">
        <v>3.3850030000000002</v>
      </c>
      <c r="E1834">
        <v>0.49196099999999998</v>
      </c>
      <c r="F1834" t="s">
        <v>47</v>
      </c>
      <c r="G1834">
        <v>-242.3657</v>
      </c>
      <c r="H1834" s="1">
        <v>-2.7786609999999997E-7</v>
      </c>
      <c r="I1834">
        <v>282.0575</v>
      </c>
      <c r="J1834">
        <v>-219.31649999999999</v>
      </c>
      <c r="K1834">
        <v>1.1071930000000001</v>
      </c>
      <c r="L1834">
        <v>282.05739999999997</v>
      </c>
      <c r="M1834">
        <v>-0.99680970000000002</v>
      </c>
      <c r="N1834">
        <v>0</v>
      </c>
      <c r="O1834">
        <v>-7.9617629999999995E-2</v>
      </c>
      <c r="P1834">
        <v>-0.98726400000000003</v>
      </c>
      <c r="Q1834">
        <v>0.15724579999999999</v>
      </c>
      <c r="R1834">
        <v>2.415842E-2</v>
      </c>
      <c r="S1834">
        <v>-3.061401</v>
      </c>
      <c r="T1834">
        <v>-0.14560000000000001</v>
      </c>
      <c r="U1834">
        <v>-2.0141600000000001E-3</v>
      </c>
      <c r="V1834">
        <v>0.1034924</v>
      </c>
      <c r="W1834">
        <v>0.16223860000000001</v>
      </c>
      <c r="X1834">
        <v>0.98130930000000005</v>
      </c>
      <c r="Y1834">
        <v>7.8784129999999994E-2</v>
      </c>
      <c r="Z1834">
        <v>5.6539169999999996E-3</v>
      </c>
      <c r="AA1834">
        <v>0.99687559999999997</v>
      </c>
      <c r="AB1834">
        <v>22</v>
      </c>
      <c r="AC1834">
        <v>-23.049199999999999</v>
      </c>
      <c r="AD1834">
        <v>-1.1071932778661</v>
      </c>
      <c r="AE1834">
        <v>1.00000000031741E-4</v>
      </c>
      <c r="AF1834">
        <v>1.83102619318728</v>
      </c>
      <c r="AG1834">
        <v>-1.1071932778661</v>
      </c>
      <c r="AH1834">
        <v>22.923125218718098</v>
      </c>
      <c r="AI1834">
        <v>92.756486913091095</v>
      </c>
      <c r="AJ1834">
        <v>85.433092002702494</v>
      </c>
      <c r="AK1834">
        <v>23.0227757594023</v>
      </c>
      <c r="AL1834">
        <v>80.663143394861294</v>
      </c>
      <c r="AM1834">
        <v>83.9796363139736</v>
      </c>
      <c r="AN1834">
        <v>0.99999999122710503</v>
      </c>
    </row>
    <row r="1835" spans="1:40" x14ac:dyDescent="0.25">
      <c r="A1835" t="str">
        <f>"20190312172927882"</f>
        <v>20190312172927882</v>
      </c>
      <c r="B1835" t="str">
        <f>"1552382967878900"</f>
        <v>1552382967878900</v>
      </c>
      <c r="C1835" t="s">
        <v>40</v>
      </c>
      <c r="D1835">
        <v>3.367972</v>
      </c>
      <c r="E1835">
        <v>0.49299799999999999</v>
      </c>
      <c r="F1835" t="s">
        <v>47</v>
      </c>
      <c r="G1835">
        <v>-243.72669999999999</v>
      </c>
      <c r="H1835" s="1">
        <v>4.463611E-7</v>
      </c>
      <c r="I1835">
        <v>282.19900000000001</v>
      </c>
      <c r="J1835">
        <v>-219.5521</v>
      </c>
      <c r="K1835">
        <v>1.107167</v>
      </c>
      <c r="L1835">
        <v>282.04239999999999</v>
      </c>
      <c r="M1835">
        <v>-0.99708540000000001</v>
      </c>
      <c r="N1835">
        <v>0</v>
      </c>
      <c r="O1835">
        <v>-7.6091060000000002E-2</v>
      </c>
      <c r="P1835">
        <v>-0.98706170000000004</v>
      </c>
      <c r="Q1835">
        <v>0.15804570000000001</v>
      </c>
      <c r="R1835">
        <v>2.7036640000000001E-2</v>
      </c>
      <c r="S1835">
        <v>-3.0603639999999999</v>
      </c>
      <c r="T1835">
        <v>-0.13881160000000001</v>
      </c>
      <c r="U1835">
        <v>1.7761229999999999E-2</v>
      </c>
      <c r="V1835">
        <v>0.10288369999999999</v>
      </c>
      <c r="W1835">
        <v>0.1629919</v>
      </c>
      <c r="X1835">
        <v>0.98124849999999997</v>
      </c>
      <c r="Y1835">
        <v>8.171552E-2</v>
      </c>
      <c r="Z1835">
        <v>5.2995179999999996E-3</v>
      </c>
      <c r="AA1835">
        <v>0.99664160000000002</v>
      </c>
      <c r="AB1835">
        <v>22</v>
      </c>
      <c r="AC1835">
        <v>-24.174600000000002</v>
      </c>
      <c r="AD1835">
        <v>-1.1071665536388999</v>
      </c>
      <c r="AE1835">
        <v>0.156600000000025</v>
      </c>
      <c r="AF1835">
        <v>1.99146832046174</v>
      </c>
      <c r="AG1835">
        <v>-1.1071665536388999</v>
      </c>
      <c r="AH1835">
        <v>24.042169594466301</v>
      </c>
      <c r="AI1835">
        <v>92.627680152500503</v>
      </c>
      <c r="AJ1835">
        <v>85.264868330052195</v>
      </c>
      <c r="AK1835">
        <v>24.149900261864001</v>
      </c>
      <c r="AL1835">
        <v>80.619400485536801</v>
      </c>
      <c r="AM1835">
        <v>84.014419683471701</v>
      </c>
      <c r="AN1835">
        <v>1.00000001697177</v>
      </c>
    </row>
    <row r="1836" spans="1:40" x14ac:dyDescent="0.25">
      <c r="A1836" t="str">
        <f>"20190312172927903"</f>
        <v>20190312172927903</v>
      </c>
      <c r="B1836" t="str">
        <f>"1552382967899397"</f>
        <v>1552382967899397</v>
      </c>
      <c r="C1836" t="s">
        <v>40</v>
      </c>
      <c r="D1836">
        <v>3.3260049999999999</v>
      </c>
      <c r="E1836">
        <v>0.49342950000000002</v>
      </c>
      <c r="F1836" t="s">
        <v>47</v>
      </c>
      <c r="G1836">
        <v>-244.84450000000001</v>
      </c>
      <c r="H1836" s="1">
        <v>1.041227E-6</v>
      </c>
      <c r="I1836">
        <v>282.33</v>
      </c>
      <c r="J1836">
        <v>-219.7688</v>
      </c>
      <c r="K1836">
        <v>1.1071439999999999</v>
      </c>
      <c r="L1836">
        <v>282.02940000000001</v>
      </c>
      <c r="M1836">
        <v>-0.99732759999999998</v>
      </c>
      <c r="N1836">
        <v>0</v>
      </c>
      <c r="O1836">
        <v>-7.2850579999999998E-2</v>
      </c>
      <c r="P1836">
        <v>-0.98697610000000002</v>
      </c>
      <c r="Q1836">
        <v>0.15815799999999999</v>
      </c>
      <c r="R1836">
        <v>2.940249E-2</v>
      </c>
      <c r="S1836">
        <v>-3.0598139999999998</v>
      </c>
      <c r="T1836">
        <v>-0.13394220000000001</v>
      </c>
      <c r="U1836">
        <v>3.4790040000000001E-2</v>
      </c>
      <c r="V1836">
        <v>0.1020524</v>
      </c>
      <c r="W1836">
        <v>0.16306479999999901</v>
      </c>
      <c r="X1836">
        <v>0.98132319999999995</v>
      </c>
      <c r="Y1836">
        <v>8.4035869999999999E-2</v>
      </c>
      <c r="Z1836">
        <v>5.0240160000000001E-3</v>
      </c>
      <c r="AA1836">
        <v>0.99645010000000001</v>
      </c>
      <c r="AB1836">
        <v>23</v>
      </c>
      <c r="AC1836">
        <v>-25.075700000000001</v>
      </c>
      <c r="AD1836">
        <v>-1.107142958773</v>
      </c>
      <c r="AE1836">
        <v>0.300599999999974</v>
      </c>
      <c r="AF1836">
        <v>2.1224713904749901</v>
      </c>
      <c r="AG1836">
        <v>-1.107142958773</v>
      </c>
      <c r="AH1836">
        <v>24.938560982935702</v>
      </c>
      <c r="AI1836">
        <v>92.532822233756505</v>
      </c>
      <c r="AJ1836">
        <v>85.135392799133101</v>
      </c>
      <c r="AK1836">
        <v>25.053192895001398</v>
      </c>
      <c r="AL1836">
        <v>80.615167033483502</v>
      </c>
      <c r="AM1836">
        <v>84.062884999827105</v>
      </c>
      <c r="AN1836">
        <v>1.00000002210151</v>
      </c>
    </row>
    <row r="1837" spans="1:40" x14ac:dyDescent="0.25">
      <c r="A1837" t="str">
        <f>"20190312172927925"</f>
        <v>20190312172927925</v>
      </c>
      <c r="B1837" t="str">
        <f>"1552382967918918"</f>
        <v>1552382967918918</v>
      </c>
      <c r="C1837" t="s">
        <v>40</v>
      </c>
      <c r="D1837">
        <v>3.2926479999999998</v>
      </c>
      <c r="E1837">
        <v>0.49376989999999998</v>
      </c>
      <c r="F1837" t="s">
        <v>47</v>
      </c>
      <c r="G1837">
        <v>-245.09100000000001</v>
      </c>
      <c r="H1837" s="1">
        <v>1.1724119999999999E-6</v>
      </c>
      <c r="I1837">
        <v>282.40530000000001</v>
      </c>
      <c r="J1837">
        <v>-219.995</v>
      </c>
      <c r="K1837">
        <v>1.107116</v>
      </c>
      <c r="L1837">
        <v>282.01670000000001</v>
      </c>
      <c r="M1837">
        <v>-0.99756869999999997</v>
      </c>
      <c r="N1837">
        <v>0</v>
      </c>
      <c r="O1837">
        <v>-6.9475049999999997E-2</v>
      </c>
      <c r="P1837">
        <v>-0.98700920000000003</v>
      </c>
      <c r="Q1837">
        <v>0.1575309</v>
      </c>
      <c r="R1837">
        <v>3.157252E-2</v>
      </c>
      <c r="S1837">
        <v>-3.0596619999999999</v>
      </c>
      <c r="T1837">
        <v>-0.13377510000000001</v>
      </c>
      <c r="U1837">
        <v>4.5410159999999998E-2</v>
      </c>
      <c r="V1837">
        <v>0.10089869999999999</v>
      </c>
      <c r="W1837">
        <v>0.16239999999999999</v>
      </c>
      <c r="X1837">
        <v>0.98155269999999994</v>
      </c>
      <c r="Y1837">
        <v>8.4125850000000002E-2</v>
      </c>
      <c r="Z1837">
        <v>4.872688E-3</v>
      </c>
      <c r="AA1837">
        <v>0.99644319999999997</v>
      </c>
      <c r="AB1837">
        <v>23</v>
      </c>
      <c r="AC1837">
        <v>-25.095999999999901</v>
      </c>
      <c r="AD1837">
        <v>-1.1071148275880001</v>
      </c>
      <c r="AE1837">
        <v>0.388599999999996</v>
      </c>
      <c r="AF1837">
        <v>2.1270942681035998</v>
      </c>
      <c r="AG1837">
        <v>-1.1071148275880001</v>
      </c>
      <c r="AH1837">
        <v>24.959796181620899</v>
      </c>
      <c r="AI1837">
        <v>92.5305818490733</v>
      </c>
      <c r="AJ1837">
        <v>85.128976083884993</v>
      </c>
      <c r="AK1837">
        <v>25.074721507823799</v>
      </c>
      <c r="AL1837">
        <v>80.653771701904503</v>
      </c>
      <c r="AM1837">
        <v>84.130895555986697</v>
      </c>
      <c r="AN1837">
        <v>1.00000000526949</v>
      </c>
    </row>
    <row r="1838" spans="1:40" x14ac:dyDescent="0.25">
      <c r="A1838" t="str">
        <f>"20190312172927947"</f>
        <v>20190312172927947</v>
      </c>
      <c r="B1838" t="str">
        <f>"1552382967939413"</f>
        <v>1552382967939413</v>
      </c>
      <c r="C1838" t="s">
        <v>40</v>
      </c>
      <c r="D1838">
        <v>3.346778</v>
      </c>
      <c r="E1838">
        <v>0.49408990000000003</v>
      </c>
      <c r="F1838" t="s">
        <v>47</v>
      </c>
      <c r="G1838">
        <v>-244.76230000000001</v>
      </c>
      <c r="H1838" s="1">
        <v>9.9745360000000001E-7</v>
      </c>
      <c r="I1838">
        <v>282.46460000000002</v>
      </c>
      <c r="J1838">
        <v>-220.22069999999999</v>
      </c>
      <c r="K1838">
        <v>1.1070869999999999</v>
      </c>
      <c r="L1838">
        <v>282.00470000000001</v>
      </c>
      <c r="M1838">
        <v>-0.9977973</v>
      </c>
      <c r="N1838">
        <v>0</v>
      </c>
      <c r="O1838">
        <v>-6.611359E-2</v>
      </c>
      <c r="P1838">
        <v>-0.98702590000000001</v>
      </c>
      <c r="Q1838">
        <v>0.157029799999999</v>
      </c>
      <c r="R1838">
        <v>3.3491569999999998E-2</v>
      </c>
      <c r="S1838">
        <v>-3.0595249999999998</v>
      </c>
      <c r="T1838">
        <v>-0.1367631</v>
      </c>
      <c r="U1838">
        <v>5.5328370000000002E-2</v>
      </c>
      <c r="V1838">
        <v>9.9508730000000004E-2</v>
      </c>
      <c r="W1838">
        <v>0.16186500000000001</v>
      </c>
      <c r="X1838">
        <v>0.98178290000000001</v>
      </c>
      <c r="Y1838">
        <v>8.3995390000000003E-2</v>
      </c>
      <c r="Z1838">
        <v>4.8287180000000001E-3</v>
      </c>
      <c r="AA1838">
        <v>0.99645439999999996</v>
      </c>
      <c r="AB1838">
        <v>23</v>
      </c>
      <c r="AC1838">
        <v>-24.541599999999999</v>
      </c>
      <c r="AD1838">
        <v>-1.1070860025464</v>
      </c>
      <c r="AE1838">
        <v>0.45990000000000397</v>
      </c>
      <c r="AF1838">
        <v>2.0772254058929298</v>
      </c>
      <c r="AG1838">
        <v>-1.1070860025464</v>
      </c>
      <c r="AH1838">
        <v>24.40784615419</v>
      </c>
      <c r="AI1838">
        <v>92.5876886241672</v>
      </c>
      <c r="AJ1838">
        <v>85.135574348354197</v>
      </c>
      <c r="AK1838">
        <v>24.521081923327301</v>
      </c>
      <c r="AL1838">
        <v>80.684835569002601</v>
      </c>
      <c r="AM1838">
        <v>84.212542936675504</v>
      </c>
      <c r="AN1838">
        <v>0.99999996415181003</v>
      </c>
    </row>
    <row r="1839" spans="1:40" x14ac:dyDescent="0.25">
      <c r="A1839" t="str">
        <f>"20190312172927969"</f>
        <v>20190312172927969</v>
      </c>
      <c r="B1839" t="str">
        <f>"1552382967958937"</f>
        <v>1552382967958937</v>
      </c>
      <c r="C1839" t="s">
        <v>40</v>
      </c>
      <c r="D1839">
        <v>3.3002950000000002</v>
      </c>
      <c r="E1839">
        <v>0.49428820000000001</v>
      </c>
      <c r="F1839" t="s">
        <v>47</v>
      </c>
      <c r="G1839">
        <v>-244.65309999999999</v>
      </c>
      <c r="H1839" s="1">
        <v>9.3934850000000002E-7</v>
      </c>
      <c r="I1839">
        <v>282.52210000000002</v>
      </c>
      <c r="J1839">
        <v>-220.45650000000001</v>
      </c>
      <c r="K1839">
        <v>1.1070629999999999</v>
      </c>
      <c r="L1839">
        <v>281.99299999999999</v>
      </c>
      <c r="M1839">
        <v>-0.99802360000000001</v>
      </c>
      <c r="N1839">
        <v>0</v>
      </c>
      <c r="O1839">
        <v>-6.2606809999999999E-2</v>
      </c>
      <c r="P1839">
        <v>-0.98697679999999999</v>
      </c>
      <c r="Q1839">
        <v>0.15684529999999999</v>
      </c>
      <c r="R1839">
        <v>3.5725460000000001E-2</v>
      </c>
      <c r="S1839">
        <v>-3.0592959999999998</v>
      </c>
      <c r="T1839">
        <v>-0.13862339999999901</v>
      </c>
      <c r="U1839">
        <v>6.4788819999999997E-2</v>
      </c>
      <c r="V1839">
        <v>9.8288139999999996E-2</v>
      </c>
      <c r="W1839">
        <v>0.16164899999999999</v>
      </c>
      <c r="X1839">
        <v>0.98194150000000002</v>
      </c>
      <c r="Y1839">
        <v>8.3575189999999994E-2</v>
      </c>
      <c r="Z1839">
        <v>4.7265019999999996E-3</v>
      </c>
      <c r="AA1839">
        <v>0.99649019999999999</v>
      </c>
      <c r="AB1839">
        <v>23</v>
      </c>
      <c r="AC1839">
        <v>-24.196599999999901</v>
      </c>
      <c r="AD1839">
        <v>-1.10706206065149</v>
      </c>
      <c r="AE1839">
        <v>0.52910000000002799</v>
      </c>
      <c r="AF1839">
        <v>2.0386905475319601</v>
      </c>
      <c r="AG1839">
        <v>-1.10706206065149</v>
      </c>
      <c r="AH1839">
        <v>24.065652660008499</v>
      </c>
      <c r="AI1839">
        <v>92.6244620464322</v>
      </c>
      <c r="AJ1839">
        <v>85.157823428281702</v>
      </c>
      <c r="AK1839">
        <v>24.177210002539599</v>
      </c>
      <c r="AL1839">
        <v>80.6973772669281</v>
      </c>
      <c r="AM1839">
        <v>84.283976945689702</v>
      </c>
      <c r="AN1839">
        <v>1.0000000335439501</v>
      </c>
    </row>
    <row r="1840" spans="1:40" x14ac:dyDescent="0.25">
      <c r="A1840" t="str">
        <f>"20190312172927982"</f>
        <v>20190312172927982</v>
      </c>
      <c r="B1840" t="str">
        <f>"1552382967979430"</f>
        <v>1552382967979430</v>
      </c>
      <c r="C1840" t="s">
        <v>40</v>
      </c>
      <c r="D1840">
        <v>3.3173979999999998</v>
      </c>
      <c r="E1840">
        <v>0.49443100000000001</v>
      </c>
      <c r="F1840" t="s">
        <v>47</v>
      </c>
      <c r="G1840">
        <v>-244.7285</v>
      </c>
      <c r="H1840" s="1">
        <v>9.7950990000000002E-7</v>
      </c>
      <c r="I1840">
        <v>282.57600000000002</v>
      </c>
      <c r="J1840">
        <v>-220.59270000000001</v>
      </c>
      <c r="K1840">
        <v>1.107046</v>
      </c>
      <c r="L1840">
        <v>281.98649999999998</v>
      </c>
      <c r="M1840">
        <v>-0.99814860000000005</v>
      </c>
      <c r="N1840">
        <v>0</v>
      </c>
      <c r="O1840">
        <v>-6.0585149999999997E-2</v>
      </c>
      <c r="P1840">
        <v>-0.98693319999999995</v>
      </c>
      <c r="Q1840">
        <v>0.15680279999999999</v>
      </c>
      <c r="R1840">
        <v>3.7092439999999997E-2</v>
      </c>
      <c r="S1840">
        <v>-3.059097</v>
      </c>
      <c r="T1840">
        <v>-0.13952719999999999</v>
      </c>
      <c r="U1840">
        <v>7.3486330000000002E-2</v>
      </c>
      <c r="V1840">
        <v>9.766329E-2</v>
      </c>
      <c r="W1840">
        <v>0.16159019999999999</v>
      </c>
      <c r="X1840">
        <v>0.98201349999999998</v>
      </c>
      <c r="Y1840">
        <v>8.438909E-2</v>
      </c>
      <c r="Z1840">
        <v>4.684003E-3</v>
      </c>
      <c r="AA1840">
        <v>0.99642189999999997</v>
      </c>
      <c r="AB1840">
        <v>23</v>
      </c>
      <c r="AC1840">
        <v>-24.1357999999999</v>
      </c>
      <c r="AD1840">
        <v>-1.1070450204900999</v>
      </c>
      <c r="AE1840">
        <v>0.58949999999998604</v>
      </c>
      <c r="AF1840">
        <v>2.0464065154980999</v>
      </c>
      <c r="AG1840">
        <v>-1.1070450204900999</v>
      </c>
      <c r="AH1840">
        <v>24.005274080059301</v>
      </c>
      <c r="AI1840">
        <v>92.630894963566405</v>
      </c>
      <c r="AJ1840">
        <v>85.127418312994394</v>
      </c>
      <c r="AK1840">
        <v>24.117763411287399</v>
      </c>
      <c r="AL1840">
        <v>80.7007909435805</v>
      </c>
      <c r="AM1840">
        <v>84.320490943058104</v>
      </c>
      <c r="AN1840">
        <v>1.0000000125659501</v>
      </c>
    </row>
    <row r="1841" spans="1:40" x14ac:dyDescent="0.25">
      <c r="A1841" t="str">
        <f>"20190312172928003"</f>
        <v>20190312172928003</v>
      </c>
      <c r="B1841" t="str">
        <f>"1552382967998950"</f>
        <v>1552382967998950</v>
      </c>
      <c r="C1841" t="s">
        <v>40</v>
      </c>
      <c r="D1841">
        <v>3.3239559999999999</v>
      </c>
      <c r="E1841">
        <v>0.4945</v>
      </c>
      <c r="F1841" t="s">
        <v>47</v>
      </c>
      <c r="G1841">
        <v>-244.83760000000001</v>
      </c>
      <c r="H1841" s="1">
        <v>1.0375560000000001E-6</v>
      </c>
      <c r="I1841">
        <v>282.60910000000001</v>
      </c>
      <c r="J1841">
        <v>-220.80699999999999</v>
      </c>
      <c r="K1841">
        <v>1.107019</v>
      </c>
      <c r="L1841">
        <v>281.97699999999998</v>
      </c>
      <c r="M1841">
        <v>-0.99833660000000002</v>
      </c>
      <c r="N1841">
        <v>0</v>
      </c>
      <c r="O1841">
        <v>-5.740381E-2</v>
      </c>
      <c r="P1841">
        <v>-0.986904</v>
      </c>
      <c r="Q1841">
        <v>0.15644759999999999</v>
      </c>
      <c r="R1841">
        <v>3.9305890000000003E-2</v>
      </c>
      <c r="S1841">
        <v>-3.0589750000000002</v>
      </c>
      <c r="T1841">
        <v>-0.1396753</v>
      </c>
      <c r="U1841">
        <v>7.8552250000000004E-2</v>
      </c>
      <c r="V1841">
        <v>9.6743880000000004E-2</v>
      </c>
      <c r="W1841">
        <v>0.16120860000000001</v>
      </c>
      <c r="X1841">
        <v>0.98216720000000002</v>
      </c>
      <c r="Y1841">
        <v>8.2868150000000002E-2</v>
      </c>
      <c r="Z1841">
        <v>4.5093650000000004E-3</v>
      </c>
      <c r="AA1841">
        <v>0.9965503</v>
      </c>
      <c r="AB1841">
        <v>23</v>
      </c>
      <c r="AC1841">
        <v>-24.0306</v>
      </c>
      <c r="AD1841">
        <v>-1.107017962444</v>
      </c>
      <c r="AE1841">
        <v>0.63209999999997901</v>
      </c>
      <c r="AF1841">
        <v>2.0062708457601799</v>
      </c>
      <c r="AG1841">
        <v>-1.107017962444</v>
      </c>
      <c r="AH1841">
        <v>23.903994670938999</v>
      </c>
      <c r="AI1841">
        <v>92.642253643869594</v>
      </c>
      <c r="AJ1841">
        <v>85.202388871632195</v>
      </c>
      <c r="AK1841">
        <v>24.013570594645</v>
      </c>
      <c r="AL1841">
        <v>80.722945358634107</v>
      </c>
      <c r="AM1841">
        <v>84.374488446990995</v>
      </c>
      <c r="AN1841">
        <v>0.99999999989362698</v>
      </c>
    </row>
    <row r="1842" spans="1:40" x14ac:dyDescent="0.25">
      <c r="A1842" t="str">
        <f>"20190312172928026"</f>
        <v>20190312172928026</v>
      </c>
      <c r="B1842" t="str">
        <f>"1552382968019445"</f>
        <v>1552382968019445</v>
      </c>
      <c r="C1842" t="s">
        <v>40</v>
      </c>
      <c r="D1842">
        <v>3.3117480000000001</v>
      </c>
      <c r="E1842">
        <v>0.49453190000000002</v>
      </c>
      <c r="F1842" t="s">
        <v>47</v>
      </c>
      <c r="G1842">
        <v>-244.839</v>
      </c>
      <c r="H1842" s="1">
        <v>1.0382840000000001E-6</v>
      </c>
      <c r="I1842">
        <v>282.65410000000003</v>
      </c>
      <c r="J1842">
        <v>-221.04429999999999</v>
      </c>
      <c r="K1842">
        <v>1.1069880000000001</v>
      </c>
      <c r="L1842">
        <v>281.96719999999999</v>
      </c>
      <c r="M1842">
        <v>-0.99853309999999995</v>
      </c>
      <c r="N1842">
        <v>0</v>
      </c>
      <c r="O1842">
        <v>-5.388536E-2</v>
      </c>
      <c r="P1842">
        <v>-0.98688670000000001</v>
      </c>
      <c r="Q1842">
        <v>0.15600700000000001</v>
      </c>
      <c r="R1842">
        <v>4.143351E-2</v>
      </c>
      <c r="S1842">
        <v>-3.0587309999999999</v>
      </c>
      <c r="T1842">
        <v>-0.1408983</v>
      </c>
      <c r="U1842">
        <v>8.6181640000000004E-2</v>
      </c>
      <c r="V1842">
        <v>9.5408240000000005E-2</v>
      </c>
      <c r="W1842">
        <v>0.1607394</v>
      </c>
      <c r="X1842">
        <v>0.98237470000000005</v>
      </c>
      <c r="Y1842">
        <v>8.1844429999999996E-2</v>
      </c>
      <c r="Z1842">
        <v>4.36367E-3</v>
      </c>
      <c r="AA1842">
        <v>0.99663559999999995</v>
      </c>
      <c r="AB1842">
        <v>23</v>
      </c>
      <c r="AC1842">
        <v>-23.794699999999999</v>
      </c>
      <c r="AD1842">
        <v>-1.10698696171599</v>
      </c>
      <c r="AE1842">
        <v>0.68690000000003604</v>
      </c>
      <c r="AF1842">
        <v>1.96385902132051</v>
      </c>
      <c r="AG1842">
        <v>-1.10698696171599</v>
      </c>
      <c r="AH1842">
        <v>23.671922700774498</v>
      </c>
      <c r="AI1842">
        <v>92.668259498085305</v>
      </c>
      <c r="AJ1842">
        <v>85.257514574681096</v>
      </c>
      <c r="AK1842">
        <v>23.779026194116401</v>
      </c>
      <c r="AL1842">
        <v>80.750183476850594</v>
      </c>
      <c r="AM1842">
        <v>84.452830556104004</v>
      </c>
      <c r="AN1842">
        <v>0.99999996908617295</v>
      </c>
    </row>
    <row r="1843" spans="1:40" x14ac:dyDescent="0.25">
      <c r="A1843" t="str">
        <f>"20190312172928037"</f>
        <v>20190312172928037</v>
      </c>
      <c r="B1843" t="str">
        <f>"1552382968029205"</f>
        <v>1552382968029205</v>
      </c>
      <c r="C1843" t="s">
        <v>40</v>
      </c>
      <c r="D1843">
        <v>3.3140930000000002</v>
      </c>
      <c r="E1843">
        <v>0.49453910000000001</v>
      </c>
      <c r="F1843" t="s">
        <v>47</v>
      </c>
      <c r="G1843">
        <v>-244.86160000000001</v>
      </c>
      <c r="H1843" s="1">
        <v>1.050311E-6</v>
      </c>
      <c r="I1843">
        <v>282.69299999999998</v>
      </c>
      <c r="J1843">
        <v>-221.1765</v>
      </c>
      <c r="K1843">
        <v>1.1069709999999999</v>
      </c>
      <c r="L1843">
        <v>281.9622</v>
      </c>
      <c r="M1843">
        <v>-0.99863690000000005</v>
      </c>
      <c r="N1843">
        <v>0</v>
      </c>
      <c r="O1843">
        <v>-5.1926399999999998E-2</v>
      </c>
      <c r="P1843">
        <v>-0.98686309999999999</v>
      </c>
      <c r="Q1843">
        <v>0.15579989999999999</v>
      </c>
      <c r="R1843">
        <v>4.2755349999999998E-2</v>
      </c>
      <c r="S1843">
        <v>-3.0584410000000002</v>
      </c>
      <c r="T1843">
        <v>-0.14215079999999999</v>
      </c>
      <c r="U1843">
        <v>9.3200679999999994E-2</v>
      </c>
      <c r="V1843">
        <v>9.480152E-2</v>
      </c>
      <c r="W1843">
        <v>0.1605172</v>
      </c>
      <c r="X1843">
        <v>0.98246979999999995</v>
      </c>
      <c r="Y1843">
        <v>8.217642E-2</v>
      </c>
      <c r="Z1843">
        <v>4.3195120000000002E-3</v>
      </c>
      <c r="AA1843">
        <v>0.99660839999999995</v>
      </c>
      <c r="AB1843">
        <v>23</v>
      </c>
      <c r="AC1843">
        <v>-23.685099999999998</v>
      </c>
      <c r="AD1843">
        <v>-1.106969949689</v>
      </c>
      <c r="AE1843">
        <v>0.73079999999998702</v>
      </c>
      <c r="AF1843">
        <v>1.9554459446050401</v>
      </c>
      <c r="AG1843">
        <v>-1.106969949689</v>
      </c>
      <c r="AH1843">
        <v>23.563775077991799</v>
      </c>
      <c r="AI1843">
        <v>92.680441479021496</v>
      </c>
      <c r="AJ1843">
        <v>85.256164610358397</v>
      </c>
      <c r="AK1843">
        <v>23.670670612341699</v>
      </c>
      <c r="AL1843">
        <v>80.763082411826403</v>
      </c>
      <c r="AM1843">
        <v>84.488418437825302</v>
      </c>
      <c r="AN1843">
        <v>1.0000000038010901</v>
      </c>
    </row>
    <row r="1844" spans="1:40" x14ac:dyDescent="0.25">
      <c r="A1844" t="str">
        <f>"20190312172928059"</f>
        <v>20190312172928059</v>
      </c>
      <c r="B1844" t="str">
        <f>"1552382968049701"</f>
        <v>1552382968049701</v>
      </c>
      <c r="C1844" t="s">
        <v>40</v>
      </c>
      <c r="D1844">
        <v>3.273361</v>
      </c>
      <c r="E1844">
        <v>0.4945812</v>
      </c>
      <c r="F1844" t="s">
        <v>47</v>
      </c>
      <c r="G1844">
        <v>-244.89590000000001</v>
      </c>
      <c r="H1844" s="1">
        <v>1.068544E-6</v>
      </c>
      <c r="I1844">
        <v>282.71769999999998</v>
      </c>
      <c r="J1844">
        <v>-221.4041</v>
      </c>
      <c r="K1844">
        <v>1.1069420000000001</v>
      </c>
      <c r="L1844">
        <v>281.95400000000001</v>
      </c>
      <c r="M1844">
        <v>-0.99880670000000005</v>
      </c>
      <c r="N1844">
        <v>0</v>
      </c>
      <c r="O1844">
        <v>-4.8553260000000001E-2</v>
      </c>
      <c r="P1844">
        <v>-0.98684760000000005</v>
      </c>
      <c r="Q1844">
        <v>0.15533</v>
      </c>
      <c r="R1844">
        <v>4.47725E-2</v>
      </c>
      <c r="S1844">
        <v>-3.0582280000000002</v>
      </c>
      <c r="T1844">
        <v>-0.14272560000000001</v>
      </c>
      <c r="U1844">
        <v>9.7412109999999996E-2</v>
      </c>
      <c r="V1844">
        <v>9.3498999999999999E-2</v>
      </c>
      <c r="W1844">
        <v>0.16002160000000001</v>
      </c>
      <c r="X1844">
        <v>0.98267539999999998</v>
      </c>
      <c r="Y1844">
        <v>8.0188099999999998E-2</v>
      </c>
      <c r="Z1844">
        <v>4.1336189999999998E-3</v>
      </c>
      <c r="AA1844">
        <v>0.99677119999999997</v>
      </c>
      <c r="AB1844">
        <v>23</v>
      </c>
      <c r="AC1844">
        <v>-23.491800000000001</v>
      </c>
      <c r="AD1844">
        <v>-1.1069409314559999</v>
      </c>
      <c r="AE1844">
        <v>0.76369999999997096</v>
      </c>
      <c r="AF1844">
        <v>1.8992061661364701</v>
      </c>
      <c r="AG1844">
        <v>-1.1069409314559999</v>
      </c>
      <c r="AH1844">
        <v>23.375166599726999</v>
      </c>
      <c r="AI1844">
        <v>92.702348793371399</v>
      </c>
      <c r="AJ1844">
        <v>85.354985178199001</v>
      </c>
      <c r="AK1844">
        <v>23.478303087153002</v>
      </c>
      <c r="AL1844">
        <v>80.791849651286995</v>
      </c>
      <c r="AM1844">
        <v>84.5648182982234</v>
      </c>
      <c r="AN1844">
        <v>0.99999995861635904</v>
      </c>
    </row>
    <row r="1845" spans="1:40" x14ac:dyDescent="0.25">
      <c r="A1845" t="str">
        <f>"20190312172928083"</f>
        <v>20190312172928083</v>
      </c>
      <c r="B1845" t="str">
        <f>"1552382968078981"</f>
        <v>1552382968078981</v>
      </c>
      <c r="C1845" t="s">
        <v>40</v>
      </c>
      <c r="D1845">
        <v>3.276694</v>
      </c>
      <c r="E1845">
        <v>0.49459589999999998</v>
      </c>
      <c r="F1845" t="s">
        <v>47</v>
      </c>
      <c r="G1845">
        <v>-244.85230000000001</v>
      </c>
      <c r="H1845" s="1">
        <v>1.045362E-6</v>
      </c>
      <c r="I1845">
        <v>282.7543</v>
      </c>
      <c r="J1845">
        <v>-221.65119999999999</v>
      </c>
      <c r="K1845">
        <v>1.1069100000000001</v>
      </c>
      <c r="L1845">
        <v>281.94589999999999</v>
      </c>
      <c r="M1845">
        <v>-0.99897809999999998</v>
      </c>
      <c r="N1845">
        <v>0</v>
      </c>
      <c r="O1845">
        <v>-4.4892840000000003E-2</v>
      </c>
      <c r="P1845">
        <v>-0.98672890000000002</v>
      </c>
      <c r="Q1845">
        <v>0.1553329</v>
      </c>
      <c r="R1845">
        <v>4.7307040000000002E-2</v>
      </c>
      <c r="S1845">
        <v>-3.0579679999999998</v>
      </c>
      <c r="T1845">
        <v>-0.1443604</v>
      </c>
      <c r="U1845">
        <v>0.10437009999999999</v>
      </c>
      <c r="V1845">
        <v>9.2429499999999998E-2</v>
      </c>
      <c r="W1845">
        <v>0.15999099999999999</v>
      </c>
      <c r="X1845">
        <v>0.98278160000000003</v>
      </c>
      <c r="Y1845">
        <v>7.8805990000000006E-2</v>
      </c>
      <c r="Z1845">
        <v>3.9759629999999999E-3</v>
      </c>
      <c r="AA1845">
        <v>0.99688200000000005</v>
      </c>
      <c r="AB1845">
        <v>24</v>
      </c>
      <c r="AC1845">
        <v>-23.2011</v>
      </c>
      <c r="AD1845">
        <v>-1.106908954638</v>
      </c>
      <c r="AE1845">
        <v>0.808400000000006</v>
      </c>
      <c r="AF1845">
        <v>1.8449681015961701</v>
      </c>
      <c r="AG1845">
        <v>-1.106908954638</v>
      </c>
      <c r="AH1845">
        <v>23.088925502381301</v>
      </c>
      <c r="AI1845">
        <v>92.736014664503301</v>
      </c>
      <c r="AJ1845">
        <v>85.431370118007095</v>
      </c>
      <c r="AK1845">
        <v>23.188955034332199</v>
      </c>
      <c r="AL1845">
        <v>80.793626197414099</v>
      </c>
      <c r="AM1845">
        <v>84.627200570590503</v>
      </c>
      <c r="AN1845">
        <v>1.0000000029249001</v>
      </c>
    </row>
    <row r="1846" spans="1:40" x14ac:dyDescent="0.25">
      <c r="A1846" t="str">
        <f>"20190312172928105"</f>
        <v>20190312172928105</v>
      </c>
      <c r="B1846" t="str">
        <f>"1552382968099477"</f>
        <v>1552382968099477</v>
      </c>
      <c r="C1846" t="s">
        <v>40</v>
      </c>
      <c r="D1846">
        <v>3.2645010000000001</v>
      </c>
      <c r="E1846">
        <v>0.49459809999999998</v>
      </c>
      <c r="F1846" t="s">
        <v>47</v>
      </c>
      <c r="G1846">
        <v>-245.05889999999999</v>
      </c>
      <c r="H1846" s="1">
        <v>1.1552979999999999E-6</v>
      </c>
      <c r="I1846">
        <v>282.8073</v>
      </c>
      <c r="J1846">
        <v>-221.89009999999999</v>
      </c>
      <c r="K1846">
        <v>1.1068789999999999</v>
      </c>
      <c r="L1846">
        <v>281.9391</v>
      </c>
      <c r="M1846">
        <v>-0.99913079999999999</v>
      </c>
      <c r="N1846">
        <v>0</v>
      </c>
      <c r="O1846">
        <v>-4.1357579999999998E-2</v>
      </c>
      <c r="P1846">
        <v>-0.9865912</v>
      </c>
      <c r="Q1846">
        <v>0.1553601</v>
      </c>
      <c r="R1846">
        <v>5.0013879999999997E-2</v>
      </c>
      <c r="S1846">
        <v>-3.057709</v>
      </c>
      <c r="T1846">
        <v>-0.144594</v>
      </c>
      <c r="U1846">
        <v>0.1125183</v>
      </c>
      <c r="V1846">
        <v>9.165537E-2</v>
      </c>
      <c r="W1846">
        <v>0.15998019999999999</v>
      </c>
      <c r="X1846">
        <v>0.9828559</v>
      </c>
      <c r="Y1846">
        <v>7.793891E-2</v>
      </c>
      <c r="Z1846">
        <v>3.7951090000000001E-3</v>
      </c>
      <c r="AA1846">
        <v>0.99695089999999997</v>
      </c>
      <c r="AB1846">
        <v>24</v>
      </c>
      <c r="AC1846">
        <v>-23.168800000000001</v>
      </c>
      <c r="AD1846">
        <v>-1.106877844702</v>
      </c>
      <c r="AE1846">
        <v>0.86820000000000097</v>
      </c>
      <c r="AF1846">
        <v>1.82152406289337</v>
      </c>
      <c r="AG1846">
        <v>-1.106877844702</v>
      </c>
      <c r="AH1846">
        <v>23.060509741681301</v>
      </c>
      <c r="AI1846">
        <v>92.739502321202906</v>
      </c>
      <c r="AJ1846">
        <v>85.483647285212399</v>
      </c>
      <c r="AK1846">
        <v>23.1588047623571</v>
      </c>
      <c r="AL1846">
        <v>80.794253463542404</v>
      </c>
      <c r="AM1846">
        <v>84.6723400863074</v>
      </c>
      <c r="AN1846">
        <v>1.00000004570334</v>
      </c>
    </row>
    <row r="1847" spans="1:40" x14ac:dyDescent="0.25">
      <c r="A1847" t="str">
        <f>"20190312172928125"</f>
        <v>20190312172928125</v>
      </c>
      <c r="B1847" t="str">
        <f>"1552382968118997"</f>
        <v>1552382968118997</v>
      </c>
      <c r="C1847" t="s">
        <v>40</v>
      </c>
      <c r="D1847">
        <v>3.274079</v>
      </c>
      <c r="E1847">
        <v>0.49460150000000003</v>
      </c>
      <c r="F1847" t="s">
        <v>47</v>
      </c>
      <c r="G1847">
        <v>-245.35230000000001</v>
      </c>
      <c r="H1847" s="1">
        <v>1.3114310000000001E-6</v>
      </c>
      <c r="I1847">
        <v>282.86509999999998</v>
      </c>
      <c r="J1847">
        <v>-222.11179999999999</v>
      </c>
      <c r="K1847">
        <v>1.106851</v>
      </c>
      <c r="L1847">
        <v>281.93340000000001</v>
      </c>
      <c r="M1847">
        <v>-0.99926139999999997</v>
      </c>
      <c r="N1847">
        <v>0</v>
      </c>
      <c r="O1847">
        <v>-3.8077670000000001E-2</v>
      </c>
      <c r="P1847">
        <v>-0.98641179999999995</v>
      </c>
      <c r="Q1847">
        <v>0.15566199999999999</v>
      </c>
      <c r="R1847">
        <v>5.255013E-2</v>
      </c>
      <c r="S1847">
        <v>-3.0573579999999998</v>
      </c>
      <c r="T1847">
        <v>-0.14423729999999901</v>
      </c>
      <c r="U1847">
        <v>0.1206665</v>
      </c>
      <c r="V1847">
        <v>9.0962799999999996E-2</v>
      </c>
      <c r="W1847">
        <v>0.16024559999999999</v>
      </c>
      <c r="X1847">
        <v>0.982877</v>
      </c>
      <c r="Y1847">
        <v>7.7328640000000004E-2</v>
      </c>
      <c r="Z1847">
        <v>3.6170820000000002E-3</v>
      </c>
      <c r="AA1847">
        <v>0.99699910000000003</v>
      </c>
      <c r="AB1847">
        <v>24</v>
      </c>
      <c r="AC1847">
        <v>-23.240500000000001</v>
      </c>
      <c r="AD1847">
        <v>-1.106849688569</v>
      </c>
      <c r="AE1847">
        <v>0.93169999999997799</v>
      </c>
      <c r="AF1847">
        <v>1.81187706828699</v>
      </c>
      <c r="AG1847">
        <v>-1.106849688569</v>
      </c>
      <c r="AH1847">
        <v>23.135774727645199</v>
      </c>
      <c r="AI1847">
        <v>92.730677998208606</v>
      </c>
      <c r="AJ1847">
        <v>85.522023721442906</v>
      </c>
      <c r="AK1847">
        <v>23.232995652563101</v>
      </c>
      <c r="AL1847">
        <v>80.778848368309298</v>
      </c>
      <c r="AM1847">
        <v>84.712480987720596</v>
      </c>
      <c r="AN1847">
        <v>1.00000004021609</v>
      </c>
    </row>
    <row r="1848" spans="1:40" x14ac:dyDescent="0.25">
      <c r="A1848" t="str">
        <f>"20190312172928149"</f>
        <v>20190312172928149</v>
      </c>
      <c r="B1848" t="str">
        <f>"1552382968139493"</f>
        <v>1552382968139493</v>
      </c>
      <c r="C1848" t="s">
        <v>40</v>
      </c>
      <c r="D1848">
        <v>3.273228</v>
      </c>
      <c r="E1848">
        <v>0.49458380000000002</v>
      </c>
      <c r="F1848" t="s">
        <v>47</v>
      </c>
      <c r="G1848">
        <v>-245.7253</v>
      </c>
      <c r="H1848" s="1">
        <v>1.509918E-6</v>
      </c>
      <c r="I1848">
        <v>282.92439999999999</v>
      </c>
      <c r="J1848">
        <v>-222.3657</v>
      </c>
      <c r="K1848">
        <v>1.1068249999999999</v>
      </c>
      <c r="L1848">
        <v>281.92790000000002</v>
      </c>
      <c r="M1848">
        <v>-0.99939770000000006</v>
      </c>
      <c r="N1848">
        <v>0</v>
      </c>
      <c r="O1848">
        <v>-3.4325830000000002E-2</v>
      </c>
      <c r="P1848">
        <v>-0.98615580000000003</v>
      </c>
      <c r="Q1848">
        <v>0.15610779999999999</v>
      </c>
      <c r="R1848">
        <v>5.5921249999999999E-2</v>
      </c>
      <c r="S1848">
        <v>-3.057083</v>
      </c>
      <c r="T1848">
        <v>-0.1432967</v>
      </c>
      <c r="U1848">
        <v>0.12829589999999999</v>
      </c>
      <c r="V1848">
        <v>9.0640620000000005E-2</v>
      </c>
      <c r="W1848">
        <v>0.16064709999999999</v>
      </c>
      <c r="X1848">
        <v>0.98284119999999997</v>
      </c>
      <c r="Y1848">
        <v>7.6080200000000001E-2</v>
      </c>
      <c r="Z1848">
        <v>3.3887800000000001E-3</v>
      </c>
      <c r="AA1848">
        <v>0.99709590000000003</v>
      </c>
      <c r="AB1848">
        <v>24</v>
      </c>
      <c r="AC1848">
        <v>-23.3596</v>
      </c>
      <c r="AD1848">
        <v>-1.106823490082</v>
      </c>
      <c r="AE1848">
        <v>0.99649999999996897</v>
      </c>
      <c r="AF1848">
        <v>1.7937410922088399</v>
      </c>
      <c r="AG1848">
        <v>-1.106823490082</v>
      </c>
      <c r="AH1848">
        <v>23.259503697398198</v>
      </c>
      <c r="AI1848">
        <v>92.716360416678</v>
      </c>
      <c r="AJ1848">
        <v>85.590156273969797</v>
      </c>
      <c r="AK1848">
        <v>23.354808446942101</v>
      </c>
      <c r="AL1848">
        <v>80.755541969828499</v>
      </c>
      <c r="AM1848">
        <v>84.730912356439205</v>
      </c>
      <c r="AN1848">
        <v>1.0000000185749101</v>
      </c>
    </row>
    <row r="1849" spans="1:40" x14ac:dyDescent="0.25">
      <c r="A1849" t="str">
        <f>"20190312172928170"</f>
        <v>20190312172928170</v>
      </c>
      <c r="B1849" t="str">
        <f>"1552382968159017"</f>
        <v>1552382968159017</v>
      </c>
      <c r="C1849" t="s">
        <v>40</v>
      </c>
      <c r="D1849">
        <v>3.2530380000000001</v>
      </c>
      <c r="E1849">
        <v>0.4945601</v>
      </c>
      <c r="F1849" t="s">
        <v>47</v>
      </c>
      <c r="G1849">
        <v>-246.21340000000001</v>
      </c>
      <c r="H1849" s="1">
        <v>1.7696589999999999E-6</v>
      </c>
      <c r="I1849">
        <v>283.01049999999998</v>
      </c>
      <c r="J1849">
        <v>-222.60069999999999</v>
      </c>
      <c r="K1849">
        <v>1.106797</v>
      </c>
      <c r="L1849">
        <v>281.92360000000002</v>
      </c>
      <c r="M1849">
        <v>-0.99951109999999999</v>
      </c>
      <c r="N1849">
        <v>0</v>
      </c>
      <c r="O1849">
        <v>-3.085448E-2</v>
      </c>
      <c r="P1849">
        <v>-0.98594309999999996</v>
      </c>
      <c r="Q1849">
        <v>0.15637529999999999</v>
      </c>
      <c r="R1849">
        <v>5.8850010000000001E-2</v>
      </c>
      <c r="S1849">
        <v>-3.056702</v>
      </c>
      <c r="T1849">
        <v>-0.14186799999999999</v>
      </c>
      <c r="U1849">
        <v>0.13876340000000001</v>
      </c>
      <c r="V1849">
        <v>9.0154709999999999E-2</v>
      </c>
      <c r="W1849">
        <v>0.1608773</v>
      </c>
      <c r="X1849">
        <v>0.98284819999999995</v>
      </c>
      <c r="Y1849">
        <v>7.6036430000000002E-2</v>
      </c>
      <c r="Z1849">
        <v>3.1932639999999999E-3</v>
      </c>
      <c r="AA1849">
        <v>0.99709990000000004</v>
      </c>
      <c r="AB1849">
        <v>24</v>
      </c>
      <c r="AC1849">
        <v>-23.6127</v>
      </c>
      <c r="AD1849">
        <v>-1.106795230341</v>
      </c>
      <c r="AE1849">
        <v>1.08689999999995</v>
      </c>
      <c r="AF1849">
        <v>1.8109789623138599</v>
      </c>
      <c r="AG1849">
        <v>-1.106795230341</v>
      </c>
      <c r="AH1849">
        <v>23.516363459651899</v>
      </c>
      <c r="AI1849">
        <v>92.686688390087696</v>
      </c>
      <c r="AJ1849">
        <v>85.596382856086706</v>
      </c>
      <c r="AK1849">
        <v>23.611945935274001</v>
      </c>
      <c r="AL1849">
        <v>80.742178314751698</v>
      </c>
      <c r="AM1849">
        <v>84.759038497933901</v>
      </c>
      <c r="AN1849">
        <v>0.99999998081685604</v>
      </c>
    </row>
    <row r="1850" spans="1:40" x14ac:dyDescent="0.25">
      <c r="A1850" t="str">
        <f>"20190312172928183"</f>
        <v>20190312172928183</v>
      </c>
      <c r="B1850" t="str">
        <f>"1552382968179510"</f>
        <v>1552382968179510</v>
      </c>
      <c r="C1850" t="s">
        <v>40</v>
      </c>
      <c r="D1850">
        <v>3.2547830000000002</v>
      </c>
      <c r="E1850">
        <v>0.49453039999999998</v>
      </c>
      <c r="F1850" t="s">
        <v>47</v>
      </c>
      <c r="G1850">
        <v>-246.63059999999999</v>
      </c>
      <c r="H1850" s="1">
        <v>1.9916920000000001E-6</v>
      </c>
      <c r="I1850">
        <v>283.08850000000001</v>
      </c>
      <c r="J1850">
        <v>-222.73779999999999</v>
      </c>
      <c r="K1850">
        <v>1.106779</v>
      </c>
      <c r="L1850">
        <v>281.92129999999997</v>
      </c>
      <c r="M1850">
        <v>-0.99957149999999995</v>
      </c>
      <c r="N1850">
        <v>0</v>
      </c>
      <c r="O1850">
        <v>-2.8830439999999999E-2</v>
      </c>
      <c r="P1850">
        <v>-0.98573730000000004</v>
      </c>
      <c r="Q1850">
        <v>0.15712899999999999</v>
      </c>
      <c r="R1850">
        <v>6.0270530000000003E-2</v>
      </c>
      <c r="S1850">
        <v>-3.0562589999999998</v>
      </c>
      <c r="T1850">
        <v>-0.14076830000000001</v>
      </c>
      <c r="U1850">
        <v>0.14816279999999901</v>
      </c>
      <c r="V1850">
        <v>8.9585830000000005E-2</v>
      </c>
      <c r="W1850">
        <v>0.1616119</v>
      </c>
      <c r="X1850">
        <v>0.98277969999999903</v>
      </c>
      <c r="Y1850">
        <v>7.7086440000000006E-2</v>
      </c>
      <c r="Z1850">
        <v>3.0998140000000002E-3</v>
      </c>
      <c r="AA1850">
        <v>0.99701960000000001</v>
      </c>
      <c r="AB1850">
        <v>24</v>
      </c>
      <c r="AC1850">
        <v>-23.892799999999902</v>
      </c>
      <c r="AD1850">
        <v>-1.106777008308</v>
      </c>
      <c r="AE1850">
        <v>1.16720000000003</v>
      </c>
      <c r="AF1850">
        <v>1.85159988785047</v>
      </c>
      <c r="AG1850">
        <v>-1.106777008308</v>
      </c>
      <c r="AH1850">
        <v>23.7982721882824</v>
      </c>
      <c r="AI1850">
        <v>92.654702578955394</v>
      </c>
      <c r="AJ1850">
        <v>85.551123873816394</v>
      </c>
      <c r="AK1850">
        <v>23.8958393164664</v>
      </c>
      <c r="AL1850">
        <v>80.699530787626898</v>
      </c>
      <c r="AM1850">
        <v>84.791565742313097</v>
      </c>
      <c r="AN1850">
        <v>0.99999998294524395</v>
      </c>
    </row>
    <row r="1851" spans="1:40" x14ac:dyDescent="0.25">
      <c r="A1851" t="str">
        <f>"20190312172928204"</f>
        <v>20190312172928204</v>
      </c>
      <c r="B1851" t="str">
        <f>"1552382968199029"</f>
        <v>1552382968199029</v>
      </c>
      <c r="C1851" t="s">
        <v>40</v>
      </c>
      <c r="D1851">
        <v>3.2646470000000001</v>
      </c>
      <c r="E1851">
        <v>0.4945348</v>
      </c>
      <c r="F1851" t="s">
        <v>47</v>
      </c>
      <c r="G1851">
        <v>-247.21780000000001</v>
      </c>
      <c r="H1851" s="1">
        <v>2.3041730000000002E-6</v>
      </c>
      <c r="I1851">
        <v>283.14240000000001</v>
      </c>
      <c r="J1851">
        <v>-222.964</v>
      </c>
      <c r="K1851">
        <v>1.106757</v>
      </c>
      <c r="L1851">
        <v>281.91840000000002</v>
      </c>
      <c r="M1851">
        <v>-0.99966250000000001</v>
      </c>
      <c r="N1851">
        <v>0</v>
      </c>
      <c r="O1851">
        <v>-2.5493680000000001E-2</v>
      </c>
      <c r="P1851">
        <v>-0.9854733</v>
      </c>
      <c r="Q1851">
        <v>0.1576852</v>
      </c>
      <c r="R1851">
        <v>6.3071879999999997E-2</v>
      </c>
      <c r="S1851">
        <v>-3.0561370000000001</v>
      </c>
      <c r="T1851">
        <v>-0.1381723</v>
      </c>
      <c r="U1851">
        <v>0.1524353</v>
      </c>
      <c r="V1851">
        <v>8.9107119999999998E-2</v>
      </c>
      <c r="W1851">
        <v>0.16213459999999999</v>
      </c>
      <c r="X1851">
        <v>0.98273710000000003</v>
      </c>
      <c r="Y1851">
        <v>7.5160060000000001E-2</v>
      </c>
      <c r="Z1851">
        <v>2.848532E-3</v>
      </c>
      <c r="AA1851">
        <v>0.99716740000000004</v>
      </c>
      <c r="AB1851">
        <v>24</v>
      </c>
      <c r="AC1851">
        <v>-24.253799999999899</v>
      </c>
      <c r="AD1851">
        <v>-1.106754695827</v>
      </c>
      <c r="AE1851">
        <v>1.22399999999998</v>
      </c>
      <c r="AF1851">
        <v>1.8381107284243601</v>
      </c>
      <c r="AG1851">
        <v>-1.106754695827</v>
      </c>
      <c r="AH1851">
        <v>24.164522317200401</v>
      </c>
      <c r="AI1851">
        <v>92.614817109813899</v>
      </c>
      <c r="AJ1851">
        <v>85.650087160353394</v>
      </c>
      <c r="AK1851">
        <v>24.259589770339499</v>
      </c>
      <c r="AL1851">
        <v>80.669181790715896</v>
      </c>
      <c r="AM1851">
        <v>84.819022271001401</v>
      </c>
      <c r="AN1851">
        <v>0.99999995753413096</v>
      </c>
    </row>
    <row r="1852" spans="1:40" x14ac:dyDescent="0.25">
      <c r="A1852" t="str">
        <f>"20190312172928226"</f>
        <v>20190312172928226</v>
      </c>
      <c r="B1852" t="str">
        <f>"1552382968219526"</f>
        <v>1552382968219526</v>
      </c>
      <c r="C1852" t="s">
        <v>40</v>
      </c>
      <c r="D1852">
        <v>3.2565780000000002</v>
      </c>
      <c r="E1852">
        <v>0.49452699999999999</v>
      </c>
      <c r="F1852" t="s">
        <v>47</v>
      </c>
      <c r="G1852">
        <v>-247.80269999999999</v>
      </c>
      <c r="H1852" s="1">
        <v>2.6154029999999999E-6</v>
      </c>
      <c r="I1852">
        <v>283.23020000000002</v>
      </c>
      <c r="J1852">
        <v>-223.21549999999999</v>
      </c>
      <c r="K1852">
        <v>1.1067290000000001</v>
      </c>
      <c r="L1852">
        <v>281.916</v>
      </c>
      <c r="M1852">
        <v>-0.99975009999999997</v>
      </c>
      <c r="N1852">
        <v>0</v>
      </c>
      <c r="O1852">
        <v>-2.178809E-2</v>
      </c>
      <c r="P1852">
        <v>-0.98515660000000005</v>
      </c>
      <c r="Q1852">
        <v>0.1585907</v>
      </c>
      <c r="R1852">
        <v>6.5693459999999995E-2</v>
      </c>
      <c r="S1852">
        <v>-3.0556640000000002</v>
      </c>
      <c r="T1852">
        <v>-0.13615350000000001</v>
      </c>
      <c r="U1852">
        <v>0.16137699999999999</v>
      </c>
      <c r="V1852">
        <v>8.8089089999999995E-2</v>
      </c>
      <c r="W1852">
        <v>0.163001799999999</v>
      </c>
      <c r="X1852">
        <v>0.98268540000000004</v>
      </c>
      <c r="Y1852">
        <v>7.4389230000000001E-2</v>
      </c>
      <c r="Z1852">
        <v>2.6251E-3</v>
      </c>
      <c r="AA1852">
        <v>0.99722580000000005</v>
      </c>
      <c r="AB1852">
        <v>24</v>
      </c>
      <c r="AC1852">
        <v>-24.587199999999999</v>
      </c>
      <c r="AD1852">
        <v>-1.1067263845969999</v>
      </c>
      <c r="AE1852">
        <v>1.31420000000002</v>
      </c>
      <c r="AF1852">
        <v>1.84587356054031</v>
      </c>
      <c r="AG1852">
        <v>-1.1067263845969999</v>
      </c>
      <c r="AH1852">
        <v>24.5032241456381</v>
      </c>
      <c r="AI1852">
        <v>92.578798811888106</v>
      </c>
      <c r="AJ1852">
        <v>85.691939063979802</v>
      </c>
      <c r="AK1852">
        <v>24.5975626032996</v>
      </c>
      <c r="AL1852">
        <v>80.618824792572696</v>
      </c>
      <c r="AM1852">
        <v>84.877629130966397</v>
      </c>
      <c r="AN1852">
        <v>0.99999993497671202</v>
      </c>
    </row>
    <row r="1853" spans="1:40" x14ac:dyDescent="0.25">
      <c r="A1853" t="str">
        <f>"20190312172928249"</f>
        <v>20190312172928249</v>
      </c>
      <c r="B1853" t="str">
        <f>"1552382968239049"</f>
        <v>1552382968239049</v>
      </c>
      <c r="C1853" t="s">
        <v>40</v>
      </c>
      <c r="D1853">
        <v>3.2452800000000002</v>
      </c>
      <c r="E1853">
        <v>0.49450559999999899</v>
      </c>
      <c r="F1853" t="s">
        <v>47</v>
      </c>
      <c r="G1853">
        <v>-248.62299999999999</v>
      </c>
      <c r="H1853" s="1">
        <v>3.0519259999999998E-6</v>
      </c>
      <c r="I1853">
        <v>283.32499999999999</v>
      </c>
      <c r="J1853">
        <v>-223.47710000000001</v>
      </c>
      <c r="K1853">
        <v>1.106698</v>
      </c>
      <c r="L1853">
        <v>281.91449999999998</v>
      </c>
      <c r="M1853">
        <v>-0.99982680000000002</v>
      </c>
      <c r="N1853">
        <v>0</v>
      </c>
      <c r="O1853">
        <v>-1.7937910000000001E-2</v>
      </c>
      <c r="P1853">
        <v>-0.9848055</v>
      </c>
      <c r="Q1853">
        <v>0.15941910000000001</v>
      </c>
      <c r="R1853">
        <v>6.8876039999999999E-2</v>
      </c>
      <c r="S1853">
        <v>-3.0553279999999998</v>
      </c>
      <c r="T1853">
        <v>-0.13308699999999901</v>
      </c>
      <c r="U1853">
        <v>0.16943359999999999</v>
      </c>
      <c r="V1853">
        <v>8.7490830000000006E-2</v>
      </c>
      <c r="W1853">
        <v>0.1637846</v>
      </c>
      <c r="X1853">
        <v>0.9826087</v>
      </c>
      <c r="Y1853">
        <v>7.3185570000000005E-2</v>
      </c>
      <c r="Z1853">
        <v>2.3724319999999998E-3</v>
      </c>
      <c r="AA1853">
        <v>0.99731550000000002</v>
      </c>
      <c r="AB1853">
        <v>25</v>
      </c>
      <c r="AC1853">
        <v>-25.145899999999902</v>
      </c>
      <c r="AD1853">
        <v>-1.106694948074</v>
      </c>
      <c r="AE1853">
        <v>1.4105000000000101</v>
      </c>
      <c r="AF1853">
        <v>1.8577563681965099</v>
      </c>
      <c r="AG1853">
        <v>-1.106694948074</v>
      </c>
      <c r="AH1853">
        <v>25.068148463794198</v>
      </c>
      <c r="AI1853">
        <v>92.520917397220998</v>
      </c>
      <c r="AJ1853">
        <v>85.7616583124871</v>
      </c>
      <c r="AK1853">
        <v>25.161242016929499</v>
      </c>
      <c r="AL1853">
        <v>80.573362820827299</v>
      </c>
      <c r="AM1853">
        <v>84.911839623536807</v>
      </c>
      <c r="AN1853">
        <v>0.999999948923468</v>
      </c>
    </row>
    <row r="1854" spans="1:40" x14ac:dyDescent="0.25">
      <c r="A1854" t="str">
        <f>"20190312172928272"</f>
        <v>20190312172928272</v>
      </c>
      <c r="B1854" t="str">
        <f>"1552382968269302"</f>
        <v>1552382968269302</v>
      </c>
      <c r="C1854" t="s">
        <v>40</v>
      </c>
      <c r="D1854">
        <v>3.2586020000000002</v>
      </c>
      <c r="E1854">
        <v>0.49442320000000001</v>
      </c>
      <c r="F1854" t="s">
        <v>47</v>
      </c>
      <c r="G1854">
        <v>-249.3603</v>
      </c>
      <c r="H1854" s="1">
        <v>3.4442870000000001E-6</v>
      </c>
      <c r="I1854">
        <v>283.43329999999997</v>
      </c>
      <c r="J1854">
        <v>-223.72550000000001</v>
      </c>
      <c r="K1854">
        <v>1.1066689999999999</v>
      </c>
      <c r="L1854">
        <v>281.91390000000001</v>
      </c>
      <c r="M1854">
        <v>-0.99988589999999999</v>
      </c>
      <c r="N1854">
        <v>0</v>
      </c>
      <c r="O1854">
        <v>-1.428811E-2</v>
      </c>
      <c r="P1854">
        <v>-0.98458710000000005</v>
      </c>
      <c r="Q1854">
        <v>0.1596754</v>
      </c>
      <c r="R1854">
        <v>7.1357760000000006E-2</v>
      </c>
      <c r="S1854">
        <v>-3.0549010000000001</v>
      </c>
      <c r="T1854">
        <v>-0.13061900000000001</v>
      </c>
      <c r="U1854">
        <v>0.17926029999999901</v>
      </c>
      <c r="V1854">
        <v>8.6388510000000002E-2</v>
      </c>
      <c r="W1854">
        <v>0.16399949999999999</v>
      </c>
      <c r="X1854">
        <v>0.98267040000000005</v>
      </c>
      <c r="Y1854">
        <v>7.2757299999999997E-2</v>
      </c>
      <c r="Z1854">
        <v>2.1635780000000002E-3</v>
      </c>
      <c r="AA1854">
        <v>0.9973474</v>
      </c>
      <c r="AB1854">
        <v>25</v>
      </c>
      <c r="AC1854">
        <v>-25.634799999999899</v>
      </c>
      <c r="AD1854">
        <v>-1.1066655557130001</v>
      </c>
      <c r="AE1854">
        <v>1.5193999999999599</v>
      </c>
      <c r="AF1854">
        <v>1.88202691016221</v>
      </c>
      <c r="AG1854">
        <v>-1.1066655557130001</v>
      </c>
      <c r="AH1854">
        <v>25.562998873304899</v>
      </c>
      <c r="AI1854">
        <v>92.472200861088595</v>
      </c>
      <c r="AJ1854">
        <v>85.789304656469099</v>
      </c>
      <c r="AK1854">
        <v>25.656064494371702</v>
      </c>
      <c r="AL1854">
        <v>80.560881316571397</v>
      </c>
      <c r="AM1854">
        <v>84.975930330261903</v>
      </c>
      <c r="AN1854">
        <v>0.99999996284821402</v>
      </c>
    </row>
    <row r="1855" spans="1:40" x14ac:dyDescent="0.25">
      <c r="A1855" t="str">
        <f>"20190312172928296"</f>
        <v>20190312172928296</v>
      </c>
      <c r="B1855" t="str">
        <f>"1552382968289799"</f>
        <v>1552382968289799</v>
      </c>
      <c r="C1855" t="s">
        <v>40</v>
      </c>
      <c r="D1855">
        <v>3.2574079999999999</v>
      </c>
      <c r="E1855">
        <v>0.49436279999999999</v>
      </c>
      <c r="F1855" t="s">
        <v>47</v>
      </c>
      <c r="G1855">
        <v>-249.71289999999999</v>
      </c>
      <c r="H1855" s="1">
        <v>3.6319119999999998E-6</v>
      </c>
      <c r="I1855">
        <v>283.49540000000002</v>
      </c>
      <c r="J1855">
        <v>-223.99170000000001</v>
      </c>
      <c r="K1855">
        <v>1.106635</v>
      </c>
      <c r="L1855">
        <v>281.91430000000003</v>
      </c>
      <c r="M1855">
        <v>-0.9999342</v>
      </c>
      <c r="N1855">
        <v>0</v>
      </c>
      <c r="O1855">
        <v>-1.0389539999999999E-2</v>
      </c>
      <c r="P1855">
        <v>-0.98438650000000005</v>
      </c>
      <c r="Q1855">
        <v>0.15968299999999999</v>
      </c>
      <c r="R1855">
        <v>7.405834E-2</v>
      </c>
      <c r="S1855">
        <v>-3.0545499999999999</v>
      </c>
      <c r="T1855">
        <v>-0.13007739999999901</v>
      </c>
      <c r="U1855">
        <v>0.18588260000000001</v>
      </c>
      <c r="V1855">
        <v>8.5259719999999997E-2</v>
      </c>
      <c r="W1855">
        <v>0.16396050000000001</v>
      </c>
      <c r="X1855">
        <v>0.98277550000000002</v>
      </c>
      <c r="Y1855">
        <v>7.1035609999999999E-2</v>
      </c>
      <c r="Z1855">
        <v>1.952299E-3</v>
      </c>
      <c r="AA1855">
        <v>0.99747189999999997</v>
      </c>
      <c r="AB1855">
        <v>25</v>
      </c>
      <c r="AC1855">
        <v>-25.7211999999999</v>
      </c>
      <c r="AD1855">
        <v>-1.106631368088</v>
      </c>
      <c r="AE1855">
        <v>1.58109999999999</v>
      </c>
      <c r="AF1855">
        <v>1.8448471673170399</v>
      </c>
      <c r="AG1855">
        <v>-1.106631368088</v>
      </c>
      <c r="AH1855">
        <v>25.6560721476075</v>
      </c>
      <c r="AI1855">
        <v>92.463473079603403</v>
      </c>
      <c r="AJ1855">
        <v>85.887120273224596</v>
      </c>
      <c r="AK1855">
        <v>25.746109067174299</v>
      </c>
      <c r="AL1855">
        <v>80.563146624620003</v>
      </c>
      <c r="AM1855">
        <v>85.041775206308799</v>
      </c>
      <c r="AN1855">
        <v>0.999999974407488</v>
      </c>
    </row>
    <row r="1856" spans="1:40" x14ac:dyDescent="0.25">
      <c r="A1856" t="str">
        <f>"20190312172928319"</f>
        <v>20190312172928319</v>
      </c>
      <c r="B1856" t="str">
        <f>"1552382968309318"</f>
        <v>1552382968309318</v>
      </c>
      <c r="C1856" t="s">
        <v>40</v>
      </c>
      <c r="D1856">
        <v>3.261558</v>
      </c>
      <c r="E1856">
        <v>0.49433510000000003</v>
      </c>
      <c r="F1856" t="s">
        <v>47</v>
      </c>
      <c r="G1856">
        <v>-249.98159999999999</v>
      </c>
      <c r="H1856" s="1">
        <v>-1.5465989999999999E-6</v>
      </c>
      <c r="I1856">
        <v>283.56369999999998</v>
      </c>
      <c r="J1856">
        <v>-224.2482</v>
      </c>
      <c r="K1856">
        <v>1.1066069999999999</v>
      </c>
      <c r="L1856">
        <v>281.91559999999998</v>
      </c>
      <c r="M1856">
        <v>-0.99996629999999997</v>
      </c>
      <c r="N1856">
        <v>0</v>
      </c>
      <c r="O1856">
        <v>-6.651293E-3</v>
      </c>
      <c r="P1856">
        <v>-0.98426279999999999</v>
      </c>
      <c r="Q1856">
        <v>0.15929179999999901</v>
      </c>
      <c r="R1856">
        <v>7.6503719999999997E-2</v>
      </c>
      <c r="S1856">
        <v>-3.0540919999999998</v>
      </c>
      <c r="T1856">
        <v>-0.13004169999999901</v>
      </c>
      <c r="U1856">
        <v>0.19381709999999999</v>
      </c>
      <c r="V1856">
        <v>8.4030079999999993E-2</v>
      </c>
      <c r="W1856">
        <v>0.16352439999999999</v>
      </c>
      <c r="X1856">
        <v>0.98295410000000005</v>
      </c>
      <c r="Y1856">
        <v>6.9901569999999996E-2</v>
      </c>
      <c r="Z1856">
        <v>1.7688329999999901E-3</v>
      </c>
      <c r="AA1856">
        <v>0.99755229999999995</v>
      </c>
      <c r="AB1856">
        <v>25</v>
      </c>
      <c r="AC1856">
        <v>-25.7333999999999</v>
      </c>
      <c r="AD1856">
        <v>-1.1066085465990001</v>
      </c>
      <c r="AE1856">
        <v>1.6480999999999899</v>
      </c>
      <c r="AF1856">
        <v>1.8158816216807201</v>
      </c>
      <c r="AG1856">
        <v>-1.1066085465990001</v>
      </c>
      <c r="AH1856">
        <v>25.6745840759726</v>
      </c>
      <c r="AI1856">
        <v>92.461854212855101</v>
      </c>
      <c r="AJ1856">
        <v>85.9543886492539</v>
      </c>
      <c r="AK1856">
        <v>25.762497472363801</v>
      </c>
      <c r="AL1856">
        <v>80.588475634852401</v>
      </c>
      <c r="AM1856">
        <v>85.113818962653298</v>
      </c>
      <c r="AN1856">
        <v>1.00000002322348</v>
      </c>
    </row>
    <row r="1857" spans="1:40" x14ac:dyDescent="0.25">
      <c r="A1857" t="str">
        <f>"20190312172928338"</f>
        <v>20190312172928338</v>
      </c>
      <c r="B1857" t="str">
        <f>"1552382968328841"</f>
        <v>1552382968328841</v>
      </c>
      <c r="C1857" t="s">
        <v>40</v>
      </c>
      <c r="D1857">
        <v>3.283185</v>
      </c>
      <c r="E1857">
        <v>0.49428620000000001</v>
      </c>
      <c r="F1857" t="s">
        <v>47</v>
      </c>
      <c r="G1857">
        <v>-250.0068</v>
      </c>
      <c r="H1857" s="1">
        <v>-1.5331829999999999E-6</v>
      </c>
      <c r="I1857">
        <v>283.61340000000001</v>
      </c>
      <c r="J1857">
        <v>-224.48</v>
      </c>
      <c r="K1857">
        <v>1.1065910000000001</v>
      </c>
      <c r="L1857">
        <v>281.91770000000002</v>
      </c>
      <c r="M1857">
        <v>-0.99998330000000002</v>
      </c>
      <c r="N1857">
        <v>0</v>
      </c>
      <c r="O1857">
        <v>-3.2971319999999999E-3</v>
      </c>
      <c r="P1857">
        <v>-0.98396019999999895</v>
      </c>
      <c r="Q1857">
        <v>0.15970429999999999</v>
      </c>
      <c r="R1857">
        <v>7.9481579999999996E-2</v>
      </c>
      <c r="S1857">
        <v>-3.0535739999999998</v>
      </c>
      <c r="T1857">
        <v>-0.13118369999999999</v>
      </c>
      <c r="U1857">
        <v>0.20126340000000001</v>
      </c>
      <c r="V1857">
        <v>8.3712419999999996E-2</v>
      </c>
      <c r="W1857">
        <v>0.163891799999999</v>
      </c>
      <c r="X1857">
        <v>0.98292000000000002</v>
      </c>
      <c r="Y1857">
        <v>6.8991369999999996E-2</v>
      </c>
      <c r="Z1857">
        <v>1.62110799999999E-3</v>
      </c>
      <c r="AA1857">
        <v>0.9976159</v>
      </c>
      <c r="AB1857">
        <v>25</v>
      </c>
      <c r="AC1857">
        <v>-25.526800000000001</v>
      </c>
      <c r="AD1857">
        <v>-1.10659253318299</v>
      </c>
      <c r="AE1857">
        <v>1.69569999999998</v>
      </c>
      <c r="AF1857">
        <v>1.77653309153275</v>
      </c>
      <c r="AG1857">
        <v>-1.10659253318299</v>
      </c>
      <c r="AH1857">
        <v>25.473409843598901</v>
      </c>
      <c r="AI1857">
        <v>92.481407243913296</v>
      </c>
      <c r="AJ1857">
        <v>86.010612444603396</v>
      </c>
      <c r="AK1857">
        <v>25.559249322305401</v>
      </c>
      <c r="AL1857">
        <v>80.567137149904696</v>
      </c>
      <c r="AM1857">
        <v>85.132033267924697</v>
      </c>
      <c r="AN1857">
        <v>1.0000000088847401</v>
      </c>
    </row>
    <row r="1858" spans="1:40" x14ac:dyDescent="0.25">
      <c r="A1858" t="str">
        <f>"20190312172928361"</f>
        <v>20190312172928361</v>
      </c>
      <c r="B1858" t="str">
        <f>"1552382968349333"</f>
        <v>1552382968349333</v>
      </c>
      <c r="C1858" t="s">
        <v>40</v>
      </c>
      <c r="D1858">
        <v>3.2955009999999998</v>
      </c>
      <c r="E1858">
        <v>0.49423980000000001</v>
      </c>
      <c r="F1858" t="s">
        <v>47</v>
      </c>
      <c r="G1858">
        <v>-250.44909999999999</v>
      </c>
      <c r="H1858" s="1">
        <v>-1.2978059999999901E-6</v>
      </c>
      <c r="I1858">
        <v>283.70179999999999</v>
      </c>
      <c r="J1858">
        <v>-224.73269999999999</v>
      </c>
      <c r="K1858">
        <v>1.106576</v>
      </c>
      <c r="L1858">
        <v>281.92059999999998</v>
      </c>
      <c r="M1858">
        <v>-0.99998880000000001</v>
      </c>
      <c r="N1858">
        <v>0</v>
      </c>
      <c r="O1858">
        <v>3.241257E-4</v>
      </c>
      <c r="P1858">
        <v>-0.98371980000000003</v>
      </c>
      <c r="Q1858">
        <v>0.15984139999999999</v>
      </c>
      <c r="R1858">
        <v>8.2135199999999894E-2</v>
      </c>
      <c r="S1858">
        <v>-3.0530550000000001</v>
      </c>
      <c r="T1858">
        <v>-0.1300964</v>
      </c>
      <c r="U1858">
        <v>0.2097473</v>
      </c>
      <c r="V1858">
        <v>8.2805039999999996E-2</v>
      </c>
      <c r="W1858">
        <v>0.163987299999999</v>
      </c>
      <c r="X1858">
        <v>0.98298090000000005</v>
      </c>
      <c r="Y1858">
        <v>6.8154599999999996E-2</v>
      </c>
      <c r="Z1858">
        <v>1.435944E-3</v>
      </c>
      <c r="AA1858">
        <v>0.9976737</v>
      </c>
      <c r="AB1858">
        <v>25</v>
      </c>
      <c r="AC1858">
        <v>-25.7164</v>
      </c>
      <c r="AD1858">
        <v>-1.106577297806</v>
      </c>
      <c r="AE1858">
        <v>1.7812000000000101</v>
      </c>
      <c r="AF1858">
        <v>1.7696035435770301</v>
      </c>
      <c r="AG1858">
        <v>-1.106577297806</v>
      </c>
      <c r="AH1858">
        <v>25.669673388278198</v>
      </c>
      <c r="AI1858">
        <v>92.4625609565974</v>
      </c>
      <c r="AJ1858">
        <v>86.056410479857405</v>
      </c>
      <c r="AK1858">
        <v>25.754381023009199</v>
      </c>
      <c r="AL1858">
        <v>80.561590077048507</v>
      </c>
      <c r="AM1858">
        <v>85.184845846471305</v>
      </c>
      <c r="AN1858">
        <v>0.99999997948774999</v>
      </c>
    </row>
    <row r="1859" spans="1:40" x14ac:dyDescent="0.25">
      <c r="A1859" t="str">
        <f>"20190312172928383"</f>
        <v>20190312172928383</v>
      </c>
      <c r="B1859" t="str">
        <f>"1552382968379589"</f>
        <v>1552382968379589</v>
      </c>
      <c r="C1859" t="s">
        <v>40</v>
      </c>
      <c r="D1859">
        <v>3.2731020000000002</v>
      </c>
      <c r="E1859">
        <v>0.49414439999999998</v>
      </c>
      <c r="F1859" t="s">
        <v>47</v>
      </c>
      <c r="G1859">
        <v>-250.76840000000001</v>
      </c>
      <c r="H1859" s="1">
        <v>-1.127885E-6</v>
      </c>
      <c r="I1859">
        <v>283.7697</v>
      </c>
      <c r="J1859">
        <v>-224.99250000000001</v>
      </c>
      <c r="K1859">
        <v>1.1065689999999999</v>
      </c>
      <c r="L1859">
        <v>281.9246</v>
      </c>
      <c r="M1859">
        <v>-0.99998109999999996</v>
      </c>
      <c r="N1859">
        <v>0</v>
      </c>
      <c r="O1859">
        <v>4.0015420000000003E-3</v>
      </c>
      <c r="P1859">
        <v>-0.98358970000000001</v>
      </c>
      <c r="Q1859">
        <v>0.15927669999999999</v>
      </c>
      <c r="R1859">
        <v>8.4747920000000004E-2</v>
      </c>
      <c r="S1859">
        <v>-3.0526119999999999</v>
      </c>
      <c r="T1859">
        <v>-0.12974289999999999</v>
      </c>
      <c r="U1859">
        <v>0.21679689999999999</v>
      </c>
      <c r="V1859">
        <v>8.1794629999999993E-2</v>
      </c>
      <c r="W1859">
        <v>0.16338329999999901</v>
      </c>
      <c r="X1859">
        <v>0.98316610000000004</v>
      </c>
      <c r="Y1859">
        <v>6.6793199999999997E-2</v>
      </c>
      <c r="Z1859">
        <v>1.247228E-3</v>
      </c>
      <c r="AA1859">
        <v>0.99776609999999999</v>
      </c>
      <c r="AB1859">
        <v>25</v>
      </c>
      <c r="AC1859">
        <v>-25.7759</v>
      </c>
      <c r="AD1859">
        <v>-1.106570127885</v>
      </c>
      <c r="AE1859">
        <v>1.8451</v>
      </c>
      <c r="AF1859">
        <v>1.73875253704674</v>
      </c>
      <c r="AG1859">
        <v>-1.106570127885</v>
      </c>
      <c r="AH1859">
        <v>25.735886985231801</v>
      </c>
      <c r="AI1859">
        <v>92.456446470573098</v>
      </c>
      <c r="AJ1859">
        <v>86.1348906396329</v>
      </c>
      <c r="AK1859">
        <v>25.818281057220599</v>
      </c>
      <c r="AL1859">
        <v>80.5966702693906</v>
      </c>
      <c r="AM1859">
        <v>85.244222343638498</v>
      </c>
      <c r="AN1859">
        <v>1.0000000222024601</v>
      </c>
    </row>
    <row r="1860" spans="1:40" x14ac:dyDescent="0.25">
      <c r="A1860" t="str">
        <f>"20190312172928405"</f>
        <v>20190312172928405</v>
      </c>
      <c r="B1860" t="str">
        <f>"1552382968399109"</f>
        <v>1552382968399109</v>
      </c>
      <c r="C1860" t="s">
        <v>40</v>
      </c>
      <c r="D1860">
        <v>3.2823859999999998</v>
      </c>
      <c r="E1860">
        <v>0.49404670000000001</v>
      </c>
      <c r="F1860" t="s">
        <v>47</v>
      </c>
      <c r="G1860">
        <v>-250.68190000000001</v>
      </c>
      <c r="H1860" s="1">
        <v>-1.173918E-6</v>
      </c>
      <c r="I1860">
        <v>283.80560000000003</v>
      </c>
      <c r="J1860">
        <v>-225.25040000000001</v>
      </c>
      <c r="K1860">
        <v>1.1065750000000001</v>
      </c>
      <c r="L1860">
        <v>281.92950000000002</v>
      </c>
      <c r="M1860">
        <v>-0.99996059999999998</v>
      </c>
      <c r="N1860">
        <v>0</v>
      </c>
      <c r="O1860">
        <v>7.5862869999999997E-3</v>
      </c>
      <c r="P1860">
        <v>-0.98350320000000002</v>
      </c>
      <c r="Q1860">
        <v>0.1586525</v>
      </c>
      <c r="R1860">
        <v>8.6897420000000003E-2</v>
      </c>
      <c r="S1860">
        <v>-3.0520779999999998</v>
      </c>
      <c r="T1860">
        <v>-0.13146840000000001</v>
      </c>
      <c r="U1860">
        <v>0.22348019999999999</v>
      </c>
      <c r="V1860">
        <v>8.0407779999999998E-2</v>
      </c>
      <c r="W1860">
        <v>0.16272420000000001</v>
      </c>
      <c r="X1860">
        <v>0.98338970000000003</v>
      </c>
      <c r="Y1860">
        <v>6.5405260000000007E-2</v>
      </c>
      <c r="Z1860">
        <v>1.0799640000000001E-3</v>
      </c>
      <c r="AA1860">
        <v>0.99785820000000003</v>
      </c>
      <c r="AB1860">
        <v>26</v>
      </c>
      <c r="AC1860">
        <v>-25.4315</v>
      </c>
      <c r="AD1860">
        <v>-1.106576173918</v>
      </c>
      <c r="AE1860">
        <v>1.8761000000000001</v>
      </c>
      <c r="AF1860">
        <v>1.6799498764123599</v>
      </c>
      <c r="AG1860">
        <v>-1.106576173918</v>
      </c>
      <c r="AH1860">
        <v>25.3971768180974</v>
      </c>
      <c r="AI1860">
        <v>92.489413610218506</v>
      </c>
      <c r="AJ1860">
        <v>86.215562808403504</v>
      </c>
      <c r="AK1860">
        <v>25.476721389253498</v>
      </c>
      <c r="AL1860">
        <v>80.634945372345896</v>
      </c>
      <c r="AM1860">
        <v>85.325555670915307</v>
      </c>
      <c r="AN1860">
        <v>0.99999993920812702</v>
      </c>
    </row>
    <row r="1861" spans="1:40" x14ac:dyDescent="0.25">
      <c r="A1861" t="str">
        <f>"20190312172928428"</f>
        <v>20190312172928428</v>
      </c>
      <c r="B1861" t="str">
        <f>"1552382968419605"</f>
        <v>1552382968419605</v>
      </c>
      <c r="C1861" t="s">
        <v>40</v>
      </c>
      <c r="D1861">
        <v>3.267144</v>
      </c>
      <c r="E1861">
        <v>0.49394060000000001</v>
      </c>
      <c r="F1861" t="s">
        <v>47</v>
      </c>
      <c r="G1861">
        <v>-250.5324</v>
      </c>
      <c r="H1861" s="1">
        <v>-1.2534660000000001E-6</v>
      </c>
      <c r="I1861">
        <v>283.8313</v>
      </c>
      <c r="J1861">
        <v>-225.5222</v>
      </c>
      <c r="K1861">
        <v>1.1065860000000001</v>
      </c>
      <c r="L1861">
        <v>281.93549999999999</v>
      </c>
      <c r="M1861">
        <v>-0.99992590000000003</v>
      </c>
      <c r="N1861">
        <v>0</v>
      </c>
      <c r="O1861">
        <v>1.129109E-2</v>
      </c>
      <c r="P1861">
        <v>-0.98331290000000005</v>
      </c>
      <c r="Q1861">
        <v>0.15856819999999999</v>
      </c>
      <c r="R1861">
        <v>8.917477E-2</v>
      </c>
      <c r="S1861">
        <v>-3.0516049999999999</v>
      </c>
      <c r="T1861">
        <v>-0.1335664</v>
      </c>
      <c r="U1861">
        <v>0.22955320000000001</v>
      </c>
      <c r="V1861">
        <v>7.9030980000000001E-2</v>
      </c>
      <c r="W1861">
        <v>0.16260329999999901</v>
      </c>
      <c r="X1861">
        <v>0.98352130000000004</v>
      </c>
      <c r="Y1861">
        <v>6.3697779999999996E-2</v>
      </c>
      <c r="Z1861">
        <v>8.9815649999999995E-4</v>
      </c>
      <c r="AA1861">
        <v>0.99796890000000005</v>
      </c>
      <c r="AB1861">
        <v>26</v>
      </c>
      <c r="AC1861">
        <v>-25.010200000000001</v>
      </c>
      <c r="AD1861">
        <v>-1.106587253466</v>
      </c>
      <c r="AE1861">
        <v>1.8957999999999999</v>
      </c>
      <c r="AF1861">
        <v>1.61014968867995</v>
      </c>
      <c r="AG1861">
        <v>-1.106587253466</v>
      </c>
      <c r="AH1861">
        <v>24.981385890887701</v>
      </c>
      <c r="AI1861">
        <v>92.531097637212099</v>
      </c>
      <c r="AJ1861">
        <v>86.312160277094804</v>
      </c>
      <c r="AK1861">
        <v>25.057668654504401</v>
      </c>
      <c r="AL1861">
        <v>80.641965926530304</v>
      </c>
      <c r="AM1861">
        <v>85.405861368134595</v>
      </c>
      <c r="AN1861">
        <v>0.99999993826216804</v>
      </c>
    </row>
    <row r="1862" spans="1:40" x14ac:dyDescent="0.25">
      <c r="A1862" t="str">
        <f>"20190312172928449"</f>
        <v>20190312172928449</v>
      </c>
      <c r="B1862" t="str">
        <f>"1552382968439129"</f>
        <v>1552382968439129</v>
      </c>
      <c r="C1862" t="s">
        <v>40</v>
      </c>
      <c r="D1862">
        <v>3.2544490000000001</v>
      </c>
      <c r="E1862">
        <v>0.49388399999999999</v>
      </c>
      <c r="F1862" t="s">
        <v>47</v>
      </c>
      <c r="G1862">
        <v>-250.70949999999999</v>
      </c>
      <c r="H1862" s="1">
        <v>-1.1592099999999999E-6</v>
      </c>
      <c r="I1862">
        <v>283.88369999999998</v>
      </c>
      <c r="J1862">
        <v>-225.77080000000001</v>
      </c>
      <c r="K1862">
        <v>1.1065929999999999</v>
      </c>
      <c r="L1862">
        <v>281.94189999999998</v>
      </c>
      <c r="M1862">
        <v>-0.99988279999999996</v>
      </c>
      <c r="N1862">
        <v>0</v>
      </c>
      <c r="O1862">
        <v>1.461931E-2</v>
      </c>
      <c r="P1862">
        <v>-0.9830238</v>
      </c>
      <c r="Q1862">
        <v>0.15904660000000001</v>
      </c>
      <c r="R1862">
        <v>9.1479580000000005E-2</v>
      </c>
      <c r="S1862">
        <v>-3.051132</v>
      </c>
      <c r="T1862">
        <v>-0.1340491</v>
      </c>
      <c r="U1862">
        <v>0.23599239999999999</v>
      </c>
      <c r="V1862">
        <v>7.805753E-2</v>
      </c>
      <c r="W1862">
        <v>0.16304739999999901</v>
      </c>
      <c r="X1862">
        <v>0.9835256</v>
      </c>
      <c r="Y1862">
        <v>6.2485480000000003E-2</v>
      </c>
      <c r="Z1862">
        <v>7.2899929999999905E-4</v>
      </c>
      <c r="AA1862">
        <v>0.99804559999999998</v>
      </c>
      <c r="AB1862">
        <v>26</v>
      </c>
      <c r="AC1862">
        <v>-24.938699999999901</v>
      </c>
      <c r="AD1862">
        <v>-1.1065941592099999</v>
      </c>
      <c r="AE1862">
        <v>1.9418</v>
      </c>
      <c r="AF1862">
        <v>1.57392186758191</v>
      </c>
      <c r="AG1862">
        <v>-1.1065941592099999</v>
      </c>
      <c r="AH1862">
        <v>24.915661429314401</v>
      </c>
      <c r="AI1862">
        <v>92.537988287374503</v>
      </c>
      <c r="AJ1862">
        <v>86.385429488526199</v>
      </c>
      <c r="AK1862">
        <v>24.989837237138602</v>
      </c>
      <c r="AL1862">
        <v>80.616177476306902</v>
      </c>
      <c r="AM1862">
        <v>85.462230809331501</v>
      </c>
      <c r="AN1862">
        <v>1.00000001924591</v>
      </c>
    </row>
    <row r="1863" spans="1:40" x14ac:dyDescent="0.25">
      <c r="A1863" t="str">
        <f>"20190312172928462"</f>
        <v>20190312172928462</v>
      </c>
      <c r="B1863" t="str">
        <f>"1552382968459621"</f>
        <v>1552382968459621</v>
      </c>
      <c r="C1863" t="s">
        <v>40</v>
      </c>
      <c r="D1863">
        <v>3.2895050000000001</v>
      </c>
      <c r="E1863">
        <v>0.48928349999999998</v>
      </c>
      <c r="F1863" t="s">
        <v>47</v>
      </c>
      <c r="G1863">
        <v>-251.25219999999999</v>
      </c>
      <c r="H1863" s="1">
        <v>-8.7044709999999897E-7</v>
      </c>
      <c r="I1863">
        <v>283.96120000000002</v>
      </c>
      <c r="J1863">
        <v>-225.92</v>
      </c>
      <c r="K1863">
        <v>1.1066020000000001</v>
      </c>
      <c r="L1863">
        <v>281.94600000000003</v>
      </c>
      <c r="M1863">
        <v>-0.99985230000000003</v>
      </c>
      <c r="N1863">
        <v>0</v>
      </c>
      <c r="O1863">
        <v>1.659074E-2</v>
      </c>
      <c r="P1863">
        <v>-0.98283860000000001</v>
      </c>
      <c r="Q1863">
        <v>0.15926599999999999</v>
      </c>
      <c r="R1863">
        <v>9.3075080000000004E-2</v>
      </c>
      <c r="S1863">
        <v>-3.050735</v>
      </c>
      <c r="T1863">
        <v>-0.1324861</v>
      </c>
      <c r="U1863">
        <v>0.24176030000000001</v>
      </c>
      <c r="V1863">
        <v>7.7711160000000001E-2</v>
      </c>
      <c r="W1863">
        <v>0.16324640000000001</v>
      </c>
      <c r="X1863">
        <v>0.98351999999999995</v>
      </c>
      <c r="Y1863">
        <v>6.2406040000000003E-2</v>
      </c>
      <c r="Z1863">
        <v>6.3342140000000003E-4</v>
      </c>
      <c r="AA1863">
        <v>0.99805060000000001</v>
      </c>
      <c r="AB1863">
        <v>26</v>
      </c>
      <c r="AC1863">
        <v>-25.3322</v>
      </c>
      <c r="AD1863">
        <v>-1.1066028704471</v>
      </c>
      <c r="AE1863">
        <v>2.0152000000000498</v>
      </c>
      <c r="AF1863">
        <v>1.59162033048958</v>
      </c>
      <c r="AG1863">
        <v>-1.1066028704471</v>
      </c>
      <c r="AH1863">
        <v>25.314145087635598</v>
      </c>
      <c r="AI1863">
        <v>92.4981533354335</v>
      </c>
      <c r="AJ1863">
        <v>86.402278559680198</v>
      </c>
      <c r="AK1863">
        <v>25.388260411205302</v>
      </c>
      <c r="AL1863">
        <v>80.604620603843003</v>
      </c>
      <c r="AM1863">
        <v>85.482257406224207</v>
      </c>
      <c r="AN1863">
        <v>1.0000000009507499</v>
      </c>
    </row>
    <row r="1864" spans="1:40" x14ac:dyDescent="0.25">
      <c r="A1864" t="str">
        <f>"20190312172928484"</f>
        <v>20190312172928484</v>
      </c>
      <c r="B1864" t="str">
        <f>"1552382968479142"</f>
        <v>1552382968479142</v>
      </c>
      <c r="C1864" t="s">
        <v>40</v>
      </c>
      <c r="D1864">
        <v>3.3127119999999999</v>
      </c>
      <c r="E1864">
        <v>0.48922890000000002</v>
      </c>
      <c r="F1864" t="s">
        <v>47</v>
      </c>
      <c r="G1864">
        <v>-253.32380000000001</v>
      </c>
      <c r="H1864" s="1">
        <v>2.3199519999999999E-7</v>
      </c>
      <c r="I1864">
        <v>283.83010000000002</v>
      </c>
      <c r="J1864">
        <v>-226.16489999999999</v>
      </c>
      <c r="K1864">
        <v>1.1066260000000001</v>
      </c>
      <c r="L1864">
        <v>281.95330000000001</v>
      </c>
      <c r="M1864">
        <v>-0.99979479999999998</v>
      </c>
      <c r="N1864">
        <v>0</v>
      </c>
      <c r="O1864">
        <v>1.9757799999999999E-2</v>
      </c>
      <c r="P1864">
        <v>-0.98268339999999998</v>
      </c>
      <c r="Q1864">
        <v>0.15913759999999999</v>
      </c>
      <c r="R1864">
        <v>9.4913709999999998E-2</v>
      </c>
      <c r="S1864">
        <v>-3.0524900000000001</v>
      </c>
      <c r="T1864">
        <v>-0.1232635</v>
      </c>
      <c r="U1864">
        <v>0.20986940000000001</v>
      </c>
      <c r="V1864">
        <v>7.6423430000000001E-2</v>
      </c>
      <c r="W1864">
        <v>0.1630935</v>
      </c>
      <c r="X1864">
        <v>0.98364629999999997</v>
      </c>
      <c r="Y1864">
        <v>4.884314E-2</v>
      </c>
      <c r="Z1864">
        <v>1.8819670000000001E-4</v>
      </c>
      <c r="AA1864">
        <v>0.99880639999999998</v>
      </c>
      <c r="AB1864">
        <v>26</v>
      </c>
      <c r="AC1864">
        <v>-27.158899999999999</v>
      </c>
      <c r="AD1864">
        <v>-1.1066257680047999</v>
      </c>
      <c r="AE1864">
        <v>1.8768</v>
      </c>
      <c r="AF1864">
        <v>1.3376179117197999</v>
      </c>
      <c r="AG1864">
        <v>-1.1066257680047999</v>
      </c>
      <c r="AH1864">
        <v>27.145825127191301</v>
      </c>
      <c r="AI1864">
        <v>92.331599393505698</v>
      </c>
      <c r="AJ1864">
        <v>87.179016579549298</v>
      </c>
      <c r="AK1864">
        <v>27.201280560007</v>
      </c>
      <c r="AL1864">
        <v>80.613500473135602</v>
      </c>
      <c r="AM1864">
        <v>85.5573855988888</v>
      </c>
      <c r="AN1864">
        <v>1.0000000369494499</v>
      </c>
    </row>
    <row r="1865" spans="1:40" x14ac:dyDescent="0.25">
      <c r="A1865" t="str">
        <f>"20190312172928507"</f>
        <v>20190312172928507</v>
      </c>
      <c r="B1865" t="str">
        <f>"1552382968499637"</f>
        <v>1552382968499637</v>
      </c>
      <c r="C1865" t="s">
        <v>40</v>
      </c>
      <c r="D1865">
        <v>3.2991259999999998</v>
      </c>
      <c r="E1865">
        <v>0.48924519999999999</v>
      </c>
      <c r="F1865" t="s">
        <v>47</v>
      </c>
      <c r="G1865">
        <v>-253.78870000000001</v>
      </c>
      <c r="H1865" s="1">
        <v>4.7937269999999998E-7</v>
      </c>
      <c r="I1865">
        <v>283.89350000000002</v>
      </c>
      <c r="J1865">
        <v>-226.44669999999999</v>
      </c>
      <c r="K1865">
        <v>1.106668</v>
      </c>
      <c r="L1865">
        <v>281.96269999999998</v>
      </c>
      <c r="M1865">
        <v>-0.99971920000000003</v>
      </c>
      <c r="N1865">
        <v>0</v>
      </c>
      <c r="O1865">
        <v>2.3279589999999999E-2</v>
      </c>
      <c r="P1865">
        <v>-0.98255729999999997</v>
      </c>
      <c r="Q1865">
        <v>0.15888459999999999</v>
      </c>
      <c r="R1865">
        <v>9.6628980000000003E-2</v>
      </c>
      <c r="S1865">
        <v>-3.051987</v>
      </c>
      <c r="T1865">
        <v>-0.1222641</v>
      </c>
      <c r="U1865">
        <v>0.2143555</v>
      </c>
      <c r="V1865">
        <v>7.4654390000000001E-2</v>
      </c>
      <c r="W1865">
        <v>0.16282260000000001</v>
      </c>
      <c r="X1865">
        <v>0.98382700000000001</v>
      </c>
      <c r="Y1865">
        <v>4.6801769999999999E-2</v>
      </c>
      <c r="Z1865" s="1">
        <v>5.0952659999999996E-6</v>
      </c>
      <c r="AA1865">
        <v>0.99890420000000002</v>
      </c>
      <c r="AB1865">
        <v>26</v>
      </c>
      <c r="AC1865">
        <v>-27.341999999999999</v>
      </c>
      <c r="AD1865">
        <v>-1.1066675206273</v>
      </c>
      <c r="AE1865">
        <v>1.93080000000003</v>
      </c>
      <c r="AF1865">
        <v>1.2916544267176799</v>
      </c>
      <c r="AG1865">
        <v>-1.1066675206273</v>
      </c>
      <c r="AH1865">
        <v>27.334980001670001</v>
      </c>
      <c r="AI1865">
        <v>92.315795155788507</v>
      </c>
      <c r="AJ1865">
        <v>87.294626161164899</v>
      </c>
      <c r="AK1865">
        <v>27.387847959468701</v>
      </c>
      <c r="AL1865">
        <v>80.629232038751596</v>
      </c>
      <c r="AM1865">
        <v>85.660619229122105</v>
      </c>
      <c r="AN1865">
        <v>1.00000002147301</v>
      </c>
    </row>
    <row r="1866" spans="1:40" x14ac:dyDescent="0.25">
      <c r="A1866" t="str">
        <f>"20190312172928528"</f>
        <v>20190312172928528</v>
      </c>
      <c r="B1866" t="str">
        <f>"1552382968519160"</f>
        <v>1552382968519160</v>
      </c>
      <c r="C1866" t="s">
        <v>40</v>
      </c>
      <c r="D1866">
        <v>3.317571</v>
      </c>
      <c r="E1866">
        <v>0.48910940000000003</v>
      </c>
      <c r="F1866" t="s">
        <v>47</v>
      </c>
      <c r="G1866">
        <v>-254.3117</v>
      </c>
      <c r="H1866" s="1">
        <v>7.5770049999999998E-7</v>
      </c>
      <c r="I1866">
        <v>283.97410000000002</v>
      </c>
      <c r="J1866">
        <v>-226.70359999999999</v>
      </c>
      <c r="K1866">
        <v>1.1067070000000001</v>
      </c>
      <c r="L1866">
        <v>281.97199999999998</v>
      </c>
      <c r="M1866">
        <v>-0.99964200000000003</v>
      </c>
      <c r="N1866">
        <v>0</v>
      </c>
      <c r="O1866">
        <v>2.6396119999999999E-2</v>
      </c>
      <c r="P1866">
        <v>-0.98242629999999997</v>
      </c>
      <c r="Q1866">
        <v>0.15874059999999901</v>
      </c>
      <c r="R1866">
        <v>9.8183580000000006E-2</v>
      </c>
      <c r="S1866">
        <v>-3.0512079999999999</v>
      </c>
      <c r="T1866">
        <v>-0.1211796</v>
      </c>
      <c r="U1866">
        <v>0.22024540000000001</v>
      </c>
      <c r="V1866">
        <v>7.3123839999999996E-2</v>
      </c>
      <c r="W1866">
        <v>0.162665899999999</v>
      </c>
      <c r="X1866">
        <v>0.98396779999999995</v>
      </c>
      <c r="Y1866">
        <v>4.5627630000000002E-2</v>
      </c>
      <c r="Z1866">
        <v>-1.4170200000000001E-4</v>
      </c>
      <c r="AA1866">
        <v>0.99895849999999997</v>
      </c>
      <c r="AB1866">
        <v>26</v>
      </c>
      <c r="AC1866">
        <v>-27.6081</v>
      </c>
      <c r="AD1866">
        <v>-1.1067062422995</v>
      </c>
      <c r="AE1866">
        <v>2.00210000000004</v>
      </c>
      <c r="AF1866">
        <v>1.27061760473936</v>
      </c>
      <c r="AG1866">
        <v>-1.1067062422995</v>
      </c>
      <c r="AH1866">
        <v>27.607198056892699</v>
      </c>
      <c r="AI1866">
        <v>92.293196026920299</v>
      </c>
      <c r="AJ1866">
        <v>87.364829031535507</v>
      </c>
      <c r="AK1866">
        <v>27.658572854663401</v>
      </c>
      <c r="AL1866">
        <v>80.638331030787896</v>
      </c>
      <c r="AM1866">
        <v>85.7498609291425</v>
      </c>
      <c r="AN1866">
        <v>0.99999996121799695</v>
      </c>
    </row>
    <row r="1867" spans="1:40" x14ac:dyDescent="0.25">
      <c r="A1867" t="str">
        <f>"20190312172928551"</f>
        <v>20190312172928551</v>
      </c>
      <c r="B1867" t="str">
        <f>"1552382968539654"</f>
        <v>1552382968539654</v>
      </c>
      <c r="C1867" t="s">
        <v>40</v>
      </c>
      <c r="D1867">
        <v>3.286883</v>
      </c>
      <c r="E1867">
        <v>0.48886180000000001</v>
      </c>
      <c r="F1867" t="s">
        <v>47</v>
      </c>
      <c r="G1867">
        <v>-254.30799999999999</v>
      </c>
      <c r="H1867" s="1">
        <v>7.5568749999999904E-7</v>
      </c>
      <c r="I1867">
        <v>284.00029999999998</v>
      </c>
      <c r="J1867">
        <v>-226.97399999999999</v>
      </c>
      <c r="K1867">
        <v>1.106749</v>
      </c>
      <c r="L1867">
        <v>281.98250000000002</v>
      </c>
      <c r="M1867">
        <v>-0.99955309999999997</v>
      </c>
      <c r="N1867">
        <v>0</v>
      </c>
      <c r="O1867">
        <v>2.9568879999999999E-2</v>
      </c>
      <c r="P1867">
        <v>-0.98214860000000004</v>
      </c>
      <c r="Q1867">
        <v>0.15918660000000001</v>
      </c>
      <c r="R1867">
        <v>0.1002174</v>
      </c>
      <c r="S1867">
        <v>-3.051056</v>
      </c>
      <c r="T1867">
        <v>-0.12232179999999999</v>
      </c>
      <c r="U1867">
        <v>0.2241821</v>
      </c>
      <c r="V1867">
        <v>7.202066E-2</v>
      </c>
      <c r="W1867">
        <v>0.16310050000000001</v>
      </c>
      <c r="X1867">
        <v>0.98397730000000005</v>
      </c>
      <c r="Y1867">
        <v>4.374633E-2</v>
      </c>
      <c r="Z1867">
        <v>-3.0755650000000002E-4</v>
      </c>
      <c r="AA1867">
        <v>0.9990426</v>
      </c>
      <c r="AB1867">
        <v>27</v>
      </c>
      <c r="AC1867">
        <v>-27.3339999999999</v>
      </c>
      <c r="AD1867">
        <v>-1.1067482443125001</v>
      </c>
      <c r="AE1867">
        <v>2.0177999999999598</v>
      </c>
      <c r="AF1867">
        <v>1.2067065503327199</v>
      </c>
      <c r="AG1867">
        <v>-1.1067482443125001</v>
      </c>
      <c r="AH1867">
        <v>27.3371382461373</v>
      </c>
      <c r="AI1867">
        <v>92.3161094637275</v>
      </c>
      <c r="AJ1867">
        <v>87.472510155577595</v>
      </c>
      <c r="AK1867">
        <v>27.3861307939498</v>
      </c>
      <c r="AL1867">
        <v>80.6130939669914</v>
      </c>
      <c r="AM1867">
        <v>85.813791075851697</v>
      </c>
      <c r="AN1867">
        <v>1.00000003774118</v>
      </c>
    </row>
    <row r="1868" spans="1:40" x14ac:dyDescent="0.25">
      <c r="A1868" t="str">
        <f>"20190312172928573"</f>
        <v>20190312172928573</v>
      </c>
      <c r="B1868" t="str">
        <f>"1552382968568934"</f>
        <v>1552382968568934</v>
      </c>
      <c r="C1868" t="s">
        <v>40</v>
      </c>
      <c r="D1868">
        <v>3.3025600000000002</v>
      </c>
      <c r="E1868">
        <v>0.48857889999999998</v>
      </c>
      <c r="F1868" t="s">
        <v>47</v>
      </c>
      <c r="G1868">
        <v>-254.83840000000001</v>
      </c>
      <c r="H1868" s="1">
        <v>1.037981E-6</v>
      </c>
      <c r="I1868">
        <v>284.05930000000001</v>
      </c>
      <c r="J1868">
        <v>-227.23990000000001</v>
      </c>
      <c r="K1868">
        <v>1.106808</v>
      </c>
      <c r="L1868">
        <v>281.99360000000001</v>
      </c>
      <c r="M1868">
        <v>-0.99946040000000003</v>
      </c>
      <c r="N1868">
        <v>0</v>
      </c>
      <c r="O1868">
        <v>3.2559959999999999E-2</v>
      </c>
      <c r="P1868">
        <v>-0.98204040000000004</v>
      </c>
      <c r="Q1868">
        <v>0.15863640000000001</v>
      </c>
      <c r="R1868">
        <v>0.1021344</v>
      </c>
      <c r="S1868">
        <v>-3.05098</v>
      </c>
      <c r="T1868">
        <v>-0.121182</v>
      </c>
      <c r="U1868">
        <v>0.22738649999999999</v>
      </c>
      <c r="V1868">
        <v>7.0965159999999999E-2</v>
      </c>
      <c r="W1868">
        <v>0.162545</v>
      </c>
      <c r="X1868">
        <v>0.98414590000000002</v>
      </c>
      <c r="Y1868">
        <v>4.1806009999999998E-2</v>
      </c>
      <c r="Z1868">
        <v>-4.6163049999999999E-4</v>
      </c>
      <c r="AA1868">
        <v>0.99912570000000001</v>
      </c>
      <c r="AB1868">
        <v>27</v>
      </c>
      <c r="AC1868">
        <v>-27.598500000000001</v>
      </c>
      <c r="AD1868">
        <v>-1.106806962019</v>
      </c>
      <c r="AE1868">
        <v>2.0656999999999899</v>
      </c>
      <c r="AF1868">
        <v>1.1641283662174799</v>
      </c>
      <c r="AG1868">
        <v>-1.106806962019</v>
      </c>
      <c r="AH1868">
        <v>27.606972775584101</v>
      </c>
      <c r="AI1868">
        <v>92.293812118574095</v>
      </c>
      <c r="AJ1868">
        <v>87.585387168065594</v>
      </c>
      <c r="AK1868">
        <v>27.653664537200999</v>
      </c>
      <c r="AL1868">
        <v>80.645352285229194</v>
      </c>
      <c r="AM1868">
        <v>85.875633030916802</v>
      </c>
      <c r="AN1868">
        <v>1.0000000417228101</v>
      </c>
    </row>
    <row r="1869" spans="1:40" x14ac:dyDescent="0.25">
      <c r="A1869" t="str">
        <f>"20190312172928596"</f>
        <v>20190312172928596</v>
      </c>
      <c r="B1869" t="str">
        <f>"1552382968589430"</f>
        <v>1552382968589430</v>
      </c>
      <c r="C1869" t="s">
        <v>40</v>
      </c>
      <c r="D1869">
        <v>3.3022149999999999</v>
      </c>
      <c r="E1869">
        <v>0.48833369999999998</v>
      </c>
      <c r="F1869" t="s">
        <v>47</v>
      </c>
      <c r="G1869">
        <v>-254.5993</v>
      </c>
      <c r="H1869" s="1">
        <v>9.1074040000000004E-7</v>
      </c>
      <c r="I1869">
        <v>284.0609</v>
      </c>
      <c r="J1869">
        <v>-227.51570000000001</v>
      </c>
      <c r="K1869">
        <v>1.1068800000000001</v>
      </c>
      <c r="L1869">
        <v>282.00569999999999</v>
      </c>
      <c r="M1869">
        <v>-0.99936000000000003</v>
      </c>
      <c r="N1869">
        <v>0</v>
      </c>
      <c r="O1869">
        <v>3.5508360000000003E-2</v>
      </c>
      <c r="P1869">
        <v>-0.98207979999999995</v>
      </c>
      <c r="Q1869">
        <v>0.15741620000000001</v>
      </c>
      <c r="R1869">
        <v>0.1036319</v>
      </c>
      <c r="S1869">
        <v>-3.0508120000000001</v>
      </c>
      <c r="T1869">
        <v>-0.1234186</v>
      </c>
      <c r="U1869">
        <v>0.23052980000000001</v>
      </c>
      <c r="V1869">
        <v>6.9516629999999996E-2</v>
      </c>
      <c r="W1869">
        <v>0.16132759999999999</v>
      </c>
      <c r="X1869">
        <v>0.98444949999999998</v>
      </c>
      <c r="Y1869">
        <v>3.988978E-2</v>
      </c>
      <c r="Z1869">
        <v>-6.2776539999999999E-4</v>
      </c>
      <c r="AA1869">
        <v>0.99920390000000003</v>
      </c>
      <c r="AB1869">
        <v>27</v>
      </c>
      <c r="AC1869">
        <v>-27.083599999999901</v>
      </c>
      <c r="AD1869">
        <v>-1.1068790892596001</v>
      </c>
      <c r="AE1869">
        <v>2.0552000000000099</v>
      </c>
      <c r="AF1869">
        <v>1.0903898687789999</v>
      </c>
      <c r="AG1869">
        <v>-1.1068790892596001</v>
      </c>
      <c r="AH1869">
        <v>27.094501542274401</v>
      </c>
      <c r="AI1869">
        <v>92.337487031684802</v>
      </c>
      <c r="AJ1869">
        <v>87.695434897762496</v>
      </c>
      <c r="AK1869">
        <v>27.139015184941499</v>
      </c>
      <c r="AL1869">
        <v>80.716036612514202</v>
      </c>
      <c r="AM1869">
        <v>85.960779200106103</v>
      </c>
      <c r="AN1869">
        <v>0.99999998720928296</v>
      </c>
    </row>
    <row r="1870" spans="1:40" x14ac:dyDescent="0.25">
      <c r="A1870" t="str">
        <f>"20190312172928617"</f>
        <v>20190312172928617</v>
      </c>
      <c r="B1870" t="str">
        <f>"1552382968608953"</f>
        <v>1552382968608953</v>
      </c>
      <c r="C1870" t="s">
        <v>40</v>
      </c>
      <c r="D1870">
        <v>3.2976019999999902</v>
      </c>
      <c r="E1870">
        <v>0.48806179999999899</v>
      </c>
      <c r="F1870" t="s">
        <v>47</v>
      </c>
      <c r="G1870">
        <v>-253.92590000000001</v>
      </c>
      <c r="H1870" s="1">
        <v>5.523594E-7</v>
      </c>
      <c r="I1870">
        <v>284.0258</v>
      </c>
      <c r="J1870">
        <v>-227.77940000000001</v>
      </c>
      <c r="K1870">
        <v>1.1069719999999901</v>
      </c>
      <c r="L1870">
        <v>282.0179</v>
      </c>
      <c r="M1870">
        <v>-0.99926230000000005</v>
      </c>
      <c r="N1870">
        <v>0</v>
      </c>
      <c r="O1870">
        <v>3.8160649999999997E-2</v>
      </c>
      <c r="P1870">
        <v>-0.98218550000000004</v>
      </c>
      <c r="Q1870">
        <v>0.15640299999999999</v>
      </c>
      <c r="R1870">
        <v>0.1041619</v>
      </c>
      <c r="S1870">
        <v>-3.0506129999999998</v>
      </c>
      <c r="T1870">
        <v>-0.12785460000000001</v>
      </c>
      <c r="U1870">
        <v>0.2333374</v>
      </c>
      <c r="V1870">
        <v>6.7385410000000007E-2</v>
      </c>
      <c r="W1870">
        <v>0.1603262</v>
      </c>
      <c r="X1870">
        <v>0.9847612</v>
      </c>
      <c r="Y1870">
        <v>3.81605E-2</v>
      </c>
      <c r="Z1870">
        <v>-7.973085E-4</v>
      </c>
      <c r="AA1870">
        <v>0.99927129999999997</v>
      </c>
      <c r="AB1870">
        <v>27</v>
      </c>
      <c r="AC1870">
        <v>-26.1465</v>
      </c>
      <c r="AD1870">
        <v>-1.1069714476405901</v>
      </c>
      <c r="AE1870">
        <v>2.0078999999999998</v>
      </c>
      <c r="AF1870">
        <v>1.0068665563694801</v>
      </c>
      <c r="AG1870">
        <v>-1.1069714476405901</v>
      </c>
      <c r="AH1870">
        <v>26.157467537454298</v>
      </c>
      <c r="AI1870">
        <v>92.421492744079004</v>
      </c>
      <c r="AJ1870">
        <v>87.795629976429495</v>
      </c>
      <c r="AK1870">
        <v>26.200234235998799</v>
      </c>
      <c r="AL1870">
        <v>80.774169021499901</v>
      </c>
      <c r="AM1870">
        <v>86.085456701443803</v>
      </c>
      <c r="AN1870">
        <v>0.99999995245637296</v>
      </c>
    </row>
    <row r="1871" spans="1:40" x14ac:dyDescent="0.25">
      <c r="A1871" t="str">
        <f>"20190312172928640"</f>
        <v>20190312172928640</v>
      </c>
      <c r="B1871" t="str">
        <f>"1552382968629446"</f>
        <v>1552382968629446</v>
      </c>
      <c r="C1871" t="s">
        <v>40</v>
      </c>
      <c r="D1871">
        <v>3.3042370000000001</v>
      </c>
      <c r="E1871">
        <v>0.48397590000000001</v>
      </c>
      <c r="F1871" t="s">
        <v>47</v>
      </c>
      <c r="G1871">
        <v>-253.5282</v>
      </c>
      <c r="H1871" s="1">
        <v>3.4076289999999997E-7</v>
      </c>
      <c r="I1871">
        <v>283.98610000000002</v>
      </c>
      <c r="J1871">
        <v>-228.0522</v>
      </c>
      <c r="K1871">
        <v>1.1070759999999999</v>
      </c>
      <c r="L1871">
        <v>282.03100000000001</v>
      </c>
      <c r="M1871">
        <v>-0.99916150000000004</v>
      </c>
      <c r="N1871">
        <v>0</v>
      </c>
      <c r="O1871">
        <v>4.0718070000000002E-2</v>
      </c>
      <c r="P1871">
        <v>-0.9820719</v>
      </c>
      <c r="Q1871">
        <v>0.15642439999999999</v>
      </c>
      <c r="R1871">
        <v>0.10519729999999999</v>
      </c>
      <c r="S1871">
        <v>-3.0505520000000002</v>
      </c>
      <c r="T1871">
        <v>-0.1311467</v>
      </c>
      <c r="U1871">
        <v>0.2331848</v>
      </c>
      <c r="V1871">
        <v>6.5858070000000005E-2</v>
      </c>
      <c r="W1871">
        <v>0.16036</v>
      </c>
      <c r="X1871">
        <v>0.98485900000000004</v>
      </c>
      <c r="Y1871">
        <v>3.5559350000000003E-2</v>
      </c>
      <c r="Z1871">
        <v>-9.8323399999999993E-4</v>
      </c>
      <c r="AA1871">
        <v>0.99936709999999995</v>
      </c>
      <c r="AB1871">
        <v>27</v>
      </c>
      <c r="AC1871">
        <v>-25.475999999999999</v>
      </c>
      <c r="AD1871">
        <v>-1.1070756592371001</v>
      </c>
      <c r="AE1871">
        <v>1.9551000000000101</v>
      </c>
      <c r="AF1871">
        <v>0.91441882553821097</v>
      </c>
      <c r="AG1871">
        <v>-1.1070756592371001</v>
      </c>
      <c r="AH1871">
        <v>25.486633411123101</v>
      </c>
      <c r="AI1871">
        <v>92.485624647458295</v>
      </c>
      <c r="AJ1871">
        <v>87.945202290726797</v>
      </c>
      <c r="AK1871">
        <v>25.5270495932599</v>
      </c>
      <c r="AL1871">
        <v>80.772206852239904</v>
      </c>
      <c r="AM1871">
        <v>86.174294952186898</v>
      </c>
      <c r="AN1871">
        <v>0.99999993243256002</v>
      </c>
    </row>
    <row r="1872" spans="1:40" x14ac:dyDescent="0.25">
      <c r="A1872" t="str">
        <f>"20190312172928663"</f>
        <v>20190312172928663</v>
      </c>
      <c r="B1872" t="str">
        <f>"1552382968659483"</f>
        <v>1552382968659483</v>
      </c>
      <c r="C1872" t="s">
        <v>40</v>
      </c>
      <c r="D1872">
        <v>3.2976130000000001</v>
      </c>
      <c r="E1872">
        <v>0.48382730000000002</v>
      </c>
      <c r="F1872" t="s">
        <v>47</v>
      </c>
      <c r="G1872">
        <v>-250.4401</v>
      </c>
      <c r="H1872" s="1">
        <v>-1.3026079999999901E-6</v>
      </c>
      <c r="I1872">
        <v>283.52280000000002</v>
      </c>
      <c r="J1872">
        <v>-228.3306</v>
      </c>
      <c r="K1872">
        <v>1.1072</v>
      </c>
      <c r="L1872">
        <v>282.04489999999998</v>
      </c>
      <c r="M1872">
        <v>-0.99906079999999997</v>
      </c>
      <c r="N1872">
        <v>0</v>
      </c>
      <c r="O1872">
        <v>4.3119240000000003E-2</v>
      </c>
      <c r="P1872">
        <v>-0.98203209999999996</v>
      </c>
      <c r="Q1872">
        <v>0.1560395</v>
      </c>
      <c r="R1872">
        <v>0.1061354</v>
      </c>
      <c r="S1872">
        <v>-3.057007</v>
      </c>
      <c r="T1872">
        <v>-0.1511682</v>
      </c>
      <c r="U1872">
        <v>0.20370479999999999</v>
      </c>
      <c r="V1872">
        <v>6.4375699999999994E-2</v>
      </c>
      <c r="W1872">
        <v>0.15999189999999999</v>
      </c>
      <c r="X1872">
        <v>0.98501689999999997</v>
      </c>
      <c r="Y1872">
        <v>2.3425789999999998E-2</v>
      </c>
      <c r="Z1872">
        <v>-1.5491329999999901E-3</v>
      </c>
      <c r="AA1872">
        <v>0.99972439999999996</v>
      </c>
      <c r="AB1872">
        <v>27</v>
      </c>
      <c r="AC1872">
        <v>-22.109500000000001</v>
      </c>
      <c r="AD1872">
        <v>-1.1072013026080001</v>
      </c>
      <c r="AE1872">
        <v>1.47790000000003</v>
      </c>
      <c r="AF1872">
        <v>0.521868964667215</v>
      </c>
      <c r="AG1872">
        <v>-1.1072013026080001</v>
      </c>
      <c r="AH1872">
        <v>22.097492922179999</v>
      </c>
      <c r="AI1872">
        <v>92.867624595427003</v>
      </c>
      <c r="AJ1872">
        <v>88.647116572935303</v>
      </c>
      <c r="AK1872">
        <v>22.1313676799825</v>
      </c>
      <c r="AL1872">
        <v>80.793573615858804</v>
      </c>
      <c r="AM1872">
        <v>86.2607566709097</v>
      </c>
      <c r="AN1872">
        <v>0.99999996605085395</v>
      </c>
    </row>
    <row r="1873" spans="1:40" x14ac:dyDescent="0.25">
      <c r="A1873" t="str">
        <f>"20190312172928684"</f>
        <v>20190312172928684</v>
      </c>
      <c r="B1873" t="str">
        <f>"1552382968678989"</f>
        <v>1552382968678989</v>
      </c>
      <c r="C1873" t="s">
        <v>40</v>
      </c>
      <c r="D1873">
        <v>3.3185190000000002</v>
      </c>
      <c r="E1873">
        <v>0.4837244</v>
      </c>
      <c r="F1873" t="s">
        <v>47</v>
      </c>
      <c r="G1873">
        <v>-250.74039999999999</v>
      </c>
      <c r="H1873" s="1">
        <v>-1.1427620000000001E-6</v>
      </c>
      <c r="I1873">
        <v>283.5421</v>
      </c>
      <c r="J1873">
        <v>-228.59710000000001</v>
      </c>
      <c r="K1873">
        <v>1.107332</v>
      </c>
      <c r="L1873">
        <v>282.05869999999999</v>
      </c>
      <c r="M1873">
        <v>-0.99896929999999995</v>
      </c>
      <c r="N1873">
        <v>0</v>
      </c>
      <c r="O1873">
        <v>4.5191160000000001E-2</v>
      </c>
      <c r="P1873">
        <v>-0.98217750000000004</v>
      </c>
      <c r="Q1873">
        <v>0.15499879999999999</v>
      </c>
      <c r="R1873">
        <v>0.1063149</v>
      </c>
      <c r="S1873">
        <v>-3.0568390000000001</v>
      </c>
      <c r="T1873">
        <v>-0.1510291</v>
      </c>
      <c r="U1873">
        <v>0.20422360000000001</v>
      </c>
      <c r="V1873">
        <v>6.2446420000000002E-2</v>
      </c>
      <c r="W1873">
        <v>0.158973799999999</v>
      </c>
      <c r="X1873">
        <v>0.98530600000000002</v>
      </c>
      <c r="Y1873">
        <v>2.1529699999999999E-2</v>
      </c>
      <c r="Z1873">
        <v>-1.696585E-3</v>
      </c>
      <c r="AA1873">
        <v>0.99976679999999996</v>
      </c>
      <c r="AB1873">
        <v>27</v>
      </c>
      <c r="AC1873">
        <v>-22.143299999999901</v>
      </c>
      <c r="AD1873">
        <v>-1.1073331427619999</v>
      </c>
      <c r="AE1873">
        <v>1.48340000000001</v>
      </c>
      <c r="AF1873">
        <v>0.47999900131099499</v>
      </c>
      <c r="AG1873">
        <v>-1.1073331427619999</v>
      </c>
      <c r="AH1873">
        <v>22.132613171951299</v>
      </c>
      <c r="AI1873">
        <v>92.863547018046603</v>
      </c>
      <c r="AJ1873">
        <v>88.757597841500498</v>
      </c>
      <c r="AK1873">
        <v>22.165494615495302</v>
      </c>
      <c r="AL1873">
        <v>80.852663703668895</v>
      </c>
      <c r="AM1873">
        <v>86.373576012021601</v>
      </c>
      <c r="AN1873">
        <v>1.00000006904662</v>
      </c>
    </row>
    <row r="1874" spans="1:40" x14ac:dyDescent="0.25">
      <c r="A1874" t="str">
        <f>"20190312172928697"</f>
        <v>20190312172928697</v>
      </c>
      <c r="B1874" t="str">
        <f>"1552382968689725"</f>
        <v>1552382968689725</v>
      </c>
      <c r="C1874" t="s">
        <v>40</v>
      </c>
      <c r="D1874">
        <v>3.327591</v>
      </c>
      <c r="E1874">
        <v>0.48372579999999998</v>
      </c>
      <c r="F1874" t="s">
        <v>47</v>
      </c>
      <c r="G1874">
        <v>-250.5822</v>
      </c>
      <c r="H1874" s="1">
        <v>-1.2269540000000001E-6</v>
      </c>
      <c r="I1874">
        <v>283.52510000000001</v>
      </c>
      <c r="J1874">
        <v>-228.76990000000001</v>
      </c>
      <c r="K1874">
        <v>1.107424</v>
      </c>
      <c r="L1874">
        <v>282.0677</v>
      </c>
      <c r="M1874">
        <v>-0.99891379999999996</v>
      </c>
      <c r="N1874">
        <v>0</v>
      </c>
      <c r="O1874">
        <v>4.6399870000000003E-2</v>
      </c>
      <c r="P1874">
        <v>-0.98222169999999998</v>
      </c>
      <c r="Q1874">
        <v>0.15467310000000001</v>
      </c>
      <c r="R1874">
        <v>0.10638019999999999</v>
      </c>
      <c r="S1874">
        <v>-3.0566710000000001</v>
      </c>
      <c r="T1874">
        <v>-0.1539568</v>
      </c>
      <c r="U1874">
        <v>0.20388790000000001</v>
      </c>
      <c r="V1874">
        <v>6.1278680000000002E-2</v>
      </c>
      <c r="W1874">
        <v>0.15866350000000001</v>
      </c>
      <c r="X1874">
        <v>0.98542920000000001</v>
      </c>
      <c r="Y1874">
        <v>2.0218610000000001E-2</v>
      </c>
      <c r="Z1874">
        <v>-1.823175E-3</v>
      </c>
      <c r="AA1874">
        <v>0.99979390000000001</v>
      </c>
      <c r="AB1874">
        <v>28</v>
      </c>
      <c r="AC1874">
        <v>-21.8123</v>
      </c>
      <c r="AD1874">
        <v>-1.1074252269539999</v>
      </c>
      <c r="AE1874">
        <v>1.4574</v>
      </c>
      <c r="AF1874">
        <v>0.44259734610243201</v>
      </c>
      <c r="AG1874">
        <v>-1.1074252269539999</v>
      </c>
      <c r="AH1874">
        <v>21.800485812959501</v>
      </c>
      <c r="AI1874">
        <v>92.907424189889696</v>
      </c>
      <c r="AJ1874">
        <v>88.836930658542201</v>
      </c>
      <c r="AK1874">
        <v>21.833081887931399</v>
      </c>
      <c r="AL1874">
        <v>80.870670000096695</v>
      </c>
      <c r="AM1874">
        <v>86.4416575206819</v>
      </c>
      <c r="AN1874">
        <v>0.99999994553371396</v>
      </c>
    </row>
    <row r="1875" spans="1:40" x14ac:dyDescent="0.25">
      <c r="A1875" t="str">
        <f>"20190312172928720"</f>
        <v>20190312172928720</v>
      </c>
      <c r="B1875" t="str">
        <f>"1552382968709245"</f>
        <v>1552382968709245</v>
      </c>
      <c r="C1875" t="s">
        <v>40</v>
      </c>
      <c r="D1875">
        <v>3.3436210000000002</v>
      </c>
      <c r="E1875">
        <v>0.48358909999999999</v>
      </c>
      <c r="F1875" t="s">
        <v>47</v>
      </c>
      <c r="G1875">
        <v>-250.565</v>
      </c>
      <c r="H1875" s="1">
        <v>-1.2361290000000001E-6</v>
      </c>
      <c r="I1875">
        <v>283.52420000000001</v>
      </c>
      <c r="J1875">
        <v>-229.05080000000001</v>
      </c>
      <c r="K1875">
        <v>1.1075630000000001</v>
      </c>
      <c r="L1875">
        <v>282.08269999999999</v>
      </c>
      <c r="M1875">
        <v>-0.99882729999999997</v>
      </c>
      <c r="N1875">
        <v>0</v>
      </c>
      <c r="O1875">
        <v>4.8224740000000002E-2</v>
      </c>
      <c r="P1875">
        <v>-0.9823229</v>
      </c>
      <c r="Q1875">
        <v>0.15405769999999999</v>
      </c>
      <c r="R1875">
        <v>0.10633819999999999</v>
      </c>
      <c r="S1875">
        <v>-3.05661</v>
      </c>
      <c r="T1875">
        <v>-0.155309</v>
      </c>
      <c r="U1875">
        <v>0.2042542</v>
      </c>
      <c r="V1875">
        <v>5.9372000000000001E-2</v>
      </c>
      <c r="W1875">
        <v>0.15807309999999999</v>
      </c>
      <c r="X1875">
        <v>0.98564079999999998</v>
      </c>
      <c r="Y1875">
        <v>1.8517680000000002E-2</v>
      </c>
      <c r="Z1875">
        <v>-1.9747419999999998E-3</v>
      </c>
      <c r="AA1875">
        <v>0.99982660000000001</v>
      </c>
      <c r="AB1875">
        <v>28</v>
      </c>
      <c r="AC1875">
        <v>-21.514199999999899</v>
      </c>
      <c r="AD1875">
        <v>-1.1075642361289999</v>
      </c>
      <c r="AE1875">
        <v>1.44150000000001</v>
      </c>
      <c r="AF1875">
        <v>0.40123792286457999</v>
      </c>
      <c r="AG1875">
        <v>-1.1075642361289999</v>
      </c>
      <c r="AH1875">
        <v>21.501953643741899</v>
      </c>
      <c r="AI1875">
        <v>92.948183475346696</v>
      </c>
      <c r="AJ1875">
        <v>88.930954270679607</v>
      </c>
      <c r="AK1875">
        <v>21.534198404062401</v>
      </c>
      <c r="AL1875">
        <v>80.904929945464005</v>
      </c>
      <c r="AM1875">
        <v>86.552842038032594</v>
      </c>
      <c r="AN1875">
        <v>0.99999996297612403</v>
      </c>
    </row>
    <row r="1876" spans="1:40" x14ac:dyDescent="0.25">
      <c r="A1876" t="str">
        <f>"20190312172928741"</f>
        <v>20190312172928741</v>
      </c>
      <c r="B1876" t="str">
        <f>"1552382968739501"</f>
        <v>1552382968739501</v>
      </c>
      <c r="C1876" t="s">
        <v>40</v>
      </c>
      <c r="D1876">
        <v>3.326578</v>
      </c>
      <c r="E1876">
        <v>0.48346889999999998</v>
      </c>
      <c r="F1876" t="s">
        <v>47</v>
      </c>
      <c r="G1876">
        <v>-250.803</v>
      </c>
      <c r="H1876" s="1">
        <v>-1.109496E-6</v>
      </c>
      <c r="I1876">
        <v>283.5292</v>
      </c>
      <c r="J1876">
        <v>-229.30889999999999</v>
      </c>
      <c r="K1876">
        <v>1.1076979999999901</v>
      </c>
      <c r="L1876">
        <v>282.09679999999997</v>
      </c>
      <c r="M1876">
        <v>-0.99875559999999997</v>
      </c>
      <c r="N1876">
        <v>0</v>
      </c>
      <c r="O1876">
        <v>4.9690089999999999E-2</v>
      </c>
      <c r="P1876">
        <v>-0.98234949999999999</v>
      </c>
      <c r="Q1876">
        <v>0.154198799999999</v>
      </c>
      <c r="R1876">
        <v>0.1058878</v>
      </c>
      <c r="S1876">
        <v>-3.0563959999999999</v>
      </c>
      <c r="T1876">
        <v>-0.15562419999999999</v>
      </c>
      <c r="U1876">
        <v>0.20324710000000001</v>
      </c>
      <c r="V1876">
        <v>5.7421850000000003E-2</v>
      </c>
      <c r="W1876">
        <v>0.1582384</v>
      </c>
      <c r="X1876">
        <v>0.98572990000000005</v>
      </c>
      <c r="Y1876">
        <v>1.6731799999999901E-2</v>
      </c>
      <c r="Z1876">
        <v>-2.0986500000000001E-3</v>
      </c>
      <c r="AA1876">
        <v>0.99985780000000002</v>
      </c>
      <c r="AB1876">
        <v>28</v>
      </c>
      <c r="AC1876">
        <v>-21.4941</v>
      </c>
      <c r="AD1876">
        <v>-1.10769910949599</v>
      </c>
      <c r="AE1876">
        <v>1.4324000000000201</v>
      </c>
      <c r="AF1876">
        <v>0.36162087993678499</v>
      </c>
      <c r="AG1876">
        <v>-1.10769910949599</v>
      </c>
      <c r="AH1876">
        <v>21.481923541584699</v>
      </c>
      <c r="AI1876">
        <v>92.951381751933297</v>
      </c>
      <c r="AJ1876">
        <v>89.035589462675503</v>
      </c>
      <c r="AK1876">
        <v>21.513502876669701</v>
      </c>
      <c r="AL1876">
        <v>80.895339013143101</v>
      </c>
      <c r="AM1876">
        <v>86.666109322696201</v>
      </c>
      <c r="AN1876">
        <v>1.00000004792299</v>
      </c>
    </row>
    <row r="1877" spans="1:40" x14ac:dyDescent="0.25">
      <c r="A1877" t="str">
        <f>"20190312172928755"</f>
        <v>20190312172928755</v>
      </c>
      <c r="B1877" t="str">
        <f>"1552382968749261"</f>
        <v>1552382968749261</v>
      </c>
      <c r="C1877" t="s">
        <v>40</v>
      </c>
      <c r="D1877">
        <v>3.3186490000000002</v>
      </c>
      <c r="E1877">
        <v>0.48347069999999998</v>
      </c>
      <c r="F1877" t="s">
        <v>47</v>
      </c>
      <c r="G1877">
        <v>-251.20570000000001</v>
      </c>
      <c r="H1877" s="1">
        <v>-8.9518220000000004E-7</v>
      </c>
      <c r="I1877">
        <v>283.53399999999999</v>
      </c>
      <c r="J1877">
        <v>-229.48150000000001</v>
      </c>
      <c r="K1877">
        <v>1.1077969999999999</v>
      </c>
      <c r="L1877">
        <v>282.10629999999998</v>
      </c>
      <c r="M1877">
        <v>-0.99871359999999998</v>
      </c>
      <c r="N1877">
        <v>0</v>
      </c>
      <c r="O1877">
        <v>5.0527049999999997E-2</v>
      </c>
      <c r="P1877">
        <v>-0.98231120000000005</v>
      </c>
      <c r="Q1877">
        <v>0.1542269</v>
      </c>
      <c r="R1877">
        <v>0.106202</v>
      </c>
      <c r="S1877">
        <v>-3.056549</v>
      </c>
      <c r="T1877">
        <v>-0.15462229999999999</v>
      </c>
      <c r="U1877">
        <v>0.20062260000000001</v>
      </c>
      <c r="V1877">
        <v>5.6872819999999998E-2</v>
      </c>
      <c r="W1877">
        <v>0.1582817</v>
      </c>
      <c r="X1877">
        <v>0.98575469999999998</v>
      </c>
      <c r="Y1877">
        <v>1.503844E-2</v>
      </c>
      <c r="Z1877">
        <v>-2.1700759999999999E-3</v>
      </c>
      <c r="AA1877">
        <v>0.99988449999999995</v>
      </c>
      <c r="AB1877">
        <v>28</v>
      </c>
      <c r="AC1877">
        <v>-21.7242</v>
      </c>
      <c r="AD1877">
        <v>-1.1077978951821901</v>
      </c>
      <c r="AE1877">
        <v>1.42770000000001</v>
      </c>
      <c r="AF1877">
        <v>0.32735905698675899</v>
      </c>
      <c r="AG1877">
        <v>-1.1077978951821901</v>
      </c>
      <c r="AH1877">
        <v>21.712371963087701</v>
      </c>
      <c r="AI1877">
        <v>92.920452860819395</v>
      </c>
      <c r="AJ1877">
        <v>89.136212691963394</v>
      </c>
      <c r="AK1877">
        <v>21.743078815849401</v>
      </c>
      <c r="AL1877">
        <v>80.892825738318805</v>
      </c>
      <c r="AM1877">
        <v>86.697997809065996</v>
      </c>
      <c r="AN1877">
        <v>0.99999997139086505</v>
      </c>
    </row>
    <row r="1878" spans="1:40" x14ac:dyDescent="0.25">
      <c r="A1878" t="str">
        <f>"20190312172928773"</f>
        <v>20190312172928773</v>
      </c>
      <c r="B1878" t="str">
        <f>"1552382968768838"</f>
        <v>1552382968768838</v>
      </c>
      <c r="C1878" t="s">
        <v>40</v>
      </c>
      <c r="D1878">
        <v>3.3097819999999998</v>
      </c>
      <c r="E1878">
        <v>0.48341770000000001</v>
      </c>
      <c r="F1878" t="s">
        <v>47</v>
      </c>
      <c r="G1878">
        <v>-251.3946</v>
      </c>
      <c r="H1878" s="1">
        <v>-7.9466650000000002E-7</v>
      </c>
      <c r="I1878">
        <v>283.5487</v>
      </c>
      <c r="J1878">
        <v>-229.71700000000001</v>
      </c>
      <c r="K1878">
        <v>1.107945</v>
      </c>
      <c r="L1878">
        <v>282.11930000000001</v>
      </c>
      <c r="M1878">
        <v>-0.99866279999999996</v>
      </c>
      <c r="N1878">
        <v>0</v>
      </c>
      <c r="O1878">
        <v>5.152081E-2</v>
      </c>
      <c r="P1878">
        <v>-0.98225030000000002</v>
      </c>
      <c r="Q1878">
        <v>0.1548909</v>
      </c>
      <c r="R1878">
        <v>0.1057975</v>
      </c>
      <c r="S1878">
        <v>-3.0565190000000002</v>
      </c>
      <c r="T1878">
        <v>-0.15451960000000001</v>
      </c>
      <c r="U1878">
        <v>0.2012024</v>
      </c>
      <c r="V1878">
        <v>5.543559E-2</v>
      </c>
      <c r="W1878">
        <v>0.15897240000000001</v>
      </c>
      <c r="X1878">
        <v>0.98572550000000003</v>
      </c>
      <c r="Y1878">
        <v>1.423523E-2</v>
      </c>
      <c r="Z1878">
        <v>-2.2389710000000002E-3</v>
      </c>
      <c r="AA1878">
        <v>0.99989620000000001</v>
      </c>
      <c r="AB1878">
        <v>28</v>
      </c>
      <c r="AC1878">
        <v>-21.677599999999899</v>
      </c>
      <c r="AD1878">
        <v>-1.1079457946664999</v>
      </c>
      <c r="AE1878">
        <v>1.42939999999998</v>
      </c>
      <c r="AF1878">
        <v>0.30983805476868198</v>
      </c>
      <c r="AG1878">
        <v>-1.1079457946664999</v>
      </c>
      <c r="AH1878">
        <v>21.666102185878302</v>
      </c>
      <c r="AI1878">
        <v>92.927102275709998</v>
      </c>
      <c r="AJ1878">
        <v>89.180692368964301</v>
      </c>
      <c r="AK1878">
        <v>21.696624793571502</v>
      </c>
      <c r="AL1878">
        <v>80.852744728907297</v>
      </c>
      <c r="AM1878">
        <v>86.781169663933198</v>
      </c>
      <c r="AN1878">
        <v>1.0000000449753199</v>
      </c>
    </row>
    <row r="1879" spans="1:40" x14ac:dyDescent="0.25">
      <c r="A1879" t="str">
        <f>"20190312172928786"</f>
        <v>20190312172928786</v>
      </c>
      <c r="B1879" t="str">
        <f>"1552382968779574"</f>
        <v>1552382968779574</v>
      </c>
      <c r="C1879" t="s">
        <v>40</v>
      </c>
      <c r="D1879">
        <v>3.3210790000000001</v>
      </c>
      <c r="E1879">
        <v>0.48338779999999998</v>
      </c>
      <c r="F1879" t="s">
        <v>47</v>
      </c>
      <c r="G1879">
        <v>-252.0258</v>
      </c>
      <c r="H1879" s="1">
        <v>-4.5876950000000001E-7</v>
      </c>
      <c r="I1879">
        <v>283.57130000000001</v>
      </c>
      <c r="J1879">
        <v>-229.87690000000001</v>
      </c>
      <c r="K1879">
        <v>1.1080509999999999</v>
      </c>
      <c r="L1879">
        <v>282.12819999999999</v>
      </c>
      <c r="M1879">
        <v>-0.99863290000000005</v>
      </c>
      <c r="N1879">
        <v>0</v>
      </c>
      <c r="O1879">
        <v>5.2098400000000003E-2</v>
      </c>
      <c r="P1879">
        <v>-0.98224460000000002</v>
      </c>
      <c r="Q1879">
        <v>0.15500369999999999</v>
      </c>
      <c r="R1879">
        <v>0.10568669999999999</v>
      </c>
      <c r="S1879">
        <v>-3.0567169999999999</v>
      </c>
      <c r="T1879">
        <v>-0.151809</v>
      </c>
      <c r="U1879">
        <v>0.19894410000000001</v>
      </c>
      <c r="V1879">
        <v>5.4713919999999999E-2</v>
      </c>
      <c r="W1879">
        <v>0.15910560000000001</v>
      </c>
      <c r="X1879">
        <v>0.98574430000000002</v>
      </c>
      <c r="Y1879">
        <v>1.291775E-2</v>
      </c>
      <c r="Z1879">
        <v>-2.2609119999999999E-3</v>
      </c>
      <c r="AA1879">
        <v>0.99991399999999997</v>
      </c>
      <c r="AB1879">
        <v>28</v>
      </c>
      <c r="AC1879">
        <v>-22.148900000000001</v>
      </c>
      <c r="AD1879">
        <v>-1.1080514587695001</v>
      </c>
      <c r="AE1879">
        <v>1.44310000000001</v>
      </c>
      <c r="AF1879">
        <v>0.286493496260458</v>
      </c>
      <c r="AG1879">
        <v>-1.1080514587695001</v>
      </c>
      <c r="AH1879">
        <v>22.138830666368801</v>
      </c>
      <c r="AI1879">
        <v>92.865031082687494</v>
      </c>
      <c r="AJ1879">
        <v>89.258589930246799</v>
      </c>
      <c r="AK1879">
        <v>22.1683937134117</v>
      </c>
      <c r="AL1879">
        <v>80.845014267059597</v>
      </c>
      <c r="AM1879">
        <v>86.823047012940293</v>
      </c>
      <c r="AN1879">
        <v>1.0000000149877999</v>
      </c>
    </row>
    <row r="1880" spans="1:40" x14ac:dyDescent="0.25">
      <c r="A1880" t="str">
        <f>"20190312172928807"</f>
        <v>20190312172928807</v>
      </c>
      <c r="B1880" t="str">
        <f>"1552382968799098"</f>
        <v>1552382968799098</v>
      </c>
      <c r="C1880" t="s">
        <v>40</v>
      </c>
      <c r="D1880">
        <v>3.33725</v>
      </c>
      <c r="E1880">
        <v>0.48331350000000001</v>
      </c>
      <c r="F1880" t="s">
        <v>47</v>
      </c>
      <c r="G1880">
        <v>-252.22620000000001</v>
      </c>
      <c r="H1880" s="1">
        <v>-3.5210300000000001E-7</v>
      </c>
      <c r="I1880">
        <v>283.57420000000002</v>
      </c>
      <c r="J1880">
        <v>-230.15199999999999</v>
      </c>
      <c r="K1880">
        <v>1.1082369999999999</v>
      </c>
      <c r="L1880">
        <v>282.14350000000002</v>
      </c>
      <c r="M1880">
        <v>-0.9985927</v>
      </c>
      <c r="N1880">
        <v>0</v>
      </c>
      <c r="O1880">
        <v>5.2862180000000002E-2</v>
      </c>
      <c r="P1880">
        <v>-0.98234829999999995</v>
      </c>
      <c r="Q1880">
        <v>0.154906399999999</v>
      </c>
      <c r="R1880">
        <v>0.1048625</v>
      </c>
      <c r="S1880">
        <v>-3.056854</v>
      </c>
      <c r="T1880">
        <v>-0.15155469999999999</v>
      </c>
      <c r="U1880">
        <v>0.1977844</v>
      </c>
      <c r="V1880">
        <v>5.3057229999999997E-2</v>
      </c>
      <c r="W1880">
        <v>0.1590529</v>
      </c>
      <c r="X1880">
        <v>0.98584340000000004</v>
      </c>
      <c r="Y1880">
        <v>1.177447E-2</v>
      </c>
      <c r="Z1880">
        <v>-2.3230909999999998E-3</v>
      </c>
      <c r="AA1880">
        <v>0.99992800000000004</v>
      </c>
      <c r="AB1880">
        <v>28</v>
      </c>
      <c r="AC1880">
        <v>-22.074199999999902</v>
      </c>
      <c r="AD1880">
        <v>-1.108237352103</v>
      </c>
      <c r="AE1880">
        <v>1.4307000000000001</v>
      </c>
      <c r="AF1880">
        <v>0.26114315438220498</v>
      </c>
      <c r="AG1880">
        <v>-1.108237352103</v>
      </c>
      <c r="AH1880">
        <v>22.063586511971899</v>
      </c>
      <c r="AI1880">
        <v>92.875306191612495</v>
      </c>
      <c r="AJ1880">
        <v>89.321882598075106</v>
      </c>
      <c r="AK1880">
        <v>22.0929453796217</v>
      </c>
      <c r="AL1880">
        <v>80.848073042794795</v>
      </c>
      <c r="AM1880">
        <v>86.919363291559094</v>
      </c>
      <c r="AN1880">
        <v>1.0000000519886201</v>
      </c>
    </row>
    <row r="1881" spans="1:40" x14ac:dyDescent="0.25">
      <c r="A1881" t="str">
        <f>"20190312172928840"</f>
        <v>20190312172928840</v>
      </c>
      <c r="B1881" t="str">
        <f>"1552382968829350"</f>
        <v>1552382968829350</v>
      </c>
      <c r="C1881" t="s">
        <v>40</v>
      </c>
      <c r="D1881">
        <v>3.3347530000000001</v>
      </c>
      <c r="E1881">
        <v>0.48314629999999997</v>
      </c>
      <c r="F1881" t="s">
        <v>47</v>
      </c>
      <c r="G1881">
        <v>-252.56989999999999</v>
      </c>
      <c r="H1881" s="1">
        <v>-1.6924050000000001E-7</v>
      </c>
      <c r="I1881">
        <v>283.56560000000002</v>
      </c>
      <c r="J1881">
        <v>-230.5667</v>
      </c>
      <c r="K1881">
        <v>1.108525</v>
      </c>
      <c r="L1881">
        <v>282.16640000000001</v>
      </c>
      <c r="M1881">
        <v>-0.99855539999999998</v>
      </c>
      <c r="N1881">
        <v>0</v>
      </c>
      <c r="O1881">
        <v>5.3558389999999997E-2</v>
      </c>
      <c r="P1881">
        <v>-0.98277669999999995</v>
      </c>
      <c r="Q1881">
        <v>0.1534546</v>
      </c>
      <c r="R1881">
        <v>0.102965</v>
      </c>
      <c r="S1881">
        <v>-3.0570369999999998</v>
      </c>
      <c r="T1881">
        <v>-0.15112629999999999</v>
      </c>
      <c r="U1881">
        <v>0.19393920000000001</v>
      </c>
      <c r="V1881">
        <v>5.0339549999999997E-2</v>
      </c>
      <c r="W1881">
        <v>0.1576767</v>
      </c>
      <c r="X1881">
        <v>0.9862069</v>
      </c>
      <c r="Y1881">
        <v>9.8237689999999996E-3</v>
      </c>
      <c r="Z1881">
        <v>-2.3989440000000001E-3</v>
      </c>
      <c r="AA1881">
        <v>0.99994890000000003</v>
      </c>
      <c r="AB1881">
        <v>28</v>
      </c>
      <c r="AC1881">
        <v>-22.0032</v>
      </c>
      <c r="AD1881">
        <v>-1.1085251692405</v>
      </c>
      <c r="AE1881">
        <v>1.3992</v>
      </c>
      <c r="AF1881">
        <v>0.21817325538090701</v>
      </c>
      <c r="AG1881">
        <v>-1.1085251692405</v>
      </c>
      <c r="AH1881">
        <v>21.990966397766002</v>
      </c>
      <c r="AI1881">
        <v>92.885593151552399</v>
      </c>
      <c r="AJ1881">
        <v>89.431584933190393</v>
      </c>
      <c r="AK1881">
        <v>22.0199689084222</v>
      </c>
      <c r="AL1881">
        <v>80.927931060513799</v>
      </c>
      <c r="AM1881">
        <v>87.0779531663607</v>
      </c>
      <c r="AN1881">
        <v>1.00000003081235</v>
      </c>
    </row>
    <row r="1882" spans="1:40" x14ac:dyDescent="0.25">
      <c r="A1882" t="str">
        <f>"20190312172928863"</f>
        <v>20190312172928863</v>
      </c>
      <c r="B1882" t="str">
        <f>"1552382968859606"</f>
        <v>1552382968859606</v>
      </c>
      <c r="C1882" t="s">
        <v>40</v>
      </c>
      <c r="D1882">
        <v>3.310527</v>
      </c>
      <c r="E1882">
        <v>0.48319630000000002</v>
      </c>
      <c r="F1882" t="s">
        <v>47</v>
      </c>
      <c r="G1882">
        <v>-252.47139999999999</v>
      </c>
      <c r="H1882" s="1">
        <v>-2.216365E-7</v>
      </c>
      <c r="I1882">
        <v>283.4982</v>
      </c>
      <c r="J1882">
        <v>-230.85249999999999</v>
      </c>
      <c r="K1882">
        <v>1.1087070000000001</v>
      </c>
      <c r="L1882">
        <v>282.18200000000002</v>
      </c>
      <c r="M1882">
        <v>-0.99854609999999999</v>
      </c>
      <c r="N1882">
        <v>0</v>
      </c>
      <c r="O1882">
        <v>5.3730260000000002E-2</v>
      </c>
      <c r="P1882">
        <v>-0.98300469999999895</v>
      </c>
      <c r="Q1882">
        <v>0.15267720000000001</v>
      </c>
      <c r="R1882">
        <v>0.101937899999999</v>
      </c>
      <c r="S1882">
        <v>-3.0572810000000001</v>
      </c>
      <c r="T1882">
        <v>-0.15471889999999999</v>
      </c>
      <c r="U1882">
        <v>0.18588260000000001</v>
      </c>
      <c r="V1882">
        <v>4.9059739999999998E-2</v>
      </c>
      <c r="W1882">
        <v>0.15694859999999999</v>
      </c>
      <c r="X1882">
        <v>0.98638749999999997</v>
      </c>
      <c r="Y1882">
        <v>7.0279419999999997E-3</v>
      </c>
      <c r="Z1882">
        <v>-2.5352539999999998E-3</v>
      </c>
      <c r="AA1882">
        <v>0.99997210000000003</v>
      </c>
      <c r="AB1882">
        <v>28</v>
      </c>
      <c r="AC1882">
        <v>-21.6189</v>
      </c>
      <c r="AD1882">
        <v>-1.1087072216364999</v>
      </c>
      <c r="AE1882">
        <v>1.3161999999999801</v>
      </c>
      <c r="AF1882">
        <v>0.15229961137866699</v>
      </c>
      <c r="AG1882">
        <v>-1.1087072216364999</v>
      </c>
      <c r="AH1882">
        <v>21.601786742853299</v>
      </c>
      <c r="AI1882">
        <v>92.938043015731196</v>
      </c>
      <c r="AJ1882">
        <v>89.596052841448994</v>
      </c>
      <c r="AK1882">
        <v>21.6307562826326</v>
      </c>
      <c r="AL1882">
        <v>80.970173907969993</v>
      </c>
      <c r="AM1882">
        <v>87.152638645541501</v>
      </c>
      <c r="AN1882">
        <v>1.0000000106435301</v>
      </c>
    </row>
    <row r="1883" spans="1:40" x14ac:dyDescent="0.25">
      <c r="A1883" t="str">
        <f>"20190312172928886"</f>
        <v>20190312172928886</v>
      </c>
      <c r="B1883" t="str">
        <f>"1552382968879126"</f>
        <v>1552382968879126</v>
      </c>
      <c r="C1883" t="s">
        <v>40</v>
      </c>
      <c r="D1883">
        <v>3.3648020000000001</v>
      </c>
      <c r="E1883">
        <v>0.48305169999999997</v>
      </c>
      <c r="F1883" t="s">
        <v>47</v>
      </c>
      <c r="G1883">
        <v>-252.51</v>
      </c>
      <c r="H1883" s="1">
        <v>-2.010688E-7</v>
      </c>
      <c r="I1883">
        <v>283.4803</v>
      </c>
      <c r="J1883">
        <v>-231.1422</v>
      </c>
      <c r="K1883">
        <v>1.1089249999999999</v>
      </c>
      <c r="L1883">
        <v>282.19760000000002</v>
      </c>
      <c r="M1883">
        <v>-0.99855479999999996</v>
      </c>
      <c r="N1883">
        <v>0</v>
      </c>
      <c r="O1883">
        <v>5.3565939999999999E-2</v>
      </c>
      <c r="P1883">
        <v>-0.98316769999999998</v>
      </c>
      <c r="Q1883">
        <v>0.15244829999999901</v>
      </c>
      <c r="R1883">
        <v>0.1007029</v>
      </c>
      <c r="S1883">
        <v>-3.057159</v>
      </c>
      <c r="T1883">
        <v>-0.15650439999999999</v>
      </c>
      <c r="U1883">
        <v>0.18325810000000001</v>
      </c>
      <c r="V1883">
        <v>4.7899659999999997E-2</v>
      </c>
      <c r="W1883">
        <v>0.15677629999999901</v>
      </c>
      <c r="X1883">
        <v>0.98647189999999996</v>
      </c>
      <c r="Y1883">
        <v>6.341635E-3</v>
      </c>
      <c r="Z1883">
        <v>-2.5738150000000001E-3</v>
      </c>
      <c r="AA1883">
        <v>0.99997659999999999</v>
      </c>
      <c r="AB1883">
        <v>29</v>
      </c>
      <c r="AC1883">
        <v>-21.3677999999999</v>
      </c>
      <c r="AD1883">
        <v>-1.1089252010688</v>
      </c>
      <c r="AE1883">
        <v>1.28269999999997</v>
      </c>
      <c r="AF1883">
        <v>0.135896547713977</v>
      </c>
      <c r="AG1883">
        <v>-1.1089252010688</v>
      </c>
      <c r="AH1883">
        <v>21.3485400683747</v>
      </c>
      <c r="AI1883">
        <v>92.973430408467294</v>
      </c>
      <c r="AJ1883">
        <v>89.635282157823795</v>
      </c>
      <c r="AK1883">
        <v>21.377753530814399</v>
      </c>
      <c r="AL1883">
        <v>80.980169595358106</v>
      </c>
      <c r="AM1883">
        <v>87.2200987092655</v>
      </c>
      <c r="AN1883">
        <v>0.99999999757970703</v>
      </c>
    </row>
    <row r="1884" spans="1:40" x14ac:dyDescent="0.25">
      <c r="A1884" t="str">
        <f>"20190312172928909"</f>
        <v>20190312172928909</v>
      </c>
      <c r="B1884" t="str">
        <f>"1552382968899622"</f>
        <v>1552382968899622</v>
      </c>
      <c r="C1884" t="s">
        <v>40</v>
      </c>
      <c r="D1884">
        <v>3.308983</v>
      </c>
      <c r="E1884">
        <v>0.48302210000000001</v>
      </c>
      <c r="F1884" t="s">
        <v>47</v>
      </c>
      <c r="G1884">
        <v>-252.72720000000001</v>
      </c>
      <c r="H1884" s="1">
        <v>-8.5486080000000001E-8</v>
      </c>
      <c r="I1884">
        <v>283.44850000000002</v>
      </c>
      <c r="J1884">
        <v>-231.4529</v>
      </c>
      <c r="K1884">
        <v>1.109178</v>
      </c>
      <c r="L1884">
        <v>282.21390000000002</v>
      </c>
      <c r="M1884">
        <v>-0.99858400000000003</v>
      </c>
      <c r="N1884">
        <v>0</v>
      </c>
      <c r="O1884">
        <v>5.3013070000000002E-2</v>
      </c>
      <c r="P1884">
        <v>-0.98329940000000005</v>
      </c>
      <c r="Q1884">
        <v>0.15237690000000001</v>
      </c>
      <c r="R1884">
        <v>9.9517220000000003E-2</v>
      </c>
      <c r="S1884">
        <v>-3.0575709999999998</v>
      </c>
      <c r="T1884">
        <v>-0.15708139999999901</v>
      </c>
      <c r="U1884">
        <v>0.17718510000000001</v>
      </c>
      <c r="V1884">
        <v>4.7158470000000001E-2</v>
      </c>
      <c r="W1884">
        <v>0.156773</v>
      </c>
      <c r="X1884">
        <v>0.9865081</v>
      </c>
      <c r="Y1884">
        <v>4.9095340000000001E-3</v>
      </c>
      <c r="Z1884">
        <v>-2.5915539999999998E-3</v>
      </c>
      <c r="AA1884">
        <v>0.9999846</v>
      </c>
      <c r="AB1884">
        <v>29</v>
      </c>
      <c r="AC1884">
        <v>-21.2743</v>
      </c>
      <c r="AD1884">
        <v>-1.10917808548608</v>
      </c>
      <c r="AE1884">
        <v>1.2345999999999999</v>
      </c>
      <c r="AF1884">
        <v>0.104753090103021</v>
      </c>
      <c r="AG1884">
        <v>-1.10917808548608</v>
      </c>
      <c r="AH1884">
        <v>21.252259065157201</v>
      </c>
      <c r="AI1884">
        <v>92.987580967954003</v>
      </c>
      <c r="AJ1884">
        <v>89.717589488723902</v>
      </c>
      <c r="AK1884">
        <v>21.2814417887455</v>
      </c>
      <c r="AL1884">
        <v>80.980360725096403</v>
      </c>
      <c r="AM1884">
        <v>87.263148719821203</v>
      </c>
      <c r="AN1884">
        <v>0.999999963093674</v>
      </c>
    </row>
    <row r="1885" spans="1:40" x14ac:dyDescent="0.25">
      <c r="A1885" t="str">
        <f>"20190312172928930"</f>
        <v>20190312172928930</v>
      </c>
      <c r="B1885" t="str">
        <f>"1552382968919143"</f>
        <v>1552382968919143</v>
      </c>
      <c r="C1885" t="s">
        <v>40</v>
      </c>
      <c r="D1885">
        <v>3.3270409999999999</v>
      </c>
      <c r="E1885">
        <v>0.48309560000000001</v>
      </c>
      <c r="F1885" t="s">
        <v>47</v>
      </c>
      <c r="G1885">
        <v>-253.029</v>
      </c>
      <c r="H1885" s="1">
        <v>7.5098629999999998E-8</v>
      </c>
      <c r="I1885">
        <v>283.43200000000002</v>
      </c>
      <c r="J1885">
        <v>-231.73390000000001</v>
      </c>
      <c r="K1885">
        <v>1.109402</v>
      </c>
      <c r="L1885">
        <v>282.22820000000002</v>
      </c>
      <c r="M1885">
        <v>-0.99862430000000002</v>
      </c>
      <c r="N1885">
        <v>0</v>
      </c>
      <c r="O1885">
        <v>5.2244779999999998E-2</v>
      </c>
      <c r="P1885">
        <v>-0.98355179999999998</v>
      </c>
      <c r="Q1885">
        <v>0.1518031</v>
      </c>
      <c r="R1885">
        <v>9.7886429999999996E-2</v>
      </c>
      <c r="S1885">
        <v>-3.0578609999999999</v>
      </c>
      <c r="T1885">
        <v>-0.1571977</v>
      </c>
      <c r="U1885">
        <v>0.17263789999999901</v>
      </c>
      <c r="V1885">
        <v>4.6191099999999999E-2</v>
      </c>
      <c r="W1885">
        <v>0.1562606</v>
      </c>
      <c r="X1885">
        <v>0.98663520000000005</v>
      </c>
      <c r="Y1885">
        <v>4.1912620000000003E-3</v>
      </c>
      <c r="Z1885">
        <v>-2.572431E-3</v>
      </c>
      <c r="AA1885">
        <v>0.99998790000000004</v>
      </c>
      <c r="AB1885">
        <v>29</v>
      </c>
      <c r="AC1885">
        <v>-21.295100000000001</v>
      </c>
      <c r="AD1885">
        <v>-1.10940192490137</v>
      </c>
      <c r="AE1885">
        <v>1.2038</v>
      </c>
      <c r="AF1885">
        <v>8.93452976774054E-2</v>
      </c>
      <c r="AG1885">
        <v>-1.10940192490137</v>
      </c>
      <c r="AH1885">
        <v>21.271362060816099</v>
      </c>
      <c r="AI1885">
        <v>92.985513986688801</v>
      </c>
      <c r="AJ1885">
        <v>89.759344119204798</v>
      </c>
      <c r="AK1885">
        <v>21.3004600686352</v>
      </c>
      <c r="AL1885">
        <v>81.0100858152624</v>
      </c>
      <c r="AM1885">
        <v>87.319552317045805</v>
      </c>
      <c r="AN1885">
        <v>1.0000000053553</v>
      </c>
    </row>
    <row r="1886" spans="1:40" x14ac:dyDescent="0.25">
      <c r="A1886" t="str">
        <f>"20190312172928952"</f>
        <v>20190312172928952</v>
      </c>
      <c r="B1886" t="str">
        <f>"1552382968949399"</f>
        <v>1552382968949399</v>
      </c>
      <c r="C1886" t="s">
        <v>40</v>
      </c>
      <c r="D1886">
        <v>3.3274379999999999</v>
      </c>
      <c r="E1886">
        <v>0.4832245</v>
      </c>
      <c r="F1886" t="s">
        <v>47</v>
      </c>
      <c r="G1886">
        <v>-253.07499999999999</v>
      </c>
      <c r="H1886" s="1">
        <v>9.958512E-8</v>
      </c>
      <c r="I1886">
        <v>283.40019999999998</v>
      </c>
      <c r="J1886">
        <v>-232.0094</v>
      </c>
      <c r="K1886">
        <v>1.1096170000000001</v>
      </c>
      <c r="L1886">
        <v>282.24180000000001</v>
      </c>
      <c r="M1886">
        <v>-0.99867700000000004</v>
      </c>
      <c r="N1886">
        <v>0</v>
      </c>
      <c r="O1886">
        <v>5.1226569999999999E-2</v>
      </c>
      <c r="P1886">
        <v>-0.98376339999999995</v>
      </c>
      <c r="Q1886">
        <v>0.15121129999999999</v>
      </c>
      <c r="R1886">
        <v>9.6668119999999996E-2</v>
      </c>
      <c r="S1886">
        <v>-3.058014</v>
      </c>
      <c r="T1886">
        <v>-0.15896879999999999</v>
      </c>
      <c r="U1886">
        <v>0.16793820000000001</v>
      </c>
      <c r="V1886">
        <v>4.5887450000000003E-2</v>
      </c>
      <c r="W1886">
        <v>0.1557279</v>
      </c>
      <c r="X1886">
        <v>0.98673359999999999</v>
      </c>
      <c r="Y1886">
        <v>3.6767010000000001E-3</v>
      </c>
      <c r="Z1886">
        <v>-2.5619729999999999E-3</v>
      </c>
      <c r="AA1886">
        <v>0.99999000000000005</v>
      </c>
      <c r="AB1886">
        <v>29</v>
      </c>
      <c r="AC1886">
        <v>-21.0655999999999</v>
      </c>
      <c r="AD1886">
        <v>-1.1096169004148799</v>
      </c>
      <c r="AE1886">
        <v>1.1583999999999699</v>
      </c>
      <c r="AF1886">
        <v>7.7535304803208804E-2</v>
      </c>
      <c r="AG1886">
        <v>-1.1096169004148799</v>
      </c>
      <c r="AH1886">
        <v>21.039084177834699</v>
      </c>
      <c r="AI1886">
        <v>93.019004282074505</v>
      </c>
      <c r="AJ1886">
        <v>89.788848907133101</v>
      </c>
      <c r="AK1886">
        <v>21.0684675387459</v>
      </c>
      <c r="AL1886">
        <v>81.040985659388497</v>
      </c>
      <c r="AM1886">
        <v>87.337412702048695</v>
      </c>
      <c r="AN1886">
        <v>1.0000000171374299</v>
      </c>
    </row>
    <row r="1887" spans="1:40" x14ac:dyDescent="0.25">
      <c r="A1887" t="str">
        <f>"20190312172928975"</f>
        <v>20190312172928975</v>
      </c>
      <c r="B1887" t="str">
        <f>"1552382968968919"</f>
        <v>1552382968968919</v>
      </c>
      <c r="C1887" t="s">
        <v>40</v>
      </c>
      <c r="D1887">
        <v>3.4284219999999999</v>
      </c>
      <c r="E1887">
        <v>0.49794470000000002</v>
      </c>
      <c r="F1887" t="s">
        <v>47</v>
      </c>
      <c r="G1887">
        <v>-253.13059999999999</v>
      </c>
      <c r="H1887" s="1">
        <v>1.2916870000000001E-7</v>
      </c>
      <c r="I1887">
        <v>283.37810000000002</v>
      </c>
      <c r="J1887">
        <v>-232.31020000000001</v>
      </c>
      <c r="K1887">
        <v>1.109861</v>
      </c>
      <c r="L1887">
        <v>282.2559</v>
      </c>
      <c r="M1887">
        <v>-0.99874909999999995</v>
      </c>
      <c r="N1887">
        <v>0</v>
      </c>
      <c r="O1887">
        <v>4.9795720000000002E-2</v>
      </c>
      <c r="P1887">
        <v>-0.98391839999999997</v>
      </c>
      <c r="Q1887">
        <v>0.15111379999999999</v>
      </c>
      <c r="R1887">
        <v>9.5233010000000007E-2</v>
      </c>
      <c r="S1887">
        <v>-3.0580289999999999</v>
      </c>
      <c r="T1887">
        <v>-0.160655399999999</v>
      </c>
      <c r="U1887">
        <v>0.16452030000000001</v>
      </c>
      <c r="V1887">
        <v>4.5768730000000001E-2</v>
      </c>
      <c r="W1887">
        <v>0.15569539999999901</v>
      </c>
      <c r="X1887">
        <v>0.98674419999999996</v>
      </c>
      <c r="Y1887">
        <v>3.9936850000000003E-3</v>
      </c>
      <c r="Z1887">
        <v>-2.5059449999999999E-3</v>
      </c>
      <c r="AA1887">
        <v>0.99998889999999996</v>
      </c>
      <c r="AB1887">
        <v>29</v>
      </c>
      <c r="AC1887">
        <v>-20.8203999999999</v>
      </c>
      <c r="AD1887">
        <v>-1.1098608708313</v>
      </c>
      <c r="AE1887">
        <v>1.1222000000000201</v>
      </c>
      <c r="AF1887">
        <v>8.3792883801227805E-2</v>
      </c>
      <c r="AG1887">
        <v>-1.1098608708313</v>
      </c>
      <c r="AH1887">
        <v>20.791541941179201</v>
      </c>
      <c r="AI1887">
        <v>93.055546938184406</v>
      </c>
      <c r="AJ1887">
        <v>89.769091074808401</v>
      </c>
      <c r="AK1887">
        <v>20.821311886905502</v>
      </c>
      <c r="AL1887">
        <v>81.042870387220006</v>
      </c>
      <c r="AM1887">
        <v>87.344319960217902</v>
      </c>
      <c r="AN1887">
        <v>0.99999997523030604</v>
      </c>
    </row>
    <row r="1888" spans="1:40" x14ac:dyDescent="0.25">
      <c r="A1888" t="str">
        <f>"20190312172928998"</f>
        <v>20190312172928998</v>
      </c>
      <c r="B1888" t="str">
        <f>"1552382968989414"</f>
        <v>1552382968989414</v>
      </c>
      <c r="C1888" t="s">
        <v>40</v>
      </c>
      <c r="D1888">
        <v>3.4183159999999999</v>
      </c>
      <c r="E1888">
        <v>0.51205820000000002</v>
      </c>
      <c r="F1888" t="s">
        <v>42</v>
      </c>
      <c r="G1888">
        <v>-233.13939999999999</v>
      </c>
      <c r="H1888">
        <v>1.032268</v>
      </c>
      <c r="I1888">
        <v>282.33120000000002</v>
      </c>
      <c r="J1888">
        <v>-232.61240000000001</v>
      </c>
      <c r="K1888">
        <v>1.110106</v>
      </c>
      <c r="L1888">
        <v>282.26940000000002</v>
      </c>
      <c r="M1888">
        <v>-0.99883540000000004</v>
      </c>
      <c r="N1888">
        <v>0</v>
      </c>
      <c r="O1888">
        <v>4.8031980000000002E-2</v>
      </c>
      <c r="P1888">
        <v>-0.98415929999999996</v>
      </c>
      <c r="Q1888">
        <v>0.1507049</v>
      </c>
      <c r="R1888">
        <v>9.3375760000000002E-2</v>
      </c>
      <c r="S1888">
        <v>-3.0662539999999998</v>
      </c>
      <c r="T1888">
        <v>-0.28720129999999999</v>
      </c>
      <c r="U1888">
        <v>0.27780149999999998</v>
      </c>
      <c r="V1888">
        <v>4.5552830000000002E-2</v>
      </c>
      <c r="W1888">
        <v>0.15535099999999999</v>
      </c>
      <c r="X1888">
        <v>0.98680849999999998</v>
      </c>
      <c r="Y1888">
        <v>4.2314079999999997E-2</v>
      </c>
      <c r="Z1888">
        <v>-2.5029760000000001E-3</v>
      </c>
      <c r="AA1888">
        <v>0.99910120000000002</v>
      </c>
      <c r="AB1888">
        <v>29</v>
      </c>
      <c r="AC1888">
        <v>-0.52699999999998604</v>
      </c>
      <c r="AD1888">
        <v>-7.7838000000000004E-2</v>
      </c>
      <c r="AE1888">
        <v>6.1800000000005101E-2</v>
      </c>
      <c r="AF1888">
        <v>3.56484192524621E-2</v>
      </c>
      <c r="AG1888">
        <v>-7.7838000000000004E-2</v>
      </c>
      <c r="AH1888">
        <v>0.51820858320977603</v>
      </c>
      <c r="AI1888">
        <v>98.522459545924093</v>
      </c>
      <c r="AJ1888">
        <v>86.064729057149407</v>
      </c>
      <c r="AK1888">
        <v>0.52523299568047199</v>
      </c>
      <c r="AL1888">
        <v>81.062846378750095</v>
      </c>
      <c r="AM1888">
        <v>87.357001495034794</v>
      </c>
      <c r="AN1888">
        <v>1.00000000459712</v>
      </c>
    </row>
    <row r="1889" spans="1:40" x14ac:dyDescent="0.25">
      <c r="A1889" t="str">
        <f>"20190312172929019"</f>
        <v>20190312172929019</v>
      </c>
      <c r="B1889" t="str">
        <f>"1552382969008938"</f>
        <v>1552382969008938</v>
      </c>
      <c r="C1889" t="s">
        <v>40</v>
      </c>
      <c r="D1889">
        <v>3.4180299999999999</v>
      </c>
      <c r="E1889">
        <v>0.51750419999999997</v>
      </c>
      <c r="F1889" t="s">
        <v>42</v>
      </c>
      <c r="G1889">
        <v>-233.38890000000001</v>
      </c>
      <c r="H1889">
        <v>1.0060020000000001</v>
      </c>
      <c r="I1889">
        <v>282.36689999999999</v>
      </c>
      <c r="J1889">
        <v>-232.8982</v>
      </c>
      <c r="K1889">
        <v>1.11032999999999</v>
      </c>
      <c r="L1889">
        <v>282.28140000000002</v>
      </c>
      <c r="M1889">
        <v>-0.99892740000000002</v>
      </c>
      <c r="N1889">
        <v>0</v>
      </c>
      <c r="O1889">
        <v>4.6077060000000003E-2</v>
      </c>
      <c r="P1889">
        <v>-0.98433599999999999</v>
      </c>
      <c r="Q1889">
        <v>0.150647799999999</v>
      </c>
      <c r="R1889">
        <v>9.1586899999999902E-2</v>
      </c>
      <c r="S1889">
        <v>-3.0748600000000001</v>
      </c>
      <c r="T1889">
        <v>-0.4123925</v>
      </c>
      <c r="U1889">
        <v>0.38549800000000001</v>
      </c>
      <c r="V1889">
        <v>4.5602579999999997E-2</v>
      </c>
      <c r="W1889">
        <v>0.1553553</v>
      </c>
      <c r="X1889">
        <v>0.9868055</v>
      </c>
      <c r="Y1889">
        <v>7.8261839999999999E-2</v>
      </c>
      <c r="Z1889">
        <v>-9.1792410000000001E-4</v>
      </c>
      <c r="AA1889">
        <v>0.99693240000000005</v>
      </c>
      <c r="AB1889">
        <v>29</v>
      </c>
      <c r="AC1889">
        <v>-0.49070000000000302</v>
      </c>
      <c r="AD1889">
        <v>-0.104327999999999</v>
      </c>
      <c r="AE1889">
        <v>8.5499999999967699E-2</v>
      </c>
      <c r="AF1889">
        <v>6.0159653855447803E-2</v>
      </c>
      <c r="AG1889">
        <v>-0.104327999999999</v>
      </c>
      <c r="AH1889">
        <v>0.47335186919295502</v>
      </c>
      <c r="AI1889">
        <v>102.33328439864501</v>
      </c>
      <c r="AJ1889">
        <v>82.756945666027306</v>
      </c>
      <c r="AK1889">
        <v>0.48843168161419598</v>
      </c>
      <c r="AL1889">
        <v>81.062596754466796</v>
      </c>
      <c r="AM1889">
        <v>87.354111041980303</v>
      </c>
      <c r="AN1889">
        <v>0.99999997968549803</v>
      </c>
    </row>
    <row r="1890" spans="1:40" x14ac:dyDescent="0.25">
      <c r="A1890" t="str">
        <f>"20190312172929042"</f>
        <v>20190312172929042</v>
      </c>
      <c r="B1890" t="str">
        <f>"1552382969039190"</f>
        <v>1552382969039190</v>
      </c>
      <c r="C1890" t="s">
        <v>40</v>
      </c>
      <c r="D1890">
        <v>3.4352680000000002</v>
      </c>
      <c r="E1890">
        <v>0.52194079999999998</v>
      </c>
      <c r="F1890" t="s">
        <v>42</v>
      </c>
      <c r="G1890">
        <v>-233.6465</v>
      </c>
      <c r="H1890">
        <v>0.99237900000000001</v>
      </c>
      <c r="I1890">
        <v>282.3845</v>
      </c>
      <c r="J1890">
        <v>-233.19749999999999</v>
      </c>
      <c r="K1890">
        <v>1.1105659999999999</v>
      </c>
      <c r="L1890">
        <v>282.29309999999998</v>
      </c>
      <c r="M1890">
        <v>-0.99903109999999995</v>
      </c>
      <c r="N1890">
        <v>0</v>
      </c>
      <c r="O1890">
        <v>4.376559E-2</v>
      </c>
      <c r="P1890">
        <v>-0.9846625</v>
      </c>
      <c r="Q1890">
        <v>0.1497125</v>
      </c>
      <c r="R1890">
        <v>8.9586680000000002E-2</v>
      </c>
      <c r="S1890">
        <v>-3.082748</v>
      </c>
      <c r="T1890">
        <v>-0.48630309999999999</v>
      </c>
      <c r="U1890">
        <v>0.42373660000000002</v>
      </c>
      <c r="V1890">
        <v>4.579097E-2</v>
      </c>
      <c r="W1890">
        <v>0.15448239999999999</v>
      </c>
      <c r="X1890">
        <v>0.98693379999999997</v>
      </c>
      <c r="Y1890">
        <v>9.2098849999999996E-2</v>
      </c>
      <c r="Z1890">
        <v>3.6306119999999999E-4</v>
      </c>
      <c r="AA1890">
        <v>0.99574980000000002</v>
      </c>
      <c r="AB1890">
        <v>30</v>
      </c>
      <c r="AC1890">
        <v>-0.449000000000012</v>
      </c>
      <c r="AD1890">
        <v>-0.118186999999999</v>
      </c>
      <c r="AE1890">
        <v>9.1400000000021395E-2</v>
      </c>
      <c r="AF1890">
        <v>6.7191269193656006E-2</v>
      </c>
      <c r="AG1890">
        <v>-0.118186999999999</v>
      </c>
      <c r="AH1890">
        <v>0.42433899191456997</v>
      </c>
      <c r="AI1890">
        <v>105.38120200575599</v>
      </c>
      <c r="AJ1890">
        <v>81.002295164604902</v>
      </c>
      <c r="AK1890">
        <v>0.44558547292739298</v>
      </c>
      <c r="AL1890">
        <v>81.113221384708496</v>
      </c>
      <c r="AM1890">
        <v>87.343541056950201</v>
      </c>
      <c r="AN1890">
        <v>0.99999997521286998</v>
      </c>
    </row>
    <row r="1891" spans="1:40" x14ac:dyDescent="0.25">
      <c r="A1891" t="str">
        <f>"20190312172929065"</f>
        <v>20190312172929065</v>
      </c>
      <c r="B1891" t="str">
        <f>"1552382969059687"</f>
        <v>1552382969059687</v>
      </c>
      <c r="C1891" t="s">
        <v>40</v>
      </c>
      <c r="D1891">
        <v>3.5918739999999998</v>
      </c>
      <c r="E1891">
        <v>0.52387850000000002</v>
      </c>
      <c r="F1891" t="s">
        <v>42</v>
      </c>
      <c r="G1891">
        <v>-233.9084</v>
      </c>
      <c r="H1891">
        <v>0.98503430000000003</v>
      </c>
      <c r="I1891">
        <v>282.39760000000001</v>
      </c>
      <c r="J1891">
        <v>-233.4939</v>
      </c>
      <c r="K1891">
        <v>1.1107720000000001</v>
      </c>
      <c r="L1891">
        <v>282.30369999999999</v>
      </c>
      <c r="M1891">
        <v>-0.99913850000000004</v>
      </c>
      <c r="N1891">
        <v>0</v>
      </c>
      <c r="O1891">
        <v>4.1236340000000003E-2</v>
      </c>
      <c r="P1891">
        <v>-0.98500189999999999</v>
      </c>
      <c r="Q1891">
        <v>0.1492578</v>
      </c>
      <c r="R1891">
        <v>8.6566119999999996E-2</v>
      </c>
      <c r="S1891">
        <v>-3.0883479999999999</v>
      </c>
      <c r="T1891">
        <v>-0.54540279999999997</v>
      </c>
      <c r="U1891">
        <v>0.4539185</v>
      </c>
      <c r="V1891">
        <v>4.5184179999999997E-2</v>
      </c>
      <c r="W1891">
        <v>0.154081</v>
      </c>
      <c r="X1891">
        <v>0.98702449999999997</v>
      </c>
      <c r="Y1891">
        <v>0.1035505</v>
      </c>
      <c r="Z1891">
        <v>1.8440660000000001E-3</v>
      </c>
      <c r="AA1891">
        <v>0.99462249999999996</v>
      </c>
      <c r="AB1891">
        <v>30</v>
      </c>
      <c r="AC1891">
        <v>-0.41450000000000298</v>
      </c>
      <c r="AD1891">
        <v>-0.12573769999999901</v>
      </c>
      <c r="AE1891">
        <v>9.3900000000019204E-2</v>
      </c>
      <c r="AF1891">
        <v>7.0552184340819404E-2</v>
      </c>
      <c r="AG1891">
        <v>-0.12573769999999901</v>
      </c>
      <c r="AH1891">
        <v>0.384375889841445</v>
      </c>
      <c r="AI1891">
        <v>107.83540758565699</v>
      </c>
      <c r="AJ1891">
        <v>79.599133720252695</v>
      </c>
      <c r="AK1891">
        <v>0.41052698401926502</v>
      </c>
      <c r="AL1891">
        <v>81.136498512985895</v>
      </c>
      <c r="AM1891">
        <v>87.378933711700597</v>
      </c>
      <c r="AN1891">
        <v>0.99999996414175996</v>
      </c>
    </row>
    <row r="1892" spans="1:40" x14ac:dyDescent="0.25">
      <c r="A1892" t="str">
        <f>"20190312172929087"</f>
        <v>20190312172929087</v>
      </c>
      <c r="B1892" t="str">
        <f>"1552382969079207"</f>
        <v>1552382969079207</v>
      </c>
      <c r="C1892" t="s">
        <v>40</v>
      </c>
      <c r="D1892">
        <v>3.4209139999999998</v>
      </c>
      <c r="E1892">
        <v>0.52550949999999996</v>
      </c>
      <c r="F1892" t="s">
        <v>42</v>
      </c>
      <c r="G1892">
        <v>-234.4211</v>
      </c>
      <c r="H1892">
        <v>0.94071669999999996</v>
      </c>
      <c r="I1892">
        <v>282.44209999999998</v>
      </c>
      <c r="J1892">
        <v>-233.78919999999999</v>
      </c>
      <c r="K1892">
        <v>1.1109450000000001</v>
      </c>
      <c r="L1892">
        <v>282.31330000000003</v>
      </c>
      <c r="M1892">
        <v>-0.99924639999999998</v>
      </c>
      <c r="N1892">
        <v>0</v>
      </c>
      <c r="O1892">
        <v>3.8528109999999997E-2</v>
      </c>
      <c r="P1892">
        <v>-0.98518819999999996</v>
      </c>
      <c r="Q1892">
        <v>0.1495484</v>
      </c>
      <c r="R1892">
        <v>8.3901370000000003E-2</v>
      </c>
      <c r="S1892">
        <v>-3.0910489999999999</v>
      </c>
      <c r="T1892">
        <v>-0.56688549999999904</v>
      </c>
      <c r="U1892">
        <v>0.46124270000000001</v>
      </c>
      <c r="V1892">
        <v>4.5125360000000003E-2</v>
      </c>
      <c r="W1892">
        <v>0.15441969999999999</v>
      </c>
      <c r="X1892">
        <v>0.98697429999999997</v>
      </c>
      <c r="Y1892">
        <v>0.1082326</v>
      </c>
      <c r="Z1892">
        <v>2.8260939999999999E-3</v>
      </c>
      <c r="AA1892">
        <v>0.99412160000000005</v>
      </c>
      <c r="AB1892">
        <v>30</v>
      </c>
      <c r="AC1892">
        <v>-0.63190000000000102</v>
      </c>
      <c r="AD1892">
        <v>-0.1702283</v>
      </c>
      <c r="AE1892">
        <v>0.12879999999995501</v>
      </c>
      <c r="AF1892">
        <v>9.7560481792402703E-2</v>
      </c>
      <c r="AG1892">
        <v>-0.1702283</v>
      </c>
      <c r="AH1892">
        <v>0.59493979563587396</v>
      </c>
      <c r="AI1892">
        <v>105.767331560724</v>
      </c>
      <c r="AJ1892">
        <v>80.687305599153305</v>
      </c>
      <c r="AK1892">
        <v>0.62645756612855397</v>
      </c>
      <c r="AL1892">
        <v>81.116857731474994</v>
      </c>
      <c r="AM1892">
        <v>87.382208066805106</v>
      </c>
      <c r="AN1892">
        <v>1.0000000053618501</v>
      </c>
    </row>
    <row r="1893" spans="1:40" x14ac:dyDescent="0.25">
      <c r="A1893" t="str">
        <f>"20190312172929110"</f>
        <v>20190312172929110</v>
      </c>
      <c r="B1893" t="str">
        <f>"1552382969099702"</f>
        <v>1552382969099702</v>
      </c>
      <c r="C1893" t="s">
        <v>40</v>
      </c>
      <c r="D1893">
        <v>3.4231859999999998</v>
      </c>
      <c r="E1893">
        <v>0.52670719999999904</v>
      </c>
      <c r="F1893" t="s">
        <v>42</v>
      </c>
      <c r="G1893">
        <v>-234.69059999999999</v>
      </c>
      <c r="H1893">
        <v>0.94204429999999995</v>
      </c>
      <c r="I1893">
        <v>282.44929999999999</v>
      </c>
      <c r="J1893">
        <v>-234.1078</v>
      </c>
      <c r="K1893">
        <v>1.1110880000000001</v>
      </c>
      <c r="L1893">
        <v>282.32260000000002</v>
      </c>
      <c r="M1893">
        <v>-0.99935960000000001</v>
      </c>
      <c r="N1893">
        <v>0</v>
      </c>
      <c r="O1893">
        <v>3.5466909999999997E-2</v>
      </c>
      <c r="P1893">
        <v>-0.98527070000000005</v>
      </c>
      <c r="Q1893">
        <v>0.1504588</v>
      </c>
      <c r="R1893">
        <v>8.1262810000000005E-2</v>
      </c>
      <c r="S1893">
        <v>-3.0933839999999999</v>
      </c>
      <c r="T1893">
        <v>-0.57972009999999996</v>
      </c>
      <c r="U1893">
        <v>0.46640009999999998</v>
      </c>
      <c r="V1893">
        <v>4.5452489999999998E-2</v>
      </c>
      <c r="W1893">
        <v>0.15537599999999999</v>
      </c>
      <c r="X1893">
        <v>0.98680919999999905</v>
      </c>
      <c r="Y1893">
        <v>0.1126118</v>
      </c>
      <c r="Z1893">
        <v>3.8557370000000001E-3</v>
      </c>
      <c r="AA1893">
        <v>0.99363159999999895</v>
      </c>
      <c r="AB1893">
        <v>30</v>
      </c>
      <c r="AC1893">
        <v>-0.58279999999999099</v>
      </c>
      <c r="AD1893">
        <v>-0.16904369999999899</v>
      </c>
      <c r="AE1893">
        <v>0.126699999999971</v>
      </c>
      <c r="AF1893">
        <v>9.8071396222914206E-2</v>
      </c>
      <c r="AG1893">
        <v>-0.16904369999999899</v>
      </c>
      <c r="AH1893">
        <v>0.54328256213187098</v>
      </c>
      <c r="AI1893">
        <v>107.02476869058199</v>
      </c>
      <c r="AJ1893">
        <v>79.767371513343804</v>
      </c>
      <c r="AK1893">
        <v>0.57736445472801001</v>
      </c>
      <c r="AL1893">
        <v>81.0613964595982</v>
      </c>
      <c r="AM1893">
        <v>87.362816913240593</v>
      </c>
      <c r="AN1893">
        <v>1.00000001371391</v>
      </c>
    </row>
    <row r="1894" spans="1:40" x14ac:dyDescent="0.25">
      <c r="A1894" t="str">
        <f>"20190312172929133"</f>
        <v>20190312172929133</v>
      </c>
      <c r="B1894" t="str">
        <f>"1552382969128984"</f>
        <v>1552382969128984</v>
      </c>
      <c r="C1894" t="s">
        <v>40</v>
      </c>
      <c r="D1894">
        <v>3.4245519999999998</v>
      </c>
      <c r="E1894">
        <v>0.52759049999999996</v>
      </c>
      <c r="F1894" t="s">
        <v>42</v>
      </c>
      <c r="G1894">
        <v>-234.96360000000001</v>
      </c>
      <c r="H1894">
        <v>0.94854249999999996</v>
      </c>
      <c r="I1894">
        <v>282.45159999999998</v>
      </c>
      <c r="J1894">
        <v>-234.416</v>
      </c>
      <c r="K1894">
        <v>1.1111879999999901</v>
      </c>
      <c r="L1894">
        <v>282.33069999999998</v>
      </c>
      <c r="M1894">
        <v>-0.99946330000000005</v>
      </c>
      <c r="N1894">
        <v>0</v>
      </c>
      <c r="O1894">
        <v>3.2415680000000002E-2</v>
      </c>
      <c r="P1894">
        <v>-0.98543979999999998</v>
      </c>
      <c r="Q1894">
        <v>0.1509973</v>
      </c>
      <c r="R1894">
        <v>7.8156359999999994E-2</v>
      </c>
      <c r="S1894">
        <v>-3.0961150000000002</v>
      </c>
      <c r="T1894">
        <v>-0.58797809999999995</v>
      </c>
      <c r="U1894">
        <v>0.4668274</v>
      </c>
      <c r="V1894">
        <v>4.5315229999999998E-2</v>
      </c>
      <c r="W1894">
        <v>0.1559507</v>
      </c>
      <c r="X1894">
        <v>0.98672490000000002</v>
      </c>
      <c r="Y1894">
        <v>0.1155103</v>
      </c>
      <c r="Z1894">
        <v>4.7478349999999997E-3</v>
      </c>
      <c r="AA1894">
        <v>0.99329500000000004</v>
      </c>
      <c r="AB1894">
        <v>30</v>
      </c>
      <c r="AC1894">
        <v>-0.54760000000001696</v>
      </c>
      <c r="AD1894">
        <v>-0.162645499999999</v>
      </c>
      <c r="AE1894">
        <v>0.120900000000006</v>
      </c>
      <c r="AF1894">
        <v>9.5086940625870905E-2</v>
      </c>
      <c r="AG1894">
        <v>-0.162645499999999</v>
      </c>
      <c r="AH1894">
        <v>0.50846075258693302</v>
      </c>
      <c r="AI1894">
        <v>107.45456965670201</v>
      </c>
      <c r="AJ1894">
        <v>79.407501749408596</v>
      </c>
      <c r="AK1894">
        <v>0.54224295465142602</v>
      </c>
      <c r="AL1894">
        <v>81.028062651381504</v>
      </c>
      <c r="AM1894">
        <v>87.370545324753095</v>
      </c>
      <c r="AN1894">
        <v>1.0000000595902201</v>
      </c>
    </row>
    <row r="1895" spans="1:40" x14ac:dyDescent="0.25">
      <c r="A1895" t="str">
        <f>"20190312172929153"</f>
        <v>20190312172929153</v>
      </c>
      <c r="B1895" t="str">
        <f>"1552382969149478"</f>
        <v>1552382969149478</v>
      </c>
      <c r="C1895" t="s">
        <v>40</v>
      </c>
      <c r="D1895">
        <v>3.4332769999999901</v>
      </c>
      <c r="E1895">
        <v>0.54949239999999999</v>
      </c>
      <c r="F1895" t="s">
        <v>42</v>
      </c>
      <c r="G1895">
        <v>-235.23699999999999</v>
      </c>
      <c r="H1895">
        <v>0.95361600000000002</v>
      </c>
      <c r="I1895">
        <v>282.45389999999998</v>
      </c>
      <c r="J1895">
        <v>-234.6901</v>
      </c>
      <c r="K1895">
        <v>1.111248</v>
      </c>
      <c r="L1895">
        <v>282.33699999999999</v>
      </c>
      <c r="M1895">
        <v>-0.99954869999999996</v>
      </c>
      <c r="N1895">
        <v>0</v>
      </c>
      <c r="O1895">
        <v>2.9659149999999999E-2</v>
      </c>
      <c r="P1895">
        <v>-0.98570749999999996</v>
      </c>
      <c r="Q1895">
        <v>0.15070520000000001</v>
      </c>
      <c r="R1895">
        <v>7.5295139999999997E-2</v>
      </c>
      <c r="S1895">
        <v>-3.0986479999999998</v>
      </c>
      <c r="T1895">
        <v>-0.59485980000000005</v>
      </c>
      <c r="U1895">
        <v>0.46435549999999998</v>
      </c>
      <c r="V1895">
        <v>4.514663E-2</v>
      </c>
      <c r="W1895">
        <v>0.1556864</v>
      </c>
      <c r="X1895">
        <v>0.98677429999999999</v>
      </c>
      <c r="Y1895">
        <v>0.1172426</v>
      </c>
      <c r="Z1895">
        <v>5.483524E-3</v>
      </c>
      <c r="AA1895">
        <v>0.99308819999999998</v>
      </c>
      <c r="AB1895">
        <v>30</v>
      </c>
      <c r="AC1895">
        <v>-0.54689999999999295</v>
      </c>
      <c r="AD1895">
        <v>-0.15763199999999999</v>
      </c>
      <c r="AE1895">
        <v>0.116899999999986</v>
      </c>
      <c r="AF1895">
        <v>9.3221733070994697E-2</v>
      </c>
      <c r="AG1895">
        <v>-0.15763199999999999</v>
      </c>
      <c r="AH1895">
        <v>0.50963804700762205</v>
      </c>
      <c r="AI1895">
        <v>106.922580262287</v>
      </c>
      <c r="AJ1895">
        <v>79.634192919904805</v>
      </c>
      <c r="AK1895">
        <v>0.54154323733059695</v>
      </c>
      <c r="AL1895">
        <v>81.043392604697004</v>
      </c>
      <c r="AM1895">
        <v>87.380445792858396</v>
      </c>
      <c r="AN1895">
        <v>0.99999999624290303</v>
      </c>
    </row>
    <row r="1896" spans="1:40" x14ac:dyDescent="0.25">
      <c r="A1896" t="str">
        <f>"20190312172929175"</f>
        <v>20190312172929175</v>
      </c>
      <c r="B1896" t="str">
        <f>"1552382969168999"</f>
        <v>1552382969168999</v>
      </c>
      <c r="C1896" t="s">
        <v>40</v>
      </c>
      <c r="D1896">
        <v>3.4150809999999998</v>
      </c>
      <c r="E1896">
        <v>0.55031600000000003</v>
      </c>
      <c r="F1896" t="s">
        <v>42</v>
      </c>
      <c r="G1896">
        <v>-235.4983</v>
      </c>
      <c r="H1896">
        <v>0.92815700000000001</v>
      </c>
      <c r="I1896">
        <v>282.5009</v>
      </c>
      <c r="J1896">
        <v>-234.99950000000001</v>
      </c>
      <c r="K1896">
        <v>1.1112879999999901</v>
      </c>
      <c r="L1896">
        <v>282.34320000000002</v>
      </c>
      <c r="M1896">
        <v>-0.99963670000000004</v>
      </c>
      <c r="N1896">
        <v>0</v>
      </c>
      <c r="O1896">
        <v>2.6524229999999999E-2</v>
      </c>
      <c r="P1896">
        <v>-0.98603609999999997</v>
      </c>
      <c r="Q1896">
        <v>0.14979909999999999</v>
      </c>
      <c r="R1896">
        <v>7.2755020000000004E-2</v>
      </c>
      <c r="S1896">
        <v>-3.1030120000000001</v>
      </c>
      <c r="T1896">
        <v>-0.7031847</v>
      </c>
      <c r="U1896">
        <v>0.62853999999999999</v>
      </c>
      <c r="V1896">
        <v>4.5679079999999997E-2</v>
      </c>
      <c r="W1896">
        <v>0.15481310000000001</v>
      </c>
      <c r="X1896">
        <v>0.98688719999999996</v>
      </c>
      <c r="Y1896">
        <v>0.1689928</v>
      </c>
      <c r="Z1896">
        <v>1.285143E-2</v>
      </c>
      <c r="AA1896">
        <v>0.98553349999999995</v>
      </c>
      <c r="AB1896">
        <v>30</v>
      </c>
      <c r="AC1896">
        <v>-0.49879999999998798</v>
      </c>
      <c r="AD1896">
        <v>-0.18313099999999899</v>
      </c>
      <c r="AE1896">
        <v>0.157699999999977</v>
      </c>
      <c r="AF1896">
        <v>0.12864881617037099</v>
      </c>
      <c r="AG1896">
        <v>-0.18313099999999899</v>
      </c>
      <c r="AH1896">
        <v>0.44791741042299199</v>
      </c>
      <c r="AI1896">
        <v>111.452979939217</v>
      </c>
      <c r="AJ1896">
        <v>73.9751148007023</v>
      </c>
      <c r="AK1896">
        <v>0.50071697357197398</v>
      </c>
      <c r="AL1896">
        <v>81.094043258414004</v>
      </c>
      <c r="AM1896">
        <v>87.349897885202395</v>
      </c>
      <c r="AN1896">
        <v>1.0000000099025399</v>
      </c>
    </row>
    <row r="1897" spans="1:40" x14ac:dyDescent="0.25">
      <c r="A1897" t="str">
        <f>"20190312172929199"</f>
        <v>20190312172929199</v>
      </c>
      <c r="B1897" t="str">
        <f>"1552382969189495"</f>
        <v>1552382969189495</v>
      </c>
      <c r="C1897" t="s">
        <v>40</v>
      </c>
      <c r="D1897">
        <v>3.4414799999999999</v>
      </c>
      <c r="E1897">
        <v>0.550678</v>
      </c>
      <c r="F1897" t="s">
        <v>42</v>
      </c>
      <c r="G1897">
        <v>-235.77459999999999</v>
      </c>
      <c r="H1897">
        <v>0.93545290000000003</v>
      </c>
      <c r="I1897">
        <v>282.49950000000001</v>
      </c>
      <c r="J1897">
        <v>-235.3141</v>
      </c>
      <c r="K1897">
        <v>1.1113189999999999</v>
      </c>
      <c r="L1897">
        <v>282.3485</v>
      </c>
      <c r="M1897">
        <v>-0.9997161</v>
      </c>
      <c r="N1897">
        <v>0</v>
      </c>
      <c r="O1897">
        <v>2.333052E-2</v>
      </c>
      <c r="P1897">
        <v>-0.98660119999999896</v>
      </c>
      <c r="Q1897">
        <v>0.1477406</v>
      </c>
      <c r="R1897">
        <v>6.9215159999999998E-2</v>
      </c>
      <c r="S1897">
        <v>-3.1033629999999999</v>
      </c>
      <c r="T1897">
        <v>-0.70420109999999903</v>
      </c>
      <c r="U1897">
        <v>0.62490840000000003</v>
      </c>
      <c r="V1897">
        <v>4.5277390000000001E-2</v>
      </c>
      <c r="W1897">
        <v>0.1527809</v>
      </c>
      <c r="X1897">
        <v>0.9872223</v>
      </c>
      <c r="Y1897">
        <v>0.1708749</v>
      </c>
      <c r="Z1897">
        <v>1.3786130000000001E-2</v>
      </c>
      <c r="AA1897">
        <v>0.98519630000000002</v>
      </c>
      <c r="AB1897">
        <v>31</v>
      </c>
      <c r="AC1897">
        <v>-0.46049999999999602</v>
      </c>
      <c r="AD1897">
        <v>-0.175866099999999</v>
      </c>
      <c r="AE1897">
        <v>0.15100000000000999</v>
      </c>
      <c r="AF1897">
        <v>0.12389882728382599</v>
      </c>
      <c r="AG1897">
        <v>-0.175866099999999</v>
      </c>
      <c r="AH1897">
        <v>0.40991578014232799</v>
      </c>
      <c r="AI1897">
        <v>112.326993341068</v>
      </c>
      <c r="AJ1897">
        <v>73.182329702799393</v>
      </c>
      <c r="AK1897">
        <v>0.46293709220715001</v>
      </c>
      <c r="AL1897">
        <v>81.211881285994806</v>
      </c>
      <c r="AM1897">
        <v>87.374059805890596</v>
      </c>
      <c r="AN1897">
        <v>0.999999957533655</v>
      </c>
    </row>
    <row r="1898" spans="1:40" x14ac:dyDescent="0.25">
      <c r="A1898" t="str">
        <f>"20190312172929220"</f>
        <v>20190312172929220</v>
      </c>
      <c r="B1898" t="str">
        <f>"1552382969209018"</f>
        <v>1552382969209018</v>
      </c>
      <c r="C1898" t="s">
        <v>40</v>
      </c>
      <c r="D1898">
        <v>3.415594</v>
      </c>
      <c r="E1898">
        <v>0.55059950000000002</v>
      </c>
      <c r="F1898" t="s">
        <v>42</v>
      </c>
      <c r="G1898">
        <v>-236.0521</v>
      </c>
      <c r="H1898">
        <v>0.94313780000000003</v>
      </c>
      <c r="I1898">
        <v>282.49529999999999</v>
      </c>
      <c r="J1898">
        <v>-235.60679999999999</v>
      </c>
      <c r="K1898">
        <v>1.1113459999999999</v>
      </c>
      <c r="L1898">
        <v>282.3526</v>
      </c>
      <c r="M1898">
        <v>-0.99978089999999997</v>
      </c>
      <c r="N1898">
        <v>0</v>
      </c>
      <c r="O1898">
        <v>2.0362600000000002E-2</v>
      </c>
      <c r="P1898">
        <v>-0.9872031</v>
      </c>
      <c r="Q1898">
        <v>0.145123</v>
      </c>
      <c r="R1898">
        <v>6.610046E-2</v>
      </c>
      <c r="S1898">
        <v>-3.103424</v>
      </c>
      <c r="T1898">
        <v>-0.70748529999999998</v>
      </c>
      <c r="U1898">
        <v>0.61642459999999999</v>
      </c>
      <c r="V1898">
        <v>4.5086710000000002E-2</v>
      </c>
      <c r="W1898">
        <v>0.15018860000000001</v>
      </c>
      <c r="X1898">
        <v>0.98762879999999997</v>
      </c>
      <c r="Y1898">
        <v>0.17108999999999999</v>
      </c>
      <c r="Z1898">
        <v>1.4537080000000001E-2</v>
      </c>
      <c r="AA1898">
        <v>0.98514809999999997</v>
      </c>
      <c r="AB1898">
        <v>31</v>
      </c>
      <c r="AC1898">
        <v>-0.44530000000000303</v>
      </c>
      <c r="AD1898">
        <v>-0.168208199999999</v>
      </c>
      <c r="AE1898">
        <v>0.14269999999999</v>
      </c>
      <c r="AF1898">
        <v>0.118295416788566</v>
      </c>
      <c r="AG1898">
        <v>-0.168208199999999</v>
      </c>
      <c r="AH1898">
        <v>0.39677125968696603</v>
      </c>
      <c r="AI1898">
        <v>112.11043631724399</v>
      </c>
      <c r="AJ1898">
        <v>73.398306861226899</v>
      </c>
      <c r="AK1898">
        <v>0.44689510703743801</v>
      </c>
      <c r="AL1898">
        <v>81.362143961277397</v>
      </c>
      <c r="AM1898">
        <v>87.386178016053805</v>
      </c>
      <c r="AN1898">
        <v>1.0000000367890101</v>
      </c>
    </row>
    <row r="1899" spans="1:40" x14ac:dyDescent="0.25">
      <c r="A1899" t="str">
        <f>"20190312172929243"</f>
        <v>20190312172929243</v>
      </c>
      <c r="B1899" t="str">
        <f>"1552382969239271"</f>
        <v>1552382969239271</v>
      </c>
      <c r="C1899" t="s">
        <v>40</v>
      </c>
      <c r="D1899">
        <v>3.4208859999999999</v>
      </c>
      <c r="E1899">
        <v>0.55073989999999995</v>
      </c>
      <c r="F1899" t="s">
        <v>42</v>
      </c>
      <c r="G1899">
        <v>-236.32820000000001</v>
      </c>
      <c r="H1899">
        <v>0.94523550000000001</v>
      </c>
      <c r="I1899">
        <v>282.49369999999999</v>
      </c>
      <c r="J1899">
        <v>-235.91980000000001</v>
      </c>
      <c r="K1899">
        <v>1.111361</v>
      </c>
      <c r="L1899">
        <v>282.35599999999999</v>
      </c>
      <c r="M1899">
        <v>-0.99984030000000002</v>
      </c>
      <c r="N1899">
        <v>0</v>
      </c>
      <c r="O1899">
        <v>1.7196989999999999E-2</v>
      </c>
      <c r="P1899">
        <v>-0.98776039999999998</v>
      </c>
      <c r="Q1899">
        <v>0.14303729999999901</v>
      </c>
      <c r="R1899">
        <v>6.2208380000000001E-2</v>
      </c>
      <c r="S1899">
        <v>-3.1034090000000001</v>
      </c>
      <c r="T1899">
        <v>-0.71492699999999998</v>
      </c>
      <c r="U1899">
        <v>0.6062012</v>
      </c>
      <c r="V1899">
        <v>4.4315739999999999E-2</v>
      </c>
      <c r="W1899">
        <v>0.148124799999999</v>
      </c>
      <c r="X1899">
        <v>0.9879753</v>
      </c>
      <c r="Y1899">
        <v>0.1709272</v>
      </c>
      <c r="Z1899">
        <v>1.538497E-2</v>
      </c>
      <c r="AA1899">
        <v>0.98516349999999997</v>
      </c>
      <c r="AB1899">
        <v>31</v>
      </c>
      <c r="AC1899">
        <v>-0.40839999999999999</v>
      </c>
      <c r="AD1899">
        <v>-0.16612550000000001</v>
      </c>
      <c r="AE1899">
        <v>0.13769999999999499</v>
      </c>
      <c r="AF1899">
        <v>0.113755346759377</v>
      </c>
      <c r="AG1899">
        <v>-0.16612550000000001</v>
      </c>
      <c r="AH1899">
        <v>0.35758085194692002</v>
      </c>
      <c r="AI1899">
        <v>113.879887861871</v>
      </c>
      <c r="AJ1899">
        <v>72.352840977185906</v>
      </c>
      <c r="AK1899">
        <v>0.41036815951737898</v>
      </c>
      <c r="AL1899">
        <v>81.481728568808407</v>
      </c>
      <c r="AM1899">
        <v>87.4317130762537</v>
      </c>
      <c r="AN1899">
        <v>1.00000001729843</v>
      </c>
    </row>
    <row r="1900" spans="1:40" x14ac:dyDescent="0.25">
      <c r="A1900" t="str">
        <f>"20190312172929265"</f>
        <v>20190312172929265</v>
      </c>
      <c r="B1900" t="str">
        <f>"1552382969259767"</f>
        <v>1552382969259767</v>
      </c>
      <c r="C1900" t="s">
        <v>40</v>
      </c>
      <c r="D1900">
        <v>3.4342839999999901</v>
      </c>
      <c r="E1900">
        <v>0.55069820000000003</v>
      </c>
      <c r="F1900" t="s">
        <v>42</v>
      </c>
      <c r="G1900">
        <v>-236.60740000000001</v>
      </c>
      <c r="H1900">
        <v>0.95150409999999996</v>
      </c>
      <c r="I1900">
        <v>282.48790000000002</v>
      </c>
      <c r="J1900">
        <v>-236.22980000000001</v>
      </c>
      <c r="K1900">
        <v>1.1113839999999999</v>
      </c>
      <c r="L1900">
        <v>282.35829999999999</v>
      </c>
      <c r="M1900">
        <v>-0.99988920000000003</v>
      </c>
      <c r="N1900">
        <v>0</v>
      </c>
      <c r="O1900">
        <v>1.407107E-2</v>
      </c>
      <c r="P1900">
        <v>-0.98807160000000005</v>
      </c>
      <c r="Q1900">
        <v>0.14229520000000001</v>
      </c>
      <c r="R1900">
        <v>5.8882400000000001E-2</v>
      </c>
      <c r="S1900">
        <v>-3.1042179999999999</v>
      </c>
      <c r="T1900">
        <v>-0.7217768</v>
      </c>
      <c r="U1900">
        <v>0.59515379999999996</v>
      </c>
      <c r="V1900">
        <v>4.4070970000000001E-2</v>
      </c>
      <c r="W1900">
        <v>0.14740610000000001</v>
      </c>
      <c r="X1900">
        <v>0.98809369999999996</v>
      </c>
      <c r="Y1900">
        <v>0.17043429999999901</v>
      </c>
      <c r="Z1900">
        <v>1.618416E-2</v>
      </c>
      <c r="AA1900">
        <v>0.98523609999999995</v>
      </c>
      <c r="AB1900">
        <v>31</v>
      </c>
      <c r="AC1900">
        <v>-0.37760000000000099</v>
      </c>
      <c r="AD1900">
        <v>-0.15987989999999899</v>
      </c>
      <c r="AE1900">
        <v>0.12960000000003899</v>
      </c>
      <c r="AF1900">
        <v>0.10709724366756999</v>
      </c>
      <c r="AG1900">
        <v>-0.15987989999999899</v>
      </c>
      <c r="AH1900">
        <v>0.32694903084152399</v>
      </c>
      <c r="AI1900">
        <v>114.92472922221199</v>
      </c>
      <c r="AJ1900">
        <v>71.862985981187904</v>
      </c>
      <c r="AK1900">
        <v>0.379377214383538</v>
      </c>
      <c r="AL1900">
        <v>81.523363821295703</v>
      </c>
      <c r="AM1900">
        <v>87.446185355276995</v>
      </c>
      <c r="AN1900">
        <v>0.99999998434682003</v>
      </c>
    </row>
    <row r="1901" spans="1:40" x14ac:dyDescent="0.25">
      <c r="A1901" t="str">
        <f>"20190312172929289"</f>
        <v>20190312172929289</v>
      </c>
      <c r="B1901" t="str">
        <f>"1552382969279287"</f>
        <v>1552382969279287</v>
      </c>
      <c r="C1901" t="s">
        <v>40</v>
      </c>
      <c r="D1901">
        <v>3.3930180000000001</v>
      </c>
      <c r="E1901">
        <v>0.5506316</v>
      </c>
      <c r="F1901" t="s">
        <v>42</v>
      </c>
      <c r="G1901">
        <v>-237.1421</v>
      </c>
      <c r="H1901">
        <v>0.89907359999999903</v>
      </c>
      <c r="I1901">
        <v>282.52980000000002</v>
      </c>
      <c r="J1901">
        <v>-236.5513</v>
      </c>
      <c r="K1901">
        <v>1.1114059999999999</v>
      </c>
      <c r="L1901">
        <v>282.3596</v>
      </c>
      <c r="M1901">
        <v>-0.99992919999999996</v>
      </c>
      <c r="N1901">
        <v>0</v>
      </c>
      <c r="O1901">
        <v>1.0837380000000001E-2</v>
      </c>
      <c r="P1901">
        <v>-0.98821970000000003</v>
      </c>
      <c r="Q1901">
        <v>0.1425362</v>
      </c>
      <c r="R1901">
        <v>5.5726629999999999E-2</v>
      </c>
      <c r="S1901">
        <v>-3.105591</v>
      </c>
      <c r="T1901">
        <v>-0.72298960000000001</v>
      </c>
      <c r="U1901">
        <v>0.58319089999999996</v>
      </c>
      <c r="V1901">
        <v>4.4100019999999997E-2</v>
      </c>
      <c r="W1901">
        <v>0.14767169999999999</v>
      </c>
      <c r="X1901">
        <v>0.98805279999999995</v>
      </c>
      <c r="Y1901">
        <v>0.16979369999999999</v>
      </c>
      <c r="Z1901">
        <v>1.687259E-2</v>
      </c>
      <c r="AA1901">
        <v>0.98533519999999997</v>
      </c>
      <c r="AB1901">
        <v>31</v>
      </c>
      <c r="AC1901">
        <v>-0.59080000000000099</v>
      </c>
      <c r="AD1901">
        <v>-0.2123324</v>
      </c>
      <c r="AE1901">
        <v>0.170200000000022</v>
      </c>
      <c r="AF1901">
        <v>0.14633413395513301</v>
      </c>
      <c r="AG1901">
        <v>-0.2123324</v>
      </c>
      <c r="AH1901">
        <v>0.52946168699735197</v>
      </c>
      <c r="AI1901">
        <v>111.133642680146</v>
      </c>
      <c r="AJ1901">
        <v>74.550113563534296</v>
      </c>
      <c r="AK1901">
        <v>0.58892139106016606</v>
      </c>
      <c r="AL1901">
        <v>81.507978148905096</v>
      </c>
      <c r="AM1901">
        <v>87.444398559973294</v>
      </c>
      <c r="AN1901">
        <v>1.0000000391663599</v>
      </c>
    </row>
    <row r="1902" spans="1:40" x14ac:dyDescent="0.25">
      <c r="A1902" t="str">
        <f>"20190312172929312"</f>
        <v>20190312172929312</v>
      </c>
      <c r="B1902" t="str">
        <f>"1552382969309543"</f>
        <v>1552382969309543</v>
      </c>
      <c r="C1902" t="s">
        <v>40</v>
      </c>
      <c r="D1902">
        <v>3.4089160000000001</v>
      </c>
      <c r="E1902">
        <v>0.55074630000000002</v>
      </c>
      <c r="F1902" t="s">
        <v>42</v>
      </c>
      <c r="G1902">
        <v>-237.4255</v>
      </c>
      <c r="H1902">
        <v>0.90846899999999997</v>
      </c>
      <c r="I1902">
        <v>282.52030000000002</v>
      </c>
      <c r="J1902">
        <v>-236.87639999999999</v>
      </c>
      <c r="K1902">
        <v>1.1114360000000001</v>
      </c>
      <c r="L1902">
        <v>282.36</v>
      </c>
      <c r="M1902">
        <v>-0.99995919999999905</v>
      </c>
      <c r="N1902">
        <v>0</v>
      </c>
      <c r="O1902">
        <v>7.570879E-3</v>
      </c>
      <c r="P1902">
        <v>-0.98840349999999999</v>
      </c>
      <c r="Q1902">
        <v>0.14266289999999901</v>
      </c>
      <c r="R1902">
        <v>5.2019959999999997E-2</v>
      </c>
      <c r="S1902">
        <v>-3.1076969999999999</v>
      </c>
      <c r="T1902">
        <v>-0.7216108</v>
      </c>
      <c r="U1902">
        <v>0.57040409999999997</v>
      </c>
      <c r="V1902">
        <v>4.3612129999999999E-2</v>
      </c>
      <c r="W1902">
        <v>0.14781929999999999</v>
      </c>
      <c r="X1902">
        <v>0.98805240000000005</v>
      </c>
      <c r="Y1902">
        <v>0.16892489999999999</v>
      </c>
      <c r="Z1902">
        <v>1.74798E-2</v>
      </c>
      <c r="AA1902">
        <v>0.98547390000000001</v>
      </c>
      <c r="AB1902">
        <v>31</v>
      </c>
      <c r="AC1902">
        <v>-0.54910000000000903</v>
      </c>
      <c r="AD1902">
        <v>-0.20296700000000001</v>
      </c>
      <c r="AE1902">
        <v>0.16030000000000599</v>
      </c>
      <c r="AF1902">
        <v>0.138678459745882</v>
      </c>
      <c r="AG1902">
        <v>-0.20296700000000001</v>
      </c>
      <c r="AH1902">
        <v>0.488762331769372</v>
      </c>
      <c r="AI1902">
        <v>111.77659702061</v>
      </c>
      <c r="AJ1902">
        <v>74.159561164019806</v>
      </c>
      <c r="AK1902">
        <v>0.54709773829099695</v>
      </c>
      <c r="AL1902">
        <v>81.499427580897503</v>
      </c>
      <c r="AM1902">
        <v>87.472633956221202</v>
      </c>
      <c r="AN1902">
        <v>1.0000000542406899</v>
      </c>
    </row>
    <row r="1903" spans="1:40" x14ac:dyDescent="0.25">
      <c r="A1903" t="str">
        <f>"20190312172929333"</f>
        <v>20190312172929333</v>
      </c>
      <c r="B1903" t="str">
        <f>"1552382969329063"</f>
        <v>1552382969329063</v>
      </c>
      <c r="C1903" t="s">
        <v>40</v>
      </c>
      <c r="D1903">
        <v>3.4056039999999999</v>
      </c>
      <c r="E1903">
        <v>0.55082949999999997</v>
      </c>
      <c r="F1903" t="s">
        <v>42</v>
      </c>
      <c r="G1903">
        <v>-237.71</v>
      </c>
      <c r="H1903">
        <v>0.91821790000000003</v>
      </c>
      <c r="I1903">
        <v>282.50990000000002</v>
      </c>
      <c r="J1903">
        <v>-237.18879999999999</v>
      </c>
      <c r="K1903">
        <v>1.1114580000000001</v>
      </c>
      <c r="L1903">
        <v>282.35939999999999</v>
      </c>
      <c r="M1903">
        <v>-0.99997789999999998</v>
      </c>
      <c r="N1903">
        <v>0</v>
      </c>
      <c r="O1903">
        <v>4.4356120000000002E-3</v>
      </c>
      <c r="P1903">
        <v>-0.98849690000000001</v>
      </c>
      <c r="Q1903">
        <v>0.1432947</v>
      </c>
      <c r="R1903">
        <v>4.8378379999999999E-2</v>
      </c>
      <c r="S1903">
        <v>-3.1098330000000001</v>
      </c>
      <c r="T1903">
        <v>-0.72074229999999995</v>
      </c>
      <c r="U1903">
        <v>0.55923459999999903</v>
      </c>
      <c r="V1903">
        <v>4.305809E-2</v>
      </c>
      <c r="W1903">
        <v>0.14846999999999999</v>
      </c>
      <c r="X1903">
        <v>0.9879791</v>
      </c>
      <c r="Y1903">
        <v>0.16841059999999999</v>
      </c>
      <c r="Z1903">
        <v>1.8106230000000001E-2</v>
      </c>
      <c r="AA1903">
        <v>0.98555060000000005</v>
      </c>
      <c r="AB1903">
        <v>31</v>
      </c>
      <c r="AC1903">
        <v>-0.52120000000002098</v>
      </c>
      <c r="AD1903">
        <v>-0.1932401</v>
      </c>
      <c r="AE1903">
        <v>0.15050000000002201</v>
      </c>
      <c r="AF1903">
        <v>0.13150131961613401</v>
      </c>
      <c r="AG1903">
        <v>-0.1932401</v>
      </c>
      <c r="AH1903">
        <v>0.46310244223005398</v>
      </c>
      <c r="AI1903">
        <v>111.870706436296</v>
      </c>
      <c r="AJ1903">
        <v>74.147717466343593</v>
      </c>
      <c r="AK1903">
        <v>0.51874676414242304</v>
      </c>
      <c r="AL1903">
        <v>81.461728958172301</v>
      </c>
      <c r="AM1903">
        <v>87.504515381257704</v>
      </c>
      <c r="AN1903">
        <v>1.0000000210256199</v>
      </c>
    </row>
    <row r="1904" spans="1:40" x14ac:dyDescent="0.25">
      <c r="A1904" t="str">
        <f>"20190312172929354"</f>
        <v>20190312172929354</v>
      </c>
      <c r="B1904" t="str">
        <f>"1552382969349559"</f>
        <v>1552382969349559</v>
      </c>
      <c r="C1904" t="s">
        <v>40</v>
      </c>
      <c r="D1904">
        <v>3.3829210000000001</v>
      </c>
      <c r="E1904">
        <v>0.55091319999999999</v>
      </c>
      <c r="F1904" t="s">
        <v>42</v>
      </c>
      <c r="G1904">
        <v>-237.99469999999999</v>
      </c>
      <c r="H1904">
        <v>0.92575289999999999</v>
      </c>
      <c r="I1904">
        <v>282.50200000000001</v>
      </c>
      <c r="J1904">
        <v>-237.48330000000001</v>
      </c>
      <c r="K1904">
        <v>1.111477</v>
      </c>
      <c r="L1904">
        <v>282.35789999999997</v>
      </c>
      <c r="M1904">
        <v>-0.99998659999999995</v>
      </c>
      <c r="N1904">
        <v>0</v>
      </c>
      <c r="O1904">
        <v>1.486369E-3</v>
      </c>
      <c r="P1904">
        <v>-0.988645</v>
      </c>
      <c r="Q1904">
        <v>0.14355129999999999</v>
      </c>
      <c r="R1904">
        <v>4.443681E-2</v>
      </c>
      <c r="S1904">
        <v>-3.112015</v>
      </c>
      <c r="T1904">
        <v>-0.71739609999999998</v>
      </c>
      <c r="U1904">
        <v>0.54934689999999997</v>
      </c>
      <c r="V1904">
        <v>4.2023999999999999E-2</v>
      </c>
      <c r="W1904">
        <v>0.1487407</v>
      </c>
      <c r="X1904">
        <v>0.9879829</v>
      </c>
      <c r="Y1904">
        <v>0.168133</v>
      </c>
      <c r="Z1904">
        <v>1.8651620000000001E-2</v>
      </c>
      <c r="AA1904">
        <v>0.98558780000000001</v>
      </c>
      <c r="AB1904">
        <v>31</v>
      </c>
      <c r="AC1904">
        <v>-0.51139999999997998</v>
      </c>
      <c r="AD1904">
        <v>-0.1857241</v>
      </c>
      <c r="AE1904">
        <v>0.144100000000037</v>
      </c>
      <c r="AF1904">
        <v>0.12773217835956299</v>
      </c>
      <c r="AG1904">
        <v>-0.1857241</v>
      </c>
      <c r="AH1904">
        <v>0.45590664364013</v>
      </c>
      <c r="AI1904">
        <v>111.418494713716</v>
      </c>
      <c r="AJ1904">
        <v>74.348626925811303</v>
      </c>
      <c r="AK1904">
        <v>0.50858609735667903</v>
      </c>
      <c r="AL1904">
        <v>81.446044762020307</v>
      </c>
      <c r="AM1904">
        <v>87.564383635903994</v>
      </c>
      <c r="AN1904">
        <v>1.0000000115524399</v>
      </c>
    </row>
    <row r="1905" spans="1:40" x14ac:dyDescent="0.25">
      <c r="A1905" t="str">
        <f>"20190312172929377"</f>
        <v>20190312172929377</v>
      </c>
      <c r="B1905" t="str">
        <f>"1552382969370055"</f>
        <v>1552382969370055</v>
      </c>
      <c r="C1905" t="s">
        <v>40</v>
      </c>
      <c r="D1905">
        <v>3.4017759999999999</v>
      </c>
      <c r="E1905">
        <v>0.55098510000000001</v>
      </c>
      <c r="F1905" t="s">
        <v>42</v>
      </c>
      <c r="G1905">
        <v>-238.27860000000001</v>
      </c>
      <c r="H1905">
        <v>0.9287744</v>
      </c>
      <c r="I1905">
        <v>282.49540000000002</v>
      </c>
      <c r="J1905">
        <v>-237.80670000000001</v>
      </c>
      <c r="K1905">
        <v>1.111497</v>
      </c>
      <c r="L1905">
        <v>282.3553</v>
      </c>
      <c r="M1905">
        <v>-0.99998609999999999</v>
      </c>
      <c r="N1905">
        <v>0</v>
      </c>
      <c r="O1905">
        <v>-1.7400709999999999E-3</v>
      </c>
      <c r="P1905">
        <v>-0.98875360000000001</v>
      </c>
      <c r="Q1905">
        <v>0.14405490000000001</v>
      </c>
      <c r="R1905">
        <v>4.0183570000000002E-2</v>
      </c>
      <c r="S1905">
        <v>-3.114166</v>
      </c>
      <c r="T1905">
        <v>-0.71555839999999904</v>
      </c>
      <c r="U1905">
        <v>0.53738399999999997</v>
      </c>
      <c r="V1905">
        <v>4.0951979999999999E-2</v>
      </c>
      <c r="W1905">
        <v>0.1492589</v>
      </c>
      <c r="X1905">
        <v>0.98794970000000004</v>
      </c>
      <c r="Y1905">
        <v>0.1674784</v>
      </c>
      <c r="Z1905">
        <v>1.9251500000000001E-2</v>
      </c>
      <c r="AA1905">
        <v>0.9856878</v>
      </c>
      <c r="AB1905">
        <v>32</v>
      </c>
      <c r="AC1905">
        <v>-0.47190000000000498</v>
      </c>
      <c r="AD1905">
        <v>-0.18272259999999901</v>
      </c>
      <c r="AE1905">
        <v>0.14010000000001799</v>
      </c>
      <c r="AF1905">
        <v>0.123855589576125</v>
      </c>
      <c r="AG1905">
        <v>-0.18272259999999901</v>
      </c>
      <c r="AH1905">
        <v>0.41453861195319702</v>
      </c>
      <c r="AI1905">
        <v>112.896158785401</v>
      </c>
      <c r="AJ1905">
        <v>73.364939098914107</v>
      </c>
      <c r="AK1905">
        <v>0.46964882244086698</v>
      </c>
      <c r="AL1905">
        <v>81.416018357426296</v>
      </c>
      <c r="AM1905">
        <v>87.626363839139302</v>
      </c>
      <c r="AN1905">
        <v>0.99999994681260795</v>
      </c>
    </row>
    <row r="1906" spans="1:40" x14ac:dyDescent="0.25">
      <c r="A1906" t="str">
        <f>"20190312172929399"</f>
        <v>20190312172929399</v>
      </c>
      <c r="B1906" t="str">
        <f>"1552382969389575"</f>
        <v>1552382969389575</v>
      </c>
      <c r="C1906" t="s">
        <v>40</v>
      </c>
      <c r="D1906">
        <v>3.3538049999999999</v>
      </c>
      <c r="E1906">
        <v>0.55104469999999905</v>
      </c>
      <c r="F1906" t="s">
        <v>42</v>
      </c>
      <c r="G1906">
        <v>-238.5659</v>
      </c>
      <c r="H1906">
        <v>0.93795260000000003</v>
      </c>
      <c r="I1906">
        <v>282.48349999999999</v>
      </c>
      <c r="J1906">
        <v>-238.1189</v>
      </c>
      <c r="K1906">
        <v>1.111507</v>
      </c>
      <c r="L1906">
        <v>282.3519</v>
      </c>
      <c r="M1906">
        <v>-0.99997570000000002</v>
      </c>
      <c r="N1906">
        <v>0</v>
      </c>
      <c r="O1906">
        <v>-4.836183E-3</v>
      </c>
      <c r="P1906">
        <v>-0.98888160000000003</v>
      </c>
      <c r="Q1906">
        <v>0.14425360000000001</v>
      </c>
      <c r="R1906">
        <v>3.6111999999999998E-2</v>
      </c>
      <c r="S1906">
        <v>-3.116638</v>
      </c>
      <c r="T1906">
        <v>-0.71271249999999997</v>
      </c>
      <c r="U1906">
        <v>0.52462769999999903</v>
      </c>
      <c r="V1906">
        <v>3.9937250000000001E-2</v>
      </c>
      <c r="W1906">
        <v>0.1494711</v>
      </c>
      <c r="X1906">
        <v>0.98795920000000004</v>
      </c>
      <c r="Y1906">
        <v>0.16646079999999999</v>
      </c>
      <c r="Z1906">
        <v>1.9748809999999999E-2</v>
      </c>
      <c r="AA1906">
        <v>0.98585029999999996</v>
      </c>
      <c r="AB1906">
        <v>32</v>
      </c>
      <c r="AC1906">
        <v>-0.44700000000000201</v>
      </c>
      <c r="AD1906">
        <v>-0.1735544</v>
      </c>
      <c r="AE1906">
        <v>0.131599999999991</v>
      </c>
      <c r="AF1906">
        <v>0.117464886659991</v>
      </c>
      <c r="AG1906">
        <v>-0.1735544</v>
      </c>
      <c r="AH1906">
        <v>0.39198061515326499</v>
      </c>
      <c r="AI1906">
        <v>112.98317261765899</v>
      </c>
      <c r="AJ1906">
        <v>73.318096296725201</v>
      </c>
      <c r="AK1906">
        <v>0.44448614378103701</v>
      </c>
      <c r="AL1906">
        <v>81.403722606643896</v>
      </c>
      <c r="AM1906">
        <v>87.685136501725097</v>
      </c>
      <c r="AN1906">
        <v>0.99999998726870598</v>
      </c>
    </row>
    <row r="1907" spans="1:40" x14ac:dyDescent="0.25">
      <c r="A1907" t="str">
        <f>"20190312172929421"</f>
        <v>20190312172929421</v>
      </c>
      <c r="B1907" t="str">
        <f>"1552382969418855"</f>
        <v>1552382969418855</v>
      </c>
      <c r="C1907" t="s">
        <v>40</v>
      </c>
      <c r="D1907">
        <v>3.4022030000000001</v>
      </c>
      <c r="E1907">
        <v>0.55119229999999997</v>
      </c>
      <c r="F1907" t="s">
        <v>42</v>
      </c>
      <c r="G1907">
        <v>-238.85300000000001</v>
      </c>
      <c r="H1907">
        <v>0.94407770000000002</v>
      </c>
      <c r="I1907">
        <v>282.47230000000002</v>
      </c>
      <c r="J1907">
        <v>-238.43039999999999</v>
      </c>
      <c r="K1907">
        <v>1.1115090000000001</v>
      </c>
      <c r="L1907">
        <v>282.34750000000003</v>
      </c>
      <c r="M1907">
        <v>-0.99995610000000001</v>
      </c>
      <c r="N1907">
        <v>0</v>
      </c>
      <c r="O1907">
        <v>-7.8976129999999995E-3</v>
      </c>
      <c r="P1907">
        <v>-0.9890428</v>
      </c>
      <c r="Q1907">
        <v>0.14412130000000001</v>
      </c>
      <c r="R1907">
        <v>3.1991169999999999E-2</v>
      </c>
      <c r="S1907">
        <v>-3.1187589999999998</v>
      </c>
      <c r="T1907">
        <v>-0.71114949999999999</v>
      </c>
      <c r="U1907">
        <v>0.5122681</v>
      </c>
      <c r="V1907">
        <v>3.8844839999999999E-2</v>
      </c>
      <c r="W1907">
        <v>0.14935079999999901</v>
      </c>
      <c r="X1907">
        <v>0.98802100000000004</v>
      </c>
      <c r="Y1907">
        <v>0.1655326</v>
      </c>
      <c r="Z1907">
        <v>2.0280969999999999E-2</v>
      </c>
      <c r="AA1907">
        <v>0.98599579999999998</v>
      </c>
      <c r="AB1907">
        <v>32</v>
      </c>
      <c r="AC1907">
        <v>-0.42259999999998799</v>
      </c>
      <c r="AD1907">
        <v>-0.16743130000000001</v>
      </c>
      <c r="AE1907">
        <v>0.124799999999993</v>
      </c>
      <c r="AF1907">
        <v>0.111967984873211</v>
      </c>
      <c r="AG1907">
        <v>-0.16743130000000001</v>
      </c>
      <c r="AH1907">
        <v>0.36841082389267898</v>
      </c>
      <c r="AI1907">
        <v>113.500860063033</v>
      </c>
      <c r="AJ1907">
        <v>73.094843413853098</v>
      </c>
      <c r="AK1907">
        <v>0.41987689269301298</v>
      </c>
      <c r="AL1907">
        <v>81.410693990574302</v>
      </c>
      <c r="AM1907">
        <v>87.748529940692194</v>
      </c>
      <c r="AN1907">
        <v>1.0000000397481299</v>
      </c>
    </row>
    <row r="1908" spans="1:40" x14ac:dyDescent="0.25">
      <c r="A1908" t="str">
        <f>"20190312172929444"</f>
        <v>20190312172929444</v>
      </c>
      <c r="B1908" t="str">
        <f>"1552382969439351"</f>
        <v>1552382969439351</v>
      </c>
      <c r="C1908" t="s">
        <v>40</v>
      </c>
      <c r="D1908">
        <v>3.4565790000000001</v>
      </c>
      <c r="E1908">
        <v>0.5284413</v>
      </c>
      <c r="F1908" t="s">
        <v>42</v>
      </c>
      <c r="G1908">
        <v>-239.1412</v>
      </c>
      <c r="H1908">
        <v>0.94975330000000002</v>
      </c>
      <c r="I1908">
        <v>282.46179999999998</v>
      </c>
      <c r="J1908">
        <v>-238.75720000000001</v>
      </c>
      <c r="K1908">
        <v>1.111504</v>
      </c>
      <c r="L1908">
        <v>282.34199999999998</v>
      </c>
      <c r="M1908">
        <v>-0.99992610000000004</v>
      </c>
      <c r="N1908">
        <v>0</v>
      </c>
      <c r="O1908">
        <v>-1.1064050000000001E-2</v>
      </c>
      <c r="P1908">
        <v>-0.98917379999999999</v>
      </c>
      <c r="Q1908">
        <v>0.14404729999999999</v>
      </c>
      <c r="R1908">
        <v>2.802965E-2</v>
      </c>
      <c r="S1908">
        <v>-3.12059</v>
      </c>
      <c r="T1908">
        <v>-0.71047009999999999</v>
      </c>
      <c r="U1908">
        <v>0.50051880000000004</v>
      </c>
      <c r="V1908">
        <v>3.8019360000000002E-2</v>
      </c>
      <c r="W1908">
        <v>0.14928949999999999</v>
      </c>
      <c r="X1908">
        <v>0.98806229999999995</v>
      </c>
      <c r="Y1908">
        <v>0.16489010000000001</v>
      </c>
      <c r="Z1908">
        <v>2.089237E-2</v>
      </c>
      <c r="AA1908">
        <v>0.98609069999999999</v>
      </c>
      <c r="AB1908">
        <v>32</v>
      </c>
      <c r="AC1908">
        <v>-0.38399999999998602</v>
      </c>
      <c r="AD1908">
        <v>-0.161750699999999</v>
      </c>
      <c r="AE1908">
        <v>0.11979999999999701</v>
      </c>
      <c r="AF1908">
        <v>0.106776295930208</v>
      </c>
      <c r="AG1908">
        <v>-0.161750699999999</v>
      </c>
      <c r="AH1908">
        <v>0.329390708271457</v>
      </c>
      <c r="AI1908">
        <v>115.038682883607</v>
      </c>
      <c r="AJ1908">
        <v>72.0392216539976</v>
      </c>
      <c r="AK1908">
        <v>0.38218150794960998</v>
      </c>
      <c r="AL1908">
        <v>81.414245420125994</v>
      </c>
      <c r="AM1908">
        <v>87.7964195920066</v>
      </c>
      <c r="AN1908">
        <v>0.999999967613174</v>
      </c>
    </row>
    <row r="1909" spans="1:40" x14ac:dyDescent="0.25">
      <c r="A1909" t="str">
        <f>"20190312172929466"</f>
        <v>20190312172929466</v>
      </c>
      <c r="B1909" t="str">
        <f>"1552382969458871"</f>
        <v>1552382969458871</v>
      </c>
      <c r="C1909" t="s">
        <v>40</v>
      </c>
      <c r="D1909">
        <v>3.3871989999999998</v>
      </c>
      <c r="E1909">
        <v>0.51334809999999997</v>
      </c>
      <c r="F1909" t="s">
        <v>42</v>
      </c>
      <c r="G1909">
        <v>-239.7098</v>
      </c>
      <c r="H1909">
        <v>0.93807390000000002</v>
      </c>
      <c r="I1909">
        <v>282.43650000000002</v>
      </c>
      <c r="J1909">
        <v>-239.07409999999999</v>
      </c>
      <c r="K1909">
        <v>1.1114839999999999</v>
      </c>
      <c r="L1909">
        <v>282.3356</v>
      </c>
      <c r="M1909">
        <v>-0.9998882</v>
      </c>
      <c r="N1909">
        <v>0</v>
      </c>
      <c r="O1909">
        <v>-1.407392E-2</v>
      </c>
      <c r="P1909">
        <v>-0.98931089999999999</v>
      </c>
      <c r="Q1909">
        <v>0.143864299999999</v>
      </c>
      <c r="R1909">
        <v>2.3820640000000001E-2</v>
      </c>
      <c r="S1909">
        <v>-3.106522</v>
      </c>
      <c r="T1909">
        <v>-0.56588459999999996</v>
      </c>
      <c r="U1909">
        <v>0.307251</v>
      </c>
      <c r="V1909">
        <v>3.6797129999999997E-2</v>
      </c>
      <c r="W1909">
        <v>0.1491141</v>
      </c>
      <c r="X1909">
        <v>0.98813510000000004</v>
      </c>
      <c r="Y1909">
        <v>0.1103917</v>
      </c>
      <c r="Z1909">
        <v>1.2485909999999999E-2</v>
      </c>
      <c r="AA1909">
        <v>0.99380970000000002</v>
      </c>
      <c r="AB1909">
        <v>32</v>
      </c>
      <c r="AC1909">
        <v>-0.63570000000001403</v>
      </c>
      <c r="AD1909">
        <v>-0.17341010000000001</v>
      </c>
      <c r="AE1909">
        <v>0.100900000000024</v>
      </c>
      <c r="AF1909">
        <v>0.10240405211178</v>
      </c>
      <c r="AG1909">
        <v>-0.17341010000000001</v>
      </c>
      <c r="AH1909">
        <v>0.59129836974717098</v>
      </c>
      <c r="AI1909">
        <v>106.11763000369</v>
      </c>
      <c r="AJ1909">
        <v>80.174683085212905</v>
      </c>
      <c r="AK1909">
        <v>0.62465303548176598</v>
      </c>
      <c r="AL1909">
        <v>81.424409225812198</v>
      </c>
      <c r="AM1909">
        <v>87.867349826131701</v>
      </c>
      <c r="AN1909">
        <v>1.00000000972352</v>
      </c>
    </row>
    <row r="1910" spans="1:40" x14ac:dyDescent="0.25">
      <c r="A1910" t="str">
        <f>"20190312172929479"</f>
        <v>20190312172929479</v>
      </c>
      <c r="B1910" t="str">
        <f>"1552382969469607"</f>
        <v>1552382969469607</v>
      </c>
      <c r="C1910" t="s">
        <v>40</v>
      </c>
      <c r="D1910">
        <v>3.3776839999999901</v>
      </c>
      <c r="E1910">
        <v>0.50791779999999997</v>
      </c>
      <c r="F1910" t="s">
        <v>42</v>
      </c>
      <c r="G1910">
        <v>-240.018</v>
      </c>
      <c r="H1910">
        <v>0.98162459999999996</v>
      </c>
      <c r="I1910">
        <v>282.38889999999998</v>
      </c>
      <c r="J1910">
        <v>-239.2706</v>
      </c>
      <c r="K1910">
        <v>1.1114710000000001</v>
      </c>
      <c r="L1910">
        <v>282.33120000000002</v>
      </c>
      <c r="M1910">
        <v>-0.99986050000000004</v>
      </c>
      <c r="N1910">
        <v>0</v>
      </c>
      <c r="O1910">
        <v>-1.5916659999999999E-2</v>
      </c>
      <c r="P1910">
        <v>-0.98937319999999995</v>
      </c>
      <c r="Q1910">
        <v>0.1438082</v>
      </c>
      <c r="R1910">
        <v>2.1450609999999998E-2</v>
      </c>
      <c r="S1910">
        <v>-3.0900270000000001</v>
      </c>
      <c r="T1910">
        <v>-0.42517470000000002</v>
      </c>
      <c r="U1910">
        <v>0.1744385</v>
      </c>
      <c r="V1910">
        <v>3.6255809999999999E-2</v>
      </c>
      <c r="W1910">
        <v>0.14906420000000001</v>
      </c>
      <c r="X1910">
        <v>0.9881626</v>
      </c>
      <c r="Y1910">
        <v>7.142627E-2</v>
      </c>
      <c r="Z1910">
        <v>7.065389E-3</v>
      </c>
      <c r="AA1910">
        <v>0.9974208</v>
      </c>
      <c r="AB1910">
        <v>32</v>
      </c>
      <c r="AC1910">
        <v>-0.74739999999999895</v>
      </c>
      <c r="AD1910">
        <v>-0.129846399999999</v>
      </c>
      <c r="AE1910">
        <v>5.7699999999954302E-2</v>
      </c>
      <c r="AF1910">
        <v>6.7561857760186694E-2</v>
      </c>
      <c r="AG1910">
        <v>-0.129846399999999</v>
      </c>
      <c r="AH1910">
        <v>0.72464497900791003</v>
      </c>
      <c r="AI1910">
        <v>100.11584498385299</v>
      </c>
      <c r="AJ1910">
        <v>84.673459274627106</v>
      </c>
      <c r="AK1910">
        <v>0.73928008076664897</v>
      </c>
      <c r="AL1910">
        <v>81.427300271972499</v>
      </c>
      <c r="AM1910">
        <v>87.898753184902702</v>
      </c>
      <c r="AN1910">
        <v>0.999999971759577</v>
      </c>
    </row>
    <row r="1911" spans="1:40" x14ac:dyDescent="0.25">
      <c r="A1911" t="str">
        <f>"20190312172929499"</f>
        <v>20190312172929499</v>
      </c>
      <c r="B1911" t="str">
        <f>"1552382969489130"</f>
        <v>1552382969489130</v>
      </c>
      <c r="C1911" t="s">
        <v>40</v>
      </c>
      <c r="D1911">
        <v>3.36999</v>
      </c>
      <c r="E1911">
        <v>0.50180970000000003</v>
      </c>
      <c r="F1911" t="s">
        <v>42</v>
      </c>
      <c r="G1911">
        <v>-240.03559999999999</v>
      </c>
      <c r="H1911">
        <v>1.018888</v>
      </c>
      <c r="I1911">
        <v>282.36200000000002</v>
      </c>
      <c r="J1911">
        <v>-239.56190000000001</v>
      </c>
      <c r="K1911">
        <v>1.1114470000000001</v>
      </c>
      <c r="L1911">
        <v>282.32409999999999</v>
      </c>
      <c r="M1911">
        <v>-0.99981399999999998</v>
      </c>
      <c r="N1911">
        <v>0</v>
      </c>
      <c r="O1911">
        <v>-1.8602939999999998E-2</v>
      </c>
      <c r="P1911">
        <v>-0.9894056</v>
      </c>
      <c r="Q1911">
        <v>0.14402429999999999</v>
      </c>
      <c r="R1911">
        <v>1.826318E-2</v>
      </c>
      <c r="S1911">
        <v>-3.083771</v>
      </c>
      <c r="T1911">
        <v>-0.37327500000000002</v>
      </c>
      <c r="U1911">
        <v>0.1240845</v>
      </c>
      <c r="V1911">
        <v>3.5733099999999997E-2</v>
      </c>
      <c r="W1911">
        <v>0.14929049999999999</v>
      </c>
      <c r="X1911">
        <v>0.98814749999999996</v>
      </c>
      <c r="Y1911">
        <v>5.8226550000000002E-2</v>
      </c>
      <c r="Z1911">
        <v>5.7526449999999998E-3</v>
      </c>
      <c r="AA1911">
        <v>0.99828680000000003</v>
      </c>
      <c r="AB1911">
        <v>32</v>
      </c>
      <c r="AC1911">
        <v>-0.47369999999997903</v>
      </c>
      <c r="AD1911">
        <v>-9.2558999999999794E-2</v>
      </c>
      <c r="AE1911">
        <v>3.7900000000036002E-2</v>
      </c>
      <c r="AF1911">
        <v>4.4998667939648802E-2</v>
      </c>
      <c r="AG1911">
        <v>-9.2558999999999794E-2</v>
      </c>
      <c r="AH1911">
        <v>0.455627951661284</v>
      </c>
      <c r="AI1911">
        <v>101.429017491455</v>
      </c>
      <c r="AJ1911">
        <v>84.359652763083801</v>
      </c>
      <c r="AK1911">
        <v>0.46710692451771701</v>
      </c>
      <c r="AL1911">
        <v>81.414187710086296</v>
      </c>
      <c r="AM1911">
        <v>87.9289892478631</v>
      </c>
      <c r="AN1911">
        <v>0.99999999479105495</v>
      </c>
    </row>
    <row r="1912" spans="1:40" x14ac:dyDescent="0.25">
      <c r="A1912" t="str">
        <f>"20190312172929524"</f>
        <v>20190312172929524</v>
      </c>
      <c r="B1912" t="str">
        <f>"1552382969519383"</f>
        <v>1552382969519383</v>
      </c>
      <c r="C1912" t="s">
        <v>40</v>
      </c>
      <c r="D1912">
        <v>3.3120780000000001</v>
      </c>
      <c r="E1912">
        <v>0.49756220000000001</v>
      </c>
      <c r="F1912" t="s">
        <v>42</v>
      </c>
      <c r="G1912">
        <v>-240.3329</v>
      </c>
      <c r="H1912">
        <v>1.034877</v>
      </c>
      <c r="I1912">
        <v>282.34089999999998</v>
      </c>
      <c r="J1912">
        <v>-239.89959999999999</v>
      </c>
      <c r="K1912">
        <v>1.1114029999999999</v>
      </c>
      <c r="L1912">
        <v>282.315</v>
      </c>
      <c r="M1912">
        <v>-0.99975309999999995</v>
      </c>
      <c r="N1912">
        <v>0</v>
      </c>
      <c r="O1912">
        <v>-2.1629180000000001E-2</v>
      </c>
      <c r="P1912">
        <v>-0.98936760000000001</v>
      </c>
      <c r="Q1912">
        <v>0.1446722</v>
      </c>
      <c r="R1912">
        <v>1.4895429999999999E-2</v>
      </c>
      <c r="S1912">
        <v>-3.0754389999999998</v>
      </c>
      <c r="T1912">
        <v>-0.30591000000000002</v>
      </c>
      <c r="U1912">
        <v>6.5612790000000004E-2</v>
      </c>
      <c r="V1912">
        <v>3.5369440000000002E-2</v>
      </c>
      <c r="W1912">
        <v>0.1499463</v>
      </c>
      <c r="X1912">
        <v>0.98806130000000003</v>
      </c>
      <c r="Y1912">
        <v>4.2632139999999999E-2</v>
      </c>
      <c r="Z1912">
        <v>4.260738E-3</v>
      </c>
      <c r="AA1912">
        <v>0.99908169999999996</v>
      </c>
      <c r="AB1912">
        <v>32</v>
      </c>
      <c r="AC1912">
        <v>-0.43330000000000202</v>
      </c>
      <c r="AD1912">
        <v>-7.6526000000000094E-2</v>
      </c>
      <c r="AE1912">
        <v>2.58999999999787E-2</v>
      </c>
      <c r="AF1912">
        <v>3.4202932633531101E-2</v>
      </c>
      <c r="AG1912">
        <v>-7.6526000000000094E-2</v>
      </c>
      <c r="AH1912">
        <v>0.41959703166936702</v>
      </c>
      <c r="AI1912">
        <v>100.302553439582</v>
      </c>
      <c r="AJ1912">
        <v>85.339908548288506</v>
      </c>
      <c r="AK1912">
        <v>0.427887529921681</v>
      </c>
      <c r="AL1912">
        <v>81.376185519698495</v>
      </c>
      <c r="AM1912">
        <v>87.949869407040595</v>
      </c>
      <c r="AN1912">
        <v>1.00000001136364</v>
      </c>
    </row>
    <row r="1913" spans="1:40" x14ac:dyDescent="0.25">
      <c r="A1913" t="str">
        <f>"20190312172929546"</f>
        <v>20190312172929546</v>
      </c>
      <c r="B1913" t="str">
        <f>"1552382969539880"</f>
        <v>1552382969539880</v>
      </c>
      <c r="C1913" t="s">
        <v>40</v>
      </c>
      <c r="D1913">
        <v>3.260751</v>
      </c>
      <c r="E1913">
        <v>0.49622369999999999</v>
      </c>
      <c r="F1913" t="s">
        <v>42</v>
      </c>
      <c r="G1913">
        <v>-240.6335</v>
      </c>
      <c r="H1913">
        <v>1.0506450000000001</v>
      </c>
      <c r="I1913">
        <v>282.32010000000002</v>
      </c>
      <c r="J1913">
        <v>-240.2321</v>
      </c>
      <c r="K1913">
        <v>1.1113409999999999</v>
      </c>
      <c r="L1913">
        <v>282.30509999999998</v>
      </c>
      <c r="M1913">
        <v>-0.99968749999999995</v>
      </c>
      <c r="N1913">
        <v>0</v>
      </c>
      <c r="O1913">
        <v>-2.4474849999999999E-2</v>
      </c>
      <c r="P1913">
        <v>-0.9892898</v>
      </c>
      <c r="Q1913">
        <v>0.14548559999999999</v>
      </c>
      <c r="R1913">
        <v>1.183066E-2</v>
      </c>
      <c r="S1913">
        <v>-3.0691069999999998</v>
      </c>
      <c r="T1913">
        <v>-0.25405719999999998</v>
      </c>
      <c r="U1913">
        <v>2.139282E-2</v>
      </c>
      <c r="V1913">
        <v>3.5135979999999997E-2</v>
      </c>
      <c r="W1913">
        <v>0.1507609</v>
      </c>
      <c r="X1913">
        <v>0.98794570000000004</v>
      </c>
      <c r="Y1913">
        <v>3.1252090000000003E-2</v>
      </c>
      <c r="Z1913">
        <v>3.313716E-3</v>
      </c>
      <c r="AA1913">
        <v>0.99950609999999995</v>
      </c>
      <c r="AB1913">
        <v>33</v>
      </c>
      <c r="AC1913">
        <v>-0.40139999999999498</v>
      </c>
      <c r="AD1913">
        <v>-6.0695999999999799E-2</v>
      </c>
      <c r="AE1913">
        <v>1.5000000000043199E-2</v>
      </c>
      <c r="AF1913">
        <v>2.4265782519355399E-2</v>
      </c>
      <c r="AG1913">
        <v>-6.0695999999999799E-2</v>
      </c>
      <c r="AH1913">
        <v>0.39196301159602598</v>
      </c>
      <c r="AI1913">
        <v>98.785858136179996</v>
      </c>
      <c r="AJ1913">
        <v>86.457434124942495</v>
      </c>
      <c r="AK1913">
        <v>0.39737618836148603</v>
      </c>
      <c r="AL1913">
        <v>81.328976012721895</v>
      </c>
      <c r="AM1913">
        <v>87.963151989182705</v>
      </c>
      <c r="AN1913">
        <v>1.00000004610392</v>
      </c>
    </row>
    <row r="1914" spans="1:40" x14ac:dyDescent="0.25">
      <c r="A1914" t="str">
        <f>"20190312172929568"</f>
        <v>20190312172929568</v>
      </c>
      <c r="B1914" t="str">
        <f>"1552382969559399"</f>
        <v>1552382969559399</v>
      </c>
      <c r="C1914" t="s">
        <v>40</v>
      </c>
      <c r="D1914">
        <v>3.2162799999999998</v>
      </c>
      <c r="E1914">
        <v>0.49532579999999998</v>
      </c>
      <c r="F1914" t="s">
        <v>42</v>
      </c>
      <c r="G1914">
        <v>-241.20920000000001</v>
      </c>
      <c r="H1914">
        <v>1.037156</v>
      </c>
      <c r="I1914">
        <v>282.30540000000002</v>
      </c>
      <c r="J1914">
        <v>-240.54830000000001</v>
      </c>
      <c r="K1914">
        <v>1.111267</v>
      </c>
      <c r="L1914">
        <v>282.29500000000002</v>
      </c>
      <c r="M1914">
        <v>-0.99962059999999997</v>
      </c>
      <c r="N1914">
        <v>0</v>
      </c>
      <c r="O1914">
        <v>-2.7060480000000001E-2</v>
      </c>
      <c r="P1914">
        <v>-0.98915500000000001</v>
      </c>
      <c r="Q1914">
        <v>0.14658399999999999</v>
      </c>
      <c r="R1914">
        <v>9.2472730000000003E-3</v>
      </c>
      <c r="S1914">
        <v>-3.0667420000000001</v>
      </c>
      <c r="T1914">
        <v>-0.23291339999999999</v>
      </c>
      <c r="U1914">
        <v>8.8500979999999905E-4</v>
      </c>
      <c r="V1914">
        <v>3.5127940000000003E-2</v>
      </c>
      <c r="W1914">
        <v>0.1518582</v>
      </c>
      <c r="X1914">
        <v>0.98777789999999999</v>
      </c>
      <c r="Y1914">
        <v>2.7193080000000001E-2</v>
      </c>
      <c r="Z1914">
        <v>3.083227E-3</v>
      </c>
      <c r="AA1914">
        <v>0.9996254</v>
      </c>
      <c r="AB1914">
        <v>33</v>
      </c>
      <c r="AC1914">
        <v>-0.66089999999999705</v>
      </c>
      <c r="AD1914">
        <v>-7.4110999999999996E-2</v>
      </c>
      <c r="AE1914">
        <v>1.04000000000041E-2</v>
      </c>
      <c r="AF1914">
        <v>2.7929582477627699E-2</v>
      </c>
      <c r="AG1914">
        <v>-7.4110999999999996E-2</v>
      </c>
      <c r="AH1914">
        <v>0.65217770097705396</v>
      </c>
      <c r="AI1914">
        <v>96.477178513605196</v>
      </c>
      <c r="AJ1914">
        <v>87.547800249801199</v>
      </c>
      <c r="AK1914">
        <v>0.65696899131548803</v>
      </c>
      <c r="AL1914">
        <v>81.265372935594698</v>
      </c>
      <c r="AM1914">
        <v>87.963272037364206</v>
      </c>
      <c r="AN1914">
        <v>1.0000000324021401</v>
      </c>
    </row>
    <row r="1915" spans="1:40" x14ac:dyDescent="0.25">
      <c r="A1915" t="str">
        <f>"20190312172929589"</f>
        <v>20190312172929589</v>
      </c>
      <c r="B1915" t="str">
        <f>"1552382969579895"</f>
        <v>1552382969579895</v>
      </c>
      <c r="C1915" t="s">
        <v>40</v>
      </c>
      <c r="D1915">
        <v>3.1831689999999999</v>
      </c>
      <c r="E1915">
        <v>0.4947281</v>
      </c>
      <c r="F1915" t="s">
        <v>42</v>
      </c>
      <c r="G1915">
        <v>-241.50550000000001</v>
      </c>
      <c r="H1915">
        <v>1.0425139999999999</v>
      </c>
      <c r="I1915">
        <v>282.29059999999998</v>
      </c>
      <c r="J1915">
        <v>-240.8691</v>
      </c>
      <c r="K1915">
        <v>1.111192</v>
      </c>
      <c r="L1915">
        <v>282.28390000000002</v>
      </c>
      <c r="M1915">
        <v>-0.99954940000000003</v>
      </c>
      <c r="N1915">
        <v>0</v>
      </c>
      <c r="O1915">
        <v>-2.9576120000000001E-2</v>
      </c>
      <c r="P1915">
        <v>-0.98907670000000003</v>
      </c>
      <c r="Q1915">
        <v>0.1472398</v>
      </c>
      <c r="R1915">
        <v>6.919405E-3</v>
      </c>
      <c r="S1915">
        <v>-3.0657040000000002</v>
      </c>
      <c r="T1915">
        <v>-0.2203832</v>
      </c>
      <c r="U1915">
        <v>-1.4556879999999999E-2</v>
      </c>
      <c r="V1915">
        <v>3.5311139999999998E-2</v>
      </c>
      <c r="W1915">
        <v>0.1525147</v>
      </c>
      <c r="X1915">
        <v>0.98767020000000005</v>
      </c>
      <c r="Y1915">
        <v>2.469E-2</v>
      </c>
      <c r="Z1915">
        <v>3.0094259999999999E-3</v>
      </c>
      <c r="AA1915">
        <v>0.99969070000000004</v>
      </c>
      <c r="AB1915">
        <v>33</v>
      </c>
      <c r="AC1915">
        <v>-0.63640000000000896</v>
      </c>
      <c r="AD1915">
        <v>-6.8678000000000003E-2</v>
      </c>
      <c r="AE1915">
        <v>6.6999999999666198E-3</v>
      </c>
      <c r="AF1915">
        <v>2.5225812689836698E-2</v>
      </c>
      <c r="AG1915">
        <v>-6.8678000000000003E-2</v>
      </c>
      <c r="AH1915">
        <v>0.62860355027391401</v>
      </c>
      <c r="AI1915">
        <v>96.230137716527594</v>
      </c>
      <c r="AJ1915">
        <v>87.701957791436698</v>
      </c>
      <c r="AK1915">
        <v>0.63284708478970797</v>
      </c>
      <c r="AL1915">
        <v>81.227314815004803</v>
      </c>
      <c r="AM1915">
        <v>87.952436003926294</v>
      </c>
      <c r="AN1915">
        <v>1.0000000171461101</v>
      </c>
    </row>
    <row r="1916" spans="1:40" x14ac:dyDescent="0.25">
      <c r="A1916" t="str">
        <f>"20190312172929612"</f>
        <v>20190312172929612</v>
      </c>
      <c r="B1916" t="str">
        <f>"1552382969609175"</f>
        <v>1552382969609175</v>
      </c>
      <c r="C1916" t="s">
        <v>40</v>
      </c>
      <c r="D1916">
        <v>3.136145</v>
      </c>
      <c r="E1916">
        <v>0.4942801</v>
      </c>
      <c r="F1916" t="s">
        <v>42</v>
      </c>
      <c r="G1916">
        <v>-241.80340000000001</v>
      </c>
      <c r="H1916">
        <v>1.047013</v>
      </c>
      <c r="I1916">
        <v>282.2756</v>
      </c>
      <c r="J1916">
        <v>-241.19900000000001</v>
      </c>
      <c r="K1916">
        <v>1.1111120000000001</v>
      </c>
      <c r="L1916">
        <v>282.27190000000002</v>
      </c>
      <c r="M1916">
        <v>-0.99947350000000001</v>
      </c>
      <c r="N1916">
        <v>0</v>
      </c>
      <c r="O1916">
        <v>-3.2039640000000001E-2</v>
      </c>
      <c r="P1916">
        <v>-0.98898799999999998</v>
      </c>
      <c r="Q1916">
        <v>0.1479241</v>
      </c>
      <c r="R1916">
        <v>4.6072730000000003E-3</v>
      </c>
      <c r="S1916">
        <v>-3.0646819999999999</v>
      </c>
      <c r="T1916">
        <v>-0.21069860000000001</v>
      </c>
      <c r="U1916">
        <v>-2.7465819999999998E-2</v>
      </c>
      <c r="V1916">
        <v>3.5459400000000002E-2</v>
      </c>
      <c r="W1916">
        <v>0.1531999</v>
      </c>
      <c r="X1916">
        <v>0.98755879999999996</v>
      </c>
      <c r="Y1916">
        <v>2.2951920000000001E-2</v>
      </c>
      <c r="Z1916">
        <v>2.9878019999999999E-3</v>
      </c>
      <c r="AA1916">
        <v>0.99973210000000001</v>
      </c>
      <c r="AB1916">
        <v>33</v>
      </c>
      <c r="AC1916">
        <v>-0.60439999999999805</v>
      </c>
      <c r="AD1916">
        <v>-6.40990000000001E-2</v>
      </c>
      <c r="AE1916">
        <v>3.69999999998071E-3</v>
      </c>
      <c r="AF1916">
        <v>2.2806606045042199E-2</v>
      </c>
      <c r="AG1916">
        <v>-6.40990000000001E-2</v>
      </c>
      <c r="AH1916">
        <v>0.59725382064249499</v>
      </c>
      <c r="AI1916">
        <v>96.121273498982006</v>
      </c>
      <c r="AJ1916">
        <v>87.813178171204996</v>
      </c>
      <c r="AK1916">
        <v>0.60111641913389102</v>
      </c>
      <c r="AL1916">
        <v>81.187588576872201</v>
      </c>
      <c r="AM1916">
        <v>87.943614570029496</v>
      </c>
      <c r="AN1916">
        <v>0.99999998093290399</v>
      </c>
    </row>
    <row r="1917" spans="1:40" x14ac:dyDescent="0.25">
      <c r="A1917" t="str">
        <f>"20190312172929634"</f>
        <v>20190312172929634</v>
      </c>
      <c r="B1917" t="str">
        <f>"1552382969629670"</f>
        <v>1552382969629670</v>
      </c>
      <c r="C1917" t="s">
        <v>40</v>
      </c>
      <c r="D1917">
        <v>3.1347520000000002</v>
      </c>
      <c r="E1917">
        <v>0.49419030000000003</v>
      </c>
      <c r="F1917" t="s">
        <v>42</v>
      </c>
      <c r="G1917">
        <v>-242.10390000000001</v>
      </c>
      <c r="H1917">
        <v>1.052038</v>
      </c>
      <c r="I1917">
        <v>282.26069999999999</v>
      </c>
      <c r="J1917">
        <v>-241.5335</v>
      </c>
      <c r="K1917">
        <v>1.111027</v>
      </c>
      <c r="L1917">
        <v>282.25889999999998</v>
      </c>
      <c r="M1917">
        <v>-0.99939509999999998</v>
      </c>
      <c r="N1917">
        <v>0</v>
      </c>
      <c r="O1917">
        <v>-3.4398190000000002E-2</v>
      </c>
      <c r="P1917">
        <v>-0.98886870000000004</v>
      </c>
      <c r="Q1917">
        <v>0.14877279999999901</v>
      </c>
      <c r="R1917">
        <v>2.3729810000000001E-3</v>
      </c>
      <c r="S1917">
        <v>-3.0635680000000001</v>
      </c>
      <c r="T1917">
        <v>-0.20044719999999999</v>
      </c>
      <c r="U1917">
        <v>-3.8604739999999999E-2</v>
      </c>
      <c r="V1917">
        <v>3.5582259999999998E-2</v>
      </c>
      <c r="W1917">
        <v>0.15404889999999999</v>
      </c>
      <c r="X1917">
        <v>0.98742229999999998</v>
      </c>
      <c r="Y1917">
        <v>2.1683279999999999E-2</v>
      </c>
      <c r="Z1917">
        <v>2.9563089999999998E-3</v>
      </c>
      <c r="AA1917">
        <v>0.99976050000000005</v>
      </c>
      <c r="AB1917">
        <v>33</v>
      </c>
      <c r="AC1917">
        <v>-0.57040000000000601</v>
      </c>
      <c r="AD1917">
        <v>-5.8988999999999903E-2</v>
      </c>
      <c r="AE1917">
        <v>1.8000000000029099E-3</v>
      </c>
      <c r="AF1917">
        <v>2.1193258529369801E-2</v>
      </c>
      <c r="AG1917">
        <v>-5.8988999999999903E-2</v>
      </c>
      <c r="AH1917">
        <v>0.56396889649400195</v>
      </c>
      <c r="AI1917">
        <v>95.967026592817803</v>
      </c>
      <c r="AJ1917">
        <v>87.847907624556697</v>
      </c>
      <c r="AK1917">
        <v>0.56744142652854901</v>
      </c>
      <c r="AL1917">
        <v>81.138360070350501</v>
      </c>
      <c r="AM1917">
        <v>87.936210729414398</v>
      </c>
      <c r="AN1917">
        <v>0.99999997967760301</v>
      </c>
    </row>
    <row r="1918" spans="1:40" x14ac:dyDescent="0.25">
      <c r="A1918" t="str">
        <f>"20190312172929648"</f>
        <v>20190312172929648</v>
      </c>
      <c r="B1918" t="str">
        <f>"1552382969639432"</f>
        <v>1552382969639432</v>
      </c>
      <c r="C1918" t="s">
        <v>40</v>
      </c>
      <c r="D1918">
        <v>3.1290469999999999</v>
      </c>
      <c r="E1918">
        <v>0.49408039999999998</v>
      </c>
      <c r="F1918" t="s">
        <v>47</v>
      </c>
      <c r="G1918">
        <v>-259.01729999999998</v>
      </c>
      <c r="H1918" s="1">
        <v>3.2617850000000001E-6</v>
      </c>
      <c r="I1918">
        <v>281.988</v>
      </c>
      <c r="J1918">
        <v>-241.7346</v>
      </c>
      <c r="K1918">
        <v>1.110978</v>
      </c>
      <c r="L1918">
        <v>282.2509</v>
      </c>
      <c r="M1918">
        <v>-0.9993476</v>
      </c>
      <c r="N1918">
        <v>0</v>
      </c>
      <c r="O1918">
        <v>-3.5749589999999998E-2</v>
      </c>
      <c r="P1918">
        <v>-0.98880140000000005</v>
      </c>
      <c r="Q1918">
        <v>0.14923210000000001</v>
      </c>
      <c r="R1918">
        <v>1.3317190000000001E-3</v>
      </c>
      <c r="S1918">
        <v>-3.0631560000000002</v>
      </c>
      <c r="T1918">
        <v>-0.1946504</v>
      </c>
      <c r="U1918">
        <v>-4.7454830000000003E-2</v>
      </c>
      <c r="V1918">
        <v>3.5893679999999997E-2</v>
      </c>
      <c r="W1918">
        <v>0.15450920000000001</v>
      </c>
      <c r="X1918">
        <v>0.98733910000000003</v>
      </c>
      <c r="Y1918">
        <v>2.0152699999999999E-2</v>
      </c>
      <c r="Z1918">
        <v>2.908444E-3</v>
      </c>
      <c r="AA1918">
        <v>0.99979269999999998</v>
      </c>
      <c r="AB1918">
        <v>33</v>
      </c>
      <c r="AC1918">
        <v>-17.282699999999899</v>
      </c>
      <c r="AD1918">
        <v>-1.1109747382149999</v>
      </c>
      <c r="AE1918">
        <v>-0.26290000000000102</v>
      </c>
      <c r="AF1918">
        <v>0.35366454479781301</v>
      </c>
      <c r="AG1918">
        <v>-1.1109747382149999</v>
      </c>
      <c r="AH1918">
        <v>17.209951795560201</v>
      </c>
      <c r="AI1918">
        <v>93.692780975535698</v>
      </c>
      <c r="AJ1918">
        <v>88.822737314854606</v>
      </c>
      <c r="AK1918">
        <v>17.249399534033198</v>
      </c>
      <c r="AL1918">
        <v>81.111667184402506</v>
      </c>
      <c r="AM1918">
        <v>87.917988759409795</v>
      </c>
      <c r="AN1918">
        <v>0.99999997376869498</v>
      </c>
    </row>
    <row r="1919" spans="1:40" x14ac:dyDescent="0.25">
      <c r="A1919" t="str">
        <f>"20190312172929667"</f>
        <v>20190312172929667</v>
      </c>
      <c r="B1919" t="str">
        <f>"1552382969659928"</f>
        <v>1552382969659928</v>
      </c>
      <c r="C1919" t="s">
        <v>40</v>
      </c>
      <c r="D1919">
        <v>3.1178379999999999</v>
      </c>
      <c r="E1919">
        <v>0.49394670000000002</v>
      </c>
      <c r="F1919" t="s">
        <v>42</v>
      </c>
      <c r="G1919">
        <v>-242.6978</v>
      </c>
      <c r="H1919">
        <v>1.0508999999999999</v>
      </c>
      <c r="I1919">
        <v>282.2346</v>
      </c>
      <c r="J1919">
        <v>-242.02590000000001</v>
      </c>
      <c r="K1919">
        <v>1.110892</v>
      </c>
      <c r="L1919">
        <v>282.23880000000003</v>
      </c>
      <c r="M1919">
        <v>-0.99927929999999998</v>
      </c>
      <c r="N1919">
        <v>0</v>
      </c>
      <c r="O1919">
        <v>-3.7607750000000002E-2</v>
      </c>
      <c r="P1919">
        <v>-0.98866520000000002</v>
      </c>
      <c r="Q1919">
        <v>0.1501354</v>
      </c>
      <c r="R1919">
        <v>-7.9773039999999902E-4</v>
      </c>
      <c r="S1919">
        <v>-3.0629270000000002</v>
      </c>
      <c r="T1919">
        <v>-0.19111549999999999</v>
      </c>
      <c r="U1919">
        <v>-5.2032469999999997E-2</v>
      </c>
      <c r="V1919">
        <v>3.5625200000000003E-2</v>
      </c>
      <c r="W1919">
        <v>0.15541089999999999</v>
      </c>
      <c r="X1919">
        <v>0.98720739999999996</v>
      </c>
      <c r="Y1919">
        <v>2.05165E-2</v>
      </c>
      <c r="Z1919">
        <v>2.9829769999999999E-3</v>
      </c>
      <c r="AA1919">
        <v>0.99978509999999998</v>
      </c>
      <c r="AB1919">
        <v>33</v>
      </c>
      <c r="AC1919">
        <v>-0.67189999999999295</v>
      </c>
      <c r="AD1919">
        <v>-5.9991999999999997E-2</v>
      </c>
      <c r="AE1919">
        <v>-4.20000000002573E-3</v>
      </c>
      <c r="AF1919">
        <v>2.0905299353896602E-2</v>
      </c>
      <c r="AG1919">
        <v>-5.9991999999999997E-2</v>
      </c>
      <c r="AH1919">
        <v>0.66627119535257595</v>
      </c>
      <c r="AI1919">
        <v>95.142601071884599</v>
      </c>
      <c r="AJ1919">
        <v>88.202845036529894</v>
      </c>
      <c r="AK1919">
        <v>0.66929319237657403</v>
      </c>
      <c r="AL1919">
        <v>81.059372815562995</v>
      </c>
      <c r="AM1919">
        <v>87.933272937885803</v>
      </c>
      <c r="AN1919">
        <v>1.0000000766643</v>
      </c>
    </row>
    <row r="1920" spans="1:40" x14ac:dyDescent="0.25">
      <c r="A1920" t="str">
        <f>"20190312172929690"</f>
        <v>20190312172929690</v>
      </c>
      <c r="B1920" t="str">
        <f>"1552382969679447"</f>
        <v>1552382969679447</v>
      </c>
      <c r="C1920" t="s">
        <v>40</v>
      </c>
      <c r="D1920">
        <v>3.065804</v>
      </c>
      <c r="E1920">
        <v>0.48156480000000002</v>
      </c>
      <c r="F1920" t="s">
        <v>42</v>
      </c>
      <c r="G1920">
        <v>-242.99870000000001</v>
      </c>
      <c r="H1920">
        <v>1.0529040000000001</v>
      </c>
      <c r="I1920">
        <v>282.21949999999998</v>
      </c>
      <c r="J1920">
        <v>-242.3603</v>
      </c>
      <c r="K1920">
        <v>1.1107860000000001</v>
      </c>
      <c r="L1920">
        <v>282.22430000000003</v>
      </c>
      <c r="M1920">
        <v>-0.99920220000000004</v>
      </c>
      <c r="N1920">
        <v>0</v>
      </c>
      <c r="O1920">
        <v>-3.9602579999999998E-2</v>
      </c>
      <c r="P1920">
        <v>-0.9885834</v>
      </c>
      <c r="Q1920">
        <v>0.15066009999999999</v>
      </c>
      <c r="R1920">
        <v>-2.224504E-3</v>
      </c>
      <c r="S1920">
        <v>-3.062103</v>
      </c>
      <c r="T1920">
        <v>-0.18282019999999999</v>
      </c>
      <c r="U1920">
        <v>-6.14624E-2</v>
      </c>
      <c r="V1920">
        <v>3.6204899999999998E-2</v>
      </c>
      <c r="W1920">
        <v>0.15593789999999999</v>
      </c>
      <c r="X1920">
        <v>0.98710310000000001</v>
      </c>
      <c r="Y1920">
        <v>1.9437909999999999E-2</v>
      </c>
      <c r="Z1920">
        <v>2.941117E-3</v>
      </c>
      <c r="AA1920">
        <v>0.9998068</v>
      </c>
      <c r="AB1920">
        <v>33</v>
      </c>
      <c r="AC1920">
        <v>-0.63840000000001795</v>
      </c>
      <c r="AD1920">
        <v>-5.7881999999999899E-2</v>
      </c>
      <c r="AE1920">
        <v>-4.8000000000456497E-3</v>
      </c>
      <c r="AF1920">
        <v>2.03193619222201E-2</v>
      </c>
      <c r="AG1920">
        <v>-5.7881999999999899E-2</v>
      </c>
      <c r="AH1920">
        <v>0.63288687405176003</v>
      </c>
      <c r="AI1920">
        <v>95.222892525745607</v>
      </c>
      <c r="AJ1920">
        <v>88.161102785346401</v>
      </c>
      <c r="AK1920">
        <v>0.63585296864914798</v>
      </c>
      <c r="AL1920">
        <v>81.028804371351498</v>
      </c>
      <c r="AM1920">
        <v>87.899450915137606</v>
      </c>
      <c r="AN1920">
        <v>0.99999997673501395</v>
      </c>
    </row>
    <row r="1921" spans="1:40" x14ac:dyDescent="0.25">
      <c r="A1921" t="str">
        <f>"20190312172929712"</f>
        <v>20190312172929712</v>
      </c>
      <c r="B1921" t="str">
        <f>"1552382969709703"</f>
        <v>1552382969709703</v>
      </c>
      <c r="C1921" t="s">
        <v>40</v>
      </c>
      <c r="D1921">
        <v>3.0395859999999999</v>
      </c>
      <c r="E1921">
        <v>0.48117090000000001</v>
      </c>
      <c r="F1921" t="s">
        <v>48</v>
      </c>
      <c r="G1921">
        <v>-291.5498</v>
      </c>
      <c r="H1921" s="1">
        <v>2.93384E-6</v>
      </c>
      <c r="I1921">
        <v>279.57089999999999</v>
      </c>
      <c r="J1921">
        <v>-242.70079999999999</v>
      </c>
      <c r="K1921">
        <v>1.1106860000000001</v>
      </c>
      <c r="L1921">
        <v>282.209</v>
      </c>
      <c r="M1921">
        <v>-0.99912500000000004</v>
      </c>
      <c r="N1921">
        <v>0</v>
      </c>
      <c r="O1921">
        <v>-4.1502190000000001E-2</v>
      </c>
      <c r="P1921">
        <v>-0.98849589999999998</v>
      </c>
      <c r="Q1921">
        <v>0.15120229999999901</v>
      </c>
      <c r="R1921">
        <v>-3.7239970000000002E-3</v>
      </c>
      <c r="S1921">
        <v>-3.0447540000000002</v>
      </c>
      <c r="T1921">
        <v>-6.8755750000000004E-2</v>
      </c>
      <c r="U1921">
        <v>-0.16424559999999999</v>
      </c>
      <c r="V1921">
        <v>3.6617200000000003E-2</v>
      </c>
      <c r="W1921">
        <v>0.15648239999999999</v>
      </c>
      <c r="X1921">
        <v>0.98700169999999998</v>
      </c>
      <c r="Y1921">
        <v>-1.2383979999999999E-2</v>
      </c>
      <c r="Z1921">
        <v>7.9623330000000003E-4</v>
      </c>
      <c r="AA1921">
        <v>0.99992300000000001</v>
      </c>
      <c r="AB1921">
        <v>34</v>
      </c>
      <c r="AC1921">
        <v>-48.848999999999997</v>
      </c>
      <c r="AD1921">
        <v>-1.11068306616</v>
      </c>
      <c r="AE1921">
        <v>-2.6381000000000001</v>
      </c>
      <c r="AF1921">
        <v>-0.60814585590651105</v>
      </c>
      <c r="AG1921">
        <v>-1.11068306616</v>
      </c>
      <c r="AH1921">
        <v>48.891197611139503</v>
      </c>
      <c r="AI1921">
        <v>91.301289213748902</v>
      </c>
      <c r="AJ1921">
        <v>90.712651677155307</v>
      </c>
      <c r="AK1921">
        <v>48.9075930925557</v>
      </c>
      <c r="AL1921">
        <v>80.997218905004203</v>
      </c>
      <c r="AM1921">
        <v>87.875333682961596</v>
      </c>
      <c r="AN1921">
        <v>0.99999995832424404</v>
      </c>
    </row>
    <row r="1922" spans="1:40" x14ac:dyDescent="0.25">
      <c r="A1922" t="str">
        <f>"20190312172929738"</f>
        <v>20190312172929738</v>
      </c>
      <c r="B1922" t="str">
        <f>"1552382969729235"</f>
        <v>1552382969729235</v>
      </c>
      <c r="C1922" t="s">
        <v>40</v>
      </c>
      <c r="D1922">
        <v>3.0703520000000002</v>
      </c>
      <c r="E1922">
        <v>0.4814638</v>
      </c>
      <c r="F1922" t="s">
        <v>48</v>
      </c>
      <c r="G1922">
        <v>-294.91609999999997</v>
      </c>
      <c r="H1922" s="1">
        <v>3.6553360000000001E-6</v>
      </c>
      <c r="I1922">
        <v>279.21910000000003</v>
      </c>
      <c r="J1922">
        <v>-243.06440000000001</v>
      </c>
      <c r="K1922">
        <v>1.1105799999999999</v>
      </c>
      <c r="L1922">
        <v>282.19220000000001</v>
      </c>
      <c r="M1922">
        <v>-0.9990445</v>
      </c>
      <c r="N1922">
        <v>0</v>
      </c>
      <c r="O1922">
        <v>-4.3395509999999998E-2</v>
      </c>
      <c r="P1922">
        <v>-0.98849520000000002</v>
      </c>
      <c r="Q1922">
        <v>0.15116669999999999</v>
      </c>
      <c r="R1922">
        <v>-5.1003940000000003E-3</v>
      </c>
      <c r="S1922">
        <v>-3.0441739999999999</v>
      </c>
      <c r="T1922">
        <v>-6.4753169999999999E-2</v>
      </c>
      <c r="U1922">
        <v>-0.17431640000000001</v>
      </c>
      <c r="V1922">
        <v>3.7153239999999997E-2</v>
      </c>
      <c r="W1922">
        <v>0.156451799999999</v>
      </c>
      <c r="X1922">
        <v>0.98698660000000005</v>
      </c>
      <c r="Y1922">
        <v>-1.3796330000000001E-2</v>
      </c>
      <c r="Z1922">
        <v>7.7512779999999997E-4</v>
      </c>
      <c r="AA1922">
        <v>0.99990449999999997</v>
      </c>
      <c r="AB1922">
        <v>34</v>
      </c>
      <c r="AC1922">
        <v>-51.851699999999902</v>
      </c>
      <c r="AD1922">
        <v>-1.11057634466399</v>
      </c>
      <c r="AE1922">
        <v>-2.9730999999999801</v>
      </c>
      <c r="AF1922">
        <v>-0.719808802793521</v>
      </c>
      <c r="AG1922">
        <v>-1.11057634466399</v>
      </c>
      <c r="AH1922">
        <v>51.908139274858101</v>
      </c>
      <c r="AI1922">
        <v>91.225540303606195</v>
      </c>
      <c r="AJ1922">
        <v>90.794468147416893</v>
      </c>
      <c r="AK1922">
        <v>51.925007727567802</v>
      </c>
      <c r="AL1922">
        <v>80.998994749849203</v>
      </c>
      <c r="AM1922">
        <v>87.844226829801002</v>
      </c>
      <c r="AN1922">
        <v>1.00000003877264</v>
      </c>
    </row>
    <row r="1923" spans="1:40" x14ac:dyDescent="0.25">
      <c r="A1923" t="str">
        <f>"20190312172929758"</f>
        <v>20190312172929758</v>
      </c>
      <c r="B1923" t="str">
        <f>"1552382969749719"</f>
        <v>1552382969749719</v>
      </c>
      <c r="C1923" t="s">
        <v>40</v>
      </c>
      <c r="D1923">
        <v>3.023139</v>
      </c>
      <c r="E1923">
        <v>0.48187639999999998</v>
      </c>
      <c r="F1923" t="s">
        <v>48</v>
      </c>
      <c r="G1923">
        <v>-295.62869999999998</v>
      </c>
      <c r="H1923" s="1">
        <v>3.8207859999999999E-6</v>
      </c>
      <c r="I1923">
        <v>279.10860000000002</v>
      </c>
      <c r="J1923">
        <v>-243.38579999999999</v>
      </c>
      <c r="K1923">
        <v>1.110493</v>
      </c>
      <c r="L1923">
        <v>282.17680000000001</v>
      </c>
      <c r="M1923">
        <v>-0.99897530000000001</v>
      </c>
      <c r="N1923">
        <v>0</v>
      </c>
      <c r="O1923">
        <v>-4.4958619999999998E-2</v>
      </c>
      <c r="P1923">
        <v>-0.98849529999999997</v>
      </c>
      <c r="Q1923">
        <v>0.1511333</v>
      </c>
      <c r="R1923">
        <v>-5.9969430000000002E-3</v>
      </c>
      <c r="S1923">
        <v>-3.0438230000000002</v>
      </c>
      <c r="T1923">
        <v>-6.4309720000000001E-2</v>
      </c>
      <c r="U1923">
        <v>-0.178558299999999</v>
      </c>
      <c r="V1923">
        <v>3.7835380000000002E-2</v>
      </c>
      <c r="W1923">
        <v>0.15642490000000001</v>
      </c>
      <c r="X1923">
        <v>0.98696490000000003</v>
      </c>
      <c r="Y1923">
        <v>-1.3627520000000001E-2</v>
      </c>
      <c r="Z1923">
        <v>8.0460109999999998E-4</v>
      </c>
      <c r="AA1923">
        <v>0.99990679999999998</v>
      </c>
      <c r="AB1923">
        <v>34</v>
      </c>
      <c r="AC1923">
        <v>-52.242899999999899</v>
      </c>
      <c r="AD1923">
        <v>-1.1104891792139999</v>
      </c>
      <c r="AE1923">
        <v>-3.0681999999999898</v>
      </c>
      <c r="AF1923">
        <v>-0.71597463654594196</v>
      </c>
      <c r="AG1923">
        <v>-1.1104891792139999</v>
      </c>
      <c r="AH1923">
        <v>52.3044656253957</v>
      </c>
      <c r="AI1923">
        <v>91.216164379800702</v>
      </c>
      <c r="AJ1923">
        <v>90.7842497287387</v>
      </c>
      <c r="AK1923">
        <v>52.321151843738399</v>
      </c>
      <c r="AL1923">
        <v>81.000554772763195</v>
      </c>
      <c r="AM1923">
        <v>87.804636614222204</v>
      </c>
      <c r="AN1923">
        <v>0.99999998957588199</v>
      </c>
    </row>
    <row r="1924" spans="1:40" x14ac:dyDescent="0.25">
      <c r="A1924" t="str">
        <f>"20190312172929780"</f>
        <v>20190312172929780</v>
      </c>
      <c r="B1924" t="str">
        <f>"1552382969769240"</f>
        <v>1552382969769240</v>
      </c>
      <c r="C1924" t="s">
        <v>40</v>
      </c>
      <c r="D1924">
        <v>3.0730420000000001</v>
      </c>
      <c r="E1924">
        <v>0.48208669999999998</v>
      </c>
      <c r="F1924" t="s">
        <v>48</v>
      </c>
      <c r="G1924">
        <v>-295.9486</v>
      </c>
      <c r="H1924" s="1">
        <v>3.8941639999999998E-6</v>
      </c>
      <c r="I1924">
        <v>279.0616</v>
      </c>
      <c r="J1924">
        <v>-243.7373</v>
      </c>
      <c r="K1924">
        <v>1.1104080000000001</v>
      </c>
      <c r="L1924">
        <v>282.15949999999998</v>
      </c>
      <c r="M1924">
        <v>-0.99890190000000001</v>
      </c>
      <c r="N1924">
        <v>0</v>
      </c>
      <c r="O1924">
        <v>-4.6559990000000002E-2</v>
      </c>
      <c r="P1924">
        <v>-0.98827929999999997</v>
      </c>
      <c r="Q1924">
        <v>0.15251960000000001</v>
      </c>
      <c r="R1924">
        <v>-6.4749739999999997E-3</v>
      </c>
      <c r="S1924">
        <v>-3.0436550000000002</v>
      </c>
      <c r="T1924">
        <v>-6.4303040000000006E-2</v>
      </c>
      <c r="U1924">
        <v>-0.18038940000000001</v>
      </c>
      <c r="V1924">
        <v>3.8959180000000003E-2</v>
      </c>
      <c r="W1924">
        <v>0.1578193</v>
      </c>
      <c r="X1924">
        <v>0.9866992</v>
      </c>
      <c r="Y1924">
        <v>-1.2627849999999999E-2</v>
      </c>
      <c r="Z1924">
        <v>8.4884360000000005E-4</v>
      </c>
      <c r="AA1924">
        <v>0.99991989999999997</v>
      </c>
      <c r="AB1924">
        <v>34</v>
      </c>
      <c r="AC1924">
        <v>-52.211300000000001</v>
      </c>
      <c r="AD1924">
        <v>-1.1104041058359999</v>
      </c>
      <c r="AE1924">
        <v>-3.0978999999999801</v>
      </c>
      <c r="AF1924">
        <v>-0.66325066133539401</v>
      </c>
      <c r="AG1924">
        <v>-1.1104041058359999</v>
      </c>
      <c r="AH1924">
        <v>52.275353679454298</v>
      </c>
      <c r="AI1924">
        <v>91.216764315140907</v>
      </c>
      <c r="AJ1924">
        <v>90.726908993757704</v>
      </c>
      <c r="AK1924">
        <v>52.291352067335701</v>
      </c>
      <c r="AL1924">
        <v>80.919657082085294</v>
      </c>
      <c r="AM1924">
        <v>87.738887735530696</v>
      </c>
      <c r="AN1924">
        <v>1.0000000302197001</v>
      </c>
    </row>
    <row r="1925" spans="1:40" x14ac:dyDescent="0.25">
      <c r="A1925" t="str">
        <f>"20190312172929801"</f>
        <v>20190312172929801</v>
      </c>
      <c r="B1925" t="str">
        <f>"1552382969799495"</f>
        <v>1552382969799495</v>
      </c>
      <c r="C1925" t="s">
        <v>40</v>
      </c>
      <c r="D1925">
        <v>3.0882999999999998</v>
      </c>
      <c r="E1925">
        <v>0.48240949999999999</v>
      </c>
      <c r="F1925" t="s">
        <v>48</v>
      </c>
      <c r="G1925">
        <v>-301.34320000000002</v>
      </c>
      <c r="H1925" s="1">
        <v>4.4210060000000003E-6</v>
      </c>
      <c r="I1925">
        <v>278.714</v>
      </c>
      <c r="J1925">
        <v>-244.05529999999999</v>
      </c>
      <c r="K1925">
        <v>1.1103350000000001</v>
      </c>
      <c r="L1925">
        <v>282.14350000000002</v>
      </c>
      <c r="M1925">
        <v>-0.99883789999999995</v>
      </c>
      <c r="N1925">
        <v>0</v>
      </c>
      <c r="O1925">
        <v>-4.7912469999999999E-2</v>
      </c>
      <c r="P1925">
        <v>-0.98810940000000003</v>
      </c>
      <c r="Q1925">
        <v>0.15360409999999999</v>
      </c>
      <c r="R1925">
        <v>-6.7711999999999998E-3</v>
      </c>
      <c r="S1925">
        <v>-3.0434570000000001</v>
      </c>
      <c r="T1925">
        <v>-5.866528E-2</v>
      </c>
      <c r="U1925">
        <v>-0.18203739999999999</v>
      </c>
      <c r="V1925">
        <v>4.001735E-2</v>
      </c>
      <c r="W1925">
        <v>0.15891159999999999</v>
      </c>
      <c r="X1925">
        <v>0.98648150000000001</v>
      </c>
      <c r="Y1925">
        <v>-1.1816439999999999E-2</v>
      </c>
      <c r="Z1925">
        <v>8.0828829999999999E-4</v>
      </c>
      <c r="AA1925">
        <v>0.99992979999999998</v>
      </c>
      <c r="AB1925">
        <v>34</v>
      </c>
      <c r="AC1925">
        <v>-57.2879</v>
      </c>
      <c r="AD1925">
        <v>-1.1103305789939999</v>
      </c>
      <c r="AE1925">
        <v>-3.4295000000000102</v>
      </c>
      <c r="AF1925">
        <v>-0.68046436005726196</v>
      </c>
      <c r="AG1925">
        <v>-1.1103305789939999</v>
      </c>
      <c r="AH1925">
        <v>57.364951325710898</v>
      </c>
      <c r="AI1925">
        <v>91.108775276842096</v>
      </c>
      <c r="AJ1925">
        <v>90.679611968115694</v>
      </c>
      <c r="AK1925">
        <v>57.379730797043102</v>
      </c>
      <c r="AL1925">
        <v>80.856272911410201</v>
      </c>
      <c r="AM1925">
        <v>87.677028076556098</v>
      </c>
      <c r="AN1925">
        <v>1.0000000173789101</v>
      </c>
    </row>
    <row r="1926" spans="1:40" x14ac:dyDescent="0.25">
      <c r="A1926" t="str">
        <f>"20190312172929824"</f>
        <v>20190312172929824</v>
      </c>
      <c r="B1926" t="str">
        <f>"1552382969819015"</f>
        <v>1552382969819015</v>
      </c>
      <c r="C1926" t="s">
        <v>40</v>
      </c>
      <c r="D1926">
        <v>3.0854810000000001</v>
      </c>
      <c r="E1926">
        <v>0.48261409999999899</v>
      </c>
      <c r="F1926" t="s">
        <v>48</v>
      </c>
      <c r="G1926">
        <v>-307.40730000000002</v>
      </c>
      <c r="H1926" s="1">
        <v>3.420926E-6</v>
      </c>
      <c r="I1926">
        <v>278.35820000000001</v>
      </c>
      <c r="J1926">
        <v>-244.39250000000001</v>
      </c>
      <c r="K1926">
        <v>1.1102559999999999</v>
      </c>
      <c r="L1926">
        <v>282.12599999999998</v>
      </c>
      <c r="M1926">
        <v>-0.99877249999999995</v>
      </c>
      <c r="N1926">
        <v>0</v>
      </c>
      <c r="O1926">
        <v>-4.9255159999999999E-2</v>
      </c>
      <c r="P1926">
        <v>-0.98793880000000001</v>
      </c>
      <c r="Q1926">
        <v>0.15470989999999901</v>
      </c>
      <c r="R1926">
        <v>-6.4645040000000003E-3</v>
      </c>
      <c r="S1926">
        <v>-3.0431370000000002</v>
      </c>
      <c r="T1926">
        <v>-5.3335189999999998E-2</v>
      </c>
      <c r="U1926">
        <v>-0.1818237</v>
      </c>
      <c r="V1926">
        <v>4.1669369999999997E-2</v>
      </c>
      <c r="W1926">
        <v>0.16002820000000001</v>
      </c>
      <c r="X1926">
        <v>0.98623249999999996</v>
      </c>
      <c r="Y1926">
        <v>-1.040782E-2</v>
      </c>
      <c r="Z1926">
        <v>7.7074559999999997E-4</v>
      </c>
      <c r="AA1926">
        <v>0.99994550000000004</v>
      </c>
      <c r="AB1926">
        <v>34</v>
      </c>
      <c r="AC1926">
        <v>-63.014800000000001</v>
      </c>
      <c r="AD1926">
        <v>-1.1102525790740001</v>
      </c>
      <c r="AE1926">
        <v>-3.7677999999999598</v>
      </c>
      <c r="AF1926">
        <v>-0.65917611348109395</v>
      </c>
      <c r="AG1926">
        <v>-1.1102525790740001</v>
      </c>
      <c r="AH1926">
        <v>63.104378964875004</v>
      </c>
      <c r="AI1926">
        <v>91.007897650821704</v>
      </c>
      <c r="AJ1926">
        <v>90.598478842260306</v>
      </c>
      <c r="AK1926">
        <v>63.117587235892401</v>
      </c>
      <c r="AL1926">
        <v>80.7914665065869</v>
      </c>
      <c r="AM1926">
        <v>87.580631459061394</v>
      </c>
      <c r="AN1926">
        <v>0.999999952623842</v>
      </c>
    </row>
    <row r="1927" spans="1:40" x14ac:dyDescent="0.25">
      <c r="A1927" t="str">
        <f>"20190312172929858"</f>
        <v>20190312172929858</v>
      </c>
      <c r="B1927" t="str">
        <f>"1552382969849287"</f>
        <v>1552382969849287</v>
      </c>
      <c r="C1927" t="s">
        <v>40</v>
      </c>
      <c r="D1927">
        <v>3.0820370000000001</v>
      </c>
      <c r="E1927">
        <v>0.48284880000000002</v>
      </c>
      <c r="F1927" t="s">
        <v>48</v>
      </c>
      <c r="G1927">
        <v>-310.55829999999997</v>
      </c>
      <c r="H1927">
        <v>6.1486079999999999E-2</v>
      </c>
      <c r="I1927">
        <v>278.19110000000001</v>
      </c>
      <c r="J1927">
        <v>-244.91820000000001</v>
      </c>
      <c r="K1927">
        <v>1.110123</v>
      </c>
      <c r="L1927">
        <v>282.09809999999999</v>
      </c>
      <c r="M1927">
        <v>-0.99867660000000003</v>
      </c>
      <c r="N1927">
        <v>0</v>
      </c>
      <c r="O1927">
        <v>-5.1161199999999997E-2</v>
      </c>
      <c r="P1927">
        <v>-0.98780599999999996</v>
      </c>
      <c r="Q1927">
        <v>0.15555289999999999</v>
      </c>
      <c r="R1927">
        <v>-6.5445420000000004E-3</v>
      </c>
      <c r="S1927">
        <v>-3.042999</v>
      </c>
      <c r="T1927">
        <v>-4.823351E-2</v>
      </c>
      <c r="U1927">
        <v>-0.1809692</v>
      </c>
      <c r="V1927">
        <v>4.3511019999999997E-2</v>
      </c>
      <c r="W1927">
        <v>0.16088620000000001</v>
      </c>
      <c r="X1927">
        <v>0.98601340000000004</v>
      </c>
      <c r="Y1927">
        <v>-8.2217379999999993E-3</v>
      </c>
      <c r="Z1927">
        <v>7.4451170000000002E-4</v>
      </c>
      <c r="AA1927">
        <v>0.99996589999999996</v>
      </c>
      <c r="AB1927">
        <v>34</v>
      </c>
      <c r="AC1927">
        <v>-65.640099999999904</v>
      </c>
      <c r="AD1927">
        <v>-1.0486369200000001</v>
      </c>
      <c r="AE1927">
        <v>-3.90699999999998</v>
      </c>
      <c r="AF1927">
        <v>-0.543472474129161</v>
      </c>
      <c r="AG1927">
        <v>-1.0486369200000001</v>
      </c>
      <c r="AH1927">
        <v>65.737307326870805</v>
      </c>
      <c r="AI1927">
        <v>90.913869521664793</v>
      </c>
      <c r="AJ1927">
        <v>90.473672727304006</v>
      </c>
      <c r="AK1927">
        <v>65.747916897097099</v>
      </c>
      <c r="AL1927">
        <v>80.741661846165201</v>
      </c>
      <c r="AM1927">
        <v>87.473278262373796</v>
      </c>
      <c r="AN1927">
        <v>1.00000000159572</v>
      </c>
    </row>
    <row r="1928" spans="1:40" x14ac:dyDescent="0.25">
      <c r="A1928" t="str">
        <f>"20190312172929879"</f>
        <v>20190312172929879</v>
      </c>
      <c r="B1928" t="str">
        <f>"1552382969869767"</f>
        <v>1552382969869767</v>
      </c>
      <c r="C1928" t="s">
        <v>40</v>
      </c>
      <c r="D1928">
        <v>3.085607</v>
      </c>
      <c r="E1928">
        <v>0.48303699999999999</v>
      </c>
      <c r="F1928" t="s">
        <v>48</v>
      </c>
      <c r="G1928">
        <v>-315.44369999999998</v>
      </c>
      <c r="H1928">
        <v>8.0001260000000005E-2</v>
      </c>
      <c r="I1928">
        <v>277.91640000000001</v>
      </c>
      <c r="J1928">
        <v>-245.2552</v>
      </c>
      <c r="K1928">
        <v>1.11005</v>
      </c>
      <c r="L1928">
        <v>282.07979999999998</v>
      </c>
      <c r="M1928">
        <v>-0.99861809999999995</v>
      </c>
      <c r="N1928">
        <v>0</v>
      </c>
      <c r="O1928">
        <v>-5.2287760000000003E-2</v>
      </c>
      <c r="P1928">
        <v>-0.98764960000000002</v>
      </c>
      <c r="Q1928">
        <v>0.15654770000000001</v>
      </c>
      <c r="R1928">
        <v>-6.413841E-3</v>
      </c>
      <c r="S1928">
        <v>-3.0428310000000001</v>
      </c>
      <c r="T1928">
        <v>-4.444468E-2</v>
      </c>
      <c r="U1928">
        <v>-0.18041989999999999</v>
      </c>
      <c r="V1928">
        <v>4.477217E-2</v>
      </c>
      <c r="W1928">
        <v>0.16189039999999999</v>
      </c>
      <c r="X1928">
        <v>0.98579249999999996</v>
      </c>
      <c r="Y1928">
        <v>-6.9165119999999997E-3</v>
      </c>
      <c r="Z1928">
        <v>7.1201179999999997E-4</v>
      </c>
      <c r="AA1928">
        <v>0.99997579999999997</v>
      </c>
      <c r="AB1928">
        <v>34</v>
      </c>
      <c r="AC1928">
        <v>-70.188499999999905</v>
      </c>
      <c r="AD1928">
        <v>-1.03004874</v>
      </c>
      <c r="AE1928">
        <v>-4.1633999999999602</v>
      </c>
      <c r="AF1928">
        <v>-0.48754931789623102</v>
      </c>
      <c r="AG1928">
        <v>-1.03004874</v>
      </c>
      <c r="AH1928">
        <v>70.295095202869803</v>
      </c>
      <c r="AI1928">
        <v>90.839486776572798</v>
      </c>
      <c r="AJ1928">
        <v>90.397382921603594</v>
      </c>
      <c r="AK1928">
        <v>70.304332116340305</v>
      </c>
      <c r="AL1928">
        <v>80.683360681026301</v>
      </c>
      <c r="AM1928">
        <v>87.399559503369204</v>
      </c>
      <c r="AN1928">
        <v>0.99999995093745797</v>
      </c>
    </row>
    <row r="1929" spans="1:40" x14ac:dyDescent="0.25">
      <c r="A1929" t="str">
        <f>"20190312172929901"</f>
        <v>20190312172929901</v>
      </c>
      <c r="B1929" t="str">
        <f>"1552382969899047"</f>
        <v>1552382969899047</v>
      </c>
      <c r="C1929" t="s">
        <v>40</v>
      </c>
      <c r="D1929">
        <v>3.0894339999999998</v>
      </c>
      <c r="E1929">
        <v>0.48330079999999997</v>
      </c>
      <c r="F1929" t="s">
        <v>47</v>
      </c>
      <c r="G1929">
        <v>-322.38760000000002</v>
      </c>
      <c r="H1929">
        <v>8.0001069999999994E-2</v>
      </c>
      <c r="I1929">
        <v>277.53190000000001</v>
      </c>
      <c r="J1929">
        <v>-245.60210000000001</v>
      </c>
      <c r="K1929">
        <v>1.109972</v>
      </c>
      <c r="L1929">
        <v>282.0607</v>
      </c>
      <c r="M1929">
        <v>-0.99856259999999997</v>
      </c>
      <c r="N1929">
        <v>0</v>
      </c>
      <c r="O1929">
        <v>-5.3337790000000003E-2</v>
      </c>
      <c r="P1929">
        <v>-0.98762459999999996</v>
      </c>
      <c r="Q1929">
        <v>0.1567093</v>
      </c>
      <c r="R1929">
        <v>-6.3390159999999899E-3</v>
      </c>
      <c r="S1929">
        <v>-3.042786</v>
      </c>
      <c r="T1929">
        <v>-4.063427E-2</v>
      </c>
      <c r="U1929">
        <v>-0.17941279999999901</v>
      </c>
      <c r="V1929">
        <v>4.5916190000000003E-2</v>
      </c>
      <c r="W1929">
        <v>0.16206129999999999</v>
      </c>
      <c r="X1929">
        <v>0.98571189999999997</v>
      </c>
      <c r="Y1929">
        <v>-5.5355150000000004E-3</v>
      </c>
      <c r="Z1929">
        <v>6.7418879999999999E-4</v>
      </c>
      <c r="AA1929">
        <v>0.9999844</v>
      </c>
      <c r="AB1929">
        <v>35</v>
      </c>
      <c r="AC1929">
        <v>-76.785499999999999</v>
      </c>
      <c r="AD1929">
        <v>-1.02997093</v>
      </c>
      <c r="AE1929">
        <v>-4.5287999999999897</v>
      </c>
      <c r="AF1929">
        <v>-0.42665086433867</v>
      </c>
      <c r="AG1929">
        <v>-1.02997093</v>
      </c>
      <c r="AH1929">
        <v>76.903965430855607</v>
      </c>
      <c r="AI1929">
        <v>90.767301802561704</v>
      </c>
      <c r="AJ1929">
        <v>90.317864533034196</v>
      </c>
      <c r="AK1929">
        <v>76.912045675998698</v>
      </c>
      <c r="AL1929">
        <v>80.673438782520904</v>
      </c>
      <c r="AM1929">
        <v>87.332989947132205</v>
      </c>
      <c r="AN1929">
        <v>1.0000000556316999</v>
      </c>
    </row>
    <row r="1930" spans="1:40" x14ac:dyDescent="0.25">
      <c r="A1930" t="str">
        <f>"20190312172929925"</f>
        <v>20190312172929925</v>
      </c>
      <c r="B1930" t="str">
        <f>"1552382969919543"</f>
        <v>1552382969919543</v>
      </c>
      <c r="C1930" t="s">
        <v>40</v>
      </c>
      <c r="D1930">
        <v>3.0540790000000002</v>
      </c>
      <c r="E1930">
        <v>0.4835296</v>
      </c>
      <c r="F1930" t="s">
        <v>47</v>
      </c>
      <c r="G1930">
        <v>-320.91800000000001</v>
      </c>
      <c r="H1930">
        <v>8.0001500000000003E-2</v>
      </c>
      <c r="I1930">
        <v>277.66629999999998</v>
      </c>
      <c r="J1930">
        <v>-245.94829999999999</v>
      </c>
      <c r="K1930">
        <v>1.1098600000000001</v>
      </c>
      <c r="L1930">
        <v>282.04140000000001</v>
      </c>
      <c r="M1930">
        <v>-0.99851389999999995</v>
      </c>
      <c r="N1930">
        <v>0</v>
      </c>
      <c r="O1930">
        <v>-5.4238160000000001E-2</v>
      </c>
      <c r="P1930">
        <v>-0.98755159999999997</v>
      </c>
      <c r="Q1930">
        <v>0.15715479999999901</v>
      </c>
      <c r="R1930">
        <v>-6.6641649999999997E-3</v>
      </c>
      <c r="S1930">
        <v>-3.0430600000000001</v>
      </c>
      <c r="T1930">
        <v>-4.1614890000000002E-2</v>
      </c>
      <c r="U1930">
        <v>-0.1775513</v>
      </c>
      <c r="V1930">
        <v>4.6517860000000001E-2</v>
      </c>
      <c r="W1930">
        <v>0.16251199999999999</v>
      </c>
      <c r="X1930">
        <v>0.98560939999999997</v>
      </c>
      <c r="Y1930">
        <v>-4.0193310000000001E-3</v>
      </c>
      <c r="Z1930">
        <v>7.1304739999999999E-4</v>
      </c>
      <c r="AA1930">
        <v>0.99999170000000004</v>
      </c>
      <c r="AB1930">
        <v>35</v>
      </c>
      <c r="AC1930">
        <v>-74.969700000000003</v>
      </c>
      <c r="AD1930">
        <v>-1.0298585</v>
      </c>
      <c r="AE1930">
        <v>-4.37510000000003</v>
      </c>
      <c r="AF1930">
        <v>-0.30232698882370901</v>
      </c>
      <c r="AG1930">
        <v>-1.0298585</v>
      </c>
      <c r="AH1930">
        <v>75.082523916491198</v>
      </c>
      <c r="AI1930">
        <v>90.785833562400796</v>
      </c>
      <c r="AJ1930">
        <v>90.230705708504701</v>
      </c>
      <c r="AK1930">
        <v>75.090195150956006</v>
      </c>
      <c r="AL1930">
        <v>80.647267898662705</v>
      </c>
      <c r="AM1930">
        <v>87.297813243649202</v>
      </c>
      <c r="AN1930">
        <v>0.99999997540566898</v>
      </c>
    </row>
    <row r="1931" spans="1:40" x14ac:dyDescent="0.25">
      <c r="A1931" t="str">
        <f>"20190312172929948"</f>
        <v>20190312172929948</v>
      </c>
      <c r="B1931" t="str">
        <f>"1552382969939064"</f>
        <v>1552382969939064</v>
      </c>
      <c r="C1931" t="s">
        <v>40</v>
      </c>
      <c r="D1931">
        <v>3.0542959999999999</v>
      </c>
      <c r="E1931">
        <v>0.48376560000000002</v>
      </c>
      <c r="F1931" t="s">
        <v>48</v>
      </c>
      <c r="G1931">
        <v>-318.19979999999998</v>
      </c>
      <c r="H1931">
        <v>8.0000650000000006E-2</v>
      </c>
      <c r="I1931">
        <v>277.83589999999998</v>
      </c>
      <c r="J1931">
        <v>-246.3237</v>
      </c>
      <c r="K1931">
        <v>1.109723</v>
      </c>
      <c r="L1931">
        <v>282.02019999999999</v>
      </c>
      <c r="M1931">
        <v>-0.998471</v>
      </c>
      <c r="N1931">
        <v>0</v>
      </c>
      <c r="O1931">
        <v>-5.5021899999999999E-2</v>
      </c>
      <c r="P1931">
        <v>-0.98753570000000002</v>
      </c>
      <c r="Q1931">
        <v>0.1572355</v>
      </c>
      <c r="R1931">
        <v>-7.1249019999999998E-3</v>
      </c>
      <c r="S1931">
        <v>-3.0435029999999998</v>
      </c>
      <c r="T1931">
        <v>-4.3381570000000001E-2</v>
      </c>
      <c r="U1931">
        <v>-0.17715449999999999</v>
      </c>
      <c r="V1931">
        <v>4.6886440000000001E-2</v>
      </c>
      <c r="W1931">
        <v>0.16259479999999901</v>
      </c>
      <c r="X1931">
        <v>0.98557830000000002</v>
      </c>
      <c r="Y1931">
        <v>-3.096606E-3</v>
      </c>
      <c r="Z1931">
        <v>7.6092149999999997E-4</v>
      </c>
      <c r="AA1931">
        <v>0.99999490000000002</v>
      </c>
      <c r="AB1931">
        <v>35</v>
      </c>
      <c r="AC1931">
        <v>-71.876099999999894</v>
      </c>
      <c r="AD1931">
        <v>-1.0297223499999999</v>
      </c>
      <c r="AE1931">
        <v>-4.1843000000000004</v>
      </c>
      <c r="AF1931">
        <v>-0.22310013557681199</v>
      </c>
      <c r="AG1931">
        <v>-1.0297223499999999</v>
      </c>
      <c r="AH1931">
        <v>71.982722498457207</v>
      </c>
      <c r="AI1931">
        <v>90.819563853966997</v>
      </c>
      <c r="AJ1931">
        <v>90.177579491350997</v>
      </c>
      <c r="AK1931">
        <v>71.990432976045398</v>
      </c>
      <c r="AL1931">
        <v>80.642460057493807</v>
      </c>
      <c r="AM1931">
        <v>87.276349013402296</v>
      </c>
      <c r="AN1931">
        <v>0.99999999633690095</v>
      </c>
    </row>
    <row r="1932" spans="1:40" x14ac:dyDescent="0.25">
      <c r="A1932" t="str">
        <f>"20190312172929969"</f>
        <v>20190312172929969</v>
      </c>
      <c r="B1932" t="str">
        <f>"1552382969959560"</f>
        <v>1552382969959560</v>
      </c>
      <c r="C1932" t="s">
        <v>40</v>
      </c>
      <c r="D1932">
        <v>3.051774</v>
      </c>
      <c r="E1932">
        <v>0.48389389999999999</v>
      </c>
      <c r="F1932" t="s">
        <v>48</v>
      </c>
      <c r="G1932">
        <v>-314.85820000000001</v>
      </c>
      <c r="H1932">
        <v>8.0001379999999997E-2</v>
      </c>
      <c r="I1932">
        <v>278.04109999999997</v>
      </c>
      <c r="J1932">
        <v>-246.66059999999999</v>
      </c>
      <c r="K1932">
        <v>1.1095980000000001</v>
      </c>
      <c r="L1932">
        <v>282.00110000000001</v>
      </c>
      <c r="M1932">
        <v>-0.99843959999999998</v>
      </c>
      <c r="N1932">
        <v>0</v>
      </c>
      <c r="O1932">
        <v>-5.5585860000000001E-2</v>
      </c>
      <c r="P1932">
        <v>-0.98739069999999995</v>
      </c>
      <c r="Q1932">
        <v>0.1581371</v>
      </c>
      <c r="R1932">
        <v>-7.23697199999999E-3</v>
      </c>
      <c r="S1932">
        <v>-3.0438540000000001</v>
      </c>
      <c r="T1932">
        <v>-4.5733450000000002E-2</v>
      </c>
      <c r="U1932">
        <v>-0.1767273</v>
      </c>
      <c r="V1932">
        <v>4.7372780000000003E-2</v>
      </c>
      <c r="W1932">
        <v>0.16349759999999999</v>
      </c>
      <c r="X1932">
        <v>0.98540570000000005</v>
      </c>
      <c r="Y1932">
        <v>-2.3859290000000002E-3</v>
      </c>
      <c r="Z1932">
        <v>8.1586479999999997E-4</v>
      </c>
      <c r="AA1932">
        <v>0.99999680000000002</v>
      </c>
      <c r="AB1932">
        <v>35</v>
      </c>
      <c r="AC1932">
        <v>-68.197599999999994</v>
      </c>
      <c r="AD1932">
        <v>-1.02959662</v>
      </c>
      <c r="AE1932">
        <v>-3.9600000000000302</v>
      </c>
      <c r="AF1932">
        <v>-0.162963880072755</v>
      </c>
      <c r="AG1932">
        <v>-1.02959662</v>
      </c>
      <c r="AH1932">
        <v>68.296766192368295</v>
      </c>
      <c r="AI1932">
        <v>90.863685178815203</v>
      </c>
      <c r="AJ1932">
        <v>90.136714010653705</v>
      </c>
      <c r="AK1932">
        <v>68.304720911230902</v>
      </c>
      <c r="AL1932">
        <v>80.590032074542293</v>
      </c>
      <c r="AM1932">
        <v>87.247659279596604</v>
      </c>
      <c r="AN1932">
        <v>1.0000000195415799</v>
      </c>
    </row>
    <row r="1933" spans="1:40" x14ac:dyDescent="0.25">
      <c r="A1933" t="str">
        <f>"20190312172929992"</f>
        <v>20190312172929992</v>
      </c>
      <c r="B1933" t="str">
        <f>"1552382969988997"</f>
        <v>1552382969988997</v>
      </c>
      <c r="C1933" t="s">
        <v>40</v>
      </c>
      <c r="D1933">
        <v>3.1184919999999998</v>
      </c>
      <c r="E1933">
        <v>0.4880948</v>
      </c>
      <c r="F1933" t="s">
        <v>48</v>
      </c>
      <c r="G1933">
        <v>-317.50619999999998</v>
      </c>
      <c r="H1933">
        <v>8.0000799999999997E-2</v>
      </c>
      <c r="I1933">
        <v>277.89879999999999</v>
      </c>
      <c r="J1933">
        <v>-247.02440000000001</v>
      </c>
      <c r="K1933">
        <v>1.109459</v>
      </c>
      <c r="L1933">
        <v>281.98039999999997</v>
      </c>
      <c r="M1933">
        <v>-0.9984151</v>
      </c>
      <c r="N1933">
        <v>0</v>
      </c>
      <c r="O1933">
        <v>-5.6024699999999997E-2</v>
      </c>
      <c r="P1933">
        <v>-0.98723640000000001</v>
      </c>
      <c r="Q1933">
        <v>0.15906909999999999</v>
      </c>
      <c r="R1933">
        <v>-7.8673679999999996E-3</v>
      </c>
      <c r="S1933">
        <v>-3.044098</v>
      </c>
      <c r="T1933">
        <v>-4.4239760000000003E-2</v>
      </c>
      <c r="U1933">
        <v>-0.1762695</v>
      </c>
      <c r="V1933">
        <v>4.7223699999999903E-2</v>
      </c>
      <c r="W1933">
        <v>0.16443039999999901</v>
      </c>
      <c r="X1933">
        <v>0.98525759999999996</v>
      </c>
      <c r="Y1933">
        <v>-1.7916080000000001E-3</v>
      </c>
      <c r="Z1933">
        <v>7.9983609999999998E-4</v>
      </c>
      <c r="AA1933">
        <v>0.9999981</v>
      </c>
      <c r="AB1933">
        <v>35</v>
      </c>
      <c r="AC1933">
        <v>-70.481799999999893</v>
      </c>
      <c r="AD1933">
        <v>-1.0294582000000001</v>
      </c>
      <c r="AE1933">
        <v>-4.0815999999999697</v>
      </c>
      <c r="AF1933">
        <v>-0.12638430224328501</v>
      </c>
      <c r="AG1933">
        <v>-1.0294582000000001</v>
      </c>
      <c r="AH1933">
        <v>70.584762691729097</v>
      </c>
      <c r="AI1933">
        <v>90.835581669346894</v>
      </c>
      <c r="AJ1933">
        <v>90.102589838097899</v>
      </c>
      <c r="AK1933">
        <v>70.592382601985506</v>
      </c>
      <c r="AL1933">
        <v>80.535853015457903</v>
      </c>
      <c r="AM1933">
        <v>87.255895725035899</v>
      </c>
      <c r="AN1933">
        <v>0.99999998632180398</v>
      </c>
    </row>
    <row r="1934" spans="1:40" x14ac:dyDescent="0.25">
      <c r="A1934" t="str">
        <f>"20190312172930014"</f>
        <v>20190312172930014</v>
      </c>
      <c r="B1934" t="str">
        <f>"1552382970009493"</f>
        <v>1552382970009493</v>
      </c>
      <c r="C1934" t="s">
        <v>40</v>
      </c>
      <c r="D1934">
        <v>3.1159469999999998</v>
      </c>
      <c r="E1934">
        <v>0.48807990000000001</v>
      </c>
      <c r="F1934" t="s">
        <v>48</v>
      </c>
      <c r="G1934">
        <v>-281.68389999999999</v>
      </c>
      <c r="H1934" s="1">
        <v>8.5456289999999993E-6</v>
      </c>
      <c r="I1934">
        <v>280.30869999999999</v>
      </c>
      <c r="J1934">
        <v>-247.351</v>
      </c>
      <c r="K1934">
        <v>1.1093309999999901</v>
      </c>
      <c r="L1934">
        <v>281.96190000000001</v>
      </c>
      <c r="M1934">
        <v>-0.99840220000000002</v>
      </c>
      <c r="N1934">
        <v>0</v>
      </c>
      <c r="O1934">
        <v>-5.62541999999999E-2</v>
      </c>
      <c r="P1934">
        <v>-0.98710569999999997</v>
      </c>
      <c r="Q1934">
        <v>0.15985170000000001</v>
      </c>
      <c r="R1934">
        <v>-8.3838839999999994E-3</v>
      </c>
      <c r="S1934">
        <v>-3.0533450000000002</v>
      </c>
      <c r="T1934">
        <v>-9.7737669999999999E-2</v>
      </c>
      <c r="U1934">
        <v>-0.14727779999999999</v>
      </c>
      <c r="V1934">
        <v>4.6980460000000002E-2</v>
      </c>
      <c r="W1934">
        <v>0.165213</v>
      </c>
      <c r="X1934">
        <v>0.98513830000000002</v>
      </c>
      <c r="Y1934">
        <v>8.0542519999999996E-3</v>
      </c>
      <c r="Z1934">
        <v>1.926697E-3</v>
      </c>
      <c r="AA1934">
        <v>0.99996569999999996</v>
      </c>
      <c r="AB1934">
        <v>35</v>
      </c>
      <c r="AC1934">
        <v>-34.332899999999903</v>
      </c>
      <c r="AD1934">
        <v>-1.1093224543710001</v>
      </c>
      <c r="AE1934">
        <v>-1.65320000000002</v>
      </c>
      <c r="AF1934">
        <v>0.28052312475459001</v>
      </c>
      <c r="AG1934">
        <v>-1.1093224543710001</v>
      </c>
      <c r="AH1934">
        <v>34.335769202649097</v>
      </c>
      <c r="AI1934">
        <v>91.850410706306405</v>
      </c>
      <c r="AJ1934">
        <v>89.531904079087496</v>
      </c>
      <c r="AK1934">
        <v>34.354829882694503</v>
      </c>
      <c r="AL1934">
        <v>80.490391560712496</v>
      </c>
      <c r="AM1934">
        <v>87.269678527936705</v>
      </c>
      <c r="AN1934">
        <v>0.99999998455884997</v>
      </c>
    </row>
    <row r="1935" spans="1:40" x14ac:dyDescent="0.25">
      <c r="A1935" t="str">
        <f>"20190312172930035"</f>
        <v>20190312172930035</v>
      </c>
      <c r="B1935" t="str">
        <f>"1552382970029013"</f>
        <v>1552382970029013</v>
      </c>
      <c r="C1935" t="s">
        <v>40</v>
      </c>
      <c r="D1935">
        <v>3.1453880000000001</v>
      </c>
      <c r="E1935">
        <v>0.48799379999999998</v>
      </c>
      <c r="F1935" t="s">
        <v>48</v>
      </c>
      <c r="G1935">
        <v>-283.31979999999999</v>
      </c>
      <c r="H1935" s="1">
        <v>7.8402690000000003E-6</v>
      </c>
      <c r="I1935">
        <v>280.21129999999999</v>
      </c>
      <c r="J1935">
        <v>-247.708</v>
      </c>
      <c r="K1935">
        <v>1.1091740000000001</v>
      </c>
      <c r="L1935">
        <v>281.94170000000003</v>
      </c>
      <c r="M1935">
        <v>-0.99839929999999999</v>
      </c>
      <c r="N1935">
        <v>0</v>
      </c>
      <c r="O1935">
        <v>-5.6299849999999999E-2</v>
      </c>
      <c r="P1935">
        <v>-0.98695339999999998</v>
      </c>
      <c r="Q1935">
        <v>0.16077149999999901</v>
      </c>
      <c r="R1935">
        <v>-8.6943369999999999E-3</v>
      </c>
      <c r="S1935">
        <v>-3.0531769999999998</v>
      </c>
      <c r="T1935">
        <v>-9.4163780000000002E-2</v>
      </c>
      <c r="U1935">
        <v>-0.1485901</v>
      </c>
      <c r="V1935">
        <v>4.6772080000000001E-2</v>
      </c>
      <c r="W1935">
        <v>0.16613240000000001</v>
      </c>
      <c r="X1935">
        <v>0.98499360000000002</v>
      </c>
      <c r="Y1935">
        <v>7.6710759999999998E-3</v>
      </c>
      <c r="Z1935">
        <v>1.8518569999999999E-3</v>
      </c>
      <c r="AA1935">
        <v>0.99996890000000005</v>
      </c>
      <c r="AB1935">
        <v>35</v>
      </c>
      <c r="AC1935">
        <v>-35.611799999999903</v>
      </c>
      <c r="AD1935">
        <v>-1.1091661597310001</v>
      </c>
      <c r="AE1935">
        <v>-1.7304000000000299</v>
      </c>
      <c r="AF1935">
        <v>0.27704477221027402</v>
      </c>
      <c r="AG1935">
        <v>-1.1091661597310001</v>
      </c>
      <c r="AH1935">
        <v>35.618266349178903</v>
      </c>
      <c r="AI1935">
        <v>91.783581729212599</v>
      </c>
      <c r="AJ1935">
        <v>89.554352928773696</v>
      </c>
      <c r="AK1935">
        <v>35.636609001092502</v>
      </c>
      <c r="AL1935">
        <v>80.436975771943096</v>
      </c>
      <c r="AM1935">
        <v>87.2813718377584</v>
      </c>
      <c r="AN1935">
        <v>0.999999996919123</v>
      </c>
    </row>
    <row r="1936" spans="1:40" x14ac:dyDescent="0.25">
      <c r="A1936" t="str">
        <f>"20190312172930058"</f>
        <v>20190312172930058</v>
      </c>
      <c r="B1936" t="str">
        <f>"1552382970049508"</f>
        <v>1552382970049508</v>
      </c>
      <c r="C1936" t="s">
        <v>40</v>
      </c>
      <c r="D1936">
        <v>3.1781489999999999</v>
      </c>
      <c r="E1936">
        <v>0.48793320000000001</v>
      </c>
      <c r="F1936" t="s">
        <v>48</v>
      </c>
      <c r="G1936">
        <v>-284.2869</v>
      </c>
      <c r="H1936" s="1">
        <v>7.4251430000000004E-6</v>
      </c>
      <c r="I1936">
        <v>280.14479999999998</v>
      </c>
      <c r="J1936">
        <v>-248.0642</v>
      </c>
      <c r="K1936">
        <v>1.108989</v>
      </c>
      <c r="L1936">
        <v>281.92169999999999</v>
      </c>
      <c r="M1936">
        <v>-0.99841000000000002</v>
      </c>
      <c r="N1936">
        <v>0</v>
      </c>
      <c r="O1936">
        <v>-5.61095E-2</v>
      </c>
      <c r="P1936">
        <v>-0.98671339999999996</v>
      </c>
      <c r="Q1936">
        <v>0.16225780000000001</v>
      </c>
      <c r="R1936">
        <v>-8.3332030000000008E-3</v>
      </c>
      <c r="S1936">
        <v>-3.0534059999999998</v>
      </c>
      <c r="T1936">
        <v>-9.258711E-2</v>
      </c>
      <c r="U1936">
        <v>-0.14999390000000001</v>
      </c>
      <c r="V1936">
        <v>4.7006680000000002E-2</v>
      </c>
      <c r="W1936">
        <v>0.16761609999999999</v>
      </c>
      <c r="X1936">
        <v>0.98473100000000002</v>
      </c>
      <c r="Y1936">
        <v>7.0268219999999899E-3</v>
      </c>
      <c r="Z1936">
        <v>1.8051860000000001E-3</v>
      </c>
      <c r="AA1936">
        <v>0.99997369999999997</v>
      </c>
      <c r="AB1936">
        <v>35</v>
      </c>
      <c r="AC1936">
        <v>-36.222700000000003</v>
      </c>
      <c r="AD1936">
        <v>-1.108981574857</v>
      </c>
      <c r="AE1936">
        <v>-1.7769000000000099</v>
      </c>
      <c r="AF1936">
        <v>0.25812526362454802</v>
      </c>
      <c r="AG1936">
        <v>-1.108981574857</v>
      </c>
      <c r="AH1936">
        <v>36.231457404275197</v>
      </c>
      <c r="AI1936">
        <v>91.753131829325994</v>
      </c>
      <c r="AJ1936">
        <v>89.591812225094898</v>
      </c>
      <c r="AK1936">
        <v>36.249344468871499</v>
      </c>
      <c r="AL1936">
        <v>80.350756748325594</v>
      </c>
      <c r="AM1936">
        <v>87.267028811515601</v>
      </c>
      <c r="AN1936">
        <v>0.99999996365241495</v>
      </c>
    </row>
    <row r="1937" spans="1:40" x14ac:dyDescent="0.25">
      <c r="A1937" t="str">
        <f>"20190312172930080"</f>
        <v>20190312172930080</v>
      </c>
      <c r="B1937" t="str">
        <f>"1552382970069032"</f>
        <v>1552382970069032</v>
      </c>
      <c r="C1937" t="s">
        <v>40</v>
      </c>
      <c r="D1937">
        <v>3.202858</v>
      </c>
      <c r="E1937">
        <v>0.4880565</v>
      </c>
      <c r="F1937" t="s">
        <v>48</v>
      </c>
      <c r="G1937">
        <v>-286.14589999999998</v>
      </c>
      <c r="H1937" s="1">
        <v>6.6205119999999999E-6</v>
      </c>
      <c r="I1937">
        <v>280.04930000000002</v>
      </c>
      <c r="J1937">
        <v>-248.41300000000001</v>
      </c>
      <c r="K1937">
        <v>1.108786</v>
      </c>
      <c r="L1937">
        <v>281.9024</v>
      </c>
      <c r="M1937">
        <v>-0.99843400000000004</v>
      </c>
      <c r="N1937">
        <v>0</v>
      </c>
      <c r="O1937">
        <v>-5.5676059999999999E-2</v>
      </c>
      <c r="P1937">
        <v>-0.98656089999999996</v>
      </c>
      <c r="Q1937">
        <v>0.1632344</v>
      </c>
      <c r="R1937">
        <v>-7.21427099999999E-3</v>
      </c>
      <c r="S1937">
        <v>-3.053741</v>
      </c>
      <c r="T1937">
        <v>-8.8928460000000001E-2</v>
      </c>
      <c r="U1937">
        <v>-0.15014649999999999</v>
      </c>
      <c r="V1937">
        <v>4.7771889999999997E-2</v>
      </c>
      <c r="W1937">
        <v>0.16858770000000001</v>
      </c>
      <c r="X1937">
        <v>0.98452830000000002</v>
      </c>
      <c r="Y1937">
        <v>6.5508930000000003E-3</v>
      </c>
      <c r="Z1937">
        <v>1.71417799999999E-3</v>
      </c>
      <c r="AA1937">
        <v>0.99997709999999995</v>
      </c>
      <c r="AB1937">
        <v>36</v>
      </c>
      <c r="AC1937">
        <v>-37.732900000000001</v>
      </c>
      <c r="AD1937">
        <v>-1.1087793794879901</v>
      </c>
      <c r="AE1937">
        <v>-1.85309999999998</v>
      </c>
      <c r="AF1937">
        <v>0.250409181896185</v>
      </c>
      <c r="AG1937">
        <v>-1.1087793794879901</v>
      </c>
      <c r="AH1937">
        <v>37.7450315561859</v>
      </c>
      <c r="AI1937">
        <v>91.682571602070993</v>
      </c>
      <c r="AJ1937">
        <v>89.619892256079893</v>
      </c>
      <c r="AK1937">
        <v>37.7621437904182</v>
      </c>
      <c r="AL1937">
        <v>80.294284603781307</v>
      </c>
      <c r="AM1937">
        <v>87.222037632067</v>
      </c>
      <c r="AN1937">
        <v>0.99999996978317496</v>
      </c>
    </row>
    <row r="1938" spans="1:40" x14ac:dyDescent="0.25">
      <c r="A1938" t="str">
        <f>"20190312172930103"</f>
        <v>20190312172930103</v>
      </c>
      <c r="B1938" t="str">
        <f>"1552382970099285"</f>
        <v>1552382970099285</v>
      </c>
      <c r="C1938" t="s">
        <v>40</v>
      </c>
      <c r="D1938">
        <v>3.2173880000000001</v>
      </c>
      <c r="E1938">
        <v>0.49008689999999999</v>
      </c>
      <c r="F1938" t="s">
        <v>48</v>
      </c>
      <c r="G1938">
        <v>-286.20049999999998</v>
      </c>
      <c r="H1938" s="1">
        <v>6.5882870000000004E-6</v>
      </c>
      <c r="I1938">
        <v>280.08800000000002</v>
      </c>
      <c r="J1938">
        <v>-248.7766</v>
      </c>
      <c r="K1938">
        <v>1.1085499999999999</v>
      </c>
      <c r="L1938">
        <v>281.8827</v>
      </c>
      <c r="M1938">
        <v>-0.99847390000000003</v>
      </c>
      <c r="N1938">
        <v>0</v>
      </c>
      <c r="O1938">
        <v>-5.4957449999999998E-2</v>
      </c>
      <c r="P1938">
        <v>-0.98652110000000004</v>
      </c>
      <c r="Q1938">
        <v>0.16352420000000001</v>
      </c>
      <c r="R1938">
        <v>-6.0296239999999999E-3</v>
      </c>
      <c r="S1938">
        <v>-3.0546259999999998</v>
      </c>
      <c r="T1938">
        <v>-8.9630370000000001E-2</v>
      </c>
      <c r="U1938">
        <v>-0.14666750000000001</v>
      </c>
      <c r="V1938">
        <v>4.8340040000000001E-2</v>
      </c>
      <c r="W1938">
        <v>0.16887260000000001</v>
      </c>
      <c r="X1938">
        <v>0.98445179999999999</v>
      </c>
      <c r="Y1938">
        <v>6.98133E-3</v>
      </c>
      <c r="Z1938">
        <v>1.7125420000000001E-3</v>
      </c>
      <c r="AA1938">
        <v>0.99997420000000004</v>
      </c>
      <c r="AB1938">
        <v>36</v>
      </c>
      <c r="AC1938">
        <v>-37.423899999999897</v>
      </c>
      <c r="AD1938">
        <v>-1.108543411713</v>
      </c>
      <c r="AE1938">
        <v>-1.7947000000000299</v>
      </c>
      <c r="AF1938">
        <v>0.26453334245107302</v>
      </c>
      <c r="AG1938">
        <v>-1.108543411713</v>
      </c>
      <c r="AH1938">
        <v>37.433203816056903</v>
      </c>
      <c r="AI1938">
        <v>91.696213802654796</v>
      </c>
      <c r="AJ1938">
        <v>89.595108347167994</v>
      </c>
      <c r="AK1938">
        <v>37.450548651780501</v>
      </c>
      <c r="AL1938">
        <v>80.277724184622301</v>
      </c>
      <c r="AM1938">
        <v>87.188833982814998</v>
      </c>
      <c r="AN1938">
        <v>1.0000000305106</v>
      </c>
    </row>
    <row r="1939" spans="1:40" x14ac:dyDescent="0.25">
      <c r="A1939" t="str">
        <f>"20190312172930125"</f>
        <v>20190312172930125</v>
      </c>
      <c r="B1939" t="str">
        <f>"1552382970119781"</f>
        <v>1552382970119781</v>
      </c>
      <c r="C1939" t="s">
        <v>40</v>
      </c>
      <c r="D1939">
        <v>3.2107779999999999</v>
      </c>
      <c r="E1939">
        <v>0.49003380000000002</v>
      </c>
      <c r="F1939" t="s">
        <v>47</v>
      </c>
      <c r="G1939">
        <v>-276.01710000000003</v>
      </c>
      <c r="H1939" s="1">
        <v>1.8347180000000001E-6</v>
      </c>
      <c r="I1939">
        <v>280.73849999999999</v>
      </c>
      <c r="J1939">
        <v>-249.1268</v>
      </c>
      <c r="K1939">
        <v>1.1083080000000001</v>
      </c>
      <c r="L1939">
        <v>281.86419999999998</v>
      </c>
      <c r="M1939">
        <v>-0.9985269</v>
      </c>
      <c r="N1939">
        <v>0</v>
      </c>
      <c r="O1939">
        <v>-5.398186E-2</v>
      </c>
      <c r="P1939">
        <v>-0.98652669999999998</v>
      </c>
      <c r="Q1939">
        <v>0.163546</v>
      </c>
      <c r="R1939">
        <v>-4.2706970000000004E-3</v>
      </c>
      <c r="S1939">
        <v>-3.0608369999999998</v>
      </c>
      <c r="T1939">
        <v>-0.1245604</v>
      </c>
      <c r="U1939">
        <v>-0.12857060000000001</v>
      </c>
      <c r="V1939">
        <v>4.9231360000000002E-2</v>
      </c>
      <c r="W1939">
        <v>0.16888710000000001</v>
      </c>
      <c r="X1939">
        <v>0.98440510000000003</v>
      </c>
      <c r="Y1939">
        <v>1.1973839999999999E-2</v>
      </c>
      <c r="Z1939">
        <v>2.4369489999999999E-3</v>
      </c>
      <c r="AA1939">
        <v>0.99992530000000002</v>
      </c>
      <c r="AB1939">
        <v>36</v>
      </c>
      <c r="AC1939">
        <v>-26.8903</v>
      </c>
      <c r="AD1939">
        <v>-1.1083061652820001</v>
      </c>
      <c r="AE1939">
        <v>-1.1256999999999899</v>
      </c>
      <c r="AF1939">
        <v>0.32699707720875398</v>
      </c>
      <c r="AG1939">
        <v>-1.1083061652820001</v>
      </c>
      <c r="AH1939">
        <v>26.866299656847801</v>
      </c>
      <c r="AI1939">
        <v>92.362088804301493</v>
      </c>
      <c r="AJ1939">
        <v>89.302671838036304</v>
      </c>
      <c r="AK1939">
        <v>26.8911384455185</v>
      </c>
      <c r="AL1939">
        <v>80.2768808925982</v>
      </c>
      <c r="AM1939">
        <v>87.136950036709294</v>
      </c>
      <c r="AN1939">
        <v>0.99999999012993401</v>
      </c>
    </row>
    <row r="1940" spans="1:40" x14ac:dyDescent="0.25">
      <c r="A1940" t="str">
        <f>"20190312172930150"</f>
        <v>20190312172930150</v>
      </c>
      <c r="B1940" t="str">
        <f>"1552382970139301"</f>
        <v>1552382970139301</v>
      </c>
      <c r="C1940" t="s">
        <v>40</v>
      </c>
      <c r="D1940">
        <v>3.2260080000000002</v>
      </c>
      <c r="E1940">
        <v>0.49010280000000001</v>
      </c>
      <c r="F1940" t="s">
        <v>47</v>
      </c>
      <c r="G1940">
        <v>-276.9126</v>
      </c>
      <c r="H1940" s="1">
        <v>2.3109219999999999E-6</v>
      </c>
      <c r="I1940">
        <v>280.74599999999998</v>
      </c>
      <c r="J1940">
        <v>-249.5316</v>
      </c>
      <c r="K1940">
        <v>1.1080319999999999</v>
      </c>
      <c r="L1940">
        <v>281.84359999999998</v>
      </c>
      <c r="M1940">
        <v>-0.99860380000000004</v>
      </c>
      <c r="N1940">
        <v>0</v>
      </c>
      <c r="O1940">
        <v>-5.2536850000000003E-2</v>
      </c>
      <c r="P1940">
        <v>-0.98644160000000003</v>
      </c>
      <c r="Q1940">
        <v>0.16410829999999901</v>
      </c>
      <c r="R1940">
        <v>-1.28867E-3</v>
      </c>
      <c r="S1940">
        <v>-3.0606840000000002</v>
      </c>
      <c r="T1940">
        <v>-0.12208280000000001</v>
      </c>
      <c r="U1940">
        <v>-0.123168899999999</v>
      </c>
      <c r="V1940">
        <v>5.0891180000000001E-2</v>
      </c>
      <c r="W1940">
        <v>0.1694398</v>
      </c>
      <c r="X1940">
        <v>0.98422569999999998</v>
      </c>
      <c r="Y1940">
        <v>1.228953E-2</v>
      </c>
      <c r="Z1940">
        <v>2.337539E-3</v>
      </c>
      <c r="AA1940">
        <v>0.99992170000000002</v>
      </c>
      <c r="AB1940">
        <v>36</v>
      </c>
      <c r="AC1940">
        <v>-27.381</v>
      </c>
      <c r="AD1940">
        <v>-1.1080296890779999</v>
      </c>
      <c r="AE1940">
        <v>-1.0975999999999999</v>
      </c>
      <c r="AF1940">
        <v>0.34189017582247999</v>
      </c>
      <c r="AG1940">
        <v>-1.1080296890779999</v>
      </c>
      <c r="AH1940">
        <v>27.356124488806898</v>
      </c>
      <c r="AI1940">
        <v>92.319253674314695</v>
      </c>
      <c r="AJ1940">
        <v>89.283968591819502</v>
      </c>
      <c r="AK1940">
        <v>27.380689650396</v>
      </c>
      <c r="AL1940">
        <v>80.244750481973</v>
      </c>
      <c r="AM1940">
        <v>87.040053527927697</v>
      </c>
      <c r="AN1940">
        <v>0.99999999328316103</v>
      </c>
    </row>
    <row r="1941" spans="1:40" x14ac:dyDescent="0.25">
      <c r="A1941" t="str">
        <f>"20190312172930171"</f>
        <v>20190312172930171</v>
      </c>
      <c r="B1941" t="str">
        <f>"1552382970169557"</f>
        <v>1552382970169557</v>
      </c>
      <c r="C1941" t="s">
        <v>40</v>
      </c>
      <c r="D1941">
        <v>3.2506020000000002</v>
      </c>
      <c r="E1941">
        <v>0.49020370000000002</v>
      </c>
      <c r="F1941" t="s">
        <v>47</v>
      </c>
      <c r="G1941">
        <v>-277.4332</v>
      </c>
      <c r="H1941" s="1">
        <v>2.5855029999999999E-6</v>
      </c>
      <c r="I1941">
        <v>280.80250000000001</v>
      </c>
      <c r="J1941">
        <v>-249.8835</v>
      </c>
      <c r="K1941">
        <v>1.10782</v>
      </c>
      <c r="L1941">
        <v>281.8263</v>
      </c>
      <c r="M1941">
        <v>-0.99867989999999995</v>
      </c>
      <c r="N1941">
        <v>0</v>
      </c>
      <c r="O1941">
        <v>-5.1068750000000003E-2</v>
      </c>
      <c r="P1941">
        <v>-0.98641020000000001</v>
      </c>
      <c r="Q1941">
        <v>0.1642933</v>
      </c>
      <c r="R1941">
        <v>1.666388E-3</v>
      </c>
      <c r="S1941">
        <v>-3.0613250000000001</v>
      </c>
      <c r="T1941">
        <v>-0.1215714</v>
      </c>
      <c r="U1941">
        <v>-0.1142273</v>
      </c>
      <c r="V1941">
        <v>5.2480760000000001E-2</v>
      </c>
      <c r="W1941">
        <v>0.1696174</v>
      </c>
      <c r="X1941">
        <v>0.98411159999999998</v>
      </c>
      <c r="Y1941">
        <v>1.3744620000000001E-2</v>
      </c>
      <c r="Z1941">
        <v>2.2981379999999999E-3</v>
      </c>
      <c r="AA1941">
        <v>0.99990290000000004</v>
      </c>
      <c r="AB1941">
        <v>36</v>
      </c>
      <c r="AC1941">
        <v>-27.549700000000001</v>
      </c>
      <c r="AD1941">
        <v>-1.1078174144969899</v>
      </c>
      <c r="AE1941">
        <v>-1.0237999999999901</v>
      </c>
      <c r="AF1941">
        <v>0.38386626702243698</v>
      </c>
      <c r="AG1941">
        <v>-1.1078174144969899</v>
      </c>
      <c r="AH1941">
        <v>27.521595097689499</v>
      </c>
      <c r="AI1941">
        <v>92.304839191121403</v>
      </c>
      <c r="AJ1941">
        <v>89.200900571293701</v>
      </c>
      <c r="AK1941">
        <v>27.546557125274099</v>
      </c>
      <c r="AL1941">
        <v>80.2344250370287</v>
      </c>
      <c r="AM1941">
        <v>86.947418910377294</v>
      </c>
      <c r="AN1941">
        <v>0.99999996690374804</v>
      </c>
    </row>
    <row r="1942" spans="1:40" x14ac:dyDescent="0.25">
      <c r="A1942" t="str">
        <f>"20190312172930193"</f>
        <v>20190312172930193</v>
      </c>
      <c r="B1942" t="str">
        <f>"1552382970189077"</f>
        <v>1552382970189077</v>
      </c>
      <c r="C1942" t="s">
        <v>40</v>
      </c>
      <c r="D1942">
        <v>3.2344400000000002</v>
      </c>
      <c r="E1942">
        <v>0.49025849999999999</v>
      </c>
      <c r="F1942" t="s">
        <v>47</v>
      </c>
      <c r="G1942">
        <v>-277.7955</v>
      </c>
      <c r="H1942" s="1">
        <v>2.7757899999999999E-6</v>
      </c>
      <c r="I1942">
        <v>280.86040000000003</v>
      </c>
      <c r="J1942">
        <v>-250.24029999999999</v>
      </c>
      <c r="K1942">
        <v>1.1076189999999999</v>
      </c>
      <c r="L1942">
        <v>281.80939999999998</v>
      </c>
      <c r="M1942">
        <v>-0.99876430000000005</v>
      </c>
      <c r="N1942">
        <v>0</v>
      </c>
      <c r="O1942">
        <v>-4.9385169999999999E-2</v>
      </c>
      <c r="P1942">
        <v>-0.98646259999999997</v>
      </c>
      <c r="Q1942">
        <v>0.163933</v>
      </c>
      <c r="R1942">
        <v>4.2183740000000004E-3</v>
      </c>
      <c r="S1942">
        <v>-3.0617369999999999</v>
      </c>
      <c r="T1942">
        <v>-0.121519</v>
      </c>
      <c r="U1942">
        <v>-0.105957</v>
      </c>
      <c r="V1942">
        <v>5.3452630000000001E-2</v>
      </c>
      <c r="W1942">
        <v>0.16925129999999999</v>
      </c>
      <c r="X1942">
        <v>0.98412230000000001</v>
      </c>
      <c r="Y1942">
        <v>1.476206E-2</v>
      </c>
      <c r="Z1942">
        <v>2.2504790000000001E-3</v>
      </c>
      <c r="AA1942">
        <v>0.99988849999999996</v>
      </c>
      <c r="AB1942">
        <v>36</v>
      </c>
      <c r="AC1942">
        <v>-27.555199999999999</v>
      </c>
      <c r="AD1942">
        <v>-1.1076162242100001</v>
      </c>
      <c r="AE1942">
        <v>-0.94899999999995499</v>
      </c>
      <c r="AF1942">
        <v>0.41233188080963101</v>
      </c>
      <c r="AG1942">
        <v>-1.1076162242100001</v>
      </c>
      <c r="AH1942">
        <v>27.524024594813099</v>
      </c>
      <c r="AI1942">
        <v>92.304183490059003</v>
      </c>
      <c r="AJ1942">
        <v>89.141727644036493</v>
      </c>
      <c r="AK1942">
        <v>27.5493876733393</v>
      </c>
      <c r="AL1942">
        <v>80.255708526375997</v>
      </c>
      <c r="AM1942">
        <v>86.891033023849403</v>
      </c>
      <c r="AN1942">
        <v>0.99999994378144597</v>
      </c>
    </row>
    <row r="1943" spans="1:40" x14ac:dyDescent="0.25">
      <c r="A1943" t="str">
        <f>"20190312172930214"</f>
        <v>20190312172930214</v>
      </c>
      <c r="B1943" t="str">
        <f>"1552382970209572"</f>
        <v>1552382970209572</v>
      </c>
      <c r="C1943" t="s">
        <v>40</v>
      </c>
      <c r="D1943">
        <v>3.3130570000000001</v>
      </c>
      <c r="E1943">
        <v>0.49015900000000001</v>
      </c>
      <c r="F1943" t="s">
        <v>47</v>
      </c>
      <c r="G1943">
        <v>-277.66489999999999</v>
      </c>
      <c r="H1943" s="1">
        <v>2.7033220000000002E-6</v>
      </c>
      <c r="I1943">
        <v>280.92829999999998</v>
      </c>
      <c r="J1943">
        <v>-250.5805</v>
      </c>
      <c r="K1943">
        <v>1.107437</v>
      </c>
      <c r="L1943">
        <v>281.79399999999998</v>
      </c>
      <c r="M1943">
        <v>-0.99885029999999997</v>
      </c>
      <c r="N1943">
        <v>0</v>
      </c>
      <c r="O1943">
        <v>-4.7611859999999999E-2</v>
      </c>
      <c r="P1943">
        <v>-0.98645729999999998</v>
      </c>
      <c r="Q1943">
        <v>0.1638831</v>
      </c>
      <c r="R1943">
        <v>6.6631099999999999E-3</v>
      </c>
      <c r="S1943">
        <v>-3.0621339999999999</v>
      </c>
      <c r="T1943">
        <v>-0.1236722</v>
      </c>
      <c r="U1943">
        <v>-9.8388669999999998E-2</v>
      </c>
      <c r="V1943">
        <v>5.42184E-2</v>
      </c>
      <c r="W1943">
        <v>0.16919779999999901</v>
      </c>
      <c r="X1943">
        <v>0.98408969999999996</v>
      </c>
      <c r="Y1943">
        <v>1.5458960000000001E-2</v>
      </c>
      <c r="Z1943">
        <v>2.2327359999999999E-3</v>
      </c>
      <c r="AA1943">
        <v>0.99987800000000004</v>
      </c>
      <c r="AB1943">
        <v>36</v>
      </c>
      <c r="AC1943">
        <v>-27.084399999999899</v>
      </c>
      <c r="AD1943">
        <v>-1.107434296678</v>
      </c>
      <c r="AE1943">
        <v>-0.86570000000005998</v>
      </c>
      <c r="AF1943">
        <v>0.42413221942324297</v>
      </c>
      <c r="AG1943">
        <v>-1.107434296678</v>
      </c>
      <c r="AH1943">
        <v>27.049724240027199</v>
      </c>
      <c r="AI1943">
        <v>92.344131491265102</v>
      </c>
      <c r="AJ1943">
        <v>89.101691584345303</v>
      </c>
      <c r="AK1943">
        <v>27.075706460266701</v>
      </c>
      <c r="AL1943">
        <v>80.2588195950173</v>
      </c>
      <c r="AM1943">
        <v>86.846478523643697</v>
      </c>
      <c r="AN1943">
        <v>1.0000000340347399</v>
      </c>
    </row>
    <row r="1944" spans="1:40" x14ac:dyDescent="0.25">
      <c r="A1944" t="str">
        <f>"20190312172930236"</f>
        <v>20190312172930236</v>
      </c>
      <c r="B1944" t="str">
        <f>"1552382970230069"</f>
        <v>1552382970230069</v>
      </c>
      <c r="C1944" t="s">
        <v>40</v>
      </c>
      <c r="D1944">
        <v>3.2589809999999999</v>
      </c>
      <c r="E1944">
        <v>0.49003099999999999</v>
      </c>
      <c r="F1944" t="s">
        <v>47</v>
      </c>
      <c r="G1944">
        <v>-278.20179999999999</v>
      </c>
      <c r="H1944" s="1">
        <v>2.987685E-6</v>
      </c>
      <c r="I1944">
        <v>280.95800000000003</v>
      </c>
      <c r="J1944">
        <v>-250.95570000000001</v>
      </c>
      <c r="K1944">
        <v>1.107256</v>
      </c>
      <c r="L1944">
        <v>281.77789999999999</v>
      </c>
      <c r="M1944">
        <v>-0.99894870000000002</v>
      </c>
      <c r="N1944">
        <v>0</v>
      </c>
      <c r="O1944">
        <v>-4.5495430000000003E-2</v>
      </c>
      <c r="P1944">
        <v>-0.98638060000000005</v>
      </c>
      <c r="Q1944">
        <v>0.16419639999999999</v>
      </c>
      <c r="R1944">
        <v>9.6312580000000002E-3</v>
      </c>
      <c r="S1944">
        <v>-3.0622250000000002</v>
      </c>
      <c r="T1944">
        <v>-0.1227756</v>
      </c>
      <c r="U1944">
        <v>-9.2681879999999994E-2</v>
      </c>
      <c r="V1944">
        <v>5.5169129999999997E-2</v>
      </c>
      <c r="W1944">
        <v>0.1695065</v>
      </c>
      <c r="X1944">
        <v>0.98398370000000002</v>
      </c>
      <c r="Y1944">
        <v>1.5205629999999999E-2</v>
      </c>
      <c r="Z1944">
        <v>2.1267999999999999E-3</v>
      </c>
      <c r="AA1944">
        <v>0.9998821</v>
      </c>
      <c r="AB1944">
        <v>36</v>
      </c>
      <c r="AC1944">
        <v>-27.246099999999899</v>
      </c>
      <c r="AD1944">
        <v>-1.107253012315</v>
      </c>
      <c r="AE1944">
        <v>-0.81990000000001795</v>
      </c>
      <c r="AF1944">
        <v>0.41984889011022197</v>
      </c>
      <c r="AG1944">
        <v>-1.107253012315</v>
      </c>
      <c r="AH1944">
        <v>27.210291530894001</v>
      </c>
      <c r="AI1944">
        <v>92.329942120726798</v>
      </c>
      <c r="AJ1944">
        <v>89.116008711396603</v>
      </c>
      <c r="AK1944">
        <v>27.2360468409065</v>
      </c>
      <c r="AL1944">
        <v>80.240872868620201</v>
      </c>
      <c r="AM1944">
        <v>86.790950539911094</v>
      </c>
      <c r="AN1944">
        <v>1.0000000041564401</v>
      </c>
    </row>
    <row r="1945" spans="1:40" x14ac:dyDescent="0.25">
      <c r="A1945" t="str">
        <f>"20190312172930260"</f>
        <v>20190312172930260</v>
      </c>
      <c r="B1945" t="str">
        <f>"1552382970249589"</f>
        <v>1552382970249589</v>
      </c>
      <c r="C1945" t="s">
        <v>40</v>
      </c>
      <c r="D1945">
        <v>3.2647879999999998</v>
      </c>
      <c r="E1945">
        <v>0.4898574</v>
      </c>
      <c r="F1945" t="s">
        <v>47</v>
      </c>
      <c r="G1945">
        <v>-278.90120000000002</v>
      </c>
      <c r="H1945" s="1">
        <v>3.358372E-6</v>
      </c>
      <c r="I1945">
        <v>280.99259999999998</v>
      </c>
      <c r="J1945">
        <v>-251.32730000000001</v>
      </c>
      <c r="K1945">
        <v>1.1070899999999999</v>
      </c>
      <c r="L1945">
        <v>281.76280000000003</v>
      </c>
      <c r="M1945">
        <v>-0.99904769999999998</v>
      </c>
      <c r="N1945">
        <v>0</v>
      </c>
      <c r="O1945">
        <v>-4.3267649999999998E-2</v>
      </c>
      <c r="P1945">
        <v>-0.98612829999999996</v>
      </c>
      <c r="Q1945">
        <v>0.16549239999999901</v>
      </c>
      <c r="R1945">
        <v>1.278031E-2</v>
      </c>
      <c r="S1945">
        <v>-3.0624389999999999</v>
      </c>
      <c r="T1945">
        <v>-0.12133960000000001</v>
      </c>
      <c r="U1945">
        <v>-8.6059570000000002E-2</v>
      </c>
      <c r="V1945">
        <v>5.6181410000000001E-2</v>
      </c>
      <c r="W1945">
        <v>0.17079820000000001</v>
      </c>
      <c r="X1945">
        <v>0.98370299999999999</v>
      </c>
      <c r="Y1945">
        <v>1.514125E-2</v>
      </c>
      <c r="Z1945">
        <v>2.012486E-3</v>
      </c>
      <c r="AA1945">
        <v>0.99988339999999998</v>
      </c>
      <c r="AB1945">
        <v>37</v>
      </c>
      <c r="AC1945">
        <v>-27.573899999999998</v>
      </c>
      <c r="AD1945">
        <v>-1.1070866416280001</v>
      </c>
      <c r="AE1945">
        <v>-0.77020000000004496</v>
      </c>
      <c r="AF1945">
        <v>0.42291679625752798</v>
      </c>
      <c r="AG1945">
        <v>-1.1070866416280001</v>
      </c>
      <c r="AH1945">
        <v>27.5370466622281</v>
      </c>
      <c r="AI1945">
        <v>92.301981884179995</v>
      </c>
      <c r="AJ1945">
        <v>89.120114697936998</v>
      </c>
      <c r="AK1945">
        <v>27.562536863038499</v>
      </c>
      <c r="AL1945">
        <v>80.165768519250406</v>
      </c>
      <c r="AM1945">
        <v>86.731264773296203</v>
      </c>
      <c r="AN1945">
        <v>0.99999998408091295</v>
      </c>
    </row>
    <row r="1946" spans="1:40" x14ac:dyDescent="0.25">
      <c r="A1946" t="str">
        <f>"20190312172930282"</f>
        <v>20190312172930282</v>
      </c>
      <c r="B1946" t="str">
        <f>"1552382970279845"</f>
        <v>1552382970279845</v>
      </c>
      <c r="C1946" t="s">
        <v>40</v>
      </c>
      <c r="D1946">
        <v>3.3054299999999999</v>
      </c>
      <c r="E1946">
        <v>0.48955389999999999</v>
      </c>
      <c r="F1946" t="s">
        <v>48</v>
      </c>
      <c r="G1946">
        <v>-280.2045</v>
      </c>
      <c r="H1946" s="1">
        <v>9.0561880000000003E-6</v>
      </c>
      <c r="I1946">
        <v>281.0127</v>
      </c>
      <c r="J1946">
        <v>-251.70509999999999</v>
      </c>
      <c r="K1946">
        <v>1.1069450000000001</v>
      </c>
      <c r="L1946">
        <v>281.74829999999997</v>
      </c>
      <c r="M1946">
        <v>-0.99914709999999995</v>
      </c>
      <c r="N1946">
        <v>0</v>
      </c>
      <c r="O1946">
        <v>-4.0905249999999997E-2</v>
      </c>
      <c r="P1946">
        <v>-0.98598490000000005</v>
      </c>
      <c r="Q1946">
        <v>0.16610079999999999</v>
      </c>
      <c r="R1946">
        <v>1.5644450000000001E-2</v>
      </c>
      <c r="S1946">
        <v>-3.0629430000000002</v>
      </c>
      <c r="T1946">
        <v>-0.1174254</v>
      </c>
      <c r="U1946">
        <v>-7.9559329999999998E-2</v>
      </c>
      <c r="V1946">
        <v>5.6772639999999999E-2</v>
      </c>
      <c r="W1946">
        <v>0.1714067</v>
      </c>
      <c r="X1946">
        <v>0.98356319999999997</v>
      </c>
      <c r="Y1946">
        <v>1.4906849999999999E-2</v>
      </c>
      <c r="Z1946">
        <v>1.8524450000000001E-3</v>
      </c>
      <c r="AA1946">
        <v>0.99988719999999998</v>
      </c>
      <c r="AB1946">
        <v>37</v>
      </c>
      <c r="AC1946">
        <v>-28.499400000000001</v>
      </c>
      <c r="AD1946">
        <v>-1.1069359438119999</v>
      </c>
      <c r="AE1946">
        <v>-0.73559999999997605</v>
      </c>
      <c r="AF1946">
        <v>0.43016082439587899</v>
      </c>
      <c r="AG1946">
        <v>-1.1069359438119999</v>
      </c>
      <c r="AH1946">
        <v>28.4627262519796</v>
      </c>
      <c r="AI1946">
        <v>92.226897729083106</v>
      </c>
      <c r="AJ1946">
        <v>89.134147469866505</v>
      </c>
      <c r="AK1946">
        <v>28.487490784793099</v>
      </c>
      <c r="AL1946">
        <v>80.130382151421003</v>
      </c>
      <c r="AM1946">
        <v>86.696473275551597</v>
      </c>
      <c r="AN1946">
        <v>0.99999997892584902</v>
      </c>
    </row>
    <row r="1947" spans="1:40" x14ac:dyDescent="0.25">
      <c r="A1947" t="str">
        <f>"20190312172930304"</f>
        <v>20190312172930304</v>
      </c>
      <c r="B1947" t="str">
        <f>"1552382970299365"</f>
        <v>1552382970299365</v>
      </c>
      <c r="C1947" t="s">
        <v>40</v>
      </c>
      <c r="D1947">
        <v>3.2734999999999999</v>
      </c>
      <c r="E1947">
        <v>0.48946299999999998</v>
      </c>
      <c r="F1947" t="s">
        <v>48</v>
      </c>
      <c r="G1947">
        <v>-281.27330000000001</v>
      </c>
      <c r="H1947" s="1">
        <v>8.5780970000000002E-6</v>
      </c>
      <c r="I1947">
        <v>281.03269999999998</v>
      </c>
      <c r="J1947">
        <v>-252.0616</v>
      </c>
      <c r="K1947">
        <v>1.1068260000000001</v>
      </c>
      <c r="L1947">
        <v>281.7355</v>
      </c>
      <c r="M1947">
        <v>-0.99923839999999997</v>
      </c>
      <c r="N1947">
        <v>0</v>
      </c>
      <c r="O1947">
        <v>-3.8609919999999999E-2</v>
      </c>
      <c r="P1947">
        <v>-0.98585339999999999</v>
      </c>
      <c r="Q1947">
        <v>0.16668959999999999</v>
      </c>
      <c r="R1947">
        <v>1.755143E-2</v>
      </c>
      <c r="S1947">
        <v>-3.0631409999999999</v>
      </c>
      <c r="T1947">
        <v>-0.1146739</v>
      </c>
      <c r="U1947">
        <v>-7.4127199999999893E-2</v>
      </c>
      <c r="V1947">
        <v>5.6461989999999997E-2</v>
      </c>
      <c r="W1947">
        <v>0.1720013</v>
      </c>
      <c r="X1947">
        <v>0.9834773</v>
      </c>
      <c r="Y1947">
        <v>1.4387540000000001E-2</v>
      </c>
      <c r="Z1947">
        <v>1.7134730000000001E-3</v>
      </c>
      <c r="AA1947">
        <v>0.99989499999999998</v>
      </c>
      <c r="AB1947">
        <v>37</v>
      </c>
      <c r="AC1947">
        <v>-29.2117</v>
      </c>
      <c r="AD1947">
        <v>-1.106817421903</v>
      </c>
      <c r="AE1947">
        <v>-0.70280000000002396</v>
      </c>
      <c r="AF1947">
        <v>0.42499366492762702</v>
      </c>
      <c r="AG1947">
        <v>-1.106817421903</v>
      </c>
      <c r="AH1947">
        <v>29.175193203546101</v>
      </c>
      <c r="AI1947">
        <v>92.1723541711563</v>
      </c>
      <c r="AJ1947">
        <v>89.165434106293603</v>
      </c>
      <c r="AK1947">
        <v>29.199273328028202</v>
      </c>
      <c r="AL1947">
        <v>80.095800719583593</v>
      </c>
      <c r="AM1947">
        <v>86.714223554297902</v>
      </c>
      <c r="AN1947">
        <v>1.0000000015658601</v>
      </c>
    </row>
    <row r="1948" spans="1:40" x14ac:dyDescent="0.25">
      <c r="A1948" t="str">
        <f>"20190312172930325"</f>
        <v>20190312172930325</v>
      </c>
      <c r="B1948" t="str">
        <f>"1552382970319861"</f>
        <v>1552382970319861</v>
      </c>
      <c r="C1948" t="s">
        <v>40</v>
      </c>
      <c r="D1948">
        <v>3.290308</v>
      </c>
      <c r="E1948">
        <v>0.48937439999999999</v>
      </c>
      <c r="F1948" t="s">
        <v>48</v>
      </c>
      <c r="G1948">
        <v>-281.64690000000002</v>
      </c>
      <c r="H1948" s="1">
        <v>8.4060170000000003E-6</v>
      </c>
      <c r="I1948">
        <v>281.06360000000001</v>
      </c>
      <c r="J1948">
        <v>-252.4246</v>
      </c>
      <c r="K1948">
        <v>1.10673</v>
      </c>
      <c r="L1948">
        <v>281.72340000000003</v>
      </c>
      <c r="M1948">
        <v>-0.99932719999999997</v>
      </c>
      <c r="N1948">
        <v>0</v>
      </c>
      <c r="O1948">
        <v>-3.6230579999999998E-2</v>
      </c>
      <c r="P1948">
        <v>-0.9857186</v>
      </c>
      <c r="Q1948">
        <v>0.167285299999999</v>
      </c>
      <c r="R1948">
        <v>1.935477E-2</v>
      </c>
      <c r="S1948">
        <v>-3.0636749999999999</v>
      </c>
      <c r="T1948">
        <v>-0.11461540000000001</v>
      </c>
      <c r="U1948">
        <v>-6.9580080000000002E-2</v>
      </c>
      <c r="V1948">
        <v>5.5957630000000001E-2</v>
      </c>
      <c r="W1948">
        <v>0.17260729999999999</v>
      </c>
      <c r="X1948">
        <v>0.98339989999999999</v>
      </c>
      <c r="Y1948">
        <v>1.349653E-2</v>
      </c>
      <c r="Z1948">
        <v>1.606777E-3</v>
      </c>
      <c r="AA1948">
        <v>0.99990760000000001</v>
      </c>
      <c r="AB1948">
        <v>37</v>
      </c>
      <c r="AC1948">
        <v>-29.222300000000001</v>
      </c>
      <c r="AD1948">
        <v>-1.106721593983</v>
      </c>
      <c r="AE1948">
        <v>-0.65980000000001804</v>
      </c>
      <c r="AF1948">
        <v>0.39881953412548699</v>
      </c>
      <c r="AG1948">
        <v>-1.106721593983</v>
      </c>
      <c r="AH1948">
        <v>29.185179263264398</v>
      </c>
      <c r="AI1948">
        <v>92.1714513588865</v>
      </c>
      <c r="AJ1948">
        <v>89.217093933265105</v>
      </c>
      <c r="AK1948">
        <v>29.208878416267002</v>
      </c>
      <c r="AL1948">
        <v>80.060551773767699</v>
      </c>
      <c r="AM1948">
        <v>86.743255316843104</v>
      </c>
      <c r="AN1948">
        <v>0.999999949844257</v>
      </c>
    </row>
    <row r="1949" spans="1:40" x14ac:dyDescent="0.25">
      <c r="A1949" t="str">
        <f>"20190312172930351"</f>
        <v>20190312172930351</v>
      </c>
      <c r="B1949" t="str">
        <f>"1552382970339381"</f>
        <v>1552382970339381</v>
      </c>
      <c r="C1949" t="s">
        <v>40</v>
      </c>
      <c r="D1949">
        <v>3.3208150000000001</v>
      </c>
      <c r="E1949">
        <v>0.48926009999999998</v>
      </c>
      <c r="F1949" t="s">
        <v>48</v>
      </c>
      <c r="G1949">
        <v>-282.18610000000001</v>
      </c>
      <c r="H1949" s="1">
        <v>8.1594989999999993E-6</v>
      </c>
      <c r="I1949">
        <v>281.0994</v>
      </c>
      <c r="J1949">
        <v>-252.834</v>
      </c>
      <c r="K1949">
        <v>1.1066450000000001</v>
      </c>
      <c r="L1949">
        <v>281.71080000000001</v>
      </c>
      <c r="M1949">
        <v>-0.99942180000000003</v>
      </c>
      <c r="N1949">
        <v>0</v>
      </c>
      <c r="O1949">
        <v>-3.3518319999999997E-2</v>
      </c>
      <c r="P1949">
        <v>-0.98548939999999996</v>
      </c>
      <c r="Q1949">
        <v>0.16838449999999999</v>
      </c>
      <c r="R1949">
        <v>2.1387360000000001E-2</v>
      </c>
      <c r="S1949">
        <v>-3.0640719999999999</v>
      </c>
      <c r="T1949">
        <v>-0.11394170000000001</v>
      </c>
      <c r="U1949">
        <v>-6.4239500000000005E-2</v>
      </c>
      <c r="V1949">
        <v>5.5351209999999998E-2</v>
      </c>
      <c r="W1949">
        <v>0.17372119999999999</v>
      </c>
      <c r="X1949">
        <v>0.9832381</v>
      </c>
      <c r="Y1949">
        <v>1.2530680000000001E-2</v>
      </c>
      <c r="Z1949">
        <v>1.478472E-3</v>
      </c>
      <c r="AA1949">
        <v>0.99992040000000004</v>
      </c>
      <c r="AB1949">
        <v>37</v>
      </c>
      <c r="AC1949">
        <v>-29.3521</v>
      </c>
      <c r="AD1949">
        <v>-1.1066368405010001</v>
      </c>
      <c r="AE1949">
        <v>-0.61140000000000305</v>
      </c>
      <c r="AF1949">
        <v>0.37226374109530203</v>
      </c>
      <c r="AG1949">
        <v>-1.1066368405010001</v>
      </c>
      <c r="AH1949">
        <v>29.314449066391401</v>
      </c>
      <c r="AI1949">
        <v>92.161746976036497</v>
      </c>
      <c r="AJ1949">
        <v>89.272440878873695</v>
      </c>
      <c r="AK1949">
        <v>29.337691617708099</v>
      </c>
      <c r="AL1949">
        <v>79.995751421670505</v>
      </c>
      <c r="AM1949">
        <v>86.7779453202686</v>
      </c>
      <c r="AN1949">
        <v>0.99999998653475697</v>
      </c>
    </row>
    <row r="1950" spans="1:40" x14ac:dyDescent="0.25">
      <c r="A1950" t="str">
        <f>"20190312172930372"</f>
        <v>20190312172930372</v>
      </c>
      <c r="B1950" t="str">
        <f>"1552382970369273"</f>
        <v>1552382970369273</v>
      </c>
      <c r="C1950" t="s">
        <v>40</v>
      </c>
      <c r="D1950">
        <v>3.331715</v>
      </c>
      <c r="E1950">
        <v>0.488894</v>
      </c>
      <c r="F1950" t="s">
        <v>48</v>
      </c>
      <c r="G1950">
        <v>-283.36219999999997</v>
      </c>
      <c r="H1950" s="1">
        <v>7.6319379999999995E-6</v>
      </c>
      <c r="I1950">
        <v>281.12860000000001</v>
      </c>
      <c r="J1950">
        <v>-253.19489999999999</v>
      </c>
      <c r="K1950">
        <v>1.1065769999999999</v>
      </c>
      <c r="L1950">
        <v>281.70060000000001</v>
      </c>
      <c r="M1950">
        <v>-0.99949940000000004</v>
      </c>
      <c r="N1950">
        <v>0</v>
      </c>
      <c r="O1950">
        <v>-3.1113149999999999E-2</v>
      </c>
      <c r="P1950">
        <v>-0.98517529999999998</v>
      </c>
      <c r="Q1950">
        <v>0.16995839999999901</v>
      </c>
      <c r="R1950">
        <v>2.3322490000000001E-2</v>
      </c>
      <c r="S1950">
        <v>-3.0644230000000001</v>
      </c>
      <c r="T1950">
        <v>-0.1110843</v>
      </c>
      <c r="U1950">
        <v>-5.8441159999999999E-2</v>
      </c>
      <c r="V1950">
        <v>5.4941950000000003E-2</v>
      </c>
      <c r="W1950">
        <v>0.1753082</v>
      </c>
      <c r="X1950">
        <v>0.98297939999999995</v>
      </c>
      <c r="Y1950">
        <v>1.2021540000000001E-2</v>
      </c>
      <c r="Z1950">
        <v>1.344965E-3</v>
      </c>
      <c r="AA1950">
        <v>0.9999268</v>
      </c>
      <c r="AB1950">
        <v>37</v>
      </c>
      <c r="AC1950">
        <v>-30.167299999999901</v>
      </c>
      <c r="AD1950">
        <v>-1.1065693680619999</v>
      </c>
      <c r="AE1950">
        <v>-0.57200000000000195</v>
      </c>
      <c r="AF1950">
        <v>0.36639929864902798</v>
      </c>
      <c r="AG1950">
        <v>-1.1065693680619999</v>
      </c>
      <c r="AH1950">
        <v>30.1299662358612</v>
      </c>
      <c r="AI1950">
        <v>92.103174949328903</v>
      </c>
      <c r="AJ1950">
        <v>89.303281705360703</v>
      </c>
      <c r="AK1950">
        <v>30.152505859157401</v>
      </c>
      <c r="AL1950">
        <v>79.903406490338796</v>
      </c>
      <c r="AM1950">
        <v>86.800879179278397</v>
      </c>
      <c r="AN1950">
        <v>1.0000000418407</v>
      </c>
    </row>
    <row r="1951" spans="1:40" x14ac:dyDescent="0.25">
      <c r="A1951" t="str">
        <f>"20190312172930393"</f>
        <v>20190312172930393</v>
      </c>
      <c r="B1951" t="str">
        <f>"1552382970389754"</f>
        <v>1552382970389754</v>
      </c>
      <c r="C1951" t="s">
        <v>40</v>
      </c>
      <c r="D1951">
        <v>3.2945310000000001</v>
      </c>
      <c r="E1951">
        <v>0.4886916</v>
      </c>
      <c r="F1951" t="s">
        <v>48</v>
      </c>
      <c r="G1951">
        <v>-285.51319999999998</v>
      </c>
      <c r="H1951" s="1">
        <v>6.6816980000000003E-6</v>
      </c>
      <c r="I1951">
        <v>281.11099999999999</v>
      </c>
      <c r="J1951">
        <v>-253.56200000000001</v>
      </c>
      <c r="K1951">
        <v>1.106525</v>
      </c>
      <c r="L1951">
        <v>281.69119999999998</v>
      </c>
      <c r="M1951">
        <v>-0.99957249999999997</v>
      </c>
      <c r="N1951">
        <v>0</v>
      </c>
      <c r="O1951">
        <v>-2.8661369999999999E-2</v>
      </c>
      <c r="P1951">
        <v>-0.98496470000000003</v>
      </c>
      <c r="Q1951">
        <v>0.1708961</v>
      </c>
      <c r="R1951">
        <v>2.5282840000000001E-2</v>
      </c>
      <c r="S1951">
        <v>-3.0645600000000002</v>
      </c>
      <c r="T1951">
        <v>-0.10492990000000001</v>
      </c>
      <c r="U1951">
        <v>-5.5908199999999998E-2</v>
      </c>
      <c r="V1951">
        <v>5.4509670000000003E-2</v>
      </c>
      <c r="W1951">
        <v>0.17626159999999999</v>
      </c>
      <c r="X1951">
        <v>0.98283290000000001</v>
      </c>
      <c r="Y1951">
        <v>1.0401270000000001E-2</v>
      </c>
      <c r="Z1951">
        <v>1.158844E-3</v>
      </c>
      <c r="AA1951">
        <v>0.99994519999999998</v>
      </c>
      <c r="AB1951">
        <v>37</v>
      </c>
      <c r="AC1951">
        <v>-31.951199999999901</v>
      </c>
      <c r="AD1951">
        <v>-1.106518318302</v>
      </c>
      <c r="AE1951">
        <v>-0.58019999999998995</v>
      </c>
      <c r="AF1951">
        <v>0.33541665280147398</v>
      </c>
      <c r="AG1951">
        <v>-1.106518318302</v>
      </c>
      <c r="AH1951">
        <v>31.9164368382372</v>
      </c>
      <c r="AI1951">
        <v>91.985495776157805</v>
      </c>
      <c r="AJ1951">
        <v>89.397888579222695</v>
      </c>
      <c r="AK1951">
        <v>31.9373735233331</v>
      </c>
      <c r="AL1951">
        <v>79.847916031116</v>
      </c>
      <c r="AM1951">
        <v>86.825525858868104</v>
      </c>
      <c r="AN1951">
        <v>0.99999998254023903</v>
      </c>
    </row>
    <row r="1952" spans="1:40" x14ac:dyDescent="0.25">
      <c r="A1952" t="str">
        <f>"20190312172930416"</f>
        <v>20190312172930416</v>
      </c>
      <c r="B1952" t="str">
        <f>"1552382970409275"</f>
        <v>1552382970409275</v>
      </c>
      <c r="C1952" t="s">
        <v>40</v>
      </c>
      <c r="D1952">
        <v>3.3344260000000001</v>
      </c>
      <c r="E1952">
        <v>0.4885253</v>
      </c>
      <c r="F1952" t="s">
        <v>48</v>
      </c>
      <c r="G1952">
        <v>-286.8605</v>
      </c>
      <c r="H1952" s="1">
        <v>6.0796360000000003E-6</v>
      </c>
      <c r="I1952">
        <v>281.13310000000001</v>
      </c>
      <c r="J1952">
        <v>-253.92830000000001</v>
      </c>
      <c r="K1952">
        <v>1.106482</v>
      </c>
      <c r="L1952">
        <v>281.68259999999998</v>
      </c>
      <c r="M1952">
        <v>-0.99963959999999996</v>
      </c>
      <c r="N1952">
        <v>0</v>
      </c>
      <c r="O1952">
        <v>-2.621449E-2</v>
      </c>
      <c r="P1952">
        <v>-0.9846608</v>
      </c>
      <c r="Q1952">
        <v>0.172354799999999</v>
      </c>
      <c r="R1952">
        <v>2.715041E-2</v>
      </c>
      <c r="S1952">
        <v>-3.0647739999999999</v>
      </c>
      <c r="T1952">
        <v>-0.10184310000000001</v>
      </c>
      <c r="U1952">
        <v>-5.1361080000000003E-2</v>
      </c>
      <c r="V1952">
        <v>5.3988439999999999E-2</v>
      </c>
      <c r="W1952">
        <v>0.17773710000000001</v>
      </c>
      <c r="X1952">
        <v>0.98259589999999997</v>
      </c>
      <c r="Y1952">
        <v>9.4411619999999995E-3</v>
      </c>
      <c r="Z1952">
        <v>1.027516E-3</v>
      </c>
      <c r="AA1952">
        <v>0.99995489999999998</v>
      </c>
      <c r="AB1952">
        <v>37</v>
      </c>
      <c r="AC1952">
        <v>-32.932199999999902</v>
      </c>
      <c r="AD1952">
        <v>-1.106475920364</v>
      </c>
      <c r="AE1952">
        <v>-0.54949999999996602</v>
      </c>
      <c r="AF1952">
        <v>0.313650151894865</v>
      </c>
      <c r="AG1952">
        <v>-1.106475920364</v>
      </c>
      <c r="AH1952">
        <v>32.898160002349101</v>
      </c>
      <c r="AI1952">
        <v>91.926236422545799</v>
      </c>
      <c r="AJ1952">
        <v>89.453760165320503</v>
      </c>
      <c r="AK1952">
        <v>32.918256286144498</v>
      </c>
      <c r="AL1952">
        <v>79.762019705208303</v>
      </c>
      <c r="AM1952">
        <v>86.855062633442401</v>
      </c>
      <c r="AN1952">
        <v>0.99999996553342596</v>
      </c>
    </row>
    <row r="1953" spans="1:40" x14ac:dyDescent="0.25">
      <c r="A1953" t="str">
        <f>"20190312172930439"</f>
        <v>20190312172930439</v>
      </c>
      <c r="B1953" t="str">
        <f>"1552382970429771"</f>
        <v>1552382970429771</v>
      </c>
      <c r="C1953" t="s">
        <v>40</v>
      </c>
      <c r="D1953">
        <v>3.3576329999999999</v>
      </c>
      <c r="E1953">
        <v>0.48829470000000003</v>
      </c>
      <c r="F1953" t="s">
        <v>48</v>
      </c>
      <c r="G1953">
        <v>-288.91269999999997</v>
      </c>
      <c r="H1953" s="1">
        <v>5.1681989999999997E-6</v>
      </c>
      <c r="I1953">
        <v>281.13990000000001</v>
      </c>
      <c r="J1953">
        <v>-254.32060000000001</v>
      </c>
      <c r="K1953">
        <v>1.10643799999999</v>
      </c>
      <c r="L1953">
        <v>281.67439999999999</v>
      </c>
      <c r="M1953">
        <v>-0.9997047</v>
      </c>
      <c r="N1953">
        <v>0</v>
      </c>
      <c r="O1953">
        <v>-2.3595109999999999E-2</v>
      </c>
      <c r="P1953">
        <v>-0.98445340000000003</v>
      </c>
      <c r="Q1953">
        <v>0.1731984</v>
      </c>
      <c r="R1953">
        <v>2.9223180000000001E-2</v>
      </c>
      <c r="S1953">
        <v>-3.0650019999999998</v>
      </c>
      <c r="T1953">
        <v>-9.6939090000000006E-2</v>
      </c>
      <c r="U1953">
        <v>-4.7546390000000001E-2</v>
      </c>
      <c r="V1953">
        <v>5.3501960000000001E-2</v>
      </c>
      <c r="W1953">
        <v>0.17860000000000001</v>
      </c>
      <c r="X1953">
        <v>0.98246610000000001</v>
      </c>
      <c r="Y1953">
        <v>8.0703519999999994E-3</v>
      </c>
      <c r="Z1953">
        <v>8.7353910000000003E-4</v>
      </c>
      <c r="AA1953">
        <v>0.99996700000000005</v>
      </c>
      <c r="AB1953">
        <v>38</v>
      </c>
      <c r="AC1953">
        <v>-34.592099999999903</v>
      </c>
      <c r="AD1953">
        <v>-1.1064328318009899</v>
      </c>
      <c r="AE1953">
        <v>-0.53449999999997999</v>
      </c>
      <c r="AF1953">
        <v>0.28157900352225301</v>
      </c>
      <c r="AG1953">
        <v>-1.1064328318009899</v>
      </c>
      <c r="AH1953">
        <v>34.559733070697099</v>
      </c>
      <c r="AI1953">
        <v>91.833642175222806</v>
      </c>
      <c r="AJ1953">
        <v>89.533187033356796</v>
      </c>
      <c r="AK1953">
        <v>34.578586296497797</v>
      </c>
      <c r="AL1953">
        <v>79.711775918454904</v>
      </c>
      <c r="AM1953">
        <v>86.882934020780198</v>
      </c>
      <c r="AN1953">
        <v>1.00000002868652</v>
      </c>
    </row>
    <row r="1954" spans="1:40" x14ac:dyDescent="0.25">
      <c r="A1954" t="str">
        <f>"20190312172930451"</f>
        <v>20190312172930451</v>
      </c>
      <c r="B1954" t="str">
        <f>"1552382970439531"</f>
        <v>1552382970439531</v>
      </c>
      <c r="C1954" t="s">
        <v>40</v>
      </c>
      <c r="D1954">
        <v>3.3227280000000001</v>
      </c>
      <c r="E1954">
        <v>0.48817840000000001</v>
      </c>
      <c r="F1954" t="s">
        <v>48</v>
      </c>
      <c r="G1954">
        <v>-290.18520000000001</v>
      </c>
      <c r="H1954" s="1">
        <v>2.5396530000000002E-6</v>
      </c>
      <c r="I1954">
        <v>281.17270000000002</v>
      </c>
      <c r="J1954">
        <v>-254.53749999999999</v>
      </c>
      <c r="K1954">
        <v>1.1064149999999999</v>
      </c>
      <c r="L1954">
        <v>281.6703</v>
      </c>
      <c r="M1954">
        <v>-0.99973780000000001</v>
      </c>
      <c r="N1954">
        <v>0</v>
      </c>
      <c r="O1954">
        <v>-2.2147549999999998E-2</v>
      </c>
      <c r="P1954">
        <v>-0.98436239999999997</v>
      </c>
      <c r="Q1954">
        <v>0.17353379999999999</v>
      </c>
      <c r="R1954">
        <v>3.028016E-2</v>
      </c>
      <c r="S1954">
        <v>-3.065277</v>
      </c>
      <c r="T1954">
        <v>-9.4564800000000004E-2</v>
      </c>
      <c r="U1954">
        <v>-4.2877199999999997E-2</v>
      </c>
      <c r="V1954">
        <v>5.3143639999999999E-2</v>
      </c>
      <c r="W1954">
        <v>0.1789471</v>
      </c>
      <c r="X1954">
        <v>0.98242240000000003</v>
      </c>
      <c r="Y1954">
        <v>8.14812E-3</v>
      </c>
      <c r="Z1954">
        <v>8.0865669999999996E-4</v>
      </c>
      <c r="AA1954">
        <v>0.99996649999999998</v>
      </c>
      <c r="AB1954">
        <v>38</v>
      </c>
      <c r="AC1954">
        <v>-35.6477</v>
      </c>
      <c r="AD1954">
        <v>-1.106412460347</v>
      </c>
      <c r="AE1954">
        <v>-0.49759999999997701</v>
      </c>
      <c r="AF1954">
        <v>0.29176361966759401</v>
      </c>
      <c r="AG1954">
        <v>-1.106412460347</v>
      </c>
      <c r="AH1954">
        <v>35.6156739441209</v>
      </c>
      <c r="AI1954">
        <v>91.779280067501603</v>
      </c>
      <c r="AJ1954">
        <v>89.530643443259606</v>
      </c>
      <c r="AK1954">
        <v>35.6340497984176</v>
      </c>
      <c r="AL1954">
        <v>79.691563061581405</v>
      </c>
      <c r="AM1954">
        <v>86.903631810673303</v>
      </c>
      <c r="AN1954">
        <v>1.0000000415463</v>
      </c>
    </row>
    <row r="1955" spans="1:40" x14ac:dyDescent="0.25">
      <c r="A1955" t="str">
        <f>"20190312172930471"</f>
        <v>20190312172930471</v>
      </c>
      <c r="B1955" t="str">
        <f>"1552382970459051"</f>
        <v>1552382970459051</v>
      </c>
      <c r="C1955" t="s">
        <v>40</v>
      </c>
      <c r="D1955">
        <v>3.402717</v>
      </c>
      <c r="E1955">
        <v>0.48795630000000001</v>
      </c>
      <c r="F1955" t="s">
        <v>48</v>
      </c>
      <c r="G1955">
        <v>-290.62430000000001</v>
      </c>
      <c r="H1955" s="1">
        <v>2.6153990000000002E-6</v>
      </c>
      <c r="I1955">
        <v>281.19720000000001</v>
      </c>
      <c r="J1955">
        <v>-254.87119999999999</v>
      </c>
      <c r="K1955">
        <v>1.106385</v>
      </c>
      <c r="L1955">
        <v>281.66469999999998</v>
      </c>
      <c r="M1955">
        <v>-0.99978460000000002</v>
      </c>
      <c r="N1955">
        <v>0</v>
      </c>
      <c r="O1955">
        <v>-1.9922039999999998E-2</v>
      </c>
      <c r="P1955">
        <v>-0.98423590000000005</v>
      </c>
      <c r="Q1955">
        <v>0.17406050000000001</v>
      </c>
      <c r="R1955">
        <v>3.1350799999999998E-2</v>
      </c>
      <c r="S1955">
        <v>-3.0654599999999999</v>
      </c>
      <c r="T1955">
        <v>-9.3986269999999997E-2</v>
      </c>
      <c r="U1955">
        <v>-4.0191650000000002E-2</v>
      </c>
      <c r="V1955">
        <v>5.2038550000000003E-2</v>
      </c>
      <c r="W1955">
        <v>0.17949599999999999</v>
      </c>
      <c r="X1955">
        <v>0.98238139999999996</v>
      </c>
      <c r="Y1955">
        <v>6.8007120000000004E-3</v>
      </c>
      <c r="Z1955">
        <v>7.148206E-4</v>
      </c>
      <c r="AA1955">
        <v>0.99997659999999999</v>
      </c>
      <c r="AB1955">
        <v>38</v>
      </c>
      <c r="AC1955">
        <v>-35.753100000000003</v>
      </c>
      <c r="AD1955">
        <v>-1.1063823846009999</v>
      </c>
      <c r="AE1955">
        <v>-0.46749999999997199</v>
      </c>
      <c r="AF1955">
        <v>0.244645302662169</v>
      </c>
      <c r="AG1955">
        <v>-1.1063823846009999</v>
      </c>
      <c r="AH1955">
        <v>35.721117172117197</v>
      </c>
      <c r="AI1955">
        <v>91.774000983250005</v>
      </c>
      <c r="AJ1955">
        <v>89.6076011817173</v>
      </c>
      <c r="AK1955">
        <v>35.739084282186099</v>
      </c>
      <c r="AL1955">
        <v>79.659595592699503</v>
      </c>
      <c r="AM1955">
        <v>86.967771196312199</v>
      </c>
      <c r="AN1955">
        <v>1.00000001988403</v>
      </c>
    </row>
    <row r="1956" spans="1:40" x14ac:dyDescent="0.25">
      <c r="A1956" t="str">
        <f>"20190312172930492"</f>
        <v>20190312172930492</v>
      </c>
      <c r="B1956" t="str">
        <f>"1552382970488977"</f>
        <v>1552382970488977</v>
      </c>
      <c r="C1956" t="s">
        <v>40</v>
      </c>
      <c r="D1956">
        <v>3.343124</v>
      </c>
      <c r="E1956">
        <v>0.48254370000000002</v>
      </c>
      <c r="F1956" t="s">
        <v>48</v>
      </c>
      <c r="G1956">
        <v>-291.31509999999997</v>
      </c>
      <c r="H1956" s="1">
        <v>2.7370319999999998E-6</v>
      </c>
      <c r="I1956">
        <v>281.20760000000001</v>
      </c>
      <c r="J1956">
        <v>-255.23599999999999</v>
      </c>
      <c r="K1956">
        <v>1.1063540000000001</v>
      </c>
      <c r="L1956">
        <v>281.65940000000001</v>
      </c>
      <c r="M1956">
        <v>-0.99982990000000005</v>
      </c>
      <c r="N1956">
        <v>0</v>
      </c>
      <c r="O1956">
        <v>-1.7490889999999999E-2</v>
      </c>
      <c r="P1956">
        <v>-0.98391719999999905</v>
      </c>
      <c r="Q1956">
        <v>0.1755765</v>
      </c>
      <c r="R1956">
        <v>3.286364E-2</v>
      </c>
      <c r="S1956">
        <v>-3.06575</v>
      </c>
      <c r="T1956">
        <v>-9.3071580000000001E-2</v>
      </c>
      <c r="U1956">
        <v>-3.8452149999999997E-2</v>
      </c>
      <c r="V1956">
        <v>5.117609E-2</v>
      </c>
      <c r="W1956">
        <v>0.181034</v>
      </c>
      <c r="X1956">
        <v>0.98214449999999998</v>
      </c>
      <c r="Y1956">
        <v>4.9398990000000002E-3</v>
      </c>
      <c r="Z1956">
        <v>6.0579229999999996E-4</v>
      </c>
      <c r="AA1956">
        <v>0.99998759999999998</v>
      </c>
      <c r="AB1956">
        <v>38</v>
      </c>
      <c r="AC1956">
        <v>-36.079099999999897</v>
      </c>
      <c r="AD1956">
        <v>-1.1063512629679999</v>
      </c>
      <c r="AE1956">
        <v>-0.45179999999999099</v>
      </c>
      <c r="AF1956">
        <v>0.17916704325945801</v>
      </c>
      <c r="AG1956">
        <v>-1.1063512629679999</v>
      </c>
      <c r="AH1956">
        <v>36.047592166559603</v>
      </c>
      <c r="AI1956">
        <v>91.757914462566703</v>
      </c>
      <c r="AJ1956">
        <v>89.715225615402602</v>
      </c>
      <c r="AK1956">
        <v>36.065010951794598</v>
      </c>
      <c r="AL1956">
        <v>79.570007467677002</v>
      </c>
      <c r="AM1956">
        <v>87.017216322912404</v>
      </c>
      <c r="AN1956">
        <v>1.0000000601119601</v>
      </c>
    </row>
    <row r="1957" spans="1:40" x14ac:dyDescent="0.25">
      <c r="A1957" t="str">
        <f>"20190312172930505"</f>
        <v>20190312172930505</v>
      </c>
      <c r="B1957" t="str">
        <f>"1552382970499713"</f>
        <v>1552382970499713</v>
      </c>
      <c r="C1957" t="s">
        <v>40</v>
      </c>
      <c r="D1957">
        <v>3.3305560000000001</v>
      </c>
      <c r="E1957">
        <v>0.48249069999999999</v>
      </c>
      <c r="F1957" t="s">
        <v>48</v>
      </c>
      <c r="G1957">
        <v>-283.3098</v>
      </c>
      <c r="H1957" s="1">
        <v>7.6948899999999906E-6</v>
      </c>
      <c r="I1957">
        <v>280.93650000000002</v>
      </c>
      <c r="J1957">
        <v>-255.4504</v>
      </c>
      <c r="K1957">
        <v>1.1063419999999999</v>
      </c>
      <c r="L1957">
        <v>281.65649999999999</v>
      </c>
      <c r="M1957">
        <v>-0.99985380000000001</v>
      </c>
      <c r="N1957">
        <v>0</v>
      </c>
      <c r="O1957">
        <v>-1.606194E-2</v>
      </c>
      <c r="P1957">
        <v>-0.98377539999999997</v>
      </c>
      <c r="Q1957">
        <v>0.1761646</v>
      </c>
      <c r="R1957">
        <v>3.3942899999999998E-2</v>
      </c>
      <c r="S1957">
        <v>-3.0733030000000001</v>
      </c>
      <c r="T1957">
        <v>-0.1211144</v>
      </c>
      <c r="U1957">
        <v>-7.9132079999999994E-2</v>
      </c>
      <c r="V1957">
        <v>5.0858220000000003E-2</v>
      </c>
      <c r="W1957">
        <v>0.1816342</v>
      </c>
      <c r="X1957">
        <v>0.98205010000000004</v>
      </c>
      <c r="Y1957">
        <v>-9.6844229999999993E-3</v>
      </c>
      <c r="Z1957">
        <v>4.4186600000000001E-4</v>
      </c>
      <c r="AA1957">
        <v>0.99995299999999998</v>
      </c>
      <c r="AB1957">
        <v>38</v>
      </c>
      <c r="AC1957">
        <v>-27.859399999999901</v>
      </c>
      <c r="AD1957">
        <v>-1.1063343051100001</v>
      </c>
      <c r="AE1957">
        <v>-0.71999999999997</v>
      </c>
      <c r="AF1957">
        <v>-0.27199476247586002</v>
      </c>
      <c r="AG1957">
        <v>-1.1063343051100001</v>
      </c>
      <c r="AH1957">
        <v>27.823522613342401</v>
      </c>
      <c r="AI1957">
        <v>92.276918282466497</v>
      </c>
      <c r="AJ1957">
        <v>90.560089236495699</v>
      </c>
      <c r="AK1957">
        <v>27.846837654582099</v>
      </c>
      <c r="AL1957">
        <v>79.535037862986897</v>
      </c>
      <c r="AM1957">
        <v>87.035425703235305</v>
      </c>
      <c r="AN1957">
        <v>0.99999997003060803</v>
      </c>
    </row>
    <row r="1958" spans="1:40" x14ac:dyDescent="0.25">
      <c r="A1958" t="str">
        <f>"20190312172930527"</f>
        <v>20190312172930527</v>
      </c>
      <c r="B1958" t="str">
        <f>"1552382970519236"</f>
        <v>1552382970519236</v>
      </c>
      <c r="C1958" t="s">
        <v>40</v>
      </c>
      <c r="D1958">
        <v>3.3039399999999999</v>
      </c>
      <c r="E1958">
        <v>0.4829329</v>
      </c>
      <c r="F1958" t="s">
        <v>48</v>
      </c>
      <c r="G1958">
        <v>-283.46300000000002</v>
      </c>
      <c r="H1958" s="1">
        <v>7.6230340000000002E-6</v>
      </c>
      <c r="I1958">
        <v>280.9554</v>
      </c>
      <c r="J1958">
        <v>-255.82320000000001</v>
      </c>
      <c r="K1958">
        <v>1.1063179999999999</v>
      </c>
      <c r="L1958">
        <v>281.65249999999997</v>
      </c>
      <c r="M1958">
        <v>-0.99989039999999996</v>
      </c>
      <c r="N1958">
        <v>0</v>
      </c>
      <c r="O1958">
        <v>-1.357833E-2</v>
      </c>
      <c r="P1958">
        <v>-0.98359850000000004</v>
      </c>
      <c r="Q1958">
        <v>0.17673220000000001</v>
      </c>
      <c r="R1958">
        <v>3.6052710000000002E-2</v>
      </c>
      <c r="S1958">
        <v>-3.0738829999999999</v>
      </c>
      <c r="T1958">
        <v>-0.12140049999999999</v>
      </c>
      <c r="U1958">
        <v>-7.6934810000000006E-2</v>
      </c>
      <c r="V1958">
        <v>5.0537470000000001E-2</v>
      </c>
      <c r="W1958">
        <v>0.1822222</v>
      </c>
      <c r="X1958">
        <v>0.98195779999999999</v>
      </c>
      <c r="Y1958">
        <v>-1.1445739999999999E-2</v>
      </c>
      <c r="Z1958">
        <v>3.1004989999999999E-4</v>
      </c>
      <c r="AA1958">
        <v>0.9999344</v>
      </c>
      <c r="AB1958">
        <v>38</v>
      </c>
      <c r="AC1958">
        <v>-27.639799999999902</v>
      </c>
      <c r="AD1958">
        <v>-1.1063103769660001</v>
      </c>
      <c r="AE1958">
        <v>-0.69709999999997696</v>
      </c>
      <c r="AF1958">
        <v>-0.32121259201146202</v>
      </c>
      <c r="AG1958">
        <v>-1.1063103769660001</v>
      </c>
      <c r="AH1958">
        <v>27.602524084260001</v>
      </c>
      <c r="AI1958">
        <v>92.295033652328598</v>
      </c>
      <c r="AJ1958">
        <v>90.666725082414999</v>
      </c>
      <c r="AK1958">
        <v>27.6265530966424</v>
      </c>
      <c r="AL1958">
        <v>79.500776958043204</v>
      </c>
      <c r="AM1958">
        <v>87.053813073976102</v>
      </c>
      <c r="AN1958">
        <v>1.0000000435138301</v>
      </c>
    </row>
    <row r="1959" spans="1:40" x14ac:dyDescent="0.25">
      <c r="A1959" t="str">
        <f>"20190312172930539"</f>
        <v>20190312172930539</v>
      </c>
      <c r="B1959" t="str">
        <f>"1552382970528993"</f>
        <v>1552382970528993</v>
      </c>
      <c r="C1959" t="s">
        <v>40</v>
      </c>
      <c r="D1959">
        <v>3.2912449999999902</v>
      </c>
      <c r="E1959">
        <v>0.48291099999999998</v>
      </c>
      <c r="F1959" t="s">
        <v>48</v>
      </c>
      <c r="G1959">
        <v>-283.38389999999998</v>
      </c>
      <c r="H1959" s="1">
        <v>7.6387270000000008E-6</v>
      </c>
      <c r="I1959">
        <v>281.04910000000001</v>
      </c>
      <c r="J1959">
        <v>-256.03930000000003</v>
      </c>
      <c r="K1959">
        <v>1.1063130000000001</v>
      </c>
      <c r="L1959">
        <v>281.6506</v>
      </c>
      <c r="M1959">
        <v>-0.99990889999999999</v>
      </c>
      <c r="N1959">
        <v>0</v>
      </c>
      <c r="O1959">
        <v>-1.2138639999999999E-2</v>
      </c>
      <c r="P1959">
        <v>-0.98351929999999999</v>
      </c>
      <c r="Q1959">
        <v>0.17695250000000001</v>
      </c>
      <c r="R1959">
        <v>3.7120019999999997E-2</v>
      </c>
      <c r="S1959">
        <v>-3.0746769999999999</v>
      </c>
      <c r="T1959">
        <v>-0.1234199</v>
      </c>
      <c r="U1959">
        <v>-6.7321779999999998E-2</v>
      </c>
      <c r="V1959">
        <v>5.0195289999999997E-2</v>
      </c>
      <c r="W1959">
        <v>0.1824557</v>
      </c>
      <c r="X1959">
        <v>0.98193200000000003</v>
      </c>
      <c r="Y1959">
        <v>-9.7546769999999998E-3</v>
      </c>
      <c r="Z1959">
        <v>2.9130550000000001E-4</v>
      </c>
      <c r="AA1959">
        <v>0.99995239999999996</v>
      </c>
      <c r="AB1959">
        <v>38</v>
      </c>
      <c r="AC1959">
        <v>-27.3445999999999</v>
      </c>
      <c r="AD1959">
        <v>-1.1063053612729901</v>
      </c>
      <c r="AE1959">
        <v>-0.60149999999998705</v>
      </c>
      <c r="AF1959">
        <v>-0.26908340970202899</v>
      </c>
      <c r="AG1959">
        <v>-1.1063053612729901</v>
      </c>
      <c r="AH1959">
        <v>27.305214089824599</v>
      </c>
      <c r="AI1959">
        <v>92.320029606042198</v>
      </c>
      <c r="AJ1959">
        <v>90.564611748157404</v>
      </c>
      <c r="AK1959">
        <v>27.328941324627198</v>
      </c>
      <c r="AL1959">
        <v>79.487170369043994</v>
      </c>
      <c r="AM1959">
        <v>87.0736496263672</v>
      </c>
      <c r="AN1959">
        <v>1.0000000511123299</v>
      </c>
    </row>
    <row r="1960" spans="1:40" x14ac:dyDescent="0.25">
      <c r="A1960" t="str">
        <f>"20190312172930562"</f>
        <v>20190312172930562</v>
      </c>
      <c r="B1960" t="str">
        <f>"1552382970559248"</f>
        <v>1552382970559248</v>
      </c>
      <c r="C1960" t="s">
        <v>40</v>
      </c>
      <c r="D1960">
        <v>3.351512</v>
      </c>
      <c r="E1960">
        <v>0.48277769999999998</v>
      </c>
      <c r="F1960" t="s">
        <v>48</v>
      </c>
      <c r="G1960">
        <v>-283.5659</v>
      </c>
      <c r="H1960" s="1">
        <v>7.552528E-6</v>
      </c>
      <c r="I1960">
        <v>281.07580000000002</v>
      </c>
      <c r="J1960">
        <v>-256.42649999999998</v>
      </c>
      <c r="K1960">
        <v>1.1062890000000001</v>
      </c>
      <c r="L1960">
        <v>281.64789999999999</v>
      </c>
      <c r="M1960">
        <v>-0.99993670000000001</v>
      </c>
      <c r="N1960">
        <v>0</v>
      </c>
      <c r="O1960">
        <v>-9.5599120000000003E-3</v>
      </c>
      <c r="P1960">
        <v>-0.98336230000000002</v>
      </c>
      <c r="Q1960">
        <v>0.1772898</v>
      </c>
      <c r="R1960">
        <v>3.9586570000000001E-2</v>
      </c>
      <c r="S1960">
        <v>-3.0749209999999998</v>
      </c>
      <c r="T1960">
        <v>-0.1235825</v>
      </c>
      <c r="U1960">
        <v>-6.4208979999999999E-2</v>
      </c>
      <c r="V1960">
        <v>5.0136399999999998E-2</v>
      </c>
      <c r="W1960">
        <v>0.18281330000000001</v>
      </c>
      <c r="X1960">
        <v>0.98186839999999997</v>
      </c>
      <c r="Y1960">
        <v>-1.131659E-2</v>
      </c>
      <c r="Z1960">
        <v>1.5672019999999999E-4</v>
      </c>
      <c r="AA1960">
        <v>0.99993589999999999</v>
      </c>
      <c r="AB1960">
        <v>38</v>
      </c>
      <c r="AC1960">
        <v>-27.139399999999998</v>
      </c>
      <c r="AD1960">
        <v>-1.10628144747199</v>
      </c>
      <c r="AE1960">
        <v>-0.57209999999997696</v>
      </c>
      <c r="AF1960">
        <v>-0.31210065189376901</v>
      </c>
      <c r="AG1960">
        <v>-1.10628144747199</v>
      </c>
      <c r="AH1960">
        <v>27.098621574462801</v>
      </c>
      <c r="AI1960">
        <v>92.337605376919797</v>
      </c>
      <c r="AJ1960">
        <v>90.659858638504105</v>
      </c>
      <c r="AK1960">
        <v>27.1229894497983</v>
      </c>
      <c r="AL1960">
        <v>79.466329906587305</v>
      </c>
      <c r="AM1960">
        <v>87.076887912784301</v>
      </c>
      <c r="AN1960">
        <v>0.99999995809020403</v>
      </c>
    </row>
    <row r="1961" spans="1:40" x14ac:dyDescent="0.25">
      <c r="A1961" t="str">
        <f>"20190312172930583"</f>
        <v>20190312172930583</v>
      </c>
      <c r="B1961" t="str">
        <f>"1552382970579013"</f>
        <v>1552382970579013</v>
      </c>
      <c r="C1961" t="s">
        <v>40</v>
      </c>
      <c r="D1961">
        <v>3.3784010000000002</v>
      </c>
      <c r="E1961">
        <v>0.48500470000000001</v>
      </c>
      <c r="F1961" t="s">
        <v>48</v>
      </c>
      <c r="G1961">
        <v>-283.49560000000002</v>
      </c>
      <c r="H1961" s="1">
        <v>7.570402E-6</v>
      </c>
      <c r="I1961">
        <v>281.14</v>
      </c>
      <c r="J1961">
        <v>-256.78890000000001</v>
      </c>
      <c r="K1961">
        <v>1.106274</v>
      </c>
      <c r="L1961">
        <v>281.64640000000003</v>
      </c>
      <c r="M1961">
        <v>-0.99995659999999997</v>
      </c>
      <c r="N1961">
        <v>0</v>
      </c>
      <c r="O1961">
        <v>-7.1468779999999997E-3</v>
      </c>
      <c r="P1961">
        <v>-0.98304210000000003</v>
      </c>
      <c r="Q1961">
        <v>0.17840149999999999</v>
      </c>
      <c r="R1961">
        <v>4.243632E-2</v>
      </c>
      <c r="S1961">
        <v>-3.0757140000000001</v>
      </c>
      <c r="T1961">
        <v>-0.1257008</v>
      </c>
      <c r="U1961">
        <v>-5.7708740000000001E-2</v>
      </c>
      <c r="V1961">
        <v>5.0626310000000001E-2</v>
      </c>
      <c r="W1961">
        <v>0.1839393</v>
      </c>
      <c r="X1961">
        <v>0.98163299999999998</v>
      </c>
      <c r="Y1961">
        <v>-1.160946E-2</v>
      </c>
      <c r="Z1961" s="1">
        <v>5.482281E-5</v>
      </c>
      <c r="AA1961">
        <v>0.99993259999999995</v>
      </c>
      <c r="AB1961">
        <v>38</v>
      </c>
      <c r="AC1961">
        <v>-26.706700000000001</v>
      </c>
      <c r="AD1961">
        <v>-1.106266429598</v>
      </c>
      <c r="AE1961">
        <v>-0.50640000000004104</v>
      </c>
      <c r="AF1961">
        <v>-0.31497387742765498</v>
      </c>
      <c r="AG1961">
        <v>-1.106266429598</v>
      </c>
      <c r="AH1961">
        <v>26.663902368982399</v>
      </c>
      <c r="AI1961">
        <v>92.375633192169701</v>
      </c>
      <c r="AJ1961">
        <v>90.676788949996805</v>
      </c>
      <c r="AK1961">
        <v>26.6887002961804</v>
      </c>
      <c r="AL1961">
        <v>79.400702628465993</v>
      </c>
      <c r="AM1961">
        <v>87.047668300516506</v>
      </c>
      <c r="AN1961">
        <v>1.00000001801885</v>
      </c>
    </row>
    <row r="1962" spans="1:40" x14ac:dyDescent="0.25">
      <c r="A1962" t="str">
        <f>"20190312172930605"</f>
        <v>20190312172930605</v>
      </c>
      <c r="B1962" t="str">
        <f>"1552382970599509"</f>
        <v>1552382970599509</v>
      </c>
      <c r="C1962" t="s">
        <v>40</v>
      </c>
      <c r="D1962">
        <v>3.4482569999999999</v>
      </c>
      <c r="E1962">
        <v>0.51770289999999997</v>
      </c>
      <c r="F1962" t="s">
        <v>48</v>
      </c>
      <c r="G1962">
        <v>-285.37270000000001</v>
      </c>
      <c r="H1962" s="1">
        <v>6.6939319999999996E-6</v>
      </c>
      <c r="I1962">
        <v>281.35329999999999</v>
      </c>
      <c r="J1962">
        <v>-257.1592</v>
      </c>
      <c r="K1962">
        <v>1.1062639999999999</v>
      </c>
      <c r="L1962">
        <v>281.64569999999998</v>
      </c>
      <c r="M1962">
        <v>-0.99997119999999995</v>
      </c>
      <c r="N1962">
        <v>0</v>
      </c>
      <c r="O1962">
        <v>-4.6834190000000003E-3</v>
      </c>
      <c r="P1962">
        <v>-0.98275789999999996</v>
      </c>
      <c r="Q1962">
        <v>0.17920369999999999</v>
      </c>
      <c r="R1962">
        <v>4.5531879999999997E-2</v>
      </c>
      <c r="S1962">
        <v>-3.0746769999999999</v>
      </c>
      <c r="T1962">
        <v>-0.1189982</v>
      </c>
      <c r="U1962">
        <v>-3.1524660000000003E-2</v>
      </c>
      <c r="V1962">
        <v>5.1312570000000002E-2</v>
      </c>
      <c r="W1962">
        <v>0.18475620000000001</v>
      </c>
      <c r="X1962">
        <v>0.98144390000000004</v>
      </c>
      <c r="Y1962">
        <v>-5.5684300000000001E-3</v>
      </c>
      <c r="Z1962" s="1">
        <v>7.3476470000000005E-5</v>
      </c>
      <c r="AA1962">
        <v>0.99998450000000005</v>
      </c>
      <c r="AB1962">
        <v>38</v>
      </c>
      <c r="AC1962">
        <v>-28.2135</v>
      </c>
      <c r="AD1962">
        <v>-1.1062573060680001</v>
      </c>
      <c r="AE1962">
        <v>-0.292399999999986</v>
      </c>
      <c r="AF1962">
        <v>-0.16001281095776801</v>
      </c>
      <c r="AG1962">
        <v>-1.1062573060680001</v>
      </c>
      <c r="AH1962">
        <v>28.171253040772999</v>
      </c>
      <c r="AI1962">
        <v>92.248757035078697</v>
      </c>
      <c r="AJ1962">
        <v>90.325436718413002</v>
      </c>
      <c r="AK1962">
        <v>28.193419572910301</v>
      </c>
      <c r="AL1962">
        <v>79.353081133442998</v>
      </c>
      <c r="AM1962">
        <v>87.007145010437995</v>
      </c>
      <c r="AN1962">
        <v>0.99999998106282695</v>
      </c>
    </row>
    <row r="1963" spans="1:40" x14ac:dyDescent="0.25">
      <c r="A1963" t="str">
        <f>"20190312172930627"</f>
        <v>20190312172930627</v>
      </c>
      <c r="B1963" t="str">
        <f>"1552382970619031"</f>
        <v>1552382970619031</v>
      </c>
      <c r="C1963" t="s">
        <v>40</v>
      </c>
      <c r="D1963">
        <v>3.3831030000000002</v>
      </c>
      <c r="E1963">
        <v>0.51830100000000001</v>
      </c>
      <c r="F1963" t="s">
        <v>48</v>
      </c>
      <c r="G1963">
        <v>-297.70249999999999</v>
      </c>
      <c r="H1963" s="1">
        <v>3.5526609999999999E-6</v>
      </c>
      <c r="I1963">
        <v>284.83819999999997</v>
      </c>
      <c r="J1963">
        <v>-257.55610000000001</v>
      </c>
      <c r="K1963">
        <v>1.106244</v>
      </c>
      <c r="L1963">
        <v>281.64589999999998</v>
      </c>
      <c r="M1963">
        <v>-0.99997990000000003</v>
      </c>
      <c r="N1963">
        <v>0</v>
      </c>
      <c r="O1963">
        <v>-2.0437680000000001E-3</v>
      </c>
      <c r="P1963">
        <v>-0.98254019999999997</v>
      </c>
      <c r="Q1963">
        <v>0.17975050000000001</v>
      </c>
      <c r="R1963">
        <v>4.800335E-2</v>
      </c>
      <c r="S1963">
        <v>-3.056702</v>
      </c>
      <c r="T1963">
        <v>-8.3404900000000004E-2</v>
      </c>
      <c r="U1963">
        <v>0.24069209999999999</v>
      </c>
      <c r="V1963">
        <v>5.1200889999999999E-2</v>
      </c>
      <c r="W1963">
        <v>0.18532409999999999</v>
      </c>
      <c r="X1963">
        <v>0.98134270000000001</v>
      </c>
      <c r="Y1963">
        <v>8.0506240000000007E-2</v>
      </c>
      <c r="Z1963">
        <v>1.1521140000000001E-3</v>
      </c>
      <c r="AA1963">
        <v>0.99675349999999996</v>
      </c>
      <c r="AB1963">
        <v>39</v>
      </c>
      <c r="AC1963">
        <v>-40.1463999999999</v>
      </c>
      <c r="AD1963">
        <v>-1.106240447339</v>
      </c>
      <c r="AE1963">
        <v>3.1922999999999799</v>
      </c>
      <c r="AF1963">
        <v>3.27187605500231</v>
      </c>
      <c r="AG1963">
        <v>-1.106240447339</v>
      </c>
      <c r="AH1963">
        <v>40.109528428413697</v>
      </c>
      <c r="AI1963">
        <v>91.574617556957804</v>
      </c>
      <c r="AJ1963">
        <v>85.336506389355193</v>
      </c>
      <c r="AK1963">
        <v>40.257958363488299</v>
      </c>
      <c r="AL1963">
        <v>79.319971544409199</v>
      </c>
      <c r="AM1963">
        <v>87.013339642942398</v>
      </c>
      <c r="AN1963">
        <v>1.0000000240104401</v>
      </c>
    </row>
    <row r="1964" spans="1:40" x14ac:dyDescent="0.25">
      <c r="A1964" t="str">
        <f>"20190312172930638"</f>
        <v>20190312172930638</v>
      </c>
      <c r="B1964" t="str">
        <f>"1552382970629764"</f>
        <v>1552382970629764</v>
      </c>
      <c r="C1964" t="s">
        <v>40</v>
      </c>
      <c r="D1964">
        <v>3.3893490000000002</v>
      </c>
      <c r="E1964">
        <v>0.51854849999999997</v>
      </c>
      <c r="F1964" t="s">
        <v>48</v>
      </c>
      <c r="G1964">
        <v>-298.81760000000003</v>
      </c>
      <c r="H1964" s="1">
        <v>3.7311070000000001E-6</v>
      </c>
      <c r="I1964">
        <v>285.05939999999998</v>
      </c>
      <c r="J1964">
        <v>-257.762</v>
      </c>
      <c r="K1964">
        <v>1.106236</v>
      </c>
      <c r="L1964">
        <v>281.6465</v>
      </c>
      <c r="M1964">
        <v>-0.99998180000000003</v>
      </c>
      <c r="N1964">
        <v>0</v>
      </c>
      <c r="O1964">
        <v>-6.7536460000000001E-4</v>
      </c>
      <c r="P1964">
        <v>-0.98252700000000004</v>
      </c>
      <c r="Q1964">
        <v>0.1796044</v>
      </c>
      <c r="R1964">
        <v>4.8818439999999998E-2</v>
      </c>
      <c r="S1964">
        <v>-3.0559080000000001</v>
      </c>
      <c r="T1964">
        <v>-8.19304E-2</v>
      </c>
      <c r="U1964">
        <v>0.25280760000000002</v>
      </c>
      <c r="V1964">
        <v>5.0674700000000003E-2</v>
      </c>
      <c r="W1964">
        <v>0.18519289999999999</v>
      </c>
      <c r="X1964">
        <v>0.98139480000000001</v>
      </c>
      <c r="Y1964">
        <v>8.308902E-2</v>
      </c>
      <c r="Z1964">
        <v>1.1298040000000001E-3</v>
      </c>
      <c r="AA1964">
        <v>0.99654149999999997</v>
      </c>
      <c r="AB1964">
        <v>39</v>
      </c>
      <c r="AC1964">
        <v>-41.055599999999998</v>
      </c>
      <c r="AD1964">
        <v>-1.106232268893</v>
      </c>
      <c r="AE1964">
        <v>3.4128999999999698</v>
      </c>
      <c r="AF1964">
        <v>3.4381481898148301</v>
      </c>
      <c r="AG1964">
        <v>-1.106232268893</v>
      </c>
      <c r="AH1964">
        <v>41.023706069665103</v>
      </c>
      <c r="AI1964">
        <v>91.539251806693997</v>
      </c>
      <c r="AJ1964">
        <v>85.209304170405304</v>
      </c>
      <c r="AK1964">
        <v>41.182387892133498</v>
      </c>
      <c r="AL1964">
        <v>79.327621387502404</v>
      </c>
      <c r="AM1964">
        <v>87.044135391973498</v>
      </c>
      <c r="AN1964">
        <v>1.00000004444876</v>
      </c>
    </row>
    <row r="1965" spans="1:40" x14ac:dyDescent="0.25">
      <c r="A1965" t="str">
        <f>"20190312172930651"</f>
        <v>20190312172930651</v>
      </c>
      <c r="B1965" t="str">
        <f>"1552382970639524"</f>
        <v>1552382970639524</v>
      </c>
      <c r="C1965" t="s">
        <v>40</v>
      </c>
      <c r="D1965">
        <v>3.3989820000000002</v>
      </c>
      <c r="E1965">
        <v>0.51870450000000001</v>
      </c>
      <c r="F1965" t="s">
        <v>48</v>
      </c>
      <c r="G1965">
        <v>-298.20139999999998</v>
      </c>
      <c r="H1965" s="1">
        <v>3.62259E-6</v>
      </c>
      <c r="I1965">
        <v>285.05059999999997</v>
      </c>
      <c r="J1965">
        <v>-257.9631</v>
      </c>
      <c r="K1965">
        <v>1.1062270000000001</v>
      </c>
      <c r="L1965">
        <v>281.64729999999997</v>
      </c>
      <c r="M1965">
        <v>-0.99998169999999997</v>
      </c>
      <c r="N1965">
        <v>0</v>
      </c>
      <c r="O1965">
        <v>6.6043509999999896E-4</v>
      </c>
      <c r="P1965">
        <v>-0.98248029999999997</v>
      </c>
      <c r="Q1965">
        <v>0.1795706</v>
      </c>
      <c r="R1965">
        <v>4.98696E-2</v>
      </c>
      <c r="S1965">
        <v>-3.055847</v>
      </c>
      <c r="T1965">
        <v>-8.3593609999999999E-2</v>
      </c>
      <c r="U1965">
        <v>0.25723269999999998</v>
      </c>
      <c r="V1965">
        <v>5.0416950000000002E-2</v>
      </c>
      <c r="W1965">
        <v>0.18517130000000001</v>
      </c>
      <c r="X1965">
        <v>0.98141210000000001</v>
      </c>
      <c r="Y1965">
        <v>8.3191769999999998E-2</v>
      </c>
      <c r="Z1965">
        <v>1.117617E-3</v>
      </c>
      <c r="AA1965">
        <v>0.99653290000000005</v>
      </c>
      <c r="AB1965">
        <v>39</v>
      </c>
      <c r="AC1965">
        <v>-40.238299999999903</v>
      </c>
      <c r="AD1965">
        <v>-1.1062233774099901</v>
      </c>
      <c r="AE1965">
        <v>3.4033000000000002</v>
      </c>
      <c r="AF1965">
        <v>3.3741918935523301</v>
      </c>
      <c r="AG1965">
        <v>-1.1062233774099901</v>
      </c>
      <c r="AH1965">
        <v>40.210363822588903</v>
      </c>
      <c r="AI1965">
        <v>91.570344796448893</v>
      </c>
      <c r="AJ1965">
        <v>85.203348711976403</v>
      </c>
      <c r="AK1965">
        <v>40.366846047718496</v>
      </c>
      <c r="AL1965">
        <v>79.328880219990197</v>
      </c>
      <c r="AM1965">
        <v>87.059195287093004</v>
      </c>
      <c r="AN1965">
        <v>0.99999999460870104</v>
      </c>
    </row>
    <row r="1966" spans="1:40" x14ac:dyDescent="0.25">
      <c r="A1966" t="str">
        <f>"20190312172930662"</f>
        <v>20190312172930662</v>
      </c>
      <c r="B1966" t="str">
        <f>"1552382970659044"</f>
        <v>1552382970659044</v>
      </c>
      <c r="C1966" t="s">
        <v>40</v>
      </c>
      <c r="D1966">
        <v>3.4182079999999999</v>
      </c>
      <c r="E1966">
        <v>0.51858930000000003</v>
      </c>
      <c r="F1966" t="s">
        <v>48</v>
      </c>
      <c r="G1966">
        <v>-298.22179999999997</v>
      </c>
      <c r="H1966" s="1">
        <v>3.622328E-6</v>
      </c>
      <c r="I1966">
        <v>285.09480000000002</v>
      </c>
      <c r="J1966">
        <v>-258.17689999999999</v>
      </c>
      <c r="K1966">
        <v>1.106217</v>
      </c>
      <c r="L1966">
        <v>281.64839999999998</v>
      </c>
      <c r="M1966">
        <v>-0.99997970000000003</v>
      </c>
      <c r="N1966">
        <v>0</v>
      </c>
      <c r="O1966">
        <v>2.0809330000000001E-3</v>
      </c>
      <c r="P1966">
        <v>-0.9824136</v>
      </c>
      <c r="Q1966">
        <v>0.17968779999999901</v>
      </c>
      <c r="R1966">
        <v>5.0753439999999997E-2</v>
      </c>
      <c r="S1966">
        <v>-3.0555729999999999</v>
      </c>
      <c r="T1966">
        <v>-8.3960649999999998E-2</v>
      </c>
      <c r="U1966">
        <v>0.26165769999999999</v>
      </c>
      <c r="V1966">
        <v>4.990986E-2</v>
      </c>
      <c r="W1966">
        <v>0.185303</v>
      </c>
      <c r="X1966">
        <v>0.98141319999999999</v>
      </c>
      <c r="Y1966">
        <v>8.3216739999999997E-2</v>
      </c>
      <c r="Z1966">
        <v>1.083943E-3</v>
      </c>
      <c r="AA1966">
        <v>0.9965309</v>
      </c>
      <c r="AB1966">
        <v>39</v>
      </c>
      <c r="AC1966">
        <v>-40.044899999999899</v>
      </c>
      <c r="AD1966">
        <v>-1.106213377672</v>
      </c>
      <c r="AE1966">
        <v>3.4464000000000401</v>
      </c>
      <c r="AF1966">
        <v>3.3605147072599899</v>
      </c>
      <c r="AG1966">
        <v>-1.106213377672</v>
      </c>
      <c r="AH1966">
        <v>40.0216690286925</v>
      </c>
      <c r="AI1966">
        <v>91.577723610755498</v>
      </c>
      <c r="AJ1966">
        <v>85.200282526010994</v>
      </c>
      <c r="AK1966">
        <v>40.177739595164503</v>
      </c>
      <c r="AL1966">
        <v>79.321201886026202</v>
      </c>
      <c r="AM1966">
        <v>87.088725801747103</v>
      </c>
      <c r="AN1966">
        <v>1.00000003253422</v>
      </c>
    </row>
    <row r="1967" spans="1:40" x14ac:dyDescent="0.25">
      <c r="A1967" t="str">
        <f>"20190312172930682"</f>
        <v>20190312172930682</v>
      </c>
      <c r="B1967" t="str">
        <f>"1552382970679830"</f>
        <v>1552382970679830</v>
      </c>
      <c r="C1967" t="s">
        <v>40</v>
      </c>
      <c r="D1967">
        <v>3.3974340000000001</v>
      </c>
      <c r="E1967">
        <v>0.5185052</v>
      </c>
      <c r="F1967" t="s">
        <v>48</v>
      </c>
      <c r="G1967">
        <v>-299.31540000000001</v>
      </c>
      <c r="H1967" s="1">
        <v>3.807831E-6</v>
      </c>
      <c r="I1967">
        <v>285.19189999999998</v>
      </c>
      <c r="J1967">
        <v>-258.5163</v>
      </c>
      <c r="K1967">
        <v>1.1061970000000001</v>
      </c>
      <c r="L1967">
        <v>281.6508</v>
      </c>
      <c r="M1967">
        <v>-0.99997230000000004</v>
      </c>
      <c r="N1967">
        <v>0</v>
      </c>
      <c r="O1967">
        <v>4.3340480000000001E-3</v>
      </c>
      <c r="P1967">
        <v>-0.98229560000000005</v>
      </c>
      <c r="Q1967">
        <v>0.1800292</v>
      </c>
      <c r="R1967">
        <v>5.1818549999999998E-2</v>
      </c>
      <c r="S1967">
        <v>-3.0551149999999998</v>
      </c>
      <c r="T1967">
        <v>-8.2152009999999998E-2</v>
      </c>
      <c r="U1967">
        <v>0.26315309999999997</v>
      </c>
      <c r="V1967">
        <v>4.8770239999999999E-2</v>
      </c>
      <c r="W1967">
        <v>0.1856699</v>
      </c>
      <c r="X1967">
        <v>0.98140110000000003</v>
      </c>
      <c r="Y1967">
        <v>8.1470870000000001E-2</v>
      </c>
      <c r="Z1967">
        <v>9.7685229999999994E-4</v>
      </c>
      <c r="AA1967">
        <v>0.99667530000000004</v>
      </c>
      <c r="AB1967">
        <v>39</v>
      </c>
      <c r="AC1967">
        <v>-40.799100000000003</v>
      </c>
      <c r="AD1967">
        <v>-1.10619319216899</v>
      </c>
      <c r="AE1967">
        <v>3.5410999999999699</v>
      </c>
      <c r="AF1967">
        <v>3.3617853929781498</v>
      </c>
      <c r="AG1967">
        <v>-1.10619319216899</v>
      </c>
      <c r="AH1967">
        <v>40.784307007578697</v>
      </c>
      <c r="AI1967">
        <v>91.548404328092801</v>
      </c>
      <c r="AJ1967">
        <v>85.287853125619606</v>
      </c>
      <c r="AK1967">
        <v>40.937573969341202</v>
      </c>
      <c r="AL1967">
        <v>79.299808297532607</v>
      </c>
      <c r="AM1967">
        <v>87.155055072694495</v>
      </c>
      <c r="AN1967">
        <v>0.999999983578438</v>
      </c>
    </row>
    <row r="1968" spans="1:40" x14ac:dyDescent="0.25">
      <c r="A1968" t="str">
        <f>"20190312172930694"</f>
        <v>20190312172930694</v>
      </c>
      <c r="B1968" t="str">
        <f>"1552382970689590"</f>
        <v>1552382970689590</v>
      </c>
      <c r="C1968" t="s">
        <v>40</v>
      </c>
      <c r="D1968">
        <v>3.430444</v>
      </c>
      <c r="E1968">
        <v>0.5183681</v>
      </c>
      <c r="F1968" t="s">
        <v>48</v>
      </c>
      <c r="G1968">
        <v>-300.39780000000002</v>
      </c>
      <c r="H1968" s="1">
        <v>3.8356589999999999E-6</v>
      </c>
      <c r="I1968">
        <v>285.28410000000002</v>
      </c>
      <c r="J1968">
        <v>-258.72489999999999</v>
      </c>
      <c r="K1968">
        <v>1.1061829999999999</v>
      </c>
      <c r="L1968">
        <v>281.65269999999998</v>
      </c>
      <c r="M1968">
        <v>-0.99996529999999995</v>
      </c>
      <c r="N1968">
        <v>0</v>
      </c>
      <c r="O1968">
        <v>5.7187239999999997E-3</v>
      </c>
      <c r="P1968">
        <v>-0.98228590000000005</v>
      </c>
      <c r="Q1968">
        <v>0.17987020000000001</v>
      </c>
      <c r="R1968">
        <v>5.2548619999999997E-2</v>
      </c>
      <c r="S1968">
        <v>-3.0548709999999999</v>
      </c>
      <c r="T1968">
        <v>-8.0686569999999999E-2</v>
      </c>
      <c r="U1968">
        <v>0.26501459999999999</v>
      </c>
      <c r="V1968">
        <v>4.8142339999999999E-2</v>
      </c>
      <c r="W1968">
        <v>0.18552650000000001</v>
      </c>
      <c r="X1968">
        <v>0.98145930000000003</v>
      </c>
      <c r="Y1968">
        <v>8.0702109999999994E-2</v>
      </c>
      <c r="Z1968">
        <v>9.1285840000000004E-4</v>
      </c>
      <c r="AA1968">
        <v>0.99673780000000001</v>
      </c>
      <c r="AB1968">
        <v>39</v>
      </c>
      <c r="AC1968">
        <v>-41.672899999999998</v>
      </c>
      <c r="AD1968">
        <v>-1.1061791643409999</v>
      </c>
      <c r="AE1968">
        <v>3.6314000000000402</v>
      </c>
      <c r="AF1968">
        <v>3.3906493792781101</v>
      </c>
      <c r="AG1968">
        <v>-1.1061791643409999</v>
      </c>
      <c r="AH1968">
        <v>41.663850723435303</v>
      </c>
      <c r="AI1968">
        <v>91.515842073909099</v>
      </c>
      <c r="AJ1968">
        <v>85.347460289572197</v>
      </c>
      <c r="AK1968">
        <v>41.816224036389499</v>
      </c>
      <c r="AL1968">
        <v>79.308170639223107</v>
      </c>
      <c r="AM1968">
        <v>87.191790006072196</v>
      </c>
      <c r="AN1968">
        <v>1.0000000623297001</v>
      </c>
    </row>
    <row r="1969" spans="1:40" x14ac:dyDescent="0.25">
      <c r="A1969" t="str">
        <f>"20190312172930707"</f>
        <v>20190312172930707</v>
      </c>
      <c r="B1969" t="str">
        <f>"1552382970699350"</f>
        <v>1552382970699350</v>
      </c>
      <c r="C1969" t="s">
        <v>40</v>
      </c>
      <c r="D1969">
        <v>3.4008989999999999</v>
      </c>
      <c r="E1969">
        <v>0.51834420000000003</v>
      </c>
      <c r="F1969" t="s">
        <v>48</v>
      </c>
      <c r="G1969">
        <v>-300.6832</v>
      </c>
      <c r="H1969" s="1">
        <v>3.7833420000000002E-6</v>
      </c>
      <c r="I1969">
        <v>285.30349999999999</v>
      </c>
      <c r="J1969">
        <v>-258.94049999999999</v>
      </c>
      <c r="K1969">
        <v>1.106174</v>
      </c>
      <c r="L1969">
        <v>281.6549</v>
      </c>
      <c r="M1969">
        <v>-0.99995599999999996</v>
      </c>
      <c r="N1969">
        <v>0</v>
      </c>
      <c r="O1969">
        <v>7.1487590000000002E-3</v>
      </c>
      <c r="P1969">
        <v>-0.98232030000000004</v>
      </c>
      <c r="Q1969">
        <v>0.17950239999999901</v>
      </c>
      <c r="R1969">
        <v>5.315839E-2</v>
      </c>
      <c r="S1969">
        <v>-3.0546259999999998</v>
      </c>
      <c r="T1969">
        <v>-8.0531599999999995E-2</v>
      </c>
      <c r="U1969">
        <v>0.2657776</v>
      </c>
      <c r="V1969">
        <v>4.7348050000000003E-2</v>
      </c>
      <c r="W1969">
        <v>0.18517600000000001</v>
      </c>
      <c r="X1969">
        <v>0.98156399999999999</v>
      </c>
      <c r="Y1969">
        <v>7.9531560000000001E-2</v>
      </c>
      <c r="Z1969">
        <v>8.5815169999999897E-4</v>
      </c>
      <c r="AA1969">
        <v>0.99683200000000005</v>
      </c>
      <c r="AB1969">
        <v>39</v>
      </c>
      <c r="AC1969">
        <v>-41.742699999999999</v>
      </c>
      <c r="AD1969">
        <v>-1.1061702166580001</v>
      </c>
      <c r="AE1969">
        <v>3.6485999999999801</v>
      </c>
      <c r="AF1969">
        <v>3.3477596665499298</v>
      </c>
      <c r="AG1969">
        <v>-1.1061702166580001</v>
      </c>
      <c r="AH1969">
        <v>41.738628645913501</v>
      </c>
      <c r="AI1969">
        <v>91.513257814773297</v>
      </c>
      <c r="AJ1969">
        <v>85.4142539229275</v>
      </c>
      <c r="AK1969">
        <v>41.887280033139703</v>
      </c>
      <c r="AL1969">
        <v>79.328605573654897</v>
      </c>
      <c r="AM1969">
        <v>87.238343861175196</v>
      </c>
      <c r="AN1969">
        <v>0.99999993745539895</v>
      </c>
    </row>
    <row r="1970" spans="1:40" x14ac:dyDescent="0.25">
      <c r="A1970" t="str">
        <f>"20190312172930718"</f>
        <v>20190312172930718</v>
      </c>
      <c r="B1970" t="str">
        <f>"1552382970709110"</f>
        <v>1552382970709110</v>
      </c>
      <c r="C1970" t="s">
        <v>40</v>
      </c>
      <c r="D1970">
        <v>3.3925860000000001</v>
      </c>
      <c r="E1970">
        <v>0.51825299999999996</v>
      </c>
      <c r="F1970" t="s">
        <v>48</v>
      </c>
      <c r="G1970">
        <v>-300.29039999999998</v>
      </c>
      <c r="H1970" s="1">
        <v>3.8559120000000001E-6</v>
      </c>
      <c r="I1970">
        <v>285.27030000000002</v>
      </c>
      <c r="J1970">
        <v>-259.16410000000002</v>
      </c>
      <c r="K1970">
        <v>1.1061620000000001</v>
      </c>
      <c r="L1970">
        <v>281.65750000000003</v>
      </c>
      <c r="M1970">
        <v>-0.99994430000000001</v>
      </c>
      <c r="N1970">
        <v>0</v>
      </c>
      <c r="O1970">
        <v>8.6316629999999995E-3</v>
      </c>
      <c r="P1970">
        <v>-0.98238579999999998</v>
      </c>
      <c r="Q1970">
        <v>0.17895169999999999</v>
      </c>
      <c r="R1970">
        <v>5.3804110000000002E-2</v>
      </c>
      <c r="S1970">
        <v>-3.0544739999999999</v>
      </c>
      <c r="T1970">
        <v>-8.1711530000000004E-2</v>
      </c>
      <c r="U1970">
        <v>0.2670593</v>
      </c>
      <c r="V1970">
        <v>4.653612E-2</v>
      </c>
      <c r="W1970">
        <v>0.18464320000000001</v>
      </c>
      <c r="X1970">
        <v>0.9817032</v>
      </c>
      <c r="Y1970">
        <v>7.8472849999999997E-2</v>
      </c>
      <c r="Z1970">
        <v>8.1703649999999902E-4</v>
      </c>
      <c r="AA1970">
        <v>0.99691589999999997</v>
      </c>
      <c r="AB1970">
        <v>39</v>
      </c>
      <c r="AC1970">
        <v>-41.126299999999901</v>
      </c>
      <c r="AD1970">
        <v>-1.106158144088</v>
      </c>
      <c r="AE1970">
        <v>3.6127999999999898</v>
      </c>
      <c r="AF1970">
        <v>3.2553335311363298</v>
      </c>
      <c r="AG1970">
        <v>-1.106158144088</v>
      </c>
      <c r="AH1970">
        <v>41.126428730483802</v>
      </c>
      <c r="AI1970">
        <v>91.535884447455501</v>
      </c>
      <c r="AJ1970">
        <v>85.474229069125997</v>
      </c>
      <c r="AK1970">
        <v>41.269891232740498</v>
      </c>
      <c r="AL1970">
        <v>79.359668536031805</v>
      </c>
      <c r="AM1970">
        <v>87.286013934124</v>
      </c>
      <c r="AN1970">
        <v>0.99999994733056496</v>
      </c>
    </row>
    <row r="1971" spans="1:40" x14ac:dyDescent="0.25">
      <c r="A1971" t="str">
        <f>"20190312172930740"</f>
        <v>20190312172930740</v>
      </c>
      <c r="B1971" t="str">
        <f>"1552382970729609"</f>
        <v>1552382970729609</v>
      </c>
      <c r="C1971" t="s">
        <v>40</v>
      </c>
      <c r="D1971">
        <v>3.402266</v>
      </c>
      <c r="E1971">
        <v>0.51816830000000003</v>
      </c>
      <c r="F1971" t="s">
        <v>48</v>
      </c>
      <c r="G1971">
        <v>-299.49930000000001</v>
      </c>
      <c r="H1971" s="1">
        <v>3.8403499999999996E-6</v>
      </c>
      <c r="I1971">
        <v>285.19310000000002</v>
      </c>
      <c r="J1971">
        <v>-259.52140000000003</v>
      </c>
      <c r="K1971">
        <v>1.1061479999999999</v>
      </c>
      <c r="L1971">
        <v>281.66239999999999</v>
      </c>
      <c r="M1971">
        <v>-0.99992080000000005</v>
      </c>
      <c r="N1971">
        <v>0</v>
      </c>
      <c r="O1971">
        <v>1.1000589999999999E-2</v>
      </c>
      <c r="P1971">
        <v>-0.98235030000000001</v>
      </c>
      <c r="Q1971">
        <v>0.17893519999999999</v>
      </c>
      <c r="R1971">
        <v>5.4501279999999999E-2</v>
      </c>
      <c r="S1971">
        <v>-3.0543520000000002</v>
      </c>
      <c r="T1971">
        <v>-8.3762879999999998E-2</v>
      </c>
      <c r="U1971">
        <v>0.26773069999999999</v>
      </c>
      <c r="V1971">
        <v>4.4911230000000003E-2</v>
      </c>
      <c r="W1971">
        <v>0.18465680000000001</v>
      </c>
      <c r="X1971">
        <v>0.98177639999999999</v>
      </c>
      <c r="Y1971">
        <v>7.6332230000000001E-2</v>
      </c>
      <c r="Z1971">
        <v>7.4346109999999998E-4</v>
      </c>
      <c r="AA1971">
        <v>0.99708220000000003</v>
      </c>
      <c r="AB1971">
        <v>39</v>
      </c>
      <c r="AC1971">
        <v>-39.977899999999899</v>
      </c>
      <c r="AD1971">
        <v>-1.1061441596499999</v>
      </c>
      <c r="AE1971">
        <v>3.5307000000000199</v>
      </c>
      <c r="AF1971">
        <v>3.0883516053073801</v>
      </c>
      <c r="AG1971">
        <v>-1.1061441596499999</v>
      </c>
      <c r="AH1971">
        <v>39.983947917001302</v>
      </c>
      <c r="AI1971">
        <v>91.579963091028205</v>
      </c>
      <c r="AJ1971">
        <v>85.583255695494401</v>
      </c>
      <c r="AK1971">
        <v>40.118294599464299</v>
      </c>
      <c r="AL1971">
        <v>79.358876526396301</v>
      </c>
      <c r="AM1971">
        <v>87.380838163652101</v>
      </c>
      <c r="AN1971">
        <v>1.0000000259816499</v>
      </c>
    </row>
    <row r="1972" spans="1:40" x14ac:dyDescent="0.25">
      <c r="A1972" t="str">
        <f>"20190312172930754"</f>
        <v>20190312172930754</v>
      </c>
      <c r="B1972" t="str">
        <f>"1552382970749126"</f>
        <v>1552382970749126</v>
      </c>
      <c r="C1972" t="s">
        <v>40</v>
      </c>
      <c r="D1972">
        <v>3.4000689999999998</v>
      </c>
      <c r="E1972">
        <v>0.51822690000000005</v>
      </c>
      <c r="F1972" t="s">
        <v>48</v>
      </c>
      <c r="G1972">
        <v>-299.35640000000001</v>
      </c>
      <c r="H1972" s="1">
        <v>3.8174099999999999E-6</v>
      </c>
      <c r="I1972">
        <v>285.16559999999998</v>
      </c>
      <c r="J1972">
        <v>-259.75580000000002</v>
      </c>
      <c r="K1972">
        <v>1.1061379999999901</v>
      </c>
      <c r="L1972">
        <v>281.66609999999997</v>
      </c>
      <c r="M1972">
        <v>-0.99990250000000003</v>
      </c>
      <c r="N1972">
        <v>0</v>
      </c>
      <c r="O1972">
        <v>1.255383E-2</v>
      </c>
      <c r="P1972">
        <v>-0.98230170000000006</v>
      </c>
      <c r="Q1972">
        <v>0.17887420000000001</v>
      </c>
      <c r="R1972">
        <v>5.5564549999999997E-2</v>
      </c>
      <c r="S1972">
        <v>-3.054443</v>
      </c>
      <c r="T1972">
        <v>-8.4816219999999998E-2</v>
      </c>
      <c r="U1972">
        <v>0.26861570000000001</v>
      </c>
      <c r="V1972">
        <v>4.4451530000000003E-2</v>
      </c>
      <c r="W1972">
        <v>0.18461179999999999</v>
      </c>
      <c r="X1972">
        <v>0.9818057</v>
      </c>
      <c r="Y1972">
        <v>7.5067889999999998E-2</v>
      </c>
      <c r="Z1972">
        <v>6.9223089999999896E-4</v>
      </c>
      <c r="AA1972">
        <v>0.99717820000000001</v>
      </c>
      <c r="AB1972">
        <v>39</v>
      </c>
      <c r="AC1972">
        <v>-39.600599999999901</v>
      </c>
      <c r="AD1972">
        <v>-1.10613418258999</v>
      </c>
      <c r="AE1972">
        <v>3.49950000000001</v>
      </c>
      <c r="AF1972">
        <v>2.99975342022636</v>
      </c>
      <c r="AG1972">
        <v>-1.10613418258999</v>
      </c>
      <c r="AH1972">
        <v>39.610746939284603</v>
      </c>
      <c r="AI1972">
        <v>91.595009928949693</v>
      </c>
      <c r="AJ1972">
        <v>85.669211596135298</v>
      </c>
      <c r="AK1972">
        <v>39.739568775970596</v>
      </c>
      <c r="AL1972">
        <v>79.361499056429494</v>
      </c>
      <c r="AM1972">
        <v>87.407687739018201</v>
      </c>
      <c r="AN1972">
        <v>0.99999994388553304</v>
      </c>
    </row>
    <row r="1973" spans="1:40" x14ac:dyDescent="0.25">
      <c r="A1973" t="str">
        <f>"20190312172930783"</f>
        <v>20190312172930783</v>
      </c>
      <c r="B1973" t="str">
        <f>"1552382970779381"</f>
        <v>1552382970779381</v>
      </c>
      <c r="C1973" t="s">
        <v>40</v>
      </c>
      <c r="D1973">
        <v>3.409545</v>
      </c>
      <c r="E1973">
        <v>0.51815279999999997</v>
      </c>
      <c r="F1973" t="s">
        <v>48</v>
      </c>
      <c r="G1973">
        <v>-299.03489999999999</v>
      </c>
      <c r="H1973" s="1">
        <v>3.7608489999999999E-6</v>
      </c>
      <c r="I1973">
        <v>285.1601</v>
      </c>
      <c r="J1973">
        <v>-260.27620000000002</v>
      </c>
      <c r="K1973">
        <v>1.106117</v>
      </c>
      <c r="L1973">
        <v>281.67540000000002</v>
      </c>
      <c r="M1973">
        <v>-0.99985310000000005</v>
      </c>
      <c r="N1973">
        <v>0</v>
      </c>
      <c r="O1973">
        <v>1.5999159999999998E-2</v>
      </c>
      <c r="P1973">
        <v>-0.98204840000000004</v>
      </c>
      <c r="Q1973">
        <v>0.17927770000000001</v>
      </c>
      <c r="R1973">
        <v>5.8656390000000003E-2</v>
      </c>
      <c r="S1973">
        <v>-3.0543819999999999</v>
      </c>
      <c r="T1973">
        <v>-8.6014270000000004E-2</v>
      </c>
      <c r="U1973">
        <v>0.271698</v>
      </c>
      <c r="V1973">
        <v>4.4171189999999999E-2</v>
      </c>
      <c r="W1973">
        <v>0.1850444</v>
      </c>
      <c r="X1973">
        <v>0.98173699999999997</v>
      </c>
      <c r="Y1973">
        <v>7.2633489999999995E-2</v>
      </c>
      <c r="Z1973">
        <v>5.7100819999999998E-4</v>
      </c>
      <c r="AA1973">
        <v>0.99735859999999998</v>
      </c>
      <c r="AB1973">
        <v>39</v>
      </c>
      <c r="AC1973">
        <v>-38.758699999999898</v>
      </c>
      <c r="AD1973">
        <v>-1.106113239151</v>
      </c>
      <c r="AE1973">
        <v>3.4846999999999699</v>
      </c>
      <c r="AF1973">
        <v>2.8618234921725101</v>
      </c>
      <c r="AG1973">
        <v>-1.106113239151</v>
      </c>
      <c r="AH1973">
        <v>38.778162866527403</v>
      </c>
      <c r="AI1973">
        <v>91.629440178618196</v>
      </c>
      <c r="AJ1973">
        <v>85.779230351261205</v>
      </c>
      <c r="AK1973">
        <v>38.899350065278803</v>
      </c>
      <c r="AL1973">
        <v>79.336279305287604</v>
      </c>
      <c r="AM1973">
        <v>87.423834419630793</v>
      </c>
      <c r="AN1973">
        <v>1.00000003058318</v>
      </c>
    </row>
    <row r="1974" spans="1:40" x14ac:dyDescent="0.25">
      <c r="A1974" t="str">
        <f>"20190312172930797"</f>
        <v>20190312172930797</v>
      </c>
      <c r="B1974" t="str">
        <f>"1552382970789142"</f>
        <v>1552382970789142</v>
      </c>
      <c r="C1974" t="s">
        <v>40</v>
      </c>
      <c r="D1974">
        <v>3.4189609999999999</v>
      </c>
      <c r="E1974">
        <v>0.51814589999999905</v>
      </c>
      <c r="F1974" t="s">
        <v>48</v>
      </c>
      <c r="G1974">
        <v>-299.6748</v>
      </c>
      <c r="H1974" s="1">
        <v>3.8631880000000002E-6</v>
      </c>
      <c r="I1974">
        <v>285.2878</v>
      </c>
      <c r="J1974">
        <v>-260.53660000000002</v>
      </c>
      <c r="K1974">
        <v>1.106107</v>
      </c>
      <c r="L1974">
        <v>281.68079999999998</v>
      </c>
      <c r="M1974">
        <v>-0.99982380000000004</v>
      </c>
      <c r="N1974">
        <v>0</v>
      </c>
      <c r="O1974">
        <v>1.7722749999999999E-2</v>
      </c>
      <c r="P1974">
        <v>-0.98194789999999998</v>
      </c>
      <c r="Q1974">
        <v>0.179635299999999</v>
      </c>
      <c r="R1974">
        <v>5.924157E-2</v>
      </c>
      <c r="S1974">
        <v>-3.0537719999999999</v>
      </c>
      <c r="T1974">
        <v>-8.5734610000000003E-2</v>
      </c>
      <c r="U1974">
        <v>0.27999879999999999</v>
      </c>
      <c r="V1974">
        <v>4.3070360000000002E-2</v>
      </c>
      <c r="W1974">
        <v>0.18542349999999999</v>
      </c>
      <c r="X1974">
        <v>0.98171439999999999</v>
      </c>
      <c r="Y1974">
        <v>7.3621270000000003E-2</v>
      </c>
      <c r="Z1974">
        <v>5.347765E-4</v>
      </c>
      <c r="AA1974">
        <v>0.99728609999999895</v>
      </c>
      <c r="AB1974">
        <v>39</v>
      </c>
      <c r="AC1974">
        <v>-39.138199999999898</v>
      </c>
      <c r="AD1974">
        <v>-1.106103136812</v>
      </c>
      <c r="AE1974">
        <v>3.6070000000000202</v>
      </c>
      <c r="AF1974">
        <v>2.91047860116934</v>
      </c>
      <c r="AG1974">
        <v>-1.106103136812</v>
      </c>
      <c r="AH1974">
        <v>39.164961867454501</v>
      </c>
      <c r="AI1974">
        <v>91.613280426070204</v>
      </c>
      <c r="AJ1974">
        <v>85.749972089286004</v>
      </c>
      <c r="AK1974">
        <v>39.288529979070098</v>
      </c>
      <c r="AL1974">
        <v>79.314176139787605</v>
      </c>
      <c r="AM1974">
        <v>87.487896312887798</v>
      </c>
      <c r="AN1974">
        <v>1.00000004671506</v>
      </c>
    </row>
    <row r="1975" spans="1:40" x14ac:dyDescent="0.25">
      <c r="A1975" t="str">
        <f>"20190312172930818"</f>
        <v>20190312172930818</v>
      </c>
      <c r="B1975" t="str">
        <f>"1552382970809654"</f>
        <v>1552382970809654</v>
      </c>
      <c r="C1975" t="s">
        <v>40</v>
      </c>
      <c r="D1975">
        <v>3.4078460000000002</v>
      </c>
      <c r="E1975">
        <v>0.51805129999999999</v>
      </c>
      <c r="F1975" t="s">
        <v>48</v>
      </c>
      <c r="G1975">
        <v>-300.19760000000002</v>
      </c>
      <c r="H1975" s="1">
        <v>3.8671200000000003E-6</v>
      </c>
      <c r="I1975">
        <v>285.3304</v>
      </c>
      <c r="J1975">
        <v>-260.91050000000001</v>
      </c>
      <c r="K1975">
        <v>1.1060970000000001</v>
      </c>
      <c r="L1975">
        <v>281.6893</v>
      </c>
      <c r="M1975">
        <v>-0.99977680000000002</v>
      </c>
      <c r="N1975">
        <v>0</v>
      </c>
      <c r="O1975">
        <v>2.0194730000000001E-2</v>
      </c>
      <c r="P1975">
        <v>-0.98177639999999999</v>
      </c>
      <c r="Q1975">
        <v>0.1799674</v>
      </c>
      <c r="R1975">
        <v>6.1049100000000002E-2</v>
      </c>
      <c r="S1975">
        <v>-3.0537719999999999</v>
      </c>
      <c r="T1975">
        <v>-8.5166450000000005E-2</v>
      </c>
      <c r="U1975">
        <v>0.28100589999999998</v>
      </c>
      <c r="V1975">
        <v>4.2459120000000003E-2</v>
      </c>
      <c r="W1975">
        <v>0.18578</v>
      </c>
      <c r="X1975">
        <v>0.98167360000000004</v>
      </c>
      <c r="Y1975">
        <v>7.1483539999999998E-2</v>
      </c>
      <c r="Z1975">
        <v>4.327407E-4</v>
      </c>
      <c r="AA1975">
        <v>0.99744169999999999</v>
      </c>
      <c r="AB1975">
        <v>39</v>
      </c>
      <c r="AC1975">
        <v>-39.287100000000002</v>
      </c>
      <c r="AD1975">
        <v>-1.1060931328800001</v>
      </c>
      <c r="AE1975">
        <v>3.64109999999999</v>
      </c>
      <c r="AF1975">
        <v>2.84471409687862</v>
      </c>
      <c r="AG1975">
        <v>-1.1060931328800001</v>
      </c>
      <c r="AH1975">
        <v>39.321717088537298</v>
      </c>
      <c r="AI1975">
        <v>91.607068594557006</v>
      </c>
      <c r="AJ1975">
        <v>85.862168187712001</v>
      </c>
      <c r="AK1975">
        <v>39.439995881117298</v>
      </c>
      <c r="AL1975">
        <v>79.293388742662401</v>
      </c>
      <c r="AM1975">
        <v>87.523399735570194</v>
      </c>
      <c r="AN1975">
        <v>1.0000000211040601</v>
      </c>
    </row>
    <row r="1976" spans="1:40" x14ac:dyDescent="0.25">
      <c r="A1976" t="str">
        <f>"20190312172930831"</f>
        <v>20190312172930831</v>
      </c>
      <c r="B1976" t="str">
        <f>"1552382970819398"</f>
        <v>1552382970819398</v>
      </c>
      <c r="C1976" t="s">
        <v>40</v>
      </c>
      <c r="D1976">
        <v>3.4116580000000001</v>
      </c>
      <c r="E1976">
        <v>0.51798120000000003</v>
      </c>
      <c r="F1976" t="s">
        <v>48</v>
      </c>
      <c r="G1976">
        <v>-301.16829999999999</v>
      </c>
      <c r="H1976" s="1">
        <v>3.684144E-6</v>
      </c>
      <c r="I1976">
        <v>285.45389999999998</v>
      </c>
      <c r="J1976">
        <v>-261.1345</v>
      </c>
      <c r="K1976">
        <v>1.1060909999999999</v>
      </c>
      <c r="L1976">
        <v>281.69479999999999</v>
      </c>
      <c r="M1976">
        <v>-0.99974580000000002</v>
      </c>
      <c r="N1976">
        <v>0</v>
      </c>
      <c r="O1976">
        <v>2.1675549999999998E-2</v>
      </c>
      <c r="P1976">
        <v>-0.98169110000000004</v>
      </c>
      <c r="Q1976">
        <v>0.18006240000000001</v>
      </c>
      <c r="R1976">
        <v>6.2130699999999997E-2</v>
      </c>
      <c r="S1976">
        <v>-3.0533139999999999</v>
      </c>
      <c r="T1976">
        <v>-8.3890560000000003E-2</v>
      </c>
      <c r="U1976">
        <v>0.28552250000000001</v>
      </c>
      <c r="V1976">
        <v>4.209077E-2</v>
      </c>
      <c r="W1976">
        <v>0.1858892</v>
      </c>
      <c r="X1976">
        <v>0.98166880000000001</v>
      </c>
      <c r="Y1976">
        <v>7.1483809999999995E-2</v>
      </c>
      <c r="Z1976">
        <v>3.8573680000000002E-4</v>
      </c>
      <c r="AA1976">
        <v>0.99744169999999999</v>
      </c>
      <c r="AB1976">
        <v>40</v>
      </c>
      <c r="AC1976">
        <v>-40.0337999999999</v>
      </c>
      <c r="AD1976">
        <v>-1.1060873158559901</v>
      </c>
      <c r="AE1976">
        <v>3.7590999999999801</v>
      </c>
      <c r="AF1976">
        <v>2.8882599617557299</v>
      </c>
      <c r="AG1976">
        <v>-1.1060873158559901</v>
      </c>
      <c r="AH1976">
        <v>40.075551721471903</v>
      </c>
      <c r="AI1976">
        <v>91.5768772590786</v>
      </c>
      <c r="AJ1976">
        <v>85.877799033394197</v>
      </c>
      <c r="AK1976">
        <v>40.194717570065698</v>
      </c>
      <c r="AL1976">
        <v>79.287021225504404</v>
      </c>
      <c r="AM1976">
        <v>87.544846846690007</v>
      </c>
      <c r="AN1976">
        <v>1.0000000302446299</v>
      </c>
    </row>
    <row r="1977" spans="1:40" x14ac:dyDescent="0.25">
      <c r="A1977" t="str">
        <f>"20190312172930850"</f>
        <v>20190312172930850</v>
      </c>
      <c r="B1977" t="str">
        <f>"1552382970839893"</f>
        <v>1552382970839893</v>
      </c>
      <c r="C1977" t="s">
        <v>40</v>
      </c>
      <c r="D1977">
        <v>3.3874029999999999</v>
      </c>
      <c r="E1977">
        <v>0.5180053</v>
      </c>
      <c r="F1977" t="s">
        <v>48</v>
      </c>
      <c r="G1977">
        <v>-301.32150000000001</v>
      </c>
      <c r="H1977" s="1">
        <v>3.6536979999999998E-6</v>
      </c>
      <c r="I1977">
        <v>285.49119999999999</v>
      </c>
      <c r="J1977">
        <v>-261.49029999999999</v>
      </c>
      <c r="K1977">
        <v>1.106077</v>
      </c>
      <c r="L1977">
        <v>281.70429999999999</v>
      </c>
      <c r="M1977">
        <v>-0.99969189999999997</v>
      </c>
      <c r="N1977">
        <v>0</v>
      </c>
      <c r="O1977">
        <v>2.40263E-2</v>
      </c>
      <c r="P1977">
        <v>-0.98146800000000001</v>
      </c>
      <c r="Q1977">
        <v>0.1805369</v>
      </c>
      <c r="R1977">
        <v>6.424349E-2</v>
      </c>
      <c r="S1977">
        <v>-3.0531009999999998</v>
      </c>
      <c r="T1977">
        <v>-8.4031939999999999E-2</v>
      </c>
      <c r="U1977">
        <v>0.2884216</v>
      </c>
      <c r="V1977">
        <v>4.1906190000000003E-2</v>
      </c>
      <c r="W1977">
        <v>0.18638350000000001</v>
      </c>
      <c r="X1977">
        <v>0.98158290000000004</v>
      </c>
      <c r="Y1977">
        <v>7.0085030000000006E-2</v>
      </c>
      <c r="Z1977">
        <v>3.0269539999999999E-4</v>
      </c>
      <c r="AA1977">
        <v>0.99754100000000001</v>
      </c>
      <c r="AB1977">
        <v>40</v>
      </c>
      <c r="AC1977">
        <v>-39.831200000000003</v>
      </c>
      <c r="AD1977">
        <v>-1.106073346302</v>
      </c>
      <c r="AE1977">
        <v>3.7869000000000002</v>
      </c>
      <c r="AF1977">
        <v>2.8266316918327798</v>
      </c>
      <c r="AG1977">
        <v>-1.106073346302</v>
      </c>
      <c r="AH1977">
        <v>39.880211430994301</v>
      </c>
      <c r="AI1977">
        <v>91.584711438955196</v>
      </c>
      <c r="AJ1977">
        <v>85.945766781671793</v>
      </c>
      <c r="AK1977">
        <v>39.995556112516802</v>
      </c>
      <c r="AL1977">
        <v>79.258195450140093</v>
      </c>
      <c r="AM1977">
        <v>87.555386649392801</v>
      </c>
      <c r="AN1977">
        <v>0.999999963702487</v>
      </c>
    </row>
    <row r="1978" spans="1:40" x14ac:dyDescent="0.25">
      <c r="A1978" t="str">
        <f>"20190312172930862"</f>
        <v>20190312172930862</v>
      </c>
      <c r="B1978" t="str">
        <f>"1552382970859414"</f>
        <v>1552382970859414</v>
      </c>
      <c r="C1978" t="s">
        <v>40</v>
      </c>
      <c r="D1978">
        <v>3.5069340000000002</v>
      </c>
      <c r="E1978">
        <v>0.51795690000000005</v>
      </c>
      <c r="F1978" t="s">
        <v>48</v>
      </c>
      <c r="G1978">
        <v>-301.54180000000002</v>
      </c>
      <c r="H1978" s="1">
        <v>3.60743E-6</v>
      </c>
      <c r="I1978">
        <v>285.57350000000002</v>
      </c>
      <c r="J1978">
        <v>-261.70769999999999</v>
      </c>
      <c r="K1978">
        <v>1.106069</v>
      </c>
      <c r="L1978">
        <v>281.71039999999999</v>
      </c>
      <c r="M1978">
        <v>-0.99965630000000005</v>
      </c>
      <c r="N1978">
        <v>0</v>
      </c>
      <c r="O1978">
        <v>2.5462120000000001E-2</v>
      </c>
      <c r="P1978">
        <v>-0.98136089999999998</v>
      </c>
      <c r="Q1978">
        <v>0.18063190000000001</v>
      </c>
      <c r="R1978">
        <v>6.5597530000000001E-2</v>
      </c>
      <c r="S1978">
        <v>-3.0528870000000001</v>
      </c>
      <c r="T1978">
        <v>-8.4309339999999997E-2</v>
      </c>
      <c r="U1978">
        <v>0.29492190000000001</v>
      </c>
      <c r="V1978">
        <v>4.1855009999999998E-2</v>
      </c>
      <c r="W1978">
        <v>0.1864903</v>
      </c>
      <c r="X1978">
        <v>0.98156480000000002</v>
      </c>
      <c r="Y1978">
        <v>7.0763720000000002E-2</v>
      </c>
      <c r="Z1978">
        <v>2.735166E-4</v>
      </c>
      <c r="AA1978">
        <v>0.99749310000000002</v>
      </c>
      <c r="AB1978">
        <v>40</v>
      </c>
      <c r="AC1978">
        <v>-39.834099999999999</v>
      </c>
      <c r="AD1978">
        <v>-1.1060653925699999</v>
      </c>
      <c r="AE1978">
        <v>3.86310000000003</v>
      </c>
      <c r="AF1978">
        <v>2.8453937486341498</v>
      </c>
      <c r="AG1978">
        <v>-1.1060653925699999</v>
      </c>
      <c r="AH1978">
        <v>39.889081688776002</v>
      </c>
      <c r="AI1978">
        <v>91.584296905988793</v>
      </c>
      <c r="AJ1978">
        <v>85.919851472871201</v>
      </c>
      <c r="AK1978">
        <v>40.005730642137401</v>
      </c>
      <c r="AL1978">
        <v>79.251967074447705</v>
      </c>
      <c r="AM1978">
        <v>87.558323669424595</v>
      </c>
      <c r="AN1978">
        <v>0.99999996522761403</v>
      </c>
    </row>
    <row r="1979" spans="1:40" x14ac:dyDescent="0.25">
      <c r="A1979" t="str">
        <f>"20190312172930975"</f>
        <v>20190312172930975</v>
      </c>
      <c r="B1979" t="str">
        <f>"1552382970969701"</f>
        <v>1552382970969701</v>
      </c>
      <c r="C1979" t="s">
        <v>40</v>
      </c>
      <c r="D1979">
        <v>3.3905620000000001</v>
      </c>
      <c r="E1979">
        <v>0.51717990000000003</v>
      </c>
      <c r="F1979" t="s">
        <v>48</v>
      </c>
      <c r="G1979">
        <v>-301.18360000000001</v>
      </c>
      <c r="H1979" s="1">
        <v>3.6708960000000002E-6</v>
      </c>
      <c r="I1979">
        <v>285.57429999999999</v>
      </c>
      <c r="J1979">
        <v>-263.71980000000002</v>
      </c>
      <c r="K1979">
        <v>1.1059829999999999</v>
      </c>
      <c r="L1979">
        <v>281.7824</v>
      </c>
      <c r="M1979">
        <v>-0.9992297</v>
      </c>
      <c r="N1979">
        <v>0</v>
      </c>
      <c r="O1979">
        <v>3.8724580000000002E-2</v>
      </c>
      <c r="P1979">
        <v>-0.98071330000000001</v>
      </c>
      <c r="Q1979">
        <v>0.17982039999999999</v>
      </c>
      <c r="R1979">
        <v>7.659009E-2</v>
      </c>
      <c r="S1979">
        <v>-3.0527039999999999</v>
      </c>
      <c r="T1979">
        <v>-8.5532899999999995E-2</v>
      </c>
      <c r="U1979">
        <v>0.298797599999999</v>
      </c>
      <c r="V1979">
        <v>3.9846890000000003E-2</v>
      </c>
      <c r="W1979">
        <v>0.18580060000000001</v>
      </c>
      <c r="X1979">
        <v>0.98177919999999996</v>
      </c>
      <c r="Y1979">
        <v>5.8792079999999997E-2</v>
      </c>
      <c r="Z1979">
        <v>-2.6000779999999998E-4</v>
      </c>
      <c r="AA1979">
        <v>0.9982702</v>
      </c>
      <c r="AB1979">
        <v>40</v>
      </c>
      <c r="AC1979">
        <v>-37.4637999999999</v>
      </c>
      <c r="AD1979">
        <v>-1.1059793291040001</v>
      </c>
      <c r="AE1979">
        <v>3.7918999999999898</v>
      </c>
      <c r="AF1979">
        <v>2.3362410270546898</v>
      </c>
      <c r="AG1979">
        <v>-1.1059793291040001</v>
      </c>
      <c r="AH1979">
        <v>37.550147474359598</v>
      </c>
      <c r="AI1979">
        <v>91.683813588502701</v>
      </c>
      <c r="AJ1979">
        <v>86.439842599410696</v>
      </c>
      <c r="AK1979">
        <v>37.639006200470497</v>
      </c>
      <c r="AL1979">
        <v>79.292187497717705</v>
      </c>
      <c r="AM1979">
        <v>87.675845783921503</v>
      </c>
      <c r="AN1979">
        <v>1.0000000175778301</v>
      </c>
    </row>
    <row r="1980" spans="1:40" x14ac:dyDescent="0.25">
      <c r="A1980" t="str">
        <f>"20190312172930998"</f>
        <v>20190312172930998</v>
      </c>
      <c r="B1980" t="str">
        <f>"1552382970989222"</f>
        <v>1552382970989222</v>
      </c>
      <c r="C1980" t="s">
        <v>40</v>
      </c>
      <c r="D1980">
        <v>3.3460990000000002</v>
      </c>
      <c r="E1980">
        <v>0.51567070000000004</v>
      </c>
      <c r="F1980" t="s">
        <v>48</v>
      </c>
      <c r="G1980">
        <v>-300.27569999999997</v>
      </c>
      <c r="H1980" s="1">
        <v>3.8199480000000001E-6</v>
      </c>
      <c r="I1980">
        <v>285.7115</v>
      </c>
      <c r="J1980">
        <v>-264.1447</v>
      </c>
      <c r="K1980">
        <v>1.1059639999999999</v>
      </c>
      <c r="L1980">
        <v>281.80099999999999</v>
      </c>
      <c r="M1980">
        <v>-0.99911729999999999</v>
      </c>
      <c r="N1980">
        <v>0</v>
      </c>
      <c r="O1980">
        <v>4.151908E-2</v>
      </c>
      <c r="P1980">
        <v>-0.98042660000000004</v>
      </c>
      <c r="Q1980">
        <v>0.18036379999999999</v>
      </c>
      <c r="R1980">
        <v>7.894603E-2</v>
      </c>
      <c r="S1980">
        <v>-3.0503230000000001</v>
      </c>
      <c r="T1980">
        <v>-9.2285870000000006E-2</v>
      </c>
      <c r="U1980">
        <v>0.32785029999999998</v>
      </c>
      <c r="V1980">
        <v>3.9474000000000002E-2</v>
      </c>
      <c r="W1980">
        <v>0.18636849999999999</v>
      </c>
      <c r="X1980">
        <v>0.98168659999999996</v>
      </c>
      <c r="Y1980">
        <v>6.5479889999999999E-2</v>
      </c>
      <c r="Z1980">
        <v>-2.638451E-4</v>
      </c>
      <c r="AA1980">
        <v>0.99785389999999996</v>
      </c>
      <c r="AB1980">
        <v>40</v>
      </c>
      <c r="AC1980">
        <v>-36.130999999999901</v>
      </c>
      <c r="AD1980">
        <v>-1.105960180052</v>
      </c>
      <c r="AE1980">
        <v>3.9105000000000101</v>
      </c>
      <c r="AF1980">
        <v>2.4047443579597898</v>
      </c>
      <c r="AG1980">
        <v>-1.105960180052</v>
      </c>
      <c r="AH1980">
        <v>36.2286554275763</v>
      </c>
      <c r="AI1980">
        <v>91.744701039132295</v>
      </c>
      <c r="AJ1980">
        <v>86.2024567593445</v>
      </c>
      <c r="AK1980">
        <v>36.325217376322101</v>
      </c>
      <c r="AL1980">
        <v>79.259070581855298</v>
      </c>
      <c r="AM1980">
        <v>87.697354916753</v>
      </c>
      <c r="AN1980">
        <v>0.99999999754390501</v>
      </c>
    </row>
    <row r="1981" spans="1:40" x14ac:dyDescent="0.25">
      <c r="A1981" t="str">
        <f>"20190312172931018"</f>
        <v>20190312172931018</v>
      </c>
      <c r="B1981" t="str">
        <f>"1552382971009718"</f>
        <v>1552382971009718</v>
      </c>
      <c r="C1981" t="s">
        <v>40</v>
      </c>
      <c r="D1981">
        <v>3.387931</v>
      </c>
      <c r="E1981">
        <v>0.51449990000000001</v>
      </c>
      <c r="F1981" t="s">
        <v>48</v>
      </c>
      <c r="G1981">
        <v>-303.10899999999998</v>
      </c>
      <c r="H1981" s="1">
        <v>3.298276E-6</v>
      </c>
      <c r="I1981">
        <v>285.92989999999998</v>
      </c>
      <c r="J1981">
        <v>-264.50650000000002</v>
      </c>
      <c r="K1981">
        <v>1.105955</v>
      </c>
      <c r="L1981">
        <v>281.8177</v>
      </c>
      <c r="M1981">
        <v>-0.99901549999999995</v>
      </c>
      <c r="N1981">
        <v>0</v>
      </c>
      <c r="O1981">
        <v>4.3897600000000002E-2</v>
      </c>
      <c r="P1981">
        <v>-0.98016590000000003</v>
      </c>
      <c r="Q1981">
        <v>0.18090349999999999</v>
      </c>
      <c r="R1981">
        <v>8.0924720000000006E-2</v>
      </c>
      <c r="S1981">
        <v>-3.0498349999999999</v>
      </c>
      <c r="T1981">
        <v>-8.6566210000000005E-2</v>
      </c>
      <c r="U1981">
        <v>0.3231812</v>
      </c>
      <c r="V1981">
        <v>3.9131619999999999E-2</v>
      </c>
      <c r="W1981">
        <v>0.18692919999999999</v>
      </c>
      <c r="X1981">
        <v>0.98159370000000001</v>
      </c>
      <c r="Y1981">
        <v>6.1614040000000002E-2</v>
      </c>
      <c r="Z1981">
        <v>-3.6945709999999999E-4</v>
      </c>
      <c r="AA1981">
        <v>0.99809999999999999</v>
      </c>
      <c r="AB1981">
        <v>40</v>
      </c>
      <c r="AC1981">
        <v>-38.602499999999999</v>
      </c>
      <c r="AD1981">
        <v>-1.1059517017239999</v>
      </c>
      <c r="AE1981">
        <v>4.1121999999999703</v>
      </c>
      <c r="AF1981">
        <v>2.4116866337375198</v>
      </c>
      <c r="AG1981">
        <v>-1.1059517017239999</v>
      </c>
      <c r="AH1981">
        <v>38.714385946117901</v>
      </c>
      <c r="AI1981">
        <v>91.633156301819696</v>
      </c>
      <c r="AJ1981">
        <v>86.435404093509504</v>
      </c>
      <c r="AK1981">
        <v>38.805193476786897</v>
      </c>
      <c r="AL1981">
        <v>79.226370217853002</v>
      </c>
      <c r="AM1981">
        <v>87.717090010944801</v>
      </c>
      <c r="AN1981">
        <v>1.00000000068807</v>
      </c>
    </row>
    <row r="1982" spans="1:40" x14ac:dyDescent="0.25">
      <c r="A1982" t="str">
        <f>"20190312172931030"</f>
        <v>20190312172931030</v>
      </c>
      <c r="B1982" t="str">
        <f>"1552382971019478"</f>
        <v>1552382971019478</v>
      </c>
      <c r="C1982" t="s">
        <v>40</v>
      </c>
      <c r="D1982">
        <v>3.3483610000000001</v>
      </c>
      <c r="E1982">
        <v>0.51399870000000003</v>
      </c>
      <c r="F1982" t="s">
        <v>48</v>
      </c>
      <c r="G1982">
        <v>-306.01119999999997</v>
      </c>
      <c r="H1982" s="1">
        <v>2.7621560000000001E-6</v>
      </c>
      <c r="I1982">
        <v>286.17380000000003</v>
      </c>
      <c r="J1982">
        <v>-264.7303</v>
      </c>
      <c r="K1982">
        <v>1.1059479999999999</v>
      </c>
      <c r="L1982">
        <v>281.82859999999999</v>
      </c>
      <c r="M1982">
        <v>-0.99894970000000005</v>
      </c>
      <c r="N1982">
        <v>0</v>
      </c>
      <c r="O1982">
        <v>4.5366980000000001E-2</v>
      </c>
      <c r="P1982">
        <v>-0.9800257</v>
      </c>
      <c r="Q1982">
        <v>0.18108189999999999</v>
      </c>
      <c r="R1982">
        <v>8.2213659999999994E-2</v>
      </c>
      <c r="S1982">
        <v>-3.0492859999999999</v>
      </c>
      <c r="T1982">
        <v>-8.1252690000000002E-2</v>
      </c>
      <c r="U1982">
        <v>0.32003779999999998</v>
      </c>
      <c r="V1982">
        <v>3.8984650000000003E-2</v>
      </c>
      <c r="W1982">
        <v>0.18711990000000001</v>
      </c>
      <c r="X1982">
        <v>0.98156319999999997</v>
      </c>
      <c r="Y1982">
        <v>5.9149269999999997E-2</v>
      </c>
      <c r="Z1982">
        <v>-4.1858370000000001E-4</v>
      </c>
      <c r="AA1982">
        <v>0.9982491</v>
      </c>
      <c r="AB1982">
        <v>41</v>
      </c>
      <c r="AC1982">
        <v>-41.280899999999903</v>
      </c>
      <c r="AD1982">
        <v>-1.105945237844</v>
      </c>
      <c r="AE1982">
        <v>4.3452000000000304</v>
      </c>
      <c r="AF1982">
        <v>2.4661468133612399</v>
      </c>
      <c r="AG1982">
        <v>-1.105945237844</v>
      </c>
      <c r="AH1982">
        <v>41.4061343321236</v>
      </c>
      <c r="AI1982">
        <v>91.527283805926004</v>
      </c>
      <c r="AJ1982">
        <v>86.591493521351097</v>
      </c>
      <c r="AK1982">
        <v>41.494252075486699</v>
      </c>
      <c r="AL1982">
        <v>79.215247516612905</v>
      </c>
      <c r="AM1982">
        <v>87.725584515824707</v>
      </c>
      <c r="AN1982">
        <v>0.99999998775293597</v>
      </c>
    </row>
    <row r="1983" spans="1:40" x14ac:dyDescent="0.25">
      <c r="A1983" t="str">
        <f>"20190312172931051"</f>
        <v>20190312172931051</v>
      </c>
      <c r="B1983" t="str">
        <f>"1552382971049734"</f>
        <v>1552382971049734</v>
      </c>
      <c r="C1983" t="s">
        <v>40</v>
      </c>
      <c r="D1983">
        <v>3.3443399999999999</v>
      </c>
      <c r="E1983">
        <v>0.51257739999999996</v>
      </c>
      <c r="F1983" t="s">
        <v>48</v>
      </c>
      <c r="G1983">
        <v>-307.19220000000001</v>
      </c>
      <c r="H1983" s="1">
        <v>2.5428099999999999E-6</v>
      </c>
      <c r="I1983">
        <v>286.28649999999999</v>
      </c>
      <c r="J1983">
        <v>-265.12619999999998</v>
      </c>
      <c r="K1983">
        <v>1.1059369999999999</v>
      </c>
      <c r="L1983">
        <v>281.84840000000003</v>
      </c>
      <c r="M1983">
        <v>-0.9988283</v>
      </c>
      <c r="N1983">
        <v>0</v>
      </c>
      <c r="O1983">
        <v>4.7964130000000001E-2</v>
      </c>
      <c r="P1983">
        <v>-0.97989269999999995</v>
      </c>
      <c r="Q1983">
        <v>0.1809596</v>
      </c>
      <c r="R1983">
        <v>8.4048109999999995E-2</v>
      </c>
      <c r="S1983">
        <v>-3.04895</v>
      </c>
      <c r="T1983">
        <v>-7.9411629999999997E-2</v>
      </c>
      <c r="U1983">
        <v>0.32009890000000002</v>
      </c>
      <c r="V1983">
        <v>3.8272970000000003E-2</v>
      </c>
      <c r="W1983">
        <v>0.18702389999999999</v>
      </c>
      <c r="X1983">
        <v>0.98160950000000002</v>
      </c>
      <c r="Y1983">
        <v>5.658672E-2</v>
      </c>
      <c r="Z1983">
        <v>-5.0973279999999999E-4</v>
      </c>
      <c r="AA1983">
        <v>0.99839750000000005</v>
      </c>
      <c r="AB1983">
        <v>41</v>
      </c>
      <c r="AC1983">
        <v>-42.066000000000003</v>
      </c>
      <c r="AD1983">
        <v>-1.1059344571900001</v>
      </c>
      <c r="AE1983">
        <v>4.4380999999999604</v>
      </c>
      <c r="AF1983">
        <v>2.4136409512907</v>
      </c>
      <c r="AG1983">
        <v>-1.1059344571900001</v>
      </c>
      <c r="AH1983">
        <v>42.201608368357903</v>
      </c>
      <c r="AI1983">
        <v>91.498700368828395</v>
      </c>
      <c r="AJ1983">
        <v>86.726642556134493</v>
      </c>
      <c r="AK1983">
        <v>42.285038755351799</v>
      </c>
      <c r="AL1983">
        <v>79.220846728686098</v>
      </c>
      <c r="AM1983">
        <v>87.767167654653093</v>
      </c>
      <c r="AN1983">
        <v>0.99999998494704001</v>
      </c>
    </row>
    <row r="1984" spans="1:40" x14ac:dyDescent="0.25">
      <c r="A1984" t="str">
        <f>"20190312172931064"</f>
        <v>20190312172931064</v>
      </c>
      <c r="B1984" t="str">
        <f>"1552382971059494"</f>
        <v>1552382971059494</v>
      </c>
      <c r="C1984" t="s">
        <v>40</v>
      </c>
      <c r="D1984">
        <v>3.3323969999999998</v>
      </c>
      <c r="E1984">
        <v>0.51220489999999996</v>
      </c>
      <c r="F1984" t="s">
        <v>48</v>
      </c>
      <c r="G1984">
        <v>-308.80619999999999</v>
      </c>
      <c r="H1984" s="1">
        <v>2.2502410000000001E-6</v>
      </c>
      <c r="I1984">
        <v>286.35829999999999</v>
      </c>
      <c r="J1984">
        <v>-265.3519</v>
      </c>
      <c r="K1984">
        <v>1.1059289999999999</v>
      </c>
      <c r="L1984">
        <v>281.86009999999999</v>
      </c>
      <c r="M1984">
        <v>-0.99875610000000004</v>
      </c>
      <c r="N1984">
        <v>0</v>
      </c>
      <c r="O1984">
        <v>4.9442859999999998E-2</v>
      </c>
      <c r="P1984">
        <v>-0.97983750000000003</v>
      </c>
      <c r="Q1984">
        <v>0.1808273</v>
      </c>
      <c r="R1984">
        <v>8.4970710000000005E-2</v>
      </c>
      <c r="S1984">
        <v>-3.0488279999999999</v>
      </c>
      <c r="T1984">
        <v>-7.7193380000000006E-2</v>
      </c>
      <c r="U1984">
        <v>0.31478879999999998</v>
      </c>
      <c r="V1984">
        <v>3.7744319999999998E-2</v>
      </c>
      <c r="W1984">
        <v>0.18690770000000001</v>
      </c>
      <c r="X1984">
        <v>0.98165210000000003</v>
      </c>
      <c r="Y1984">
        <v>5.3393839999999998E-2</v>
      </c>
      <c r="Z1984">
        <v>-5.7313820000000001E-4</v>
      </c>
      <c r="AA1984">
        <v>0.99857340000000006</v>
      </c>
      <c r="AB1984">
        <v>41</v>
      </c>
      <c r="AC1984">
        <v>-43.454299999999897</v>
      </c>
      <c r="AD1984">
        <v>-1.105926749759</v>
      </c>
      <c r="AE1984">
        <v>4.49819999999999</v>
      </c>
      <c r="AF1984">
        <v>2.34264735040058</v>
      </c>
      <c r="AG1984">
        <v>-1.105926749759</v>
      </c>
      <c r="AH1984">
        <v>43.595621300693999</v>
      </c>
      <c r="AI1984">
        <v>91.451065911583001</v>
      </c>
      <c r="AJ1984">
        <v>86.924121432262893</v>
      </c>
      <c r="AK1984">
        <v>43.672523022808001</v>
      </c>
      <c r="AL1984">
        <v>79.227623992669606</v>
      </c>
      <c r="AM1984">
        <v>87.798073812378306</v>
      </c>
      <c r="AN1984">
        <v>0.99999998372298105</v>
      </c>
    </row>
    <row r="1985" spans="1:40" x14ac:dyDescent="0.25">
      <c r="A1985" t="str">
        <f>"20190312172931075"</f>
        <v>20190312172931075</v>
      </c>
      <c r="B1985" t="str">
        <f>"1552382971069254"</f>
        <v>1552382971069254</v>
      </c>
      <c r="C1985" t="s">
        <v>40</v>
      </c>
      <c r="D1985">
        <v>3.3177829999999999</v>
      </c>
      <c r="E1985">
        <v>0.51178780000000001</v>
      </c>
      <c r="F1985" t="s">
        <v>48</v>
      </c>
      <c r="G1985">
        <v>-309.24400000000003</v>
      </c>
      <c r="H1985" s="1">
        <v>2.1694610000000001E-6</v>
      </c>
      <c r="I1985">
        <v>286.39409999999998</v>
      </c>
      <c r="J1985">
        <v>-265.56509999999997</v>
      </c>
      <c r="K1985">
        <v>1.105915</v>
      </c>
      <c r="L1985">
        <v>281.8716</v>
      </c>
      <c r="M1985">
        <v>-0.99868599999999996</v>
      </c>
      <c r="N1985">
        <v>0</v>
      </c>
      <c r="O1985">
        <v>5.0838330000000001E-2</v>
      </c>
      <c r="P1985">
        <v>-0.97975869999999998</v>
      </c>
      <c r="Q1985">
        <v>0.18077979999999999</v>
      </c>
      <c r="R1985">
        <v>8.5974640000000005E-2</v>
      </c>
      <c r="S1985">
        <v>-3.0485530000000001</v>
      </c>
      <c r="T1985">
        <v>-7.6812980000000003E-2</v>
      </c>
      <c r="U1985">
        <v>0.31491089999999999</v>
      </c>
      <c r="V1985">
        <v>3.7380099999999999E-2</v>
      </c>
      <c r="W1985">
        <v>0.18687390000000001</v>
      </c>
      <c r="X1985">
        <v>0.98167249999999995</v>
      </c>
      <c r="Y1985">
        <v>5.204814E-2</v>
      </c>
      <c r="Z1985">
        <v>-6.2225460000000002E-4</v>
      </c>
      <c r="AA1985">
        <v>0.99864439999999999</v>
      </c>
      <c r="AB1985">
        <v>41</v>
      </c>
      <c r="AC1985">
        <v>-43.678899999999999</v>
      </c>
      <c r="AD1985">
        <v>-1.105912830539</v>
      </c>
      <c r="AE1985">
        <v>4.5224999999999804</v>
      </c>
      <c r="AF1985">
        <v>2.2945876536878198</v>
      </c>
      <c r="AG1985">
        <v>-1.105912830539</v>
      </c>
      <c r="AH1985">
        <v>43.824541273101701</v>
      </c>
      <c r="AI1985">
        <v>91.443576370308605</v>
      </c>
      <c r="AJ1985">
        <v>87.002815234650598</v>
      </c>
      <c r="AK1985">
        <v>43.898503317163403</v>
      </c>
      <c r="AL1985">
        <v>79.229595629726902</v>
      </c>
      <c r="AM1985">
        <v>87.819346319464898</v>
      </c>
      <c r="AN1985">
        <v>1.00000001181673</v>
      </c>
    </row>
    <row r="1986" spans="1:40" x14ac:dyDescent="0.25">
      <c r="A1986" t="str">
        <f>"20190312172931096"</f>
        <v>20190312172931096</v>
      </c>
      <c r="B1986" t="str">
        <f>"1552382971089750"</f>
        <v>1552382971089750</v>
      </c>
      <c r="C1986" t="s">
        <v>40</v>
      </c>
      <c r="D1986">
        <v>3.3332869999999999</v>
      </c>
      <c r="E1986">
        <v>0.51092340000000003</v>
      </c>
      <c r="F1986" t="s">
        <v>48</v>
      </c>
      <c r="G1986">
        <v>-309.56209999999999</v>
      </c>
      <c r="H1986" s="1">
        <v>2.1107840000000002E-6</v>
      </c>
      <c r="I1986">
        <v>286.4196</v>
      </c>
      <c r="J1986">
        <v>-265.93959999999998</v>
      </c>
      <c r="K1986">
        <v>1.105896</v>
      </c>
      <c r="L1986">
        <v>281.89249999999998</v>
      </c>
      <c r="M1986">
        <v>-0.99855819999999995</v>
      </c>
      <c r="N1986">
        <v>0</v>
      </c>
      <c r="O1986">
        <v>5.3287130000000002E-2</v>
      </c>
      <c r="P1986">
        <v>-0.97961370000000003</v>
      </c>
      <c r="Q1986">
        <v>0.18068129999999999</v>
      </c>
      <c r="R1986">
        <v>8.7814950000000003E-2</v>
      </c>
      <c r="S1986">
        <v>-3.0484619999999998</v>
      </c>
      <c r="T1986">
        <v>-7.6626420000000001E-2</v>
      </c>
      <c r="U1986">
        <v>0.31512449999999997</v>
      </c>
      <c r="V1986">
        <v>3.681951E-2</v>
      </c>
      <c r="W1986">
        <v>0.18679989999999999</v>
      </c>
      <c r="X1986">
        <v>0.98170780000000002</v>
      </c>
      <c r="Y1986">
        <v>4.967295E-2</v>
      </c>
      <c r="Z1986">
        <v>-7.1176369999999896E-4</v>
      </c>
      <c r="AA1986">
        <v>0.99876529999999997</v>
      </c>
      <c r="AB1986">
        <v>41</v>
      </c>
      <c r="AC1986">
        <v>-43.622500000000002</v>
      </c>
      <c r="AD1986">
        <v>-1.105893889216</v>
      </c>
      <c r="AE1986">
        <v>4.5271000000000097</v>
      </c>
      <c r="AF1986">
        <v>2.1947056211034899</v>
      </c>
      <c r="AG1986">
        <v>-1.105893889216</v>
      </c>
      <c r="AH1986">
        <v>43.773927585509803</v>
      </c>
      <c r="AI1986">
        <v>91.445384080917407</v>
      </c>
      <c r="AJ1986">
        <v>87.129748933997604</v>
      </c>
      <c r="AK1986">
        <v>43.8428611100937</v>
      </c>
      <c r="AL1986">
        <v>79.233911842346103</v>
      </c>
      <c r="AM1986">
        <v>87.852095918127105</v>
      </c>
      <c r="AN1986">
        <v>1.00000004176874</v>
      </c>
    </row>
    <row r="1987" spans="1:40" x14ac:dyDescent="0.25">
      <c r="A1987" t="str">
        <f>"20190312172931108"</f>
        <v>20190312172931108</v>
      </c>
      <c r="B1987" t="str">
        <f>"1552382971099510"</f>
        <v>1552382971099510</v>
      </c>
      <c r="C1987" t="s">
        <v>40</v>
      </c>
      <c r="D1987">
        <v>3.3266200000000001</v>
      </c>
      <c r="E1987">
        <v>0.51050529999999905</v>
      </c>
      <c r="F1987" t="s">
        <v>48</v>
      </c>
      <c r="G1987">
        <v>-310.53339999999997</v>
      </c>
      <c r="H1987" s="1">
        <v>2.2896629999999999E-6</v>
      </c>
      <c r="I1987">
        <v>286.4905</v>
      </c>
      <c r="J1987">
        <v>-266.15690000000001</v>
      </c>
      <c r="K1987">
        <v>1.105891</v>
      </c>
      <c r="L1987">
        <v>281.9049</v>
      </c>
      <c r="M1987">
        <v>-0.99848130000000002</v>
      </c>
      <c r="N1987">
        <v>0</v>
      </c>
      <c r="O1987">
        <v>5.4706970000000001E-2</v>
      </c>
      <c r="P1987">
        <v>-0.9795142</v>
      </c>
      <c r="Q1987">
        <v>0.18058540000000001</v>
      </c>
      <c r="R1987">
        <v>8.9111070000000001E-2</v>
      </c>
      <c r="S1987">
        <v>-3.048187</v>
      </c>
      <c r="T1987">
        <v>-7.5592880000000001E-2</v>
      </c>
      <c r="U1987">
        <v>0.31430049999999998</v>
      </c>
      <c r="V1987">
        <v>3.6723510000000001E-2</v>
      </c>
      <c r="W1987">
        <v>0.1867161</v>
      </c>
      <c r="X1987">
        <v>0.98172729999999997</v>
      </c>
      <c r="Y1987">
        <v>4.7995679999999999E-2</v>
      </c>
      <c r="Z1987">
        <v>-7.5800710000000003E-4</v>
      </c>
      <c r="AA1987">
        <v>0.99884720000000005</v>
      </c>
      <c r="AB1987">
        <v>41</v>
      </c>
      <c r="AC1987">
        <v>-44.376499999999901</v>
      </c>
      <c r="AD1987">
        <v>-1.1058887103370001</v>
      </c>
      <c r="AE1987">
        <v>4.5856000000000003</v>
      </c>
      <c r="AF1987">
        <v>2.1496565157834699</v>
      </c>
      <c r="AG1987">
        <v>-1.1058887103370001</v>
      </c>
      <c r="AH1987">
        <v>44.533546113441098</v>
      </c>
      <c r="AI1987">
        <v>91.420863523131004</v>
      </c>
      <c r="AJ1987">
        <v>87.236449166840899</v>
      </c>
      <c r="AK1987">
        <v>44.599111453183497</v>
      </c>
      <c r="AL1987">
        <v>79.238798815433697</v>
      </c>
      <c r="AM1987">
        <v>87.857733465111295</v>
      </c>
      <c r="AN1987">
        <v>1.0000000048756099</v>
      </c>
    </row>
    <row r="1988" spans="1:40" x14ac:dyDescent="0.25">
      <c r="A1988" t="str">
        <f>"20190312172931119"</f>
        <v>20190312172931119</v>
      </c>
      <c r="B1988" t="str">
        <f>"1552382971109270"</f>
        <v>1552382971109270</v>
      </c>
      <c r="C1988" t="s">
        <v>40</v>
      </c>
      <c r="D1988">
        <v>3.374228</v>
      </c>
      <c r="E1988">
        <v>0.51013549999999996</v>
      </c>
      <c r="F1988" t="s">
        <v>48</v>
      </c>
      <c r="G1988">
        <v>-310.64049999999997</v>
      </c>
      <c r="H1988" s="1">
        <v>2.336307E-6</v>
      </c>
      <c r="I1988">
        <v>286.50029999999998</v>
      </c>
      <c r="J1988">
        <v>-266.36439999999999</v>
      </c>
      <c r="K1988">
        <v>1.1058840000000001</v>
      </c>
      <c r="L1988">
        <v>281.9171</v>
      </c>
      <c r="M1988">
        <v>-0.99840620000000002</v>
      </c>
      <c r="N1988">
        <v>0</v>
      </c>
      <c r="O1988">
        <v>5.6062679999999997E-2</v>
      </c>
      <c r="P1988">
        <v>-0.9794524</v>
      </c>
      <c r="Q1988">
        <v>0.1803942</v>
      </c>
      <c r="R1988">
        <v>9.0172790000000003E-2</v>
      </c>
      <c r="S1988">
        <v>-3.0480649999999998</v>
      </c>
      <c r="T1988">
        <v>-7.5776699999999905E-2</v>
      </c>
      <c r="U1988">
        <v>0.3148804</v>
      </c>
      <c r="V1988">
        <v>3.6453810000000003E-2</v>
      </c>
      <c r="W1988">
        <v>0.18653810000000001</v>
      </c>
      <c r="X1988">
        <v>0.98177119999999996</v>
      </c>
      <c r="Y1988">
        <v>4.6832249999999999E-2</v>
      </c>
      <c r="Z1988">
        <v>-8.0781519999999999E-4</v>
      </c>
      <c r="AA1988">
        <v>0.99890239999999997</v>
      </c>
      <c r="AB1988">
        <v>41</v>
      </c>
      <c r="AC1988">
        <v>-44.2760999999999</v>
      </c>
      <c r="AD1988">
        <v>-1.105881663693</v>
      </c>
      <c r="AE1988">
        <v>4.5831999999999704</v>
      </c>
      <c r="AF1988">
        <v>2.0924109683845802</v>
      </c>
      <c r="AG1988">
        <v>-1.105881663693</v>
      </c>
      <c r="AH1988">
        <v>44.435986362436601</v>
      </c>
      <c r="AI1988">
        <v>91.424052751363405</v>
      </c>
      <c r="AJ1988">
        <v>87.304035826650605</v>
      </c>
      <c r="AK1988">
        <v>44.498966751120903</v>
      </c>
      <c r="AL1988">
        <v>79.249179972287493</v>
      </c>
      <c r="AM1988">
        <v>87.873546922462907</v>
      </c>
      <c r="AN1988">
        <v>1.00000001608228</v>
      </c>
    </row>
    <row r="1989" spans="1:40" x14ac:dyDescent="0.25">
      <c r="A1989" t="str">
        <f>"20190312172931130"</f>
        <v>20190312172931130</v>
      </c>
      <c r="B1989" t="str">
        <f>"1552382971119030"</f>
        <v>1552382971119030</v>
      </c>
      <c r="C1989" t="s">
        <v>40</v>
      </c>
      <c r="D1989">
        <v>3.369291</v>
      </c>
      <c r="E1989">
        <v>0.5097682</v>
      </c>
      <c r="F1989" t="s">
        <v>48</v>
      </c>
      <c r="G1989">
        <v>-310.67129999999997</v>
      </c>
      <c r="H1989" s="1">
        <v>2.3503359999999999E-6</v>
      </c>
      <c r="I1989">
        <v>286.49630000000002</v>
      </c>
      <c r="J1989">
        <v>-266.57229999999998</v>
      </c>
      <c r="K1989">
        <v>1.1058760000000001</v>
      </c>
      <c r="L1989">
        <v>281.92970000000003</v>
      </c>
      <c r="M1989">
        <v>-0.99832889999999996</v>
      </c>
      <c r="N1989">
        <v>0</v>
      </c>
      <c r="O1989">
        <v>5.7419400000000002E-2</v>
      </c>
      <c r="P1989">
        <v>-0.9793963</v>
      </c>
      <c r="Q1989">
        <v>0.180139299999999</v>
      </c>
      <c r="R1989">
        <v>9.1286350000000002E-2</v>
      </c>
      <c r="S1989">
        <v>-3.047882</v>
      </c>
      <c r="T1989">
        <v>-7.6073879999999997E-2</v>
      </c>
      <c r="U1989">
        <v>0.31500240000000002</v>
      </c>
      <c r="V1989">
        <v>3.6234269999999999E-2</v>
      </c>
      <c r="W1989">
        <v>0.18629589999999999</v>
      </c>
      <c r="X1989">
        <v>0.98182530000000001</v>
      </c>
      <c r="Y1989">
        <v>4.5521300000000001E-2</v>
      </c>
      <c r="Z1989">
        <v>-8.6102179999999996E-4</v>
      </c>
      <c r="AA1989">
        <v>0.99896300000000005</v>
      </c>
      <c r="AB1989">
        <v>41</v>
      </c>
      <c r="AC1989">
        <v>-44.098999999999897</v>
      </c>
      <c r="AD1989">
        <v>-1.105873649664</v>
      </c>
      <c r="AE1989">
        <v>4.5665999999999896</v>
      </c>
      <c r="AF1989">
        <v>2.0256133132938401</v>
      </c>
      <c r="AG1989">
        <v>-1.105873649664</v>
      </c>
      <c r="AH1989">
        <v>44.260918370944403</v>
      </c>
      <c r="AI1989">
        <v>91.429760294131597</v>
      </c>
      <c r="AJ1989">
        <v>87.379670990951695</v>
      </c>
      <c r="AK1989">
        <v>44.321044221266</v>
      </c>
      <c r="AL1989">
        <v>79.263304453802903</v>
      </c>
      <c r="AM1989">
        <v>87.886458016285005</v>
      </c>
      <c r="AN1989">
        <v>1.00000000219966</v>
      </c>
    </row>
    <row r="1990" spans="1:40" x14ac:dyDescent="0.25">
      <c r="A1990" t="str">
        <f>"20190312172931142"</f>
        <v>20190312172931142</v>
      </c>
      <c r="B1990" t="str">
        <f>"1552382971139526"</f>
        <v>1552382971139526</v>
      </c>
      <c r="C1990" t="s">
        <v>40</v>
      </c>
      <c r="D1990">
        <v>3.3672240000000002</v>
      </c>
      <c r="E1990">
        <v>0.5091388</v>
      </c>
      <c r="F1990" t="s">
        <v>48</v>
      </c>
      <c r="G1990">
        <v>-310.50409999999999</v>
      </c>
      <c r="H1990" s="1">
        <v>2.2775959999999999E-6</v>
      </c>
      <c r="I1990">
        <v>286.47989999999999</v>
      </c>
      <c r="J1990">
        <v>-266.78590000000003</v>
      </c>
      <c r="K1990">
        <v>1.1058730000000001</v>
      </c>
      <c r="L1990">
        <v>281.9427</v>
      </c>
      <c r="M1990">
        <v>-0.99824769999999896</v>
      </c>
      <c r="N1990">
        <v>0</v>
      </c>
      <c r="O1990">
        <v>5.8812419999999997E-2</v>
      </c>
      <c r="P1990">
        <v>-0.97927589999999998</v>
      </c>
      <c r="Q1990">
        <v>0.18004600000000001</v>
      </c>
      <c r="R1990">
        <v>9.2749129999999999E-2</v>
      </c>
      <c r="S1990">
        <v>-3.0477910000000001</v>
      </c>
      <c r="T1990">
        <v>-7.6720709999999998E-2</v>
      </c>
      <c r="U1990">
        <v>0.3156738</v>
      </c>
      <c r="V1990">
        <v>3.6331960000000003E-2</v>
      </c>
      <c r="W1990">
        <v>0.1862134</v>
      </c>
      <c r="X1990">
        <v>0.98183730000000002</v>
      </c>
      <c r="Y1990">
        <v>4.434896E-2</v>
      </c>
      <c r="Z1990">
        <v>-9.1793889999999996E-4</v>
      </c>
      <c r="AA1990">
        <v>0.99901569999999995</v>
      </c>
      <c r="AB1990">
        <v>41</v>
      </c>
      <c r="AC1990">
        <v>-43.718199999999896</v>
      </c>
      <c r="AD1990">
        <v>-1.1058707224040001</v>
      </c>
      <c r="AE1990">
        <v>4.5371999999999799</v>
      </c>
      <c r="AF1990">
        <v>1.9568792771389101</v>
      </c>
      <c r="AG1990">
        <v>-1.1058707224040001</v>
      </c>
      <c r="AH1990">
        <v>43.881593396743</v>
      </c>
      <c r="AI1990">
        <v>91.442186629894493</v>
      </c>
      <c r="AJ1990">
        <v>87.446613043305902</v>
      </c>
      <c r="AK1990">
        <v>43.939123404968399</v>
      </c>
      <c r="AL1990">
        <v>79.268115113095206</v>
      </c>
      <c r="AM1990">
        <v>87.880790833003303</v>
      </c>
      <c r="AN1990">
        <v>0.99999996266414504</v>
      </c>
    </row>
    <row r="1991" spans="1:40" x14ac:dyDescent="0.25">
      <c r="A1991" t="str">
        <f>"20190312172931154"</f>
        <v>20190312172931154</v>
      </c>
      <c r="B1991" t="str">
        <f>"1552382971149287"</f>
        <v>1552382971149287</v>
      </c>
      <c r="C1991" t="s">
        <v>40</v>
      </c>
      <c r="D1991">
        <v>3.3824269999999999</v>
      </c>
      <c r="E1991">
        <v>0.50882150000000004</v>
      </c>
      <c r="F1991" t="s">
        <v>48</v>
      </c>
      <c r="G1991">
        <v>-310.4984</v>
      </c>
      <c r="H1991" s="1">
        <v>2.2763499999999998E-6</v>
      </c>
      <c r="I1991">
        <v>286.46539999999999</v>
      </c>
      <c r="J1991">
        <v>-266.99400000000003</v>
      </c>
      <c r="K1991">
        <v>1.105866</v>
      </c>
      <c r="L1991">
        <v>281.95589999999999</v>
      </c>
      <c r="M1991">
        <v>-0.99816669999999996</v>
      </c>
      <c r="N1991">
        <v>0</v>
      </c>
      <c r="O1991">
        <v>6.016879E-2</v>
      </c>
      <c r="P1991">
        <v>-0.97920750000000001</v>
      </c>
      <c r="Q1991">
        <v>0.17980699999999999</v>
      </c>
      <c r="R1991">
        <v>9.3927700000000003E-2</v>
      </c>
      <c r="S1991">
        <v>-3.0478209999999999</v>
      </c>
      <c r="T1991">
        <v>-7.7105999999999994E-2</v>
      </c>
      <c r="U1991">
        <v>0.31533810000000001</v>
      </c>
      <c r="V1991">
        <v>3.6177870000000001E-2</v>
      </c>
      <c r="W1991">
        <v>0.1859866</v>
      </c>
      <c r="X1991">
        <v>0.98188600000000004</v>
      </c>
      <c r="Y1991">
        <v>4.2882499999999997E-2</v>
      </c>
      <c r="Z1991">
        <v>-9.7516279999999996E-4</v>
      </c>
      <c r="AA1991">
        <v>0.99907959999999996</v>
      </c>
      <c r="AB1991">
        <v>41</v>
      </c>
      <c r="AC1991">
        <v>-43.504399999999897</v>
      </c>
      <c r="AD1991">
        <v>-1.10586372365</v>
      </c>
      <c r="AE1991">
        <v>4.5095000000000001</v>
      </c>
      <c r="AF1991">
        <v>1.8824626508655</v>
      </c>
      <c r="AG1991">
        <v>-1.10586372365</v>
      </c>
      <c r="AH1991">
        <v>43.668996075545799</v>
      </c>
      <c r="AI1991">
        <v>91.449289868217505</v>
      </c>
      <c r="AJ1991">
        <v>87.531648533242304</v>
      </c>
      <c r="AK1991">
        <v>43.723538494193598</v>
      </c>
      <c r="AL1991">
        <v>79.281341084947996</v>
      </c>
      <c r="AM1991">
        <v>87.889875184640402</v>
      </c>
      <c r="AN1991">
        <v>0.99999998532664802</v>
      </c>
    </row>
    <row r="1992" spans="1:40" x14ac:dyDescent="0.25">
      <c r="A1992" t="str">
        <f>"20190312172931175"</f>
        <v>20190312172931175</v>
      </c>
      <c r="B1992" t="str">
        <f>"1552382971169781"</f>
        <v>1552382971169781</v>
      </c>
      <c r="C1992" t="s">
        <v>40</v>
      </c>
      <c r="D1992">
        <v>3.3642970000000001</v>
      </c>
      <c r="E1992">
        <v>0.50818920000000001</v>
      </c>
      <c r="F1992" t="s">
        <v>48</v>
      </c>
      <c r="G1992">
        <v>-310.3603</v>
      </c>
      <c r="H1992" s="1">
        <v>2.2157140000000002E-6</v>
      </c>
      <c r="I1992">
        <v>286.45859999999999</v>
      </c>
      <c r="J1992">
        <v>-267.39190000000002</v>
      </c>
      <c r="K1992">
        <v>1.105847</v>
      </c>
      <c r="L1992">
        <v>281.98180000000002</v>
      </c>
      <c r="M1992">
        <v>-0.99800710000000004</v>
      </c>
      <c r="N1992">
        <v>0</v>
      </c>
      <c r="O1992">
        <v>6.2761709999999998E-2</v>
      </c>
      <c r="P1992">
        <v>-0.9790314</v>
      </c>
      <c r="Q1992">
        <v>0.17970159999999999</v>
      </c>
      <c r="R1992">
        <v>9.5943689999999998E-2</v>
      </c>
      <c r="S1992">
        <v>-3.0476679999999998</v>
      </c>
      <c r="T1992">
        <v>-7.7717069999999999E-2</v>
      </c>
      <c r="U1992">
        <v>0.31643680000000002</v>
      </c>
      <c r="V1992">
        <v>3.5651559999999999E-2</v>
      </c>
      <c r="W1992">
        <v>0.18590609999999999</v>
      </c>
      <c r="X1992">
        <v>0.98192049999999997</v>
      </c>
      <c r="Y1992">
        <v>4.0649970000000001E-2</v>
      </c>
      <c r="Z1992">
        <v>-1.0770350000000001E-3</v>
      </c>
      <c r="AA1992">
        <v>0.99917290000000003</v>
      </c>
      <c r="AB1992">
        <v>41</v>
      </c>
      <c r="AC1992">
        <v>-42.968399999999903</v>
      </c>
      <c r="AD1992">
        <v>-1.105844784286</v>
      </c>
      <c r="AE1992">
        <v>4.4767999999999599</v>
      </c>
      <c r="AF1992">
        <v>1.7699860574195601</v>
      </c>
      <c r="AG1992">
        <v>-1.105844784286</v>
      </c>
      <c r="AH1992">
        <v>43.136398812979202</v>
      </c>
      <c r="AI1992">
        <v>91.467278908417896</v>
      </c>
      <c r="AJ1992">
        <v>87.650339931630597</v>
      </c>
      <c r="AK1992">
        <v>43.186857328159299</v>
      </c>
      <c r="AL1992">
        <v>79.286035313226094</v>
      </c>
      <c r="AM1992">
        <v>87.920618800327603</v>
      </c>
      <c r="AN1992">
        <v>0.99999999003394602</v>
      </c>
    </row>
    <row r="1993" spans="1:40" x14ac:dyDescent="0.25">
      <c r="A1993" t="str">
        <f>"20190312172931197"</f>
        <v>20190312172931197</v>
      </c>
      <c r="B1993" t="str">
        <f>"1552382971189302"</f>
        <v>1552382971189302</v>
      </c>
      <c r="C1993" t="s">
        <v>40</v>
      </c>
      <c r="D1993">
        <v>3.395737</v>
      </c>
      <c r="E1993">
        <v>0.50755810000000001</v>
      </c>
      <c r="F1993" t="s">
        <v>48</v>
      </c>
      <c r="G1993">
        <v>-310.73829999999998</v>
      </c>
      <c r="H1993" s="1">
        <v>2.3789190000000001E-6</v>
      </c>
      <c r="I1993">
        <v>286.50889999999998</v>
      </c>
      <c r="J1993">
        <v>-267.79590000000002</v>
      </c>
      <c r="K1993">
        <v>1.1058349999999999</v>
      </c>
      <c r="L1993">
        <v>282.00900000000001</v>
      </c>
      <c r="M1993">
        <v>-0.997838</v>
      </c>
      <c r="N1993">
        <v>0</v>
      </c>
      <c r="O1993">
        <v>6.5391179999999993E-2</v>
      </c>
      <c r="P1993">
        <v>-0.97881289999999999</v>
      </c>
      <c r="Q1993">
        <v>0.17977689999999999</v>
      </c>
      <c r="R1993">
        <v>9.8008509999999993E-2</v>
      </c>
      <c r="S1993">
        <v>-3.0473020000000002</v>
      </c>
      <c r="T1993">
        <v>-7.7742339999999993E-2</v>
      </c>
      <c r="U1993">
        <v>0.31826779999999999</v>
      </c>
      <c r="V1993">
        <v>3.5141940000000003E-2</v>
      </c>
      <c r="W1993">
        <v>0.18600630000000001</v>
      </c>
      <c r="X1993">
        <v>0.98191989999999996</v>
      </c>
      <c r="Y1993">
        <v>3.8624890000000002E-2</v>
      </c>
      <c r="Z1993">
        <v>-1.1699080000000001E-3</v>
      </c>
      <c r="AA1993">
        <v>0.99925310000000001</v>
      </c>
      <c r="AB1993">
        <v>41</v>
      </c>
      <c r="AC1993">
        <v>-42.9423999999999</v>
      </c>
      <c r="AD1993">
        <v>-1.1058326210809999</v>
      </c>
      <c r="AE1993">
        <v>4.4998999999999603</v>
      </c>
      <c r="AF1993">
        <v>1.6810507771460801</v>
      </c>
      <c r="AG1993">
        <v>-1.1058326210809999</v>
      </c>
      <c r="AH1993">
        <v>43.116465054027401</v>
      </c>
      <c r="AI1993">
        <v>91.468060623693503</v>
      </c>
      <c r="AJ1993">
        <v>87.767248433311494</v>
      </c>
      <c r="AK1993">
        <v>43.163391389652801</v>
      </c>
      <c r="AL1993">
        <v>79.2801924152417</v>
      </c>
      <c r="AM1993">
        <v>87.950315655600704</v>
      </c>
      <c r="AN1993">
        <v>0.99999999480133095</v>
      </c>
    </row>
    <row r="1994" spans="1:40" x14ac:dyDescent="0.25">
      <c r="A1994" t="str">
        <f>"20190312172931218"</f>
        <v>20190312172931218</v>
      </c>
      <c r="B1994" t="str">
        <f>"1552382971209798"</f>
        <v>1552382971209798</v>
      </c>
      <c r="C1994" t="s">
        <v>40</v>
      </c>
      <c r="D1994">
        <v>3.4364330000000001</v>
      </c>
      <c r="E1994">
        <v>0.50695590000000001</v>
      </c>
      <c r="F1994" t="s">
        <v>48</v>
      </c>
      <c r="G1994">
        <v>-311.34719999999999</v>
      </c>
      <c r="H1994" s="1">
        <v>2.641753E-6</v>
      </c>
      <c r="I1994">
        <v>286.59160000000003</v>
      </c>
      <c r="J1994">
        <v>-268.2056</v>
      </c>
      <c r="K1994">
        <v>1.1058220000000001</v>
      </c>
      <c r="L1994">
        <v>282.0378</v>
      </c>
      <c r="M1994">
        <v>-0.99765959999999998</v>
      </c>
      <c r="N1994">
        <v>0</v>
      </c>
      <c r="O1994">
        <v>6.8056340000000007E-2</v>
      </c>
      <c r="P1994">
        <v>-0.9785625</v>
      </c>
      <c r="Q1994">
        <v>0.1799974</v>
      </c>
      <c r="R1994">
        <v>0.1000829</v>
      </c>
      <c r="S1994">
        <v>-3.0470890000000002</v>
      </c>
      <c r="T1994">
        <v>-7.7370049999999996E-2</v>
      </c>
      <c r="U1994">
        <v>0.32061770000000001</v>
      </c>
      <c r="V1994">
        <v>3.4609790000000001E-2</v>
      </c>
      <c r="W1994">
        <v>0.1862518</v>
      </c>
      <c r="X1994">
        <v>0.98189230000000005</v>
      </c>
      <c r="Y1994">
        <v>3.6726450000000001E-2</v>
      </c>
      <c r="Z1994">
        <v>-1.255609E-3</v>
      </c>
      <c r="AA1994">
        <v>0.99932460000000001</v>
      </c>
      <c r="AB1994">
        <v>41</v>
      </c>
      <c r="AC1994">
        <v>-43.141599999999897</v>
      </c>
      <c r="AD1994">
        <v>-1.105819358247</v>
      </c>
      <c r="AE1994">
        <v>4.5538000000000203</v>
      </c>
      <c r="AF1994">
        <v>1.6060743812373799</v>
      </c>
      <c r="AG1994">
        <v>-1.105819358247</v>
      </c>
      <c r="AH1994">
        <v>43.3233421935848</v>
      </c>
      <c r="AI1994">
        <v>91.461142195343498</v>
      </c>
      <c r="AJ1994">
        <v>87.876914425797295</v>
      </c>
      <c r="AK1994">
        <v>43.367202932557099</v>
      </c>
      <c r="AL1994">
        <v>79.265876507393102</v>
      </c>
      <c r="AM1994">
        <v>87.9812711968451</v>
      </c>
      <c r="AN1994">
        <v>1.0000000296831799</v>
      </c>
    </row>
    <row r="1995" spans="1:40" x14ac:dyDescent="0.25">
      <c r="A1995" t="str">
        <f>"20190312172931231"</f>
        <v>20190312172931231</v>
      </c>
      <c r="B1995" t="str">
        <f>"1552382971219559"</f>
        <v>1552382971219559</v>
      </c>
      <c r="C1995" t="s">
        <v>40</v>
      </c>
      <c r="D1995">
        <v>3.4119380000000001</v>
      </c>
      <c r="E1995">
        <v>0.50666020000000001</v>
      </c>
      <c r="F1995" t="s">
        <v>48</v>
      </c>
      <c r="G1995">
        <v>-312.25779999999997</v>
      </c>
      <c r="H1995" s="1">
        <v>3.0356720000000001E-6</v>
      </c>
      <c r="I1995">
        <v>286.70429999999999</v>
      </c>
      <c r="J1995">
        <v>-268.42</v>
      </c>
      <c r="K1995">
        <v>1.1058159999999999</v>
      </c>
      <c r="L1995">
        <v>282.05329999999998</v>
      </c>
      <c r="M1995">
        <v>-0.99756339999999999</v>
      </c>
      <c r="N1995">
        <v>0</v>
      </c>
      <c r="O1995">
        <v>6.9450369999999997E-2</v>
      </c>
      <c r="P1995">
        <v>-0.97839339999999997</v>
      </c>
      <c r="Q1995">
        <v>0.1803333</v>
      </c>
      <c r="R1995">
        <v>0.1011266</v>
      </c>
      <c r="S1995">
        <v>-3.046783</v>
      </c>
      <c r="T1995">
        <v>-7.6481820000000006E-2</v>
      </c>
      <c r="U1995">
        <v>0.32275389999999998</v>
      </c>
      <c r="V1995">
        <v>3.4294459999999999E-2</v>
      </c>
      <c r="W1995">
        <v>0.18660080000000001</v>
      </c>
      <c r="X1995">
        <v>0.98183699999999996</v>
      </c>
      <c r="Y1995">
        <v>3.6033790000000003E-2</v>
      </c>
      <c r="Z1995">
        <v>-1.2847010000000001E-3</v>
      </c>
      <c r="AA1995">
        <v>0.99934979999999995</v>
      </c>
      <c r="AB1995">
        <v>41</v>
      </c>
      <c r="AC1995">
        <v>-43.837799999999902</v>
      </c>
      <c r="AD1995">
        <v>-1.1058129643279999</v>
      </c>
      <c r="AE1995">
        <v>4.6510000000000096</v>
      </c>
      <c r="AF1995">
        <v>1.59414789002598</v>
      </c>
      <c r="AG1995">
        <v>-1.1058129643279999</v>
      </c>
      <c r="AH1995">
        <v>44.027262736507303</v>
      </c>
      <c r="AI1995">
        <v>91.437828024906395</v>
      </c>
      <c r="AJ1995">
        <v>87.926328915198397</v>
      </c>
      <c r="AK1995">
        <v>44.069989719499503</v>
      </c>
      <c r="AL1995">
        <v>79.245522402852401</v>
      </c>
      <c r="AM1995">
        <v>87.999536261799193</v>
      </c>
      <c r="AN1995">
        <v>0.99999993155816302</v>
      </c>
    </row>
    <row r="1996" spans="1:40" x14ac:dyDescent="0.25">
      <c r="A1996" t="str">
        <f>"20190312172931242"</f>
        <v>20190312172931242</v>
      </c>
      <c r="B1996" t="str">
        <f>"1552382971239078"</f>
        <v>1552382971239078</v>
      </c>
      <c r="C1996" t="s">
        <v>40</v>
      </c>
      <c r="D1996">
        <v>3.4039600000000001</v>
      </c>
      <c r="E1996">
        <v>0.50608260000000005</v>
      </c>
      <c r="F1996" t="s">
        <v>48</v>
      </c>
      <c r="G1996">
        <v>-313.25420000000003</v>
      </c>
      <c r="H1996" s="1">
        <v>3.4674219999999998E-6</v>
      </c>
      <c r="I1996">
        <v>286.82040000000001</v>
      </c>
      <c r="J1996">
        <v>-268.65300000000002</v>
      </c>
      <c r="K1996">
        <v>1.105815</v>
      </c>
      <c r="L1996">
        <v>282.07029999999997</v>
      </c>
      <c r="M1996">
        <v>-0.99745680000000003</v>
      </c>
      <c r="N1996">
        <v>0</v>
      </c>
      <c r="O1996">
        <v>7.0964509999999995E-2</v>
      </c>
      <c r="P1996">
        <v>-0.97825240000000002</v>
      </c>
      <c r="Q1996">
        <v>0.1804384</v>
      </c>
      <c r="R1996">
        <v>0.1022956</v>
      </c>
      <c r="S1996">
        <v>-3.0466609999999998</v>
      </c>
      <c r="T1996">
        <v>-7.5144290000000002E-2</v>
      </c>
      <c r="U1996">
        <v>0.32394410000000001</v>
      </c>
      <c r="V1996">
        <v>3.398222E-2</v>
      </c>
      <c r="W1996">
        <v>0.18672069999999999</v>
      </c>
      <c r="X1996">
        <v>0.98182510000000001</v>
      </c>
      <c r="Y1996">
        <v>3.4907500000000001E-2</v>
      </c>
      <c r="Z1996">
        <v>-1.313205E-3</v>
      </c>
      <c r="AA1996">
        <v>0.99938970000000005</v>
      </c>
      <c r="AB1996">
        <v>42</v>
      </c>
      <c r="AC1996">
        <v>-44.601199999999999</v>
      </c>
      <c r="AD1996">
        <v>-1.105811532578</v>
      </c>
      <c r="AE1996">
        <v>4.75010000000003</v>
      </c>
      <c r="AF1996">
        <v>1.5719963426480399</v>
      </c>
      <c r="AG1996">
        <v>-1.105811532578</v>
      </c>
      <c r="AH1996">
        <v>44.798615029846701</v>
      </c>
      <c r="AI1996">
        <v>91.413135708017705</v>
      </c>
      <c r="AJ1996">
        <v>87.990299142058007</v>
      </c>
      <c r="AK1996">
        <v>44.839824935422001</v>
      </c>
      <c r="AL1996">
        <v>79.238530146487307</v>
      </c>
      <c r="AM1996">
        <v>88.017711235550394</v>
      </c>
      <c r="AN1996">
        <v>0.99999996903731303</v>
      </c>
    </row>
    <row r="1997" spans="1:40" x14ac:dyDescent="0.25">
      <c r="A1997" t="str">
        <f>"20190312172931255"</f>
        <v>20190312172931255</v>
      </c>
      <c r="B1997" t="str">
        <f>"1552382971249814"</f>
        <v>1552382971249814</v>
      </c>
      <c r="C1997" t="s">
        <v>40</v>
      </c>
      <c r="D1997">
        <v>3.4113910000000001</v>
      </c>
      <c r="E1997">
        <v>0.50577929999999904</v>
      </c>
      <c r="F1997" t="s">
        <v>48</v>
      </c>
      <c r="G1997">
        <v>-313.88729999999998</v>
      </c>
      <c r="H1997" s="1">
        <v>3.744157E-6</v>
      </c>
      <c r="I1997">
        <v>286.86630000000002</v>
      </c>
      <c r="J1997">
        <v>-268.87520000000001</v>
      </c>
      <c r="K1997">
        <v>1.1058079999999999</v>
      </c>
      <c r="L1997">
        <v>282.08710000000002</v>
      </c>
      <c r="M1997">
        <v>-0.99735300000000005</v>
      </c>
      <c r="N1997">
        <v>0</v>
      </c>
      <c r="O1997">
        <v>7.2407719999999995E-2</v>
      </c>
      <c r="P1997">
        <v>-0.97810200000000003</v>
      </c>
      <c r="Q1997">
        <v>0.1805995</v>
      </c>
      <c r="R1997">
        <v>0.10344349999999999</v>
      </c>
      <c r="S1997">
        <v>-3.0466609999999998</v>
      </c>
      <c r="T1997">
        <v>-7.4479459999999997E-2</v>
      </c>
      <c r="U1997">
        <v>0.323028599999999</v>
      </c>
      <c r="V1997">
        <v>3.3720079999999999E-2</v>
      </c>
      <c r="W1997">
        <v>0.18689500000000001</v>
      </c>
      <c r="X1997">
        <v>0.98180100000000003</v>
      </c>
      <c r="Y1997">
        <v>3.3165149999999997E-2</v>
      </c>
      <c r="Z1997">
        <v>-1.357893E-3</v>
      </c>
      <c r="AA1997">
        <v>0.99944900000000003</v>
      </c>
      <c r="AB1997">
        <v>42</v>
      </c>
      <c r="AC1997">
        <v>-45.012099999999897</v>
      </c>
      <c r="AD1997">
        <v>-1.1058042558429999</v>
      </c>
      <c r="AE1997">
        <v>4.7792000000000003</v>
      </c>
      <c r="AF1997">
        <v>1.5064601168487901</v>
      </c>
      <c r="AG1997">
        <v>-1.1058042558429999</v>
      </c>
      <c r="AH1997">
        <v>45.213018683014901</v>
      </c>
      <c r="AI1997">
        <v>91.400264159465095</v>
      </c>
      <c r="AJ1997">
        <v>88.091658341723203</v>
      </c>
      <c r="AK1997">
        <v>45.251621888795903</v>
      </c>
      <c r="AL1997">
        <v>79.228364815659702</v>
      </c>
      <c r="AM1997">
        <v>88.032942373911098</v>
      </c>
      <c r="AN1997">
        <v>0.99999999421060304</v>
      </c>
    </row>
    <row r="1998" spans="1:40" x14ac:dyDescent="0.25">
      <c r="A1998" t="str">
        <f>"20190312172931275"</f>
        <v>20190312172931275</v>
      </c>
      <c r="B1998" t="str">
        <f>"1552382971269334"</f>
        <v>1552382971269334</v>
      </c>
      <c r="C1998" t="s">
        <v>40</v>
      </c>
      <c r="D1998">
        <v>3.4350580000000002</v>
      </c>
      <c r="E1998">
        <v>0.5052122</v>
      </c>
      <c r="F1998" t="s">
        <v>48</v>
      </c>
      <c r="G1998">
        <v>-314.55610000000001</v>
      </c>
      <c r="H1998" s="1">
        <v>4.0330909999999999E-6</v>
      </c>
      <c r="I1998">
        <v>286.95370000000003</v>
      </c>
      <c r="J1998">
        <v>-269.25240000000002</v>
      </c>
      <c r="K1998">
        <v>1.1057969999999999</v>
      </c>
      <c r="L1998">
        <v>282.11610000000002</v>
      </c>
      <c r="M1998">
        <v>-0.9971719</v>
      </c>
      <c r="N1998">
        <v>0</v>
      </c>
      <c r="O1998">
        <v>7.4857229999999997E-2</v>
      </c>
      <c r="P1998">
        <v>-0.97792380000000001</v>
      </c>
      <c r="Q1998">
        <v>0.18082309999999999</v>
      </c>
      <c r="R1998">
        <v>0.10472910000000001</v>
      </c>
      <c r="S1998">
        <v>-3.0464479999999998</v>
      </c>
      <c r="T1998">
        <v>-7.3745729999999995E-2</v>
      </c>
      <c r="U1998">
        <v>0.32455440000000002</v>
      </c>
      <c r="V1998">
        <v>3.2607810000000001E-2</v>
      </c>
      <c r="W1998">
        <v>0.18714610000000001</v>
      </c>
      <c r="X1998">
        <v>0.98179070000000002</v>
      </c>
      <c r="Y1998">
        <v>3.121357E-2</v>
      </c>
      <c r="Z1998">
        <v>-1.4270070000000001E-3</v>
      </c>
      <c r="AA1998">
        <v>0.9995117</v>
      </c>
      <c r="AB1998">
        <v>42</v>
      </c>
      <c r="AC1998">
        <v>-45.3036999999999</v>
      </c>
      <c r="AD1998">
        <v>-1.1057929669090001</v>
      </c>
      <c r="AE1998">
        <v>4.8376000000000001</v>
      </c>
      <c r="AF1998">
        <v>1.4317978300983401</v>
      </c>
      <c r="AG1998">
        <v>-1.1057929669090001</v>
      </c>
      <c r="AH1998">
        <v>45.511912346216498</v>
      </c>
      <c r="AI1998">
        <v>91.391141188052501</v>
      </c>
      <c r="AJ1998">
        <v>88.198077814273702</v>
      </c>
      <c r="AK1998">
        <v>45.547853830028401</v>
      </c>
      <c r="AL1998">
        <v>79.213719017755594</v>
      </c>
      <c r="AM1998">
        <v>88.097758115637305</v>
      </c>
      <c r="AN1998">
        <v>0.99999995531234698</v>
      </c>
    </row>
    <row r="1999" spans="1:40" x14ac:dyDescent="0.25">
      <c r="A1999" t="str">
        <f>"20190312172931288"</f>
        <v>20190312172931288</v>
      </c>
      <c r="B1999" t="str">
        <f>"1552382971279094"</f>
        <v>1552382971279094</v>
      </c>
      <c r="C1999" t="s">
        <v>40</v>
      </c>
      <c r="D1999">
        <v>3.4366729999999999</v>
      </c>
      <c r="E1999">
        <v>0.50492979999999998</v>
      </c>
      <c r="F1999" t="s">
        <v>48</v>
      </c>
      <c r="G1999">
        <v>-315.39609999999999</v>
      </c>
      <c r="H1999" s="1">
        <v>4.3984470000000003E-6</v>
      </c>
      <c r="I1999">
        <v>287.03530000000001</v>
      </c>
      <c r="J1999">
        <v>-269.50979999999998</v>
      </c>
      <c r="K1999">
        <v>1.1057900000000001</v>
      </c>
      <c r="L1999">
        <v>282.13650000000001</v>
      </c>
      <c r="M1999">
        <v>-0.99704510000000002</v>
      </c>
      <c r="N1999">
        <v>0</v>
      </c>
      <c r="O1999">
        <v>7.6528120000000005E-2</v>
      </c>
      <c r="P1999">
        <v>-0.9778019</v>
      </c>
      <c r="Q1999">
        <v>0.1808795</v>
      </c>
      <c r="R1999">
        <v>0.10576670000000001</v>
      </c>
      <c r="S1999">
        <v>-3.0464479999999998</v>
      </c>
      <c r="T1999">
        <v>-7.3005440000000005E-2</v>
      </c>
      <c r="U1999">
        <v>0.324768099999999</v>
      </c>
      <c r="V1999">
        <v>3.2008460000000002E-2</v>
      </c>
      <c r="W1999">
        <v>0.18722059999999999</v>
      </c>
      <c r="X1999">
        <v>0.98179629999999996</v>
      </c>
      <c r="Y1999">
        <v>2.9608590000000001E-2</v>
      </c>
      <c r="Z1999">
        <v>-1.4716110000000001E-3</v>
      </c>
      <c r="AA1999">
        <v>0.99956049999999996</v>
      </c>
      <c r="AB1999">
        <v>42</v>
      </c>
      <c r="AC1999">
        <v>-45.886299999999999</v>
      </c>
      <c r="AD1999">
        <v>-1.1057856015530001</v>
      </c>
      <c r="AE1999">
        <v>4.8987999999999898</v>
      </c>
      <c r="AF1999">
        <v>1.3719750468605201</v>
      </c>
      <c r="AG1999">
        <v>-1.1057856015530001</v>
      </c>
      <c r="AH1999">
        <v>46.100163065660098</v>
      </c>
      <c r="AI1999">
        <v>91.373458881272597</v>
      </c>
      <c r="AJ1999">
        <v>88.295338258652393</v>
      </c>
      <c r="AK1999">
        <v>46.133828282576502</v>
      </c>
      <c r="AL1999">
        <v>79.2093745442818</v>
      </c>
      <c r="AM1999">
        <v>88.132708056826601</v>
      </c>
      <c r="AN1999">
        <v>1.0000000346348099</v>
      </c>
    </row>
    <row r="2000" spans="1:40" x14ac:dyDescent="0.25">
      <c r="A2000" t="str">
        <f>"20190312172931301"</f>
        <v>20190312172931301</v>
      </c>
      <c r="B2000" t="str">
        <f>"1552382971289831"</f>
        <v>1552382971289831</v>
      </c>
      <c r="C2000" t="s">
        <v>40</v>
      </c>
      <c r="D2000">
        <v>3.4337620000000002</v>
      </c>
      <c r="E2000">
        <v>0.50465839999999995</v>
      </c>
      <c r="F2000" t="s">
        <v>48</v>
      </c>
      <c r="G2000">
        <v>-315.75450000000001</v>
      </c>
      <c r="H2000" s="1">
        <v>4.5527389999999996E-6</v>
      </c>
      <c r="I2000">
        <v>287.08890000000002</v>
      </c>
      <c r="J2000">
        <v>-269.75810000000001</v>
      </c>
      <c r="K2000">
        <v>1.105783</v>
      </c>
      <c r="L2000">
        <v>282.15649999999999</v>
      </c>
      <c r="M2000">
        <v>-0.99692000000000003</v>
      </c>
      <c r="N2000">
        <v>0</v>
      </c>
      <c r="O2000">
        <v>7.8139059999999996E-2</v>
      </c>
      <c r="P2000">
        <v>-0.97771439999999998</v>
      </c>
      <c r="Q2000">
        <v>0.1807135</v>
      </c>
      <c r="R2000">
        <v>0.1068514</v>
      </c>
      <c r="S2000">
        <v>-3.0463260000000001</v>
      </c>
      <c r="T2000">
        <v>-7.2842480000000001E-2</v>
      </c>
      <c r="U2000">
        <v>0.32623289999999999</v>
      </c>
      <c r="V2000">
        <v>3.1510360000000001E-2</v>
      </c>
      <c r="W2000">
        <v>0.18707209999999999</v>
      </c>
      <c r="X2000">
        <v>0.98184070000000001</v>
      </c>
      <c r="Y2000">
        <v>2.8473620000000002E-2</v>
      </c>
      <c r="Z2000">
        <v>-1.520109E-3</v>
      </c>
      <c r="AA2000">
        <v>0.99959339999999997</v>
      </c>
      <c r="AB2000">
        <v>42</v>
      </c>
      <c r="AC2000">
        <v>-45.996400000000001</v>
      </c>
      <c r="AD2000">
        <v>-1.1057784472609999</v>
      </c>
      <c r="AE2000">
        <v>4.9324000000000296</v>
      </c>
      <c r="AF2000">
        <v>1.32236681707527</v>
      </c>
      <c r="AG2000">
        <v>-1.1057784472609999</v>
      </c>
      <c r="AH2000">
        <v>46.214773948647299</v>
      </c>
      <c r="AI2000">
        <v>91.370091014024396</v>
      </c>
      <c r="AJ2000">
        <v>88.361013938077605</v>
      </c>
      <c r="AK2000">
        <v>46.246910503274698</v>
      </c>
      <c r="AL2000">
        <v>79.218035802617607</v>
      </c>
      <c r="AM2000">
        <v>88.161828917893899</v>
      </c>
      <c r="AN2000">
        <v>1.0000000167811101</v>
      </c>
    </row>
    <row r="2001" spans="1:40" x14ac:dyDescent="0.25">
      <c r="A2001" t="str">
        <f>"20190312172931321"</f>
        <v>20190312172931321</v>
      </c>
      <c r="B2001" t="str">
        <f>"1552382971309350"</f>
        <v>1552382971309350</v>
      </c>
      <c r="C2001" t="s">
        <v>40</v>
      </c>
      <c r="D2001">
        <v>3.4498669999999998</v>
      </c>
      <c r="E2001">
        <v>0.50414740000000002</v>
      </c>
      <c r="F2001" t="s">
        <v>48</v>
      </c>
      <c r="G2001">
        <v>-315.60829999999999</v>
      </c>
      <c r="H2001" s="1">
        <v>4.4879690000000003E-6</v>
      </c>
      <c r="I2001">
        <v>287.0881</v>
      </c>
      <c r="J2001">
        <v>-270.09969999999998</v>
      </c>
      <c r="K2001">
        <v>1.105772</v>
      </c>
      <c r="L2001">
        <v>282.1848</v>
      </c>
      <c r="M2001">
        <v>-0.99674370000000001</v>
      </c>
      <c r="N2001">
        <v>0</v>
      </c>
      <c r="O2001">
        <v>8.0354030000000007E-2</v>
      </c>
      <c r="P2001">
        <v>-0.97762919999999998</v>
      </c>
      <c r="Q2001">
        <v>0.18050769999999999</v>
      </c>
      <c r="R2001">
        <v>0.1079739</v>
      </c>
      <c r="S2001">
        <v>-3.0461429999999998</v>
      </c>
      <c r="T2001">
        <v>-7.3464390000000004E-2</v>
      </c>
      <c r="U2001">
        <v>0.3276367</v>
      </c>
      <c r="V2001">
        <v>3.0455030000000001E-2</v>
      </c>
      <c r="W2001">
        <v>0.18689269999999999</v>
      </c>
      <c r="X2001">
        <v>0.98190809999999995</v>
      </c>
      <c r="Y2001">
        <v>2.6715599999999999E-2</v>
      </c>
      <c r="Z2001">
        <v>-1.607285E-3</v>
      </c>
      <c r="AA2001">
        <v>0.99964180000000002</v>
      </c>
      <c r="AB2001">
        <v>42</v>
      </c>
      <c r="AC2001">
        <v>-45.508600000000001</v>
      </c>
      <c r="AD2001">
        <v>-1.105767512031</v>
      </c>
      <c r="AE2001">
        <v>4.9032999999999998</v>
      </c>
      <c r="AF2001">
        <v>1.2298440436700899</v>
      </c>
      <c r="AG2001">
        <v>-1.105767512031</v>
      </c>
      <c r="AH2001">
        <v>45.728756860826699</v>
      </c>
      <c r="AI2001">
        <v>91.384699361292505</v>
      </c>
      <c r="AJ2001">
        <v>88.459440050958705</v>
      </c>
      <c r="AK2001">
        <v>45.758654287457098</v>
      </c>
      <c r="AL2001">
        <v>79.228498515859798</v>
      </c>
      <c r="AM2001">
        <v>88.223473806340607</v>
      </c>
      <c r="AN2001">
        <v>0.999999953505599</v>
      </c>
    </row>
    <row r="2002" spans="1:40" x14ac:dyDescent="0.25">
      <c r="A2002" t="str">
        <f>"20190312172931342"</f>
        <v>20190312172931342</v>
      </c>
      <c r="B2002" t="str">
        <f>"1552382971339606"</f>
        <v>1552382971339606</v>
      </c>
      <c r="C2002" t="s">
        <v>40</v>
      </c>
      <c r="D2002">
        <v>3.4612409999999998</v>
      </c>
      <c r="E2002">
        <v>0.50334699999999999</v>
      </c>
      <c r="F2002" t="s">
        <v>48</v>
      </c>
      <c r="G2002">
        <v>-315.52080000000001</v>
      </c>
      <c r="H2002" s="1">
        <v>4.4514110000000004E-6</v>
      </c>
      <c r="I2002">
        <v>287.06189999999998</v>
      </c>
      <c r="J2002">
        <v>-270.50869999999998</v>
      </c>
      <c r="K2002">
        <v>1.1057589999999999</v>
      </c>
      <c r="L2002">
        <v>282.21949999999998</v>
      </c>
      <c r="M2002">
        <v>-0.99652640000000003</v>
      </c>
      <c r="N2002">
        <v>0</v>
      </c>
      <c r="O2002">
        <v>8.3004359999999999E-2</v>
      </c>
      <c r="P2002">
        <v>-0.97744569999999997</v>
      </c>
      <c r="Q2002">
        <v>0.1804074</v>
      </c>
      <c r="R2002">
        <v>0.1097876</v>
      </c>
      <c r="S2002">
        <v>-3.046173</v>
      </c>
      <c r="T2002">
        <v>-7.4158550000000004E-2</v>
      </c>
      <c r="U2002">
        <v>0.32708739999999997</v>
      </c>
      <c r="V2002">
        <v>2.966831E-2</v>
      </c>
      <c r="W2002">
        <v>0.1868196</v>
      </c>
      <c r="X2002">
        <v>0.98194619999999999</v>
      </c>
      <c r="Y2002">
        <v>2.387978E-2</v>
      </c>
      <c r="Z2002">
        <v>-1.720912E-3</v>
      </c>
      <c r="AA2002">
        <v>0.99971339999999997</v>
      </c>
      <c r="AB2002">
        <v>42</v>
      </c>
      <c r="AC2002">
        <v>-45.012099999999997</v>
      </c>
      <c r="AD2002">
        <v>-1.1057545485889999</v>
      </c>
      <c r="AE2002">
        <v>4.8423999999999898</v>
      </c>
      <c r="AF2002">
        <v>1.0887541038038799</v>
      </c>
      <c r="AG2002">
        <v>-1.1057545485889999</v>
      </c>
      <c r="AH2002">
        <v>45.231730001794503</v>
      </c>
      <c r="AI2002">
        <v>91.399993270062197</v>
      </c>
      <c r="AJ2002">
        <v>88.621123455756205</v>
      </c>
      <c r="AK2002">
        <v>45.258341524800798</v>
      </c>
      <c r="AL2002">
        <v>79.2327630405116</v>
      </c>
      <c r="AM2002">
        <v>88.269404192663103</v>
      </c>
      <c r="AN2002">
        <v>1.0000000556284201</v>
      </c>
    </row>
    <row r="2003" spans="1:40" x14ac:dyDescent="0.25">
      <c r="A2003" t="str">
        <f>"20190312172931365"</f>
        <v>20190312172931365</v>
      </c>
      <c r="B2003" t="str">
        <f>"1552382971359126"</f>
        <v>1552382971359126</v>
      </c>
      <c r="C2003" t="s">
        <v>40</v>
      </c>
      <c r="D2003">
        <v>3.4814660000000002</v>
      </c>
      <c r="E2003">
        <v>0.50288370000000004</v>
      </c>
      <c r="F2003" t="s">
        <v>48</v>
      </c>
      <c r="G2003">
        <v>-315.85270000000003</v>
      </c>
      <c r="H2003" s="1">
        <v>4.597137E-6</v>
      </c>
      <c r="I2003">
        <v>287.07870000000003</v>
      </c>
      <c r="J2003">
        <v>-270.94139999999999</v>
      </c>
      <c r="K2003">
        <v>1.105747</v>
      </c>
      <c r="L2003">
        <v>282.25749999999999</v>
      </c>
      <c r="M2003">
        <v>-0.99628879999999997</v>
      </c>
      <c r="N2003">
        <v>0</v>
      </c>
      <c r="O2003">
        <v>8.5806549999999995E-2</v>
      </c>
      <c r="P2003">
        <v>-0.97728999999999999</v>
      </c>
      <c r="Q2003">
        <v>0.18022949999999999</v>
      </c>
      <c r="R2003">
        <v>0.1114523</v>
      </c>
      <c r="S2003">
        <v>-3.046265</v>
      </c>
      <c r="T2003">
        <v>-7.4285859999999995E-2</v>
      </c>
      <c r="U2003">
        <v>0.32644649999999997</v>
      </c>
      <c r="V2003">
        <v>2.8579750000000001E-2</v>
      </c>
      <c r="W2003">
        <v>0.18667339999999999</v>
      </c>
      <c r="X2003">
        <v>0.9820063</v>
      </c>
      <c r="Y2003">
        <v>2.0858809999999998E-2</v>
      </c>
      <c r="Z2003">
        <v>-1.8283570000000001E-3</v>
      </c>
      <c r="AA2003">
        <v>0.99978080000000003</v>
      </c>
      <c r="AB2003">
        <v>42</v>
      </c>
      <c r="AC2003">
        <v>-44.911299999999997</v>
      </c>
      <c r="AD2003">
        <v>-1.1057424028630001</v>
      </c>
      <c r="AE2003">
        <v>4.8212000000000304</v>
      </c>
      <c r="AF2003">
        <v>0.94907687990390499</v>
      </c>
      <c r="AG2003">
        <v>-1.1057424028630001</v>
      </c>
      <c r="AH2003">
        <v>45.132304993646301</v>
      </c>
      <c r="AI2003">
        <v>91.403156927381701</v>
      </c>
      <c r="AJ2003">
        <v>88.795317759922497</v>
      </c>
      <c r="AK2003">
        <v>45.155823181788698</v>
      </c>
      <c r="AL2003">
        <v>79.241289804251807</v>
      </c>
      <c r="AM2003">
        <v>88.3329669437164</v>
      </c>
      <c r="AN2003">
        <v>1.0000000668086499</v>
      </c>
    </row>
    <row r="2004" spans="1:40" x14ac:dyDescent="0.25">
      <c r="A2004" t="str">
        <f>"20190312172931388"</f>
        <v>20190312172931388</v>
      </c>
      <c r="B2004" t="str">
        <f>"1552382971379622"</f>
        <v>1552382971379622</v>
      </c>
      <c r="C2004" t="s">
        <v>40</v>
      </c>
      <c r="D2004">
        <v>3.4836339999999901</v>
      </c>
      <c r="E2004">
        <v>0.50243800000000005</v>
      </c>
      <c r="F2004" t="s">
        <v>48</v>
      </c>
      <c r="G2004">
        <v>-315.76690000000002</v>
      </c>
      <c r="H2004" s="1">
        <v>4.5581539999999998E-6</v>
      </c>
      <c r="I2004">
        <v>287.08969999999999</v>
      </c>
      <c r="J2004">
        <v>-271.36669999999998</v>
      </c>
      <c r="K2004">
        <v>1.1057330000000001</v>
      </c>
      <c r="L2004">
        <v>282.29610000000002</v>
      </c>
      <c r="M2004">
        <v>-0.99604769999999998</v>
      </c>
      <c r="N2004">
        <v>0</v>
      </c>
      <c r="O2004">
        <v>8.8559269999999995E-2</v>
      </c>
      <c r="P2004">
        <v>-0.97719900000000004</v>
      </c>
      <c r="Q2004">
        <v>0.17966770000000001</v>
      </c>
      <c r="R2004">
        <v>0.1131447</v>
      </c>
      <c r="S2004">
        <v>-3.0461119999999999</v>
      </c>
      <c r="T2004">
        <v>-7.5140479999999996E-2</v>
      </c>
      <c r="U2004">
        <v>0.32836910000000002</v>
      </c>
      <c r="V2004">
        <v>2.7558329999999999E-2</v>
      </c>
      <c r="W2004">
        <v>0.18614269999999999</v>
      </c>
      <c r="X2004">
        <v>0.98213620000000001</v>
      </c>
      <c r="Y2004">
        <v>1.8727069999999998E-2</v>
      </c>
      <c r="Z2004">
        <v>-1.942959E-3</v>
      </c>
      <c r="AA2004">
        <v>0.99982269999999895</v>
      </c>
      <c r="AB2004">
        <v>42</v>
      </c>
      <c r="AC2004">
        <v>-44.400199999999998</v>
      </c>
      <c r="AD2004">
        <v>-1.1057284418460001</v>
      </c>
      <c r="AE2004">
        <v>4.7935999999999597</v>
      </c>
      <c r="AF2004">
        <v>0.84210818206798599</v>
      </c>
      <c r="AG2004">
        <v>-1.1057284418460001</v>
      </c>
      <c r="AH2004">
        <v>44.622911052507199</v>
      </c>
      <c r="AI2004">
        <v>91.419211300238999</v>
      </c>
      <c r="AJ2004">
        <v>88.918862149661607</v>
      </c>
      <c r="AK2004">
        <v>44.644551429904404</v>
      </c>
      <c r="AL2004">
        <v>79.272238858009999</v>
      </c>
      <c r="AM2004">
        <v>88.392726183948497</v>
      </c>
      <c r="AN2004">
        <v>1.0000000408330501</v>
      </c>
    </row>
    <row r="2005" spans="1:40" x14ac:dyDescent="0.25">
      <c r="A2005" t="str">
        <f>"20190312172931408"</f>
        <v>20190312172931408</v>
      </c>
      <c r="B2005" t="str">
        <f>"1552382971399145"</f>
        <v>1552382971399145</v>
      </c>
      <c r="C2005" t="s">
        <v>40</v>
      </c>
      <c r="D2005">
        <v>3.4664929999999998</v>
      </c>
      <c r="E2005">
        <v>0.5019498</v>
      </c>
      <c r="F2005" t="s">
        <v>48</v>
      </c>
      <c r="G2005">
        <v>-315.02229999999997</v>
      </c>
      <c r="H2005" s="1">
        <v>4.2325900000000001E-6</v>
      </c>
      <c r="I2005">
        <v>287.0367</v>
      </c>
      <c r="J2005">
        <v>-271.77140000000003</v>
      </c>
      <c r="K2005">
        <v>1.1057110000000001</v>
      </c>
      <c r="L2005">
        <v>282.33390000000003</v>
      </c>
      <c r="M2005">
        <v>-0.99581160000000002</v>
      </c>
      <c r="N2005">
        <v>0</v>
      </c>
      <c r="O2005">
        <v>9.1175850000000003E-2</v>
      </c>
      <c r="P2005">
        <v>-0.97712069999999995</v>
      </c>
      <c r="Q2005">
        <v>0.17912539999999999</v>
      </c>
      <c r="R2005">
        <v>0.1146725</v>
      </c>
      <c r="S2005">
        <v>-3.045868</v>
      </c>
      <c r="T2005">
        <v>-7.7147129999999994E-2</v>
      </c>
      <c r="U2005">
        <v>0.33074949999999997</v>
      </c>
      <c r="V2005">
        <v>2.6504730000000001E-2</v>
      </c>
      <c r="W2005">
        <v>0.18563009999999999</v>
      </c>
      <c r="X2005">
        <v>0.98226219999999997</v>
      </c>
      <c r="Y2005">
        <v>1.688361E-2</v>
      </c>
      <c r="Z2005">
        <v>-2.0838689999999999E-3</v>
      </c>
      <c r="AA2005">
        <v>0.9998553</v>
      </c>
      <c r="AB2005">
        <v>42</v>
      </c>
      <c r="AC2005">
        <v>-43.250899999999902</v>
      </c>
      <c r="AD2005">
        <v>-1.1057067674100001</v>
      </c>
      <c r="AE2005">
        <v>4.7027999999999599</v>
      </c>
      <c r="AF2005">
        <v>0.73920484234737305</v>
      </c>
      <c r="AG2005">
        <v>-1.1057067674100001</v>
      </c>
      <c r="AH2005">
        <v>43.471455542889103</v>
      </c>
      <c r="AI2005">
        <v>91.456807058508502</v>
      </c>
      <c r="AJ2005">
        <v>89.025815084731903</v>
      </c>
      <c r="AK2005">
        <v>43.491797597614102</v>
      </c>
      <c r="AL2005">
        <v>79.302129538730497</v>
      </c>
      <c r="AM2005">
        <v>88.454342679708404</v>
      </c>
      <c r="AN2005">
        <v>1.00000003214361</v>
      </c>
    </row>
    <row r="2006" spans="1:40" x14ac:dyDescent="0.25">
      <c r="A2006" t="str">
        <f>"20190312172931430"</f>
        <v>20190312172931430</v>
      </c>
      <c r="B2006" t="str">
        <f>"1552382971419639"</f>
        <v>1552382971419639</v>
      </c>
      <c r="C2006" t="s">
        <v>40</v>
      </c>
      <c r="D2006">
        <v>3.429351</v>
      </c>
      <c r="E2006">
        <v>0.50141809999999998</v>
      </c>
      <c r="F2006" t="s">
        <v>48</v>
      </c>
      <c r="G2006">
        <v>-314.226</v>
      </c>
      <c r="H2006" s="1">
        <v>3.886394E-6</v>
      </c>
      <c r="I2006">
        <v>286.9572</v>
      </c>
      <c r="J2006">
        <v>-272.18779999999998</v>
      </c>
      <c r="K2006">
        <v>1.1057030000000001</v>
      </c>
      <c r="L2006">
        <v>282.37389999999999</v>
      </c>
      <c r="M2006">
        <v>-0.99556140000000004</v>
      </c>
      <c r="N2006">
        <v>0</v>
      </c>
      <c r="O2006">
        <v>9.3864799999999998E-2</v>
      </c>
      <c r="P2006">
        <v>-0.97698910000000005</v>
      </c>
      <c r="Q2006">
        <v>0.17881129999999901</v>
      </c>
      <c r="R2006">
        <v>0.1162705</v>
      </c>
      <c r="S2006">
        <v>-3.045868</v>
      </c>
      <c r="T2006">
        <v>-7.9328060000000006E-2</v>
      </c>
      <c r="U2006">
        <v>0.33169559999999998</v>
      </c>
      <c r="V2006">
        <v>2.545482E-2</v>
      </c>
      <c r="W2006">
        <v>0.1853466</v>
      </c>
      <c r="X2006">
        <v>0.98234350000000004</v>
      </c>
      <c r="Y2006">
        <v>1.4493300000000001E-2</v>
      </c>
      <c r="Z2006">
        <v>-2.2431619999999999E-3</v>
      </c>
      <c r="AA2006">
        <v>0.99989249999999996</v>
      </c>
      <c r="AB2006">
        <v>42</v>
      </c>
      <c r="AC2006">
        <v>-42.038200000000003</v>
      </c>
      <c r="AD2006">
        <v>-1.1056991136059999</v>
      </c>
      <c r="AE2006">
        <v>4.5833000000000004</v>
      </c>
      <c r="AF2006">
        <v>0.61664221222968896</v>
      </c>
      <c r="AG2006">
        <v>-1.1056991136059999</v>
      </c>
      <c r="AH2006">
        <v>42.253923068924102</v>
      </c>
      <c r="AI2006">
        <v>91.498812254079795</v>
      </c>
      <c r="AJ2006">
        <v>89.163900396539404</v>
      </c>
      <c r="AK2006">
        <v>42.272885315084501</v>
      </c>
      <c r="AL2006">
        <v>79.318659736919699</v>
      </c>
      <c r="AM2006">
        <v>88.515664368187899</v>
      </c>
      <c r="AN2006">
        <v>1.0000000309925201</v>
      </c>
    </row>
    <row r="2007" spans="1:40" x14ac:dyDescent="0.25">
      <c r="A2007" t="str">
        <f>"20190312172931442"</f>
        <v>20190312172931442</v>
      </c>
      <c r="B2007" t="str">
        <f>"1552382971439160"</f>
        <v>1552382971439160</v>
      </c>
      <c r="C2007" t="s">
        <v>40</v>
      </c>
      <c r="D2007">
        <v>3.403394</v>
      </c>
      <c r="E2007">
        <v>0.50081809999999904</v>
      </c>
      <c r="F2007" t="s">
        <v>48</v>
      </c>
      <c r="G2007">
        <v>-312.7457</v>
      </c>
      <c r="H2007" s="1">
        <v>3.2438210000000001E-6</v>
      </c>
      <c r="I2007">
        <v>286.79860000000002</v>
      </c>
      <c r="J2007">
        <v>-272.41410000000002</v>
      </c>
      <c r="K2007">
        <v>1.105696</v>
      </c>
      <c r="L2007">
        <v>282.39600000000002</v>
      </c>
      <c r="M2007">
        <v>-0.99542269999999999</v>
      </c>
      <c r="N2007">
        <v>0</v>
      </c>
      <c r="O2007">
        <v>9.5324220000000001E-2</v>
      </c>
      <c r="P2007">
        <v>-0.97684320000000002</v>
      </c>
      <c r="Q2007">
        <v>0.1789164</v>
      </c>
      <c r="R2007">
        <v>0.1173304</v>
      </c>
      <c r="S2007">
        <v>-3.0463260000000001</v>
      </c>
      <c r="T2007">
        <v>-8.3049769999999995E-2</v>
      </c>
      <c r="U2007">
        <v>0.33233639999999998</v>
      </c>
      <c r="V2007">
        <v>2.508527E-2</v>
      </c>
      <c r="W2007">
        <v>0.18546609999999999</v>
      </c>
      <c r="X2007">
        <v>0.98233040000000005</v>
      </c>
      <c r="Y2007">
        <v>1.3222650000000001E-2</v>
      </c>
      <c r="Z2007">
        <v>-2.4046739999999999E-3</v>
      </c>
      <c r="AA2007">
        <v>0.99990970000000001</v>
      </c>
      <c r="AB2007">
        <v>43</v>
      </c>
      <c r="AC2007">
        <v>-40.331599999999902</v>
      </c>
      <c r="AD2007">
        <v>-1.105692756179</v>
      </c>
      <c r="AE2007">
        <v>4.40260000000006</v>
      </c>
      <c r="AF2007">
        <v>0.53748308506083997</v>
      </c>
      <c r="AG2007">
        <v>-1.105692756179</v>
      </c>
      <c r="AH2007">
        <v>40.537508134079097</v>
      </c>
      <c r="AI2007">
        <v>91.562263298464202</v>
      </c>
      <c r="AJ2007">
        <v>89.240365051075798</v>
      </c>
      <c r="AK2007">
        <v>40.556146393097102</v>
      </c>
      <c r="AL2007">
        <v>79.3116915333202</v>
      </c>
      <c r="AM2007">
        <v>88.537184842845505</v>
      </c>
      <c r="AN2007">
        <v>0.99999997989217104</v>
      </c>
    </row>
    <row r="2008" spans="1:40" x14ac:dyDescent="0.25">
      <c r="A2008" t="str">
        <f>"20190312172931453"</f>
        <v>20190312172931453</v>
      </c>
      <c r="B2008" t="str">
        <f>"1552382971449895"</f>
        <v>1552382971449895</v>
      </c>
      <c r="C2008" t="s">
        <v>40</v>
      </c>
      <c r="D2008">
        <v>3.4027129999999999</v>
      </c>
      <c r="E2008">
        <v>0.50056959999999995</v>
      </c>
      <c r="F2008" t="s">
        <v>48</v>
      </c>
      <c r="G2008">
        <v>-312.5</v>
      </c>
      <c r="H2008" s="1">
        <v>3.1391269999999998E-6</v>
      </c>
      <c r="I2008">
        <v>286.74959999999999</v>
      </c>
      <c r="J2008">
        <v>-272.61739999999998</v>
      </c>
      <c r="K2008">
        <v>1.105691</v>
      </c>
      <c r="L2008">
        <v>282.41640000000001</v>
      </c>
      <c r="M2008">
        <v>-0.99529670000000003</v>
      </c>
      <c r="N2008">
        <v>0</v>
      </c>
      <c r="O2008">
        <v>9.6630450000000007E-2</v>
      </c>
      <c r="P2008">
        <v>-0.97674269999999996</v>
      </c>
      <c r="Q2008">
        <v>0.1789328</v>
      </c>
      <c r="R2008">
        <v>0.1181401</v>
      </c>
      <c r="S2008">
        <v>-3.0467529999999998</v>
      </c>
      <c r="T2008">
        <v>-8.4038970000000005E-2</v>
      </c>
      <c r="U2008">
        <v>0.33090209999999998</v>
      </c>
      <c r="V2008">
        <v>2.4611790000000001E-2</v>
      </c>
      <c r="W2008">
        <v>0.185497</v>
      </c>
      <c r="X2008">
        <v>0.9823366</v>
      </c>
      <c r="Y2008">
        <v>1.143193E-2</v>
      </c>
      <c r="Z2008">
        <v>-2.4933630000000002E-3</v>
      </c>
      <c r="AA2008">
        <v>0.99993160000000003</v>
      </c>
      <c r="AB2008">
        <v>43</v>
      </c>
      <c r="AC2008">
        <v>-39.882599999999996</v>
      </c>
      <c r="AD2008">
        <v>-1.1056878608730001</v>
      </c>
      <c r="AE2008">
        <v>4.3331999999999704</v>
      </c>
      <c r="AF2008">
        <v>0.45860849664051201</v>
      </c>
      <c r="AG2008">
        <v>-1.1056878608730001</v>
      </c>
      <c r="AH2008">
        <v>40.084233498715697</v>
      </c>
      <c r="AI2008">
        <v>91.579949005001495</v>
      </c>
      <c r="AJ2008">
        <v>89.344500752890397</v>
      </c>
      <c r="AK2008">
        <v>40.102102720162101</v>
      </c>
      <c r="AL2008">
        <v>79.309890441894296</v>
      </c>
      <c r="AM2008">
        <v>88.564792613501993</v>
      </c>
      <c r="AN2008">
        <v>1.0000000364577799</v>
      </c>
    </row>
    <row r="2009" spans="1:40" x14ac:dyDescent="0.25">
      <c r="A2009" t="str">
        <f>"20190312172931465"</f>
        <v>20190312172931465</v>
      </c>
      <c r="B2009" t="str">
        <f>"1552382971459655"</f>
        <v>1552382971459655</v>
      </c>
      <c r="C2009" t="s">
        <v>40</v>
      </c>
      <c r="D2009">
        <v>3.398136</v>
      </c>
      <c r="E2009">
        <v>0.50031780000000003</v>
      </c>
      <c r="F2009" t="s">
        <v>48</v>
      </c>
      <c r="G2009">
        <v>-312.1687</v>
      </c>
      <c r="H2009" s="1">
        <v>2.9953229999999999E-6</v>
      </c>
      <c r="I2009">
        <v>286.714</v>
      </c>
      <c r="J2009">
        <v>-272.84120000000001</v>
      </c>
      <c r="K2009">
        <v>1.105688</v>
      </c>
      <c r="L2009">
        <v>282.43880000000001</v>
      </c>
      <c r="M2009">
        <v>-0.99515620000000005</v>
      </c>
      <c r="N2009">
        <v>0</v>
      </c>
      <c r="O2009">
        <v>9.8066390000000003E-2</v>
      </c>
      <c r="P2009">
        <v>-0.97660559999999996</v>
      </c>
      <c r="Q2009">
        <v>0.17900769999999999</v>
      </c>
      <c r="R2009">
        <v>0.11915630000000001</v>
      </c>
      <c r="S2009">
        <v>-3.0469970000000002</v>
      </c>
      <c r="T2009">
        <v>-8.5181240000000005E-2</v>
      </c>
      <c r="U2009">
        <v>0.33108520000000002</v>
      </c>
      <c r="V2009">
        <v>2.4219669999999999E-2</v>
      </c>
      <c r="W2009">
        <v>0.1855869</v>
      </c>
      <c r="X2009">
        <v>0.98232929999999996</v>
      </c>
      <c r="Y2009">
        <v>1.0041929999999999E-2</v>
      </c>
      <c r="Z2009">
        <v>-2.5861669999999999E-3</v>
      </c>
      <c r="AA2009">
        <v>0.99994620000000001</v>
      </c>
      <c r="AB2009">
        <v>43</v>
      </c>
      <c r="AC2009">
        <v>-39.327499999999901</v>
      </c>
      <c r="AD2009">
        <v>-1.1056850046769999</v>
      </c>
      <c r="AE2009">
        <v>4.2751999999999803</v>
      </c>
      <c r="AF2009">
        <v>0.39748468664472297</v>
      </c>
      <c r="AG2009">
        <v>-1.1056850046769999</v>
      </c>
      <c r="AH2009">
        <v>39.526312511473797</v>
      </c>
      <c r="AI2009">
        <v>91.602258423739102</v>
      </c>
      <c r="AJ2009">
        <v>89.423841338385799</v>
      </c>
      <c r="AK2009">
        <v>39.543772128621903</v>
      </c>
      <c r="AL2009">
        <v>79.304647832605397</v>
      </c>
      <c r="AM2009">
        <v>88.587638799017398</v>
      </c>
      <c r="AN2009">
        <v>0.99999997175250399</v>
      </c>
    </row>
    <row r="2010" spans="1:40" x14ac:dyDescent="0.25">
      <c r="A2010" t="str">
        <f>"20190312172931477"</f>
        <v>20190312172931477</v>
      </c>
      <c r="B2010" t="str">
        <f>"1552382971469414"</f>
        <v>1552382971469414</v>
      </c>
      <c r="C2010" t="s">
        <v>40</v>
      </c>
      <c r="D2010">
        <v>3.403708</v>
      </c>
      <c r="E2010">
        <v>0.50008859999999999</v>
      </c>
      <c r="F2010" t="s">
        <v>48</v>
      </c>
      <c r="G2010">
        <v>-311.96809999999999</v>
      </c>
      <c r="H2010" s="1">
        <v>2.9072860000000001E-6</v>
      </c>
      <c r="I2010">
        <v>286.70350000000002</v>
      </c>
      <c r="J2010">
        <v>-273.07530000000003</v>
      </c>
      <c r="K2010">
        <v>1.1056859999999999</v>
      </c>
      <c r="L2010">
        <v>282.46280000000002</v>
      </c>
      <c r="M2010">
        <v>-0.99500809999999995</v>
      </c>
      <c r="N2010">
        <v>0</v>
      </c>
      <c r="O2010">
        <v>9.9556859999999997E-2</v>
      </c>
      <c r="P2010">
        <v>-0.97651639999999995</v>
      </c>
      <c r="Q2010">
        <v>0.17880969999999999</v>
      </c>
      <c r="R2010">
        <v>0.12017899999999999</v>
      </c>
      <c r="S2010">
        <v>-3.0471189999999999</v>
      </c>
      <c r="T2010">
        <v>-8.6108450000000003E-2</v>
      </c>
      <c r="U2010">
        <v>0.3321228</v>
      </c>
      <c r="V2010">
        <v>2.3771170000000001E-2</v>
      </c>
      <c r="W2010">
        <v>0.18540470000000001</v>
      </c>
      <c r="X2010">
        <v>0.98237470000000005</v>
      </c>
      <c r="Y2010">
        <v>8.8781380000000007E-3</v>
      </c>
      <c r="Z2010">
        <v>-2.672256E-3</v>
      </c>
      <c r="AA2010">
        <v>0.99995699999999998</v>
      </c>
      <c r="AB2010">
        <v>43</v>
      </c>
      <c r="AC2010">
        <v>-38.892799999999902</v>
      </c>
      <c r="AD2010">
        <v>-1.105683092714</v>
      </c>
      <c r="AE2010">
        <v>4.2407000000000004</v>
      </c>
      <c r="AF2010">
        <v>0.34721669947300299</v>
      </c>
      <c r="AG2010">
        <v>-1.105683092714</v>
      </c>
      <c r="AH2010">
        <v>39.090545211521302</v>
      </c>
      <c r="AI2010">
        <v>91.620125553021694</v>
      </c>
      <c r="AJ2010">
        <v>89.491091050712498</v>
      </c>
      <c r="AK2010">
        <v>39.107720714353803</v>
      </c>
      <c r="AL2010">
        <v>79.315271924054699</v>
      </c>
      <c r="AM2010">
        <v>88.613846649685797</v>
      </c>
      <c r="AN2010">
        <v>1.0000000112526699</v>
      </c>
    </row>
    <row r="2011" spans="1:40" x14ac:dyDescent="0.25">
      <c r="A2011" t="str">
        <f>"20190312172931489"</f>
        <v>20190312172931489</v>
      </c>
      <c r="B2011" t="str">
        <f>"1552382971479175"</f>
        <v>1552382971479175</v>
      </c>
      <c r="C2011" t="s">
        <v>40</v>
      </c>
      <c r="D2011">
        <v>3.4238140000000001</v>
      </c>
      <c r="E2011">
        <v>0.49985590000000002</v>
      </c>
      <c r="F2011" t="s">
        <v>48</v>
      </c>
      <c r="G2011">
        <v>-311.38929999999999</v>
      </c>
      <c r="H2011" s="1">
        <v>2.654954E-6</v>
      </c>
      <c r="I2011">
        <v>286.65410000000003</v>
      </c>
      <c r="J2011">
        <v>-273.32310000000001</v>
      </c>
      <c r="K2011">
        <v>1.1056889999999999</v>
      </c>
      <c r="L2011">
        <v>282.48860000000002</v>
      </c>
      <c r="M2011">
        <v>-0.99484980000000001</v>
      </c>
      <c r="N2011">
        <v>0</v>
      </c>
      <c r="O2011">
        <v>0.1011258</v>
      </c>
      <c r="P2011">
        <v>-0.97639109999999996</v>
      </c>
      <c r="Q2011">
        <v>0.17873710000000001</v>
      </c>
      <c r="R2011">
        <v>0.1212987</v>
      </c>
      <c r="S2011">
        <v>-3.0472410000000001</v>
      </c>
      <c r="T2011">
        <v>-8.7938550000000004E-2</v>
      </c>
      <c r="U2011">
        <v>0.33334350000000001</v>
      </c>
      <c r="V2011">
        <v>2.3344920000000002E-2</v>
      </c>
      <c r="W2011">
        <v>0.1853485</v>
      </c>
      <c r="X2011">
        <v>0.98239549999999998</v>
      </c>
      <c r="Y2011">
        <v>7.6954090000000003E-3</v>
      </c>
      <c r="Z2011">
        <v>-2.7906979999999999E-3</v>
      </c>
      <c r="AA2011">
        <v>0.99996649999999998</v>
      </c>
      <c r="AB2011">
        <v>43</v>
      </c>
      <c r="AC2011">
        <v>-38.066199999999903</v>
      </c>
      <c r="AD2011">
        <v>-1.1056863450459999</v>
      </c>
      <c r="AE2011">
        <v>4.1654999999999998</v>
      </c>
      <c r="AF2011">
        <v>0.294333513658526</v>
      </c>
      <c r="AG2011">
        <v>-1.1056863450459999</v>
      </c>
      <c r="AH2011">
        <v>38.260401333875699</v>
      </c>
      <c r="AI2011">
        <v>91.655279578918396</v>
      </c>
      <c r="AJ2011">
        <v>89.559237884345805</v>
      </c>
      <c r="AK2011">
        <v>38.277506250278599</v>
      </c>
      <c r="AL2011">
        <v>79.318548459273401</v>
      </c>
      <c r="AM2011">
        <v>88.638721672407797</v>
      </c>
      <c r="AN2011">
        <v>0.99999998508115295</v>
      </c>
    </row>
    <row r="2012" spans="1:40" x14ac:dyDescent="0.25">
      <c r="A2012" t="str">
        <f>"20190312172931509"</f>
        <v>20190312172931509</v>
      </c>
      <c r="B2012" t="str">
        <f>"1552382971499670"</f>
        <v>1552382971499670</v>
      </c>
      <c r="C2012" t="s">
        <v>40</v>
      </c>
      <c r="D2012">
        <v>3.4161359999999998</v>
      </c>
      <c r="E2012">
        <v>0.49937939999999997</v>
      </c>
      <c r="F2012" t="s">
        <v>48</v>
      </c>
      <c r="G2012">
        <v>-311.06819999999999</v>
      </c>
      <c r="H2012" s="1">
        <v>2.5139429999999999E-6</v>
      </c>
      <c r="I2012">
        <v>286.63830000000002</v>
      </c>
      <c r="J2012">
        <v>-273.68860000000001</v>
      </c>
      <c r="K2012">
        <v>1.105699</v>
      </c>
      <c r="L2012">
        <v>282.52730000000003</v>
      </c>
      <c r="M2012">
        <v>-0.99461409999999995</v>
      </c>
      <c r="N2012">
        <v>0</v>
      </c>
      <c r="O2012">
        <v>0.1034166</v>
      </c>
      <c r="P2012">
        <v>-0.97629699999999997</v>
      </c>
      <c r="Q2012">
        <v>0.17840599999999901</v>
      </c>
      <c r="R2012">
        <v>0.1225383</v>
      </c>
      <c r="S2012">
        <v>-3.047272</v>
      </c>
      <c r="T2012">
        <v>-8.9265109999999995E-2</v>
      </c>
      <c r="U2012">
        <v>0.33502199999999999</v>
      </c>
      <c r="V2012">
        <v>2.231553E-2</v>
      </c>
      <c r="W2012">
        <v>0.1850453</v>
      </c>
      <c r="X2012">
        <v>0.98247660000000003</v>
      </c>
      <c r="Y2012">
        <v>5.9385459999999899E-3</v>
      </c>
      <c r="Z2012">
        <v>-2.9247349999999999E-3</v>
      </c>
      <c r="AA2012">
        <v>0.99997809999999998</v>
      </c>
      <c r="AB2012">
        <v>43</v>
      </c>
      <c r="AC2012">
        <v>-37.379599999999897</v>
      </c>
      <c r="AD2012">
        <v>-1.105696486057</v>
      </c>
      <c r="AE2012">
        <v>4.11099999999999</v>
      </c>
      <c r="AF2012">
        <v>0.22299996739594899</v>
      </c>
      <c r="AG2012">
        <v>-1.105696486057</v>
      </c>
      <c r="AH2012">
        <v>37.571839533400798</v>
      </c>
      <c r="AI2012">
        <v>91.685633408533505</v>
      </c>
      <c r="AJ2012">
        <v>89.659936615007794</v>
      </c>
      <c r="AK2012">
        <v>37.588767200167098</v>
      </c>
      <c r="AL2012">
        <v>79.336226586440404</v>
      </c>
      <c r="AM2012">
        <v>88.698833256425004</v>
      </c>
      <c r="AN2012">
        <v>1.00000000773941</v>
      </c>
    </row>
    <row r="2013" spans="1:40" x14ac:dyDescent="0.25">
      <c r="A2013" t="str">
        <f>"20190312172931521"</f>
        <v>20190312172931521</v>
      </c>
      <c r="B2013" t="str">
        <f>"1552382971509432"</f>
        <v>1552382971509432</v>
      </c>
      <c r="C2013" t="s">
        <v>40</v>
      </c>
      <c r="D2013">
        <v>3.4173079999999998</v>
      </c>
      <c r="E2013">
        <v>0.4991408</v>
      </c>
      <c r="F2013" t="s">
        <v>48</v>
      </c>
      <c r="G2013">
        <v>-310.11860000000001</v>
      </c>
      <c r="H2013" s="1">
        <v>2.1018669999999999E-6</v>
      </c>
      <c r="I2013">
        <v>286.53489999999999</v>
      </c>
      <c r="J2013">
        <v>-273.91379999999998</v>
      </c>
      <c r="K2013">
        <v>1.1057079999999999</v>
      </c>
      <c r="L2013">
        <v>282.5514</v>
      </c>
      <c r="M2013">
        <v>-0.99446789999999996</v>
      </c>
      <c r="N2013">
        <v>0</v>
      </c>
      <c r="O2013">
        <v>0.10481269999999999</v>
      </c>
      <c r="P2013">
        <v>-0.97620059999999997</v>
      </c>
      <c r="Q2013">
        <v>0.178371</v>
      </c>
      <c r="R2013">
        <v>0.1233542</v>
      </c>
      <c r="S2013">
        <v>-3.0476380000000001</v>
      </c>
      <c r="T2013">
        <v>-9.2499730000000002E-2</v>
      </c>
      <c r="U2013">
        <v>0.33526610000000001</v>
      </c>
      <c r="V2013">
        <v>2.175148E-2</v>
      </c>
      <c r="W2013">
        <v>0.1850261</v>
      </c>
      <c r="X2013">
        <v>0.9824929</v>
      </c>
      <c r="Y2013">
        <v>4.6052020000000001E-3</v>
      </c>
      <c r="Z2013">
        <v>-3.0924020000000002E-3</v>
      </c>
      <c r="AA2013">
        <v>0.9999846</v>
      </c>
      <c r="AB2013">
        <v>43</v>
      </c>
      <c r="AC2013">
        <v>-36.204799999999999</v>
      </c>
      <c r="AD2013">
        <v>-1.1057058981329999</v>
      </c>
      <c r="AE2013">
        <v>3.98349999999999</v>
      </c>
      <c r="AF2013">
        <v>0.16659050951875301</v>
      </c>
      <c r="AG2013">
        <v>-1.1057058981329999</v>
      </c>
      <c r="AH2013">
        <v>36.389370257187899</v>
      </c>
      <c r="AI2013">
        <v>91.7404019715527</v>
      </c>
      <c r="AJ2013">
        <v>89.737701797129503</v>
      </c>
      <c r="AK2013">
        <v>36.406546192213</v>
      </c>
      <c r="AL2013">
        <v>79.337346360384998</v>
      </c>
      <c r="AM2013">
        <v>88.731731855370299</v>
      </c>
      <c r="AN2013">
        <v>1.0000000415568999</v>
      </c>
    </row>
    <row r="2014" spans="1:40" x14ac:dyDescent="0.25">
      <c r="A2014" t="str">
        <f>"20190312172931532"</f>
        <v>20190312172931532</v>
      </c>
      <c r="B2014" t="str">
        <f>"1552382971528950"</f>
        <v>1552382971528950</v>
      </c>
      <c r="C2014" t="s">
        <v>40</v>
      </c>
      <c r="D2014">
        <v>3.4256150000000001</v>
      </c>
      <c r="E2014">
        <v>0.49866500000000002</v>
      </c>
      <c r="F2014" t="s">
        <v>48</v>
      </c>
      <c r="G2014">
        <v>-309.88310000000001</v>
      </c>
      <c r="H2014" s="1">
        <v>2.0455600000000001E-6</v>
      </c>
      <c r="I2014">
        <v>286.51459999999997</v>
      </c>
      <c r="J2014">
        <v>-274.13130000000001</v>
      </c>
      <c r="K2014">
        <v>1.10572</v>
      </c>
      <c r="L2014">
        <v>282.5752</v>
      </c>
      <c r="M2014">
        <v>-0.99432690000000001</v>
      </c>
      <c r="N2014">
        <v>0</v>
      </c>
      <c r="O2014">
        <v>0.10614170000000001</v>
      </c>
      <c r="P2014">
        <v>-0.97609570000000001</v>
      </c>
      <c r="Q2014">
        <v>0.17845320000000001</v>
      </c>
      <c r="R2014">
        <v>0.1240641</v>
      </c>
      <c r="S2014">
        <v>-3.0478209999999999</v>
      </c>
      <c r="T2014">
        <v>-9.3691109999999994E-2</v>
      </c>
      <c r="U2014">
        <v>0.33581539999999999</v>
      </c>
      <c r="V2014">
        <v>2.1148400000000001E-2</v>
      </c>
      <c r="W2014">
        <v>0.1851245</v>
      </c>
      <c r="X2014">
        <v>0.98248749999999996</v>
      </c>
      <c r="Y2014">
        <v>3.442573E-3</v>
      </c>
      <c r="Z2014">
        <v>-3.1902340000000001E-3</v>
      </c>
      <c r="AA2014">
        <v>0.99998900000000002</v>
      </c>
      <c r="AB2014">
        <v>43</v>
      </c>
      <c r="AC2014">
        <v>-35.751800000000003</v>
      </c>
      <c r="AD2014">
        <v>-1.10571795444</v>
      </c>
      <c r="AE2014">
        <v>3.9393999999999698</v>
      </c>
      <c r="AF2014">
        <v>0.12218202493248401</v>
      </c>
      <c r="AG2014">
        <v>-1.10571795444</v>
      </c>
      <c r="AH2014">
        <v>35.934014313259297</v>
      </c>
      <c r="AI2014">
        <v>91.762470009032398</v>
      </c>
      <c r="AJ2014">
        <v>89.805184933639097</v>
      </c>
      <c r="AK2014">
        <v>35.951229816343101</v>
      </c>
      <c r="AL2014">
        <v>79.331609020681995</v>
      </c>
      <c r="AM2014">
        <v>88.766877980877894</v>
      </c>
      <c r="AN2014">
        <v>1.00000001148952</v>
      </c>
    </row>
    <row r="2015" spans="1:40" x14ac:dyDescent="0.25">
      <c r="A2015" t="str">
        <f>"20190312172931544"</f>
        <v>20190312172931544</v>
      </c>
      <c r="B2015" t="str">
        <f>"1552382971539687"</f>
        <v>1552382971539687</v>
      </c>
      <c r="C2015" t="s">
        <v>40</v>
      </c>
      <c r="D2015">
        <v>3.4432700000000001</v>
      </c>
      <c r="E2015">
        <v>0.49843929999999997</v>
      </c>
      <c r="F2015" t="s">
        <v>48</v>
      </c>
      <c r="G2015">
        <v>-309.45179999999999</v>
      </c>
      <c r="H2015" s="1">
        <v>2.1282589999999999E-6</v>
      </c>
      <c r="I2015">
        <v>286.44380000000001</v>
      </c>
      <c r="J2015">
        <v>-274.35840000000002</v>
      </c>
      <c r="K2015">
        <v>1.1057349999999999</v>
      </c>
      <c r="L2015">
        <v>282.6001</v>
      </c>
      <c r="M2015">
        <v>-0.99417860000000002</v>
      </c>
      <c r="N2015">
        <v>0</v>
      </c>
      <c r="O2015">
        <v>0.1075213</v>
      </c>
      <c r="P2015">
        <v>-0.97598099999999999</v>
      </c>
      <c r="Q2015">
        <v>0.17833560000000001</v>
      </c>
      <c r="R2015">
        <v>0.1251311</v>
      </c>
      <c r="S2015">
        <v>-3.0484619999999998</v>
      </c>
      <c r="T2015">
        <v>-9.5433119999999996E-2</v>
      </c>
      <c r="U2015">
        <v>0.33389279999999999</v>
      </c>
      <c r="V2015">
        <v>2.0848820000000001E-2</v>
      </c>
      <c r="W2015">
        <v>0.18502089999999999</v>
      </c>
      <c r="X2015">
        <v>0.98251339999999998</v>
      </c>
      <c r="Y2015">
        <v>1.4123569999999999E-3</v>
      </c>
      <c r="Z2015">
        <v>-3.323398E-3</v>
      </c>
      <c r="AA2015">
        <v>0.99999349999999998</v>
      </c>
      <c r="AB2015">
        <v>43</v>
      </c>
      <c r="AC2015">
        <v>-35.093399999999903</v>
      </c>
      <c r="AD2015">
        <v>-1.105732871741</v>
      </c>
      <c r="AE2015">
        <v>3.8437000000000099</v>
      </c>
      <c r="AF2015">
        <v>4.7990371537883499E-2</v>
      </c>
      <c r="AG2015">
        <v>-1.105732871741</v>
      </c>
      <c r="AH2015">
        <v>35.268636964933201</v>
      </c>
      <c r="AI2015">
        <v>91.795732084570005</v>
      </c>
      <c r="AJ2015">
        <v>89.922037133101995</v>
      </c>
      <c r="AK2015">
        <v>35.285998662694297</v>
      </c>
      <c r="AL2015">
        <v>79.337649019494407</v>
      </c>
      <c r="AM2015">
        <v>88.784372664052995</v>
      </c>
      <c r="AN2015">
        <v>0.99999999395588102</v>
      </c>
    </row>
    <row r="2016" spans="1:40" x14ac:dyDescent="0.25">
      <c r="A2016" t="str">
        <f>"20190312172931555"</f>
        <v>20190312172931555</v>
      </c>
      <c r="B2016" t="str">
        <f>"1552382971549447"</f>
        <v>1552382971549447</v>
      </c>
      <c r="C2016" t="s">
        <v>40</v>
      </c>
      <c r="D2016">
        <v>3.4200469999999998</v>
      </c>
      <c r="E2016">
        <v>0.49822240000000001</v>
      </c>
      <c r="F2016" t="s">
        <v>48</v>
      </c>
      <c r="G2016">
        <v>-309.19450000000001</v>
      </c>
      <c r="H2016" s="1">
        <v>2.1746779999999999E-6</v>
      </c>
      <c r="I2016">
        <v>286.4348</v>
      </c>
      <c r="J2016">
        <v>-274.57749999999999</v>
      </c>
      <c r="K2016">
        <v>1.1057570000000001</v>
      </c>
      <c r="L2016">
        <v>282.62459999999999</v>
      </c>
      <c r="M2016">
        <v>-0.99403719999999995</v>
      </c>
      <c r="N2016">
        <v>0</v>
      </c>
      <c r="O2016">
        <v>0.10882020000000001</v>
      </c>
      <c r="P2016">
        <v>-0.97594510000000001</v>
      </c>
      <c r="Q2016">
        <v>0.1782156</v>
      </c>
      <c r="R2016">
        <v>0.125581</v>
      </c>
      <c r="S2016">
        <v>-3.0484619999999998</v>
      </c>
      <c r="T2016">
        <v>-9.6761349999999996E-2</v>
      </c>
      <c r="U2016">
        <v>0.33557130000000002</v>
      </c>
      <c r="V2016">
        <v>2.0004310000000001E-2</v>
      </c>
      <c r="W2016">
        <v>0.18491920000000001</v>
      </c>
      <c r="X2016">
        <v>0.98255009999999998</v>
      </c>
      <c r="Y2016">
        <v>6.5216470000000002E-4</v>
      </c>
      <c r="Z2016">
        <v>-3.4223230000000001E-3</v>
      </c>
      <c r="AA2016">
        <v>0.99999389999999999</v>
      </c>
      <c r="AB2016">
        <v>43</v>
      </c>
      <c r="AC2016">
        <v>-34.616999999999997</v>
      </c>
      <c r="AD2016">
        <v>-1.105754825322</v>
      </c>
      <c r="AE2016">
        <v>3.8102</v>
      </c>
      <c r="AF2016">
        <v>2.0431571710961501E-2</v>
      </c>
      <c r="AG2016">
        <v>-1.105754825322</v>
      </c>
      <c r="AH2016">
        <v>34.790978730098502</v>
      </c>
      <c r="AI2016">
        <v>91.820407368362893</v>
      </c>
      <c r="AJ2016">
        <v>89.966352119543302</v>
      </c>
      <c r="AK2016">
        <v>34.808552285049302</v>
      </c>
      <c r="AL2016">
        <v>79.343578283202305</v>
      </c>
      <c r="AM2016">
        <v>88.833642978436302</v>
      </c>
      <c r="AN2016">
        <v>0.99999999097861303</v>
      </c>
    </row>
    <row r="2017" spans="1:40" x14ac:dyDescent="0.25">
      <c r="A2017" t="str">
        <f>"20190312172931569"</f>
        <v>20190312172931569</v>
      </c>
      <c r="B2017" t="str">
        <f>"1552382971559207"</f>
        <v>1552382971559207</v>
      </c>
      <c r="C2017" t="s">
        <v>40</v>
      </c>
      <c r="D2017">
        <v>3.409198</v>
      </c>
      <c r="E2017">
        <v>0.49800470000000002</v>
      </c>
      <c r="F2017" t="s">
        <v>48</v>
      </c>
      <c r="G2017">
        <v>-308.92739999999998</v>
      </c>
      <c r="H2017" s="1">
        <v>2.2251079999999999E-6</v>
      </c>
      <c r="I2017">
        <v>286.3999</v>
      </c>
      <c r="J2017">
        <v>-274.8347</v>
      </c>
      <c r="K2017">
        <v>1.105785</v>
      </c>
      <c r="L2017">
        <v>282.65359999999998</v>
      </c>
      <c r="M2017">
        <v>-0.99387110000000001</v>
      </c>
      <c r="N2017">
        <v>0</v>
      </c>
      <c r="O2017">
        <v>0.1103254</v>
      </c>
      <c r="P2017">
        <v>-0.97583900000000001</v>
      </c>
      <c r="Q2017">
        <v>0.17809900000000001</v>
      </c>
      <c r="R2017">
        <v>0.12656689999999901</v>
      </c>
      <c r="S2017">
        <v>-3.0487669999999998</v>
      </c>
      <c r="T2017">
        <v>-9.8142740000000006E-2</v>
      </c>
      <c r="U2017">
        <v>0.33508300000000002</v>
      </c>
      <c r="V2017">
        <v>1.9492889999999999E-2</v>
      </c>
      <c r="W2017">
        <v>0.1848204</v>
      </c>
      <c r="X2017">
        <v>0.98257899999999998</v>
      </c>
      <c r="Y2017">
        <v>-1.028099E-3</v>
      </c>
      <c r="Z2017">
        <v>-3.5457359999999999E-3</v>
      </c>
      <c r="AA2017">
        <v>0.99999320000000003</v>
      </c>
      <c r="AB2017">
        <v>43</v>
      </c>
      <c r="AC2017">
        <v>-34.092699999999901</v>
      </c>
      <c r="AD2017">
        <v>-1.1057827748919999</v>
      </c>
      <c r="AE2017">
        <v>3.74630000000001</v>
      </c>
      <c r="AF2017">
        <v>-3.7912975119936299E-2</v>
      </c>
      <c r="AG2017">
        <v>-1.1057827748919999</v>
      </c>
      <c r="AH2017">
        <v>34.2622797870075</v>
      </c>
      <c r="AI2017">
        <v>91.848524490765499</v>
      </c>
      <c r="AJ2017">
        <v>90.063400701589302</v>
      </c>
      <c r="AK2017">
        <v>34.280140156395397</v>
      </c>
      <c r="AL2017">
        <v>79.349338728809101</v>
      </c>
      <c r="AM2017">
        <v>88.863486963687606</v>
      </c>
      <c r="AN2017">
        <v>1.0000000221288501</v>
      </c>
    </row>
    <row r="2018" spans="1:40" x14ac:dyDescent="0.25">
      <c r="A2018" t="str">
        <f>"20190312172931589"</f>
        <v>20190312172931589</v>
      </c>
      <c r="B2018" t="str">
        <f>"1552382971579702"</f>
        <v>1552382971579702</v>
      </c>
      <c r="C2018" t="s">
        <v>40</v>
      </c>
      <c r="D2018">
        <v>3.436007</v>
      </c>
      <c r="E2018">
        <v>0.49756790000000001</v>
      </c>
      <c r="F2018" t="s">
        <v>48</v>
      </c>
      <c r="G2018">
        <v>-308.71809999999999</v>
      </c>
      <c r="H2018" s="1">
        <v>2.2629209999999999E-6</v>
      </c>
      <c r="I2018">
        <v>286.39190000000002</v>
      </c>
      <c r="J2018">
        <v>-275.21409999999997</v>
      </c>
      <c r="K2018">
        <v>1.1058319999999999</v>
      </c>
      <c r="L2018">
        <v>282.69709999999998</v>
      </c>
      <c r="M2018">
        <v>-0.99362850000000003</v>
      </c>
      <c r="N2018">
        <v>0</v>
      </c>
      <c r="O2018">
        <v>0.1124874</v>
      </c>
      <c r="P2018">
        <v>-0.97576450000000003</v>
      </c>
      <c r="Q2018">
        <v>0.17802750000000001</v>
      </c>
      <c r="R2018">
        <v>0.12723969999999901</v>
      </c>
      <c r="S2018">
        <v>-3.0487980000000001</v>
      </c>
      <c r="T2018">
        <v>-9.9497199999999994E-2</v>
      </c>
      <c r="U2018">
        <v>0.33636470000000002</v>
      </c>
      <c r="V2018">
        <v>1.80068E-2</v>
      </c>
      <c r="W2018">
        <v>0.18478</v>
      </c>
      <c r="X2018">
        <v>0.98261489999999996</v>
      </c>
      <c r="Y2018">
        <v>-2.7859009999999999E-3</v>
      </c>
      <c r="Z2018">
        <v>-3.6928799999999999E-3</v>
      </c>
      <c r="AA2018">
        <v>0.99998929999999997</v>
      </c>
      <c r="AB2018">
        <v>43</v>
      </c>
      <c r="AC2018">
        <v>-33.503999999999998</v>
      </c>
      <c r="AD2018">
        <v>-1.105829737079</v>
      </c>
      <c r="AE2018">
        <v>3.6948000000000398</v>
      </c>
      <c r="AF2018">
        <v>-9.7416806846734705E-2</v>
      </c>
      <c r="AG2018">
        <v>-1.105829737079</v>
      </c>
      <c r="AH2018">
        <v>33.670733538538698</v>
      </c>
      <c r="AI2018">
        <v>91.881050383912594</v>
      </c>
      <c r="AJ2018">
        <v>90.165768776784404</v>
      </c>
      <c r="AK2018">
        <v>33.689028577044802</v>
      </c>
      <c r="AL2018">
        <v>79.351693457193207</v>
      </c>
      <c r="AM2018">
        <v>88.950150078306393</v>
      </c>
      <c r="AN2018">
        <v>0.99999996747412401</v>
      </c>
    </row>
    <row r="2019" spans="1:40" x14ac:dyDescent="0.25">
      <c r="A2019" t="str">
        <f>"20190312172931609"</f>
        <v>20190312172931609</v>
      </c>
      <c r="B2019" t="str">
        <f>"1552382971599226"</f>
        <v>1552382971599226</v>
      </c>
      <c r="C2019" t="s">
        <v>40</v>
      </c>
      <c r="D2019">
        <v>3.4539740000000001</v>
      </c>
      <c r="E2019">
        <v>0.49713780000000002</v>
      </c>
      <c r="F2019" t="s">
        <v>48</v>
      </c>
      <c r="G2019">
        <v>-308.45740000000001</v>
      </c>
      <c r="H2019" s="1">
        <v>2.312858E-6</v>
      </c>
      <c r="I2019">
        <v>286.34980000000002</v>
      </c>
      <c r="J2019">
        <v>-275.62110000000001</v>
      </c>
      <c r="K2019">
        <v>1.105893</v>
      </c>
      <c r="L2019">
        <v>282.74459999999999</v>
      </c>
      <c r="M2019">
        <v>-0.99337330000000001</v>
      </c>
      <c r="N2019">
        <v>0</v>
      </c>
      <c r="O2019">
        <v>0.114717899999999</v>
      </c>
      <c r="P2019">
        <v>-0.97562919999999997</v>
      </c>
      <c r="Q2019">
        <v>0.17818680000000001</v>
      </c>
      <c r="R2019">
        <v>0.12805230000000001</v>
      </c>
      <c r="S2019">
        <v>-3.0493160000000001</v>
      </c>
      <c r="T2019">
        <v>-0.10143480000000001</v>
      </c>
      <c r="U2019">
        <v>0.33505249999999998</v>
      </c>
      <c r="V2019">
        <v>1.659306E-2</v>
      </c>
      <c r="W2019">
        <v>0.18497079999999999</v>
      </c>
      <c r="X2019">
        <v>0.98260389999999997</v>
      </c>
      <c r="Y2019">
        <v>-5.4696639999999999E-3</v>
      </c>
      <c r="Z2019">
        <v>-3.8820880000000001E-3</v>
      </c>
      <c r="AA2019">
        <v>0.99997749999999996</v>
      </c>
      <c r="AB2019">
        <v>43</v>
      </c>
      <c r="AC2019">
        <v>-32.836299999999902</v>
      </c>
      <c r="AD2019">
        <v>-1.105890687142</v>
      </c>
      <c r="AE2019">
        <v>3.6052000000000199</v>
      </c>
      <c r="AF2019">
        <v>-0.185398745735602</v>
      </c>
      <c r="AG2019">
        <v>-1.105890687142</v>
      </c>
      <c r="AH2019">
        <v>32.99611809772</v>
      </c>
      <c r="AI2019">
        <v>91.919564003483501</v>
      </c>
      <c r="AJ2019">
        <v>90.321930411332104</v>
      </c>
      <c r="AK2019">
        <v>33.015165854884302</v>
      </c>
      <c r="AL2019">
        <v>79.340569755286396</v>
      </c>
      <c r="AM2019">
        <v>89.032548158261903</v>
      </c>
      <c r="AN2019">
        <v>0.99999997539400598</v>
      </c>
    </row>
    <row r="2020" spans="1:40" x14ac:dyDescent="0.25">
      <c r="A2020" t="str">
        <f>"20190312172931621"</f>
        <v>20190312172931621</v>
      </c>
      <c r="B2020" t="str">
        <f>"1552382971608982"</f>
        <v>1552382971608982</v>
      </c>
      <c r="C2020" t="s">
        <v>40</v>
      </c>
      <c r="D2020">
        <v>3.4530409999999998</v>
      </c>
      <c r="E2020">
        <v>0.4969191</v>
      </c>
      <c r="F2020" t="s">
        <v>48</v>
      </c>
      <c r="G2020">
        <v>-308.49149999999997</v>
      </c>
      <c r="H2020" s="1">
        <v>2.3070180000000002E-6</v>
      </c>
      <c r="I2020">
        <v>286.34719999999999</v>
      </c>
      <c r="J2020">
        <v>-275.84350000000001</v>
      </c>
      <c r="K2020">
        <v>1.1059330000000001</v>
      </c>
      <c r="L2020">
        <v>282.77089999999998</v>
      </c>
      <c r="M2020">
        <v>-0.9932356</v>
      </c>
      <c r="N2020">
        <v>0</v>
      </c>
      <c r="O2020">
        <v>0.1159036</v>
      </c>
      <c r="P2020">
        <v>-0.97554430000000003</v>
      </c>
      <c r="Q2020">
        <v>0.17836749999999901</v>
      </c>
      <c r="R2020">
        <v>0.1284479</v>
      </c>
      <c r="S2020">
        <v>-3.0498050000000001</v>
      </c>
      <c r="T2020">
        <v>-0.1026074</v>
      </c>
      <c r="U2020">
        <v>0.33425899999999997</v>
      </c>
      <c r="V2020">
        <v>1.5805420000000001E-2</v>
      </c>
      <c r="W2020">
        <v>0.18516850000000001</v>
      </c>
      <c r="X2020">
        <v>0.9825796</v>
      </c>
      <c r="Y2020">
        <v>-6.9348439999999999E-3</v>
      </c>
      <c r="Z2020">
        <v>-3.9903889999999996E-3</v>
      </c>
      <c r="AA2020">
        <v>0.99996799999999997</v>
      </c>
      <c r="AB2020">
        <v>43</v>
      </c>
      <c r="AC2020">
        <v>-32.647999999999897</v>
      </c>
      <c r="AD2020">
        <v>-1.1059306929819901</v>
      </c>
      <c r="AE2020">
        <v>3.5762999999999998</v>
      </c>
      <c r="AF2020">
        <v>-0.23165531824989799</v>
      </c>
      <c r="AG2020">
        <v>-1.1059306929819901</v>
      </c>
      <c r="AH2020">
        <v>32.805276256569499</v>
      </c>
      <c r="AI2020">
        <v>91.9307746174334</v>
      </c>
      <c r="AJ2020">
        <v>90.404588924121299</v>
      </c>
      <c r="AK2020">
        <v>32.824729963154198</v>
      </c>
      <c r="AL2020">
        <v>79.329042747008003</v>
      </c>
      <c r="AM2020">
        <v>89.078440295703103</v>
      </c>
      <c r="AN2020">
        <v>0.99999992751488997</v>
      </c>
    </row>
    <row r="2021" spans="1:40" x14ac:dyDescent="0.25">
      <c r="A2021" t="str">
        <f>"20190312172931632"</f>
        <v>20190312172931632</v>
      </c>
      <c r="B2021" t="str">
        <f>"1552382971629479"</f>
        <v>1552382971629479</v>
      </c>
      <c r="C2021" t="s">
        <v>40</v>
      </c>
      <c r="D2021">
        <v>3.4297629999999999</v>
      </c>
      <c r="E2021">
        <v>0.49648569999999997</v>
      </c>
      <c r="F2021" t="s">
        <v>48</v>
      </c>
      <c r="G2021">
        <v>-308.64319999999998</v>
      </c>
      <c r="H2021" s="1">
        <v>2.279003E-6</v>
      </c>
      <c r="I2021">
        <v>286.35989999999998</v>
      </c>
      <c r="J2021">
        <v>-276.05680000000001</v>
      </c>
      <c r="K2021">
        <v>1.105969</v>
      </c>
      <c r="L2021">
        <v>282.79640000000001</v>
      </c>
      <c r="M2021">
        <v>-0.99310739999999997</v>
      </c>
      <c r="N2021">
        <v>0</v>
      </c>
      <c r="O2021">
        <v>0.116997</v>
      </c>
      <c r="P2021">
        <v>-0.97545219999999999</v>
      </c>
      <c r="Q2021">
        <v>0.17860780000000001</v>
      </c>
      <c r="R2021">
        <v>0.12881119999999999</v>
      </c>
      <c r="S2021">
        <v>-3.0500790000000002</v>
      </c>
      <c r="T2021">
        <v>-0.10284160000000001</v>
      </c>
      <c r="U2021">
        <v>0.33374019999999999</v>
      </c>
      <c r="V2021">
        <v>1.507667E-2</v>
      </c>
      <c r="W2021">
        <v>0.1854248</v>
      </c>
      <c r="X2021">
        <v>0.98254280000000005</v>
      </c>
      <c r="Y2021">
        <v>-8.2119329999999994E-3</v>
      </c>
      <c r="Z2021">
        <v>-4.0570850000000002E-3</v>
      </c>
      <c r="AA2021">
        <v>0.99995800000000001</v>
      </c>
      <c r="AB2021">
        <v>43</v>
      </c>
      <c r="AC2021">
        <v>-32.586399999999898</v>
      </c>
      <c r="AD2021">
        <v>-1.1059667209970001</v>
      </c>
      <c r="AE2021">
        <v>3.5634999999999701</v>
      </c>
      <c r="AF2021">
        <v>-0.27326852185531098</v>
      </c>
      <c r="AG2021">
        <v>-1.1059667209970001</v>
      </c>
      <c r="AH2021">
        <v>32.742253546720697</v>
      </c>
      <c r="AI2021">
        <v>91.934532020378398</v>
      </c>
      <c r="AJ2021">
        <v>90.478182402082297</v>
      </c>
      <c r="AK2021">
        <v>32.762066561661399</v>
      </c>
      <c r="AL2021">
        <v>79.314099923679706</v>
      </c>
      <c r="AM2021">
        <v>89.120891454268303</v>
      </c>
      <c r="AN2021">
        <v>1.0000000081325799</v>
      </c>
    </row>
    <row r="2022" spans="1:40" x14ac:dyDescent="0.25">
      <c r="A2022" t="str">
        <f>"20190312172931644"</f>
        <v>20190312172931644</v>
      </c>
      <c r="B2022" t="str">
        <f>"1552382971639240"</f>
        <v>1552382971639240</v>
      </c>
      <c r="C2022" t="s">
        <v>40</v>
      </c>
      <c r="D2022">
        <v>3.4605839999999901</v>
      </c>
      <c r="E2022">
        <v>0.4962763</v>
      </c>
      <c r="F2022" t="s">
        <v>48</v>
      </c>
      <c r="G2022">
        <v>-308.62909999999999</v>
      </c>
      <c r="H2022" s="1">
        <v>2.2836850000000001E-6</v>
      </c>
      <c r="I2022">
        <v>286.33499999999998</v>
      </c>
      <c r="J2022">
        <v>-276.28089999999997</v>
      </c>
      <c r="K2022">
        <v>1.106015</v>
      </c>
      <c r="L2022">
        <v>282.82339999999999</v>
      </c>
      <c r="M2022">
        <v>-0.99297310000000005</v>
      </c>
      <c r="N2022">
        <v>0</v>
      </c>
      <c r="O2022">
        <v>0.11813129999999999</v>
      </c>
      <c r="P2022">
        <v>-0.97539889999999996</v>
      </c>
      <c r="Q2022">
        <v>0.1786374</v>
      </c>
      <c r="R2022">
        <v>0.12917419999999999</v>
      </c>
      <c r="S2022">
        <v>-3.0506899999999999</v>
      </c>
      <c r="T2022">
        <v>-0.1035838</v>
      </c>
      <c r="U2022">
        <v>0.33142090000000002</v>
      </c>
      <c r="V2022">
        <v>1.429947E-2</v>
      </c>
      <c r="W2022">
        <v>0.18547169999999999</v>
      </c>
      <c r="X2022">
        <v>0.98254560000000002</v>
      </c>
      <c r="Y2022">
        <v>-1.0124330000000001E-2</v>
      </c>
      <c r="Z2022">
        <v>-4.156178E-3</v>
      </c>
      <c r="AA2022">
        <v>0.9999401</v>
      </c>
      <c r="AB2022">
        <v>43</v>
      </c>
      <c r="AC2022">
        <v>-32.348199999999999</v>
      </c>
      <c r="AD2022">
        <v>-1.106012716315</v>
      </c>
      <c r="AE2022">
        <v>3.5115999999999801</v>
      </c>
      <c r="AF2022">
        <v>-0.33403290277530301</v>
      </c>
      <c r="AG2022">
        <v>-1.106012716315</v>
      </c>
      <c r="AH2022">
        <v>32.498976985661201</v>
      </c>
      <c r="AI2022">
        <v>91.949048112101593</v>
      </c>
      <c r="AJ2022">
        <v>90.588880125226297</v>
      </c>
      <c r="AK2022">
        <v>32.519507179896301</v>
      </c>
      <c r="AL2022">
        <v>79.311365674972507</v>
      </c>
      <c r="AM2022">
        <v>89.1662051675128</v>
      </c>
      <c r="AN2022">
        <v>1.00000004121126</v>
      </c>
    </row>
    <row r="2023" spans="1:40" x14ac:dyDescent="0.25">
      <c r="A2023" t="str">
        <f>"20190312172931655"</f>
        <v>20190312172931655</v>
      </c>
      <c r="B2023" t="str">
        <f>"1552382971649975"</f>
        <v>1552382971649975</v>
      </c>
      <c r="C2023" t="s">
        <v>40</v>
      </c>
      <c r="D2023">
        <v>3.4521229999999998</v>
      </c>
      <c r="E2023">
        <v>0.49606329999999998</v>
      </c>
      <c r="F2023" t="s">
        <v>48</v>
      </c>
      <c r="G2023">
        <v>-308.64510000000001</v>
      </c>
      <c r="H2023" s="1">
        <v>2.281291E-6</v>
      </c>
      <c r="I2023">
        <v>286.33</v>
      </c>
      <c r="J2023">
        <v>-276.5093</v>
      </c>
      <c r="K2023">
        <v>1.10607099999999</v>
      </c>
      <c r="L2023">
        <v>282.85120000000001</v>
      </c>
      <c r="M2023">
        <v>-0.99284289999999997</v>
      </c>
      <c r="N2023">
        <v>0</v>
      </c>
      <c r="O2023">
        <v>0.1192211</v>
      </c>
      <c r="P2023">
        <v>-0.97532059999999998</v>
      </c>
      <c r="Q2023">
        <v>0.1787987</v>
      </c>
      <c r="R2023">
        <v>0.12954169999999901</v>
      </c>
      <c r="S2023">
        <v>-3.0509949999999999</v>
      </c>
      <c r="T2023">
        <v>-0.10426439999999999</v>
      </c>
      <c r="U2023">
        <v>0.33056639999999998</v>
      </c>
      <c r="V2023">
        <v>1.3569660000000001E-2</v>
      </c>
      <c r="W2023">
        <v>0.1856498</v>
      </c>
      <c r="X2023">
        <v>0.98252229999999996</v>
      </c>
      <c r="Y2023">
        <v>-1.1507E-2</v>
      </c>
      <c r="Z2023">
        <v>-4.2434899999999999E-3</v>
      </c>
      <c r="AA2023">
        <v>0.99992479999999995</v>
      </c>
      <c r="AB2023">
        <v>43</v>
      </c>
      <c r="AC2023">
        <v>-32.135800000000003</v>
      </c>
      <c r="AD2023">
        <v>-1.1060687187089899</v>
      </c>
      <c r="AE2023">
        <v>3.4787999999999699</v>
      </c>
      <c r="AF2023">
        <v>-0.376931492624069</v>
      </c>
      <c r="AG2023">
        <v>-1.1060687187089899</v>
      </c>
      <c r="AH2023">
        <v>32.283542687686399</v>
      </c>
      <c r="AI2023">
        <v>91.962113552768798</v>
      </c>
      <c r="AJ2023">
        <v>90.668935334228706</v>
      </c>
      <c r="AK2023">
        <v>32.304683775395603</v>
      </c>
      <c r="AL2023">
        <v>79.300980788961297</v>
      </c>
      <c r="AM2023">
        <v>89.208735700607306</v>
      </c>
      <c r="AN2023">
        <v>1.0000000269549201</v>
      </c>
    </row>
    <row r="2024" spans="1:40" x14ac:dyDescent="0.25">
      <c r="A2024" t="str">
        <f>"20190312172931667"</f>
        <v>20190312172931667</v>
      </c>
      <c r="B2024" t="str">
        <f>"1552382971659735"</f>
        <v>1552382971659735</v>
      </c>
      <c r="C2024" t="s">
        <v>40</v>
      </c>
      <c r="D2024">
        <v>3.4554649999999998</v>
      </c>
      <c r="E2024">
        <v>0.49584650000000002</v>
      </c>
      <c r="F2024" t="s">
        <v>48</v>
      </c>
      <c r="G2024">
        <v>-308.77339999999998</v>
      </c>
      <c r="H2024" s="1">
        <v>2.2574449999999999E-6</v>
      </c>
      <c r="I2024">
        <v>286.34249999999997</v>
      </c>
      <c r="J2024">
        <v>-276.72390000000001</v>
      </c>
      <c r="K2024">
        <v>1.106128</v>
      </c>
      <c r="L2024">
        <v>282.8775</v>
      </c>
      <c r="M2024">
        <v>-0.99272199999999999</v>
      </c>
      <c r="N2024">
        <v>0</v>
      </c>
      <c r="O2024">
        <v>0.120222</v>
      </c>
      <c r="P2024">
        <v>-0.97529920000000003</v>
      </c>
      <c r="Q2024">
        <v>0.17876230000000001</v>
      </c>
      <c r="R2024">
        <v>0.1297536</v>
      </c>
      <c r="S2024">
        <v>-3.0512389999999998</v>
      </c>
      <c r="T2024">
        <v>-0.10460170000000001</v>
      </c>
      <c r="U2024">
        <v>0.33016970000000001</v>
      </c>
      <c r="V2024">
        <v>1.276537E-2</v>
      </c>
      <c r="W2024">
        <v>0.18562960000000001</v>
      </c>
      <c r="X2024">
        <v>0.98253690000000005</v>
      </c>
      <c r="Y2024">
        <v>-1.265055E-2</v>
      </c>
      <c r="Z2024">
        <v>-4.3103619999999999E-3</v>
      </c>
      <c r="AA2024">
        <v>0.99991070000000004</v>
      </c>
      <c r="AB2024">
        <v>43</v>
      </c>
      <c r="AC2024">
        <v>-32.049499999999902</v>
      </c>
      <c r="AD2024">
        <v>-1.106125742555</v>
      </c>
      <c r="AE2024">
        <v>3.4649999999999701</v>
      </c>
      <c r="AF2024">
        <v>-0.412797506684078</v>
      </c>
      <c r="AG2024">
        <v>-1.106125742555</v>
      </c>
      <c r="AH2024">
        <v>32.195707167728202</v>
      </c>
      <c r="AI2024">
        <v>91.967536105220105</v>
      </c>
      <c r="AJ2024">
        <v>90.734578026083</v>
      </c>
      <c r="AK2024">
        <v>32.217347438452698</v>
      </c>
      <c r="AL2024">
        <v>79.302158685983201</v>
      </c>
      <c r="AM2024">
        <v>89.255640499744302</v>
      </c>
      <c r="AN2024">
        <v>1.0000000314644999</v>
      </c>
    </row>
    <row r="2025" spans="1:40" x14ac:dyDescent="0.25">
      <c r="A2025" t="str">
        <f>"20190312172931689"</f>
        <v>20190312172931689</v>
      </c>
      <c r="B2025" t="str">
        <f>"1552382971679258"</f>
        <v>1552382971679258</v>
      </c>
      <c r="C2025" t="s">
        <v>40</v>
      </c>
      <c r="D2025">
        <v>3.4334750000000001</v>
      </c>
      <c r="E2025">
        <v>0.49542849999999999</v>
      </c>
      <c r="F2025" t="s">
        <v>48</v>
      </c>
      <c r="G2025">
        <v>-308.73559999999998</v>
      </c>
      <c r="H2025" s="1">
        <v>2.2652739999999999E-6</v>
      </c>
      <c r="I2025">
        <v>286.3295</v>
      </c>
      <c r="J2025">
        <v>-277.15140000000002</v>
      </c>
      <c r="K2025">
        <v>1.1062540000000001</v>
      </c>
      <c r="L2025">
        <v>282.93040000000002</v>
      </c>
      <c r="M2025">
        <v>-0.99249469999999995</v>
      </c>
      <c r="N2025">
        <v>0</v>
      </c>
      <c r="O2025">
        <v>0.1220825</v>
      </c>
      <c r="P2025">
        <v>-0.97527719999999996</v>
      </c>
      <c r="Q2025">
        <v>0.17876700000000001</v>
      </c>
      <c r="R2025">
        <v>0.1299119</v>
      </c>
      <c r="S2025">
        <v>-3.0515439999999998</v>
      </c>
      <c r="T2025">
        <v>-0.10544249999999999</v>
      </c>
      <c r="U2025">
        <v>0.329071</v>
      </c>
      <c r="V2025">
        <v>1.102474E-2</v>
      </c>
      <c r="W2025">
        <v>0.185668</v>
      </c>
      <c r="X2025">
        <v>0.9825507</v>
      </c>
      <c r="Y2025">
        <v>-1.4887600000000001E-2</v>
      </c>
      <c r="Z2025">
        <v>-4.4467059999999999E-3</v>
      </c>
      <c r="AA2025">
        <v>0.99987930000000003</v>
      </c>
      <c r="AB2025">
        <v>44</v>
      </c>
      <c r="AC2025">
        <v>-31.5841999999999</v>
      </c>
      <c r="AD2025">
        <v>-1.1062517347259999</v>
      </c>
      <c r="AE2025">
        <v>3.39909999999997</v>
      </c>
      <c r="AF2025">
        <v>-0.481717254782632</v>
      </c>
      <c r="AG2025">
        <v>-1.1062517347259999</v>
      </c>
      <c r="AH2025">
        <v>31.724444492654399</v>
      </c>
      <c r="AI2025">
        <v>91.996901368387796</v>
      </c>
      <c r="AJ2025">
        <v>90.869936262457003</v>
      </c>
      <c r="AK2025">
        <v>31.7473813531392</v>
      </c>
      <c r="AL2025">
        <v>79.299919421637597</v>
      </c>
      <c r="AM2025">
        <v>89.357137942053896</v>
      </c>
      <c r="AN2025">
        <v>1.0000000145932699</v>
      </c>
    </row>
    <row r="2026" spans="1:40" x14ac:dyDescent="0.25">
      <c r="A2026" t="str">
        <f>"20190312172931702"</f>
        <v>20190312172931702</v>
      </c>
      <c r="B2026" t="str">
        <f>"1552382971699751"</f>
        <v>1552382971699751</v>
      </c>
      <c r="C2026" t="s">
        <v>40</v>
      </c>
      <c r="D2026">
        <v>3.4750329999999998</v>
      </c>
      <c r="E2026">
        <v>0.49502459999999998</v>
      </c>
      <c r="F2026" t="s">
        <v>48</v>
      </c>
      <c r="G2026">
        <v>-308.73160000000001</v>
      </c>
      <c r="H2026" s="1">
        <v>2.2678830000000001E-6</v>
      </c>
      <c r="I2026">
        <v>286.30779999999999</v>
      </c>
      <c r="J2026">
        <v>-277.4203</v>
      </c>
      <c r="K2026">
        <v>1.1063430000000001</v>
      </c>
      <c r="L2026">
        <v>282.96409999999997</v>
      </c>
      <c r="M2026">
        <v>-0.99235859999999998</v>
      </c>
      <c r="N2026">
        <v>0</v>
      </c>
      <c r="O2026">
        <v>0.1231828</v>
      </c>
      <c r="P2026">
        <v>-0.97515739999999995</v>
      </c>
      <c r="Q2026">
        <v>0.17909140000000001</v>
      </c>
      <c r="R2026">
        <v>0.1303628</v>
      </c>
      <c r="S2026">
        <v>-3.0521850000000001</v>
      </c>
      <c r="T2026">
        <v>-0.1069175</v>
      </c>
      <c r="U2026">
        <v>0.32641599999999998</v>
      </c>
      <c r="V2026">
        <v>1.035896E-2</v>
      </c>
      <c r="W2026">
        <v>0.1860096</v>
      </c>
      <c r="X2026">
        <v>0.98249330000000001</v>
      </c>
      <c r="Y2026">
        <v>-1.6874279999999998E-2</v>
      </c>
      <c r="Z2026">
        <v>-4.5809609999999997E-3</v>
      </c>
      <c r="AA2026">
        <v>0.99984709999999999</v>
      </c>
      <c r="AB2026">
        <v>44</v>
      </c>
      <c r="AC2026">
        <v>-31.311299999999999</v>
      </c>
      <c r="AD2026">
        <v>-1.106340732117</v>
      </c>
      <c r="AE2026">
        <v>3.3437000000000099</v>
      </c>
      <c r="AF2026">
        <v>-0.53821337347817999</v>
      </c>
      <c r="AG2026">
        <v>-1.106340732117</v>
      </c>
      <c r="AH2026">
        <v>31.445901311502201</v>
      </c>
      <c r="AI2026">
        <v>92.014674289365104</v>
      </c>
      <c r="AJ2026">
        <v>90.980552085989103</v>
      </c>
      <c r="AK2026">
        <v>31.469959846553198</v>
      </c>
      <c r="AL2026">
        <v>79.279999841394797</v>
      </c>
      <c r="AM2026">
        <v>89.395921889443002</v>
      </c>
      <c r="AN2026">
        <v>0.999999981944665</v>
      </c>
    </row>
    <row r="2027" spans="1:40" x14ac:dyDescent="0.25">
      <c r="A2027" t="str">
        <f>"20190312172931721"</f>
        <v>20190312172931721</v>
      </c>
      <c r="B2027" t="str">
        <f>"1552382971709511"</f>
        <v>1552382971709511</v>
      </c>
      <c r="C2027" t="s">
        <v>40</v>
      </c>
      <c r="D2027">
        <v>3.4829300000000001</v>
      </c>
      <c r="E2027">
        <v>0.49483749999999999</v>
      </c>
      <c r="F2027" t="s">
        <v>48</v>
      </c>
      <c r="G2027">
        <v>-308.9871</v>
      </c>
      <c r="H2027" s="1">
        <v>2.2215639999999999E-6</v>
      </c>
      <c r="I2027">
        <v>286.31920000000002</v>
      </c>
      <c r="J2027">
        <v>-277.78160000000003</v>
      </c>
      <c r="K2027">
        <v>1.1064659999999999</v>
      </c>
      <c r="L2027">
        <v>283.00979999999998</v>
      </c>
      <c r="M2027">
        <v>-0.99218919999999999</v>
      </c>
      <c r="N2027">
        <v>0</v>
      </c>
      <c r="O2027">
        <v>0.12453939999999999</v>
      </c>
      <c r="P2027">
        <v>-0.97503919999999999</v>
      </c>
      <c r="Q2027">
        <v>0.17954220000000001</v>
      </c>
      <c r="R2027">
        <v>0.13062670000000001</v>
      </c>
      <c r="S2027">
        <v>-3.052673</v>
      </c>
      <c r="T2027">
        <v>-0.106988899999999</v>
      </c>
      <c r="U2027">
        <v>0.3244629</v>
      </c>
      <c r="V2027">
        <v>9.2374380000000006E-3</v>
      </c>
      <c r="W2027">
        <v>0.1864856</v>
      </c>
      <c r="X2027">
        <v>0.98241420000000002</v>
      </c>
      <c r="Y2027">
        <v>-1.888857E-2</v>
      </c>
      <c r="Z2027">
        <v>-4.6656450000000004E-3</v>
      </c>
      <c r="AA2027">
        <v>0.99981070000000005</v>
      </c>
      <c r="AB2027">
        <v>44</v>
      </c>
      <c r="AC2027">
        <v>-31.205499999999901</v>
      </c>
      <c r="AD2027">
        <v>-1.1064637784360001</v>
      </c>
      <c r="AE2027">
        <v>3.3094000000000299</v>
      </c>
      <c r="AF2027">
        <v>-0.60203006970238004</v>
      </c>
      <c r="AG2027">
        <v>-1.1064637784360001</v>
      </c>
      <c r="AH2027">
        <v>31.335745608099899</v>
      </c>
      <c r="AI2027">
        <v>92.021898437018294</v>
      </c>
      <c r="AJ2027">
        <v>91.100645234364194</v>
      </c>
      <c r="AK2027">
        <v>31.361053156955201</v>
      </c>
      <c r="AL2027">
        <v>79.252240842307899</v>
      </c>
      <c r="AM2027">
        <v>89.461275484597095</v>
      </c>
      <c r="AN2027">
        <v>0.99999993481489902</v>
      </c>
    </row>
    <row r="2028" spans="1:40" x14ac:dyDescent="0.25">
      <c r="A2028" t="str">
        <f>"20190312172931733"</f>
        <v>20190312172931733</v>
      </c>
      <c r="B2028" t="str">
        <f>"1552382971730007"</f>
        <v>1552382971730007</v>
      </c>
      <c r="C2028" t="s">
        <v>40</v>
      </c>
      <c r="D2028">
        <v>3.5200330000000002</v>
      </c>
      <c r="E2028">
        <v>0.49468620000000002</v>
      </c>
      <c r="F2028" t="s">
        <v>48</v>
      </c>
      <c r="G2028">
        <v>-309.56200000000001</v>
      </c>
      <c r="H2028" s="1">
        <v>2.1144180000000001E-6</v>
      </c>
      <c r="I2028">
        <v>286.3784</v>
      </c>
      <c r="J2028">
        <v>-278.02409999999998</v>
      </c>
      <c r="K2028">
        <v>1.1065529999999999</v>
      </c>
      <c r="L2028">
        <v>283.04070000000002</v>
      </c>
      <c r="M2028">
        <v>-0.99208549999999995</v>
      </c>
      <c r="N2028">
        <v>0</v>
      </c>
      <c r="O2028">
        <v>0.1253619</v>
      </c>
      <c r="P2028">
        <v>-0.97500189999999998</v>
      </c>
      <c r="Q2028">
        <v>0.17968239999999999</v>
      </c>
      <c r="R2028">
        <v>0.13071240000000001</v>
      </c>
      <c r="S2028">
        <v>-3.0529790000000001</v>
      </c>
      <c r="T2028">
        <v>-0.1062922</v>
      </c>
      <c r="U2028">
        <v>0.32360840000000002</v>
      </c>
      <c r="V2028">
        <v>8.4703769999999994E-3</v>
      </c>
      <c r="W2028">
        <v>0.18664210000000001</v>
      </c>
      <c r="X2028">
        <v>0.98239149999999997</v>
      </c>
      <c r="Y2028">
        <v>-2.0004629999999999E-2</v>
      </c>
      <c r="Z2028">
        <v>-4.6825640000000002E-3</v>
      </c>
      <c r="AA2028">
        <v>0.99978889999999998</v>
      </c>
      <c r="AB2028">
        <v>44</v>
      </c>
      <c r="AC2028">
        <v>-31.5379</v>
      </c>
      <c r="AD2028">
        <v>-1.1065508855820001</v>
      </c>
      <c r="AE2028">
        <v>3.3376999999999799</v>
      </c>
      <c r="AF2028">
        <v>-0.64160249583659301</v>
      </c>
      <c r="AG2028">
        <v>-1.1065508855820001</v>
      </c>
      <c r="AH2028">
        <v>31.668963970867701</v>
      </c>
      <c r="AI2028">
        <v>92.000757623854994</v>
      </c>
      <c r="AJ2028">
        <v>91.160634330433794</v>
      </c>
      <c r="AK2028">
        <v>31.694784864598201</v>
      </c>
      <c r="AL2028">
        <v>79.243114952593203</v>
      </c>
      <c r="AM2028">
        <v>89.505996512602906</v>
      </c>
      <c r="AN2028">
        <v>1.00000004002559</v>
      </c>
    </row>
    <row r="2029" spans="1:40" x14ac:dyDescent="0.25">
      <c r="A2029" t="str">
        <f>"20190312172931746"</f>
        <v>20190312172931746</v>
      </c>
      <c r="B2029" t="str">
        <f>"1552382971739767"</f>
        <v>1552382971739767</v>
      </c>
      <c r="C2029" t="s">
        <v>40</v>
      </c>
      <c r="D2029">
        <v>3.507225</v>
      </c>
      <c r="E2029">
        <v>0.49472899999999997</v>
      </c>
      <c r="F2029" t="s">
        <v>48</v>
      </c>
      <c r="G2029">
        <v>-309.6456</v>
      </c>
      <c r="H2029" s="1">
        <v>2.0993290000000001E-6</v>
      </c>
      <c r="I2029">
        <v>286.38130000000001</v>
      </c>
      <c r="J2029">
        <v>-278.26429999999999</v>
      </c>
      <c r="K2029">
        <v>1.1066480000000001</v>
      </c>
      <c r="L2029">
        <v>283.07139999999998</v>
      </c>
      <c r="M2029">
        <v>-0.99198739999999996</v>
      </c>
      <c r="N2029">
        <v>0</v>
      </c>
      <c r="O2029">
        <v>0.12613550000000001</v>
      </c>
      <c r="P2029">
        <v>-0.97497500000000004</v>
      </c>
      <c r="Q2029">
        <v>0.17969749999999901</v>
      </c>
      <c r="R2029">
        <v>0.13089120000000001</v>
      </c>
      <c r="S2029">
        <v>-3.0534059999999998</v>
      </c>
      <c r="T2029">
        <v>-0.10684970000000001</v>
      </c>
      <c r="U2029">
        <v>0.32257079999999999</v>
      </c>
      <c r="V2029">
        <v>7.8405460000000003E-3</v>
      </c>
      <c r="W2029">
        <v>0.18667249999999999</v>
      </c>
      <c r="X2029">
        <v>0.98239089999999996</v>
      </c>
      <c r="Y2029">
        <v>-2.1132950000000001E-2</v>
      </c>
      <c r="Z2029">
        <v>-4.7529800000000004E-3</v>
      </c>
      <c r="AA2029">
        <v>0.99976540000000003</v>
      </c>
      <c r="AB2029">
        <v>44</v>
      </c>
      <c r="AC2029">
        <v>-31.3813</v>
      </c>
      <c r="AD2029">
        <v>-1.1066459006710001</v>
      </c>
      <c r="AE2029">
        <v>3.3099000000000198</v>
      </c>
      <c r="AF2029">
        <v>-0.67410494232380502</v>
      </c>
      <c r="AG2029">
        <v>-1.1066459006710001</v>
      </c>
      <c r="AH2029">
        <v>31.509398458021501</v>
      </c>
      <c r="AI2029">
        <v>92.011006369115293</v>
      </c>
      <c r="AJ2029">
        <v>91.225585986911199</v>
      </c>
      <c r="AK2029">
        <v>31.536031357942001</v>
      </c>
      <c r="AL2029">
        <v>79.2413414395768</v>
      </c>
      <c r="AM2029">
        <v>89.542727180261707</v>
      </c>
      <c r="AN2029">
        <v>0.99999998841031801</v>
      </c>
    </row>
    <row r="2030" spans="1:40" x14ac:dyDescent="0.25">
      <c r="A2030" t="str">
        <f>"20190312172931758"</f>
        <v>20190312172931758</v>
      </c>
      <c r="B2030" t="str">
        <f>"1552382971749527"</f>
        <v>1552382971749527</v>
      </c>
      <c r="C2030" t="s">
        <v>40</v>
      </c>
      <c r="D2030">
        <v>3.4630580000000002</v>
      </c>
      <c r="E2030">
        <v>0.49476330000000002</v>
      </c>
      <c r="F2030" t="s">
        <v>48</v>
      </c>
      <c r="G2030">
        <v>-309.69810000000001</v>
      </c>
      <c r="H2030" s="1">
        <v>2.0882950000000001E-6</v>
      </c>
      <c r="I2030">
        <v>286.40100000000001</v>
      </c>
      <c r="J2030">
        <v>-278.51190000000003</v>
      </c>
      <c r="K2030">
        <v>1.1067560000000001</v>
      </c>
      <c r="L2030">
        <v>283.10329999999999</v>
      </c>
      <c r="M2030">
        <v>-0.99189689999999997</v>
      </c>
      <c r="N2030">
        <v>0</v>
      </c>
      <c r="O2030">
        <v>0.12684580000000001</v>
      </c>
      <c r="P2030">
        <v>-0.9749852</v>
      </c>
      <c r="Q2030">
        <v>0.17958969999999999</v>
      </c>
      <c r="R2030">
        <v>0.13096389999999999</v>
      </c>
      <c r="S2030">
        <v>-3.0534059999999998</v>
      </c>
      <c r="T2030">
        <v>-0.107497</v>
      </c>
      <c r="U2030">
        <v>0.32342530000000003</v>
      </c>
      <c r="V2030">
        <v>7.1575529999999997E-3</v>
      </c>
      <c r="W2030">
        <v>0.18658159999999999</v>
      </c>
      <c r="X2030">
        <v>0.98241339999999999</v>
      </c>
      <c r="Y2030">
        <v>-2.1570349999999999E-2</v>
      </c>
      <c r="Z2030">
        <v>-4.8140350000000004E-3</v>
      </c>
      <c r="AA2030">
        <v>0.99975570000000002</v>
      </c>
      <c r="AB2030">
        <v>44</v>
      </c>
      <c r="AC2030">
        <v>-31.1861999999999</v>
      </c>
      <c r="AD2030">
        <v>-1.10675391170499</v>
      </c>
      <c r="AE2030">
        <v>3.2977000000000198</v>
      </c>
      <c r="AF2030">
        <v>-0.68402547445165196</v>
      </c>
      <c r="AG2030">
        <v>-1.10675391170499</v>
      </c>
      <c r="AH2030">
        <v>31.313587557961402</v>
      </c>
      <c r="AI2030">
        <v>92.023748873740701</v>
      </c>
      <c r="AJ2030">
        <v>91.251390971463593</v>
      </c>
      <c r="AK2030">
        <v>31.340605623071301</v>
      </c>
      <c r="AL2030">
        <v>79.246642960125897</v>
      </c>
      <c r="AM2030">
        <v>89.582568476145099</v>
      </c>
      <c r="AN2030">
        <v>1.00000000626153</v>
      </c>
    </row>
    <row r="2031" spans="1:40" x14ac:dyDescent="0.25">
      <c r="A2031" t="str">
        <f>"20190312172931779"</f>
        <v>20190312172931779</v>
      </c>
      <c r="B2031" t="str">
        <f>"1552382971770022"</f>
        <v>1552382971770022</v>
      </c>
      <c r="C2031" t="s">
        <v>40</v>
      </c>
      <c r="D2031">
        <v>3.4703119999999998</v>
      </c>
      <c r="E2031">
        <v>0.49484840000000002</v>
      </c>
      <c r="F2031" t="s">
        <v>48</v>
      </c>
      <c r="G2031">
        <v>-309.60820000000001</v>
      </c>
      <c r="H2031" s="1">
        <v>2.1039700000000001E-6</v>
      </c>
      <c r="I2031">
        <v>286.4042</v>
      </c>
      <c r="J2031">
        <v>-278.9117</v>
      </c>
      <c r="K2031">
        <v>1.1069420000000001</v>
      </c>
      <c r="L2031">
        <v>283.15499999999997</v>
      </c>
      <c r="M2031">
        <v>-0.99176699999999995</v>
      </c>
      <c r="N2031">
        <v>0</v>
      </c>
      <c r="O2031">
        <v>0.1278552</v>
      </c>
      <c r="P2031">
        <v>-0.97496389999999999</v>
      </c>
      <c r="Q2031">
        <v>0.17989040000000001</v>
      </c>
      <c r="R2031">
        <v>0.13071060000000001</v>
      </c>
      <c r="S2031">
        <v>-3.053436</v>
      </c>
      <c r="T2031">
        <v>-0.1086756</v>
      </c>
      <c r="U2031">
        <v>0.3241272</v>
      </c>
      <c r="V2031">
        <v>5.8266739999999996E-3</v>
      </c>
      <c r="W2031">
        <v>0.18690909999999999</v>
      </c>
      <c r="X2031">
        <v>0.98235989999999995</v>
      </c>
      <c r="Y2031">
        <v>-2.2358530000000001E-2</v>
      </c>
      <c r="Z2031">
        <v>-4.916119E-3</v>
      </c>
      <c r="AA2031">
        <v>0.99973789999999996</v>
      </c>
      <c r="AB2031">
        <v>44</v>
      </c>
      <c r="AC2031">
        <v>-30.6965</v>
      </c>
      <c r="AD2031">
        <v>-1.1069398960299901</v>
      </c>
      <c r="AE2031">
        <v>3.2492000000000298</v>
      </c>
      <c r="AF2031">
        <v>-0.70137386465944696</v>
      </c>
      <c r="AG2031">
        <v>-1.1069398960299901</v>
      </c>
      <c r="AH2031">
        <v>30.8203597448057</v>
      </c>
      <c r="AI2031">
        <v>92.056411410875398</v>
      </c>
      <c r="AJ2031">
        <v>91.303645633764404</v>
      </c>
      <c r="AK2031">
        <v>30.848206042340401</v>
      </c>
      <c r="AL2031">
        <v>79.227542162351497</v>
      </c>
      <c r="AM2031">
        <v>89.660165369161803</v>
      </c>
      <c r="AN2031">
        <v>0.99999996746036002</v>
      </c>
    </row>
    <row r="2032" spans="1:40" x14ac:dyDescent="0.25">
      <c r="A2032" t="str">
        <f>"20190312172931800"</f>
        <v>20190312172931800</v>
      </c>
      <c r="B2032" t="str">
        <f>"1552382971789544"</f>
        <v>1552382971789544</v>
      </c>
      <c r="C2032" t="s">
        <v>40</v>
      </c>
      <c r="D2032">
        <v>3.4661339999999998</v>
      </c>
      <c r="E2032">
        <v>0.49492900000000001</v>
      </c>
      <c r="F2032" t="s">
        <v>48</v>
      </c>
      <c r="G2032">
        <v>-309.77969999999999</v>
      </c>
      <c r="H2032" s="1">
        <v>2.0709540000000002E-6</v>
      </c>
      <c r="I2032">
        <v>286.43380000000002</v>
      </c>
      <c r="J2032">
        <v>-279.33080000000001</v>
      </c>
      <c r="K2032">
        <v>1.107148</v>
      </c>
      <c r="L2032">
        <v>283.20949999999999</v>
      </c>
      <c r="M2032">
        <v>-0.99165579999999998</v>
      </c>
      <c r="N2032">
        <v>0</v>
      </c>
      <c r="O2032">
        <v>0.1287142</v>
      </c>
      <c r="P2032">
        <v>-0.97496099999999997</v>
      </c>
      <c r="Q2032">
        <v>0.18021899999999999</v>
      </c>
      <c r="R2032">
        <v>0.13027710000000001</v>
      </c>
      <c r="S2032">
        <v>-3.0537719999999999</v>
      </c>
      <c r="T2032">
        <v>-0.1095095</v>
      </c>
      <c r="U2032">
        <v>0.32437129999999997</v>
      </c>
      <c r="V2032">
        <v>4.4538750000000004E-3</v>
      </c>
      <c r="W2032">
        <v>0.18726509999999999</v>
      </c>
      <c r="X2032">
        <v>0.98229929999999999</v>
      </c>
      <c r="Y2032">
        <v>-2.3154589999999999E-2</v>
      </c>
      <c r="Z2032">
        <v>-4.9978929999999998E-3</v>
      </c>
      <c r="AA2032">
        <v>0.99971940000000004</v>
      </c>
      <c r="AB2032">
        <v>44</v>
      </c>
      <c r="AC2032">
        <v>-30.448899999999899</v>
      </c>
      <c r="AD2032">
        <v>-1.107145929046</v>
      </c>
      <c r="AE2032">
        <v>3.2243000000000199</v>
      </c>
      <c r="AF2032">
        <v>-0.72088605046510201</v>
      </c>
      <c r="AG2032">
        <v>-1.107145929046</v>
      </c>
      <c r="AH2032">
        <v>30.570659140933898</v>
      </c>
      <c r="AI2032">
        <v>92.073539550684401</v>
      </c>
      <c r="AJ2032">
        <v>91.350840187832603</v>
      </c>
      <c r="AK2032">
        <v>30.599193602399399</v>
      </c>
      <c r="AL2032">
        <v>79.206778430976499</v>
      </c>
      <c r="AM2032">
        <v>89.740215134786098</v>
      </c>
      <c r="AN2032">
        <v>0.999999984730507</v>
      </c>
    </row>
    <row r="2033" spans="1:40" x14ac:dyDescent="0.25">
      <c r="A2033" t="str">
        <f>"20190312172931812"</f>
        <v>20190312172931812</v>
      </c>
      <c r="B2033" t="str">
        <f>"1552382971810038"</f>
        <v>1552382971810038</v>
      </c>
      <c r="C2033" t="s">
        <v>40</v>
      </c>
      <c r="D2033">
        <v>3.482469</v>
      </c>
      <c r="E2033">
        <v>0.49500430000000001</v>
      </c>
      <c r="F2033" t="s">
        <v>48</v>
      </c>
      <c r="G2033">
        <v>-310.06049999999999</v>
      </c>
      <c r="H2033" s="1">
        <v>2.0821989999999999E-6</v>
      </c>
      <c r="I2033">
        <v>286.46519999999998</v>
      </c>
      <c r="J2033">
        <v>-279.56610000000001</v>
      </c>
      <c r="K2033">
        <v>1.1072679999999999</v>
      </c>
      <c r="L2033">
        <v>283.24020000000002</v>
      </c>
      <c r="M2033">
        <v>-0.99160680000000001</v>
      </c>
      <c r="N2033">
        <v>0</v>
      </c>
      <c r="O2033">
        <v>0.1290897</v>
      </c>
      <c r="P2033">
        <v>-0.97489890000000001</v>
      </c>
      <c r="Q2033">
        <v>0.1804402</v>
      </c>
      <c r="R2033">
        <v>0.13043569999999999</v>
      </c>
      <c r="S2033">
        <v>-3.054138</v>
      </c>
      <c r="T2033">
        <v>-0.1100361</v>
      </c>
      <c r="U2033">
        <v>0.32357789999999997</v>
      </c>
      <c r="V2033">
        <v>4.1929330000000003E-3</v>
      </c>
      <c r="W2033">
        <v>0.18749879999999999</v>
      </c>
      <c r="X2033">
        <v>0.98225589999999996</v>
      </c>
      <c r="Y2033">
        <v>-2.3801010000000001E-2</v>
      </c>
      <c r="Z2033">
        <v>-5.0463679999999999E-3</v>
      </c>
      <c r="AA2033">
        <v>0.99970400000000004</v>
      </c>
      <c r="AB2033">
        <v>44</v>
      </c>
      <c r="AC2033">
        <v>-30.494399999999899</v>
      </c>
      <c r="AD2033">
        <v>-1.10726591780099</v>
      </c>
      <c r="AE2033">
        <v>3.2249999999999601</v>
      </c>
      <c r="AF2033">
        <v>-0.73763836676388295</v>
      </c>
      <c r="AG2033">
        <v>-1.10726591780099</v>
      </c>
      <c r="AH2033">
        <v>30.6156440046719</v>
      </c>
      <c r="AI2033">
        <v>92.070694400597404</v>
      </c>
      <c r="AJ2033">
        <v>91.380189490756507</v>
      </c>
      <c r="AK2033">
        <v>30.6445395787512</v>
      </c>
      <c r="AL2033">
        <v>79.193147306167305</v>
      </c>
      <c r="AM2033">
        <v>89.755424319133894</v>
      </c>
      <c r="AN2033">
        <v>1.00000001688669</v>
      </c>
    </row>
    <row r="2034" spans="1:40" x14ac:dyDescent="0.25">
      <c r="A2034" t="str">
        <f>"20190312172931833"</f>
        <v>20190312172931833</v>
      </c>
      <c r="B2034" t="str">
        <f>"1552382971829559"</f>
        <v>1552382971829559</v>
      </c>
      <c r="C2034" t="s">
        <v>40</v>
      </c>
      <c r="D2034">
        <v>3.494618</v>
      </c>
      <c r="E2034">
        <v>0.49506860000000003</v>
      </c>
      <c r="F2034" t="s">
        <v>48</v>
      </c>
      <c r="G2034">
        <v>-310.08850000000001</v>
      </c>
      <c r="H2034" s="1">
        <v>2.0932460000000001E-6</v>
      </c>
      <c r="I2034">
        <v>286.48079999999999</v>
      </c>
      <c r="J2034">
        <v>-279.96109999999999</v>
      </c>
      <c r="K2034">
        <v>1.1074729999999999</v>
      </c>
      <c r="L2034">
        <v>283.2919</v>
      </c>
      <c r="M2034">
        <v>-0.99154039999999999</v>
      </c>
      <c r="N2034">
        <v>0</v>
      </c>
      <c r="O2034">
        <v>0.12959809999999999</v>
      </c>
      <c r="P2034">
        <v>-0.97500050000000005</v>
      </c>
      <c r="Q2034">
        <v>0.18042720000000001</v>
      </c>
      <c r="R2034">
        <v>0.12969330000000001</v>
      </c>
      <c r="S2034">
        <v>-3.0543520000000002</v>
      </c>
      <c r="T2034">
        <v>-0.1108031</v>
      </c>
      <c r="U2034">
        <v>0.32427979999999901</v>
      </c>
      <c r="V2034">
        <v>2.8468120000000002E-3</v>
      </c>
      <c r="W2034">
        <v>0.18751100000000001</v>
      </c>
      <c r="X2034">
        <v>0.98225839999999998</v>
      </c>
      <c r="Y2034">
        <v>-2.4091930000000001E-2</v>
      </c>
      <c r="Z2034">
        <v>-5.1045580000000004E-3</v>
      </c>
      <c r="AA2034">
        <v>0.99969669999999999</v>
      </c>
      <c r="AB2034">
        <v>44</v>
      </c>
      <c r="AC2034">
        <v>-30.127400000000002</v>
      </c>
      <c r="AD2034">
        <v>-1.1074709067539901</v>
      </c>
      <c r="AE2034">
        <v>3.1888999999999799</v>
      </c>
      <c r="AF2034">
        <v>-0.74155896849609004</v>
      </c>
      <c r="AG2034">
        <v>-1.1074709067539901</v>
      </c>
      <c r="AH2034">
        <v>30.2461787465902</v>
      </c>
      <c r="AI2034">
        <v>92.096332182330499</v>
      </c>
      <c r="AJ2034">
        <v>91.4044646528736</v>
      </c>
      <c r="AK2034">
        <v>30.2755302229994</v>
      </c>
      <c r="AL2034">
        <v>79.192435730957698</v>
      </c>
      <c r="AM2034">
        <v>89.833944045706801</v>
      </c>
      <c r="AN2034">
        <v>1.00000002191506</v>
      </c>
    </row>
    <row r="2035" spans="1:40" x14ac:dyDescent="0.25">
      <c r="A2035" t="str">
        <f>"20190312172931844"</f>
        <v>20190312172931844</v>
      </c>
      <c r="B2035" t="str">
        <f>"1552382971839318"</f>
        <v>1552382971839318</v>
      </c>
      <c r="C2035" t="s">
        <v>40</v>
      </c>
      <c r="D2035">
        <v>3.4752010000000002</v>
      </c>
      <c r="E2035">
        <v>0.4951043</v>
      </c>
      <c r="F2035" t="s">
        <v>48</v>
      </c>
      <c r="G2035">
        <v>-310.16919999999999</v>
      </c>
      <c r="H2035" s="1">
        <v>2.1288089999999999E-6</v>
      </c>
      <c r="I2035">
        <v>286.48309999999998</v>
      </c>
      <c r="J2035">
        <v>-280.19029999999998</v>
      </c>
      <c r="K2035">
        <v>1.107591</v>
      </c>
      <c r="L2035">
        <v>283.32190000000003</v>
      </c>
      <c r="M2035">
        <v>-0.99150970000000005</v>
      </c>
      <c r="N2035">
        <v>0</v>
      </c>
      <c r="O2035">
        <v>0.12983239999999999</v>
      </c>
      <c r="P2035">
        <v>-0.9750451</v>
      </c>
      <c r="Q2035">
        <v>0.18043600000000001</v>
      </c>
      <c r="R2035">
        <v>0.1293453</v>
      </c>
      <c r="S2035">
        <v>-3.0546570000000002</v>
      </c>
      <c r="T2035">
        <v>-0.11198809999999999</v>
      </c>
      <c r="U2035">
        <v>0.3226929</v>
      </c>
      <c r="V2035">
        <v>2.2100900000000001E-3</v>
      </c>
      <c r="W2035">
        <v>0.18753349999999999</v>
      </c>
      <c r="X2035">
        <v>0.98225580000000001</v>
      </c>
      <c r="Y2035">
        <v>-2.484944E-2</v>
      </c>
      <c r="Z2035">
        <v>-5.1811009999999996E-3</v>
      </c>
      <c r="AA2035">
        <v>0.99967779999999995</v>
      </c>
      <c r="AB2035">
        <v>44</v>
      </c>
      <c r="AC2035">
        <v>-29.978899999999999</v>
      </c>
      <c r="AD2035">
        <v>-1.107588871191</v>
      </c>
      <c r="AE2035">
        <v>3.1611999999999498</v>
      </c>
      <c r="AF2035">
        <v>-0.75687005167517096</v>
      </c>
      <c r="AG2035">
        <v>-1.107588871191</v>
      </c>
      <c r="AH2035">
        <v>30.094953588002401</v>
      </c>
      <c r="AI2035">
        <v>92.107047840326103</v>
      </c>
      <c r="AJ2035">
        <v>91.440650844272398</v>
      </c>
      <c r="AK2035">
        <v>30.124837540586402</v>
      </c>
      <c r="AL2035">
        <v>79.191123900472604</v>
      </c>
      <c r="AM2035">
        <v>89.871083870763798</v>
      </c>
      <c r="AN2035">
        <v>1.00000007737684</v>
      </c>
    </row>
    <row r="2036" spans="1:40" x14ac:dyDescent="0.25">
      <c r="A2036" t="str">
        <f>"20190312172931855"</f>
        <v>20190312172931855</v>
      </c>
      <c r="B2036" t="str">
        <f>"1552382971850055"</f>
        <v>1552382971850055</v>
      </c>
      <c r="C2036" t="s">
        <v>40</v>
      </c>
      <c r="D2036">
        <v>3.4934020000000001</v>
      </c>
      <c r="E2036">
        <v>0.49514219999999998</v>
      </c>
      <c r="F2036" t="s">
        <v>48</v>
      </c>
      <c r="G2036">
        <v>-310.2645</v>
      </c>
      <c r="H2036" s="1">
        <v>2.1702259999999999E-6</v>
      </c>
      <c r="I2036">
        <v>286.49299999999999</v>
      </c>
      <c r="J2036">
        <v>-280.41800000000001</v>
      </c>
      <c r="K2036">
        <v>1.107707</v>
      </c>
      <c r="L2036">
        <v>283.35180000000003</v>
      </c>
      <c r="M2036">
        <v>-0.99148979999999998</v>
      </c>
      <c r="N2036">
        <v>0</v>
      </c>
      <c r="O2036">
        <v>0.12998379999999901</v>
      </c>
      <c r="P2036">
        <v>-0.97516599999999998</v>
      </c>
      <c r="Q2036">
        <v>0.18017059999999999</v>
      </c>
      <c r="R2036">
        <v>0.12880249999999999</v>
      </c>
      <c r="S2036">
        <v>-3.0548709999999999</v>
      </c>
      <c r="T2036">
        <v>-0.1125063</v>
      </c>
      <c r="U2036">
        <v>0.32211299999999998</v>
      </c>
      <c r="V2036">
        <v>1.4535399999999999E-3</v>
      </c>
      <c r="W2036">
        <v>0.18728239999999999</v>
      </c>
      <c r="X2036">
        <v>0.98230499999999998</v>
      </c>
      <c r="Y2036">
        <v>-2.5195820000000001E-2</v>
      </c>
      <c r="Z2036">
        <v>-5.2166290000000004E-3</v>
      </c>
      <c r="AA2036">
        <v>0.99966889999999997</v>
      </c>
      <c r="AB2036">
        <v>44</v>
      </c>
      <c r="AC2036">
        <v>-29.846499999999899</v>
      </c>
      <c r="AD2036">
        <v>-1.107704829774</v>
      </c>
      <c r="AE2036">
        <v>3.14119999999996</v>
      </c>
      <c r="AF2036">
        <v>-0.76407278506082699</v>
      </c>
      <c r="AG2036">
        <v>-1.107704829774</v>
      </c>
      <c r="AH2036">
        <v>29.960772321735899</v>
      </c>
      <c r="AI2036">
        <v>92.116678314238797</v>
      </c>
      <c r="AJ2036">
        <v>91.460865505328002</v>
      </c>
      <c r="AK2036">
        <v>29.990976898488501</v>
      </c>
      <c r="AL2036">
        <v>79.205769108347994</v>
      </c>
      <c r="AM2036">
        <v>89.915218138389307</v>
      </c>
      <c r="AN2036">
        <v>0.99999996157664495</v>
      </c>
    </row>
    <row r="2037" spans="1:40" x14ac:dyDescent="0.25">
      <c r="A2037" t="str">
        <f>"20190312172931867"</f>
        <v>20190312172931867</v>
      </c>
      <c r="B2037" t="str">
        <f>"1552382971859815"</f>
        <v>1552382971859815</v>
      </c>
      <c r="C2037" t="s">
        <v>40</v>
      </c>
      <c r="D2037">
        <v>3.5001790000000002</v>
      </c>
      <c r="E2037">
        <v>0.49517630000000001</v>
      </c>
      <c r="F2037" t="s">
        <v>48</v>
      </c>
      <c r="G2037">
        <v>-310.12220000000002</v>
      </c>
      <c r="H2037" s="1">
        <v>2.10889E-6</v>
      </c>
      <c r="I2037">
        <v>286.47269999999997</v>
      </c>
      <c r="J2037">
        <v>-280.63729999999998</v>
      </c>
      <c r="K2037">
        <v>1.1078170000000001</v>
      </c>
      <c r="L2037">
        <v>283.38060000000002</v>
      </c>
      <c r="M2037">
        <v>-0.99147419999999997</v>
      </c>
      <c r="N2037">
        <v>0</v>
      </c>
      <c r="O2037">
        <v>0.1301012</v>
      </c>
      <c r="P2037">
        <v>-0.97518769999999999</v>
      </c>
      <c r="Q2037">
        <v>0.1801739</v>
      </c>
      <c r="R2037">
        <v>0.128633</v>
      </c>
      <c r="S2037">
        <v>-3.0550540000000002</v>
      </c>
      <c r="T2037">
        <v>-0.113926399999999</v>
      </c>
      <c r="U2037">
        <v>0.32098389999999999</v>
      </c>
      <c r="V2037">
        <v>1.116924E-3</v>
      </c>
      <c r="W2037">
        <v>0.18729689999999999</v>
      </c>
      <c r="X2037">
        <v>0.98230269999999997</v>
      </c>
      <c r="Y2037">
        <v>-2.5682880000000002E-2</v>
      </c>
      <c r="Z2037">
        <v>-5.2956239999999996E-3</v>
      </c>
      <c r="AA2037">
        <v>0.99965610000000005</v>
      </c>
      <c r="AB2037">
        <v>44</v>
      </c>
      <c r="AC2037">
        <v>-29.4849</v>
      </c>
      <c r="AD2037">
        <v>-1.1078148911100001</v>
      </c>
      <c r="AE2037">
        <v>3.0920999999999501</v>
      </c>
      <c r="AF2037">
        <v>-0.769229662396132</v>
      </c>
      <c r="AG2037">
        <v>-1.1078148911100001</v>
      </c>
      <c r="AH2037">
        <v>29.595258401338299</v>
      </c>
      <c r="AI2037">
        <v>92.142981722852099</v>
      </c>
      <c r="AJ2037">
        <v>91.488876754414804</v>
      </c>
      <c r="AK2037">
        <v>29.625973198335</v>
      </c>
      <c r="AL2037">
        <v>79.204923613350701</v>
      </c>
      <c r="AM2037">
        <v>89.934852053590305</v>
      </c>
      <c r="AN2037">
        <v>0.99999998534806001</v>
      </c>
    </row>
    <row r="2038" spans="1:40" x14ac:dyDescent="0.25">
      <c r="A2038" t="str">
        <f>"20190312172931878"</f>
        <v>20190312172931878</v>
      </c>
      <c r="B2038" t="str">
        <f>"1552382971869574"</f>
        <v>1552382971869574</v>
      </c>
      <c r="C2038" t="s">
        <v>40</v>
      </c>
      <c r="D2038">
        <v>3.5016219999999998</v>
      </c>
      <c r="E2038">
        <v>0.4952068</v>
      </c>
      <c r="F2038" t="s">
        <v>48</v>
      </c>
      <c r="G2038">
        <v>-310.21510000000001</v>
      </c>
      <c r="H2038" s="1">
        <v>2.148936E-6</v>
      </c>
      <c r="I2038">
        <v>286.48570000000001</v>
      </c>
      <c r="J2038">
        <v>-280.875</v>
      </c>
      <c r="K2038">
        <v>1.107934</v>
      </c>
      <c r="L2038">
        <v>283.41180000000003</v>
      </c>
      <c r="M2038">
        <v>-0.99146559999999995</v>
      </c>
      <c r="N2038">
        <v>0</v>
      </c>
      <c r="O2038">
        <v>0.130167</v>
      </c>
      <c r="P2038">
        <v>-0.97531710000000005</v>
      </c>
      <c r="Q2038">
        <v>0.1799878</v>
      </c>
      <c r="R2038">
        <v>0.1279101</v>
      </c>
      <c r="S2038">
        <v>-3.0552060000000001</v>
      </c>
      <c r="T2038">
        <v>-0.1144307</v>
      </c>
      <c r="U2038">
        <v>0.32073970000000002</v>
      </c>
      <c r="V2038">
        <v>2.6479459999999999E-4</v>
      </c>
      <c r="W2038">
        <v>0.18712500000000001</v>
      </c>
      <c r="X2038">
        <v>0.98233599999999999</v>
      </c>
      <c r="Y2038">
        <v>-2.5832270000000001E-2</v>
      </c>
      <c r="Z2038">
        <v>-5.3240319999999898E-3</v>
      </c>
      <c r="AA2038">
        <v>0.99965210000000004</v>
      </c>
      <c r="AB2038">
        <v>44</v>
      </c>
      <c r="AC2038">
        <v>-29.3401</v>
      </c>
      <c r="AD2038">
        <v>-1.1079318510639999</v>
      </c>
      <c r="AE2038">
        <v>3.0738999999999801</v>
      </c>
      <c r="AF2038">
        <v>-0.77038035277064099</v>
      </c>
      <c r="AG2038">
        <v>-1.1079318510639999</v>
      </c>
      <c r="AH2038">
        <v>29.449057738674298</v>
      </c>
      <c r="AI2038">
        <v>92.153828353630004</v>
      </c>
      <c r="AJ2038">
        <v>91.498502214896803</v>
      </c>
      <c r="AK2038">
        <v>29.4799593040816</v>
      </c>
      <c r="AL2038">
        <v>79.214949383419693</v>
      </c>
      <c r="AM2038">
        <v>89.984555577062807</v>
      </c>
      <c r="AN2038">
        <v>0.99999992631858703</v>
      </c>
    </row>
    <row r="2039" spans="1:40" x14ac:dyDescent="0.25">
      <c r="A2039" t="str">
        <f>"20190312172931891"</f>
        <v>20190312172931891</v>
      </c>
      <c r="B2039" t="str">
        <f>"1552382971879336"</f>
        <v>1552382971879336</v>
      </c>
      <c r="C2039" t="s">
        <v>40</v>
      </c>
      <c r="D2039">
        <v>3.4768620000000001</v>
      </c>
      <c r="E2039">
        <v>0.49523200000000001</v>
      </c>
      <c r="F2039" t="s">
        <v>48</v>
      </c>
      <c r="G2039">
        <v>-310.17380000000003</v>
      </c>
      <c r="H2039" s="1">
        <v>2.13218E-6</v>
      </c>
      <c r="I2039">
        <v>286.46809999999999</v>
      </c>
      <c r="J2039">
        <v>-281.11059999999998</v>
      </c>
      <c r="K2039">
        <v>1.10805</v>
      </c>
      <c r="L2039">
        <v>283.4427</v>
      </c>
      <c r="M2039">
        <v>-0.99146480000000003</v>
      </c>
      <c r="N2039">
        <v>0</v>
      </c>
      <c r="O2039">
        <v>0.13017239999999999</v>
      </c>
      <c r="P2039">
        <v>-0.97537479999999999</v>
      </c>
      <c r="Q2039">
        <v>0.17996219999999999</v>
      </c>
      <c r="R2039">
        <v>0.1275056</v>
      </c>
      <c r="S2039">
        <v>-3.0554809999999999</v>
      </c>
      <c r="T2039">
        <v>-0.1155428</v>
      </c>
      <c r="U2039">
        <v>0.3187256</v>
      </c>
      <c r="V2039">
        <v>-2.017156E-4</v>
      </c>
      <c r="W2039">
        <v>0.1871119</v>
      </c>
      <c r="X2039">
        <v>0.98233859999999995</v>
      </c>
      <c r="Y2039">
        <v>-2.6496370000000002E-2</v>
      </c>
      <c r="Z2039">
        <v>-5.388215E-3</v>
      </c>
      <c r="AA2039">
        <v>0.99963440000000003</v>
      </c>
      <c r="AB2039">
        <v>44</v>
      </c>
      <c r="AC2039">
        <v>-29.063199999999998</v>
      </c>
      <c r="AD2039">
        <v>-1.1080478678200001</v>
      </c>
      <c r="AE2039">
        <v>3.0253999999999901</v>
      </c>
      <c r="AF2039">
        <v>-0.78254426438956903</v>
      </c>
      <c r="AG2039">
        <v>-1.1080478678200001</v>
      </c>
      <c r="AH2039">
        <v>29.167790627111099</v>
      </c>
      <c r="AI2039">
        <v>92.174767022821499</v>
      </c>
      <c r="AJ2039">
        <v>91.536822967097706</v>
      </c>
      <c r="AK2039">
        <v>29.199317726106202</v>
      </c>
      <c r="AL2039">
        <v>79.215714415293306</v>
      </c>
      <c r="AM2039">
        <v>90.011765243042902</v>
      </c>
      <c r="AN2039">
        <v>1.00000001443037</v>
      </c>
    </row>
    <row r="2040" spans="1:40" x14ac:dyDescent="0.25">
      <c r="A2040" t="str">
        <f>"20190312172931902"</f>
        <v>20190312172931902</v>
      </c>
      <c r="B2040" t="str">
        <f>"1552382971899831"</f>
        <v>1552382971899831</v>
      </c>
      <c r="C2040" t="s">
        <v>40</v>
      </c>
      <c r="D2040">
        <v>3.4731010000000002</v>
      </c>
      <c r="E2040">
        <v>0.49529079999999898</v>
      </c>
      <c r="F2040" t="s">
        <v>48</v>
      </c>
      <c r="G2040">
        <v>-310.25630000000001</v>
      </c>
      <c r="H2040" s="1">
        <v>2.1683180000000001E-6</v>
      </c>
      <c r="I2040">
        <v>286.47289999999998</v>
      </c>
      <c r="J2040">
        <v>-281.34629999999999</v>
      </c>
      <c r="K2040">
        <v>1.10816</v>
      </c>
      <c r="L2040">
        <v>283.47370000000001</v>
      </c>
      <c r="M2040">
        <v>-0.99146840000000003</v>
      </c>
      <c r="N2040">
        <v>0</v>
      </c>
      <c r="O2040">
        <v>0.13014489999999901</v>
      </c>
      <c r="P2040">
        <v>-0.97548409999999997</v>
      </c>
      <c r="Q2040">
        <v>0.179774499999999</v>
      </c>
      <c r="R2040">
        <v>0.1269343</v>
      </c>
      <c r="S2040">
        <v>-3.0556640000000002</v>
      </c>
      <c r="T2040">
        <v>-0.11616899999999999</v>
      </c>
      <c r="U2040">
        <v>0.31768800000000003</v>
      </c>
      <c r="V2040">
        <v>-8.0787299999999997E-4</v>
      </c>
      <c r="W2040">
        <v>0.1869372</v>
      </c>
      <c r="X2040">
        <v>0.98237160000000001</v>
      </c>
      <c r="Y2040">
        <v>-2.6809199999999998E-2</v>
      </c>
      <c r="Z2040">
        <v>-5.4220910000000004E-3</v>
      </c>
      <c r="AA2040">
        <v>0.99962589999999996</v>
      </c>
      <c r="AB2040">
        <v>45</v>
      </c>
      <c r="AC2040">
        <v>-28.91</v>
      </c>
      <c r="AD2040">
        <v>-1.108157831682</v>
      </c>
      <c r="AE2040">
        <v>2.9991999999999699</v>
      </c>
      <c r="AF2040">
        <v>-0.78775271644060096</v>
      </c>
      <c r="AG2040">
        <v>-1.108157831682</v>
      </c>
      <c r="AH2040">
        <v>29.012274362070102</v>
      </c>
      <c r="AI2040">
        <v>92.186610996356706</v>
      </c>
      <c r="AJ2040">
        <v>91.555335453943897</v>
      </c>
      <c r="AK2040">
        <v>29.044115269400201</v>
      </c>
      <c r="AL2040">
        <v>79.225904327426505</v>
      </c>
      <c r="AM2040">
        <v>90.047118323501905</v>
      </c>
      <c r="AN2040">
        <v>1.0000000649445899</v>
      </c>
    </row>
    <row r="2041" spans="1:40" x14ac:dyDescent="0.25">
      <c r="A2041" t="str">
        <f>"20190312172931914"</f>
        <v>20190312172931914</v>
      </c>
      <c r="B2041" t="str">
        <f>"1552382971909591"</f>
        <v>1552382971909591</v>
      </c>
      <c r="C2041" t="s">
        <v>40</v>
      </c>
      <c r="D2041">
        <v>3.465643</v>
      </c>
      <c r="E2041">
        <v>0.49531839999999999</v>
      </c>
      <c r="F2041" t="s">
        <v>48</v>
      </c>
      <c r="G2041">
        <v>-310.0924</v>
      </c>
      <c r="H2041" s="1">
        <v>2.0975989999999998E-6</v>
      </c>
      <c r="I2041">
        <v>286.45060000000001</v>
      </c>
      <c r="J2041">
        <v>-281.57659999999998</v>
      </c>
      <c r="K2041">
        <v>1.108276</v>
      </c>
      <c r="L2041">
        <v>283.50380000000001</v>
      </c>
      <c r="M2041">
        <v>-0.99148320000000001</v>
      </c>
      <c r="N2041">
        <v>0</v>
      </c>
      <c r="O2041">
        <v>0.1300307</v>
      </c>
      <c r="P2041">
        <v>-0.97554870000000005</v>
      </c>
      <c r="Q2041">
        <v>0.17981829999999999</v>
      </c>
      <c r="R2041">
        <v>0.12637409999999999</v>
      </c>
      <c r="S2041">
        <v>-3.0559080000000001</v>
      </c>
      <c r="T2041">
        <v>-0.1178051</v>
      </c>
      <c r="U2041">
        <v>0.31646729999999901</v>
      </c>
      <c r="V2041">
        <v>-1.310016E-3</v>
      </c>
      <c r="W2041">
        <v>0.18699250000000001</v>
      </c>
      <c r="X2041">
        <v>0.98236049999999997</v>
      </c>
      <c r="Y2041">
        <v>-2.709402E-2</v>
      </c>
      <c r="Z2041">
        <v>-5.4992359999999898E-3</v>
      </c>
      <c r="AA2041">
        <v>0.9996178</v>
      </c>
      <c r="AB2041">
        <v>45</v>
      </c>
      <c r="AC2041">
        <v>-28.515799999999999</v>
      </c>
      <c r="AD2041">
        <v>-1.108273902401</v>
      </c>
      <c r="AE2041">
        <v>2.9467999999999899</v>
      </c>
      <c r="AF2041">
        <v>-0.78507427789253004</v>
      </c>
      <c r="AG2041">
        <v>-1.108273902401</v>
      </c>
      <c r="AH2041">
        <v>28.6141065271812</v>
      </c>
      <c r="AI2041">
        <v>92.217222540527601</v>
      </c>
      <c r="AJ2041">
        <v>91.571608077895306</v>
      </c>
      <c r="AK2041">
        <v>28.646320968205099</v>
      </c>
      <c r="AL2041">
        <v>79.222678633621697</v>
      </c>
      <c r="AM2041">
        <v>90.076406108960896</v>
      </c>
      <c r="AN2041">
        <v>1.0000000315791999</v>
      </c>
    </row>
    <row r="2042" spans="1:40" x14ac:dyDescent="0.25">
      <c r="A2042" t="str">
        <f>"20190312172931933"</f>
        <v>20190312172931933</v>
      </c>
      <c r="B2042" t="str">
        <f>"1552382971929111"</f>
        <v>1552382971929111</v>
      </c>
      <c r="C2042" t="s">
        <v>40</v>
      </c>
      <c r="D2042">
        <v>3.4443640000000002</v>
      </c>
      <c r="E2042">
        <v>0.49536989999999997</v>
      </c>
      <c r="F2042" t="s">
        <v>48</v>
      </c>
      <c r="G2042">
        <v>-310.24529999999999</v>
      </c>
      <c r="H2042" s="1">
        <v>2.1647990000000002E-6</v>
      </c>
      <c r="I2042">
        <v>286.45760000000001</v>
      </c>
      <c r="J2042">
        <v>-281.95409999999998</v>
      </c>
      <c r="K2042">
        <v>1.108465</v>
      </c>
      <c r="L2042">
        <v>283.55309999999997</v>
      </c>
      <c r="M2042">
        <v>-0.99151840000000002</v>
      </c>
      <c r="N2042">
        <v>0</v>
      </c>
      <c r="O2042">
        <v>0.12976099999999999</v>
      </c>
      <c r="P2042">
        <v>-0.97581019999999896</v>
      </c>
      <c r="Q2042">
        <v>0.179456</v>
      </c>
      <c r="R2042">
        <v>0.1248602</v>
      </c>
      <c r="S2042">
        <v>-3.056152</v>
      </c>
      <c r="T2042">
        <v>-0.1181445</v>
      </c>
      <c r="U2042">
        <v>0.3148804</v>
      </c>
      <c r="V2042">
        <v>-2.6644110000000002E-3</v>
      </c>
      <c r="W2042">
        <v>0.18665100000000001</v>
      </c>
      <c r="X2042">
        <v>0.98242269999999998</v>
      </c>
      <c r="Y2042">
        <v>-2.7343269999999999E-2</v>
      </c>
      <c r="Z2042">
        <v>-5.5093290000000003E-3</v>
      </c>
      <c r="AA2042">
        <v>0.99961089999999997</v>
      </c>
      <c r="AB2042">
        <v>45</v>
      </c>
      <c r="AC2042">
        <v>-28.2912</v>
      </c>
      <c r="AD2042">
        <v>-1.108462835201</v>
      </c>
      <c r="AE2042">
        <v>2.90450000000004</v>
      </c>
      <c r="AF2042">
        <v>-0.79005015117032695</v>
      </c>
      <c r="AG2042">
        <v>-1.108462835201</v>
      </c>
      <c r="AH2042">
        <v>28.385773671304101</v>
      </c>
      <c r="AI2042">
        <v>92.235395895606004</v>
      </c>
      <c r="AJ2042">
        <v>91.594279464851297</v>
      </c>
      <c r="AK2042">
        <v>28.418392213791599</v>
      </c>
      <c r="AL2042">
        <v>79.242595769979602</v>
      </c>
      <c r="AM2042">
        <v>90.1553904759121</v>
      </c>
      <c r="AN2042">
        <v>1.0000000281811301</v>
      </c>
    </row>
    <row r="2043" spans="1:40" x14ac:dyDescent="0.25">
      <c r="A2043" t="str">
        <f>"20190312172931945"</f>
        <v>20190312172931945</v>
      </c>
      <c r="B2043" t="str">
        <f>"1552382971939847"</f>
        <v>1552382971939847</v>
      </c>
      <c r="C2043" t="s">
        <v>40</v>
      </c>
      <c r="D2043">
        <v>3.476648</v>
      </c>
      <c r="E2043">
        <v>0.49539450000000002</v>
      </c>
      <c r="F2043" t="s">
        <v>48</v>
      </c>
      <c r="G2043">
        <v>-310.142</v>
      </c>
      <c r="H2043" s="1">
        <v>2.1219369999999999E-6</v>
      </c>
      <c r="I2043">
        <v>286.42399999999998</v>
      </c>
      <c r="J2043">
        <v>-282.18549999999999</v>
      </c>
      <c r="K2043">
        <v>1.108581</v>
      </c>
      <c r="L2043">
        <v>283.58330000000001</v>
      </c>
      <c r="M2043">
        <v>-0.99154690000000001</v>
      </c>
      <c r="N2043">
        <v>0</v>
      </c>
      <c r="O2043">
        <v>0.1295422</v>
      </c>
      <c r="P2043">
        <v>-0.97591119999999998</v>
      </c>
      <c r="Q2043">
        <v>0.17942759999999999</v>
      </c>
      <c r="R2043">
        <v>0.124111</v>
      </c>
      <c r="S2043">
        <v>-3.0566409999999999</v>
      </c>
      <c r="T2043">
        <v>-0.1201994</v>
      </c>
      <c r="U2043">
        <v>0.31130980000000003</v>
      </c>
      <c r="V2043">
        <v>-3.2565490000000001E-3</v>
      </c>
      <c r="W2043">
        <v>0.18663360000000001</v>
      </c>
      <c r="X2043">
        <v>0.98242419999999997</v>
      </c>
      <c r="Y2043">
        <v>-2.8289950000000001E-2</v>
      </c>
      <c r="Z2043">
        <v>-5.6146850000000003E-3</v>
      </c>
      <c r="AA2043">
        <v>0.99958400000000003</v>
      </c>
      <c r="AB2043">
        <v>45</v>
      </c>
      <c r="AC2043">
        <v>-27.956499999999998</v>
      </c>
      <c r="AD2043">
        <v>-1.1085788780629999</v>
      </c>
      <c r="AE2043">
        <v>2.84070000000002</v>
      </c>
      <c r="AF2043">
        <v>-0.80363006430099304</v>
      </c>
      <c r="AG2043">
        <v>-1.1085788780629999</v>
      </c>
      <c r="AH2043">
        <v>28.045275525907901</v>
      </c>
      <c r="AI2043">
        <v>92.262692005531505</v>
      </c>
      <c r="AJ2043">
        <v>91.641346501207394</v>
      </c>
      <c r="AK2043">
        <v>28.0786795938346</v>
      </c>
      <c r="AL2043">
        <v>79.243610320467994</v>
      </c>
      <c r="AM2043">
        <v>90.189923894464499</v>
      </c>
      <c r="AN2043">
        <v>1.00000000725299</v>
      </c>
    </row>
    <row r="2044" spans="1:40" x14ac:dyDescent="0.25">
      <c r="A2044" t="str">
        <f>"20190312172931956"</f>
        <v>20190312172931956</v>
      </c>
      <c r="B2044" t="str">
        <f>"1552382971949607"</f>
        <v>1552382971949607</v>
      </c>
      <c r="C2044" t="s">
        <v>40</v>
      </c>
      <c r="D2044">
        <v>3.4436550000000001</v>
      </c>
      <c r="E2044">
        <v>0.4954171</v>
      </c>
      <c r="F2044" t="s">
        <v>48</v>
      </c>
      <c r="G2044">
        <v>-310.2287</v>
      </c>
      <c r="H2044" s="1">
        <v>2.160421E-6</v>
      </c>
      <c r="I2044">
        <v>286.42349999999999</v>
      </c>
      <c r="J2044">
        <v>-282.40949999999998</v>
      </c>
      <c r="K2044">
        <v>1.1086929999999999</v>
      </c>
      <c r="L2044">
        <v>283.61239999999998</v>
      </c>
      <c r="M2044">
        <v>-0.99158259999999998</v>
      </c>
      <c r="N2044">
        <v>0</v>
      </c>
      <c r="O2044">
        <v>0.1292673</v>
      </c>
      <c r="P2044">
        <v>-0.97602250000000002</v>
      </c>
      <c r="Q2044">
        <v>0.17945410000000001</v>
      </c>
      <c r="R2044">
        <v>0.123193</v>
      </c>
      <c r="S2044">
        <v>-3.056854</v>
      </c>
      <c r="T2044">
        <v>-0.120841</v>
      </c>
      <c r="U2044">
        <v>0.30960079999999901</v>
      </c>
      <c r="V2044">
        <v>-3.959204E-3</v>
      </c>
      <c r="W2044">
        <v>0.18667059999999999</v>
      </c>
      <c r="X2044">
        <v>0.98241460000000003</v>
      </c>
      <c r="Y2044">
        <v>-2.8571760000000002E-2</v>
      </c>
      <c r="Z2044">
        <v>-5.6392680000000002E-3</v>
      </c>
      <c r="AA2044">
        <v>0.99957589999999996</v>
      </c>
      <c r="AB2044">
        <v>45</v>
      </c>
      <c r="AC2044">
        <v>-27.819199999999999</v>
      </c>
      <c r="AD2044">
        <v>-1.1086908395789901</v>
      </c>
      <c r="AE2044">
        <v>2.8111000000000099</v>
      </c>
      <c r="AF2044">
        <v>-0.80742735323333104</v>
      </c>
      <c r="AG2044">
        <v>-1.1086908395789901</v>
      </c>
      <c r="AH2044">
        <v>27.905297486572501</v>
      </c>
      <c r="AI2044">
        <v>92.274241329648405</v>
      </c>
      <c r="AJ2044">
        <v>91.657365442698506</v>
      </c>
      <c r="AK2044">
        <v>27.938982839799799</v>
      </c>
      <c r="AL2044">
        <v>79.241452563269206</v>
      </c>
      <c r="AM2044">
        <v>90.230905008270994</v>
      </c>
      <c r="AN2044">
        <v>1.0000000172469099</v>
      </c>
    </row>
    <row r="2045" spans="1:40" x14ac:dyDescent="0.25">
      <c r="A2045" t="str">
        <f>"20190312172931968"</f>
        <v>20190312172931968</v>
      </c>
      <c r="B2045" t="str">
        <f>"1552382971959369"</f>
        <v>1552382971959369</v>
      </c>
      <c r="C2045" t="s">
        <v>40</v>
      </c>
      <c r="D2045">
        <v>3.4578769999999999</v>
      </c>
      <c r="E2045">
        <v>0.49544080000000001</v>
      </c>
      <c r="F2045" t="s">
        <v>48</v>
      </c>
      <c r="G2045">
        <v>-310.35039999999998</v>
      </c>
      <c r="H2045" s="1">
        <v>2.2144989999999999E-6</v>
      </c>
      <c r="I2045">
        <v>286.4221</v>
      </c>
      <c r="J2045">
        <v>-282.62950000000001</v>
      </c>
      <c r="K2045">
        <v>1.10880499999999</v>
      </c>
      <c r="L2045">
        <v>283.64089999999999</v>
      </c>
      <c r="M2045">
        <v>-0.99162130000000004</v>
      </c>
      <c r="N2045">
        <v>0</v>
      </c>
      <c r="O2045">
        <v>0.12897059999999999</v>
      </c>
      <c r="P2045">
        <v>-0.97607180000000004</v>
      </c>
      <c r="Q2045">
        <v>0.17967830000000001</v>
      </c>
      <c r="R2045">
        <v>0.1224739</v>
      </c>
      <c r="S2045">
        <v>-3.05722</v>
      </c>
      <c r="T2045">
        <v>-0.12131020000000001</v>
      </c>
      <c r="U2045">
        <v>0.30743409999999999</v>
      </c>
      <c r="V2045">
        <v>-4.4335440000000002E-3</v>
      </c>
      <c r="W2045">
        <v>0.18690480000000001</v>
      </c>
      <c r="X2045">
        <v>0.98236800000000002</v>
      </c>
      <c r="Y2045">
        <v>-2.8984900000000001E-2</v>
      </c>
      <c r="Z2045">
        <v>-5.6572760000000001E-3</v>
      </c>
      <c r="AA2045">
        <v>0.9995638</v>
      </c>
      <c r="AB2045">
        <v>45</v>
      </c>
      <c r="AC2045">
        <v>-27.720899999999901</v>
      </c>
      <c r="AD2045">
        <v>-1.1088027855010001</v>
      </c>
      <c r="AE2045">
        <v>2.7812000000000099</v>
      </c>
      <c r="AF2045">
        <v>-0.81601339154724195</v>
      </c>
      <c r="AG2045">
        <v>-1.1088027855010001</v>
      </c>
      <c r="AH2045">
        <v>27.804036307991101</v>
      </c>
      <c r="AI2045">
        <v>92.282718004871398</v>
      </c>
      <c r="AJ2045">
        <v>91.681076298182802</v>
      </c>
      <c r="AK2045">
        <v>27.838099009961301</v>
      </c>
      <c r="AL2045">
        <v>79.227793025037798</v>
      </c>
      <c r="AM2045">
        <v>90.258580933862405</v>
      </c>
      <c r="AN2045">
        <v>0.99999997399971896</v>
      </c>
    </row>
    <row r="2046" spans="1:40" x14ac:dyDescent="0.25">
      <c r="A2046" t="str">
        <f>"20190312172931981"</f>
        <v>20190312172931981</v>
      </c>
      <c r="B2046" t="str">
        <f>"1552382971969127"</f>
        <v>1552382971969127</v>
      </c>
      <c r="C2046" t="s">
        <v>40</v>
      </c>
      <c r="D2046">
        <v>3.4486029999999999</v>
      </c>
      <c r="E2046">
        <v>0.49546669999999998</v>
      </c>
      <c r="F2046" t="s">
        <v>48</v>
      </c>
      <c r="G2046">
        <v>-310.63130000000001</v>
      </c>
      <c r="H2046" s="1">
        <v>2.3376939999999999E-6</v>
      </c>
      <c r="I2046">
        <v>286.43770000000001</v>
      </c>
      <c r="J2046">
        <v>-282.91800000000001</v>
      </c>
      <c r="K2046">
        <v>1.108943</v>
      </c>
      <c r="L2046">
        <v>283.6782</v>
      </c>
      <c r="M2046">
        <v>-0.99167879999999997</v>
      </c>
      <c r="N2046">
        <v>0</v>
      </c>
      <c r="O2046">
        <v>0.12852620000000001</v>
      </c>
      <c r="P2046">
        <v>-0.97614020000000001</v>
      </c>
      <c r="Q2046">
        <v>0.1798939</v>
      </c>
      <c r="R2046">
        <v>0.1216091</v>
      </c>
      <c r="S2046">
        <v>-3.0575559999999999</v>
      </c>
      <c r="T2046">
        <v>-0.12107179999999999</v>
      </c>
      <c r="U2046">
        <v>0.30538939999999998</v>
      </c>
      <c r="V2046">
        <v>-4.9218969999999997E-3</v>
      </c>
      <c r="W2046">
        <v>0.18713389999999999</v>
      </c>
      <c r="X2046">
        <v>0.98232209999999998</v>
      </c>
      <c r="Y2046">
        <v>-2.9210340000000001E-2</v>
      </c>
      <c r="Z2046">
        <v>-5.6328630000000001E-3</v>
      </c>
      <c r="AA2046">
        <v>0.99955740000000004</v>
      </c>
      <c r="AB2046">
        <v>45</v>
      </c>
      <c r="AC2046">
        <v>-27.7133</v>
      </c>
      <c r="AD2046">
        <v>-1.1089406623060001</v>
      </c>
      <c r="AE2046">
        <v>2.7595000000000001</v>
      </c>
      <c r="AF2046">
        <v>-0.82406332702201301</v>
      </c>
      <c r="AG2046">
        <v>-1.1089406623060001</v>
      </c>
      <c r="AH2046">
        <v>27.7940478305058</v>
      </c>
      <c r="AI2046">
        <v>92.283800955342599</v>
      </c>
      <c r="AJ2046">
        <v>91.698260118794295</v>
      </c>
      <c r="AK2046">
        <v>27.828365466981801</v>
      </c>
      <c r="AL2046">
        <v>79.214431247700801</v>
      </c>
      <c r="AM2046">
        <v>90.287076474658505</v>
      </c>
      <c r="AN2046">
        <v>1.0000000148738399</v>
      </c>
    </row>
    <row r="2047" spans="1:40" x14ac:dyDescent="0.25">
      <c r="A2047" t="str">
        <f>"20190312172932002"</f>
        <v>20190312172932002</v>
      </c>
      <c r="B2047" t="str">
        <f>"1552382971999383"</f>
        <v>1552382971999383</v>
      </c>
      <c r="C2047" t="s">
        <v>40</v>
      </c>
      <c r="D2047">
        <v>3.4407640000000002</v>
      </c>
      <c r="E2047">
        <v>0.49557380000000001</v>
      </c>
      <c r="F2047" t="s">
        <v>48</v>
      </c>
      <c r="G2047">
        <v>-310.96620000000001</v>
      </c>
      <c r="H2047" s="1">
        <v>2.4845020000000002E-6</v>
      </c>
      <c r="I2047">
        <v>286.45760000000001</v>
      </c>
      <c r="J2047">
        <v>-283.31369999999998</v>
      </c>
      <c r="K2047">
        <v>1.1091329999999999</v>
      </c>
      <c r="L2047">
        <v>283.72899999999998</v>
      </c>
      <c r="M2047">
        <v>-0.99177199999999999</v>
      </c>
      <c r="N2047">
        <v>0</v>
      </c>
      <c r="O2047">
        <v>0.12780349999999999</v>
      </c>
      <c r="P2047">
        <v>-0.97636800000000001</v>
      </c>
      <c r="Q2047">
        <v>0.17979010000000001</v>
      </c>
      <c r="R2047">
        <v>0.119920899999999</v>
      </c>
      <c r="S2047">
        <v>-3.0578609999999999</v>
      </c>
      <c r="T2047">
        <v>-0.12089850000000001</v>
      </c>
      <c r="U2047">
        <v>0.30300899999999997</v>
      </c>
      <c r="V2047">
        <v>-5.9927749999999997E-3</v>
      </c>
      <c r="W2047">
        <v>0.1870473</v>
      </c>
      <c r="X2047">
        <v>0.9823326</v>
      </c>
      <c r="Y2047">
        <v>-2.926322E-2</v>
      </c>
      <c r="Z2047">
        <v>-5.5973469999999999E-3</v>
      </c>
      <c r="AA2047">
        <v>0.99955609999999995</v>
      </c>
      <c r="AB2047">
        <v>45</v>
      </c>
      <c r="AC2047">
        <v>-27.6525</v>
      </c>
      <c r="AD2047">
        <v>-1.109130515498</v>
      </c>
      <c r="AE2047">
        <v>2.7285999999999699</v>
      </c>
      <c r="AF2047">
        <v>-0.82664273182314796</v>
      </c>
      <c r="AG2047">
        <v>-1.109130515498</v>
      </c>
      <c r="AH2047">
        <v>27.730275918288999</v>
      </c>
      <c r="AI2047">
        <v>92.289428003646293</v>
      </c>
      <c r="AJ2047">
        <v>91.707488150245993</v>
      </c>
      <c r="AK2047">
        <v>27.764756638784402</v>
      </c>
      <c r="AL2047">
        <v>79.219481775157007</v>
      </c>
      <c r="AM2047">
        <v>90.349531773223106</v>
      </c>
      <c r="AN2047">
        <v>0.99999997140612495</v>
      </c>
    </row>
    <row r="2048" spans="1:40" x14ac:dyDescent="0.25">
      <c r="A2048" t="str">
        <f>"20190312172932022"</f>
        <v>20190312172932022</v>
      </c>
      <c r="B2048" t="str">
        <f>"1552382972019879"</f>
        <v>1552382972019879</v>
      </c>
      <c r="C2048" t="s">
        <v>40</v>
      </c>
      <c r="D2048">
        <v>3.4562339999999998</v>
      </c>
      <c r="E2048">
        <v>0.49564390000000003</v>
      </c>
      <c r="F2048" t="s">
        <v>48</v>
      </c>
      <c r="G2048">
        <v>-310.96109999999999</v>
      </c>
      <c r="H2048" s="1">
        <v>2.4847850000000001E-6</v>
      </c>
      <c r="I2048">
        <v>286.42829999999998</v>
      </c>
      <c r="J2048">
        <v>-283.73129999999998</v>
      </c>
      <c r="K2048">
        <v>1.109321</v>
      </c>
      <c r="L2048">
        <v>283.78230000000002</v>
      </c>
      <c r="M2048">
        <v>-0.99188620000000005</v>
      </c>
      <c r="N2048">
        <v>0</v>
      </c>
      <c r="O2048">
        <v>0.12691359999999999</v>
      </c>
      <c r="P2048">
        <v>-0.97658880000000003</v>
      </c>
      <c r="Q2048">
        <v>0.17966969999999999</v>
      </c>
      <c r="R2048">
        <v>0.11829249999999999</v>
      </c>
      <c r="S2048">
        <v>-3.0585330000000002</v>
      </c>
      <c r="T2048">
        <v>-0.1226993</v>
      </c>
      <c r="U2048">
        <v>0.2986145</v>
      </c>
      <c r="V2048">
        <v>-6.8393300000000002E-3</v>
      </c>
      <c r="W2048">
        <v>0.1869451</v>
      </c>
      <c r="X2048">
        <v>0.98234650000000001</v>
      </c>
      <c r="Y2048">
        <v>-2.9806989999999998E-2</v>
      </c>
      <c r="Z2048">
        <v>-5.6555340000000003E-3</v>
      </c>
      <c r="AA2048">
        <v>0.99953970000000003</v>
      </c>
      <c r="AB2048">
        <v>45</v>
      </c>
      <c r="AC2048">
        <v>-27.229800000000001</v>
      </c>
      <c r="AD2048">
        <v>-1.109318515215</v>
      </c>
      <c r="AE2048">
        <v>2.6459999999999502</v>
      </c>
      <c r="AF2048">
        <v>-0.82995921970082698</v>
      </c>
      <c r="AG2048">
        <v>-1.109318515215</v>
      </c>
      <c r="AH2048">
        <v>27.3005379642557</v>
      </c>
      <c r="AI2048">
        <v>92.325779101114904</v>
      </c>
      <c r="AJ2048">
        <v>91.741303373603202</v>
      </c>
      <c r="AK2048">
        <v>27.3356688780855</v>
      </c>
      <c r="AL2048">
        <v>79.225442276193903</v>
      </c>
      <c r="AM2048">
        <v>90.398900400513696</v>
      </c>
      <c r="AN2048">
        <v>0.99999994645555201</v>
      </c>
    </row>
    <row r="2049" spans="1:40" x14ac:dyDescent="0.25">
      <c r="A2049" t="str">
        <f>"20190312172932034"</f>
        <v>20190312172932034</v>
      </c>
      <c r="B2049" t="str">
        <f>"1552382972029639"</f>
        <v>1552382972029639</v>
      </c>
      <c r="C2049" t="s">
        <v>40</v>
      </c>
      <c r="D2049">
        <v>3.438466</v>
      </c>
      <c r="E2049">
        <v>0.49567810000000001</v>
      </c>
      <c r="F2049" t="s">
        <v>48</v>
      </c>
      <c r="G2049">
        <v>-311.08519999999999</v>
      </c>
      <c r="H2049" s="1">
        <v>2.5411600000000001E-6</v>
      </c>
      <c r="I2049">
        <v>286.41320000000002</v>
      </c>
      <c r="J2049">
        <v>-283.971</v>
      </c>
      <c r="K2049">
        <v>1.1094280000000001</v>
      </c>
      <c r="L2049">
        <v>283.81259999999997</v>
      </c>
      <c r="M2049">
        <v>-0.99196030000000002</v>
      </c>
      <c r="N2049">
        <v>0</v>
      </c>
      <c r="O2049">
        <v>0.1263321</v>
      </c>
      <c r="P2049">
        <v>-0.97669890000000004</v>
      </c>
      <c r="Q2049">
        <v>0.1797387</v>
      </c>
      <c r="R2049">
        <v>0.1172762</v>
      </c>
      <c r="S2049">
        <v>-3.059113</v>
      </c>
      <c r="T2049">
        <v>-0.1240598</v>
      </c>
      <c r="U2049">
        <v>0.29421999999999998</v>
      </c>
      <c r="V2049">
        <v>-7.3319939999999997E-3</v>
      </c>
      <c r="W2049">
        <v>0.18702379999999999</v>
      </c>
      <c r="X2049">
        <v>0.98232799999999998</v>
      </c>
      <c r="Y2049">
        <v>-3.065882E-2</v>
      </c>
      <c r="Z2049">
        <v>-5.7115459999999996E-3</v>
      </c>
      <c r="AA2049">
        <v>0.9995136</v>
      </c>
      <c r="AB2049">
        <v>45</v>
      </c>
      <c r="AC2049">
        <v>-27.114199999999901</v>
      </c>
      <c r="AD2049">
        <v>-1.1094254588400001</v>
      </c>
      <c r="AE2049">
        <v>2.60060000000004</v>
      </c>
      <c r="AF2049">
        <v>-0.84432444441208299</v>
      </c>
      <c r="AG2049">
        <v>-1.1094254588400001</v>
      </c>
      <c r="AH2049">
        <v>27.180407291616401</v>
      </c>
      <c r="AI2049">
        <v>92.336224566788601</v>
      </c>
      <c r="AJ2049">
        <v>91.779247654514606</v>
      </c>
      <c r="AK2049">
        <v>27.2161394976272</v>
      </c>
      <c r="AL2049">
        <v>79.220852504412306</v>
      </c>
      <c r="AM2049">
        <v>90.427641796627697</v>
      </c>
      <c r="AN2049">
        <v>0.99999997974322696</v>
      </c>
    </row>
    <row r="2050" spans="1:40" x14ac:dyDescent="0.25">
      <c r="A2050" t="str">
        <f>"20190312172932055"</f>
        <v>20190312172932055</v>
      </c>
      <c r="B2050" t="str">
        <f>"1552382972049162"</f>
        <v>1552382972049162</v>
      </c>
      <c r="C2050" t="s">
        <v>40</v>
      </c>
      <c r="D2050">
        <v>3.4642339999999998</v>
      </c>
      <c r="E2050">
        <v>0.49574950000000001</v>
      </c>
      <c r="F2050" t="s">
        <v>48</v>
      </c>
      <c r="G2050">
        <v>-311.25990000000002</v>
      </c>
      <c r="H2050" s="1">
        <v>2.6185859999999998E-6</v>
      </c>
      <c r="I2050">
        <v>286.41320000000002</v>
      </c>
      <c r="J2050">
        <v>-284.39999999999998</v>
      </c>
      <c r="K2050">
        <v>1.109613</v>
      </c>
      <c r="L2050">
        <v>283.86660000000001</v>
      </c>
      <c r="M2050">
        <v>-0.99210160000000003</v>
      </c>
      <c r="N2050">
        <v>0</v>
      </c>
      <c r="O2050">
        <v>0.12521589999999999</v>
      </c>
      <c r="P2050">
        <v>-0.97679419999999995</v>
      </c>
      <c r="Q2050">
        <v>0.18018899999999999</v>
      </c>
      <c r="R2050">
        <v>0.1157802</v>
      </c>
      <c r="S2050">
        <v>-3.0594480000000002</v>
      </c>
      <c r="T2050">
        <v>-0.1243817</v>
      </c>
      <c r="U2050">
        <v>0.29156490000000002</v>
      </c>
      <c r="V2050">
        <v>-7.8071879999999996E-3</v>
      </c>
      <c r="W2050">
        <v>0.1874922</v>
      </c>
      <c r="X2050">
        <v>0.98223510000000003</v>
      </c>
      <c r="Y2050">
        <v>-3.0404670000000002E-2</v>
      </c>
      <c r="Z2050">
        <v>-5.6760309999999998E-3</v>
      </c>
      <c r="AA2050">
        <v>0.99952160000000001</v>
      </c>
      <c r="AB2050">
        <v>45</v>
      </c>
      <c r="AC2050">
        <v>-26.8599</v>
      </c>
      <c r="AD2050">
        <v>-1.1096103814139999</v>
      </c>
      <c r="AE2050">
        <v>2.54660000000001</v>
      </c>
      <c r="AF2050">
        <v>-0.83541078346379005</v>
      </c>
      <c r="AG2050">
        <v>-1.1096103814139999</v>
      </c>
      <c r="AH2050">
        <v>26.921835960092601</v>
      </c>
      <c r="AI2050">
        <v>92.359032757271805</v>
      </c>
      <c r="AJ2050">
        <v>91.777373482968201</v>
      </c>
      <c r="AK2050">
        <v>26.957640806231598</v>
      </c>
      <c r="AL2050">
        <v>79.193532477915397</v>
      </c>
      <c r="AM2050">
        <v>90.4553996314595</v>
      </c>
      <c r="AN2050">
        <v>1.0000000344586499</v>
      </c>
    </row>
    <row r="2051" spans="1:40" x14ac:dyDescent="0.25">
      <c r="A2051" t="str">
        <f>"20190312172932067"</f>
        <v>20190312172932067</v>
      </c>
      <c r="B2051" t="str">
        <f>"1552382972059895"</f>
        <v>1552382972059895</v>
      </c>
      <c r="C2051" t="s">
        <v>40</v>
      </c>
      <c r="D2051">
        <v>3.400496</v>
      </c>
      <c r="E2051">
        <v>0.49578879999999997</v>
      </c>
      <c r="F2051" t="s">
        <v>48</v>
      </c>
      <c r="G2051">
        <v>-311.80250000000001</v>
      </c>
      <c r="H2051" s="1">
        <v>2.857124E-6</v>
      </c>
      <c r="I2051">
        <v>286.43729999999999</v>
      </c>
      <c r="J2051">
        <v>-284.6234</v>
      </c>
      <c r="K2051">
        <v>1.1097049999999999</v>
      </c>
      <c r="L2051">
        <v>283.89449999999999</v>
      </c>
      <c r="M2051">
        <v>-0.99218030000000002</v>
      </c>
      <c r="N2051">
        <v>0</v>
      </c>
      <c r="O2051">
        <v>0.1245907</v>
      </c>
      <c r="P2051">
        <v>-0.97680880000000003</v>
      </c>
      <c r="Q2051">
        <v>0.1805911</v>
      </c>
      <c r="R2051">
        <v>0.1150299</v>
      </c>
      <c r="S2051">
        <v>-3.0600890000000001</v>
      </c>
      <c r="T2051">
        <v>-0.1239121</v>
      </c>
      <c r="U2051">
        <v>0.28707890000000003</v>
      </c>
      <c r="V2051">
        <v>-7.9765670000000004E-3</v>
      </c>
      <c r="W2051">
        <v>0.1879035</v>
      </c>
      <c r="X2051">
        <v>0.98215509999999995</v>
      </c>
      <c r="Y2051">
        <v>-3.1247730000000001E-2</v>
      </c>
      <c r="Z2051">
        <v>-5.6459450000000003E-3</v>
      </c>
      <c r="AA2051">
        <v>0.99949569999999999</v>
      </c>
      <c r="AB2051">
        <v>45</v>
      </c>
      <c r="AC2051">
        <v>-27.179099999999998</v>
      </c>
      <c r="AD2051">
        <v>-1.1097021428760001</v>
      </c>
      <c r="AE2051">
        <v>2.5428000000000002</v>
      </c>
      <c r="AF2051">
        <v>-0.86194652695598195</v>
      </c>
      <c r="AG2051">
        <v>-1.1097021428760001</v>
      </c>
      <c r="AH2051">
        <v>27.2391183926254</v>
      </c>
      <c r="AI2051">
        <v>92.331733068328802</v>
      </c>
      <c r="AJ2051">
        <v>91.812445747554307</v>
      </c>
      <c r="AK2051">
        <v>27.2753361385098</v>
      </c>
      <c r="AL2051">
        <v>79.169539882270897</v>
      </c>
      <c r="AM2051">
        <v>90.465317113638804</v>
      </c>
      <c r="AN2051">
        <v>0.99999999569468201</v>
      </c>
    </row>
    <row r="2052" spans="1:40" x14ac:dyDescent="0.25">
      <c r="A2052" t="str">
        <f>"20190312172932078"</f>
        <v>20190312172932078</v>
      </c>
      <c r="B2052" t="str">
        <f>"1552382972069656"</f>
        <v>1552382972069656</v>
      </c>
      <c r="C2052" t="s">
        <v>40</v>
      </c>
      <c r="D2052">
        <v>3.3994800000000001</v>
      </c>
      <c r="E2052">
        <v>0.49582340000000003</v>
      </c>
      <c r="F2052" t="s">
        <v>48</v>
      </c>
      <c r="G2052">
        <v>-312.1832</v>
      </c>
      <c r="H2052" s="1">
        <v>3.02413E-6</v>
      </c>
      <c r="I2052">
        <v>286.45819999999998</v>
      </c>
      <c r="J2052">
        <v>-284.85320000000002</v>
      </c>
      <c r="K2052">
        <v>1.109799</v>
      </c>
      <c r="L2052">
        <v>283.92290000000003</v>
      </c>
      <c r="M2052">
        <v>-0.99226530000000002</v>
      </c>
      <c r="N2052">
        <v>0</v>
      </c>
      <c r="O2052">
        <v>0.1239113</v>
      </c>
      <c r="P2052">
        <v>-0.97691260000000002</v>
      </c>
      <c r="Q2052">
        <v>0.180451</v>
      </c>
      <c r="R2052">
        <v>0.114366</v>
      </c>
      <c r="S2052">
        <v>-3.0604550000000001</v>
      </c>
      <c r="T2052">
        <v>-0.1232297</v>
      </c>
      <c r="U2052">
        <v>0.28469850000000002</v>
      </c>
      <c r="V2052">
        <v>-8.0170450000000004E-3</v>
      </c>
      <c r="W2052">
        <v>0.1877742</v>
      </c>
      <c r="X2052">
        <v>0.98217949999999998</v>
      </c>
      <c r="Y2052">
        <v>-3.134692E-2</v>
      </c>
      <c r="Z2052">
        <v>-5.589414E-3</v>
      </c>
      <c r="AA2052">
        <v>0.99949290000000002</v>
      </c>
      <c r="AB2052">
        <v>45</v>
      </c>
      <c r="AC2052">
        <v>-27.329999999999899</v>
      </c>
      <c r="AD2052">
        <v>-1.10979597587</v>
      </c>
      <c r="AE2052">
        <v>2.5352999999999399</v>
      </c>
      <c r="AF2052">
        <v>-0.86940842994920597</v>
      </c>
      <c r="AG2052">
        <v>-1.10979597587</v>
      </c>
      <c r="AH2052">
        <v>27.388747844643099</v>
      </c>
      <c r="AI2052">
        <v>92.319196924908695</v>
      </c>
      <c r="AJ2052">
        <v>91.818144912759493</v>
      </c>
      <c r="AK2052">
        <v>27.425007322215301</v>
      </c>
      <c r="AL2052">
        <v>79.177082497099306</v>
      </c>
      <c r="AM2052">
        <v>90.467666695963004</v>
      </c>
      <c r="AN2052">
        <v>0.99999999670821005</v>
      </c>
    </row>
    <row r="2053" spans="1:40" x14ac:dyDescent="0.25">
      <c r="A2053" t="str">
        <f>"20190312172932090"</f>
        <v>20190312172932090</v>
      </c>
      <c r="B2053" t="str">
        <f>"1552382972079415"</f>
        <v>1552382972079415</v>
      </c>
      <c r="C2053" t="s">
        <v>40</v>
      </c>
      <c r="D2053">
        <v>3.3991500000000001</v>
      </c>
      <c r="E2053">
        <v>0.49586419999999998</v>
      </c>
      <c r="F2053" t="s">
        <v>48</v>
      </c>
      <c r="G2053">
        <v>-312.20049999999998</v>
      </c>
      <c r="H2053" s="1">
        <v>3.0324570000000001E-6</v>
      </c>
      <c r="I2053">
        <v>286.45089999999999</v>
      </c>
      <c r="J2053">
        <v>-285.08370000000002</v>
      </c>
      <c r="K2053">
        <v>1.10989</v>
      </c>
      <c r="L2053">
        <v>283.95139999999998</v>
      </c>
      <c r="M2053">
        <v>-0.99235399999999996</v>
      </c>
      <c r="N2053">
        <v>0</v>
      </c>
      <c r="O2053">
        <v>0.12319720000000001</v>
      </c>
      <c r="P2053">
        <v>-0.97700940000000003</v>
      </c>
      <c r="Q2053">
        <v>0.1804077</v>
      </c>
      <c r="R2053">
        <v>0.1136033</v>
      </c>
      <c r="S2053">
        <v>-3.06073</v>
      </c>
      <c r="T2053">
        <v>-0.1242089</v>
      </c>
      <c r="U2053">
        <v>0.28292850000000003</v>
      </c>
      <c r="V2053">
        <v>-8.1201320000000004E-3</v>
      </c>
      <c r="W2053">
        <v>0.18774089999999999</v>
      </c>
      <c r="X2053">
        <v>0.98218499999999997</v>
      </c>
      <c r="Y2053">
        <v>-3.1207769999999999E-2</v>
      </c>
      <c r="Z2053">
        <v>-5.6020130000000003E-3</v>
      </c>
      <c r="AA2053">
        <v>0.99949719999999997</v>
      </c>
      <c r="AB2053">
        <v>45</v>
      </c>
      <c r="AC2053">
        <v>-27.116799999999898</v>
      </c>
      <c r="AD2053">
        <v>-1.1098869675430001</v>
      </c>
      <c r="AE2053">
        <v>2.49950000000001</v>
      </c>
      <c r="AF2053">
        <v>-0.85892230468599295</v>
      </c>
      <c r="AG2053">
        <v>-1.1098869675430001</v>
      </c>
      <c r="AH2053">
        <v>27.173020112921002</v>
      </c>
      <c r="AI2053">
        <v>92.337790119914601</v>
      </c>
      <c r="AJ2053">
        <v>91.810481215977006</v>
      </c>
      <c r="AK2053">
        <v>27.209237744990599</v>
      </c>
      <c r="AL2053">
        <v>79.179024789835296</v>
      </c>
      <c r="AM2053">
        <v>90.473677253438098</v>
      </c>
      <c r="AN2053">
        <v>0.99999997815075303</v>
      </c>
    </row>
    <row r="2054" spans="1:40" x14ac:dyDescent="0.25">
      <c r="A2054" t="str">
        <f>"20190312172932101"</f>
        <v>20190312172932101</v>
      </c>
      <c r="B2054" t="str">
        <f>"1552382972089175"</f>
        <v>1552382972089175</v>
      </c>
      <c r="C2054" t="s">
        <v>40</v>
      </c>
      <c r="D2054">
        <v>3.3709039999999999</v>
      </c>
      <c r="E2054">
        <v>0.49590529999999999</v>
      </c>
      <c r="F2054" t="s">
        <v>48</v>
      </c>
      <c r="G2054">
        <v>-312.28899999999999</v>
      </c>
      <c r="H2054" s="1">
        <v>3.0720360000000001E-6</v>
      </c>
      <c r="I2054">
        <v>286.44670000000002</v>
      </c>
      <c r="J2054">
        <v>-285.31740000000002</v>
      </c>
      <c r="K2054">
        <v>1.109982</v>
      </c>
      <c r="L2054">
        <v>283.98</v>
      </c>
      <c r="M2054">
        <v>-0.99244639999999995</v>
      </c>
      <c r="N2054">
        <v>0</v>
      </c>
      <c r="O2054">
        <v>0.122451</v>
      </c>
      <c r="P2054">
        <v>-0.97714279999999998</v>
      </c>
      <c r="Q2054">
        <v>0.18019070000000001</v>
      </c>
      <c r="R2054">
        <v>0.1127982</v>
      </c>
      <c r="S2054">
        <v>-3.0610050000000002</v>
      </c>
      <c r="T2054">
        <v>-0.124879</v>
      </c>
      <c r="U2054">
        <v>0.2807617</v>
      </c>
      <c r="V2054">
        <v>-8.2366130000000003E-3</v>
      </c>
      <c r="W2054">
        <v>0.18753439999999999</v>
      </c>
      <c r="X2054">
        <v>0.98222350000000003</v>
      </c>
      <c r="Y2054">
        <v>-3.1165289999999998E-2</v>
      </c>
      <c r="Z2054">
        <v>-5.6009719999999897E-3</v>
      </c>
      <c r="AA2054">
        <v>0.99949849999999996</v>
      </c>
      <c r="AB2054">
        <v>45</v>
      </c>
      <c r="AC2054">
        <v>-26.971599999999899</v>
      </c>
      <c r="AD2054">
        <v>-1.109978927964</v>
      </c>
      <c r="AE2054">
        <v>2.4666999999999999</v>
      </c>
      <c r="AF2054">
        <v>-0.853222693757137</v>
      </c>
      <c r="AG2054">
        <v>-1.109978927964</v>
      </c>
      <c r="AH2054">
        <v>27.025282868779801</v>
      </c>
      <c r="AI2054">
        <v>92.350753021691304</v>
      </c>
      <c r="AJ2054">
        <v>91.808300285352502</v>
      </c>
      <c r="AK2054">
        <v>27.061521692677001</v>
      </c>
      <c r="AL2054">
        <v>79.191070539648095</v>
      </c>
      <c r="AM2054">
        <v>90.480452871495999</v>
      </c>
      <c r="AN2054">
        <v>0.99999999846466003</v>
      </c>
    </row>
    <row r="2055" spans="1:40" x14ac:dyDescent="0.25">
      <c r="A2055" t="str">
        <f>"20190312172932113"</f>
        <v>20190312172932113</v>
      </c>
      <c r="B2055" t="str">
        <f>"1552382972109671"</f>
        <v>1552382972109671</v>
      </c>
      <c r="C2055" t="s">
        <v>40</v>
      </c>
      <c r="D2055">
        <v>3.4421870000000001</v>
      </c>
      <c r="E2055">
        <v>0.49601060000000002</v>
      </c>
      <c r="F2055" t="s">
        <v>48</v>
      </c>
      <c r="G2055">
        <v>-312.25490000000002</v>
      </c>
      <c r="H2055" s="1">
        <v>3.05836E-6</v>
      </c>
      <c r="I2055">
        <v>286.43040000000002</v>
      </c>
      <c r="J2055">
        <v>-285.5489</v>
      </c>
      <c r="K2055">
        <v>1.1100680000000001</v>
      </c>
      <c r="L2055">
        <v>284.00810000000001</v>
      </c>
      <c r="M2055">
        <v>-0.99254290000000001</v>
      </c>
      <c r="N2055">
        <v>0</v>
      </c>
      <c r="O2055">
        <v>0.12166399999999999</v>
      </c>
      <c r="P2055">
        <v>-0.97725320000000004</v>
      </c>
      <c r="Q2055">
        <v>0.18009620000000001</v>
      </c>
      <c r="R2055">
        <v>0.11198959999999999</v>
      </c>
      <c r="S2055">
        <v>-3.0612789999999999</v>
      </c>
      <c r="T2055">
        <v>-0.126142</v>
      </c>
      <c r="U2055">
        <v>0.27847290000000002</v>
      </c>
      <c r="V2055">
        <v>-8.3126209999999992E-3</v>
      </c>
      <c r="W2055">
        <v>0.1874506</v>
      </c>
      <c r="X2055">
        <v>0.98223890000000003</v>
      </c>
      <c r="Y2055">
        <v>-3.1120149999999999E-2</v>
      </c>
      <c r="Z2055">
        <v>-5.6243119999999898E-3</v>
      </c>
      <c r="AA2055">
        <v>0.99949980000000005</v>
      </c>
      <c r="AB2055">
        <v>45</v>
      </c>
      <c r="AC2055">
        <v>-26.706</v>
      </c>
      <c r="AD2055">
        <v>-1.1100649416399999</v>
      </c>
      <c r="AE2055">
        <v>2.4222999999999999</v>
      </c>
      <c r="AF2055">
        <v>-0.84350051145837601</v>
      </c>
      <c r="AG2055">
        <v>-1.1100649416399999</v>
      </c>
      <c r="AH2055">
        <v>26.756463000005201</v>
      </c>
      <c r="AI2055">
        <v>92.374531169608304</v>
      </c>
      <c r="AJ2055">
        <v>91.805657890710094</v>
      </c>
      <c r="AK2055">
        <v>26.792761140989899</v>
      </c>
      <c r="AL2055">
        <v>79.195959085685203</v>
      </c>
      <c r="AM2055">
        <v>90.484878709182894</v>
      </c>
      <c r="AN2055">
        <v>1.00000004189072</v>
      </c>
    </row>
    <row r="2056" spans="1:40" x14ac:dyDescent="0.25">
      <c r="A2056" t="str">
        <f>"20190312172932125"</f>
        <v>20190312172932125</v>
      </c>
      <c r="B2056" t="str">
        <f>"1552382972119431"</f>
        <v>1552382972119431</v>
      </c>
      <c r="C2056" t="s">
        <v>40</v>
      </c>
      <c r="D2056">
        <v>3.4248910000000001</v>
      </c>
      <c r="E2056">
        <v>0.49605539999999998</v>
      </c>
      <c r="F2056" t="s">
        <v>48</v>
      </c>
      <c r="G2056">
        <v>-312.2124</v>
      </c>
      <c r="H2056" s="1">
        <v>3.0406179999999998E-6</v>
      </c>
      <c r="I2056">
        <v>286.41770000000002</v>
      </c>
      <c r="J2056">
        <v>-285.79360000000003</v>
      </c>
      <c r="K2056">
        <v>1.1101620000000001</v>
      </c>
      <c r="L2056">
        <v>284.03769999999997</v>
      </c>
      <c r="M2056">
        <v>-0.99264680000000005</v>
      </c>
      <c r="N2056">
        <v>0</v>
      </c>
      <c r="O2056">
        <v>0.1208144</v>
      </c>
      <c r="P2056">
        <v>-0.97734290000000001</v>
      </c>
      <c r="Q2056">
        <v>0.18006639999999999</v>
      </c>
      <c r="R2056">
        <v>0.1112539</v>
      </c>
      <c r="S2056">
        <v>-3.0615839999999999</v>
      </c>
      <c r="T2056">
        <v>-0.1274612</v>
      </c>
      <c r="U2056">
        <v>0.27667239999999999</v>
      </c>
      <c r="V2056">
        <v>-8.2536380000000006E-3</v>
      </c>
      <c r="W2056">
        <v>0.1874323</v>
      </c>
      <c r="X2056">
        <v>0.98224279999999997</v>
      </c>
      <c r="Y2056">
        <v>-3.0854909999999999E-2</v>
      </c>
      <c r="Z2056">
        <v>-5.6422119999999997E-3</v>
      </c>
      <c r="AA2056">
        <v>0.99950799999999995</v>
      </c>
      <c r="AB2056">
        <v>45</v>
      </c>
      <c r="AC2056">
        <v>-26.418799999999901</v>
      </c>
      <c r="AD2056">
        <v>-1.110158959382</v>
      </c>
      <c r="AE2056">
        <v>2.3800000000000501</v>
      </c>
      <c r="AF2056">
        <v>-0.82784534488291905</v>
      </c>
      <c r="AG2056">
        <v>-1.110158959382</v>
      </c>
      <c r="AH2056">
        <v>26.4664621904572</v>
      </c>
      <c r="AI2056">
        <v>92.400740920836697</v>
      </c>
      <c r="AJ2056">
        <v>91.791572453581793</v>
      </c>
      <c r="AK2056">
        <v>26.502667822486099</v>
      </c>
      <c r="AL2056">
        <v>79.197025555686494</v>
      </c>
      <c r="AM2056">
        <v>90.481436456829599</v>
      </c>
      <c r="AN2056">
        <v>0.99999995388768104</v>
      </c>
    </row>
    <row r="2057" spans="1:40" x14ac:dyDescent="0.25">
      <c r="A2057" t="str">
        <f>"20190312172932137"</f>
        <v>20190312172932137</v>
      </c>
      <c r="B2057" t="str">
        <f>"1552382972129191"</f>
        <v>1552382972129191</v>
      </c>
      <c r="C2057" t="s">
        <v>40</v>
      </c>
      <c r="D2057">
        <v>3.4150369999999999</v>
      </c>
      <c r="E2057">
        <v>0.4961064</v>
      </c>
      <c r="F2057" t="s">
        <v>48</v>
      </c>
      <c r="G2057">
        <v>-312.32330000000002</v>
      </c>
      <c r="H2057" s="1">
        <v>3.0896020000000001E-6</v>
      </c>
      <c r="I2057">
        <v>286.42009999999999</v>
      </c>
      <c r="J2057">
        <v>-286.04320000000001</v>
      </c>
      <c r="K2057">
        <v>1.11025</v>
      </c>
      <c r="L2057">
        <v>284.06760000000003</v>
      </c>
      <c r="M2057">
        <v>-0.99275760000000002</v>
      </c>
      <c r="N2057">
        <v>0</v>
      </c>
      <c r="O2057">
        <v>0.11989909999999999</v>
      </c>
      <c r="P2057">
        <v>-0.97738749999999996</v>
      </c>
      <c r="Q2057">
        <v>0.18027480000000001</v>
      </c>
      <c r="R2057">
        <v>0.1105213</v>
      </c>
      <c r="S2057">
        <v>-3.06189</v>
      </c>
      <c r="T2057">
        <v>-0.12812760000000001</v>
      </c>
      <c r="U2057">
        <v>0.27496340000000002</v>
      </c>
      <c r="V2057">
        <v>-8.1226140000000002E-3</v>
      </c>
      <c r="W2057">
        <v>0.18765190000000001</v>
      </c>
      <c r="X2057">
        <v>0.98220200000000002</v>
      </c>
      <c r="Y2057">
        <v>-3.0495419999999999E-2</v>
      </c>
      <c r="Z2057">
        <v>-5.6259090000000001E-3</v>
      </c>
      <c r="AA2057">
        <v>0.99951909999999999</v>
      </c>
      <c r="AB2057">
        <v>46</v>
      </c>
      <c r="AC2057">
        <v>-26.280100000000001</v>
      </c>
      <c r="AD2057">
        <v>-1.1102469103979999</v>
      </c>
      <c r="AE2057">
        <v>2.3524999999999601</v>
      </c>
      <c r="AF2057">
        <v>-0.81407974007625294</v>
      </c>
      <c r="AG2057">
        <v>-1.1102469103979999</v>
      </c>
      <c r="AH2057">
        <v>26.325964790805202</v>
      </c>
      <c r="AI2057">
        <v>92.413755822280706</v>
      </c>
      <c r="AJ2057">
        <v>91.771197174962197</v>
      </c>
      <c r="AK2057">
        <v>26.361938399745299</v>
      </c>
      <c r="AL2057">
        <v>79.184216520519598</v>
      </c>
      <c r="AM2057">
        <v>90.473813830492901</v>
      </c>
      <c r="AN2057">
        <v>0.99999999061790101</v>
      </c>
    </row>
    <row r="2058" spans="1:40" x14ac:dyDescent="0.25">
      <c r="A2058" t="str">
        <f>"20190312172932157"</f>
        <v>20190312172932157</v>
      </c>
      <c r="B2058" t="str">
        <f>"1552382972149687"</f>
        <v>1552382972149687</v>
      </c>
      <c r="C2058" t="s">
        <v>40</v>
      </c>
      <c r="D2058">
        <v>3.4201389999999998</v>
      </c>
      <c r="E2058">
        <v>0.49619289999999999</v>
      </c>
      <c r="F2058" t="s">
        <v>48</v>
      </c>
      <c r="G2058">
        <v>-312.59649999999999</v>
      </c>
      <c r="H2058" s="1">
        <v>3.2092940000000002E-6</v>
      </c>
      <c r="I2058">
        <v>286.4366</v>
      </c>
      <c r="J2058">
        <v>-286.4273</v>
      </c>
      <c r="K2058">
        <v>1.1103879999999999</v>
      </c>
      <c r="L2058">
        <v>284.11320000000001</v>
      </c>
      <c r="M2058">
        <v>-0.99293350000000002</v>
      </c>
      <c r="N2058">
        <v>0</v>
      </c>
      <c r="O2058">
        <v>0.1184308</v>
      </c>
      <c r="P2058">
        <v>-0.97732969999999997</v>
      </c>
      <c r="Q2058">
        <v>0.1810398</v>
      </c>
      <c r="R2058">
        <v>0.1097793</v>
      </c>
      <c r="S2058">
        <v>-3.0621640000000001</v>
      </c>
      <c r="T2058">
        <v>-0.1280355</v>
      </c>
      <c r="U2058">
        <v>0.27319339999999998</v>
      </c>
      <c r="V2058">
        <v>-7.4643749999999997E-3</v>
      </c>
      <c r="W2058">
        <v>0.18843689999999999</v>
      </c>
      <c r="X2058">
        <v>0.98205690000000001</v>
      </c>
      <c r="Y2058">
        <v>-2.9600609999999999E-2</v>
      </c>
      <c r="Z2058">
        <v>-5.5421410000000004E-3</v>
      </c>
      <c r="AA2058">
        <v>0.9995465</v>
      </c>
      <c r="AB2058">
        <v>46</v>
      </c>
      <c r="AC2058">
        <v>-26.169199999999901</v>
      </c>
      <c r="AD2058">
        <v>-1.1103847907059901</v>
      </c>
      <c r="AE2058">
        <v>2.3233999999999901</v>
      </c>
      <c r="AF2058">
        <v>-0.790867528549278</v>
      </c>
      <c r="AG2058">
        <v>-1.1103847907059901</v>
      </c>
      <c r="AH2058">
        <v>26.2133635306506</v>
      </c>
      <c r="AI2058">
        <v>92.424468242341206</v>
      </c>
      <c r="AJ2058">
        <v>91.728112079840798</v>
      </c>
      <c r="AK2058">
        <v>26.248787656217399</v>
      </c>
      <c r="AL2058">
        <v>79.138422145642195</v>
      </c>
      <c r="AM2058">
        <v>90.435482861164601</v>
      </c>
      <c r="AN2058">
        <v>0.99999996850667905</v>
      </c>
    </row>
    <row r="2059" spans="1:40" x14ac:dyDescent="0.25">
      <c r="A2059" t="str">
        <f>"20190312172932169"</f>
        <v>20190312172932169</v>
      </c>
      <c r="B2059" t="str">
        <f>"1552382972159447"</f>
        <v>1552382972159447</v>
      </c>
      <c r="C2059" t="s">
        <v>40</v>
      </c>
      <c r="D2059">
        <v>3.3941810000000001</v>
      </c>
      <c r="E2059">
        <v>0.49624289999999999</v>
      </c>
      <c r="F2059" t="s">
        <v>48</v>
      </c>
      <c r="G2059">
        <v>-313.28059999999999</v>
      </c>
      <c r="H2059" s="1">
        <v>3.5084230000000002E-6</v>
      </c>
      <c r="I2059">
        <v>286.48520000000002</v>
      </c>
      <c r="J2059">
        <v>-286.67610000000002</v>
      </c>
      <c r="K2059">
        <v>1.1104799999999999</v>
      </c>
      <c r="L2059">
        <v>284.14229999999998</v>
      </c>
      <c r="M2059">
        <v>-0.99305149999999998</v>
      </c>
      <c r="N2059">
        <v>0</v>
      </c>
      <c r="O2059">
        <v>0.1174384</v>
      </c>
      <c r="P2059">
        <v>-0.97738930000000002</v>
      </c>
      <c r="Q2059">
        <v>0.18110870000000001</v>
      </c>
      <c r="R2059">
        <v>0.109135</v>
      </c>
      <c r="S2059">
        <v>-3.0626530000000001</v>
      </c>
      <c r="T2059">
        <v>-0.12664069999999999</v>
      </c>
      <c r="U2059">
        <v>0.27053829999999901</v>
      </c>
      <c r="V2059">
        <v>-7.169712E-3</v>
      </c>
      <c r="W2059">
        <v>0.18851879999999999</v>
      </c>
      <c r="X2059">
        <v>0.98204340000000001</v>
      </c>
      <c r="Y2059">
        <v>-2.9479160000000001E-2</v>
      </c>
      <c r="Z2059">
        <v>-5.4380929999999997E-3</v>
      </c>
      <c r="AA2059">
        <v>0.99955059999999996</v>
      </c>
      <c r="AB2059">
        <v>46</v>
      </c>
      <c r="AC2059">
        <v>-26.604499999999899</v>
      </c>
      <c r="AD2059">
        <v>-1.110476491577</v>
      </c>
      <c r="AE2059">
        <v>2.3429000000000402</v>
      </c>
      <c r="AF2059">
        <v>-0.796415396617418</v>
      </c>
      <c r="AG2059">
        <v>-1.110476491577</v>
      </c>
      <c r="AH2059">
        <v>26.649472568272799</v>
      </c>
      <c r="AI2059">
        <v>92.385056012994994</v>
      </c>
      <c r="AJ2059">
        <v>91.7117661012349</v>
      </c>
      <c r="AK2059">
        <v>26.684486573465101</v>
      </c>
      <c r="AL2059">
        <v>79.1336442327989</v>
      </c>
      <c r="AM2059">
        <v>90.418298152061098</v>
      </c>
      <c r="AN2059">
        <v>0.99999999110358095</v>
      </c>
    </row>
    <row r="2060" spans="1:40" x14ac:dyDescent="0.25">
      <c r="A2060" t="str">
        <f>"20190312172932183"</f>
        <v>20190312172932183</v>
      </c>
      <c r="B2060" t="str">
        <f>"1552382972179943"</f>
        <v>1552382972179943</v>
      </c>
      <c r="C2060" t="s">
        <v>40</v>
      </c>
      <c r="D2060">
        <v>3.4124819999999998</v>
      </c>
      <c r="E2060">
        <v>0.496332</v>
      </c>
      <c r="F2060" t="s">
        <v>48</v>
      </c>
      <c r="G2060">
        <v>-313.46899999999999</v>
      </c>
      <c r="H2060" s="1">
        <v>3.591329E-6</v>
      </c>
      <c r="I2060">
        <v>286.49259999999998</v>
      </c>
      <c r="J2060">
        <v>-286.96969999999999</v>
      </c>
      <c r="K2060">
        <v>1.110582</v>
      </c>
      <c r="L2060">
        <v>284.17649999999998</v>
      </c>
      <c r="M2060">
        <v>-0.99319299999999999</v>
      </c>
      <c r="N2060">
        <v>0</v>
      </c>
      <c r="O2060">
        <v>0.1162333</v>
      </c>
      <c r="P2060">
        <v>-0.97751500000000002</v>
      </c>
      <c r="Q2060">
        <v>0.18107809999999999</v>
      </c>
      <c r="R2060">
        <v>0.10805099999999999</v>
      </c>
      <c r="S2060">
        <v>-3.062897</v>
      </c>
      <c r="T2060">
        <v>-0.1269468</v>
      </c>
      <c r="U2060">
        <v>0.26867679999999999</v>
      </c>
      <c r="V2060">
        <v>-7.1149459999999996E-3</v>
      </c>
      <c r="W2060">
        <v>0.1885029</v>
      </c>
      <c r="X2060">
        <v>0.9820468</v>
      </c>
      <c r="Y2060">
        <v>-2.8877030000000001E-2</v>
      </c>
      <c r="Z2060">
        <v>-5.3890889999999997E-3</v>
      </c>
      <c r="AA2060">
        <v>0.99956849999999997</v>
      </c>
      <c r="AB2060">
        <v>46</v>
      </c>
      <c r="AC2060">
        <v>-26.499300000000002</v>
      </c>
      <c r="AD2060">
        <v>-1.110578408671</v>
      </c>
      <c r="AE2060">
        <v>2.3161</v>
      </c>
      <c r="AF2060">
        <v>-0.77843230014618003</v>
      </c>
      <c r="AG2060">
        <v>-1.110578408671</v>
      </c>
      <c r="AH2060">
        <v>26.542624754612401</v>
      </c>
      <c r="AI2060">
        <v>92.394904892004007</v>
      </c>
      <c r="AJ2060">
        <v>91.679867956570405</v>
      </c>
      <c r="AK2060">
        <v>26.577250988615798</v>
      </c>
      <c r="AL2060">
        <v>79.134571322492903</v>
      </c>
      <c r="AM2060">
        <v>90.415101647724896</v>
      </c>
      <c r="AN2060">
        <v>0.99999994157761396</v>
      </c>
    </row>
    <row r="2061" spans="1:40" x14ac:dyDescent="0.25">
      <c r="A2061" t="str">
        <f>"20190312172932203"</f>
        <v>20190312172932203</v>
      </c>
      <c r="B2061" t="str">
        <f>"1552382972199463"</f>
        <v>1552382972199463</v>
      </c>
      <c r="C2061" t="s">
        <v>40</v>
      </c>
      <c r="D2061">
        <v>3.4103289999999999</v>
      </c>
      <c r="E2061">
        <v>0.49643369999999998</v>
      </c>
      <c r="F2061" t="s">
        <v>48</v>
      </c>
      <c r="G2061">
        <v>-313.51319999999998</v>
      </c>
      <c r="H2061" s="1">
        <v>3.6120650000000002E-6</v>
      </c>
      <c r="I2061">
        <v>286.4794</v>
      </c>
      <c r="J2061">
        <v>-287.36259999999999</v>
      </c>
      <c r="K2061">
        <v>1.1107129999999901</v>
      </c>
      <c r="L2061">
        <v>284.22140000000002</v>
      </c>
      <c r="M2061">
        <v>-0.99338959999999998</v>
      </c>
      <c r="N2061">
        <v>0</v>
      </c>
      <c r="O2061">
        <v>0.11454010000000001</v>
      </c>
      <c r="P2061">
        <v>-0.97777029999999998</v>
      </c>
      <c r="Q2061">
        <v>0.1806758</v>
      </c>
      <c r="R2061">
        <v>0.10640380000000001</v>
      </c>
      <c r="S2061">
        <v>-3.0633240000000002</v>
      </c>
      <c r="T2061">
        <v>-0.12816930000000001</v>
      </c>
      <c r="U2061">
        <v>0.2657776</v>
      </c>
      <c r="V2061">
        <v>-7.1641830000000002E-3</v>
      </c>
      <c r="W2061">
        <v>0.18812029999999999</v>
      </c>
      <c r="X2061">
        <v>0.98211990000000005</v>
      </c>
      <c r="Y2061">
        <v>-2.8123889999999999E-2</v>
      </c>
      <c r="Z2061">
        <v>-5.3546089999999998E-3</v>
      </c>
      <c r="AA2061">
        <v>0.99959010000000004</v>
      </c>
      <c r="AB2061">
        <v>46</v>
      </c>
      <c r="AC2061">
        <v>-26.150600000000001</v>
      </c>
      <c r="AD2061">
        <v>-1.1107093879349901</v>
      </c>
      <c r="AE2061">
        <v>2.25799999999998</v>
      </c>
      <c r="AF2061">
        <v>-0.75089571840259695</v>
      </c>
      <c r="AG2061">
        <v>-1.1107093879349901</v>
      </c>
      <c r="AH2061">
        <v>26.1902245267237</v>
      </c>
      <c r="AI2061">
        <v>92.427423083297796</v>
      </c>
      <c r="AJ2061">
        <v>91.642268194267899</v>
      </c>
      <c r="AK2061">
        <v>26.224518689283201</v>
      </c>
      <c r="AL2061">
        <v>79.156893050877599</v>
      </c>
      <c r="AM2061">
        <v>90.417943032316799</v>
      </c>
      <c r="AN2061">
        <v>1.00000003538307</v>
      </c>
    </row>
    <row r="2062" spans="1:40" x14ac:dyDescent="0.25">
      <c r="A2062" t="str">
        <f>"20190312172932224"</f>
        <v>20190312172932224</v>
      </c>
      <c r="B2062" t="str">
        <f>"1552382972219959"</f>
        <v>1552382972219959</v>
      </c>
      <c r="C2062" t="s">
        <v>40</v>
      </c>
      <c r="D2062">
        <v>3.4402300000000001</v>
      </c>
      <c r="E2062">
        <v>0.49653940000000002</v>
      </c>
      <c r="F2062" t="s">
        <v>48</v>
      </c>
      <c r="G2062">
        <v>-313.4237</v>
      </c>
      <c r="H2062" s="1">
        <v>3.5752359999999998E-6</v>
      </c>
      <c r="I2062">
        <v>286.4468</v>
      </c>
      <c r="J2062">
        <v>-287.79849999999999</v>
      </c>
      <c r="K2062">
        <v>1.110854</v>
      </c>
      <c r="L2062">
        <v>284.27050000000003</v>
      </c>
      <c r="M2062">
        <v>-0.99361390000000005</v>
      </c>
      <c r="N2062">
        <v>0</v>
      </c>
      <c r="O2062">
        <v>0.11257540000000001</v>
      </c>
      <c r="P2062">
        <v>-0.97793070000000004</v>
      </c>
      <c r="Q2062">
        <v>0.18075369999999999</v>
      </c>
      <c r="R2062">
        <v>0.10478410000000001</v>
      </c>
      <c r="S2062">
        <v>-3.0638730000000001</v>
      </c>
      <c r="T2062">
        <v>-0.13058049999999999</v>
      </c>
      <c r="U2062">
        <v>0.2616272</v>
      </c>
      <c r="V2062">
        <v>-6.9120930000000002E-3</v>
      </c>
      <c r="W2062">
        <v>0.18822150000000001</v>
      </c>
      <c r="X2062">
        <v>0.98210229999999998</v>
      </c>
      <c r="Y2062">
        <v>-2.750437E-2</v>
      </c>
      <c r="Z2062">
        <v>-5.3585849999999999E-3</v>
      </c>
      <c r="AA2062">
        <v>0.99960729999999998</v>
      </c>
      <c r="AB2062">
        <v>46</v>
      </c>
      <c r="AC2062">
        <v>-25.6252</v>
      </c>
      <c r="AD2062">
        <v>-1.1108504247640001</v>
      </c>
      <c r="AE2062">
        <v>2.1762999999999599</v>
      </c>
      <c r="AF2062">
        <v>-0.72104094196746704</v>
      </c>
      <c r="AG2062">
        <v>-1.1108504247640001</v>
      </c>
      <c r="AH2062">
        <v>25.659426517160298</v>
      </c>
      <c r="AI2062">
        <v>92.477929737186898</v>
      </c>
      <c r="AJ2062">
        <v>91.609612514291598</v>
      </c>
      <c r="AK2062">
        <v>25.6935800910605</v>
      </c>
      <c r="AL2062">
        <v>79.150989073327807</v>
      </c>
      <c r="AM2062">
        <v>90.403244364274897</v>
      </c>
      <c r="AN2062">
        <v>1.00000001887859</v>
      </c>
    </row>
    <row r="2063" spans="1:40" x14ac:dyDescent="0.25">
      <c r="A2063" t="str">
        <f>"20190312172932237"</f>
        <v>20190312172932237</v>
      </c>
      <c r="B2063" t="str">
        <f>"1552382972229719"</f>
        <v>1552382972229719</v>
      </c>
      <c r="C2063" t="s">
        <v>40</v>
      </c>
      <c r="D2063">
        <v>3.4206569999999998</v>
      </c>
      <c r="E2063">
        <v>0.4965968</v>
      </c>
      <c r="F2063" t="s">
        <v>48</v>
      </c>
      <c r="G2063">
        <v>-313.70100000000002</v>
      </c>
      <c r="H2063" s="1">
        <v>3.6982559999999999E-6</v>
      </c>
      <c r="I2063">
        <v>286.4461</v>
      </c>
      <c r="J2063">
        <v>-288.07400000000001</v>
      </c>
      <c r="K2063">
        <v>1.110943</v>
      </c>
      <c r="L2063">
        <v>284.30099999999999</v>
      </c>
      <c r="M2063">
        <v>-0.99375979999999997</v>
      </c>
      <c r="N2063">
        <v>0</v>
      </c>
      <c r="O2063">
        <v>0.1112784</v>
      </c>
      <c r="P2063">
        <v>-0.97800620000000005</v>
      </c>
      <c r="Q2063">
        <v>0.18090819999999999</v>
      </c>
      <c r="R2063">
        <v>0.10380880000000001</v>
      </c>
      <c r="S2063">
        <v>-3.0644230000000001</v>
      </c>
      <c r="T2063">
        <v>-0.13142039999999999</v>
      </c>
      <c r="U2063">
        <v>0.25738529999999998</v>
      </c>
      <c r="V2063">
        <v>-6.6472780000000004E-3</v>
      </c>
      <c r="W2063">
        <v>0.18839239999999999</v>
      </c>
      <c r="X2063">
        <v>0.98207129999999998</v>
      </c>
      <c r="Y2063">
        <v>-2.758822E-2</v>
      </c>
      <c r="Z2063">
        <v>-5.33915E-3</v>
      </c>
      <c r="AA2063">
        <v>0.99960510000000002</v>
      </c>
      <c r="AB2063">
        <v>46</v>
      </c>
      <c r="AC2063">
        <v>-25.626999999999899</v>
      </c>
      <c r="AD2063">
        <v>-1.1109393017439999</v>
      </c>
      <c r="AE2063">
        <v>2.14510000000001</v>
      </c>
      <c r="AF2063">
        <v>-0.71869728276302403</v>
      </c>
      <c r="AG2063">
        <v>-1.1109393017439999</v>
      </c>
      <c r="AH2063">
        <v>25.658655020059602</v>
      </c>
      <c r="AI2063">
        <v>92.478208442130807</v>
      </c>
      <c r="AJ2063">
        <v>91.604431610990204</v>
      </c>
      <c r="AK2063">
        <v>25.6927477968948</v>
      </c>
      <c r="AL2063">
        <v>79.141018218086302</v>
      </c>
      <c r="AM2063">
        <v>90.387808052744305</v>
      </c>
      <c r="AN2063">
        <v>0.999999960483128</v>
      </c>
    </row>
    <row r="2064" spans="1:40" x14ac:dyDescent="0.25">
      <c r="A2064" t="str">
        <f>"20190312172932250"</f>
        <v>20190312172932250</v>
      </c>
      <c r="B2064" t="str">
        <f>"1552382972239479"</f>
        <v>1552382972239479</v>
      </c>
      <c r="C2064" t="s">
        <v>40</v>
      </c>
      <c r="D2064">
        <v>3.4376720000000001</v>
      </c>
      <c r="E2064">
        <v>0.4966564</v>
      </c>
      <c r="F2064" t="s">
        <v>48</v>
      </c>
      <c r="G2064">
        <v>-313.97289999999998</v>
      </c>
      <c r="H2064" s="1">
        <v>3.8181820000000001E-6</v>
      </c>
      <c r="I2064">
        <v>286.45359999999999</v>
      </c>
      <c r="J2064">
        <v>-288.31900000000002</v>
      </c>
      <c r="K2064">
        <v>1.1110199999999999</v>
      </c>
      <c r="L2064">
        <v>284.3279</v>
      </c>
      <c r="M2064">
        <v>-0.99389090000000002</v>
      </c>
      <c r="N2064">
        <v>0</v>
      </c>
      <c r="O2064">
        <v>0.1101014</v>
      </c>
      <c r="P2064">
        <v>-0.97814889999999999</v>
      </c>
      <c r="Q2064">
        <v>0.1807212</v>
      </c>
      <c r="R2064">
        <v>0.1027854</v>
      </c>
      <c r="S2064">
        <v>-3.0647579999999999</v>
      </c>
      <c r="T2064">
        <v>-0.13146350000000001</v>
      </c>
      <c r="U2064">
        <v>0.25473020000000002</v>
      </c>
      <c r="V2064">
        <v>-6.5500970000000004E-3</v>
      </c>
      <c r="W2064">
        <v>0.18822050000000001</v>
      </c>
      <c r="X2064">
        <v>0.98210500000000001</v>
      </c>
      <c r="Y2064">
        <v>-2.7274659999999999E-2</v>
      </c>
      <c r="Z2064">
        <v>-5.2838260000000001E-3</v>
      </c>
      <c r="AA2064">
        <v>0.999614</v>
      </c>
      <c r="AB2064">
        <v>46</v>
      </c>
      <c r="AC2064">
        <v>-25.653899999999901</v>
      </c>
      <c r="AD2064">
        <v>-1.111016181818</v>
      </c>
      <c r="AE2064">
        <v>2.1256999999999899</v>
      </c>
      <c r="AF2064">
        <v>-0.71051372931656498</v>
      </c>
      <c r="AG2064">
        <v>-1.111016181818</v>
      </c>
      <c r="AH2064">
        <v>25.684129787745199</v>
      </c>
      <c r="AI2064">
        <v>92.475948437061305</v>
      </c>
      <c r="AJ2064">
        <v>91.584599458663405</v>
      </c>
      <c r="AK2064">
        <v>25.717964726423201</v>
      </c>
      <c r="AL2064">
        <v>79.151047706407297</v>
      </c>
      <c r="AM2064">
        <v>90.382125484664797</v>
      </c>
      <c r="AN2064">
        <v>1.0000000457079701</v>
      </c>
    </row>
    <row r="2065" spans="1:40" x14ac:dyDescent="0.25">
      <c r="A2065" t="str">
        <f>"20190312172932268"</f>
        <v>20190312172932268</v>
      </c>
      <c r="B2065" t="str">
        <f>"1552382972259975"</f>
        <v>1552382972259975</v>
      </c>
      <c r="C2065" t="s">
        <v>40</v>
      </c>
      <c r="D2065">
        <v>3.4372259999999999</v>
      </c>
      <c r="E2065">
        <v>0.49677349999999998</v>
      </c>
      <c r="F2065" t="s">
        <v>48</v>
      </c>
      <c r="G2065">
        <v>-314.00529999999998</v>
      </c>
      <c r="H2065" s="1">
        <v>3.833961E-6</v>
      </c>
      <c r="I2065">
        <v>286.4375</v>
      </c>
      <c r="J2065">
        <v>-288.70929999999998</v>
      </c>
      <c r="K2065">
        <v>1.1111390000000001</v>
      </c>
      <c r="L2065">
        <v>284.37</v>
      </c>
      <c r="M2065">
        <v>-0.99410259999999995</v>
      </c>
      <c r="N2065">
        <v>0</v>
      </c>
      <c r="O2065">
        <v>0.10817160000000001</v>
      </c>
      <c r="P2065">
        <v>-0.97825359999999995</v>
      </c>
      <c r="Q2065">
        <v>0.18093480000000001</v>
      </c>
      <c r="R2065">
        <v>0.1014034</v>
      </c>
      <c r="S2065">
        <v>-3.0650940000000002</v>
      </c>
      <c r="T2065">
        <v>-0.13257529999999901</v>
      </c>
      <c r="U2065">
        <v>0.2517395</v>
      </c>
      <c r="V2065">
        <v>-6.0815050000000001E-3</v>
      </c>
      <c r="W2065">
        <v>0.18846070000000001</v>
      </c>
      <c r="X2065">
        <v>0.98206190000000004</v>
      </c>
      <c r="Y2065">
        <v>-2.6312350000000002E-2</v>
      </c>
      <c r="Z2065">
        <v>-5.2246690000000004E-3</v>
      </c>
      <c r="AA2065">
        <v>0.99964010000000003</v>
      </c>
      <c r="AB2065">
        <v>46</v>
      </c>
      <c r="AC2065">
        <v>-25.2959999999999</v>
      </c>
      <c r="AD2065">
        <v>-1.1111351660390001</v>
      </c>
      <c r="AE2065">
        <v>2.0674999999999901</v>
      </c>
      <c r="AF2065">
        <v>-0.67971896259862996</v>
      </c>
      <c r="AG2065">
        <v>-1.1111351660390001</v>
      </c>
      <c r="AH2065">
        <v>25.322677435671999</v>
      </c>
      <c r="AI2065">
        <v>92.511569546585704</v>
      </c>
      <c r="AJ2065">
        <v>91.537581424216697</v>
      </c>
      <c r="AK2065">
        <v>25.356155697116598</v>
      </c>
      <c r="AL2065">
        <v>79.1370339499626</v>
      </c>
      <c r="AM2065">
        <v>90.354804636675198</v>
      </c>
      <c r="AN2065">
        <v>0.99999999778958204</v>
      </c>
    </row>
    <row r="2066" spans="1:40" x14ac:dyDescent="0.25">
      <c r="A2066" t="str">
        <f>"20190312172932291"</f>
        <v>20190312172932291</v>
      </c>
      <c r="B2066" t="str">
        <f>"1552382972280021"</f>
        <v>1552382972280021</v>
      </c>
      <c r="C2066" t="s">
        <v>40</v>
      </c>
      <c r="D2066">
        <v>3.4400699999999902</v>
      </c>
      <c r="E2066">
        <v>0.49689420000000001</v>
      </c>
      <c r="F2066" t="s">
        <v>48</v>
      </c>
      <c r="G2066">
        <v>-314.327</v>
      </c>
      <c r="H2066" s="1">
        <v>3.9761419999999998E-6</v>
      </c>
      <c r="I2066">
        <v>286.44310000000002</v>
      </c>
      <c r="J2066">
        <v>-289.16809999999998</v>
      </c>
      <c r="K2066">
        <v>1.111278</v>
      </c>
      <c r="L2066">
        <v>284.41849999999999</v>
      </c>
      <c r="M2066">
        <v>-0.99435649999999998</v>
      </c>
      <c r="N2066">
        <v>0</v>
      </c>
      <c r="O2066">
        <v>0.10581069999999999</v>
      </c>
      <c r="P2066">
        <v>-0.97839339999999997</v>
      </c>
      <c r="Q2066">
        <v>0.1811237</v>
      </c>
      <c r="R2066">
        <v>9.9703449999999999E-2</v>
      </c>
      <c r="S2066">
        <v>-3.0655519999999998</v>
      </c>
      <c r="T2066">
        <v>-0.13296440000000001</v>
      </c>
      <c r="U2066">
        <v>0.2480774</v>
      </c>
      <c r="V2066">
        <v>-5.5160460000000001E-3</v>
      </c>
      <c r="W2066">
        <v>0.18868370000000001</v>
      </c>
      <c r="X2066">
        <v>0.98202239999999996</v>
      </c>
      <c r="Y2066">
        <v>-2.5139559999999998E-2</v>
      </c>
      <c r="Z2066">
        <v>-5.1126319999999998E-3</v>
      </c>
      <c r="AA2066">
        <v>0.99967090000000003</v>
      </c>
      <c r="AB2066">
        <v>46</v>
      </c>
      <c r="AC2066">
        <v>-25.158899999999999</v>
      </c>
      <c r="AD2066">
        <v>-1.1112740238579999</v>
      </c>
      <c r="AE2066">
        <v>2.0246000000000199</v>
      </c>
      <c r="AF2066">
        <v>-0.64767039417785</v>
      </c>
      <c r="AG2066">
        <v>-1.1112740238579999</v>
      </c>
      <c r="AH2066">
        <v>25.1830713093014</v>
      </c>
      <c r="AI2066">
        <v>92.525864480031501</v>
      </c>
      <c r="AJ2066">
        <v>91.473235775864794</v>
      </c>
      <c r="AK2066">
        <v>25.215897514563299</v>
      </c>
      <c r="AL2066">
        <v>79.124023377705996</v>
      </c>
      <c r="AM2066">
        <v>90.321828536300899</v>
      </c>
      <c r="AN2066">
        <v>0.99999997975546095</v>
      </c>
    </row>
    <row r="2067" spans="1:40" x14ac:dyDescent="0.25">
      <c r="A2067" t="str">
        <f>"20190312172932314"</f>
        <v>20190312172932314</v>
      </c>
      <c r="B2067" t="str">
        <f>"1552382972309303"</f>
        <v>1552382972309303</v>
      </c>
      <c r="C2067" t="s">
        <v>40</v>
      </c>
      <c r="D2067">
        <v>3.4437169999999999</v>
      </c>
      <c r="E2067">
        <v>0.49709550000000002</v>
      </c>
      <c r="F2067" t="s">
        <v>48</v>
      </c>
      <c r="G2067">
        <v>-314.71249999999998</v>
      </c>
      <c r="H2067" s="1">
        <v>4.1469930000000003E-6</v>
      </c>
      <c r="I2067">
        <v>286.4443</v>
      </c>
      <c r="J2067">
        <v>-289.62090000000001</v>
      </c>
      <c r="K2067">
        <v>1.1114170000000001</v>
      </c>
      <c r="L2067">
        <v>284.46530000000001</v>
      </c>
      <c r="M2067">
        <v>-0.99461100000000002</v>
      </c>
      <c r="N2067">
        <v>0</v>
      </c>
      <c r="O2067">
        <v>0.1033879</v>
      </c>
      <c r="P2067">
        <v>-0.97851670000000002</v>
      </c>
      <c r="Q2067">
        <v>0.18139189999999999</v>
      </c>
      <c r="R2067">
        <v>9.7990220000000003E-2</v>
      </c>
      <c r="S2067">
        <v>-3.0661930000000002</v>
      </c>
      <c r="T2067">
        <v>-0.13339039999999999</v>
      </c>
      <c r="U2067">
        <v>0.24316409999999999</v>
      </c>
      <c r="V2067">
        <v>-4.9009229999999997E-3</v>
      </c>
      <c r="W2067">
        <v>0.18898619999999999</v>
      </c>
      <c r="X2067">
        <v>0.98196749999999999</v>
      </c>
      <c r="Y2067">
        <v>-2.4314849999999999E-2</v>
      </c>
      <c r="Z2067">
        <v>-5.0059179999999998E-3</v>
      </c>
      <c r="AA2067">
        <v>0.99969180000000002</v>
      </c>
      <c r="AB2067">
        <v>46</v>
      </c>
      <c r="AC2067">
        <v>-25.0915999999999</v>
      </c>
      <c r="AD2067">
        <v>-1.111412853007</v>
      </c>
      <c r="AE2067">
        <v>1.9789999999999801</v>
      </c>
      <c r="AF2067">
        <v>-0.624633466713445</v>
      </c>
      <c r="AG2067">
        <v>-1.111412853007</v>
      </c>
      <c r="AH2067">
        <v>25.112773530171701</v>
      </c>
      <c r="AI2067">
        <v>92.533295982096405</v>
      </c>
      <c r="AJ2067">
        <v>91.424832010177198</v>
      </c>
      <c r="AK2067">
        <v>25.1451148312204</v>
      </c>
      <c r="AL2067">
        <v>79.106373948117394</v>
      </c>
      <c r="AM2067">
        <v>90.285956380556996</v>
      </c>
      <c r="AN2067">
        <v>0.99999998694646997</v>
      </c>
    </row>
    <row r="2068" spans="1:40" x14ac:dyDescent="0.25">
      <c r="A2068" t="str">
        <f>"20190312172932326"</f>
        <v>20190312172932326</v>
      </c>
      <c r="B2068" t="str">
        <f>"1552382972320038"</f>
        <v>1552382972320038</v>
      </c>
      <c r="C2068" t="s">
        <v>40</v>
      </c>
      <c r="D2068">
        <v>3.454447</v>
      </c>
      <c r="E2068">
        <v>0.49709550000000002</v>
      </c>
      <c r="F2068" t="s">
        <v>48</v>
      </c>
      <c r="G2068">
        <v>-315.03280000000001</v>
      </c>
      <c r="H2068" s="1">
        <v>4.2886190000000002E-6</v>
      </c>
      <c r="I2068">
        <v>286.44880000000001</v>
      </c>
      <c r="J2068">
        <v>-289.88490000000002</v>
      </c>
      <c r="K2068">
        <v>1.1114949999999999</v>
      </c>
      <c r="L2068">
        <v>284.49200000000002</v>
      </c>
      <c r="M2068">
        <v>-0.99476059999999999</v>
      </c>
      <c r="N2068">
        <v>0</v>
      </c>
      <c r="O2068">
        <v>0.1019369</v>
      </c>
      <c r="P2068">
        <v>-0.97862610000000005</v>
      </c>
      <c r="Q2068">
        <v>0.1814325</v>
      </c>
      <c r="R2068">
        <v>9.6816479999999996E-2</v>
      </c>
      <c r="S2068">
        <v>-3.0667420000000001</v>
      </c>
      <c r="T2068">
        <v>-0.134127</v>
      </c>
      <c r="U2068">
        <v>0.23937990000000001</v>
      </c>
      <c r="V2068">
        <v>-4.6812640000000001E-3</v>
      </c>
      <c r="W2068">
        <v>0.18904609999999999</v>
      </c>
      <c r="X2068">
        <v>0.98195710000000003</v>
      </c>
      <c r="Y2068">
        <v>-2.4096949999999999E-2</v>
      </c>
      <c r="Z2068">
        <v>-4.9652409999999996E-3</v>
      </c>
      <c r="AA2068">
        <v>0.99969730000000001</v>
      </c>
      <c r="AB2068">
        <v>46</v>
      </c>
      <c r="AC2068">
        <v>-25.1479</v>
      </c>
      <c r="AD2068">
        <v>-1.111490711381</v>
      </c>
      <c r="AE2068">
        <v>1.9567999999999801</v>
      </c>
      <c r="AF2068">
        <v>-0.61577434030231704</v>
      </c>
      <c r="AG2068">
        <v>-1.111490711381</v>
      </c>
      <c r="AH2068">
        <v>25.167501212746799</v>
      </c>
      <c r="AI2068">
        <v>92.527996516697399</v>
      </c>
      <c r="AJ2068">
        <v>91.401578680611706</v>
      </c>
      <c r="AK2068">
        <v>25.199557673365501</v>
      </c>
      <c r="AL2068">
        <v>79.102879561121796</v>
      </c>
      <c r="AM2068">
        <v>90.273142928645498</v>
      </c>
      <c r="AN2068">
        <v>1.0000000441991199</v>
      </c>
    </row>
    <row r="2069" spans="1:40" x14ac:dyDescent="0.25">
      <c r="A2069" t="str">
        <f>"20190312172932338"</f>
        <v>20190312172932338</v>
      </c>
      <c r="B2069" t="str">
        <f>"1552382972329798"</f>
        <v>1552382972329798</v>
      </c>
      <c r="C2069" t="s">
        <v>40</v>
      </c>
      <c r="D2069">
        <v>3.440706</v>
      </c>
      <c r="E2069">
        <v>0.50809759999999904</v>
      </c>
      <c r="F2069" t="s">
        <v>48</v>
      </c>
      <c r="G2069">
        <v>-315.32830000000001</v>
      </c>
      <c r="H2069" s="1">
        <v>4.4197880000000001E-6</v>
      </c>
      <c r="I2069">
        <v>286.44740000000002</v>
      </c>
      <c r="J2069">
        <v>-290.13549999999998</v>
      </c>
      <c r="K2069">
        <v>1.111572</v>
      </c>
      <c r="L2069">
        <v>284.517</v>
      </c>
      <c r="M2069">
        <v>-0.99490440000000002</v>
      </c>
      <c r="N2069">
        <v>0</v>
      </c>
      <c r="O2069">
        <v>0.100522</v>
      </c>
      <c r="P2069">
        <v>-0.97870780000000002</v>
      </c>
      <c r="Q2069">
        <v>0.18159030000000001</v>
      </c>
      <c r="R2069">
        <v>9.5687170000000002E-2</v>
      </c>
      <c r="S2069">
        <v>-3.0670470000000001</v>
      </c>
      <c r="T2069">
        <v>-0.13398370000000001</v>
      </c>
      <c r="U2069">
        <v>0.23571780000000001</v>
      </c>
      <c r="V2069">
        <v>-4.4502709999999996E-3</v>
      </c>
      <c r="W2069">
        <v>0.18922259999999999</v>
      </c>
      <c r="X2069">
        <v>0.98192409999999997</v>
      </c>
      <c r="Y2069">
        <v>-2.3871199999999999E-2</v>
      </c>
      <c r="Z2069">
        <v>-4.8934920000000002E-3</v>
      </c>
      <c r="AA2069">
        <v>0.99970300000000001</v>
      </c>
      <c r="AB2069">
        <v>46</v>
      </c>
      <c r="AC2069">
        <v>-25.192799999999998</v>
      </c>
      <c r="AD2069">
        <v>-1.111567580212</v>
      </c>
      <c r="AE2069">
        <v>1.9304000000000101</v>
      </c>
      <c r="AF2069">
        <v>-0.61070374529127402</v>
      </c>
      <c r="AG2069">
        <v>-1.111567580212</v>
      </c>
      <c r="AH2069">
        <v>25.210447192161201</v>
      </c>
      <c r="AI2069">
        <v>92.523884849292003</v>
      </c>
      <c r="AJ2069">
        <v>91.387674916395497</v>
      </c>
      <c r="AK2069">
        <v>25.242329313647801</v>
      </c>
      <c r="AL2069">
        <v>79.092580135144303</v>
      </c>
      <c r="AM2069">
        <v>90.259673838506501</v>
      </c>
      <c r="AN2069">
        <v>0.99999996771177102</v>
      </c>
    </row>
    <row r="2070" spans="1:40" x14ac:dyDescent="0.25">
      <c r="A2070" t="str">
        <f>"20190312172932350"</f>
        <v>20190312172932350</v>
      </c>
      <c r="B2070" t="str">
        <f>"1552382972339557"</f>
        <v>1552382972339557</v>
      </c>
      <c r="C2070" t="s">
        <v>40</v>
      </c>
      <c r="D2070">
        <v>3.4609019999999902</v>
      </c>
      <c r="E2070">
        <v>0.50960349999999999</v>
      </c>
      <c r="F2070" t="s">
        <v>48</v>
      </c>
      <c r="G2070">
        <v>-306.00380000000001</v>
      </c>
      <c r="H2070" s="1">
        <v>2.7658650000000002E-6</v>
      </c>
      <c r="I2070">
        <v>286.14640000000003</v>
      </c>
      <c r="J2070">
        <v>-290.37549999999999</v>
      </c>
      <c r="K2070">
        <v>1.111645</v>
      </c>
      <c r="L2070">
        <v>284.54050000000001</v>
      </c>
      <c r="M2070">
        <v>-0.99504309999999996</v>
      </c>
      <c r="N2070">
        <v>0</v>
      </c>
      <c r="O2070">
        <v>9.9137760000000005E-2</v>
      </c>
      <c r="P2070">
        <v>-0.97885270000000002</v>
      </c>
      <c r="Q2070">
        <v>0.18148210000000001</v>
      </c>
      <c r="R2070">
        <v>9.4402130000000001E-2</v>
      </c>
      <c r="S2070">
        <v>-3.0744319999999998</v>
      </c>
      <c r="T2070">
        <v>-0.21536340000000001</v>
      </c>
      <c r="U2070">
        <v>0.31570429999999999</v>
      </c>
      <c r="V2070">
        <v>-4.4082100000000001E-3</v>
      </c>
      <c r="W2070">
        <v>0.18913179999999999</v>
      </c>
      <c r="X2070">
        <v>0.98194179999999998</v>
      </c>
      <c r="Y2070">
        <v>3.2557839999999998E-3</v>
      </c>
      <c r="Z2070">
        <v>-6.7872760000000001E-3</v>
      </c>
      <c r="AA2070">
        <v>0.99997170000000002</v>
      </c>
      <c r="AB2070">
        <v>46</v>
      </c>
      <c r="AC2070">
        <v>-15.628299999999999</v>
      </c>
      <c r="AD2070">
        <v>-1.1116422341349901</v>
      </c>
      <c r="AE2070">
        <v>1.6059000000000101</v>
      </c>
      <c r="AF2070">
        <v>4.8344497238430303E-2</v>
      </c>
      <c r="AG2070">
        <v>-1.1116422341349901</v>
      </c>
      <c r="AH2070">
        <v>15.6322512534169</v>
      </c>
      <c r="AI2070">
        <v>94.067556626553298</v>
      </c>
      <c r="AJ2070">
        <v>89.822806915088293</v>
      </c>
      <c r="AK2070">
        <v>15.6718015842812</v>
      </c>
      <c r="AL2070">
        <v>79.097878444003896</v>
      </c>
      <c r="AM2070">
        <v>90.257214970869299</v>
      </c>
      <c r="AN2070">
        <v>0.99999998433694104</v>
      </c>
    </row>
    <row r="2071" spans="1:40" x14ac:dyDescent="0.25">
      <c r="A2071" t="str">
        <f>"20190312172932362"</f>
        <v>20190312172932362</v>
      </c>
      <c r="B2071" t="str">
        <f>"1552382972359077"</f>
        <v>1552382972359077</v>
      </c>
      <c r="C2071" t="s">
        <v>40</v>
      </c>
      <c r="D2071">
        <v>3.425735</v>
      </c>
      <c r="E2071">
        <v>0.51231400000000005</v>
      </c>
      <c r="F2071" t="s">
        <v>42</v>
      </c>
      <c r="G2071">
        <v>-291.37450000000001</v>
      </c>
      <c r="H2071">
        <v>1.0438750000000001</v>
      </c>
      <c r="I2071">
        <v>284.64609999999999</v>
      </c>
      <c r="J2071">
        <v>-290.62779999999998</v>
      </c>
      <c r="K2071">
        <v>1.1117220000000001</v>
      </c>
      <c r="L2071">
        <v>284.56509999999997</v>
      </c>
      <c r="M2071">
        <v>-0.99518899999999999</v>
      </c>
      <c r="N2071">
        <v>0</v>
      </c>
      <c r="O2071">
        <v>9.7660300000000005E-2</v>
      </c>
      <c r="P2071">
        <v>-0.97899270000000005</v>
      </c>
      <c r="Q2071">
        <v>0.1813147</v>
      </c>
      <c r="R2071">
        <v>9.3264540000000007E-2</v>
      </c>
      <c r="S2071">
        <v>-3.0722049999999999</v>
      </c>
      <c r="T2071">
        <v>-0.20853849999999999</v>
      </c>
      <c r="U2071">
        <v>0.3243103</v>
      </c>
      <c r="V2071">
        <v>-4.128329E-3</v>
      </c>
      <c r="W2071">
        <v>0.18898519999999999</v>
      </c>
      <c r="X2071">
        <v>0.98197129999999999</v>
      </c>
      <c r="Y2071">
        <v>7.5579359999999899E-3</v>
      </c>
      <c r="Z2071">
        <v>-6.3315119999999897E-3</v>
      </c>
      <c r="AA2071">
        <v>0.99995140000000005</v>
      </c>
      <c r="AB2071">
        <v>46</v>
      </c>
      <c r="AC2071">
        <v>-0.746700000000032</v>
      </c>
      <c r="AD2071">
        <v>-6.7846999999999699E-2</v>
      </c>
      <c r="AE2071">
        <v>8.1000000000017197E-2</v>
      </c>
      <c r="AF2071">
        <v>7.6253758881868602E-3</v>
      </c>
      <c r="AG2071">
        <v>-6.7846999999999699E-2</v>
      </c>
      <c r="AH2071">
        <v>0.74496227114555702</v>
      </c>
      <c r="AI2071">
        <v>95.203552170800094</v>
      </c>
      <c r="AJ2071">
        <v>89.4135453367129</v>
      </c>
      <c r="AK2071">
        <v>0.74808431824011901</v>
      </c>
      <c r="AL2071">
        <v>79.106432896558303</v>
      </c>
      <c r="AM2071">
        <v>90.2408771362187</v>
      </c>
      <c r="AN2071">
        <v>1.00000004147153</v>
      </c>
    </row>
    <row r="2072" spans="1:40" x14ac:dyDescent="0.25">
      <c r="A2072" t="str">
        <f>"20190312172932381"</f>
        <v>20190312172932381</v>
      </c>
      <c r="B2072" t="str">
        <f>"1552382972369814"</f>
        <v>1552382972369814</v>
      </c>
      <c r="C2072" t="s">
        <v>40</v>
      </c>
      <c r="D2072">
        <v>3.4813399999999999</v>
      </c>
      <c r="E2072">
        <v>0.51334740000000001</v>
      </c>
      <c r="F2072" t="s">
        <v>48</v>
      </c>
      <c r="G2072">
        <v>-307.7518</v>
      </c>
      <c r="H2072" s="1">
        <v>2.4268959999999999E-6</v>
      </c>
      <c r="I2072">
        <v>286.47699999999998</v>
      </c>
      <c r="J2072">
        <v>-291.00420000000003</v>
      </c>
      <c r="K2072">
        <v>1.1118380000000001</v>
      </c>
      <c r="L2072">
        <v>284.60070000000002</v>
      </c>
      <c r="M2072">
        <v>-0.99540980000000001</v>
      </c>
      <c r="N2072">
        <v>0</v>
      </c>
      <c r="O2072">
        <v>9.5382620000000001E-2</v>
      </c>
      <c r="P2072">
        <v>-0.97915569999999996</v>
      </c>
      <c r="Q2072">
        <v>0.18153</v>
      </c>
      <c r="R2072">
        <v>9.1112209999999999E-2</v>
      </c>
      <c r="S2072">
        <v>-3.0686040000000001</v>
      </c>
      <c r="T2072">
        <v>-0.19921920000000001</v>
      </c>
      <c r="U2072">
        <v>0.3426208</v>
      </c>
      <c r="V2072">
        <v>-4.0911410000000004E-3</v>
      </c>
      <c r="W2072">
        <v>0.18923010000000001</v>
      </c>
      <c r="X2072">
        <v>0.98192420000000002</v>
      </c>
      <c r="Y2072">
        <v>1.5826239999999998E-2</v>
      </c>
      <c r="Z2072">
        <v>-5.6401719999999997E-3</v>
      </c>
      <c r="AA2072">
        <v>0.99985889999999999</v>
      </c>
      <c r="AB2072">
        <v>46</v>
      </c>
      <c r="AC2072">
        <v>-16.747599999999899</v>
      </c>
      <c r="AD2072">
        <v>-1.1118355731039999</v>
      </c>
      <c r="AE2072">
        <v>1.8763000000000101</v>
      </c>
      <c r="AF2072">
        <v>0.26909446226956102</v>
      </c>
      <c r="AG2072">
        <v>-1.1118355731039999</v>
      </c>
      <c r="AH2072">
        <v>16.7771835510183</v>
      </c>
      <c r="AI2072">
        <v>93.791000802449204</v>
      </c>
      <c r="AJ2072">
        <v>89.081093975324407</v>
      </c>
      <c r="AK2072">
        <v>16.816137430331601</v>
      </c>
      <c r="AL2072">
        <v>79.092142329920094</v>
      </c>
      <c r="AM2072">
        <v>90.2387187894291</v>
      </c>
      <c r="AN2072">
        <v>0.999999951363164</v>
      </c>
    </row>
    <row r="2073" spans="1:40" x14ac:dyDescent="0.25">
      <c r="A2073" t="str">
        <f>"20190312172932396"</f>
        <v>20190312172932396</v>
      </c>
      <c r="B2073" t="str">
        <f>"1552382972389979"</f>
        <v>1552382972389979</v>
      </c>
      <c r="C2073" t="s">
        <v>40</v>
      </c>
      <c r="D2073">
        <v>3.4451420000000001</v>
      </c>
      <c r="E2073">
        <v>0.51488199999999995</v>
      </c>
      <c r="F2073" t="s">
        <v>48</v>
      </c>
      <c r="G2073">
        <v>-308.0317</v>
      </c>
      <c r="H2073" s="1">
        <v>2.3742059999999998E-6</v>
      </c>
      <c r="I2073">
        <v>286.51170000000002</v>
      </c>
      <c r="J2073">
        <v>-291.33120000000002</v>
      </c>
      <c r="K2073">
        <v>1.1119380000000001</v>
      </c>
      <c r="L2073">
        <v>284.6309</v>
      </c>
      <c r="M2073">
        <v>-0.99560280000000001</v>
      </c>
      <c r="N2073">
        <v>0</v>
      </c>
      <c r="O2073">
        <v>9.3342460000000002E-2</v>
      </c>
      <c r="P2073">
        <v>-0.97935380000000005</v>
      </c>
      <c r="Q2073">
        <v>0.181501</v>
      </c>
      <c r="R2073">
        <v>8.9013200000000001E-2</v>
      </c>
      <c r="S2073">
        <v>-3.0689090000000001</v>
      </c>
      <c r="T2073">
        <v>-0.2003878</v>
      </c>
      <c r="U2073">
        <v>0.34442139999999999</v>
      </c>
      <c r="V2073">
        <v>-4.2311390000000001E-3</v>
      </c>
      <c r="W2073">
        <v>0.18922729999999999</v>
      </c>
      <c r="X2073">
        <v>0.98192420000000002</v>
      </c>
      <c r="Y2073">
        <v>1.843583E-2</v>
      </c>
      <c r="Z2073">
        <v>-5.4556960000000003E-3</v>
      </c>
      <c r="AA2073">
        <v>0.99981520000000002</v>
      </c>
      <c r="AB2073">
        <v>46</v>
      </c>
      <c r="AC2073">
        <v>-16.700499999999899</v>
      </c>
      <c r="AD2073">
        <v>-1.1119356257939901</v>
      </c>
      <c r="AE2073">
        <v>1.88080000000002</v>
      </c>
      <c r="AF2073">
        <v>0.31230663200940101</v>
      </c>
      <c r="AG2073">
        <v>-1.1119356257939901</v>
      </c>
      <c r="AH2073">
        <v>16.7299107764557</v>
      </c>
      <c r="AI2073">
        <v>93.801849716097493</v>
      </c>
      <c r="AJ2073">
        <v>88.930551748620005</v>
      </c>
      <c r="AK2073">
        <v>16.769730196293398</v>
      </c>
      <c r="AL2073">
        <v>79.092306291892598</v>
      </c>
      <c r="AM2073">
        <v>90.246887597652005</v>
      </c>
      <c r="AN2073">
        <v>1.00000000407408</v>
      </c>
    </row>
    <row r="2074" spans="1:40" x14ac:dyDescent="0.25">
      <c r="A2074" t="str">
        <f>"20190312172932414"</f>
        <v>20190312172932414</v>
      </c>
      <c r="B2074" t="str">
        <f>"1552382972409499"</f>
        <v>1552382972409499</v>
      </c>
      <c r="C2074" t="s">
        <v>40</v>
      </c>
      <c r="D2074">
        <v>3.455327</v>
      </c>
      <c r="E2074">
        <v>0.51586750000000003</v>
      </c>
      <c r="F2074" t="s">
        <v>48</v>
      </c>
      <c r="G2074">
        <v>-308.14479999999998</v>
      </c>
      <c r="H2074" s="1">
        <v>2.3510960000000001E-6</v>
      </c>
      <c r="I2074">
        <v>286.54649999999998</v>
      </c>
      <c r="J2074">
        <v>-291.70240000000001</v>
      </c>
      <c r="K2074">
        <v>1.1120509999999999</v>
      </c>
      <c r="L2074">
        <v>284.6644</v>
      </c>
      <c r="M2074">
        <v>-0.9958224</v>
      </c>
      <c r="N2074">
        <v>0</v>
      </c>
      <c r="O2074">
        <v>9.0968629999999995E-2</v>
      </c>
      <c r="P2074">
        <v>-0.97962300000000002</v>
      </c>
      <c r="Q2074">
        <v>0.181228</v>
      </c>
      <c r="R2074">
        <v>8.6575750000000007E-2</v>
      </c>
      <c r="S2074">
        <v>-3.0690919999999999</v>
      </c>
      <c r="T2074">
        <v>-0.20296810000000001</v>
      </c>
      <c r="U2074">
        <v>0.34967039999999999</v>
      </c>
      <c r="V2074">
        <v>-4.389141E-3</v>
      </c>
      <c r="W2074">
        <v>0.18898329999999999</v>
      </c>
      <c r="X2074">
        <v>0.98197049999999997</v>
      </c>
      <c r="Y2074">
        <v>2.2491299999999999E-2</v>
      </c>
      <c r="Z2074">
        <v>-5.2358889999999996E-3</v>
      </c>
      <c r="AA2074">
        <v>0.99973330000000005</v>
      </c>
      <c r="AB2074">
        <v>47</v>
      </c>
      <c r="AC2074">
        <v>-16.4423999999999</v>
      </c>
      <c r="AD2074">
        <v>-1.112048648904</v>
      </c>
      <c r="AE2074">
        <v>1.8820999999999799</v>
      </c>
      <c r="AF2074">
        <v>0.37680525806182402</v>
      </c>
      <c r="AG2074">
        <v>-1.112048648904</v>
      </c>
      <c r="AH2074">
        <v>16.4710710636414</v>
      </c>
      <c r="AI2074">
        <v>93.861470533366798</v>
      </c>
      <c r="AJ2074">
        <v>88.689484986182904</v>
      </c>
      <c r="AK2074">
        <v>16.5128682058435</v>
      </c>
      <c r="AL2074">
        <v>79.106543382215307</v>
      </c>
      <c r="AM2074">
        <v>90.256094842242703</v>
      </c>
      <c r="AN2074">
        <v>1.0000000075539199</v>
      </c>
    </row>
    <row r="2075" spans="1:40" x14ac:dyDescent="0.25">
      <c r="A2075" t="str">
        <f>"20190312172932436"</f>
        <v>20190312172932436</v>
      </c>
      <c r="B2075" t="str">
        <f>"1552382972429995"</f>
        <v>1552382972429995</v>
      </c>
      <c r="C2075" t="s">
        <v>40</v>
      </c>
      <c r="D2075">
        <v>3.433262</v>
      </c>
      <c r="E2075">
        <v>0.5167621</v>
      </c>
      <c r="F2075" t="s">
        <v>42</v>
      </c>
      <c r="G2075">
        <v>-292.61900000000003</v>
      </c>
      <c r="H2075">
        <v>1.050848</v>
      </c>
      <c r="I2075">
        <v>284.76920000000001</v>
      </c>
      <c r="J2075">
        <v>-292.15730000000002</v>
      </c>
      <c r="K2075">
        <v>1.112185</v>
      </c>
      <c r="L2075">
        <v>284.70420000000001</v>
      </c>
      <c r="M2075">
        <v>-0.9960907</v>
      </c>
      <c r="N2075">
        <v>0</v>
      </c>
      <c r="O2075">
        <v>8.7977739999999999E-2</v>
      </c>
      <c r="P2075">
        <v>-0.97991240000000002</v>
      </c>
      <c r="Q2075">
        <v>0.1811017</v>
      </c>
      <c r="R2075">
        <v>8.3510979999999999E-2</v>
      </c>
      <c r="S2075">
        <v>-3.069458</v>
      </c>
      <c r="T2075">
        <v>-0.205373</v>
      </c>
      <c r="U2075">
        <v>0.35006710000000002</v>
      </c>
      <c r="V2075">
        <v>-4.5760469999999998E-3</v>
      </c>
      <c r="W2075">
        <v>0.18889339999999999</v>
      </c>
      <c r="X2075">
        <v>0.9819869</v>
      </c>
      <c r="Y2075">
        <v>2.5597669999999999E-2</v>
      </c>
      <c r="Z2075">
        <v>-4.9955019999999998E-3</v>
      </c>
      <c r="AA2075">
        <v>0.99965979999999999</v>
      </c>
      <c r="AB2075">
        <v>47</v>
      </c>
      <c r="AC2075">
        <v>-0.46170000000000699</v>
      </c>
      <c r="AD2075">
        <v>-6.1336999999999899E-2</v>
      </c>
      <c r="AE2075">
        <v>6.4999999999997699E-2</v>
      </c>
      <c r="AF2075">
        <v>2.3716886608099501E-2</v>
      </c>
      <c r="AG2075">
        <v>-6.1336999999999899E-2</v>
      </c>
      <c r="AH2075">
        <v>0.45770717936630001</v>
      </c>
      <c r="AI2075">
        <v>97.622585343994899</v>
      </c>
      <c r="AJ2075">
        <v>87.033773251870002</v>
      </c>
      <c r="AK2075">
        <v>0.46240737485775002</v>
      </c>
      <c r="AL2075">
        <v>79.111788270248695</v>
      </c>
      <c r="AM2075">
        <v>90.266995702417404</v>
      </c>
      <c r="AN2075">
        <v>0.99999996427065696</v>
      </c>
    </row>
    <row r="2076" spans="1:40" x14ac:dyDescent="0.25">
      <c r="A2076" t="str">
        <f>"20190312172932448"</f>
        <v>20190312172932448</v>
      </c>
      <c r="B2076" t="str">
        <f>"1552382972439755"</f>
        <v>1552382972439755</v>
      </c>
      <c r="C2076" t="s">
        <v>40</v>
      </c>
      <c r="D2076">
        <v>3.4607160000000001</v>
      </c>
      <c r="E2076">
        <v>0.51712100000000005</v>
      </c>
      <c r="F2076" t="s">
        <v>42</v>
      </c>
      <c r="G2076">
        <v>-293.03570000000002</v>
      </c>
      <c r="H2076">
        <v>1.052729</v>
      </c>
      <c r="I2076">
        <v>284.80380000000002</v>
      </c>
      <c r="J2076">
        <v>-292.40699999999998</v>
      </c>
      <c r="K2076">
        <v>1.112255</v>
      </c>
      <c r="L2076">
        <v>284.72550000000001</v>
      </c>
      <c r="M2076">
        <v>-0.99623720000000004</v>
      </c>
      <c r="N2076">
        <v>0</v>
      </c>
      <c r="O2076">
        <v>8.6301420000000004E-2</v>
      </c>
      <c r="P2076">
        <v>-0.98007599999999995</v>
      </c>
      <c r="Q2076">
        <v>0.1809741</v>
      </c>
      <c r="R2076">
        <v>8.1851590000000002E-2</v>
      </c>
      <c r="S2076">
        <v>-3.0703429999999998</v>
      </c>
      <c r="T2076">
        <v>-0.20805499999999999</v>
      </c>
      <c r="U2076">
        <v>0.34747309999999998</v>
      </c>
      <c r="V2076">
        <v>-4.6201599999999999E-3</v>
      </c>
      <c r="W2076">
        <v>0.18878710000000001</v>
      </c>
      <c r="X2076">
        <v>0.98200710000000002</v>
      </c>
      <c r="Y2076">
        <v>2.6411549999999999E-2</v>
      </c>
      <c r="Z2076">
        <v>-4.9194809999999999E-3</v>
      </c>
      <c r="AA2076">
        <v>0.99963900000000006</v>
      </c>
      <c r="AB2076">
        <v>47</v>
      </c>
      <c r="AC2076">
        <v>-0.62870000000003701</v>
      </c>
      <c r="AD2076">
        <v>-5.9525999999999898E-2</v>
      </c>
      <c r="AE2076">
        <v>7.8300000000012901E-2</v>
      </c>
      <c r="AF2076">
        <v>2.3540617310028902E-2</v>
      </c>
      <c r="AG2076">
        <v>-5.9525999999999898E-2</v>
      </c>
      <c r="AH2076">
        <v>0.627571888385972</v>
      </c>
      <c r="AI2076">
        <v>95.414582553317004</v>
      </c>
      <c r="AJ2076">
        <v>87.851806336037498</v>
      </c>
      <c r="AK2076">
        <v>0.63082801176839898</v>
      </c>
      <c r="AL2076">
        <v>79.117990021217096</v>
      </c>
      <c r="AM2076">
        <v>90.269563952762695</v>
      </c>
      <c r="AN2076">
        <v>0.99999992972761997</v>
      </c>
    </row>
    <row r="2077" spans="1:40" x14ac:dyDescent="0.25">
      <c r="A2077" t="str">
        <f>"20190312172932459"</f>
        <v>20190312172932459</v>
      </c>
      <c r="B2077" t="str">
        <f>"1552382972449515"</f>
        <v>1552382972449515</v>
      </c>
      <c r="C2077" t="s">
        <v>40</v>
      </c>
      <c r="D2077">
        <v>3.4617979999999999</v>
      </c>
      <c r="E2077">
        <v>0.5174647</v>
      </c>
      <c r="F2077" t="s">
        <v>42</v>
      </c>
      <c r="G2077">
        <v>-293.44229999999999</v>
      </c>
      <c r="H2077">
        <v>1.041836</v>
      </c>
      <c r="I2077">
        <v>284.84210000000002</v>
      </c>
      <c r="J2077">
        <v>-292.64609999999999</v>
      </c>
      <c r="K2077">
        <v>1.1123190000000001</v>
      </c>
      <c r="L2077">
        <v>284.74549999999999</v>
      </c>
      <c r="M2077">
        <v>-0.99637679999999995</v>
      </c>
      <c r="N2077">
        <v>0</v>
      </c>
      <c r="O2077">
        <v>8.4672940000000002E-2</v>
      </c>
      <c r="P2077">
        <v>-0.98019809999999996</v>
      </c>
      <c r="Q2077">
        <v>0.1811229</v>
      </c>
      <c r="R2077">
        <v>8.0039170000000007E-2</v>
      </c>
      <c r="S2077">
        <v>-3.0708009999999999</v>
      </c>
      <c r="T2077">
        <v>-0.2091451</v>
      </c>
      <c r="U2077">
        <v>0.34506229999999999</v>
      </c>
      <c r="V2077">
        <v>-4.8611519999999997E-3</v>
      </c>
      <c r="W2077">
        <v>0.18895480000000001</v>
      </c>
      <c r="X2077">
        <v>0.98197380000000001</v>
      </c>
      <c r="Y2077">
        <v>2.7249659999999998E-2</v>
      </c>
      <c r="Z2077">
        <v>-4.8064400000000004E-3</v>
      </c>
      <c r="AA2077">
        <v>0.99961710000000004</v>
      </c>
      <c r="AB2077">
        <v>47</v>
      </c>
      <c r="AC2077">
        <v>-0.79619999999999802</v>
      </c>
      <c r="AD2077">
        <v>-7.0483000000000004E-2</v>
      </c>
      <c r="AE2077">
        <v>9.66000000000235E-2</v>
      </c>
      <c r="AF2077">
        <v>2.8613346515886599E-2</v>
      </c>
      <c r="AG2077">
        <v>-7.0483000000000004E-2</v>
      </c>
      <c r="AH2077">
        <v>0.79537757957100996</v>
      </c>
      <c r="AI2077">
        <v>95.060825136944601</v>
      </c>
      <c r="AJ2077">
        <v>87.939698887809499</v>
      </c>
      <c r="AK2077">
        <v>0.79900692798753403</v>
      </c>
      <c r="AL2077">
        <v>79.108206691192905</v>
      </c>
      <c r="AM2077">
        <v>90.283634062341704</v>
      </c>
      <c r="AN2077">
        <v>1.00000004556412</v>
      </c>
    </row>
    <row r="2078" spans="1:40" x14ac:dyDescent="0.25">
      <c r="A2078" t="str">
        <f>"20190312172932470"</f>
        <v>20190312172932470</v>
      </c>
      <c r="B2078" t="str">
        <f>"1552382972459276"</f>
        <v>1552382972459276</v>
      </c>
      <c r="C2078" t="s">
        <v>40</v>
      </c>
      <c r="D2078">
        <v>3.460528</v>
      </c>
      <c r="E2078">
        <v>0.51781250000000001</v>
      </c>
      <c r="F2078" t="s">
        <v>48</v>
      </c>
      <c r="G2078">
        <v>-308.9973</v>
      </c>
      <c r="H2078" s="1">
        <v>2.1980949999999998E-6</v>
      </c>
      <c r="I2078">
        <v>286.56689999999998</v>
      </c>
      <c r="J2078">
        <v>-292.88240000000002</v>
      </c>
      <c r="K2078">
        <v>1.1123749999999999</v>
      </c>
      <c r="L2078">
        <v>284.7647</v>
      </c>
      <c r="M2078">
        <v>-0.99651380000000001</v>
      </c>
      <c r="N2078">
        <v>0</v>
      </c>
      <c r="O2078">
        <v>8.3041340000000005E-2</v>
      </c>
      <c r="P2078">
        <v>-0.98033859999999995</v>
      </c>
      <c r="Q2078">
        <v>0.18095449999999999</v>
      </c>
      <c r="R2078">
        <v>7.8686220000000001E-2</v>
      </c>
      <c r="S2078">
        <v>-3.0713200000000001</v>
      </c>
      <c r="T2078">
        <v>-0.20893110000000001</v>
      </c>
      <c r="U2078">
        <v>0.34213259999999901</v>
      </c>
      <c r="V2078">
        <v>-4.6383999999999896E-3</v>
      </c>
      <c r="W2078">
        <v>0.1888106</v>
      </c>
      <c r="X2078">
        <v>0.98200259999999995</v>
      </c>
      <c r="Y2078">
        <v>2.7920460000000001E-2</v>
      </c>
      <c r="Z2078">
        <v>-4.6683469999999998E-3</v>
      </c>
      <c r="AA2078">
        <v>0.99959920000000002</v>
      </c>
      <c r="AB2078">
        <v>47</v>
      </c>
      <c r="AC2078">
        <v>-16.114899999999899</v>
      </c>
      <c r="AD2078">
        <v>-1.1123728019050001</v>
      </c>
      <c r="AE2078">
        <v>1.80219999999997</v>
      </c>
      <c r="AF2078">
        <v>0.455585054070485</v>
      </c>
      <c r="AG2078">
        <v>-1.1123728019050001</v>
      </c>
      <c r="AH2078">
        <v>16.1329781099037</v>
      </c>
      <c r="AI2078">
        <v>93.942748543889195</v>
      </c>
      <c r="AJ2078">
        <v>88.382433472196894</v>
      </c>
      <c r="AK2078">
        <v>16.1776980342242</v>
      </c>
      <c r="AL2078">
        <v>79.116620037707705</v>
      </c>
      <c r="AM2078">
        <v>90.270629392725894</v>
      </c>
      <c r="AN2078">
        <v>1.0000000319168301</v>
      </c>
    </row>
    <row r="2079" spans="1:40" x14ac:dyDescent="0.25">
      <c r="A2079" t="str">
        <f>"20190312172932484"</f>
        <v>20190312172932484</v>
      </c>
      <c r="B2079" t="str">
        <f>"1552382972479596"</f>
        <v>1552382972479596</v>
      </c>
      <c r="C2079" t="s">
        <v>40</v>
      </c>
      <c r="D2079">
        <v>3.4435739999999999</v>
      </c>
      <c r="E2079">
        <v>0.52475859999999996</v>
      </c>
      <c r="F2079" t="s">
        <v>42</v>
      </c>
      <c r="G2079">
        <v>-293.86070000000001</v>
      </c>
      <c r="H2079">
        <v>1.0454289999999999</v>
      </c>
      <c r="I2079">
        <v>284.8734</v>
      </c>
      <c r="J2079">
        <v>-293.15300000000002</v>
      </c>
      <c r="K2079">
        <v>1.1124430000000001</v>
      </c>
      <c r="L2079">
        <v>284.78649999999999</v>
      </c>
      <c r="M2079">
        <v>-0.99666889999999997</v>
      </c>
      <c r="N2079">
        <v>0</v>
      </c>
      <c r="O2079">
        <v>8.1157190000000004E-2</v>
      </c>
      <c r="P2079">
        <v>-0.98046339999999998</v>
      </c>
      <c r="Q2079">
        <v>0.18109929999999999</v>
      </c>
      <c r="R2079">
        <v>7.6777449999999997E-2</v>
      </c>
      <c r="S2079">
        <v>-3.0716549999999998</v>
      </c>
      <c r="T2079">
        <v>-0.210371</v>
      </c>
      <c r="U2079">
        <v>0.34069820000000001</v>
      </c>
      <c r="V2079">
        <v>-4.7244039999999998E-3</v>
      </c>
      <c r="W2079">
        <v>0.18897910000000001</v>
      </c>
      <c r="X2079">
        <v>0.98196969999999995</v>
      </c>
      <c r="Y2079">
        <v>2.9331320000000001E-2</v>
      </c>
      <c r="Z2079">
        <v>-4.5240899999999997E-3</v>
      </c>
      <c r="AA2079">
        <v>0.99955950000000005</v>
      </c>
      <c r="AB2079">
        <v>47</v>
      </c>
      <c r="AC2079">
        <v>-0.70769999999998801</v>
      </c>
      <c r="AD2079">
        <v>-6.7013999999999893E-2</v>
      </c>
      <c r="AE2079">
        <v>8.6900000000014105E-2</v>
      </c>
      <c r="AF2079">
        <v>2.8921052262547198E-2</v>
      </c>
      <c r="AG2079">
        <v>-6.7013999999999893E-2</v>
      </c>
      <c r="AH2079">
        <v>0.70618010772930295</v>
      </c>
      <c r="AI2079">
        <v>95.416420313020794</v>
      </c>
      <c r="AJ2079">
        <v>87.654806873455001</v>
      </c>
      <c r="AK2079">
        <v>0.70994200327388901</v>
      </c>
      <c r="AL2079">
        <v>79.106787871520396</v>
      </c>
      <c r="AM2079">
        <v>90.275656490609506</v>
      </c>
      <c r="AN2079">
        <v>0.99999995597402602</v>
      </c>
    </row>
    <row r="2080" spans="1:40" x14ac:dyDescent="0.25">
      <c r="A2080" t="str">
        <f>"20190312172932496"</f>
        <v>20190312172932496</v>
      </c>
      <c r="B2080" t="str">
        <f>"1552382972489344"</f>
        <v>1552382972489344</v>
      </c>
      <c r="C2080" t="s">
        <v>40</v>
      </c>
      <c r="D2080">
        <v>3.449716</v>
      </c>
      <c r="E2080">
        <v>0.52439409999999997</v>
      </c>
      <c r="F2080" t="s">
        <v>42</v>
      </c>
      <c r="G2080">
        <v>-294.27089999999998</v>
      </c>
      <c r="H2080">
        <v>1.034983</v>
      </c>
      <c r="I2080">
        <v>284.92899999999997</v>
      </c>
      <c r="J2080">
        <v>-293.41129999999998</v>
      </c>
      <c r="K2080">
        <v>1.1125080000000001</v>
      </c>
      <c r="L2080">
        <v>284.80650000000003</v>
      </c>
      <c r="M2080">
        <v>-0.99681580000000003</v>
      </c>
      <c r="N2080">
        <v>0</v>
      </c>
      <c r="O2080">
        <v>7.9328099999999999E-2</v>
      </c>
      <c r="P2080">
        <v>-0.980626</v>
      </c>
      <c r="Q2080">
        <v>0.18095720000000001</v>
      </c>
      <c r="R2080">
        <v>7.5013709999999997E-2</v>
      </c>
      <c r="S2080">
        <v>-3.0685730000000002</v>
      </c>
      <c r="T2080">
        <v>-0.21296329999999999</v>
      </c>
      <c r="U2080">
        <v>0.3901367</v>
      </c>
      <c r="V2080">
        <v>-4.7188919999999997E-3</v>
      </c>
      <c r="W2080">
        <v>0.18886249999999999</v>
      </c>
      <c r="X2080">
        <v>0.98199219999999998</v>
      </c>
      <c r="Y2080">
        <v>4.7105279999999999E-2</v>
      </c>
      <c r="Z2080">
        <v>-3.8398030000000001E-3</v>
      </c>
      <c r="AA2080">
        <v>0.99888250000000001</v>
      </c>
      <c r="AB2080">
        <v>47</v>
      </c>
      <c r="AC2080">
        <v>-0.85960000000000003</v>
      </c>
      <c r="AD2080">
        <v>-7.7524999999999997E-2</v>
      </c>
      <c r="AE2080">
        <v>0.122500000000002</v>
      </c>
      <c r="AF2080">
        <v>5.3494808985296897E-2</v>
      </c>
      <c r="AG2080">
        <v>-7.7524999999999997E-2</v>
      </c>
      <c r="AH2080">
        <v>0.85975501565551504</v>
      </c>
      <c r="AI2080">
        <v>95.142593723815907</v>
      </c>
      <c r="AJ2080">
        <v>86.439589743898296</v>
      </c>
      <c r="AK2080">
        <v>0.86489913120443696</v>
      </c>
      <c r="AL2080">
        <v>79.113591514446398</v>
      </c>
      <c r="AM2080">
        <v>90.275328576384894</v>
      </c>
      <c r="AN2080">
        <v>0.99999999635439796</v>
      </c>
    </row>
    <row r="2081" spans="1:40" x14ac:dyDescent="0.25">
      <c r="A2081" t="str">
        <f>"20190312172932513"</f>
        <v>20190312172932513</v>
      </c>
      <c r="B2081" t="str">
        <f>"1552382972509840"</f>
        <v>1552382972509840</v>
      </c>
      <c r="C2081" t="s">
        <v>40</v>
      </c>
      <c r="D2081">
        <v>3.4536380000000002</v>
      </c>
      <c r="E2081">
        <v>0.52464080000000002</v>
      </c>
      <c r="F2081" t="s">
        <v>42</v>
      </c>
      <c r="G2081">
        <v>-294.28199999999998</v>
      </c>
      <c r="H2081">
        <v>1.0520529999999999</v>
      </c>
      <c r="I2081">
        <v>284.91520000000003</v>
      </c>
      <c r="J2081">
        <v>-293.76650000000001</v>
      </c>
      <c r="K2081">
        <v>1.112587</v>
      </c>
      <c r="L2081">
        <v>284.83350000000002</v>
      </c>
      <c r="M2081">
        <v>-0.99701419999999996</v>
      </c>
      <c r="N2081">
        <v>0</v>
      </c>
      <c r="O2081">
        <v>7.6790300000000006E-2</v>
      </c>
      <c r="P2081">
        <v>-0.98077190000000003</v>
      </c>
      <c r="Q2081">
        <v>0.1810715</v>
      </c>
      <c r="R2081">
        <v>7.2797050000000002E-2</v>
      </c>
      <c r="S2081">
        <v>-3.0695190000000001</v>
      </c>
      <c r="T2081">
        <v>-0.21358360000000001</v>
      </c>
      <c r="U2081">
        <v>0.38171389999999999</v>
      </c>
      <c r="V2081">
        <v>-4.4757369999999996E-3</v>
      </c>
      <c r="W2081">
        <v>0.1890143</v>
      </c>
      <c r="X2081">
        <v>0.98196419999999995</v>
      </c>
      <c r="Y2081">
        <v>4.6906169999999997E-2</v>
      </c>
      <c r="Z2081">
        <v>-3.6826039999999999E-3</v>
      </c>
      <c r="AA2081">
        <v>0.99889249999999996</v>
      </c>
      <c r="AB2081">
        <v>47</v>
      </c>
      <c r="AC2081">
        <v>-0.51549999999997398</v>
      </c>
      <c r="AD2081">
        <v>-6.0533999999999803E-2</v>
      </c>
      <c r="AE2081">
        <v>8.1700000000012096E-2</v>
      </c>
      <c r="AF2081">
        <v>4.1316279107308097E-2</v>
      </c>
      <c r="AG2081">
        <v>-6.0533999999999803E-2</v>
      </c>
      <c r="AH2081">
        <v>0.51334650973789597</v>
      </c>
      <c r="AI2081">
        <v>96.703801641559593</v>
      </c>
      <c r="AJ2081">
        <v>85.398514059705604</v>
      </c>
      <c r="AK2081">
        <v>0.51855186735306702</v>
      </c>
      <c r="AL2081">
        <v>79.104735236222396</v>
      </c>
      <c r="AM2081">
        <v>90.261149097383594</v>
      </c>
      <c r="AN2081">
        <v>1.0000000639539</v>
      </c>
    </row>
    <row r="2082" spans="1:40" x14ac:dyDescent="0.25">
      <c r="A2082" t="str">
        <f>"20190312172932525"</f>
        <v>20190312172932525</v>
      </c>
      <c r="B2082" t="str">
        <f>"1552382972519600"</f>
        <v>1552382972519600</v>
      </c>
      <c r="C2082" t="s">
        <v>40</v>
      </c>
      <c r="D2082">
        <v>3.4598659999999999</v>
      </c>
      <c r="E2082">
        <v>0.52496619999999905</v>
      </c>
      <c r="F2082" t="s">
        <v>42</v>
      </c>
      <c r="G2082">
        <v>-294.69569999999999</v>
      </c>
      <c r="H2082">
        <v>1.046953</v>
      </c>
      <c r="I2082">
        <v>284.94749999999999</v>
      </c>
      <c r="J2082">
        <v>-294.01280000000003</v>
      </c>
      <c r="K2082">
        <v>1.112644</v>
      </c>
      <c r="L2082">
        <v>284.85180000000003</v>
      </c>
      <c r="M2082">
        <v>-0.99714910000000001</v>
      </c>
      <c r="N2082">
        <v>0</v>
      </c>
      <c r="O2082">
        <v>7.5016540000000007E-2</v>
      </c>
      <c r="P2082">
        <v>-0.98092849999999998</v>
      </c>
      <c r="Q2082">
        <v>0.18089469999999999</v>
      </c>
      <c r="R2082">
        <v>7.1110000000000007E-2</v>
      </c>
      <c r="S2082">
        <v>-3.0709529999999998</v>
      </c>
      <c r="T2082">
        <v>-0.21702050000000001</v>
      </c>
      <c r="U2082">
        <v>0.3764343</v>
      </c>
      <c r="V2082">
        <v>-4.444028E-3</v>
      </c>
      <c r="W2082">
        <v>0.18886349999999999</v>
      </c>
      <c r="X2082">
        <v>0.98199329999999996</v>
      </c>
      <c r="Y2082">
        <v>4.6932359999999999E-2</v>
      </c>
      <c r="Z2082">
        <v>-3.6153769999999999E-3</v>
      </c>
      <c r="AA2082">
        <v>0.99889150000000004</v>
      </c>
      <c r="AB2082">
        <v>47</v>
      </c>
      <c r="AC2082">
        <v>-0.68289999999996098</v>
      </c>
      <c r="AD2082">
        <v>-6.5690999999999902E-2</v>
      </c>
      <c r="AE2082">
        <v>9.5699999999965202E-2</v>
      </c>
      <c r="AF2082">
        <v>4.3802326192580003E-2</v>
      </c>
      <c r="AG2082">
        <v>-6.5690999999999902E-2</v>
      </c>
      <c r="AH2082">
        <v>0.681966070359183</v>
      </c>
      <c r="AI2082">
        <v>95.490847397729794</v>
      </c>
      <c r="AJ2082">
        <v>86.324970006550302</v>
      </c>
      <c r="AK2082">
        <v>0.68652142893141199</v>
      </c>
      <c r="AL2082">
        <v>79.113533276375506</v>
      </c>
      <c r="AM2082">
        <v>90.259291290683393</v>
      </c>
      <c r="AN2082">
        <v>1.0000000061309999</v>
      </c>
    </row>
    <row r="2083" spans="1:40" x14ac:dyDescent="0.25">
      <c r="A2083" t="str">
        <f>"20190312172932536"</f>
        <v>20190312172932536</v>
      </c>
      <c r="B2083" t="str">
        <f>"1552382972529360"</f>
        <v>1552382972529360</v>
      </c>
      <c r="C2083" t="s">
        <v>40</v>
      </c>
      <c r="D2083">
        <v>3.468661</v>
      </c>
      <c r="E2083">
        <v>0.52526130000000004</v>
      </c>
      <c r="F2083" t="s">
        <v>42</v>
      </c>
      <c r="G2083">
        <v>-295.10750000000002</v>
      </c>
      <c r="H2083">
        <v>1.0344960000000001</v>
      </c>
      <c r="I2083">
        <v>284.9853</v>
      </c>
      <c r="J2083">
        <v>-294.25599999999997</v>
      </c>
      <c r="K2083">
        <v>1.1126940000000001</v>
      </c>
      <c r="L2083">
        <v>284.86919999999998</v>
      </c>
      <c r="M2083">
        <v>-0.99728039999999996</v>
      </c>
      <c r="N2083">
        <v>0</v>
      </c>
      <c r="O2083">
        <v>7.3246930000000002E-2</v>
      </c>
      <c r="P2083">
        <v>-0.98103430000000003</v>
      </c>
      <c r="Q2083">
        <v>0.18096110000000001</v>
      </c>
      <c r="R2083">
        <v>6.9462780000000002E-2</v>
      </c>
      <c r="S2083">
        <v>-3.071777</v>
      </c>
      <c r="T2083">
        <v>-0.21964429999999999</v>
      </c>
      <c r="U2083">
        <v>0.37347409999999998</v>
      </c>
      <c r="V2083">
        <v>-4.3732409999999999E-3</v>
      </c>
      <c r="W2083">
        <v>0.18895809999999999</v>
      </c>
      <c r="X2083">
        <v>0.98197540000000005</v>
      </c>
      <c r="Y2083">
        <v>4.7719329999999997E-2</v>
      </c>
      <c r="Z2083">
        <v>-3.5048990000000001E-3</v>
      </c>
      <c r="AA2083">
        <v>0.99885460000000004</v>
      </c>
      <c r="AB2083">
        <v>47</v>
      </c>
      <c r="AC2083">
        <v>-0.851500000000044</v>
      </c>
      <c r="AD2083">
        <v>-7.8198000000000198E-2</v>
      </c>
      <c r="AE2083">
        <v>0.116100000000017</v>
      </c>
      <c r="AF2083">
        <v>5.2977628133075702E-2</v>
      </c>
      <c r="AG2083">
        <v>-7.8198000000000198E-2</v>
      </c>
      <c r="AH2083">
        <v>0.85067338551012694</v>
      </c>
      <c r="AI2083">
        <v>95.242044760461496</v>
      </c>
      <c r="AJ2083">
        <v>86.436376827851902</v>
      </c>
      <c r="AK2083">
        <v>0.85590114213141899</v>
      </c>
      <c r="AL2083">
        <v>79.108013506350602</v>
      </c>
      <c r="AM2083">
        <v>90.255165858066206</v>
      </c>
      <c r="AN2083">
        <v>0.99999998749880703</v>
      </c>
    </row>
    <row r="2084" spans="1:40" x14ac:dyDescent="0.25">
      <c r="A2084" t="str">
        <f>"20190312172932548"</f>
        <v>20190312172932548</v>
      </c>
      <c r="B2084" t="str">
        <f>"1552382972539120"</f>
        <v>1552382972539120</v>
      </c>
      <c r="C2084" t="s">
        <v>40</v>
      </c>
      <c r="D2084">
        <v>3.460499</v>
      </c>
      <c r="E2084">
        <v>0.52555929999999995</v>
      </c>
      <c r="F2084" t="s">
        <v>42</v>
      </c>
      <c r="G2084">
        <v>-295.11759999999998</v>
      </c>
      <c r="H2084">
        <v>1.0510820000000001</v>
      </c>
      <c r="I2084">
        <v>284.97359999999998</v>
      </c>
      <c r="J2084">
        <v>-294.49930000000001</v>
      </c>
      <c r="K2084">
        <v>1.112743</v>
      </c>
      <c r="L2084">
        <v>284.88630000000001</v>
      </c>
      <c r="M2084">
        <v>-0.99740930000000005</v>
      </c>
      <c r="N2084">
        <v>0</v>
      </c>
      <c r="O2084">
        <v>7.1468710000000005E-2</v>
      </c>
      <c r="P2084">
        <v>-0.98118749999999999</v>
      </c>
      <c r="Q2084">
        <v>0.1807647</v>
      </c>
      <c r="R2084">
        <v>6.7790110000000001E-2</v>
      </c>
      <c r="S2084">
        <v>-3.0723569999999998</v>
      </c>
      <c r="T2084">
        <v>-0.2201564</v>
      </c>
      <c r="U2084">
        <v>0.37081910000000001</v>
      </c>
      <c r="V2084">
        <v>-4.320473E-3</v>
      </c>
      <c r="W2084">
        <v>0.18879000000000001</v>
      </c>
      <c r="X2084">
        <v>0.98200799999999999</v>
      </c>
      <c r="Y2084">
        <v>4.8620509999999999E-2</v>
      </c>
      <c r="Z2084">
        <v>-3.3542060000000002E-3</v>
      </c>
      <c r="AA2084">
        <v>0.99881169999999997</v>
      </c>
      <c r="AB2084">
        <v>47</v>
      </c>
      <c r="AC2084">
        <v>-0.61829999999997598</v>
      </c>
      <c r="AD2084">
        <v>-6.1660999999999903E-2</v>
      </c>
      <c r="AE2084">
        <v>8.7299999999970596E-2</v>
      </c>
      <c r="AF2084">
        <v>4.2472017987241498E-2</v>
      </c>
      <c r="AG2084">
        <v>-6.1660999999999903E-2</v>
      </c>
      <c r="AH2084">
        <v>0.61694241515985104</v>
      </c>
      <c r="AI2084">
        <v>95.694148145825096</v>
      </c>
      <c r="AJ2084">
        <v>86.061814065755001</v>
      </c>
      <c r="AK2084">
        <v>0.62146914232017902</v>
      </c>
      <c r="AL2084">
        <v>79.117821829788397</v>
      </c>
      <c r="AM2084">
        <v>90.252078670639094</v>
      </c>
      <c r="AN2084">
        <v>1.0000000213254701</v>
      </c>
    </row>
    <row r="2085" spans="1:40" x14ac:dyDescent="0.25">
      <c r="A2085" t="str">
        <f>"20190312172932559"</f>
        <v>20190312172932559</v>
      </c>
      <c r="B2085" t="str">
        <f>"1552382972549856"</f>
        <v>1552382972549856</v>
      </c>
      <c r="C2085" t="s">
        <v>40</v>
      </c>
      <c r="D2085">
        <v>3.4540920000000002</v>
      </c>
      <c r="E2085">
        <v>0.52578530000000001</v>
      </c>
      <c r="F2085" t="s">
        <v>42</v>
      </c>
      <c r="G2085">
        <v>-295.52940000000001</v>
      </c>
      <c r="H2085">
        <v>1.0389919999999999</v>
      </c>
      <c r="I2085">
        <v>285.00979999999998</v>
      </c>
      <c r="J2085">
        <v>-294.74360000000001</v>
      </c>
      <c r="K2085">
        <v>1.112792</v>
      </c>
      <c r="L2085">
        <v>284.90300000000002</v>
      </c>
      <c r="M2085">
        <v>-0.99753590000000003</v>
      </c>
      <c r="N2085">
        <v>0</v>
      </c>
      <c r="O2085">
        <v>6.9673040000000006E-2</v>
      </c>
      <c r="P2085">
        <v>-0.98135729999999999</v>
      </c>
      <c r="Q2085">
        <v>0.18056990000000001</v>
      </c>
      <c r="R2085">
        <v>6.5820980000000001E-2</v>
      </c>
      <c r="S2085">
        <v>-3.072632</v>
      </c>
      <c r="T2085">
        <v>-0.22011710000000001</v>
      </c>
      <c r="U2085">
        <v>0.3681335</v>
      </c>
      <c r="V2085">
        <v>-4.5458529999999999E-3</v>
      </c>
      <c r="W2085">
        <v>0.18862190000000001</v>
      </c>
      <c r="X2085">
        <v>0.98203929999999995</v>
      </c>
      <c r="Y2085">
        <v>4.9540529999999999E-2</v>
      </c>
      <c r="Z2085">
        <v>-3.1932190000000002E-3</v>
      </c>
      <c r="AA2085">
        <v>0.99876699999999996</v>
      </c>
      <c r="AB2085">
        <v>47</v>
      </c>
      <c r="AC2085">
        <v>-0.78579999999999395</v>
      </c>
      <c r="AD2085">
        <v>-7.3800000000000004E-2</v>
      </c>
      <c r="AE2085">
        <v>0.10679999999996399</v>
      </c>
      <c r="AF2085">
        <v>5.1344846379337901E-2</v>
      </c>
      <c r="AG2085">
        <v>-7.3800000000000004E-2</v>
      </c>
      <c r="AH2085">
        <v>0.78453718574044495</v>
      </c>
      <c r="AI2085">
        <v>95.362492210888604</v>
      </c>
      <c r="AJ2085">
        <v>86.255558486032598</v>
      </c>
      <c r="AK2085">
        <v>0.78967165901990899</v>
      </c>
      <c r="AL2085">
        <v>79.127629622774805</v>
      </c>
      <c r="AM2085">
        <v>90.265219865316496</v>
      </c>
      <c r="AN2085">
        <v>1.00000003634179</v>
      </c>
    </row>
    <row r="2086" spans="1:40" x14ac:dyDescent="0.25">
      <c r="A2086" t="str">
        <f>"20190312172932571"</f>
        <v>20190312172932571</v>
      </c>
      <c r="B2086" t="str">
        <f>"1552382972559618"</f>
        <v>1552382972559618</v>
      </c>
      <c r="C2086" t="s">
        <v>40</v>
      </c>
      <c r="D2086">
        <v>3.4621699999999902</v>
      </c>
      <c r="E2086">
        <v>0.52604499999999998</v>
      </c>
      <c r="F2086" t="s">
        <v>42</v>
      </c>
      <c r="G2086">
        <v>-295.54149999999998</v>
      </c>
      <c r="H2086">
        <v>1.055642</v>
      </c>
      <c r="I2086">
        <v>284.99759999999998</v>
      </c>
      <c r="J2086">
        <v>-294.9794</v>
      </c>
      <c r="K2086">
        <v>1.112841</v>
      </c>
      <c r="L2086">
        <v>284.9187</v>
      </c>
      <c r="M2086">
        <v>-0.99765599999999999</v>
      </c>
      <c r="N2086">
        <v>0</v>
      </c>
      <c r="O2086">
        <v>6.7929539999999997E-2</v>
      </c>
      <c r="P2086">
        <v>-0.98143820000000004</v>
      </c>
      <c r="Q2086">
        <v>0.18065790000000001</v>
      </c>
      <c r="R2086">
        <v>6.4358520000000002E-2</v>
      </c>
      <c r="S2086">
        <v>-3.0731510000000002</v>
      </c>
      <c r="T2086">
        <v>-0.2203089</v>
      </c>
      <c r="U2086">
        <v>0.3638306</v>
      </c>
      <c r="V2086">
        <v>-4.3125530000000002E-3</v>
      </c>
      <c r="W2086">
        <v>0.18874079999999999</v>
      </c>
      <c r="X2086">
        <v>0.98201749999999999</v>
      </c>
      <c r="Y2086">
        <v>4.9882099999999999E-2</v>
      </c>
      <c r="Z2086">
        <v>-3.0596719999999998E-3</v>
      </c>
      <c r="AA2086">
        <v>0.99875040000000004</v>
      </c>
      <c r="AB2086">
        <v>47</v>
      </c>
      <c r="AC2086">
        <v>-0.56209999999998606</v>
      </c>
      <c r="AD2086">
        <v>-5.7199E-2</v>
      </c>
      <c r="AE2086">
        <v>7.8899999999975906E-2</v>
      </c>
      <c r="AF2086">
        <v>4.0125770191495498E-2</v>
      </c>
      <c r="AG2086">
        <v>-5.7199E-2</v>
      </c>
      <c r="AH2086">
        <v>0.56046983057355904</v>
      </c>
      <c r="AI2086">
        <v>95.812397114073406</v>
      </c>
      <c r="AJ2086">
        <v>85.905004636488897</v>
      </c>
      <c r="AK2086">
        <v>0.56480813912125405</v>
      </c>
      <c r="AL2086">
        <v>79.1206924729089</v>
      </c>
      <c r="AM2086">
        <v>90.251614148853207</v>
      </c>
      <c r="AN2086">
        <v>1.00000002900213</v>
      </c>
    </row>
    <row r="2087" spans="1:40" x14ac:dyDescent="0.25">
      <c r="A2087" t="str">
        <f>"20190312172932584"</f>
        <v>20190312172932584</v>
      </c>
      <c r="B2087" t="str">
        <f>"1552382972579698"</f>
        <v>1552382972579698</v>
      </c>
      <c r="C2087" t="s">
        <v>40</v>
      </c>
      <c r="D2087">
        <v>3.4632450000000001</v>
      </c>
      <c r="E2087">
        <v>0.52643090000000003</v>
      </c>
      <c r="F2087" t="s">
        <v>42</v>
      </c>
      <c r="G2087">
        <v>-295.95170000000002</v>
      </c>
      <c r="H2087">
        <v>1.0432539999999999</v>
      </c>
      <c r="I2087">
        <v>285.03320000000002</v>
      </c>
      <c r="J2087">
        <v>-295.23970000000003</v>
      </c>
      <c r="K2087">
        <v>1.1128880000000001</v>
      </c>
      <c r="L2087">
        <v>284.9357</v>
      </c>
      <c r="M2087">
        <v>-0.99778520000000004</v>
      </c>
      <c r="N2087">
        <v>0</v>
      </c>
      <c r="O2087">
        <v>6.6000069999999994E-2</v>
      </c>
      <c r="P2087">
        <v>-0.98158469999999998</v>
      </c>
      <c r="Q2087">
        <v>0.1804972</v>
      </c>
      <c r="R2087">
        <v>6.2546160000000003E-2</v>
      </c>
      <c r="S2087">
        <v>-3.0736080000000001</v>
      </c>
      <c r="T2087">
        <v>-0.2203079</v>
      </c>
      <c r="U2087">
        <v>0.36126710000000001</v>
      </c>
      <c r="V2087">
        <v>-4.2489750000000003E-3</v>
      </c>
      <c r="W2087">
        <v>0.18861430000000001</v>
      </c>
      <c r="X2087">
        <v>0.98204210000000003</v>
      </c>
      <c r="Y2087">
        <v>5.0966989999999997E-2</v>
      </c>
      <c r="Z2087">
        <v>-2.88354E-3</v>
      </c>
      <c r="AA2087">
        <v>0.99869609999999998</v>
      </c>
      <c r="AB2087">
        <v>47</v>
      </c>
      <c r="AC2087">
        <v>-0.71199999999998898</v>
      </c>
      <c r="AD2087">
        <v>-6.9633999999999696E-2</v>
      </c>
      <c r="AE2087">
        <v>9.7500000000024997E-2</v>
      </c>
      <c r="AF2087">
        <v>4.9825924350913299E-2</v>
      </c>
      <c r="AG2087">
        <v>-6.9633999999999696E-2</v>
      </c>
      <c r="AH2087">
        <v>0.71021456379526804</v>
      </c>
      <c r="AI2087">
        <v>95.586105496331697</v>
      </c>
      <c r="AJ2087">
        <v>85.986923653624302</v>
      </c>
      <c r="AK2087">
        <v>0.71535742347467501</v>
      </c>
      <c r="AL2087">
        <v>79.128073147583805</v>
      </c>
      <c r="AM2087">
        <v>90.247898553074194</v>
      </c>
      <c r="AN2087">
        <v>1.0000000470627199</v>
      </c>
    </row>
    <row r="2088" spans="1:40" x14ac:dyDescent="0.25">
      <c r="A2088" t="str">
        <f>"20190312172932597"</f>
        <v>20190312172932597</v>
      </c>
      <c r="B2088" t="str">
        <f>"1552382972589447"</f>
        <v>1552382972589447</v>
      </c>
      <c r="C2088" t="s">
        <v>40</v>
      </c>
      <c r="D2088">
        <v>3.4829029999999999</v>
      </c>
      <c r="E2088">
        <v>0.52643090000000003</v>
      </c>
      <c r="F2088" t="s">
        <v>42</v>
      </c>
      <c r="G2088">
        <v>-296.36579999999998</v>
      </c>
      <c r="H2088">
        <v>1.031498</v>
      </c>
      <c r="I2088">
        <v>285.06700000000001</v>
      </c>
      <c r="J2088">
        <v>-295.52730000000003</v>
      </c>
      <c r="K2088">
        <v>1.112949</v>
      </c>
      <c r="L2088">
        <v>284.95359999999999</v>
      </c>
      <c r="M2088">
        <v>-0.99792360000000002</v>
      </c>
      <c r="N2088">
        <v>0</v>
      </c>
      <c r="O2088">
        <v>6.386377E-2</v>
      </c>
      <c r="P2088">
        <v>-0.98172349999999997</v>
      </c>
      <c r="Q2088">
        <v>0.1803488</v>
      </c>
      <c r="R2088">
        <v>6.0771529999999997E-2</v>
      </c>
      <c r="S2088">
        <v>-3.0743710000000002</v>
      </c>
      <c r="T2088">
        <v>-0.22237989999999999</v>
      </c>
      <c r="U2088">
        <v>0.3580933</v>
      </c>
      <c r="V2088">
        <v>-3.9446500000000001E-3</v>
      </c>
      <c r="W2088">
        <v>0.18854409999999999</v>
      </c>
      <c r="X2088">
        <v>0.98205679999999995</v>
      </c>
      <c r="Y2088">
        <v>5.205166E-2</v>
      </c>
      <c r="Z2088">
        <v>-2.7177669999999998E-3</v>
      </c>
      <c r="AA2088">
        <v>0.99864070000000005</v>
      </c>
      <c r="AB2088">
        <v>47</v>
      </c>
      <c r="AC2088">
        <v>-0.83849999999995295</v>
      </c>
      <c r="AD2088">
        <v>-8.1450999999999898E-2</v>
      </c>
      <c r="AE2088">
        <v>0.11340000000001201</v>
      </c>
      <c r="AF2088">
        <v>5.9069482377778697E-2</v>
      </c>
      <c r="AG2088">
        <v>-8.1450999999999898E-2</v>
      </c>
      <c r="AH2088">
        <v>0.836281203827418</v>
      </c>
      <c r="AI2088">
        <v>95.549133358749401</v>
      </c>
      <c r="AJ2088">
        <v>85.959707816883906</v>
      </c>
      <c r="AK2088">
        <v>0.84231212802880495</v>
      </c>
      <c r="AL2088">
        <v>79.132168257431303</v>
      </c>
      <c r="AM2088">
        <v>90.230140029753699</v>
      </c>
      <c r="AN2088">
        <v>0.99999999816733598</v>
      </c>
    </row>
    <row r="2089" spans="1:40" x14ac:dyDescent="0.25">
      <c r="A2089" t="str">
        <f>"20190312172932615"</f>
        <v>20190312172932615</v>
      </c>
      <c r="B2089" t="str">
        <f>"1552382972609943"</f>
        <v>1552382972609943</v>
      </c>
      <c r="C2089" t="s">
        <v>40</v>
      </c>
      <c r="D2089">
        <v>3.4721709999999999</v>
      </c>
      <c r="E2089">
        <v>0.53033759999999996</v>
      </c>
      <c r="F2089" t="s">
        <v>42</v>
      </c>
      <c r="G2089">
        <v>-296.3777</v>
      </c>
      <c r="H2089">
        <v>1.0513680000000001</v>
      </c>
      <c r="I2089">
        <v>285.05119999999999</v>
      </c>
      <c r="J2089">
        <v>-295.90679999999998</v>
      </c>
      <c r="K2089">
        <v>1.1130500000000001</v>
      </c>
      <c r="L2089">
        <v>284.97640000000001</v>
      </c>
      <c r="M2089">
        <v>-0.99809829999999999</v>
      </c>
      <c r="N2089">
        <v>0</v>
      </c>
      <c r="O2089">
        <v>6.1048360000000003E-2</v>
      </c>
      <c r="P2089">
        <v>-0.98193189999999997</v>
      </c>
      <c r="Q2089">
        <v>0.18003910000000001</v>
      </c>
      <c r="R2089">
        <v>5.8274680000000002E-2</v>
      </c>
      <c r="S2089">
        <v>-3.0749819999999999</v>
      </c>
      <c r="T2089">
        <v>-0.2229122</v>
      </c>
      <c r="U2089">
        <v>0.35241699999999998</v>
      </c>
      <c r="V2089">
        <v>-3.7021760000000002E-3</v>
      </c>
      <c r="W2089">
        <v>0.18841160000000001</v>
      </c>
      <c r="X2089">
        <v>0.98208320000000005</v>
      </c>
      <c r="Y2089">
        <v>5.3017179999999997E-2</v>
      </c>
      <c r="Z2089">
        <v>-2.4867299999999999E-3</v>
      </c>
      <c r="AA2089">
        <v>0.99859050000000005</v>
      </c>
      <c r="AB2089">
        <v>47</v>
      </c>
      <c r="AC2089">
        <v>-0.47090000000002802</v>
      </c>
      <c r="AD2089">
        <v>-6.1682000000000001E-2</v>
      </c>
      <c r="AE2089">
        <v>7.4799999999981895E-2</v>
      </c>
      <c r="AF2089">
        <v>4.51560462550359E-2</v>
      </c>
      <c r="AG2089">
        <v>-6.1682000000000001E-2</v>
      </c>
      <c r="AH2089">
        <v>0.46677648491418899</v>
      </c>
      <c r="AI2089">
        <v>97.493133280768205</v>
      </c>
      <c r="AJ2089">
        <v>84.474389987109603</v>
      </c>
      <c r="AK2089">
        <v>0.47299474046360501</v>
      </c>
      <c r="AL2089">
        <v>79.139898782448597</v>
      </c>
      <c r="AM2089">
        <v>90.215987866436905</v>
      </c>
      <c r="AN2089">
        <v>1.00000002442196</v>
      </c>
    </row>
    <row r="2090" spans="1:40" x14ac:dyDescent="0.25">
      <c r="A2090" t="str">
        <f>"20190312172932638"</f>
        <v>20190312172932638</v>
      </c>
      <c r="B2090" t="str">
        <f>"1552382972629462"</f>
        <v>1552382972629462</v>
      </c>
      <c r="C2090" t="s">
        <v>40</v>
      </c>
      <c r="D2090">
        <v>3.4908549999999998</v>
      </c>
      <c r="E2090">
        <v>0.53037639999999997</v>
      </c>
      <c r="F2090" t="s">
        <v>42</v>
      </c>
      <c r="G2090">
        <v>-296.79390000000001</v>
      </c>
      <c r="H2090">
        <v>1.046198</v>
      </c>
      <c r="I2090">
        <v>285.08479999999997</v>
      </c>
      <c r="J2090">
        <v>-296.36720000000003</v>
      </c>
      <c r="K2090">
        <v>1.1131930000000001</v>
      </c>
      <c r="L2090">
        <v>285.0027</v>
      </c>
      <c r="M2090">
        <v>-0.99829699999999999</v>
      </c>
      <c r="N2090">
        <v>0</v>
      </c>
      <c r="O2090">
        <v>5.7648610000000003E-2</v>
      </c>
      <c r="P2090">
        <v>-0.98221049999999999</v>
      </c>
      <c r="Q2090">
        <v>0.17948220000000001</v>
      </c>
      <c r="R2090">
        <v>5.5217849999999999E-2</v>
      </c>
      <c r="S2090">
        <v>-3.0755620000000001</v>
      </c>
      <c r="T2090">
        <v>-0.2321995</v>
      </c>
      <c r="U2090">
        <v>0.37481690000000001</v>
      </c>
      <c r="V2090">
        <v>-3.4484770000000001E-3</v>
      </c>
      <c r="W2090">
        <v>0.18824109999999999</v>
      </c>
      <c r="X2090">
        <v>0.98211680000000001</v>
      </c>
      <c r="Y2090">
        <v>6.3529070000000007E-2</v>
      </c>
      <c r="Z2090">
        <v>-1.938855E-3</v>
      </c>
      <c r="AA2090">
        <v>0.99797809999999998</v>
      </c>
      <c r="AB2090">
        <v>47</v>
      </c>
      <c r="AC2090">
        <v>-0.42669999999998198</v>
      </c>
      <c r="AD2090">
        <v>-6.6995000000000096E-2</v>
      </c>
      <c r="AE2090">
        <v>8.2099999999968504E-2</v>
      </c>
      <c r="AF2090">
        <v>5.6031860954648502E-2</v>
      </c>
      <c r="AG2090">
        <v>-6.6995000000000096E-2</v>
      </c>
      <c r="AH2090">
        <v>0.42072235314295903</v>
      </c>
      <c r="AI2090">
        <v>98.969809712126903</v>
      </c>
      <c r="AJ2090">
        <v>82.413980945561207</v>
      </c>
      <c r="AK2090">
        <v>0.429691980261663</v>
      </c>
      <c r="AL2090">
        <v>79.149845498504106</v>
      </c>
      <c r="AM2090">
        <v>90.201180109994993</v>
      </c>
      <c r="AN2090">
        <v>1.0000000062825301</v>
      </c>
    </row>
    <row r="2091" spans="1:40" x14ac:dyDescent="0.25">
      <c r="A2091" t="str">
        <f>"20190312172932659"</f>
        <v>20190312172932659</v>
      </c>
      <c r="B2091" t="str">
        <f>"1552382972649959"</f>
        <v>1552382972649959</v>
      </c>
      <c r="C2091" t="s">
        <v>40</v>
      </c>
      <c r="D2091">
        <v>3.48183</v>
      </c>
      <c r="E2091">
        <v>0.53103149999999999</v>
      </c>
      <c r="F2091" t="s">
        <v>42</v>
      </c>
      <c r="G2091">
        <v>-297.2158</v>
      </c>
      <c r="H2091">
        <v>1.048853</v>
      </c>
      <c r="I2091">
        <v>285.10359999999997</v>
      </c>
      <c r="J2091">
        <v>-296.82909999999998</v>
      </c>
      <c r="K2091">
        <v>1.1133189999999999</v>
      </c>
      <c r="L2091">
        <v>285.0274</v>
      </c>
      <c r="M2091">
        <v>-0.99848700000000001</v>
      </c>
      <c r="N2091">
        <v>0</v>
      </c>
      <c r="O2091">
        <v>5.4193379999999999E-2</v>
      </c>
      <c r="P2091">
        <v>-0.98253800000000002</v>
      </c>
      <c r="Q2091">
        <v>0.17860479999999901</v>
      </c>
      <c r="R2091">
        <v>5.214949E-2</v>
      </c>
      <c r="S2091">
        <v>-3.0764469999999999</v>
      </c>
      <c r="T2091">
        <v>-0.23352300000000001</v>
      </c>
      <c r="U2091">
        <v>0.36514279999999999</v>
      </c>
      <c r="V2091">
        <v>-3.147192E-3</v>
      </c>
      <c r="W2091">
        <v>0.18774089999999999</v>
      </c>
      <c r="X2091">
        <v>0.98221360000000002</v>
      </c>
      <c r="Y2091">
        <v>6.384389E-2</v>
      </c>
      <c r="Z2091">
        <v>-1.677645E-3</v>
      </c>
      <c r="AA2091">
        <v>0.99795849999999997</v>
      </c>
      <c r="AB2091">
        <v>47</v>
      </c>
      <c r="AC2091">
        <v>-0.38670000000001797</v>
      </c>
      <c r="AD2091">
        <v>-6.4465999999999898E-2</v>
      </c>
      <c r="AE2091">
        <v>7.6199999999971596E-2</v>
      </c>
      <c r="AF2091">
        <v>5.3694056731788599E-2</v>
      </c>
      <c r="AG2091">
        <v>-6.4465999999999898E-2</v>
      </c>
      <c r="AH2091">
        <v>0.38009285526562703</v>
      </c>
      <c r="AI2091">
        <v>99.533209489318907</v>
      </c>
      <c r="AJ2091">
        <v>81.959280708348501</v>
      </c>
      <c r="AK2091">
        <v>0.389242206740602</v>
      </c>
      <c r="AL2091">
        <v>79.179025611601205</v>
      </c>
      <c r="AM2091">
        <v>90.183585527441195</v>
      </c>
      <c r="AN2091">
        <v>1.0000000531876201</v>
      </c>
    </row>
    <row r="2092" spans="1:40" x14ac:dyDescent="0.25">
      <c r="A2092" t="str">
        <f>"20190312172932670"</f>
        <v>20190312172932670</v>
      </c>
      <c r="B2092" t="str">
        <f>"1552382972659720"</f>
        <v>1552382972659720</v>
      </c>
      <c r="C2092" t="s">
        <v>40</v>
      </c>
      <c r="D2092">
        <v>3.4723519999999999</v>
      </c>
      <c r="E2092">
        <v>0.53135619999999995</v>
      </c>
      <c r="F2092" t="s">
        <v>42</v>
      </c>
      <c r="G2092">
        <v>-297.6386</v>
      </c>
      <c r="H2092">
        <v>1.0511360000000001</v>
      </c>
      <c r="I2092">
        <v>285.12270000000001</v>
      </c>
      <c r="J2092">
        <v>-297.06060000000002</v>
      </c>
      <c r="K2092">
        <v>1.1133710000000001</v>
      </c>
      <c r="L2092">
        <v>285.03910000000002</v>
      </c>
      <c r="M2092">
        <v>-0.99857850000000004</v>
      </c>
      <c r="N2092">
        <v>0</v>
      </c>
      <c r="O2092">
        <v>5.2452190000000003E-2</v>
      </c>
      <c r="P2092">
        <v>-0.9826722</v>
      </c>
      <c r="Q2092">
        <v>0.17834069999999999</v>
      </c>
      <c r="R2092">
        <v>5.049795E-2</v>
      </c>
      <c r="S2092">
        <v>-3.0772089999999999</v>
      </c>
      <c r="T2092">
        <v>-0.2369349</v>
      </c>
      <c r="U2092">
        <v>0.36053469999999999</v>
      </c>
      <c r="V2092">
        <v>-3.1013550000000001E-3</v>
      </c>
      <c r="W2092">
        <v>0.18763560000000001</v>
      </c>
      <c r="X2092">
        <v>0.98223380000000005</v>
      </c>
      <c r="Y2092">
        <v>6.4074530000000005E-2</v>
      </c>
      <c r="Z2092">
        <v>-1.5599590000000001E-3</v>
      </c>
      <c r="AA2092">
        <v>0.99794389999999999</v>
      </c>
      <c r="AB2092">
        <v>47</v>
      </c>
      <c r="AC2092">
        <v>-0.57799999999997398</v>
      </c>
      <c r="AD2092">
        <v>-6.2234999999999797E-2</v>
      </c>
      <c r="AE2092">
        <v>8.3599999999989905E-2</v>
      </c>
      <c r="AF2092">
        <v>5.25692111444978E-2</v>
      </c>
      <c r="AG2092">
        <v>-6.2234999999999797E-2</v>
      </c>
      <c r="AH2092">
        <v>0.57505915233600602</v>
      </c>
      <c r="AI2092">
        <v>96.151267555211504</v>
      </c>
      <c r="AJ2092">
        <v>84.776805883688695</v>
      </c>
      <c r="AK2092">
        <v>0.58080095202294602</v>
      </c>
      <c r="AL2092">
        <v>79.185167294806803</v>
      </c>
      <c r="AM2092">
        <v>90.180908009647894</v>
      </c>
      <c r="AN2092">
        <v>0.99999998732631801</v>
      </c>
    </row>
    <row r="2093" spans="1:40" x14ac:dyDescent="0.25">
      <c r="A2093" t="str">
        <f>"20190312172932682"</f>
        <v>20190312172932682</v>
      </c>
      <c r="B2093" t="str">
        <f>"1552382972679239"</f>
        <v>1552382972679239</v>
      </c>
      <c r="C2093" t="s">
        <v>40</v>
      </c>
      <c r="D2093">
        <v>3.7377349999999998</v>
      </c>
      <c r="E2093">
        <v>0.531746099999999</v>
      </c>
      <c r="F2093" t="s">
        <v>42</v>
      </c>
      <c r="G2093">
        <v>-298.05079999999998</v>
      </c>
      <c r="H2093">
        <v>1.0365719999999901</v>
      </c>
      <c r="I2093">
        <v>285.15429999999998</v>
      </c>
      <c r="J2093">
        <v>-297.31299999999999</v>
      </c>
      <c r="K2093">
        <v>1.1134250000000001</v>
      </c>
      <c r="L2093">
        <v>285.05160000000001</v>
      </c>
      <c r="M2093">
        <v>-0.99867479999999997</v>
      </c>
      <c r="N2093">
        <v>0</v>
      </c>
      <c r="O2093">
        <v>5.0554469999999997E-2</v>
      </c>
      <c r="P2093">
        <v>-0.98284210000000005</v>
      </c>
      <c r="Q2093">
        <v>0.1779065</v>
      </c>
      <c r="R2093">
        <v>4.8691829999999998E-2</v>
      </c>
      <c r="S2093">
        <v>-3.07782</v>
      </c>
      <c r="T2093">
        <v>-0.2386662</v>
      </c>
      <c r="U2093">
        <v>0.35775759999999901</v>
      </c>
      <c r="V2093">
        <v>-3.0574899999999999E-3</v>
      </c>
      <c r="W2093">
        <v>0.18736530000000001</v>
      </c>
      <c r="X2093">
        <v>0.98228559999999998</v>
      </c>
      <c r="Y2093">
        <v>6.5050650000000002E-2</v>
      </c>
      <c r="Z2093">
        <v>-1.387377E-3</v>
      </c>
      <c r="AA2093">
        <v>0.99788100000000002</v>
      </c>
      <c r="AB2093">
        <v>47</v>
      </c>
      <c r="AC2093">
        <v>-0.73779999999999202</v>
      </c>
      <c r="AD2093">
        <v>-7.6853000000000199E-2</v>
      </c>
      <c r="AE2093">
        <v>0.10269999999997</v>
      </c>
      <c r="AF2093">
        <v>6.4580443119714295E-2</v>
      </c>
      <c r="AG2093">
        <v>-7.6853000000000199E-2</v>
      </c>
      <c r="AH2093">
        <v>0.73423340461527997</v>
      </c>
      <c r="AI2093">
        <v>95.952636437970199</v>
      </c>
      <c r="AJ2093">
        <v>84.973411824674898</v>
      </c>
      <c r="AK2093">
        <v>0.74106390392157395</v>
      </c>
      <c r="AL2093">
        <v>79.200934679958394</v>
      </c>
      <c r="AM2093">
        <v>90.178339891332399</v>
      </c>
      <c r="AN2093">
        <v>1.0000000519282699</v>
      </c>
    </row>
    <row r="2094" spans="1:40" x14ac:dyDescent="0.25">
      <c r="A2094" t="str">
        <f>"20190312172932693"</f>
        <v>20190312172932693</v>
      </c>
      <c r="B2094" t="str">
        <f>"1552382972689836"</f>
        <v>1552382972689836</v>
      </c>
      <c r="C2094" t="s">
        <v>40</v>
      </c>
      <c r="D2094">
        <v>3.4928620000000001</v>
      </c>
      <c r="E2094">
        <v>0.531746099999999</v>
      </c>
      <c r="F2094" t="s">
        <v>42</v>
      </c>
      <c r="G2094">
        <v>-298.0634</v>
      </c>
      <c r="H2094">
        <v>1.0549820000000001</v>
      </c>
      <c r="I2094">
        <v>285.13819999999998</v>
      </c>
      <c r="J2094">
        <v>-297.54860000000002</v>
      </c>
      <c r="K2094">
        <v>1.1134729999999999</v>
      </c>
      <c r="L2094">
        <v>285.0625</v>
      </c>
      <c r="M2094">
        <v>-0.99876100000000001</v>
      </c>
      <c r="N2094">
        <v>0</v>
      </c>
      <c r="O2094">
        <v>4.8789329999999999E-2</v>
      </c>
      <c r="P2094">
        <v>-0.98296609999999995</v>
      </c>
      <c r="Q2094">
        <v>0.17767649999999999</v>
      </c>
      <c r="R2094">
        <v>4.6996599999999999E-2</v>
      </c>
      <c r="S2094">
        <v>-3.0781860000000001</v>
      </c>
      <c r="T2094">
        <v>-0.23971339999999999</v>
      </c>
      <c r="U2094">
        <v>0.35528559999999998</v>
      </c>
      <c r="V2094">
        <v>-3.0298920000000002E-3</v>
      </c>
      <c r="W2094">
        <v>0.1873021</v>
      </c>
      <c r="X2094">
        <v>0.98229770000000005</v>
      </c>
      <c r="Y2094">
        <v>6.6001359999999995E-2</v>
      </c>
      <c r="Z2094">
        <v>-1.220046E-3</v>
      </c>
      <c r="AA2094">
        <v>0.99781880000000001</v>
      </c>
      <c r="AB2094">
        <v>47</v>
      </c>
      <c r="AC2094">
        <v>-0.51479999999997905</v>
      </c>
      <c r="AD2094">
        <v>-5.8491000000000001E-2</v>
      </c>
      <c r="AE2094">
        <v>7.5699999999983406E-2</v>
      </c>
      <c r="AF2094">
        <v>4.9861830752923803E-2</v>
      </c>
      <c r="AG2094">
        <v>-5.8491000000000001E-2</v>
      </c>
      <c r="AH2094">
        <v>0.51141810057802894</v>
      </c>
      <c r="AI2094">
        <v>96.494053650582302</v>
      </c>
      <c r="AJ2094">
        <v>84.431422070679901</v>
      </c>
      <c r="AK2094">
        <v>0.51716136054994699</v>
      </c>
      <c r="AL2094">
        <v>79.204620622500101</v>
      </c>
      <c r="AM2094">
        <v>90.176727964886595</v>
      </c>
      <c r="AN2094">
        <v>1.00000001416761</v>
      </c>
    </row>
    <row r="2095" spans="1:40" x14ac:dyDescent="0.25">
      <c r="A2095" t="str">
        <f>"20190312172932705"</f>
        <v>20190312172932705</v>
      </c>
      <c r="B2095" t="str">
        <f>"1552382972699595"</f>
        <v>1552382972699595</v>
      </c>
      <c r="C2095" t="s">
        <v>40</v>
      </c>
      <c r="D2095">
        <v>3.492664</v>
      </c>
      <c r="E2095">
        <v>0.53553779999999995</v>
      </c>
      <c r="F2095" t="s">
        <v>42</v>
      </c>
      <c r="G2095">
        <v>-298.4744</v>
      </c>
      <c r="H2095">
        <v>1.041264</v>
      </c>
      <c r="I2095">
        <v>285.16800000000001</v>
      </c>
      <c r="J2095">
        <v>-297.79390000000001</v>
      </c>
      <c r="K2095">
        <v>1.113524</v>
      </c>
      <c r="L2095">
        <v>285.07369999999997</v>
      </c>
      <c r="M2095">
        <v>-0.99884720000000005</v>
      </c>
      <c r="N2095">
        <v>0</v>
      </c>
      <c r="O2095">
        <v>4.695183E-2</v>
      </c>
      <c r="P2095">
        <v>-0.98310909999999996</v>
      </c>
      <c r="Q2095">
        <v>0.1773246</v>
      </c>
      <c r="R2095">
        <v>4.5304669999999998E-2</v>
      </c>
      <c r="S2095">
        <v>-3.0787049999999998</v>
      </c>
      <c r="T2095">
        <v>-0.24042140000000001</v>
      </c>
      <c r="U2095">
        <v>0.3499756</v>
      </c>
      <c r="V2095">
        <v>-2.926475E-3</v>
      </c>
      <c r="W2095">
        <v>0.18712880000000001</v>
      </c>
      <c r="X2095">
        <v>0.98233099999999995</v>
      </c>
      <c r="Y2095">
        <v>6.6112939999999995E-2</v>
      </c>
      <c r="Z2095">
        <v>-1.0767559999999999E-3</v>
      </c>
      <c r="AA2095">
        <v>0.99781160000000002</v>
      </c>
      <c r="AB2095">
        <v>47</v>
      </c>
      <c r="AC2095">
        <v>-0.680499999999994</v>
      </c>
      <c r="AD2095">
        <v>-7.2259999999999894E-2</v>
      </c>
      <c r="AE2095">
        <v>9.43000000000324E-2</v>
      </c>
      <c r="AF2095">
        <v>6.1562599990931097E-2</v>
      </c>
      <c r="AG2095">
        <v>-7.2259999999999894E-2</v>
      </c>
      <c r="AH2095">
        <v>0.67669088120227505</v>
      </c>
      <c r="AI2095">
        <v>96.0703145522981</v>
      </c>
      <c r="AJ2095">
        <v>84.801771416838804</v>
      </c>
      <c r="AK2095">
        <v>0.68331691770360503</v>
      </c>
      <c r="AL2095">
        <v>79.214728251708493</v>
      </c>
      <c r="AM2095">
        <v>90.170690093572603</v>
      </c>
      <c r="AN2095">
        <v>0.99999997280318198</v>
      </c>
    </row>
    <row r="2096" spans="1:40" x14ac:dyDescent="0.25">
      <c r="A2096" t="str">
        <f>"20190312172932718"</f>
        <v>20190312172932718</v>
      </c>
      <c r="B2096" t="str">
        <f>"1552382972709355"</f>
        <v>1552382972709355</v>
      </c>
      <c r="C2096" t="s">
        <v>40</v>
      </c>
      <c r="D2096">
        <v>3.4677630000000002</v>
      </c>
      <c r="E2096">
        <v>0.53580209999999995</v>
      </c>
      <c r="F2096" t="s">
        <v>42</v>
      </c>
      <c r="G2096">
        <v>-298.89069999999998</v>
      </c>
      <c r="H2096">
        <v>1.0333859999999999</v>
      </c>
      <c r="I2096">
        <v>285.20780000000002</v>
      </c>
      <c r="J2096">
        <v>-298.05759999999998</v>
      </c>
      <c r="K2096">
        <v>1.113569</v>
      </c>
      <c r="L2096">
        <v>285.08499999999998</v>
      </c>
      <c r="M2096">
        <v>-0.99893620000000005</v>
      </c>
      <c r="N2096">
        <v>0</v>
      </c>
      <c r="O2096">
        <v>4.4974960000000001E-2</v>
      </c>
      <c r="P2096">
        <v>-0.98322889999999996</v>
      </c>
      <c r="Q2096">
        <v>0.17717739999999901</v>
      </c>
      <c r="R2096">
        <v>4.3235669999999997E-2</v>
      </c>
      <c r="S2096">
        <v>-3.0747680000000002</v>
      </c>
      <c r="T2096">
        <v>-0.22470409999999999</v>
      </c>
      <c r="U2096">
        <v>0.37582399999999999</v>
      </c>
      <c r="V2096">
        <v>-3.0613440000000001E-3</v>
      </c>
      <c r="W2096">
        <v>0.18718589999999999</v>
      </c>
      <c r="X2096">
        <v>0.98231970000000002</v>
      </c>
      <c r="Y2096">
        <v>7.6474929999999997E-2</v>
      </c>
      <c r="Z2096">
        <v>-4.8701279999999999E-4</v>
      </c>
      <c r="AA2096">
        <v>0.99707140000000005</v>
      </c>
      <c r="AB2096">
        <v>47</v>
      </c>
      <c r="AC2096">
        <v>-0.83310000000000095</v>
      </c>
      <c r="AD2096">
        <v>-8.0182999999999893E-2</v>
      </c>
      <c r="AE2096">
        <v>0.12280000000004</v>
      </c>
      <c r="AF2096">
        <v>8.4439581140343598E-2</v>
      </c>
      <c r="AG2096">
        <v>-8.0182999999999893E-2</v>
      </c>
      <c r="AH2096">
        <v>0.83025270990334699</v>
      </c>
      <c r="AI2096">
        <v>95.4881882121323</v>
      </c>
      <c r="AJ2096">
        <v>84.192787990866606</v>
      </c>
      <c r="AK2096">
        <v>0.83837874415684399</v>
      </c>
      <c r="AL2096">
        <v>79.211397706526796</v>
      </c>
      <c r="AM2096">
        <v>90.178558490675698</v>
      </c>
      <c r="AN2096">
        <v>0.99999996299699201</v>
      </c>
    </row>
    <row r="2097" spans="1:40" x14ac:dyDescent="0.25">
      <c r="A2097" t="str">
        <f>"20190312172932729"</f>
        <v>20190312172932729</v>
      </c>
      <c r="B2097" t="str">
        <f>"1552382972719115"</f>
        <v>1552382972719115</v>
      </c>
      <c r="C2097" t="s">
        <v>40</v>
      </c>
      <c r="D2097">
        <v>3.4737550000000001</v>
      </c>
      <c r="E2097">
        <v>0.53595859999999995</v>
      </c>
      <c r="F2097" t="s">
        <v>42</v>
      </c>
      <c r="G2097">
        <v>-298.9015</v>
      </c>
      <c r="H2097">
        <v>1.0517669999999999</v>
      </c>
      <c r="I2097">
        <v>285.18700000000001</v>
      </c>
      <c r="J2097">
        <v>-298.30489999999998</v>
      </c>
      <c r="K2097">
        <v>1.11361</v>
      </c>
      <c r="L2097">
        <v>285.0951</v>
      </c>
      <c r="M2097">
        <v>-0.99901600000000002</v>
      </c>
      <c r="N2097">
        <v>0</v>
      </c>
      <c r="O2097">
        <v>4.3115680000000003E-2</v>
      </c>
      <c r="P2097">
        <v>-0.98336690000000004</v>
      </c>
      <c r="Q2097">
        <v>0.17679610000000001</v>
      </c>
      <c r="R2097">
        <v>4.1626910000000003E-2</v>
      </c>
      <c r="S2097">
        <v>-3.0754090000000001</v>
      </c>
      <c r="T2097">
        <v>-0.22529859999999999</v>
      </c>
      <c r="U2097">
        <v>0.3713379</v>
      </c>
      <c r="V2097">
        <v>-2.8478520000000001E-3</v>
      </c>
      <c r="W2097">
        <v>0.18700230000000001</v>
      </c>
      <c r="X2097">
        <v>0.98235539999999999</v>
      </c>
      <c r="Y2097">
        <v>7.6865909999999996E-2</v>
      </c>
      <c r="Z2097">
        <v>-3.3875879999999999E-4</v>
      </c>
      <c r="AA2097">
        <v>0.99704139999999997</v>
      </c>
      <c r="AB2097">
        <v>47</v>
      </c>
      <c r="AC2097">
        <v>-0.596600000000023</v>
      </c>
      <c r="AD2097">
        <v>-6.1843000000000002E-2</v>
      </c>
      <c r="AE2097">
        <v>9.1900000000009599E-2</v>
      </c>
      <c r="AF2097">
        <v>6.5403838635236702E-2</v>
      </c>
      <c r="AG2097">
        <v>-6.1843000000000002E-2</v>
      </c>
      <c r="AH2097">
        <v>0.59377534503824603</v>
      </c>
      <c r="AI2097">
        <v>95.910549864645105</v>
      </c>
      <c r="AJ2097">
        <v>83.714259188449702</v>
      </c>
      <c r="AK2097">
        <v>0.60055922200272005</v>
      </c>
      <c r="AL2097">
        <v>79.2221072664113</v>
      </c>
      <c r="AM2097">
        <v>90.166100215028806</v>
      </c>
      <c r="AN2097">
        <v>1.0000000511877301</v>
      </c>
    </row>
    <row r="2098" spans="1:40" x14ac:dyDescent="0.25">
      <c r="A2098" t="str">
        <f>"20190312172932741"</f>
        <v>20190312172932741</v>
      </c>
      <c r="B2098" t="str">
        <f>"1552382972729852"</f>
        <v>1552382972729852</v>
      </c>
      <c r="C2098" t="s">
        <v>40</v>
      </c>
      <c r="D2098">
        <v>3.4700959999999998</v>
      </c>
      <c r="E2098">
        <v>0.53617950000000003</v>
      </c>
      <c r="F2098" t="s">
        <v>42</v>
      </c>
      <c r="G2098">
        <v>-299.31450000000001</v>
      </c>
      <c r="H2098">
        <v>1.0385660000000001</v>
      </c>
      <c r="I2098">
        <v>285.21609999999998</v>
      </c>
      <c r="J2098">
        <v>-298.55259999999998</v>
      </c>
      <c r="K2098">
        <v>1.11364</v>
      </c>
      <c r="L2098">
        <v>285.10489999999999</v>
      </c>
      <c r="M2098">
        <v>-0.99909269999999994</v>
      </c>
      <c r="N2098">
        <v>0</v>
      </c>
      <c r="O2098">
        <v>4.1250170000000003E-2</v>
      </c>
      <c r="P2098">
        <v>-0.98350230000000005</v>
      </c>
      <c r="Q2098">
        <v>0.1764935</v>
      </c>
      <c r="R2098">
        <v>3.9669919999999997E-2</v>
      </c>
      <c r="S2098">
        <v>-3.076416</v>
      </c>
      <c r="T2098">
        <v>-0.22907420000000001</v>
      </c>
      <c r="U2098">
        <v>0.36749270000000001</v>
      </c>
      <c r="V2098">
        <v>-2.9757939999999999E-3</v>
      </c>
      <c r="W2098">
        <v>0.18689500000000001</v>
      </c>
      <c r="X2098">
        <v>0.98237540000000001</v>
      </c>
      <c r="Y2098">
        <v>7.7450580000000005E-2</v>
      </c>
      <c r="Z2098">
        <v>-1.8473249999999999E-4</v>
      </c>
      <c r="AA2098">
        <v>0.9969962</v>
      </c>
      <c r="AB2098">
        <v>47</v>
      </c>
      <c r="AC2098">
        <v>-0.761900000000025</v>
      </c>
      <c r="AD2098">
        <v>-7.5074000000000002E-2</v>
      </c>
      <c r="AE2098">
        <v>0.111199999999996</v>
      </c>
      <c r="AF2098">
        <v>7.8924760752559997E-2</v>
      </c>
      <c r="AG2098">
        <v>-7.5074000000000002E-2</v>
      </c>
      <c r="AH2098">
        <v>0.75862668663442101</v>
      </c>
      <c r="AI2098">
        <v>95.621467731137699</v>
      </c>
      <c r="AJ2098">
        <v>84.060522800033297</v>
      </c>
      <c r="AK2098">
        <v>0.766406989144651</v>
      </c>
      <c r="AL2098">
        <v>79.228365003575803</v>
      </c>
      <c r="AM2098">
        <v>90.173558820184596</v>
      </c>
      <c r="AN2098">
        <v>1.00000001145004</v>
      </c>
    </row>
    <row r="2099" spans="1:40" x14ac:dyDescent="0.25">
      <c r="A2099" t="str">
        <f>"20190312172932760"</f>
        <v>20190312172932760</v>
      </c>
      <c r="B2099" t="str">
        <f>"1552382972749371"</f>
        <v>1552382972749371</v>
      </c>
      <c r="C2099" t="s">
        <v>40</v>
      </c>
      <c r="D2099">
        <v>3.4698989999999998</v>
      </c>
      <c r="E2099">
        <v>0.53634119999999996</v>
      </c>
      <c r="F2099" t="s">
        <v>42</v>
      </c>
      <c r="G2099">
        <v>-299.32650000000001</v>
      </c>
      <c r="H2099">
        <v>1.055796</v>
      </c>
      <c r="I2099">
        <v>285.19659999999999</v>
      </c>
      <c r="J2099">
        <v>-298.94740000000002</v>
      </c>
      <c r="K2099">
        <v>1.1136889999999999</v>
      </c>
      <c r="L2099">
        <v>285.11939999999998</v>
      </c>
      <c r="M2099">
        <v>-0.99920819999999999</v>
      </c>
      <c r="N2099">
        <v>0</v>
      </c>
      <c r="O2099">
        <v>3.8263070000000003E-2</v>
      </c>
      <c r="P2099">
        <v>-0.98362459999999996</v>
      </c>
      <c r="Q2099">
        <v>0.17642369999999999</v>
      </c>
      <c r="R2099">
        <v>3.6843500000000001E-2</v>
      </c>
      <c r="S2099">
        <v>-3.077026</v>
      </c>
      <c r="T2099">
        <v>-0.23045689999999999</v>
      </c>
      <c r="U2099">
        <v>0.36334230000000001</v>
      </c>
      <c r="V2099">
        <v>-2.8712030000000001E-3</v>
      </c>
      <c r="W2099">
        <v>0.1871273</v>
      </c>
      <c r="X2099">
        <v>0.98233150000000002</v>
      </c>
      <c r="Y2099">
        <v>7.9067739999999997E-2</v>
      </c>
      <c r="Z2099" s="1">
        <v>9.667105E-5</v>
      </c>
      <c r="AA2099">
        <v>0.99686929999999996</v>
      </c>
      <c r="AB2099">
        <v>47</v>
      </c>
      <c r="AC2099">
        <v>-0.379099999999993</v>
      </c>
      <c r="AD2099">
        <v>-5.7892999999999903E-2</v>
      </c>
      <c r="AE2099">
        <v>7.7200000000004806E-2</v>
      </c>
      <c r="AF2099">
        <v>6.1265200710115798E-2</v>
      </c>
      <c r="AG2099">
        <v>-5.7892999999999903E-2</v>
      </c>
      <c r="AH2099">
        <v>0.37341483244101797</v>
      </c>
      <c r="AI2099">
        <v>98.6983061014801</v>
      </c>
      <c r="AJ2099">
        <v>80.682640535992505</v>
      </c>
      <c r="AK2099">
        <v>0.38281021584331298</v>
      </c>
      <c r="AL2099">
        <v>79.214816289265997</v>
      </c>
      <c r="AM2099">
        <v>90.167466222515401</v>
      </c>
      <c r="AN2099">
        <v>1.0000000230521</v>
      </c>
    </row>
    <row r="2100" spans="1:40" x14ac:dyDescent="0.25">
      <c r="A2100" t="str">
        <f>"20190312172932771"</f>
        <v>20190312172932771</v>
      </c>
      <c r="B2100" t="str">
        <f>"1552382972769867"</f>
        <v>1552382972769867</v>
      </c>
      <c r="C2100" t="s">
        <v>40</v>
      </c>
      <c r="D2100">
        <v>3.4964189999999999</v>
      </c>
      <c r="E2100">
        <v>0.53890099999999996</v>
      </c>
      <c r="F2100" t="s">
        <v>42</v>
      </c>
      <c r="G2100">
        <v>-299.74579999999997</v>
      </c>
      <c r="H2100">
        <v>1.0539670000000001</v>
      </c>
      <c r="I2100">
        <v>285.21190000000001</v>
      </c>
      <c r="J2100">
        <v>-299.1943</v>
      </c>
      <c r="K2100">
        <v>1.113718</v>
      </c>
      <c r="L2100">
        <v>285.1277</v>
      </c>
      <c r="M2100">
        <v>-0.99927619999999895</v>
      </c>
      <c r="N2100">
        <v>0</v>
      </c>
      <c r="O2100">
        <v>3.6391E-2</v>
      </c>
      <c r="P2100">
        <v>-0.9837456</v>
      </c>
      <c r="Q2100">
        <v>0.17613709999999999</v>
      </c>
      <c r="R2100">
        <v>3.4935180000000003E-2</v>
      </c>
      <c r="S2100">
        <v>-3.0779420000000002</v>
      </c>
      <c r="T2100">
        <v>-0.23042000000000001</v>
      </c>
      <c r="U2100">
        <v>0.35623169999999998</v>
      </c>
      <c r="V2100">
        <v>-2.9405910000000002E-3</v>
      </c>
      <c r="W2100">
        <v>0.18701780000000001</v>
      </c>
      <c r="X2100">
        <v>0.98235209999999995</v>
      </c>
      <c r="Y2100">
        <v>7.8624929999999996E-2</v>
      </c>
      <c r="Z2100">
        <v>2.1937890000000001E-4</v>
      </c>
      <c r="AA2100">
        <v>0.99690429999999997</v>
      </c>
      <c r="AB2100">
        <v>47</v>
      </c>
      <c r="AC2100">
        <v>-0.55149999999997501</v>
      </c>
      <c r="AD2100">
        <v>-5.9750999999999797E-2</v>
      </c>
      <c r="AE2100">
        <v>8.4200000000009795E-2</v>
      </c>
      <c r="AF2100">
        <v>6.3346717648825296E-2</v>
      </c>
      <c r="AG2100">
        <v>-5.9750999999999797E-2</v>
      </c>
      <c r="AH2100">
        <v>0.54791397594741698</v>
      </c>
      <c r="AI2100">
        <v>96.182751945832806</v>
      </c>
      <c r="AJ2100">
        <v>83.4050658585235</v>
      </c>
      <c r="AK2100">
        <v>0.55479069357405997</v>
      </c>
      <c r="AL2100">
        <v>79.221202418058297</v>
      </c>
      <c r="AM2100">
        <v>90.171509737029893</v>
      </c>
      <c r="AN2100">
        <v>0.99999997648333905</v>
      </c>
    </row>
    <row r="2101" spans="1:40" x14ac:dyDescent="0.25">
      <c r="A2101" t="str">
        <f>"20190312172932784"</f>
        <v>20190312172932784</v>
      </c>
      <c r="B2101" t="str">
        <f>"1552382972779628"</f>
        <v>1552382972779628</v>
      </c>
      <c r="C2101" t="s">
        <v>40</v>
      </c>
      <c r="D2101">
        <v>3.5424950000000002</v>
      </c>
      <c r="E2101">
        <v>0.52294010000000002</v>
      </c>
      <c r="F2101" t="s">
        <v>42</v>
      </c>
      <c r="G2101">
        <v>-300.15879999999999</v>
      </c>
      <c r="H2101">
        <v>1.0436379999999901</v>
      </c>
      <c r="I2101">
        <v>285.24450000000002</v>
      </c>
      <c r="J2101">
        <v>-299.4391</v>
      </c>
      <c r="K2101">
        <v>1.11374</v>
      </c>
      <c r="L2101">
        <v>285.13589999999999</v>
      </c>
      <c r="M2101">
        <v>-0.99934020000000001</v>
      </c>
      <c r="N2101">
        <v>0</v>
      </c>
      <c r="O2101">
        <v>3.4533550000000003E-2</v>
      </c>
      <c r="P2101">
        <v>-0.98377870000000001</v>
      </c>
      <c r="Q2101">
        <v>0.17631769999999999</v>
      </c>
      <c r="R2101">
        <v>3.3039730000000003E-2</v>
      </c>
      <c r="S2101">
        <v>-3.0764469999999999</v>
      </c>
      <c r="T2101">
        <v>-0.22388479999999999</v>
      </c>
      <c r="U2101">
        <v>0.37124629999999997</v>
      </c>
      <c r="V2101">
        <v>-3.013459E-3</v>
      </c>
      <c r="W2101">
        <v>0.1873686</v>
      </c>
      <c r="X2101">
        <v>0.98228510000000002</v>
      </c>
      <c r="Y2101">
        <v>8.5313890000000003E-2</v>
      </c>
      <c r="Z2101">
        <v>5.8977490000000003E-4</v>
      </c>
      <c r="AA2101">
        <v>0.99635390000000001</v>
      </c>
      <c r="AB2101">
        <v>47</v>
      </c>
      <c r="AC2101">
        <v>-0.71969999999998802</v>
      </c>
      <c r="AD2101">
        <v>-7.0102000000000095E-2</v>
      </c>
      <c r="AE2101">
        <v>0.108600000000024</v>
      </c>
      <c r="AF2101">
        <v>8.2910732810337506E-2</v>
      </c>
      <c r="AG2101">
        <v>-7.0102000000000095E-2</v>
      </c>
      <c r="AH2101">
        <v>0.71637585691503203</v>
      </c>
      <c r="AI2101">
        <v>95.5521396698243</v>
      </c>
      <c r="AJ2101">
        <v>83.398167550042501</v>
      </c>
      <c r="AK2101">
        <v>0.724557001477381</v>
      </c>
      <c r="AL2101">
        <v>79.200742124092301</v>
      </c>
      <c r="AM2101">
        <v>90.175771719213202</v>
      </c>
      <c r="AN2101">
        <v>1.0000000454415501</v>
      </c>
    </row>
    <row r="2102" spans="1:40" x14ac:dyDescent="0.25">
      <c r="A2102" t="str">
        <f>"20190312172932797"</f>
        <v>20190312172932797</v>
      </c>
      <c r="B2102" t="str">
        <f>"1552382972789896"</f>
        <v>1552382972789896</v>
      </c>
      <c r="C2102" t="s">
        <v>40</v>
      </c>
      <c r="D2102">
        <v>3.4550290000000001</v>
      </c>
      <c r="E2102">
        <v>0.51333649999999997</v>
      </c>
      <c r="F2102" t="s">
        <v>42</v>
      </c>
      <c r="G2102">
        <v>-300.5754</v>
      </c>
      <c r="H2102">
        <v>1.0330649999999999</v>
      </c>
      <c r="I2102">
        <v>285.22359999999998</v>
      </c>
      <c r="J2102">
        <v>-299.7328</v>
      </c>
      <c r="K2102">
        <v>1.1137619999999999</v>
      </c>
      <c r="L2102">
        <v>285.14460000000003</v>
      </c>
      <c r="M2102">
        <v>-0.99941239999999998</v>
      </c>
      <c r="N2102">
        <v>0</v>
      </c>
      <c r="O2102">
        <v>3.2309230000000001E-2</v>
      </c>
      <c r="P2102">
        <v>-0.98385699999999998</v>
      </c>
      <c r="Q2102">
        <v>0.17630270000000001</v>
      </c>
      <c r="R2102">
        <v>3.070852E-2</v>
      </c>
      <c r="S2102">
        <v>-3.0806580000000001</v>
      </c>
      <c r="T2102">
        <v>-0.21868380000000001</v>
      </c>
      <c r="U2102">
        <v>0.2379761</v>
      </c>
      <c r="V2102">
        <v>-3.1594930000000002E-3</v>
      </c>
      <c r="W2102">
        <v>0.18753909999999999</v>
      </c>
      <c r="X2102">
        <v>0.98225209999999996</v>
      </c>
      <c r="Y2102">
        <v>4.4732330000000001E-2</v>
      </c>
      <c r="Z2102">
        <v>-7.0302709999999998E-4</v>
      </c>
      <c r="AA2102">
        <v>0.99899879999999996</v>
      </c>
      <c r="AB2102">
        <v>47</v>
      </c>
      <c r="AC2102">
        <v>-0.84260000000000401</v>
      </c>
      <c r="AD2102">
        <v>-8.0697000000000199E-2</v>
      </c>
      <c r="AE2102">
        <v>7.8999999999950804E-2</v>
      </c>
      <c r="AF2102">
        <v>5.12670776301428E-2</v>
      </c>
      <c r="AG2102">
        <v>-8.0697000000000199E-2</v>
      </c>
      <c r="AH2102">
        <v>0.83710150647827997</v>
      </c>
      <c r="AI2102">
        <v>95.496092309867606</v>
      </c>
      <c r="AJ2102">
        <v>86.495379706575605</v>
      </c>
      <c r="AK2102">
        <v>0.84254332304394897</v>
      </c>
      <c r="AL2102">
        <v>79.190796863644806</v>
      </c>
      <c r="AM2102">
        <v>90.184295854378306</v>
      </c>
      <c r="AN2102">
        <v>1.00000004218961</v>
      </c>
    </row>
    <row r="2103" spans="1:40" x14ac:dyDescent="0.25">
      <c r="A2103" t="str">
        <f>"20190312172932817"</f>
        <v>20190312172932817</v>
      </c>
      <c r="B2103" t="str">
        <f>"1552382972809414"</f>
        <v>1552382972809414</v>
      </c>
      <c r="C2103" t="s">
        <v>40</v>
      </c>
      <c r="D2103">
        <v>3.3826510000000001</v>
      </c>
      <c r="E2103">
        <v>0.50013299999999905</v>
      </c>
      <c r="F2103" t="s">
        <v>48</v>
      </c>
      <c r="G2103">
        <v>-317.00549999999998</v>
      </c>
      <c r="H2103" s="1">
        <v>5.2012869999999999E-6</v>
      </c>
      <c r="I2103">
        <v>286.01569999999998</v>
      </c>
      <c r="J2103">
        <v>-300.13170000000002</v>
      </c>
      <c r="K2103">
        <v>1.1137859999999999</v>
      </c>
      <c r="L2103">
        <v>285.15570000000002</v>
      </c>
      <c r="M2103">
        <v>-0.99950249999999996</v>
      </c>
      <c r="N2103">
        <v>0</v>
      </c>
      <c r="O2103">
        <v>2.9293349999999999E-2</v>
      </c>
      <c r="P2103">
        <v>-0.98397860000000004</v>
      </c>
      <c r="Q2103">
        <v>0.17612620000000001</v>
      </c>
      <c r="R2103">
        <v>2.767232E-2</v>
      </c>
      <c r="S2103">
        <v>-3.079987</v>
      </c>
      <c r="T2103">
        <v>-0.1985999</v>
      </c>
      <c r="U2103">
        <v>0.15533449999999999</v>
      </c>
      <c r="V2103">
        <v>-3.2301790000000001E-3</v>
      </c>
      <c r="W2103">
        <v>0.1875995</v>
      </c>
      <c r="X2103">
        <v>0.98224029999999996</v>
      </c>
      <c r="Y2103">
        <v>2.1106630000000001E-2</v>
      </c>
      <c r="Z2103">
        <v>-1.205933E-3</v>
      </c>
      <c r="AA2103">
        <v>0.99977649999999996</v>
      </c>
      <c r="AB2103">
        <v>47</v>
      </c>
      <c r="AC2103">
        <v>-16.8737999999999</v>
      </c>
      <c r="AD2103">
        <v>-1.113780798713</v>
      </c>
      <c r="AE2103">
        <v>0.85999999999995602</v>
      </c>
      <c r="AF2103">
        <v>0.363726382245456</v>
      </c>
      <c r="AG2103">
        <v>-1.113780798713</v>
      </c>
      <c r="AH2103">
        <v>16.818665023571501</v>
      </c>
      <c r="AI2103">
        <v>93.787877617484995</v>
      </c>
      <c r="AJ2103">
        <v>88.761094383260897</v>
      </c>
      <c r="AK2103">
        <v>16.859427562163201</v>
      </c>
      <c r="AL2103">
        <v>79.187273278445701</v>
      </c>
      <c r="AM2103">
        <v>90.188421261673</v>
      </c>
      <c r="AN2103">
        <v>1.0000000067003501</v>
      </c>
    </row>
    <row r="2104" spans="1:40" x14ac:dyDescent="0.25">
      <c r="A2104" t="str">
        <f>"20190312172932838"</f>
        <v>20190312172932838</v>
      </c>
      <c r="B2104" t="str">
        <f>"1552382972829911"</f>
        <v>1552382972829911</v>
      </c>
      <c r="C2104" t="s">
        <v>40</v>
      </c>
      <c r="D2104">
        <v>3.3576679999999999</v>
      </c>
      <c r="E2104">
        <v>0.4940966</v>
      </c>
      <c r="F2104" t="s">
        <v>48</v>
      </c>
      <c r="G2104">
        <v>-319.80220000000003</v>
      </c>
      <c r="H2104" s="1">
        <v>6.4932559999999998E-6</v>
      </c>
      <c r="I2104">
        <v>285.42399999999998</v>
      </c>
      <c r="J2104">
        <v>-300.59140000000002</v>
      </c>
      <c r="K2104">
        <v>1.1137969999999999</v>
      </c>
      <c r="L2104">
        <v>285.1669</v>
      </c>
      <c r="M2104">
        <v>-0.99959489999999995</v>
      </c>
      <c r="N2104">
        <v>0</v>
      </c>
      <c r="O2104">
        <v>2.583624E-2</v>
      </c>
      <c r="P2104">
        <v>-0.98421420000000004</v>
      </c>
      <c r="Q2104">
        <v>0.1753644</v>
      </c>
      <c r="R2104">
        <v>2.387183E-2</v>
      </c>
      <c r="S2104">
        <v>-3.078827</v>
      </c>
      <c r="T2104">
        <v>-0.17432879999999901</v>
      </c>
      <c r="U2104">
        <v>4.1992189999999999E-2</v>
      </c>
      <c r="V2104">
        <v>-3.6230360000000001E-3</v>
      </c>
      <c r="W2104">
        <v>0.18708150000000001</v>
      </c>
      <c r="X2104">
        <v>0.98233769999999998</v>
      </c>
      <c r="Y2104">
        <v>-1.214167E-2</v>
      </c>
      <c r="Z2104">
        <v>-1.805025E-3</v>
      </c>
      <c r="AA2104">
        <v>0.9999247</v>
      </c>
      <c r="AB2104">
        <v>47</v>
      </c>
      <c r="AC2104">
        <v>-19.210799999999999</v>
      </c>
      <c r="AD2104">
        <v>-1.1137905067439999</v>
      </c>
      <c r="AE2104">
        <v>0.25710000000003602</v>
      </c>
      <c r="AF2104">
        <v>-0.23855432288655201</v>
      </c>
      <c r="AG2104">
        <v>-1.1137905067439999</v>
      </c>
      <c r="AH2104">
        <v>19.1466817458229</v>
      </c>
      <c r="AI2104">
        <v>93.328969681719698</v>
      </c>
      <c r="AJ2104">
        <v>90.713828582832306</v>
      </c>
      <c r="AK2104">
        <v>19.180533343306902</v>
      </c>
      <c r="AL2104">
        <v>79.217487200915699</v>
      </c>
      <c r="AM2104">
        <v>90.211316058212404</v>
      </c>
      <c r="AN2104">
        <v>0.99999998543669799</v>
      </c>
    </row>
    <row r="2105" spans="1:40" x14ac:dyDescent="0.25">
      <c r="A2105" t="str">
        <f>"20190312172932850"</f>
        <v>20190312172932850</v>
      </c>
      <c r="B2105" t="str">
        <f>"1552382972839673"</f>
        <v>1552382972839673</v>
      </c>
      <c r="C2105" t="s">
        <v>40</v>
      </c>
      <c r="D2105">
        <v>3.3135520000000001</v>
      </c>
      <c r="E2105">
        <v>0.49250189999999999</v>
      </c>
      <c r="F2105" t="s">
        <v>47</v>
      </c>
      <c r="G2105">
        <v>-321.71960000000001</v>
      </c>
      <c r="H2105" s="1">
        <v>-6.4066119999999897E-7</v>
      </c>
      <c r="I2105">
        <v>285.05059999999997</v>
      </c>
      <c r="J2105">
        <v>-300.83850000000001</v>
      </c>
      <c r="K2105">
        <v>1.1137919999999999</v>
      </c>
      <c r="L2105">
        <v>285.17230000000001</v>
      </c>
      <c r="M2105">
        <v>-0.99963939999999996</v>
      </c>
      <c r="N2105">
        <v>0</v>
      </c>
      <c r="O2105">
        <v>2.3992059999999999E-2</v>
      </c>
      <c r="P2105">
        <v>-0.98434069999999996</v>
      </c>
      <c r="Q2105">
        <v>0.17492260000000001</v>
      </c>
      <c r="R2105">
        <v>2.180023E-2</v>
      </c>
      <c r="S2105">
        <v>-3.077423</v>
      </c>
      <c r="T2105">
        <v>-0.16222929999999999</v>
      </c>
      <c r="U2105">
        <v>-1.6937259999999999E-2</v>
      </c>
      <c r="V2105">
        <v>-3.8724760000000001E-3</v>
      </c>
      <c r="W2105">
        <v>0.18675729999999999</v>
      </c>
      <c r="X2105">
        <v>0.98239849999999995</v>
      </c>
      <c r="Y2105">
        <v>-2.9421329999999999E-2</v>
      </c>
      <c r="Z2105">
        <v>-2.0388419999999999E-3</v>
      </c>
      <c r="AA2105">
        <v>0.99956500000000004</v>
      </c>
      <c r="AB2105">
        <v>47</v>
      </c>
      <c r="AC2105">
        <v>-20.8811</v>
      </c>
      <c r="AD2105">
        <v>-1.1137926406612</v>
      </c>
      <c r="AE2105">
        <v>-0.121700000000032</v>
      </c>
      <c r="AF2105">
        <v>-0.62091548100990201</v>
      </c>
      <c r="AG2105">
        <v>-1.1137926406612</v>
      </c>
      <c r="AH2105">
        <v>20.8129549086248</v>
      </c>
      <c r="AI2105">
        <v>93.061867266348301</v>
      </c>
      <c r="AJ2105">
        <v>91.708805306032104</v>
      </c>
      <c r="AK2105">
        <v>20.851982210557299</v>
      </c>
      <c r="AL2105">
        <v>79.236396443627299</v>
      </c>
      <c r="AM2105">
        <v>90.225850692855701</v>
      </c>
      <c r="AN2105">
        <v>1.0000000489879499</v>
      </c>
    </row>
    <row r="2106" spans="1:40" x14ac:dyDescent="0.25">
      <c r="A2106" t="str">
        <f>"20190312172932862"</f>
        <v>20190312172932862</v>
      </c>
      <c r="B2106" t="str">
        <f>"1552382972849432"</f>
        <v>1552382972849432</v>
      </c>
      <c r="C2106" t="s">
        <v>40</v>
      </c>
      <c r="D2106">
        <v>3.3454799999999998</v>
      </c>
      <c r="E2106">
        <v>0.49126449999999999</v>
      </c>
      <c r="F2106" t="s">
        <v>47</v>
      </c>
      <c r="G2106">
        <v>-321.774</v>
      </c>
      <c r="H2106" s="1">
        <v>-6.0641019999999997E-7</v>
      </c>
      <c r="I2106">
        <v>284.92939999999999</v>
      </c>
      <c r="J2106">
        <v>-301.09440000000001</v>
      </c>
      <c r="K2106">
        <v>1.1137840000000001</v>
      </c>
      <c r="L2106">
        <v>285.17750000000001</v>
      </c>
      <c r="M2106">
        <v>-0.99968179999999995</v>
      </c>
      <c r="N2106">
        <v>0</v>
      </c>
      <c r="O2106">
        <v>2.209036E-2</v>
      </c>
      <c r="P2106">
        <v>-0.98446009999999995</v>
      </c>
      <c r="Q2106">
        <v>0.1745071</v>
      </c>
      <c r="R2106">
        <v>1.9640879999999999E-2</v>
      </c>
      <c r="S2106">
        <v>-3.0776059999999998</v>
      </c>
      <c r="T2106">
        <v>-0.16373180000000001</v>
      </c>
      <c r="U2106">
        <v>-3.5705569999999999E-2</v>
      </c>
      <c r="V2106">
        <v>-4.15191E-3</v>
      </c>
      <c r="W2106">
        <v>0.1864575</v>
      </c>
      <c r="X2106">
        <v>0.98245420000000006</v>
      </c>
      <c r="Y2106">
        <v>-3.3609880000000002E-2</v>
      </c>
      <c r="Z2106">
        <v>-2.0677920000000002E-3</v>
      </c>
      <c r="AA2106">
        <v>0.99943289999999996</v>
      </c>
      <c r="AB2106">
        <v>47</v>
      </c>
      <c r="AC2106">
        <v>-20.679599999999901</v>
      </c>
      <c r="AD2106">
        <v>-1.1137846064101999</v>
      </c>
      <c r="AE2106">
        <v>-0.248100000000022</v>
      </c>
      <c r="AF2106">
        <v>-0.70285458929920996</v>
      </c>
      <c r="AG2106">
        <v>-1.1137846064101999</v>
      </c>
      <c r="AH2106">
        <v>20.6092970581084</v>
      </c>
      <c r="AI2106">
        <v>93.0916226088397</v>
      </c>
      <c r="AJ2106">
        <v>91.953244687862593</v>
      </c>
      <c r="AK2106">
        <v>20.6513352099212</v>
      </c>
      <c r="AL2106">
        <v>79.2538797227473</v>
      </c>
      <c r="AM2106">
        <v>90.242133937385105</v>
      </c>
      <c r="AN2106">
        <v>0.99999994638026701</v>
      </c>
    </row>
    <row r="2107" spans="1:40" x14ac:dyDescent="0.25">
      <c r="A2107" t="str">
        <f>"20190312172932873"</f>
        <v>20190312172932873</v>
      </c>
      <c r="B2107" t="str">
        <f>"1552382972869927"</f>
        <v>1552382972869927</v>
      </c>
      <c r="C2107" t="s">
        <v>40</v>
      </c>
      <c r="D2107">
        <v>3.3583409999999998</v>
      </c>
      <c r="E2107">
        <v>0.48959209999999898</v>
      </c>
      <c r="F2107" t="s">
        <v>47</v>
      </c>
      <c r="G2107">
        <v>-321.7756</v>
      </c>
      <c r="H2107" s="1">
        <v>-6.0116100000000005E-7</v>
      </c>
      <c r="I2107">
        <v>284.82819999999998</v>
      </c>
      <c r="J2107">
        <v>-301.32380000000001</v>
      </c>
      <c r="K2107">
        <v>1.1137649999999999</v>
      </c>
      <c r="L2107">
        <v>285.18150000000003</v>
      </c>
      <c r="M2107">
        <v>-0.9997163</v>
      </c>
      <c r="N2107">
        <v>0</v>
      </c>
      <c r="O2107">
        <v>2.0410210000000002E-2</v>
      </c>
      <c r="P2107">
        <v>-0.98454870000000005</v>
      </c>
      <c r="Q2107">
        <v>0.17423</v>
      </c>
      <c r="R2107">
        <v>1.7545649999999999E-2</v>
      </c>
      <c r="S2107">
        <v>-3.0777890000000001</v>
      </c>
      <c r="T2107">
        <v>-0.16575419999999999</v>
      </c>
      <c r="U2107">
        <v>-5.1971440000000001E-2</v>
      </c>
      <c r="V2107">
        <v>-4.5821289999999999E-3</v>
      </c>
      <c r="W2107">
        <v>0.18627199999999999</v>
      </c>
      <c r="X2107">
        <v>0.98248760000000002</v>
      </c>
      <c r="Y2107">
        <v>-3.72054E-2</v>
      </c>
      <c r="Z2107">
        <v>-2.0994410000000001E-3</v>
      </c>
      <c r="AA2107">
        <v>0.99930540000000001</v>
      </c>
      <c r="AB2107">
        <v>47</v>
      </c>
      <c r="AC2107">
        <v>-20.451799999999899</v>
      </c>
      <c r="AD2107">
        <v>-1.113765601161</v>
      </c>
      <c r="AE2107">
        <v>-0.35330000000004702</v>
      </c>
      <c r="AF2107">
        <v>-0.76840522594213201</v>
      </c>
      <c r="AG2107">
        <v>-1.113765601161</v>
      </c>
      <c r="AH2107">
        <v>20.3799052920929</v>
      </c>
      <c r="AI2107">
        <v>93.125896576586399</v>
      </c>
      <c r="AJ2107">
        <v>92.159260848855794</v>
      </c>
      <c r="AK2107">
        <v>20.4247756443066</v>
      </c>
      <c r="AL2107">
        <v>79.264698945347007</v>
      </c>
      <c r="AM2107">
        <v>90.267214313367006</v>
      </c>
      <c r="AN2107">
        <v>1.0000000690219599</v>
      </c>
    </row>
    <row r="2108" spans="1:40" x14ac:dyDescent="0.25">
      <c r="A2108" t="str">
        <f>"20190312172932886"</f>
        <v>20190312172932886</v>
      </c>
      <c r="B2108" t="str">
        <f>"1552382972879687"</f>
        <v>1552382972879687</v>
      </c>
      <c r="C2108" t="s">
        <v>40</v>
      </c>
      <c r="D2108">
        <v>3.3600750000000001</v>
      </c>
      <c r="E2108">
        <v>0.48890450000000002</v>
      </c>
      <c r="F2108" t="s">
        <v>47</v>
      </c>
      <c r="G2108">
        <v>-322.25830000000002</v>
      </c>
      <c r="H2108" s="1">
        <v>-3.385672E-7</v>
      </c>
      <c r="I2108">
        <v>284.69740000000002</v>
      </c>
      <c r="J2108">
        <v>-301.59469999999999</v>
      </c>
      <c r="K2108">
        <v>1.11374</v>
      </c>
      <c r="L2108">
        <v>285.18599999999998</v>
      </c>
      <c r="M2108">
        <v>-0.99975320000000001</v>
      </c>
      <c r="N2108">
        <v>0</v>
      </c>
      <c r="O2108">
        <v>1.8437760000000001E-2</v>
      </c>
      <c r="P2108">
        <v>-0.98463389999999995</v>
      </c>
      <c r="Q2108">
        <v>0.17396020000000001</v>
      </c>
      <c r="R2108">
        <v>1.52985E-2</v>
      </c>
      <c r="S2108">
        <v>-3.0773619999999999</v>
      </c>
      <c r="T2108">
        <v>-0.16372249999999999</v>
      </c>
      <c r="U2108">
        <v>-7.1166989999999999E-2</v>
      </c>
      <c r="V2108">
        <v>-4.8732139999999998E-3</v>
      </c>
      <c r="W2108">
        <v>0.18610750000000001</v>
      </c>
      <c r="X2108">
        <v>0.98251730000000004</v>
      </c>
      <c r="Y2108">
        <v>-4.1465429999999998E-2</v>
      </c>
      <c r="Z2108">
        <v>-2.0822919999999999E-3</v>
      </c>
      <c r="AA2108">
        <v>0.99913779999999996</v>
      </c>
      <c r="AB2108">
        <v>47</v>
      </c>
      <c r="AC2108">
        <v>-20.663599999999999</v>
      </c>
      <c r="AD2108">
        <v>-1.1137403385672</v>
      </c>
      <c r="AE2108">
        <v>-0.48859999999996201</v>
      </c>
      <c r="AF2108">
        <v>-0.86701934834046002</v>
      </c>
      <c r="AG2108">
        <v>-1.1137403385672</v>
      </c>
      <c r="AH2108">
        <v>20.591291850011199</v>
      </c>
      <c r="AI2108">
        <v>93.093257798465103</v>
      </c>
      <c r="AJ2108">
        <v>92.411078594143603</v>
      </c>
      <c r="AK2108">
        <v>20.639608526919499</v>
      </c>
      <c r="AL2108">
        <v>79.2742910651626</v>
      </c>
      <c r="AM2108">
        <v>90.284180548532504</v>
      </c>
      <c r="AN2108">
        <v>0.99999999728511402</v>
      </c>
    </row>
    <row r="2109" spans="1:40" x14ac:dyDescent="0.25">
      <c r="A2109" t="str">
        <f>"20190312172932898"</f>
        <v>20190312172932898</v>
      </c>
      <c r="B2109" t="str">
        <f>"1552382972889447"</f>
        <v>1552382972889447</v>
      </c>
      <c r="C2109" t="s">
        <v>40</v>
      </c>
      <c r="D2109">
        <v>3.364906</v>
      </c>
      <c r="E2109">
        <v>0.48844460000000001</v>
      </c>
      <c r="F2109" t="s">
        <v>47</v>
      </c>
      <c r="G2109">
        <v>-322.68439999999998</v>
      </c>
      <c r="H2109" s="1">
        <v>-1.082595E-7</v>
      </c>
      <c r="I2109">
        <v>284.61559999999997</v>
      </c>
      <c r="J2109">
        <v>-301.85329999999999</v>
      </c>
      <c r="K2109">
        <v>1.1137049999999999</v>
      </c>
      <c r="L2109">
        <v>285.18970000000002</v>
      </c>
      <c r="M2109">
        <v>-0.99978440000000002</v>
      </c>
      <c r="N2109">
        <v>0</v>
      </c>
      <c r="O2109">
        <v>1.6590009999999999E-2</v>
      </c>
      <c r="P2109">
        <v>-0.98466679999999995</v>
      </c>
      <c r="Q2109">
        <v>0.1739328</v>
      </c>
      <c r="R2109">
        <v>1.338249E-2</v>
      </c>
      <c r="S2109">
        <v>-3.076813</v>
      </c>
      <c r="T2109">
        <v>-0.16248580000000001</v>
      </c>
      <c r="U2109">
        <v>-8.3221439999999994E-2</v>
      </c>
      <c r="V2109">
        <v>-4.9532650000000001E-3</v>
      </c>
      <c r="W2109">
        <v>0.18617259999999999</v>
      </c>
      <c r="X2109">
        <v>0.9825045</v>
      </c>
      <c r="Y2109">
        <v>-4.3535829999999998E-2</v>
      </c>
      <c r="Z2109">
        <v>-2.0239809999999998E-3</v>
      </c>
      <c r="AA2109">
        <v>0.99904979999999999</v>
      </c>
      <c r="AB2109">
        <v>47</v>
      </c>
      <c r="AC2109">
        <v>-20.8310999999999</v>
      </c>
      <c r="AD2109">
        <v>-1.1137051082595</v>
      </c>
      <c r="AE2109">
        <v>-0.57410000000004302</v>
      </c>
      <c r="AF2109">
        <v>-0.91701691170933897</v>
      </c>
      <c r="AG2109">
        <v>-1.1137051082595</v>
      </c>
      <c r="AH2109">
        <v>20.759414911064798</v>
      </c>
      <c r="AI2109">
        <v>93.067885200346097</v>
      </c>
      <c r="AJ2109">
        <v>92.529313296284698</v>
      </c>
      <c r="AK2109">
        <v>20.809482610922</v>
      </c>
      <c r="AL2109">
        <v>79.270494055862898</v>
      </c>
      <c r="AM2109">
        <v>90.288852391968803</v>
      </c>
      <c r="AN2109">
        <v>0.99999993217258198</v>
      </c>
    </row>
    <row r="2110" spans="1:40" x14ac:dyDescent="0.25">
      <c r="A2110" t="str">
        <f>"20190312172932916"</f>
        <v>20190312172932916</v>
      </c>
      <c r="B2110" t="str">
        <f>"1552382972909943"</f>
        <v>1552382972909943</v>
      </c>
      <c r="C2110" t="s">
        <v>40</v>
      </c>
      <c r="D2110">
        <v>3.3121990000000001</v>
      </c>
      <c r="E2110">
        <v>0.48772320000000002</v>
      </c>
      <c r="F2110" t="s">
        <v>47</v>
      </c>
      <c r="G2110">
        <v>-323.14830000000001</v>
      </c>
      <c r="H2110" s="1">
        <v>1.4154030000000001E-7</v>
      </c>
      <c r="I2110">
        <v>284.54860000000002</v>
      </c>
      <c r="J2110">
        <v>-302.22469999999998</v>
      </c>
      <c r="K2110">
        <v>1.1136440000000001</v>
      </c>
      <c r="L2110">
        <v>285.19420000000002</v>
      </c>
      <c r="M2110">
        <v>-0.99982260000000001</v>
      </c>
      <c r="N2110">
        <v>0</v>
      </c>
      <c r="O2110">
        <v>1.399098E-2</v>
      </c>
      <c r="P2110">
        <v>-0.98486910000000005</v>
      </c>
      <c r="Q2110">
        <v>0.1729677</v>
      </c>
      <c r="R2110">
        <v>1.0737490000000001E-2</v>
      </c>
      <c r="S2110">
        <v>-3.0763240000000001</v>
      </c>
      <c r="T2110">
        <v>-0.1608887</v>
      </c>
      <c r="U2110">
        <v>-9.2620850000000005E-2</v>
      </c>
      <c r="V2110">
        <v>-5.0032649999999998E-3</v>
      </c>
      <c r="W2110">
        <v>0.1853321</v>
      </c>
      <c r="X2110">
        <v>0.98266319999999996</v>
      </c>
      <c r="Y2110">
        <v>-4.3997620000000001E-2</v>
      </c>
      <c r="Z2110">
        <v>-1.880598E-3</v>
      </c>
      <c r="AA2110">
        <v>0.99902990000000003</v>
      </c>
      <c r="AB2110">
        <v>47</v>
      </c>
      <c r="AC2110">
        <v>-20.9236</v>
      </c>
      <c r="AD2110">
        <v>-1.1136438584596999</v>
      </c>
      <c r="AE2110">
        <v>-0.64560000000000095</v>
      </c>
      <c r="AF2110">
        <v>-0.935653724715102</v>
      </c>
      <c r="AG2110">
        <v>-1.1136438584596999</v>
      </c>
      <c r="AH2110">
        <v>20.8535002662564</v>
      </c>
      <c r="AI2110">
        <v>93.053808303502194</v>
      </c>
      <c r="AJ2110">
        <v>92.569020941480602</v>
      </c>
      <c r="AK2110">
        <v>20.904165228269999</v>
      </c>
      <c r="AL2110">
        <v>79.319504755048598</v>
      </c>
      <c r="AM2110">
        <v>90.291720999802195</v>
      </c>
      <c r="AN2110">
        <v>0.99999999229265502</v>
      </c>
    </row>
    <row r="2111" spans="1:40" x14ac:dyDescent="0.25">
      <c r="A2111" t="str">
        <f>"20190312172932928"</f>
        <v>20190312172932928</v>
      </c>
      <c r="B2111" t="str">
        <f>"1552382972919703"</f>
        <v>1552382972919703</v>
      </c>
      <c r="C2111" t="s">
        <v>40</v>
      </c>
      <c r="D2111">
        <v>3.3594300000000001</v>
      </c>
      <c r="E2111">
        <v>0.4874849</v>
      </c>
      <c r="F2111" t="s">
        <v>47</v>
      </c>
      <c r="G2111">
        <v>-323.62759999999997</v>
      </c>
      <c r="H2111" s="1">
        <v>4.0062E-7</v>
      </c>
      <c r="I2111">
        <v>284.45620000000002</v>
      </c>
      <c r="J2111">
        <v>-302.47620000000001</v>
      </c>
      <c r="K2111">
        <v>1.1135949999999999</v>
      </c>
      <c r="L2111">
        <v>285.19690000000003</v>
      </c>
      <c r="M2111">
        <v>-0.99984430000000002</v>
      </c>
      <c r="N2111">
        <v>0</v>
      </c>
      <c r="O2111">
        <v>1.227118E-2</v>
      </c>
      <c r="P2111">
        <v>-0.98495350000000004</v>
      </c>
      <c r="Q2111">
        <v>0.1725904</v>
      </c>
      <c r="R2111">
        <v>8.9036849999999997E-3</v>
      </c>
      <c r="S2111">
        <v>-3.0753780000000002</v>
      </c>
      <c r="T2111">
        <v>-0.16001960000000001</v>
      </c>
      <c r="U2111">
        <v>-0.10604860000000001</v>
      </c>
      <c r="V2111">
        <v>-5.1169570000000001E-3</v>
      </c>
      <c r="W2111">
        <v>0.18502979999999999</v>
      </c>
      <c r="X2111">
        <v>0.98271960000000003</v>
      </c>
      <c r="Y2111">
        <v>-4.6645289999999999E-2</v>
      </c>
      <c r="Z2111">
        <v>-1.8503079999999999E-3</v>
      </c>
      <c r="AA2111">
        <v>0.99890979999999996</v>
      </c>
      <c r="AB2111">
        <v>47</v>
      </c>
      <c r="AC2111">
        <v>-21.151399999999899</v>
      </c>
      <c r="AD2111">
        <v>-1.1135945993799901</v>
      </c>
      <c r="AE2111">
        <v>-0.74070000000000302</v>
      </c>
      <c r="AF2111">
        <v>-0.99745627469744003</v>
      </c>
      <c r="AG2111">
        <v>-1.1135945993799901</v>
      </c>
      <c r="AH2111">
        <v>21.082350799936901</v>
      </c>
      <c r="AI2111">
        <v>93.020248399540407</v>
      </c>
      <c r="AJ2111">
        <v>92.708779954910398</v>
      </c>
      <c r="AK2111">
        <v>21.135291036635898</v>
      </c>
      <c r="AL2111">
        <v>79.337130313552606</v>
      </c>
      <c r="AM2111">
        <v>90.298332698880202</v>
      </c>
      <c r="AN2111">
        <v>1.00000001118056</v>
      </c>
    </row>
    <row r="2112" spans="1:40" x14ac:dyDescent="0.25">
      <c r="A2112" t="str">
        <f>"20190312172932939"</f>
        <v>20190312172932939</v>
      </c>
      <c r="B2112" t="str">
        <f>"1552382972929463"</f>
        <v>1552382972929463</v>
      </c>
      <c r="C2112" t="s">
        <v>40</v>
      </c>
      <c r="D2112">
        <v>3.3611309999999999</v>
      </c>
      <c r="E2112">
        <v>0.48723300000000003</v>
      </c>
      <c r="F2112" t="s">
        <v>47</v>
      </c>
      <c r="G2112">
        <v>-323.93979999999999</v>
      </c>
      <c r="H2112" s="1">
        <v>5.6888000000000005E-7</v>
      </c>
      <c r="I2112">
        <v>284.40820000000002</v>
      </c>
      <c r="J2112">
        <v>-302.72219999999999</v>
      </c>
      <c r="K2112">
        <v>1.113537</v>
      </c>
      <c r="L2112">
        <v>285.19900000000001</v>
      </c>
      <c r="M2112">
        <v>-0.99986229999999998</v>
      </c>
      <c r="N2112">
        <v>0</v>
      </c>
      <c r="O2112">
        <v>1.0628469999999999E-2</v>
      </c>
      <c r="P2112">
        <v>-0.98502120000000004</v>
      </c>
      <c r="Q2112">
        <v>0.17227919999999999</v>
      </c>
      <c r="R2112">
        <v>7.3075900000000001E-3</v>
      </c>
      <c r="S2112">
        <v>-3.0747990000000001</v>
      </c>
      <c r="T2112">
        <v>-0.15952959999999999</v>
      </c>
      <c r="U2112">
        <v>-0.1129761</v>
      </c>
      <c r="V2112">
        <v>-5.0670519999999998E-3</v>
      </c>
      <c r="W2112">
        <v>0.18478849999999999</v>
      </c>
      <c r="X2112">
        <v>0.98276529999999995</v>
      </c>
      <c r="Y2112">
        <v>-4.7260150000000001E-2</v>
      </c>
      <c r="Z2112">
        <v>-1.775705E-3</v>
      </c>
      <c r="AA2112">
        <v>0.99888100000000002</v>
      </c>
      <c r="AB2112">
        <v>47</v>
      </c>
      <c r="AC2112">
        <v>-21.217600000000001</v>
      </c>
      <c r="AD2112">
        <v>-1.11353643112</v>
      </c>
      <c r="AE2112">
        <v>-0.79079999999998996</v>
      </c>
      <c r="AF2112">
        <v>-1.01349663180836</v>
      </c>
      <c r="AG2112">
        <v>-1.11353643112</v>
      </c>
      <c r="AH2112">
        <v>21.149822845997001</v>
      </c>
      <c r="AI2112">
        <v>93.010387281338794</v>
      </c>
      <c r="AJ2112">
        <v>92.743507255273997</v>
      </c>
      <c r="AK2112">
        <v>21.203352216646699</v>
      </c>
      <c r="AL2112">
        <v>79.351198796356798</v>
      </c>
      <c r="AM2112">
        <v>90.295409414272697</v>
      </c>
      <c r="AN2112">
        <v>1.0000000498161501</v>
      </c>
    </row>
    <row r="2113" spans="1:40" x14ac:dyDescent="0.25">
      <c r="A2113" t="str">
        <f>"20190312172932950"</f>
        <v>20190312172932950</v>
      </c>
      <c r="B2113" t="str">
        <f>"1552382972939223"</f>
        <v>1552382972939223</v>
      </c>
      <c r="C2113" t="s">
        <v>40</v>
      </c>
      <c r="D2113">
        <v>3.3428710000000001</v>
      </c>
      <c r="E2113">
        <v>0.48706899999999997</v>
      </c>
      <c r="F2113" t="s">
        <v>47</v>
      </c>
      <c r="G2113">
        <v>-324.2518</v>
      </c>
      <c r="H2113" s="1">
        <v>7.3693669999999897E-7</v>
      </c>
      <c r="I2113">
        <v>284.36149999999998</v>
      </c>
      <c r="J2113">
        <v>-302.9468</v>
      </c>
      <c r="K2113">
        <v>1.1134770000000001</v>
      </c>
      <c r="L2113">
        <v>285.20060000000001</v>
      </c>
      <c r="M2113">
        <v>-0.99987599999999999</v>
      </c>
      <c r="N2113">
        <v>0</v>
      </c>
      <c r="O2113">
        <v>9.1743659999999998E-3</v>
      </c>
      <c r="P2113">
        <v>-0.98502990000000001</v>
      </c>
      <c r="Q2113">
        <v>0.1722803</v>
      </c>
      <c r="R2113">
        <v>5.9758429999999998E-3</v>
      </c>
      <c r="S2113">
        <v>-3.0743710000000002</v>
      </c>
      <c r="T2113">
        <v>-0.15900989999999901</v>
      </c>
      <c r="U2113">
        <v>-0.11959839999999999</v>
      </c>
      <c r="V2113">
        <v>-4.9404729999999999E-3</v>
      </c>
      <c r="W2113">
        <v>0.18484200000000001</v>
      </c>
      <c r="X2113">
        <v>0.98275579999999996</v>
      </c>
      <c r="Y2113">
        <v>-4.7962629999999999E-2</v>
      </c>
      <c r="Z2113">
        <v>-1.7131119999999999E-3</v>
      </c>
      <c r="AA2113">
        <v>0.99884770000000001</v>
      </c>
      <c r="AB2113">
        <v>47</v>
      </c>
      <c r="AC2113">
        <v>-21.305</v>
      </c>
      <c r="AD2113">
        <v>-1.1134762630632999</v>
      </c>
      <c r="AE2113">
        <v>-0.83910000000003004</v>
      </c>
      <c r="AF2113">
        <v>-1.0317267779529999</v>
      </c>
      <c r="AG2113">
        <v>-1.1134762630632999</v>
      </c>
      <c r="AH2113">
        <v>21.238481634023898</v>
      </c>
      <c r="AI2113">
        <v>92.997587060135004</v>
      </c>
      <c r="AJ2113">
        <v>92.781138369688406</v>
      </c>
      <c r="AK2113">
        <v>21.292660511348</v>
      </c>
      <c r="AL2113">
        <v>79.348078857773999</v>
      </c>
      <c r="AM2113">
        <v>90.288032761682402</v>
      </c>
      <c r="AN2113">
        <v>0.99999996783555101</v>
      </c>
    </row>
    <row r="2114" spans="1:40" x14ac:dyDescent="0.25">
      <c r="A2114" t="str">
        <f>"20190312172932961"</f>
        <v>20190312172932961</v>
      </c>
      <c r="B2114" t="str">
        <f>"1552382972949960"</f>
        <v>1552382972949960</v>
      </c>
      <c r="C2114" t="s">
        <v>40</v>
      </c>
      <c r="D2114">
        <v>3.367102</v>
      </c>
      <c r="E2114">
        <v>0.48695349999999998</v>
      </c>
      <c r="F2114" t="s">
        <v>47</v>
      </c>
      <c r="G2114">
        <v>-324.6438</v>
      </c>
      <c r="H2114" s="1">
        <v>9.4730500000000005E-7</v>
      </c>
      <c r="I2114">
        <v>284.32150000000001</v>
      </c>
      <c r="J2114">
        <v>-303.18959999999998</v>
      </c>
      <c r="K2114">
        <v>1.11341</v>
      </c>
      <c r="L2114">
        <v>285.20209999999997</v>
      </c>
      <c r="M2114">
        <v>-0.9998882</v>
      </c>
      <c r="N2114">
        <v>0</v>
      </c>
      <c r="O2114">
        <v>7.6276529999999999E-3</v>
      </c>
      <c r="P2114">
        <v>-0.98503090000000004</v>
      </c>
      <c r="Q2114">
        <v>0.17231859999999999</v>
      </c>
      <c r="R2114">
        <v>4.498284E-3</v>
      </c>
      <c r="S2114">
        <v>-3.073944</v>
      </c>
      <c r="T2114">
        <v>-0.157753</v>
      </c>
      <c r="U2114">
        <v>-0.12454220000000001</v>
      </c>
      <c r="V2114">
        <v>-4.8644739999999997E-3</v>
      </c>
      <c r="W2114">
        <v>0.18493100000000001</v>
      </c>
      <c r="X2114">
        <v>0.98273949999999999</v>
      </c>
      <c r="Y2114">
        <v>-4.8029969999999998E-2</v>
      </c>
      <c r="Z2114">
        <v>-1.622194E-3</v>
      </c>
      <c r="AA2114">
        <v>0.99884459999999997</v>
      </c>
      <c r="AB2114">
        <v>47</v>
      </c>
      <c r="AC2114">
        <v>-21.4542</v>
      </c>
      <c r="AD2114">
        <v>-1.113409052695</v>
      </c>
      <c r="AE2114">
        <v>-0.88059999999995797</v>
      </c>
      <c r="AF2114">
        <v>-1.04143293241166</v>
      </c>
      <c r="AG2114">
        <v>-1.113409052695</v>
      </c>
      <c r="AH2114">
        <v>21.389347253368001</v>
      </c>
      <c r="AI2114">
        <v>92.976286952231902</v>
      </c>
      <c r="AJ2114">
        <v>92.787491638212202</v>
      </c>
      <c r="AK2114">
        <v>21.4436106613718</v>
      </c>
      <c r="AL2114">
        <v>79.342890762991203</v>
      </c>
      <c r="AM2114">
        <v>90.283606747739697</v>
      </c>
      <c r="AN2114">
        <v>1.0000000313642701</v>
      </c>
    </row>
    <row r="2115" spans="1:40" x14ac:dyDescent="0.25">
      <c r="A2115" t="str">
        <f>"20190312172932973"</f>
        <v>20190312172932973</v>
      </c>
      <c r="B2115" t="str">
        <f>"1552382972969480"</f>
        <v>1552382972969480</v>
      </c>
      <c r="C2115" t="s">
        <v>40</v>
      </c>
      <c r="D2115">
        <v>3.3120270000000001</v>
      </c>
      <c r="E2115">
        <v>0.4868808</v>
      </c>
      <c r="F2115" t="s">
        <v>47</v>
      </c>
      <c r="G2115">
        <v>-325.10079999999999</v>
      </c>
      <c r="H2115" s="1">
        <v>1.192485E-6</v>
      </c>
      <c r="I2115">
        <v>284.27640000000002</v>
      </c>
      <c r="J2115">
        <v>-303.4205</v>
      </c>
      <c r="K2115">
        <v>1.1131610000000001</v>
      </c>
      <c r="L2115">
        <v>285.20310000000001</v>
      </c>
      <c r="M2115">
        <v>-0.99990349999999995</v>
      </c>
      <c r="N2115">
        <v>0</v>
      </c>
      <c r="O2115">
        <v>6.2331390000000004E-3</v>
      </c>
      <c r="P2115">
        <v>-0.98493779999999997</v>
      </c>
      <c r="Q2115">
        <v>0.17287669999999999</v>
      </c>
      <c r="R2115">
        <v>3.3084270000000001E-3</v>
      </c>
      <c r="S2115">
        <v>-3.073547</v>
      </c>
      <c r="T2115">
        <v>-0.15618109999999999</v>
      </c>
      <c r="U2115">
        <v>-0.1298523</v>
      </c>
      <c r="V2115">
        <v>-4.6249059999999998E-3</v>
      </c>
      <c r="W2115">
        <v>0.18505559999999999</v>
      </c>
      <c r="X2115">
        <v>0.98271719999999896</v>
      </c>
      <c r="Y2115">
        <v>-4.8367609999999998E-2</v>
      </c>
      <c r="Z2115">
        <v>-1.5439749999999999E-3</v>
      </c>
      <c r="AA2115">
        <v>0.99882839999999995</v>
      </c>
      <c r="AB2115">
        <v>47</v>
      </c>
      <c r="AC2115">
        <v>-21.6802999999999</v>
      </c>
      <c r="AD2115">
        <v>-1.113159807515</v>
      </c>
      <c r="AE2115">
        <v>-0.92669999999998198</v>
      </c>
      <c r="AF2115">
        <v>-1.0590419404785101</v>
      </c>
      <c r="AG2115">
        <v>-1.113159807515</v>
      </c>
      <c r="AH2115">
        <v>21.6172178930013</v>
      </c>
      <c r="AI2115">
        <v>92.944267697444801</v>
      </c>
      <c r="AJ2115">
        <v>92.804716081746804</v>
      </c>
      <c r="AK2115">
        <v>21.671751291075999</v>
      </c>
      <c r="AL2115">
        <v>79.335626308679693</v>
      </c>
      <c r="AM2115">
        <v>90.269645873799405</v>
      </c>
      <c r="AN2115">
        <v>1.0000000300113501</v>
      </c>
    </row>
    <row r="2116" spans="1:40" x14ac:dyDescent="0.25">
      <c r="A2116" t="str">
        <f>"20190312172932987"</f>
        <v>20190312172932987</v>
      </c>
      <c r="B2116" t="str">
        <f>"1552382972979239"</f>
        <v>1552382972979239</v>
      </c>
      <c r="C2116" t="s">
        <v>40</v>
      </c>
      <c r="D2116">
        <v>3.312964</v>
      </c>
      <c r="E2116">
        <v>0.4869405</v>
      </c>
      <c r="F2116" t="s">
        <v>47</v>
      </c>
      <c r="G2116">
        <v>-325.70670000000001</v>
      </c>
      <c r="H2116" s="1">
        <v>1.5168039999999999E-6</v>
      </c>
      <c r="I2116">
        <v>284.23309999999998</v>
      </c>
      <c r="J2116">
        <v>-303.709</v>
      </c>
      <c r="K2116">
        <v>1.112803</v>
      </c>
      <c r="L2116">
        <v>285.20420000000001</v>
      </c>
      <c r="M2116">
        <v>-0.99992099999999995</v>
      </c>
      <c r="N2116">
        <v>0</v>
      </c>
      <c r="O2116">
        <v>4.5437809999999898E-3</v>
      </c>
      <c r="P2116">
        <v>-0.98478220000000005</v>
      </c>
      <c r="Q2116">
        <v>0.17378469999999999</v>
      </c>
      <c r="R2116">
        <v>1.7539350000000001E-3</v>
      </c>
      <c r="S2116">
        <v>-3.0733030000000001</v>
      </c>
      <c r="T2116">
        <v>-0.15350629999999901</v>
      </c>
      <c r="U2116">
        <v>-0.1337585</v>
      </c>
      <c r="V2116">
        <v>-4.4410200000000004E-3</v>
      </c>
      <c r="W2116">
        <v>0.18528520000000001</v>
      </c>
      <c r="X2116">
        <v>0.98267479999999996</v>
      </c>
      <c r="Y2116">
        <v>-4.7955600000000001E-2</v>
      </c>
      <c r="Z2116">
        <v>-1.423066E-3</v>
      </c>
      <c r="AA2116">
        <v>0.99884839999999997</v>
      </c>
      <c r="AB2116">
        <v>47</v>
      </c>
      <c r="AC2116">
        <v>-21.997699999999998</v>
      </c>
      <c r="AD2116">
        <v>-1.112801483196</v>
      </c>
      <c r="AE2116">
        <v>-0.97110000000003505</v>
      </c>
      <c r="AF2116">
        <v>-1.0683209877666799</v>
      </c>
      <c r="AG2116">
        <v>-1.112801483196</v>
      </c>
      <c r="AH2116">
        <v>21.937031081098802</v>
      </c>
      <c r="AI2116">
        <v>92.900526739094701</v>
      </c>
      <c r="AJ2116">
        <v>92.788069306130794</v>
      </c>
      <c r="AK2116">
        <v>21.9912020937238</v>
      </c>
      <c r="AL2116">
        <v>79.322239860629196</v>
      </c>
      <c r="AM2116">
        <v>90.258936089973204</v>
      </c>
      <c r="AN2116">
        <v>1.00000004527635</v>
      </c>
    </row>
    <row r="2117" spans="1:40" x14ac:dyDescent="0.25">
      <c r="A2117" t="str">
        <f>"20190312172933001"</f>
        <v>20190312172933001</v>
      </c>
      <c r="B2117" t="str">
        <f>"1552382972989975"</f>
        <v>1552382972989975</v>
      </c>
      <c r="C2117" t="s">
        <v>40</v>
      </c>
      <c r="D2117">
        <v>3.3191510000000002</v>
      </c>
      <c r="E2117">
        <v>0.48700959999999899</v>
      </c>
      <c r="F2117" t="s">
        <v>47</v>
      </c>
      <c r="G2117">
        <v>-326.34199999999998</v>
      </c>
      <c r="H2117" s="1">
        <v>1.8568E-6</v>
      </c>
      <c r="I2117">
        <v>284.18900000000002</v>
      </c>
      <c r="J2117">
        <v>-304.03399999999999</v>
      </c>
      <c r="K2117">
        <v>1.112363</v>
      </c>
      <c r="L2117">
        <v>285.20490000000001</v>
      </c>
      <c r="M2117">
        <v>-0.99993840000000001</v>
      </c>
      <c r="N2117">
        <v>0</v>
      </c>
      <c r="O2117">
        <v>2.7891320000000002E-3</v>
      </c>
      <c r="P2117">
        <v>-0.98459479999999999</v>
      </c>
      <c r="Q2117">
        <v>0.1748519</v>
      </c>
      <c r="R2117" s="1">
        <v>6.083515E-5</v>
      </c>
      <c r="S2117">
        <v>-3.0733030000000001</v>
      </c>
      <c r="T2117">
        <v>-0.15110589999999999</v>
      </c>
      <c r="U2117">
        <v>-0.1378479</v>
      </c>
      <c r="V2117">
        <v>-4.3181699999999996E-3</v>
      </c>
      <c r="W2117">
        <v>0.18538740000000001</v>
      </c>
      <c r="X2117">
        <v>0.98265610000000003</v>
      </c>
      <c r="Y2117">
        <v>-4.7533939999999997E-2</v>
      </c>
      <c r="Z2117">
        <v>-1.304258E-3</v>
      </c>
      <c r="AA2117">
        <v>0.9988688</v>
      </c>
      <c r="AB2117">
        <v>48</v>
      </c>
      <c r="AC2117">
        <v>-22.308</v>
      </c>
      <c r="AD2117">
        <v>-1.1123611432</v>
      </c>
      <c r="AE2117">
        <v>-1.01589999999998</v>
      </c>
      <c r="AF2117">
        <v>-1.07545113198641</v>
      </c>
      <c r="AG2117">
        <v>-1.1123611432</v>
      </c>
      <c r="AH2117">
        <v>22.249872070994702</v>
      </c>
      <c r="AI2117">
        <v>92.858733059773698</v>
      </c>
      <c r="AJ2117">
        <v>92.767246996712998</v>
      </c>
      <c r="AK2117">
        <v>22.3036039604773</v>
      </c>
      <c r="AL2117">
        <v>79.316281292988506</v>
      </c>
      <c r="AM2117">
        <v>90.251778138529104</v>
      </c>
      <c r="AN2117">
        <v>1.0000000727690499</v>
      </c>
    </row>
    <row r="2118" spans="1:40" x14ac:dyDescent="0.25">
      <c r="A2118" t="str">
        <f>"20190312172933018"</f>
        <v>20190312172933018</v>
      </c>
      <c r="B2118" t="str">
        <f>"1552382973009495"</f>
        <v>1552382973009495</v>
      </c>
      <c r="C2118" t="s">
        <v>40</v>
      </c>
      <c r="D2118">
        <v>3.3175479999999999</v>
      </c>
      <c r="E2118">
        <v>0.48717860000000002</v>
      </c>
      <c r="F2118" t="s">
        <v>47</v>
      </c>
      <c r="G2118">
        <v>-327.0652</v>
      </c>
      <c r="H2118" s="1">
        <v>2.2437939999999998E-6</v>
      </c>
      <c r="I2118">
        <v>284.13920000000002</v>
      </c>
      <c r="J2118">
        <v>-304.38650000000001</v>
      </c>
      <c r="K2118">
        <v>1.1119049999999999</v>
      </c>
      <c r="L2118">
        <v>285.20530000000002</v>
      </c>
      <c r="M2118">
        <v>-0.99995279999999998</v>
      </c>
      <c r="N2118">
        <v>0</v>
      </c>
      <c r="O2118">
        <v>9.8807239999999991E-4</v>
      </c>
      <c r="P2118">
        <v>-0.9843729</v>
      </c>
      <c r="Q2118">
        <v>0.17609029999999901</v>
      </c>
      <c r="R2118">
        <v>-1.6416200000000001E-3</v>
      </c>
      <c r="S2118">
        <v>-3.073334</v>
      </c>
      <c r="T2118">
        <v>-0.14843619999999999</v>
      </c>
      <c r="U2118">
        <v>-0.1422119</v>
      </c>
      <c r="V2118">
        <v>-4.1446449999999998E-3</v>
      </c>
      <c r="W2118">
        <v>0.18558140000000001</v>
      </c>
      <c r="X2118">
        <v>0.98262020000000005</v>
      </c>
      <c r="Y2118">
        <v>-4.7154429999999997E-2</v>
      </c>
      <c r="Z2118">
        <v>-1.1851349999999999E-3</v>
      </c>
      <c r="AA2118">
        <v>0.99888690000000002</v>
      </c>
      <c r="AB2118">
        <v>48</v>
      </c>
      <c r="AC2118">
        <v>-22.6786999999999</v>
      </c>
      <c r="AD2118">
        <v>-1.111902756206</v>
      </c>
      <c r="AE2118">
        <v>-1.0661</v>
      </c>
      <c r="AF2118">
        <v>-1.0859041891422401</v>
      </c>
      <c r="AG2118">
        <v>-1.111902756206</v>
      </c>
      <c r="AH2118">
        <v>22.6233734691222</v>
      </c>
      <c r="AI2118">
        <v>92.810501603503397</v>
      </c>
      <c r="AJ2118">
        <v>92.748043361773895</v>
      </c>
      <c r="AK2118">
        <v>22.676696028536298</v>
      </c>
      <c r="AL2118">
        <v>79.304969331475704</v>
      </c>
      <c r="AM2118">
        <v>90.241669424061499</v>
      </c>
      <c r="AN2118">
        <v>1.00000004577808</v>
      </c>
    </row>
    <row r="2119" spans="1:40" x14ac:dyDescent="0.25">
      <c r="A2119" t="str">
        <f>"20190312172933039"</f>
        <v>20190312172933039</v>
      </c>
      <c r="B2119" t="str">
        <f>"1552382973029991"</f>
        <v>1552382973029991</v>
      </c>
      <c r="C2119" t="s">
        <v>40</v>
      </c>
      <c r="D2119">
        <v>3.3655339999999998</v>
      </c>
      <c r="E2119">
        <v>0.48714590000000002</v>
      </c>
      <c r="F2119" t="s">
        <v>47</v>
      </c>
      <c r="G2119">
        <v>-327.84530000000001</v>
      </c>
      <c r="H2119" s="1">
        <v>2.6609359999999999E-6</v>
      </c>
      <c r="I2119">
        <v>284.0942</v>
      </c>
      <c r="J2119">
        <v>-304.84949999999998</v>
      </c>
      <c r="K2119">
        <v>1.111415</v>
      </c>
      <c r="L2119">
        <v>285.20510000000002</v>
      </c>
      <c r="M2119">
        <v>-0.99996379999999996</v>
      </c>
      <c r="N2119">
        <v>0</v>
      </c>
      <c r="O2119">
        <v>-1.221747E-3</v>
      </c>
      <c r="P2119">
        <v>-0.98409279999999999</v>
      </c>
      <c r="Q2119">
        <v>0.177619</v>
      </c>
      <c r="R2119">
        <v>-3.6191550000000002E-3</v>
      </c>
      <c r="S2119">
        <v>-3.0734560000000002</v>
      </c>
      <c r="T2119">
        <v>-0.1456759</v>
      </c>
      <c r="U2119">
        <v>-0.1455688</v>
      </c>
      <c r="V2119">
        <v>-3.8276849999999999E-3</v>
      </c>
      <c r="W2119">
        <v>0.18587890000000001</v>
      </c>
      <c r="X2119">
        <v>0.98256520000000003</v>
      </c>
      <c r="Y2119">
        <v>-4.603956E-2</v>
      </c>
      <c r="Z2119">
        <v>-1.0320259999999999E-3</v>
      </c>
      <c r="AA2119">
        <v>0.99893909999999997</v>
      </c>
      <c r="AB2119">
        <v>48</v>
      </c>
      <c r="AC2119">
        <v>-22.995799999999999</v>
      </c>
      <c r="AD2119">
        <v>-1.1114123390640001</v>
      </c>
      <c r="AE2119">
        <v>-1.11090000000001</v>
      </c>
      <c r="AF2119">
        <v>-1.0802855663698201</v>
      </c>
      <c r="AG2119">
        <v>-1.1114123390640001</v>
      </c>
      <c r="AH2119">
        <v>22.9436708923262</v>
      </c>
      <c r="AI2119">
        <v>92.770227755891895</v>
      </c>
      <c r="AJ2119">
        <v>92.695737973649599</v>
      </c>
      <c r="AK2119">
        <v>22.995962434908101</v>
      </c>
      <c r="AL2119">
        <v>79.287621451669096</v>
      </c>
      <c r="AM2119">
        <v>90.223200543249504</v>
      </c>
      <c r="AN2119">
        <v>0.99999999444435395</v>
      </c>
    </row>
    <row r="2120" spans="1:40" x14ac:dyDescent="0.25">
      <c r="A2120" t="str">
        <f>"20190312172933052"</f>
        <v>20190312172933052</v>
      </c>
      <c r="B2120" t="str">
        <f>"1552382973039751"</f>
        <v>1552382973039751</v>
      </c>
      <c r="C2120" t="s">
        <v>40</v>
      </c>
      <c r="D2120">
        <v>3.3713739999999999</v>
      </c>
      <c r="E2120">
        <v>0.48718909999999999</v>
      </c>
      <c r="F2120" t="s">
        <v>47</v>
      </c>
      <c r="G2120">
        <v>-329.38990000000001</v>
      </c>
      <c r="H2120" s="1">
        <v>3.4871789999999999E-6</v>
      </c>
      <c r="I2120">
        <v>283.99610000000001</v>
      </c>
      <c r="J2120">
        <v>-305.1164</v>
      </c>
      <c r="K2120">
        <v>1.1112329999999999</v>
      </c>
      <c r="L2120">
        <v>285.20460000000003</v>
      </c>
      <c r="M2120">
        <v>-0.99996609999999997</v>
      </c>
      <c r="N2120">
        <v>0</v>
      </c>
      <c r="O2120">
        <v>-2.3638980000000001E-3</v>
      </c>
      <c r="P2120">
        <v>-0.98396680000000003</v>
      </c>
      <c r="Q2120">
        <v>0.1782936</v>
      </c>
      <c r="R2120">
        <v>-4.5723389999999999E-3</v>
      </c>
      <c r="S2120">
        <v>-3.0730590000000002</v>
      </c>
      <c r="T2120">
        <v>-0.13917550000000001</v>
      </c>
      <c r="U2120">
        <v>-0.1513977</v>
      </c>
      <c r="V2120">
        <v>-3.6059759999999999E-3</v>
      </c>
      <c r="W2120">
        <v>0.18602179999999999</v>
      </c>
      <c r="X2120">
        <v>0.98253900000000005</v>
      </c>
      <c r="Y2120">
        <v>-4.6799760000000003E-2</v>
      </c>
      <c r="Z2120">
        <v>-9.5163099999999998E-4</v>
      </c>
      <c r="AA2120">
        <v>0.99890380000000001</v>
      </c>
      <c r="AB2120">
        <v>48</v>
      </c>
      <c r="AC2120">
        <v>-24.273499999999999</v>
      </c>
      <c r="AD2120">
        <v>-1.1112295128209999</v>
      </c>
      <c r="AE2120">
        <v>-1.2085000000000099</v>
      </c>
      <c r="AF2120">
        <v>-1.1487132789216901</v>
      </c>
      <c r="AG2120">
        <v>-1.1112295128209999</v>
      </c>
      <c r="AH2120">
        <v>24.2256432992858</v>
      </c>
      <c r="AI2120">
        <v>92.623371299344299</v>
      </c>
      <c r="AJ2120">
        <v>92.714774640593404</v>
      </c>
      <c r="AK2120">
        <v>24.278306499662701</v>
      </c>
      <c r="AL2120">
        <v>79.279288610214095</v>
      </c>
      <c r="AM2120">
        <v>90.210277941346405</v>
      </c>
      <c r="AN2120">
        <v>0.99999999982957599</v>
      </c>
    </row>
    <row r="2121" spans="1:40" x14ac:dyDescent="0.25">
      <c r="A2121" t="str">
        <f>"20190312172933064"</f>
        <v>20190312172933064</v>
      </c>
      <c r="B2121" t="str">
        <f>"1552382973059271"</f>
        <v>1552382973059271</v>
      </c>
      <c r="C2121" t="s">
        <v>40</v>
      </c>
      <c r="D2121">
        <v>3.380503</v>
      </c>
      <c r="E2121">
        <v>0.48721350000000002</v>
      </c>
      <c r="F2121" t="s">
        <v>47</v>
      </c>
      <c r="G2121">
        <v>-330.09699999999998</v>
      </c>
      <c r="H2121" s="1">
        <v>-1.456179E-6</v>
      </c>
      <c r="I2121">
        <v>283.95330000000001</v>
      </c>
      <c r="J2121">
        <v>-305.3725</v>
      </c>
      <c r="K2121">
        <v>1.1111</v>
      </c>
      <c r="L2121">
        <v>285.20400000000001</v>
      </c>
      <c r="M2121">
        <v>-0.99996660000000004</v>
      </c>
      <c r="N2121">
        <v>0</v>
      </c>
      <c r="O2121">
        <v>-3.4093330000000001E-3</v>
      </c>
      <c r="P2121">
        <v>-0.98391309999999998</v>
      </c>
      <c r="Q2121">
        <v>0.1785706</v>
      </c>
      <c r="R2121">
        <v>-5.2540989999999999E-3</v>
      </c>
      <c r="S2121">
        <v>-3.0729679999999999</v>
      </c>
      <c r="T2121">
        <v>-0.1366975</v>
      </c>
      <c r="U2121">
        <v>-0.1539307</v>
      </c>
      <c r="V2121">
        <v>-3.2143969999999999E-3</v>
      </c>
      <c r="W2121">
        <v>0.18586440000000001</v>
      </c>
      <c r="X2121">
        <v>0.98257019999999995</v>
      </c>
      <c r="Y2121">
        <v>-4.65811E-2</v>
      </c>
      <c r="Z2121">
        <v>-8.8340289999999904E-4</v>
      </c>
      <c r="AA2121">
        <v>0.99891410000000003</v>
      </c>
      <c r="AB2121">
        <v>48</v>
      </c>
      <c r="AC2121">
        <v>-24.7244999999999</v>
      </c>
      <c r="AD2121">
        <v>-1.111101456179</v>
      </c>
      <c r="AE2121">
        <v>-1.2506999999999899</v>
      </c>
      <c r="AF2121">
        <v>-1.16405150342063</v>
      </c>
      <c r="AG2121">
        <v>-1.111101456179</v>
      </c>
      <c r="AH2121">
        <v>24.678907644260999</v>
      </c>
      <c r="AI2121">
        <v>92.574988597871595</v>
      </c>
      <c r="AJ2121">
        <v>92.700518345369503</v>
      </c>
      <c r="AK2121">
        <v>24.731317087096301</v>
      </c>
      <c r="AL2121">
        <v>79.288467606254699</v>
      </c>
      <c r="AM2121">
        <v>90.187437726864204</v>
      </c>
      <c r="AN2121">
        <v>1.0000000527317301</v>
      </c>
    </row>
    <row r="2122" spans="1:40" x14ac:dyDescent="0.25">
      <c r="A2122" t="str">
        <f>"20190312172933075"</f>
        <v>20190312172933075</v>
      </c>
      <c r="B2122" t="str">
        <f>"1552382973070007"</f>
        <v>1552382973070007</v>
      </c>
      <c r="C2122" t="s">
        <v>40</v>
      </c>
      <c r="D2122">
        <v>3.390987</v>
      </c>
      <c r="E2122">
        <v>0.48726779999999997</v>
      </c>
      <c r="F2122" t="s">
        <v>47</v>
      </c>
      <c r="G2122">
        <v>-330.75830000000002</v>
      </c>
      <c r="H2122" s="1">
        <v>-1.102614E-6</v>
      </c>
      <c r="I2122">
        <v>283.91559999999998</v>
      </c>
      <c r="J2122">
        <v>-305.63150000000002</v>
      </c>
      <c r="K2122">
        <v>1.11107</v>
      </c>
      <c r="L2122">
        <v>285.20299999999997</v>
      </c>
      <c r="M2122">
        <v>-0.99996450000000003</v>
      </c>
      <c r="N2122">
        <v>0</v>
      </c>
      <c r="O2122">
        <v>-4.3098009999999898E-3</v>
      </c>
      <c r="P2122">
        <v>-0.98390299999999997</v>
      </c>
      <c r="Q2122">
        <v>0.17860100000000001</v>
      </c>
      <c r="R2122">
        <v>-6.0651150000000003E-3</v>
      </c>
      <c r="S2122">
        <v>-3.072632</v>
      </c>
      <c r="T2122">
        <v>-0.13448460000000001</v>
      </c>
      <c r="U2122">
        <v>-0.15594479999999999</v>
      </c>
      <c r="V2122">
        <v>-3.1095340000000002E-3</v>
      </c>
      <c r="W2122">
        <v>0.1857172</v>
      </c>
      <c r="X2122">
        <v>0.98259830000000004</v>
      </c>
      <c r="Y2122">
        <v>-4.6342630000000003E-2</v>
      </c>
      <c r="Z2122">
        <v>-8.2461699999999895E-4</v>
      </c>
      <c r="AA2122">
        <v>0.99892530000000002</v>
      </c>
      <c r="AB2122">
        <v>48</v>
      </c>
      <c r="AC2122">
        <v>-25.126799999999999</v>
      </c>
      <c r="AD2122">
        <v>-1.1110711026139899</v>
      </c>
      <c r="AE2122">
        <v>-1.2873999999999901</v>
      </c>
      <c r="AF2122">
        <v>-1.1767987480415401</v>
      </c>
      <c r="AG2122">
        <v>-1.1110711026139899</v>
      </c>
      <c r="AH2122">
        <v>25.083198904558699</v>
      </c>
      <c r="AI2122">
        <v>92.533500238985297</v>
      </c>
      <c r="AJ2122">
        <v>92.686108620401299</v>
      </c>
      <c r="AK2122">
        <v>25.135357597896</v>
      </c>
      <c r="AL2122">
        <v>79.297050235882693</v>
      </c>
      <c r="AM2122">
        <v>90.181317817977899</v>
      </c>
      <c r="AN2122">
        <v>0.99999998337021301</v>
      </c>
    </row>
    <row r="2123" spans="1:40" x14ac:dyDescent="0.25">
      <c r="A2123" t="str">
        <f>"20190312172933087"</f>
        <v>20190312172933087</v>
      </c>
      <c r="B2123" t="str">
        <f>"1552382973079767"</f>
        <v>1552382973079767</v>
      </c>
      <c r="C2123" t="s">
        <v>40</v>
      </c>
      <c r="D2123">
        <v>3.3654890000000002</v>
      </c>
      <c r="E2123">
        <v>0.48726809999999998</v>
      </c>
      <c r="F2123" t="s">
        <v>47</v>
      </c>
      <c r="G2123">
        <v>-331.09980000000002</v>
      </c>
      <c r="H2123" s="1">
        <v>-9.2005209999999998E-7</v>
      </c>
      <c r="I2123">
        <v>283.89569999999998</v>
      </c>
      <c r="J2123">
        <v>-305.88049999999998</v>
      </c>
      <c r="K2123">
        <v>1.1110599999999999</v>
      </c>
      <c r="L2123">
        <v>285.20190000000002</v>
      </c>
      <c r="M2123">
        <v>-0.99996130000000005</v>
      </c>
      <c r="N2123">
        <v>0</v>
      </c>
      <c r="O2123">
        <v>-5.1359309999999998E-3</v>
      </c>
      <c r="P2123">
        <v>-0.98390789999999995</v>
      </c>
      <c r="Q2123">
        <v>0.17854929999999999</v>
      </c>
      <c r="R2123">
        <v>-6.7557519999999899E-3</v>
      </c>
      <c r="S2123">
        <v>-3.0725099999999999</v>
      </c>
      <c r="T2123">
        <v>-0.1340404</v>
      </c>
      <c r="U2123">
        <v>-0.15771479999999999</v>
      </c>
      <c r="V2123">
        <v>-2.9592220000000001E-3</v>
      </c>
      <c r="W2123">
        <v>0.1855608</v>
      </c>
      <c r="X2123">
        <v>0.98262830000000001</v>
      </c>
      <c r="Y2123">
        <v>-4.6094629999999998E-2</v>
      </c>
      <c r="Z2123">
        <v>-7.8051450000000001E-4</v>
      </c>
      <c r="AA2123">
        <v>0.99893679999999996</v>
      </c>
      <c r="AB2123">
        <v>48</v>
      </c>
      <c r="AC2123">
        <v>-25.2193</v>
      </c>
      <c r="AD2123">
        <v>-1.1110609200521</v>
      </c>
      <c r="AE2123">
        <v>-1.30620000000004</v>
      </c>
      <c r="AF2123">
        <v>-1.1743815894692</v>
      </c>
      <c r="AG2123">
        <v>-1.1110609200521</v>
      </c>
      <c r="AH2123">
        <v>25.176940170815602</v>
      </c>
      <c r="AI2123">
        <v>92.524088232307506</v>
      </c>
      <c r="AJ2123">
        <v>92.670633182131496</v>
      </c>
      <c r="AK2123">
        <v>25.2287919815947</v>
      </c>
      <c r="AL2123">
        <v>79.306169686326498</v>
      </c>
      <c r="AM2123">
        <v>90.172547868479199</v>
      </c>
      <c r="AN2123">
        <v>0.99999997172618704</v>
      </c>
    </row>
    <row r="2124" spans="1:40" x14ac:dyDescent="0.25">
      <c r="A2124" t="str">
        <f>"20190312172933098"</f>
        <v>20190312172933098</v>
      </c>
      <c r="B2124" t="str">
        <f>"1552382973089528"</f>
        <v>1552382973089528</v>
      </c>
      <c r="C2124" t="s">
        <v>40</v>
      </c>
      <c r="D2124">
        <v>3.40835</v>
      </c>
      <c r="E2124">
        <v>0.48734670000000002</v>
      </c>
      <c r="F2124" t="s">
        <v>47</v>
      </c>
      <c r="G2124">
        <v>-331.44690000000003</v>
      </c>
      <c r="H2124" s="1">
        <v>-7.3425109999999997E-7</v>
      </c>
      <c r="I2124">
        <v>283.87139999999999</v>
      </c>
      <c r="J2124">
        <v>-306.13330000000002</v>
      </c>
      <c r="K2124">
        <v>1.1110789999999999</v>
      </c>
      <c r="L2124">
        <v>285.20049999999998</v>
      </c>
      <c r="M2124">
        <v>-0.99995699999999998</v>
      </c>
      <c r="N2124">
        <v>0</v>
      </c>
      <c r="O2124">
        <v>-5.9012319999999898E-3</v>
      </c>
      <c r="P2124">
        <v>-0.98392460000000004</v>
      </c>
      <c r="Q2124">
        <v>0.1784396</v>
      </c>
      <c r="R2124">
        <v>-7.1991549999999996E-3</v>
      </c>
      <c r="S2124">
        <v>-3.0722049999999999</v>
      </c>
      <c r="T2124">
        <v>-0.13351109999999999</v>
      </c>
      <c r="U2124">
        <v>-0.15988160000000001</v>
      </c>
      <c r="V2124">
        <v>-2.6237840000000001E-3</v>
      </c>
      <c r="W2124">
        <v>0.18546750000000001</v>
      </c>
      <c r="X2124">
        <v>0.98264689999999999</v>
      </c>
      <c r="Y2124">
        <v>-4.6038900000000001E-2</v>
      </c>
      <c r="Z2124">
        <v>-7.4307059999999996E-4</v>
      </c>
      <c r="AA2124">
        <v>0.99893940000000003</v>
      </c>
      <c r="AB2124">
        <v>48</v>
      </c>
      <c r="AC2124">
        <v>-25.313600000000001</v>
      </c>
      <c r="AD2124">
        <v>-1.1110797342511001</v>
      </c>
      <c r="AE2124">
        <v>-1.32909999999998</v>
      </c>
      <c r="AF2124">
        <v>-1.1774294546603801</v>
      </c>
      <c r="AG2124">
        <v>-1.1110797342511001</v>
      </c>
      <c r="AH2124">
        <v>25.272447695146099</v>
      </c>
      <c r="AI2124">
        <v>92.514610705722404</v>
      </c>
      <c r="AJ2124">
        <v>92.667450039340807</v>
      </c>
      <c r="AK2124">
        <v>25.324246302712702</v>
      </c>
      <c r="AL2124">
        <v>79.311610163031503</v>
      </c>
      <c r="AM2124">
        <v>90.152986176713398</v>
      </c>
      <c r="AN2124">
        <v>1.0000000039391601</v>
      </c>
    </row>
    <row r="2125" spans="1:40" x14ac:dyDescent="0.25">
      <c r="A2125" t="str">
        <f>"20190312172933110"</f>
        <v>20190312172933110</v>
      </c>
      <c r="B2125" t="str">
        <f>"1552382973099287"</f>
        <v>1552382973099287</v>
      </c>
      <c r="C2125" t="s">
        <v>40</v>
      </c>
      <c r="D2125">
        <v>3.4013</v>
      </c>
      <c r="E2125">
        <v>0.48741889999999999</v>
      </c>
      <c r="F2125" t="s">
        <v>47</v>
      </c>
      <c r="G2125">
        <v>-331.69299999999998</v>
      </c>
      <c r="H2125" s="1">
        <v>-6.0303390000000003E-7</v>
      </c>
      <c r="I2125">
        <v>283.86520000000002</v>
      </c>
      <c r="J2125">
        <v>-306.37569999999999</v>
      </c>
      <c r="K2125">
        <v>1.1110960000000001</v>
      </c>
      <c r="L2125">
        <v>285.19889999999998</v>
      </c>
      <c r="M2125">
        <v>-0.99995239999999996</v>
      </c>
      <c r="N2125">
        <v>0</v>
      </c>
      <c r="O2125">
        <v>-6.5866989999999997E-3</v>
      </c>
      <c r="P2125">
        <v>-0.98396740000000005</v>
      </c>
      <c r="Q2125">
        <v>0.17819389999999999</v>
      </c>
      <c r="R2125">
        <v>-7.426668E-3</v>
      </c>
      <c r="S2125">
        <v>-3.0720209999999999</v>
      </c>
      <c r="T2125">
        <v>-0.13354070000000001</v>
      </c>
      <c r="U2125">
        <v>-0.16049189999999999</v>
      </c>
      <c r="V2125">
        <v>-2.1492080000000001E-3</v>
      </c>
      <c r="W2125">
        <v>0.1852791</v>
      </c>
      <c r="X2125">
        <v>0.98268359999999999</v>
      </c>
      <c r="Y2125">
        <v>-4.5556230000000003E-2</v>
      </c>
      <c r="Z2125">
        <v>-7.0303610000000002E-4</v>
      </c>
      <c r="AA2125">
        <v>0.99896149999999995</v>
      </c>
      <c r="AB2125">
        <v>48</v>
      </c>
      <c r="AC2125">
        <v>-25.317299999999999</v>
      </c>
      <c r="AD2125">
        <v>-1.11109660303389</v>
      </c>
      <c r="AE2125">
        <v>-1.3336999999999599</v>
      </c>
      <c r="AF2125">
        <v>-1.16467229644871</v>
      </c>
      <c r="AG2125">
        <v>-1.11109660303389</v>
      </c>
      <c r="AH2125">
        <v>25.2769855310681</v>
      </c>
      <c r="AI2125">
        <v>92.514257535270602</v>
      </c>
      <c r="AJ2125">
        <v>92.638116921101798</v>
      </c>
      <c r="AK2125">
        <v>25.328185777059002</v>
      </c>
      <c r="AL2125">
        <v>79.322595151137804</v>
      </c>
      <c r="AM2125">
        <v>90.125310274187996</v>
      </c>
      <c r="AN2125">
        <v>1.0000000108503899</v>
      </c>
    </row>
    <row r="2126" spans="1:40" x14ac:dyDescent="0.25">
      <c r="A2126" t="str">
        <f>"20190312172933128"</f>
        <v>20190312172933128</v>
      </c>
      <c r="B2126" t="str">
        <f>"1552382973119783"</f>
        <v>1552382973119783</v>
      </c>
      <c r="C2126" t="s">
        <v>40</v>
      </c>
      <c r="D2126">
        <v>3.4087679999999998</v>
      </c>
      <c r="E2126">
        <v>0.48761890000000002</v>
      </c>
      <c r="F2126" t="s">
        <v>47</v>
      </c>
      <c r="G2126">
        <v>-331.83909999999997</v>
      </c>
      <c r="H2126" s="1">
        <v>-5.2524229999999999E-7</v>
      </c>
      <c r="I2126">
        <v>283.86410000000001</v>
      </c>
      <c r="J2126">
        <v>-306.77379999999999</v>
      </c>
      <c r="K2126">
        <v>1.1111040000000001</v>
      </c>
      <c r="L2126">
        <v>285.19600000000003</v>
      </c>
      <c r="M2126">
        <v>-0.9999439</v>
      </c>
      <c r="N2126">
        <v>0</v>
      </c>
      <c r="O2126">
        <v>-7.634984E-3</v>
      </c>
      <c r="P2126">
        <v>-0.98400840000000001</v>
      </c>
      <c r="Q2126">
        <v>0.1779713</v>
      </c>
      <c r="R2126">
        <v>-7.35307199999999E-3</v>
      </c>
      <c r="S2126">
        <v>-3.07193</v>
      </c>
      <c r="T2126">
        <v>-0.13404369999999999</v>
      </c>
      <c r="U2126">
        <v>-0.161041299999999</v>
      </c>
      <c r="V2126">
        <v>-9.9698410000000006E-4</v>
      </c>
      <c r="W2126">
        <v>0.18520039999999999</v>
      </c>
      <c r="X2126">
        <v>0.98270029999999997</v>
      </c>
      <c r="Y2126">
        <v>-4.4690180000000003E-2</v>
      </c>
      <c r="Z2126">
        <v>-6.4114100000000002E-4</v>
      </c>
      <c r="AA2126">
        <v>0.99900069999999996</v>
      </c>
      <c r="AB2126">
        <v>48</v>
      </c>
      <c r="AC2126">
        <v>-25.065299999999901</v>
      </c>
      <c r="AD2126">
        <v>-1.1111045252423</v>
      </c>
      <c r="AE2126">
        <v>-1.3318999999999599</v>
      </c>
      <c r="AF2126">
        <v>-1.1382524785355499</v>
      </c>
      <c r="AG2126">
        <v>-1.1111045252423</v>
      </c>
      <c r="AH2126">
        <v>25.025701484149501</v>
      </c>
      <c r="AI2126">
        <v>92.539557204051704</v>
      </c>
      <c r="AJ2126">
        <v>92.604208579924503</v>
      </c>
      <c r="AK2126">
        <v>25.076201999997298</v>
      </c>
      <c r="AL2126">
        <v>79.327183958304502</v>
      </c>
      <c r="AM2126">
        <v>90.058128568367295</v>
      </c>
      <c r="AN2126">
        <v>1.00000003087877</v>
      </c>
    </row>
    <row r="2127" spans="1:40" x14ac:dyDescent="0.25">
      <c r="A2127" t="str">
        <f>"20190312172933139"</f>
        <v>20190312172933139</v>
      </c>
      <c r="B2127" t="str">
        <f>"1552382973129543"</f>
        <v>1552382973129543</v>
      </c>
      <c r="C2127" t="s">
        <v>40</v>
      </c>
      <c r="D2127">
        <v>3.4120910000000002</v>
      </c>
      <c r="E2127">
        <v>0.48769980000000002</v>
      </c>
      <c r="F2127" t="s">
        <v>47</v>
      </c>
      <c r="G2127">
        <v>-332.16019999999997</v>
      </c>
      <c r="H2127" s="1">
        <v>-3.548531E-7</v>
      </c>
      <c r="I2127">
        <v>283.87479999999999</v>
      </c>
      <c r="J2127">
        <v>-307.0247</v>
      </c>
      <c r="K2127">
        <v>1.1110899999999999</v>
      </c>
      <c r="L2127">
        <v>285.19389999999999</v>
      </c>
      <c r="M2127">
        <v>-0.99993840000000001</v>
      </c>
      <c r="N2127">
        <v>0</v>
      </c>
      <c r="O2127">
        <v>-8.2501640000000008E-3</v>
      </c>
      <c r="P2127">
        <v>-0.98406260000000001</v>
      </c>
      <c r="Q2127">
        <v>0.17767179999999999</v>
      </c>
      <c r="R2127">
        <v>-7.35536E-3</v>
      </c>
      <c r="S2127">
        <v>-3.071869</v>
      </c>
      <c r="T2127">
        <v>-0.13444879999999901</v>
      </c>
      <c r="U2127">
        <v>-0.15988160000000001</v>
      </c>
      <c r="V2127">
        <v>-3.6018669999999999E-4</v>
      </c>
      <c r="W2127">
        <v>0.18500079999999999</v>
      </c>
      <c r="X2127">
        <v>0.98273829999999995</v>
      </c>
      <c r="Y2127">
        <v>-4.3701810000000001E-2</v>
      </c>
      <c r="Z2127">
        <v>-5.9459940000000005E-4</v>
      </c>
      <c r="AA2127">
        <v>0.99904440000000005</v>
      </c>
      <c r="AB2127">
        <v>49</v>
      </c>
      <c r="AC2127">
        <v>-25.135499999999901</v>
      </c>
      <c r="AD2127">
        <v>-1.1110903548530999</v>
      </c>
      <c r="AE2127">
        <v>-1.3190999999999899</v>
      </c>
      <c r="AF2127">
        <v>-1.1095153563458999</v>
      </c>
      <c r="AG2127">
        <v>-1.1110903548530999</v>
      </c>
      <c r="AH2127">
        <v>25.096623584695202</v>
      </c>
      <c r="AI2127">
        <v>92.532501778373401</v>
      </c>
      <c r="AJ2127">
        <v>92.531383525113895</v>
      </c>
      <c r="AK2127">
        <v>25.145696678646502</v>
      </c>
      <c r="AL2127">
        <v>79.338820917541099</v>
      </c>
      <c r="AM2127">
        <v>90.020999666770507</v>
      </c>
      <c r="AN2127">
        <v>0.99999999601099399</v>
      </c>
    </row>
    <row r="2128" spans="1:40" x14ac:dyDescent="0.25">
      <c r="A2128" t="str">
        <f>"20190312172933151"</f>
        <v>20190312172933151</v>
      </c>
      <c r="B2128" t="str">
        <f>"1552382973139303"</f>
        <v>1552382973139303</v>
      </c>
      <c r="C2128" t="s">
        <v>40</v>
      </c>
      <c r="D2128">
        <v>3.4114960000000001</v>
      </c>
      <c r="E2128">
        <v>0.48779289999999997</v>
      </c>
      <c r="F2128" t="s">
        <v>47</v>
      </c>
      <c r="G2128">
        <v>-332.27629999999999</v>
      </c>
      <c r="H2128" s="1">
        <v>-2.9329019999999999E-7</v>
      </c>
      <c r="I2128">
        <v>283.88010000000003</v>
      </c>
      <c r="J2128">
        <v>-307.26069999999999</v>
      </c>
      <c r="K2128">
        <v>1.1110629999999999</v>
      </c>
      <c r="L2128">
        <v>285.19170000000003</v>
      </c>
      <c r="M2128">
        <v>-0.99993279999999995</v>
      </c>
      <c r="N2128">
        <v>0</v>
      </c>
      <c r="O2128">
        <v>-8.7957709999999904E-3</v>
      </c>
      <c r="P2128">
        <v>-0.9841645</v>
      </c>
      <c r="Q2128">
        <v>0.177101799999999</v>
      </c>
      <c r="R2128">
        <v>-7.4275330000000001E-3</v>
      </c>
      <c r="S2128">
        <v>-3.071777</v>
      </c>
      <c r="T2128">
        <v>-0.13516069999999999</v>
      </c>
      <c r="U2128">
        <v>-0.15982060000000001</v>
      </c>
      <c r="V2128">
        <v>1.420998E-4</v>
      </c>
      <c r="W2128">
        <v>0.18452650000000001</v>
      </c>
      <c r="X2128">
        <v>0.98282749999999997</v>
      </c>
      <c r="Y2128">
        <v>-4.3139129999999998E-2</v>
      </c>
      <c r="Z2128">
        <v>-5.6142099999999999E-4</v>
      </c>
      <c r="AA2128">
        <v>0.99906890000000004</v>
      </c>
      <c r="AB2128">
        <v>49</v>
      </c>
      <c r="AC2128">
        <v>-25.015599999999999</v>
      </c>
      <c r="AD2128">
        <v>-1.11106329329019</v>
      </c>
      <c r="AE2128">
        <v>-1.3115999999999901</v>
      </c>
      <c r="AF2128">
        <v>-1.0893684168137101</v>
      </c>
      <c r="AG2128">
        <v>-1.11106329329019</v>
      </c>
      <c r="AH2128">
        <v>24.977032601490301</v>
      </c>
      <c r="AI2128">
        <v>92.544615960728194</v>
      </c>
      <c r="AJ2128">
        <v>92.497361540795495</v>
      </c>
      <c r="AK2128">
        <v>25.025453897285399</v>
      </c>
      <c r="AL2128">
        <v>79.366472124389404</v>
      </c>
      <c r="AM2128">
        <v>89.991716024680898</v>
      </c>
      <c r="AN2128">
        <v>0.99999997207542601</v>
      </c>
    </row>
    <row r="2129" spans="1:40" x14ac:dyDescent="0.25">
      <c r="A2129" t="str">
        <f>"20190312172933161"</f>
        <v>20190312172933161</v>
      </c>
      <c r="B2129" t="str">
        <f>"1552382973150039"</f>
        <v>1552382973150039</v>
      </c>
      <c r="C2129" t="s">
        <v>40</v>
      </c>
      <c r="D2129">
        <v>3.4174690000000001</v>
      </c>
      <c r="E2129">
        <v>0.48790909999999899</v>
      </c>
      <c r="F2129" t="s">
        <v>47</v>
      </c>
      <c r="G2129">
        <v>-332.20490000000001</v>
      </c>
      <c r="H2129" s="1">
        <v>-3.3214390000000002E-7</v>
      </c>
      <c r="I2129">
        <v>283.89960000000002</v>
      </c>
      <c r="J2129">
        <v>-307.50279999999998</v>
      </c>
      <c r="K2129">
        <v>1.11103</v>
      </c>
      <c r="L2129">
        <v>285.18939999999998</v>
      </c>
      <c r="M2129">
        <v>-0.99992729999999996</v>
      </c>
      <c r="N2129">
        <v>0</v>
      </c>
      <c r="O2129">
        <v>-9.3419149999999992E-3</v>
      </c>
      <c r="P2129">
        <v>-0.98424670000000003</v>
      </c>
      <c r="Q2129">
        <v>0.17664730000000001</v>
      </c>
      <c r="R2129">
        <v>-7.3820509999999997E-3</v>
      </c>
      <c r="S2129">
        <v>-3.0717159999999999</v>
      </c>
      <c r="T2129">
        <v>-0.1368202</v>
      </c>
      <c r="U2129">
        <v>-0.1591187</v>
      </c>
      <c r="V2129">
        <v>7.6407470000000003E-4</v>
      </c>
      <c r="W2129">
        <v>0.1841718</v>
      </c>
      <c r="X2129">
        <v>0.98289380000000004</v>
      </c>
      <c r="Y2129">
        <v>-4.236728E-2</v>
      </c>
      <c r="Z2129">
        <v>-5.2685690000000001E-4</v>
      </c>
      <c r="AA2129">
        <v>0.99910189999999999</v>
      </c>
      <c r="AB2129">
        <v>49</v>
      </c>
      <c r="AC2129">
        <v>-24.702100000000002</v>
      </c>
      <c r="AD2129">
        <v>-1.1110303321438999</v>
      </c>
      <c r="AE2129">
        <v>-1.2897999999999501</v>
      </c>
      <c r="AF2129">
        <v>-1.05683997263221</v>
      </c>
      <c r="AG2129">
        <v>-1.1110303321438999</v>
      </c>
      <c r="AH2129">
        <v>24.663314696328001</v>
      </c>
      <c r="AI2129">
        <v>92.576948682328293</v>
      </c>
      <c r="AJ2129">
        <v>92.453662445752499</v>
      </c>
      <c r="AK2129">
        <v>24.710936666520901</v>
      </c>
      <c r="AL2129">
        <v>79.387149938504393</v>
      </c>
      <c r="AM2129">
        <v>89.955459840397594</v>
      </c>
      <c r="AN2129">
        <v>1.00000002890191</v>
      </c>
    </row>
    <row r="2130" spans="1:40" x14ac:dyDescent="0.25">
      <c r="A2130" t="str">
        <f>"20190312172933172"</f>
        <v>20190312172933172</v>
      </c>
      <c r="B2130" t="str">
        <f>"1552382973169559"</f>
        <v>1552382973169559</v>
      </c>
      <c r="C2130" t="s">
        <v>40</v>
      </c>
      <c r="D2130">
        <v>3.4504280000000001</v>
      </c>
      <c r="E2130">
        <v>0.4881064</v>
      </c>
      <c r="F2130" t="s">
        <v>47</v>
      </c>
      <c r="G2130">
        <v>-332.19889999999998</v>
      </c>
      <c r="H2130" s="1">
        <v>-3.3608339999999997E-7</v>
      </c>
      <c r="I2130">
        <v>283.9169</v>
      </c>
      <c r="J2130">
        <v>-307.72559999999999</v>
      </c>
      <c r="K2130">
        <v>1.1109869999999999</v>
      </c>
      <c r="L2130">
        <v>285.18709999999999</v>
      </c>
      <c r="M2130">
        <v>-0.99992199999999998</v>
      </c>
      <c r="N2130">
        <v>0</v>
      </c>
      <c r="O2130">
        <v>-9.8108819999999999E-3</v>
      </c>
      <c r="P2130">
        <v>-0.98429670000000002</v>
      </c>
      <c r="Q2130">
        <v>0.17636250000000001</v>
      </c>
      <c r="R2130">
        <v>-7.5351810000000002E-3</v>
      </c>
      <c r="S2130">
        <v>-3.071625</v>
      </c>
      <c r="T2130">
        <v>-0.13818649999999999</v>
      </c>
      <c r="U2130">
        <v>-0.15826419999999999</v>
      </c>
      <c r="V2130">
        <v>1.1112629999999999E-3</v>
      </c>
      <c r="W2130">
        <v>0.1839819</v>
      </c>
      <c r="X2130">
        <v>0.98292900000000005</v>
      </c>
      <c r="Y2130">
        <v>-4.162358E-2</v>
      </c>
      <c r="Z2130">
        <v>-4.9435180000000003E-4</v>
      </c>
      <c r="AA2130">
        <v>0.99913320000000005</v>
      </c>
      <c r="AB2130">
        <v>49</v>
      </c>
      <c r="AC2130">
        <v>-24.473299999999899</v>
      </c>
      <c r="AD2130">
        <v>-1.1109873360833999</v>
      </c>
      <c r="AE2130">
        <v>-1.27019999999998</v>
      </c>
      <c r="AF2130">
        <v>-1.0279144116119201</v>
      </c>
      <c r="AG2130">
        <v>-1.1109873360833999</v>
      </c>
      <c r="AH2130">
        <v>24.434365486204701</v>
      </c>
      <c r="AI2130">
        <v>92.601047200128903</v>
      </c>
      <c r="AJ2130">
        <v>92.408920794001403</v>
      </c>
      <c r="AK2130">
        <v>24.481199268254102</v>
      </c>
      <c r="AL2130">
        <v>79.398219221186295</v>
      </c>
      <c r="AM2130">
        <v>89.935223548494605</v>
      </c>
      <c r="AN2130">
        <v>0.99999999673703199</v>
      </c>
    </row>
    <row r="2131" spans="1:40" x14ac:dyDescent="0.25">
      <c r="A2131" t="str">
        <f>"20190312172933185"</f>
        <v>20190312172933185</v>
      </c>
      <c r="B2131" t="str">
        <f>"1552382973179320"</f>
        <v>1552382973179320</v>
      </c>
      <c r="C2131" t="s">
        <v>40</v>
      </c>
      <c r="D2131">
        <v>3.4354110000000002</v>
      </c>
      <c r="E2131">
        <v>0.48820190000000002</v>
      </c>
      <c r="F2131" t="s">
        <v>47</v>
      </c>
      <c r="G2131">
        <v>-332.31319999999999</v>
      </c>
      <c r="H2131" s="1">
        <v>-2.7577830000000003E-7</v>
      </c>
      <c r="I2131">
        <v>283.92919999999998</v>
      </c>
      <c r="J2131">
        <v>-307.98480000000001</v>
      </c>
      <c r="K2131">
        <v>1.110927</v>
      </c>
      <c r="L2131">
        <v>285.18430000000001</v>
      </c>
      <c r="M2131">
        <v>-0.99991569999999996</v>
      </c>
      <c r="N2131">
        <v>0</v>
      </c>
      <c r="O2131">
        <v>-1.034767E-2</v>
      </c>
      <c r="P2131">
        <v>-0.98432739999999996</v>
      </c>
      <c r="Q2131">
        <v>0.17617910000000001</v>
      </c>
      <c r="R2131">
        <v>-7.7746890000000004E-3</v>
      </c>
      <c r="S2131">
        <v>-3.0715940000000002</v>
      </c>
      <c r="T2131">
        <v>-0.13878979999999999</v>
      </c>
      <c r="U2131">
        <v>-0.157135</v>
      </c>
      <c r="V2131">
        <v>1.4443829999999901E-3</v>
      </c>
      <c r="W2131">
        <v>0.18390970000000001</v>
      </c>
      <c r="X2131">
        <v>0.98294199999999998</v>
      </c>
      <c r="Y2131">
        <v>-4.0722550000000003E-2</v>
      </c>
      <c r="Z2131">
        <v>-4.5196130000000001E-4</v>
      </c>
      <c r="AA2131">
        <v>0.99917040000000001</v>
      </c>
      <c r="AB2131">
        <v>49</v>
      </c>
      <c r="AC2131">
        <v>-24.328399999999899</v>
      </c>
      <c r="AD2131">
        <v>-1.1109272757783</v>
      </c>
      <c r="AE2131">
        <v>-1.2551000000000201</v>
      </c>
      <c r="AF2131">
        <v>-1.00120065613798</v>
      </c>
      <c r="AG2131">
        <v>-1.1109272757783</v>
      </c>
      <c r="AH2131">
        <v>24.2895714154842</v>
      </c>
      <c r="AI2131">
        <v>92.616481945673002</v>
      </c>
      <c r="AJ2131">
        <v>92.360359348691802</v>
      </c>
      <c r="AK2131">
        <v>24.335567421242299</v>
      </c>
      <c r="AL2131">
        <v>79.402426963808196</v>
      </c>
      <c r="AM2131">
        <v>89.915806842788996</v>
      </c>
      <c r="AN2131">
        <v>0.99999991968016699</v>
      </c>
    </row>
    <row r="2132" spans="1:40" x14ac:dyDescent="0.25">
      <c r="A2132" t="str">
        <f>"20190312172933195"</f>
        <v>20190312172933195</v>
      </c>
      <c r="B2132" t="str">
        <f>"1552382973189079"</f>
        <v>1552382973189079</v>
      </c>
      <c r="C2132" t="s">
        <v>40</v>
      </c>
      <c r="D2132">
        <v>3.4467289999999999</v>
      </c>
      <c r="E2132">
        <v>0.48829800000000001</v>
      </c>
      <c r="F2132" t="s">
        <v>47</v>
      </c>
      <c r="G2132">
        <v>-332.46420000000001</v>
      </c>
      <c r="H2132" s="1">
        <v>-1.955415E-7</v>
      </c>
      <c r="I2132">
        <v>283.93200000000002</v>
      </c>
      <c r="J2132">
        <v>-308.24419999999998</v>
      </c>
      <c r="K2132">
        <v>1.1108559999999901</v>
      </c>
      <c r="L2132">
        <v>285.18130000000002</v>
      </c>
      <c r="M2132">
        <v>-0.99990950000000001</v>
      </c>
      <c r="N2132">
        <v>0</v>
      </c>
      <c r="O2132">
        <v>-1.0848760000000001E-2</v>
      </c>
      <c r="P2132">
        <v>-0.98439509999999997</v>
      </c>
      <c r="Q2132">
        <v>0.17578669999999999</v>
      </c>
      <c r="R2132">
        <v>-8.0855430000000006E-3</v>
      </c>
      <c r="S2132">
        <v>-3.071472</v>
      </c>
      <c r="T2132">
        <v>-0.1393896</v>
      </c>
      <c r="U2132">
        <v>-0.157135</v>
      </c>
      <c r="V2132">
        <v>1.6752379999999999E-3</v>
      </c>
      <c r="W2132">
        <v>0.18363270000000001</v>
      </c>
      <c r="X2132">
        <v>0.98299349999999996</v>
      </c>
      <c r="Y2132">
        <v>-4.0224599999999999E-2</v>
      </c>
      <c r="Z2132">
        <v>-4.199335E-4</v>
      </c>
      <c r="AA2132">
        <v>0.99919060000000004</v>
      </c>
      <c r="AB2132">
        <v>49</v>
      </c>
      <c r="AC2132">
        <v>-24.22</v>
      </c>
      <c r="AD2132">
        <v>-1.1108561955414999</v>
      </c>
      <c r="AE2132">
        <v>-1.2493000000000001</v>
      </c>
      <c r="AF2132">
        <v>-0.98439589085489998</v>
      </c>
      <c r="AG2132">
        <v>-1.1108561955414999</v>
      </c>
      <c r="AH2132">
        <v>24.181394863057101</v>
      </c>
      <c r="AI2132">
        <v>92.628057391571005</v>
      </c>
      <c r="AJ2132">
        <v>92.331156028090007</v>
      </c>
      <c r="AK2132">
        <v>24.2269043478566</v>
      </c>
      <c r="AL2132">
        <v>79.418573714548003</v>
      </c>
      <c r="AM2132">
        <v>89.902355433524505</v>
      </c>
      <c r="AN2132">
        <v>0.99999999798694805</v>
      </c>
    </row>
    <row r="2133" spans="1:40" x14ac:dyDescent="0.25">
      <c r="A2133" t="str">
        <f>"20190312172933219"</f>
        <v>20190312172933219</v>
      </c>
      <c r="B2133" t="str">
        <f>"1552382973209575"</f>
        <v>1552382973209575</v>
      </c>
      <c r="C2133" t="s">
        <v>40</v>
      </c>
      <c r="D2133">
        <v>3.4196499999999999</v>
      </c>
      <c r="E2133">
        <v>0.48845709999999998</v>
      </c>
      <c r="F2133" t="s">
        <v>47</v>
      </c>
      <c r="G2133">
        <v>-332.4873</v>
      </c>
      <c r="H2133" s="1">
        <v>-1.8364749999999999E-7</v>
      </c>
      <c r="I2133">
        <v>283.94049999999999</v>
      </c>
      <c r="J2133">
        <v>-308.7285</v>
      </c>
      <c r="K2133">
        <v>1.1107119999999999</v>
      </c>
      <c r="L2133">
        <v>285.1755</v>
      </c>
      <c r="M2133">
        <v>-0.9998977</v>
      </c>
      <c r="N2133">
        <v>0</v>
      </c>
      <c r="O2133">
        <v>-1.1741089999999999E-2</v>
      </c>
      <c r="P2133">
        <v>-0.98444310000000002</v>
      </c>
      <c r="Q2133">
        <v>0.1755071</v>
      </c>
      <c r="R2133">
        <v>-8.3049960000000003E-3</v>
      </c>
      <c r="S2133">
        <v>-3.0713499999999998</v>
      </c>
      <c r="T2133">
        <v>-0.140734</v>
      </c>
      <c r="U2133">
        <v>-0.157196</v>
      </c>
      <c r="V2133">
        <v>2.420331E-3</v>
      </c>
      <c r="W2133">
        <v>0.18356810000000001</v>
      </c>
      <c r="X2133">
        <v>0.98300399999999999</v>
      </c>
      <c r="Y2133">
        <v>-3.9355969999999997E-2</v>
      </c>
      <c r="Z2133">
        <v>-3.6328400000000001E-4</v>
      </c>
      <c r="AA2133">
        <v>0.99922520000000004</v>
      </c>
      <c r="AB2133">
        <v>49</v>
      </c>
      <c r="AC2133">
        <v>-23.758800000000001</v>
      </c>
      <c r="AD2133">
        <v>-1.1107121836475</v>
      </c>
      <c r="AE2133">
        <v>-1.2350000000000101</v>
      </c>
      <c r="AF2133">
        <v>-0.95387226350403698</v>
      </c>
      <c r="AG2133">
        <v>-1.1107121836475</v>
      </c>
      <c r="AH2133">
        <v>23.719962279735899</v>
      </c>
      <c r="AI2133">
        <v>92.678814778908205</v>
      </c>
      <c r="AJ2133">
        <v>92.302846102143306</v>
      </c>
      <c r="AK2133">
        <v>23.7651039215502</v>
      </c>
      <c r="AL2133">
        <v>79.422338886226299</v>
      </c>
      <c r="AM2133">
        <v>89.858927866930898</v>
      </c>
      <c r="AN2133">
        <v>0.99999998467787898</v>
      </c>
    </row>
    <row r="2134" spans="1:40" x14ac:dyDescent="0.25">
      <c r="A2134" t="str">
        <f>"20190312172933233"</f>
        <v>20190312172933233</v>
      </c>
      <c r="B2134" t="str">
        <f>"1552382973230072"</f>
        <v>1552382973230072</v>
      </c>
      <c r="C2134" t="s">
        <v>40</v>
      </c>
      <c r="D2134">
        <v>3.4549569999999998</v>
      </c>
      <c r="E2134">
        <v>0.48863469999999998</v>
      </c>
      <c r="F2134" t="s">
        <v>47</v>
      </c>
      <c r="G2134">
        <v>-332.79680000000002</v>
      </c>
      <c r="H2134" s="1">
        <v>-1.9152300000000001E-8</v>
      </c>
      <c r="I2134">
        <v>283.94580000000002</v>
      </c>
      <c r="J2134">
        <v>-309.05939999999998</v>
      </c>
      <c r="K2134">
        <v>1.110614</v>
      </c>
      <c r="L2134">
        <v>285.17129999999997</v>
      </c>
      <c r="M2134">
        <v>-0.99988960000000005</v>
      </c>
      <c r="N2134">
        <v>0</v>
      </c>
      <c r="O2134">
        <v>-1.2307759999999999E-2</v>
      </c>
      <c r="P2134">
        <v>-0.98437359999999896</v>
      </c>
      <c r="Q2134">
        <v>0.1758815</v>
      </c>
      <c r="R2134">
        <v>-8.6256519999999993E-3</v>
      </c>
      <c r="S2134">
        <v>-3.0713499999999998</v>
      </c>
      <c r="T2134">
        <v>-0.14173769999999999</v>
      </c>
      <c r="U2134">
        <v>-0.15692139999999999</v>
      </c>
      <c r="V2134">
        <v>2.7097610000000002E-3</v>
      </c>
      <c r="W2134">
        <v>0.18408459999999999</v>
      </c>
      <c r="X2134">
        <v>0.98290670000000002</v>
      </c>
      <c r="Y2134">
        <v>-3.8701409999999999E-2</v>
      </c>
      <c r="Z2134">
        <v>-3.2467180000000001E-4</v>
      </c>
      <c r="AA2134">
        <v>0.99925079999999999</v>
      </c>
      <c r="AB2134">
        <v>49</v>
      </c>
      <c r="AC2134">
        <v>-23.737400000000001</v>
      </c>
      <c r="AD2134">
        <v>-1.1106140191523</v>
      </c>
      <c r="AE2134">
        <v>-1.2254999999999501</v>
      </c>
      <c r="AF2134">
        <v>-0.93120975708989595</v>
      </c>
      <c r="AG2134">
        <v>-1.1106140191523</v>
      </c>
      <c r="AH2134">
        <v>23.698944825301599</v>
      </c>
      <c r="AI2134">
        <v>92.681048228224199</v>
      </c>
      <c r="AJ2134">
        <v>92.250182683225304</v>
      </c>
      <c r="AK2134">
        <v>23.743222210642099</v>
      </c>
      <c r="AL2134">
        <v>79.392233071455294</v>
      </c>
      <c r="AM2134">
        <v>89.842042509782999</v>
      </c>
      <c r="AN2134">
        <v>1.0000000318333599</v>
      </c>
    </row>
    <row r="2135" spans="1:40" x14ac:dyDescent="0.25">
      <c r="A2135" t="str">
        <f>"20190312172933251"</f>
        <v>20190312172933251</v>
      </c>
      <c r="B2135" t="str">
        <f>"1552382973239831"</f>
        <v>1552382973239831</v>
      </c>
      <c r="C2135" t="s">
        <v>40</v>
      </c>
      <c r="D2135">
        <v>3.4533200000000002</v>
      </c>
      <c r="E2135">
        <v>0.48871769999999998</v>
      </c>
      <c r="F2135" t="s">
        <v>47</v>
      </c>
      <c r="G2135">
        <v>-333.3177</v>
      </c>
      <c r="H2135" s="1">
        <v>2.5856450000000003E-7</v>
      </c>
      <c r="I2135">
        <v>283.93310000000002</v>
      </c>
      <c r="J2135">
        <v>-309.43650000000002</v>
      </c>
      <c r="K2135">
        <v>1.1105050000000001</v>
      </c>
      <c r="L2135">
        <v>285.16629999999998</v>
      </c>
      <c r="M2135">
        <v>-0.99988060000000001</v>
      </c>
      <c r="N2135">
        <v>0</v>
      </c>
      <c r="O2135">
        <v>-1.291839E-2</v>
      </c>
      <c r="P2135">
        <v>-0.98436179999999995</v>
      </c>
      <c r="Q2135">
        <v>0.1759529</v>
      </c>
      <c r="R2135">
        <v>-8.5379480000000001E-3</v>
      </c>
      <c r="S2135">
        <v>-3.0713810000000001</v>
      </c>
      <c r="T2135">
        <v>-0.14061650000000001</v>
      </c>
      <c r="U2135">
        <v>-0.15676880000000001</v>
      </c>
      <c r="V2135">
        <v>3.4565220000000001E-3</v>
      </c>
      <c r="W2135">
        <v>0.18431330000000001</v>
      </c>
      <c r="X2135">
        <v>0.98286150000000005</v>
      </c>
      <c r="Y2135">
        <v>-3.8042880000000001E-2</v>
      </c>
      <c r="Z2135">
        <v>-2.7912679999999999E-4</v>
      </c>
      <c r="AA2135">
        <v>0.99927600000000005</v>
      </c>
      <c r="AB2135">
        <v>49</v>
      </c>
      <c r="AC2135">
        <v>-23.8811999999999</v>
      </c>
      <c r="AD2135">
        <v>-1.1105047414354901</v>
      </c>
      <c r="AE2135">
        <v>-1.2331999999999499</v>
      </c>
      <c r="AF2135">
        <v>-0.92258967242109802</v>
      </c>
      <c r="AG2135">
        <v>-1.1105047414354901</v>
      </c>
      <c r="AH2135">
        <v>23.8437169558302</v>
      </c>
      <c r="AI2135">
        <v>92.664593562224894</v>
      </c>
      <c r="AJ2135">
        <v>92.215851578529694</v>
      </c>
      <c r="AK2135">
        <v>23.887386436237701</v>
      </c>
      <c r="AL2135">
        <v>79.378901433533201</v>
      </c>
      <c r="AM2135">
        <v>89.798503343613902</v>
      </c>
      <c r="AN2135">
        <v>1.0000000341417301</v>
      </c>
    </row>
    <row r="2136" spans="1:40" x14ac:dyDescent="0.25">
      <c r="A2136" t="str">
        <f>"20190312172933262"</f>
        <v>20190312172933262</v>
      </c>
      <c r="B2136" t="str">
        <f>"1552382973259352"</f>
        <v>1552382973259352</v>
      </c>
      <c r="C2136" t="s">
        <v>40</v>
      </c>
      <c r="D2136">
        <v>3.4394849999999999</v>
      </c>
      <c r="E2136">
        <v>0.48889480000000002</v>
      </c>
      <c r="F2136" t="s">
        <v>47</v>
      </c>
      <c r="G2136">
        <v>-333.74059999999997</v>
      </c>
      <c r="H2136" s="1">
        <v>4.8384600000000003E-7</v>
      </c>
      <c r="I2136">
        <v>283.92790000000002</v>
      </c>
      <c r="J2136">
        <v>-309.70339999999999</v>
      </c>
      <c r="K2136">
        <v>1.11043</v>
      </c>
      <c r="L2136">
        <v>285.1626</v>
      </c>
      <c r="M2136">
        <v>-0.99987420000000005</v>
      </c>
      <c r="N2136">
        <v>0</v>
      </c>
      <c r="O2136">
        <v>-1.333295E-2</v>
      </c>
      <c r="P2136">
        <v>-0.98432459999999999</v>
      </c>
      <c r="Q2136">
        <v>0.17614389999999999</v>
      </c>
      <c r="R2136">
        <v>-8.8488579999999994E-3</v>
      </c>
      <c r="S2136">
        <v>-3.0713810000000001</v>
      </c>
      <c r="T2136">
        <v>-0.14033770000000001</v>
      </c>
      <c r="U2136">
        <v>-0.1564941</v>
      </c>
      <c r="V2136">
        <v>3.591052E-3</v>
      </c>
      <c r="W2136">
        <v>0.18461040000000001</v>
      </c>
      <c r="X2136">
        <v>0.98280520000000005</v>
      </c>
      <c r="Y2136">
        <v>-3.7540490000000003E-2</v>
      </c>
      <c r="Z2136">
        <v>-2.481936E-4</v>
      </c>
      <c r="AA2136">
        <v>0.99929509999999999</v>
      </c>
      <c r="AB2136">
        <v>49</v>
      </c>
      <c r="AC2136">
        <v>-24.037199999999899</v>
      </c>
      <c r="AD2136">
        <v>-1.1104295161540001</v>
      </c>
      <c r="AE2136">
        <v>-1.2346999999999699</v>
      </c>
      <c r="AF2136">
        <v>-0.912150132566934</v>
      </c>
      <c r="AG2136">
        <v>-1.1104295161540001</v>
      </c>
      <c r="AH2136">
        <v>24.000441536668099</v>
      </c>
      <c r="AI2136">
        <v>92.647108947359698</v>
      </c>
      <c r="AJ2136">
        <v>92.176510445199895</v>
      </c>
      <c r="AK2136">
        <v>24.0434245799077</v>
      </c>
      <c r="AL2136">
        <v>79.361581043712206</v>
      </c>
      <c r="AM2136">
        <v>89.790649044220501</v>
      </c>
      <c r="AN2136">
        <v>0.999999978294833</v>
      </c>
    </row>
    <row r="2137" spans="1:40" x14ac:dyDescent="0.25">
      <c r="A2137" t="str">
        <f>"20190312172933275"</f>
        <v>20190312172933275</v>
      </c>
      <c r="B2137" t="str">
        <f>"1552382973269112"</f>
        <v>1552382973269112</v>
      </c>
      <c r="C2137" t="s">
        <v>40</v>
      </c>
      <c r="D2137">
        <v>3.4666700000000001</v>
      </c>
      <c r="E2137">
        <v>0.48898710000000001</v>
      </c>
      <c r="F2137" t="s">
        <v>47</v>
      </c>
      <c r="G2137">
        <v>-334.09120000000001</v>
      </c>
      <c r="H2137" s="1">
        <v>6.7058639999999999E-7</v>
      </c>
      <c r="I2137">
        <v>283.92439999999999</v>
      </c>
      <c r="J2137">
        <v>-309.97129999999999</v>
      </c>
      <c r="K2137">
        <v>1.1103689999999999</v>
      </c>
      <c r="L2137">
        <v>285.15879999999999</v>
      </c>
      <c r="M2137">
        <v>-0.99986810000000004</v>
      </c>
      <c r="N2137">
        <v>0</v>
      </c>
      <c r="O2137">
        <v>-1.372201E-2</v>
      </c>
      <c r="P2137">
        <v>-0.98432609999999998</v>
      </c>
      <c r="Q2137">
        <v>0.1761286</v>
      </c>
      <c r="R2137">
        <v>-8.9916779999999995E-3</v>
      </c>
      <c r="S2137">
        <v>-3.0714419999999998</v>
      </c>
      <c r="T2137">
        <v>-0.13984929999999901</v>
      </c>
      <c r="U2137">
        <v>-0.15594479999999999</v>
      </c>
      <c r="V2137">
        <v>3.864691E-3</v>
      </c>
      <c r="W2137">
        <v>0.1846952</v>
      </c>
      <c r="X2137">
        <v>0.98278829999999995</v>
      </c>
      <c r="Y2137">
        <v>-3.6973529999999998E-2</v>
      </c>
      <c r="Z2137">
        <v>-2.1674309999999999E-4</v>
      </c>
      <c r="AA2137">
        <v>0.99931619999999999</v>
      </c>
      <c r="AB2137">
        <v>49</v>
      </c>
      <c r="AC2137">
        <v>-24.119900000000001</v>
      </c>
      <c r="AD2137">
        <v>-1.1103683294136</v>
      </c>
      <c r="AE2137">
        <v>-1.2343999999999899</v>
      </c>
      <c r="AF2137">
        <v>-0.90139247895050501</v>
      </c>
      <c r="AG2137">
        <v>-1.1103683294136</v>
      </c>
      <c r="AH2137">
        <v>24.083661919704099</v>
      </c>
      <c r="AI2137">
        <v>92.6378870754438</v>
      </c>
      <c r="AJ2137">
        <v>92.143440210489999</v>
      </c>
      <c r="AK2137">
        <v>24.126089564839901</v>
      </c>
      <c r="AL2137">
        <v>79.356638095904202</v>
      </c>
      <c r="AM2137">
        <v>89.774692736915298</v>
      </c>
      <c r="AN2137">
        <v>1.00000004767822</v>
      </c>
    </row>
    <row r="2138" spans="1:40" x14ac:dyDescent="0.25">
      <c r="A2138" t="str">
        <f>"20190312172933289"</f>
        <v>20190312172933289</v>
      </c>
      <c r="B2138" t="str">
        <f>"1552382973279848"</f>
        <v>1552382973279848</v>
      </c>
      <c r="C2138" t="s">
        <v>40</v>
      </c>
      <c r="D2138">
        <v>3.45852</v>
      </c>
      <c r="E2138">
        <v>0.48906379999999999</v>
      </c>
      <c r="F2138" t="s">
        <v>47</v>
      </c>
      <c r="G2138">
        <v>-334.33580000000001</v>
      </c>
      <c r="H2138" s="1">
        <v>8.0086310000000001E-7</v>
      </c>
      <c r="I2138">
        <v>283.9212</v>
      </c>
      <c r="J2138">
        <v>-310.2647</v>
      </c>
      <c r="K2138">
        <v>1.110301</v>
      </c>
      <c r="L2138">
        <v>285.15449999999998</v>
      </c>
      <c r="M2138">
        <v>-0.99986140000000001</v>
      </c>
      <c r="N2138">
        <v>0</v>
      </c>
      <c r="O2138">
        <v>-1.4137429999999999E-2</v>
      </c>
      <c r="P2138">
        <v>-0.98431120000000005</v>
      </c>
      <c r="Q2138">
        <v>0.17620339999999901</v>
      </c>
      <c r="R2138">
        <v>-9.1631079999999997E-3</v>
      </c>
      <c r="S2138">
        <v>-3.0713810000000001</v>
      </c>
      <c r="T2138">
        <v>-0.13997319999999999</v>
      </c>
      <c r="U2138">
        <v>-0.1560059</v>
      </c>
      <c r="V2138">
        <v>4.1359190000000001E-3</v>
      </c>
      <c r="W2138">
        <v>0.18487619999999999</v>
      </c>
      <c r="X2138">
        <v>0.98275310000000005</v>
      </c>
      <c r="Y2138">
        <v>-3.6579929999999997E-2</v>
      </c>
      <c r="Z2138">
        <v>-1.8907409999999999E-4</v>
      </c>
      <c r="AA2138">
        <v>0.99933070000000002</v>
      </c>
      <c r="AB2138">
        <v>49</v>
      </c>
      <c r="AC2138">
        <v>-24.071100000000001</v>
      </c>
      <c r="AD2138">
        <v>-1.1103001991368999</v>
      </c>
      <c r="AE2138">
        <v>-1.2332999999999801</v>
      </c>
      <c r="AF2138">
        <v>-0.89096943030532505</v>
      </c>
      <c r="AG2138">
        <v>-1.1103001991368999</v>
      </c>
      <c r="AH2138">
        <v>24.035127423135101</v>
      </c>
      <c r="AI2138">
        <v>92.643079455692401</v>
      </c>
      <c r="AJ2138">
        <v>92.122952109675396</v>
      </c>
      <c r="AK2138">
        <v>24.077249496241901</v>
      </c>
      <c r="AL2138">
        <v>79.346085166436296</v>
      </c>
      <c r="AM2138">
        <v>89.758871985152993</v>
      </c>
      <c r="AN2138">
        <v>0.99999998535601198</v>
      </c>
    </row>
    <row r="2139" spans="1:40" x14ac:dyDescent="0.25">
      <c r="A2139" t="str">
        <f>"20190312172933302"</f>
        <v>20190312172933302</v>
      </c>
      <c r="B2139" t="str">
        <f>"1552382973289608"</f>
        <v>1552382973289608</v>
      </c>
      <c r="C2139" t="s">
        <v>40</v>
      </c>
      <c r="D2139">
        <v>3.4500310000000001</v>
      </c>
      <c r="E2139">
        <v>0.48914020000000002</v>
      </c>
      <c r="F2139" t="s">
        <v>47</v>
      </c>
      <c r="G2139">
        <v>-334.6551</v>
      </c>
      <c r="H2139" s="1">
        <v>9.7096719999999992E-7</v>
      </c>
      <c r="I2139">
        <v>283.91759999999999</v>
      </c>
      <c r="J2139">
        <v>-310.55669999999998</v>
      </c>
      <c r="K2139">
        <v>1.1102379999999901</v>
      </c>
      <c r="L2139">
        <v>285.15019999999998</v>
      </c>
      <c r="M2139">
        <v>-0.99985469999999999</v>
      </c>
      <c r="N2139">
        <v>0</v>
      </c>
      <c r="O2139">
        <v>-1.45366E-2</v>
      </c>
      <c r="P2139">
        <v>-0.98426259999999999</v>
      </c>
      <c r="Q2139">
        <v>0.1764635</v>
      </c>
      <c r="R2139">
        <v>-9.3708530000000002E-3</v>
      </c>
      <c r="S2139">
        <v>-3.0714109999999999</v>
      </c>
      <c r="T2139">
        <v>-0.139817</v>
      </c>
      <c r="U2139">
        <v>-0.1557617</v>
      </c>
      <c r="V2139">
        <v>4.3506899999999999E-3</v>
      </c>
      <c r="W2139">
        <v>0.1852355</v>
      </c>
      <c r="X2139">
        <v>0.98268449999999996</v>
      </c>
      <c r="Y2139">
        <v>-3.6102179999999998E-2</v>
      </c>
      <c r="Z2139">
        <v>-1.598537E-4</v>
      </c>
      <c r="AA2139">
        <v>0.99934809999999996</v>
      </c>
      <c r="AB2139">
        <v>49</v>
      </c>
      <c r="AC2139">
        <v>-24.098400000000002</v>
      </c>
      <c r="AD2139">
        <v>-1.1102370290328001</v>
      </c>
      <c r="AE2139">
        <v>-1.2325999999999899</v>
      </c>
      <c r="AF2139">
        <v>-0.880283506931412</v>
      </c>
      <c r="AG2139">
        <v>-1.1102370290328001</v>
      </c>
      <c r="AH2139">
        <v>24.062831090847698</v>
      </c>
      <c r="AI2139">
        <v>92.639937971136803</v>
      </c>
      <c r="AJ2139">
        <v>92.095100445090395</v>
      </c>
      <c r="AK2139">
        <v>24.104509234163601</v>
      </c>
      <c r="AL2139">
        <v>79.325136839248103</v>
      </c>
      <c r="AM2139">
        <v>89.746333084255795</v>
      </c>
      <c r="AN2139">
        <v>0.99999997275198704</v>
      </c>
    </row>
    <row r="2140" spans="1:40" x14ac:dyDescent="0.25">
      <c r="A2140" t="str">
        <f>"20190312172933318"</f>
        <v>20190312172933318</v>
      </c>
      <c r="B2140" t="str">
        <f>"1552382973309127"</f>
        <v>1552382973309127</v>
      </c>
      <c r="C2140" t="s">
        <v>40</v>
      </c>
      <c r="D2140">
        <v>3.4541010000000001</v>
      </c>
      <c r="E2140">
        <v>0.48928149999999998</v>
      </c>
      <c r="F2140" t="s">
        <v>47</v>
      </c>
      <c r="G2140">
        <v>-335.07</v>
      </c>
      <c r="H2140" s="1">
        <v>1.192161E-6</v>
      </c>
      <c r="I2140">
        <v>283.90800000000002</v>
      </c>
      <c r="J2140">
        <v>-310.91629999999998</v>
      </c>
      <c r="K2140">
        <v>1.1101730000000001</v>
      </c>
      <c r="L2140">
        <v>285.1447</v>
      </c>
      <c r="M2140">
        <v>-0.99984669999999998</v>
      </c>
      <c r="N2140">
        <v>0</v>
      </c>
      <c r="O2140">
        <v>-1.5007909999999999E-2</v>
      </c>
      <c r="P2140">
        <v>-0.98425479999999999</v>
      </c>
      <c r="Q2140">
        <v>0.17649619999999999</v>
      </c>
      <c r="R2140">
        <v>-9.5780459999999998E-3</v>
      </c>
      <c r="S2140">
        <v>-3.0714109999999999</v>
      </c>
      <c r="T2140">
        <v>-0.1391078</v>
      </c>
      <c r="U2140">
        <v>-0.15563959999999999</v>
      </c>
      <c r="V2140">
        <v>4.6397460000000001E-3</v>
      </c>
      <c r="W2140">
        <v>0.18538180000000001</v>
      </c>
      <c r="X2140">
        <v>0.98265559999999996</v>
      </c>
      <c r="Y2140">
        <v>-3.5592690000000003E-2</v>
      </c>
      <c r="Z2140">
        <v>-1.2620169999999999E-4</v>
      </c>
      <c r="AA2140">
        <v>0.99936630000000004</v>
      </c>
      <c r="AB2140">
        <v>49</v>
      </c>
      <c r="AC2140">
        <v>-24.153700000000001</v>
      </c>
      <c r="AD2140">
        <v>-1.1101718078389999</v>
      </c>
      <c r="AE2140">
        <v>-1.2366999999999799</v>
      </c>
      <c r="AF2140">
        <v>-0.87221160764592298</v>
      </c>
      <c r="AG2140">
        <v>-1.1101718078389999</v>
      </c>
      <c r="AH2140">
        <v>24.118721017020501</v>
      </c>
      <c r="AI2140">
        <v>92.633714673773795</v>
      </c>
      <c r="AJ2140">
        <v>92.071099705517298</v>
      </c>
      <c r="AK2140">
        <v>24.160006995617799</v>
      </c>
      <c r="AL2140">
        <v>79.316606845461195</v>
      </c>
      <c r="AM2140">
        <v>89.729471965234197</v>
      </c>
      <c r="AN2140">
        <v>0.99999998361277198</v>
      </c>
    </row>
    <row r="2141" spans="1:40" x14ac:dyDescent="0.25">
      <c r="A2141" t="str">
        <f>"20190312172933332"</f>
        <v>20190312172933332</v>
      </c>
      <c r="B2141" t="str">
        <f>"1552382973329623"</f>
        <v>1552382973329623</v>
      </c>
      <c r="C2141" t="s">
        <v>40</v>
      </c>
      <c r="D2141">
        <v>3.4245139999999998</v>
      </c>
      <c r="E2141">
        <v>0.48941770000000001</v>
      </c>
      <c r="F2141" t="s">
        <v>47</v>
      </c>
      <c r="G2141">
        <v>-335.3895</v>
      </c>
      <c r="H2141" s="1">
        <v>1.3621339999999999E-6</v>
      </c>
      <c r="I2141">
        <v>283.90890000000002</v>
      </c>
      <c r="J2141">
        <v>-311.21350000000001</v>
      </c>
      <c r="K2141">
        <v>1.1101219999999901</v>
      </c>
      <c r="L2141">
        <v>285.14</v>
      </c>
      <c r="M2141">
        <v>-0.99984019999999996</v>
      </c>
      <c r="N2141">
        <v>0</v>
      </c>
      <c r="O2141">
        <v>-1.5387690000000001E-2</v>
      </c>
      <c r="P2141">
        <v>-0.98424639999999997</v>
      </c>
      <c r="Q2141">
        <v>0.1765235</v>
      </c>
      <c r="R2141">
        <v>-9.9347900000000006E-3</v>
      </c>
      <c r="S2141">
        <v>-3.071472</v>
      </c>
      <c r="T2141">
        <v>-0.1393307</v>
      </c>
      <c r="U2141">
        <v>-0.15509029999999999</v>
      </c>
      <c r="V2141">
        <v>4.6808379999999997E-3</v>
      </c>
      <c r="W2141">
        <v>0.18549560000000001</v>
      </c>
      <c r="X2141">
        <v>0.98263389999999995</v>
      </c>
      <c r="Y2141">
        <v>-3.5034699999999898E-2</v>
      </c>
      <c r="Z2141" s="1">
        <v>-9.6555919999999901E-5</v>
      </c>
      <c r="AA2141">
        <v>0.99938610000000005</v>
      </c>
      <c r="AB2141">
        <v>49</v>
      </c>
      <c r="AC2141">
        <v>-24.175999999999899</v>
      </c>
      <c r="AD2141">
        <v>-1.11012063786599</v>
      </c>
      <c r="AE2141">
        <v>-1.2310999999999599</v>
      </c>
      <c r="AF2141">
        <v>-0.85712347254131105</v>
      </c>
      <c r="AG2141">
        <v>-1.11012063786599</v>
      </c>
      <c r="AH2141">
        <v>24.1413119009596</v>
      </c>
      <c r="AI2141">
        <v>92.631194411464804</v>
      </c>
      <c r="AJ2141">
        <v>92.033399760513106</v>
      </c>
      <c r="AK2141">
        <v>24.182017467060302</v>
      </c>
      <c r="AL2141">
        <v>79.309971187831493</v>
      </c>
      <c r="AM2141">
        <v>89.727070037530694</v>
      </c>
      <c r="AN2141">
        <v>0.99999995464647495</v>
      </c>
    </row>
    <row r="2142" spans="1:40" x14ac:dyDescent="0.25">
      <c r="A2142" t="str">
        <f>"20190312172933344"</f>
        <v>20190312172933344</v>
      </c>
      <c r="B2142" t="str">
        <f>"1552382973339384"</f>
        <v>1552382973339384</v>
      </c>
      <c r="C2142" t="s">
        <v>40</v>
      </c>
      <c r="D2142">
        <v>3.4328959999999999</v>
      </c>
      <c r="E2142">
        <v>0.4894985</v>
      </c>
      <c r="F2142" t="s">
        <v>47</v>
      </c>
      <c r="G2142">
        <v>-335.65820000000002</v>
      </c>
      <c r="H2142" s="1">
        <v>1.505146E-6</v>
      </c>
      <c r="I2142">
        <v>283.90879999999999</v>
      </c>
      <c r="J2142">
        <v>-311.46629999999999</v>
      </c>
      <c r="K2142">
        <v>1.1100760000000001</v>
      </c>
      <c r="L2142">
        <v>285.13600000000002</v>
      </c>
      <c r="M2142">
        <v>-0.99983449999999996</v>
      </c>
      <c r="N2142">
        <v>0</v>
      </c>
      <c r="O2142">
        <v>-1.5706609999999999E-2</v>
      </c>
      <c r="P2142">
        <v>-0.98424460000000003</v>
      </c>
      <c r="Q2142">
        <v>0.17652490000000001</v>
      </c>
      <c r="R2142">
        <v>-1.008881E-2</v>
      </c>
      <c r="S2142">
        <v>-3.0715029999999999</v>
      </c>
      <c r="T2142">
        <v>-0.1394879</v>
      </c>
      <c r="U2142">
        <v>-0.15469359999999999</v>
      </c>
      <c r="V2142">
        <v>4.8598599999999997E-3</v>
      </c>
      <c r="W2142">
        <v>0.1855687</v>
      </c>
      <c r="X2142">
        <v>0.98261929999999997</v>
      </c>
      <c r="Y2142">
        <v>-3.4587390000000003E-2</v>
      </c>
      <c r="Z2142" s="1">
        <v>-7.2054860000000004E-5</v>
      </c>
      <c r="AA2142">
        <v>0.99940169999999995</v>
      </c>
      <c r="AB2142">
        <v>49</v>
      </c>
      <c r="AC2142">
        <v>-24.1919</v>
      </c>
      <c r="AD2142">
        <v>-1.110074494854</v>
      </c>
      <c r="AE2142">
        <v>-1.2271999999999801</v>
      </c>
      <c r="AF2142">
        <v>-0.84528463797319098</v>
      </c>
      <c r="AG2142">
        <v>-1.110074494854</v>
      </c>
      <c r="AH2142">
        <v>24.157457454527101</v>
      </c>
      <c r="AI2142">
        <v>92.629376681532406</v>
      </c>
      <c r="AJ2142">
        <v>92.003997785732196</v>
      </c>
      <c r="AK2142">
        <v>24.197717292558899</v>
      </c>
      <c r="AL2142">
        <v>79.305709622472193</v>
      </c>
      <c r="AM2142">
        <v>89.716627592538202</v>
      </c>
      <c r="AN2142">
        <v>1.0000000246956899</v>
      </c>
    </row>
    <row r="2143" spans="1:40" x14ac:dyDescent="0.25">
      <c r="A2143" t="str">
        <f>"20190312172933361"</f>
        <v>20190312172933361</v>
      </c>
      <c r="B2143" t="str">
        <f>"1552382973359880"</f>
        <v>1552382973359880</v>
      </c>
      <c r="C2143" t="s">
        <v>40</v>
      </c>
      <c r="D2143">
        <v>3.4676909999999999</v>
      </c>
      <c r="E2143">
        <v>0.48961359999999898</v>
      </c>
      <c r="F2143" t="s">
        <v>47</v>
      </c>
      <c r="G2143">
        <v>-335.89249999999998</v>
      </c>
      <c r="H2143" s="1">
        <v>1.6298759999999901E-6</v>
      </c>
      <c r="I2143">
        <v>283.90839999999997</v>
      </c>
      <c r="J2143">
        <v>-311.87549999999999</v>
      </c>
      <c r="K2143">
        <v>1.110015</v>
      </c>
      <c r="L2143">
        <v>285.12920000000003</v>
      </c>
      <c r="M2143">
        <v>-0.99982550000000003</v>
      </c>
      <c r="N2143">
        <v>0</v>
      </c>
      <c r="O2143">
        <v>-1.6212520000000001E-2</v>
      </c>
      <c r="P2143">
        <v>-0.9841434</v>
      </c>
      <c r="Q2143">
        <v>0.1770649</v>
      </c>
      <c r="R2143">
        <v>-1.049395E-2</v>
      </c>
      <c r="S2143">
        <v>-3.071472</v>
      </c>
      <c r="T2143">
        <v>-0.13958609999999999</v>
      </c>
      <c r="U2143">
        <v>-0.15435789999999999</v>
      </c>
      <c r="V2143">
        <v>4.9766020000000001E-3</v>
      </c>
      <c r="W2143">
        <v>0.18621199999999999</v>
      </c>
      <c r="X2143">
        <v>0.98249699999999995</v>
      </c>
      <c r="Y2143">
        <v>-3.3974339999999999E-2</v>
      </c>
      <c r="Z2143" s="1">
        <v>-3.5231760000000001E-5</v>
      </c>
      <c r="AA2143">
        <v>0.9994227</v>
      </c>
      <c r="AB2143">
        <v>49</v>
      </c>
      <c r="AC2143">
        <v>-24.016999999999999</v>
      </c>
      <c r="AD2143">
        <v>-1.110013370124</v>
      </c>
      <c r="AE2143">
        <v>-1.2208000000000501</v>
      </c>
      <c r="AF2143">
        <v>-0.82947939954738004</v>
      </c>
      <c r="AG2143">
        <v>-1.110013370124</v>
      </c>
      <c r="AH2143">
        <v>23.982539468303699</v>
      </c>
      <c r="AI2143">
        <v>92.648418456456</v>
      </c>
      <c r="AJ2143">
        <v>91.980888288614196</v>
      </c>
      <c r="AK2143">
        <v>24.022538689840299</v>
      </c>
      <c r="AL2143">
        <v>79.268197326299401</v>
      </c>
      <c r="AM2143">
        <v>89.709784505835202</v>
      </c>
      <c r="AN2143">
        <v>1.00000001526023</v>
      </c>
    </row>
    <row r="2144" spans="1:40" x14ac:dyDescent="0.25">
      <c r="A2144" t="str">
        <f>"20190312172933373"</f>
        <v>20190312172933373</v>
      </c>
      <c r="B2144" t="str">
        <f>"1552382973369640"</f>
        <v>1552382973369640</v>
      </c>
      <c r="C2144" t="s">
        <v>40</v>
      </c>
      <c r="D2144">
        <v>3.4560919999999999</v>
      </c>
      <c r="E2144">
        <v>0.48968319999999999</v>
      </c>
      <c r="F2144" t="s">
        <v>47</v>
      </c>
      <c r="G2144">
        <v>-336.57220000000001</v>
      </c>
      <c r="H2144" s="1">
        <v>1.9924869999999998E-6</v>
      </c>
      <c r="I2144">
        <v>283.88729999999998</v>
      </c>
      <c r="J2144">
        <v>-312.11040000000003</v>
      </c>
      <c r="K2144">
        <v>1.1099859999999999</v>
      </c>
      <c r="L2144">
        <v>285.12520000000001</v>
      </c>
      <c r="M2144">
        <v>-0.99982020000000005</v>
      </c>
      <c r="N2144">
        <v>0</v>
      </c>
      <c r="O2144">
        <v>-1.6499699999999999E-2</v>
      </c>
      <c r="P2144">
        <v>-0.98410390000000003</v>
      </c>
      <c r="Q2144">
        <v>0.17727290000000001</v>
      </c>
      <c r="R2144">
        <v>-1.068091E-2</v>
      </c>
      <c r="S2144">
        <v>-3.071564</v>
      </c>
      <c r="T2144">
        <v>-0.13805390000000001</v>
      </c>
      <c r="U2144">
        <v>-0.15444949999999999</v>
      </c>
      <c r="V2144">
        <v>5.084557E-3</v>
      </c>
      <c r="W2144">
        <v>0.18647440000000001</v>
      </c>
      <c r="X2144">
        <v>0.98244670000000001</v>
      </c>
      <c r="Y2144">
        <v>-3.371644E-2</v>
      </c>
      <c r="Z2144" s="1">
        <v>-1.6165370000000001E-5</v>
      </c>
      <c r="AA2144">
        <v>0.99943139999999997</v>
      </c>
      <c r="AB2144">
        <v>49</v>
      </c>
      <c r="AC2144">
        <v>-24.461799999999901</v>
      </c>
      <c r="AD2144">
        <v>-1.1099840075130001</v>
      </c>
      <c r="AE2144">
        <v>-1.23790000000002</v>
      </c>
      <c r="AF2144">
        <v>-0.832391966723527</v>
      </c>
      <c r="AG2144">
        <v>-1.1099840075130001</v>
      </c>
      <c r="AH2144">
        <v>24.428725315981598</v>
      </c>
      <c r="AI2144">
        <v>92.6000895616626</v>
      </c>
      <c r="AJ2144">
        <v>91.951559112377296</v>
      </c>
      <c r="AK2144">
        <v>24.468092721887501</v>
      </c>
      <c r="AL2144">
        <v>79.252895117862593</v>
      </c>
      <c r="AM2144">
        <v>89.703473933169903</v>
      </c>
      <c r="AN2144">
        <v>1.0000000364580599</v>
      </c>
    </row>
    <row r="2145" spans="1:40" x14ac:dyDescent="0.25">
      <c r="A2145" t="str">
        <f>"20190312172933384"</f>
        <v>20190312172933384</v>
      </c>
      <c r="B2145" t="str">
        <f>"1552382973379399"</f>
        <v>1552382973379399</v>
      </c>
      <c r="C2145" t="s">
        <v>40</v>
      </c>
      <c r="D2145">
        <v>3.4343170000000001</v>
      </c>
      <c r="E2145">
        <v>0.48973050000000001</v>
      </c>
      <c r="F2145" t="s">
        <v>47</v>
      </c>
      <c r="G2145">
        <v>-336.91660000000002</v>
      </c>
      <c r="H2145" s="1">
        <v>2.176216E-6</v>
      </c>
      <c r="I2145">
        <v>283.87689999999998</v>
      </c>
      <c r="J2145">
        <v>-312.36099999999999</v>
      </c>
      <c r="K2145">
        <v>1.109952</v>
      </c>
      <c r="L2145">
        <v>285.12090000000001</v>
      </c>
      <c r="M2145">
        <v>-0.9998146</v>
      </c>
      <c r="N2145">
        <v>0</v>
      </c>
      <c r="O2145">
        <v>-1.680512E-2</v>
      </c>
      <c r="P2145">
        <v>-0.98409139999999995</v>
      </c>
      <c r="Q2145">
        <v>0.17731420000000001</v>
      </c>
      <c r="R2145">
        <v>-1.1130869999999999E-2</v>
      </c>
      <c r="S2145">
        <v>-3.0715029999999999</v>
      </c>
      <c r="T2145">
        <v>-0.13743810000000001</v>
      </c>
      <c r="U2145">
        <v>-0.1545715</v>
      </c>
      <c r="V2145">
        <v>4.9489180000000001E-3</v>
      </c>
      <c r="W2145">
        <v>0.1865723</v>
      </c>
      <c r="X2145">
        <v>0.98242879999999999</v>
      </c>
      <c r="Y2145">
        <v>-3.3452469999999998E-2</v>
      </c>
      <c r="Z2145" s="1">
        <v>3.4528779999999998E-6</v>
      </c>
      <c r="AA2145">
        <v>0.99944029999999995</v>
      </c>
      <c r="AB2145">
        <v>49</v>
      </c>
      <c r="AC2145">
        <v>-24.555599999999998</v>
      </c>
      <c r="AD2145">
        <v>-1.109949823784</v>
      </c>
      <c r="AE2145">
        <v>-1.24400000000002</v>
      </c>
      <c r="AF2145">
        <v>-0.82945589062356395</v>
      </c>
      <c r="AG2145">
        <v>-1.109949823784</v>
      </c>
      <c r="AH2145">
        <v>24.523061897369399</v>
      </c>
      <c r="AI2145">
        <v>92.590043390188995</v>
      </c>
      <c r="AJ2145">
        <v>91.937205532454598</v>
      </c>
      <c r="AK2145">
        <v>24.562177234683801</v>
      </c>
      <c r="AL2145">
        <v>79.247185603880993</v>
      </c>
      <c r="AM2145">
        <v>89.711378864151101</v>
      </c>
      <c r="AN2145">
        <v>1.0000000309930499</v>
      </c>
    </row>
    <row r="2146" spans="1:40" x14ac:dyDescent="0.25">
      <c r="A2146" t="str">
        <f>"20190312172933396"</f>
        <v>20190312172933396</v>
      </c>
      <c r="B2146" t="str">
        <f>"1552382973390136"</f>
        <v>1552382973390136</v>
      </c>
      <c r="C2146" t="s">
        <v>40</v>
      </c>
      <c r="D2146">
        <v>3.4120240000000002</v>
      </c>
      <c r="E2146">
        <v>0.48978280000000002</v>
      </c>
      <c r="F2146" t="s">
        <v>47</v>
      </c>
      <c r="G2146">
        <v>-337.15890000000002</v>
      </c>
      <c r="H2146" s="1">
        <v>2.305646E-6</v>
      </c>
      <c r="I2146">
        <v>283.86559999999997</v>
      </c>
      <c r="J2146">
        <v>-312.63679999999999</v>
      </c>
      <c r="K2146">
        <v>1.1099209999999999</v>
      </c>
      <c r="L2146">
        <v>285.11610000000002</v>
      </c>
      <c r="M2146">
        <v>-0.99980829999999998</v>
      </c>
      <c r="N2146">
        <v>0</v>
      </c>
      <c r="O2146">
        <v>-1.7139169999999999E-2</v>
      </c>
      <c r="P2146">
        <v>-0.9840641</v>
      </c>
      <c r="Q2146">
        <v>0.17743639999999999</v>
      </c>
      <c r="R2146">
        <v>-1.1584819999999999E-2</v>
      </c>
      <c r="S2146">
        <v>-3.0715029999999999</v>
      </c>
      <c r="T2146">
        <v>-0.13747970000000001</v>
      </c>
      <c r="U2146">
        <v>-0.15548709999999999</v>
      </c>
      <c r="V2146">
        <v>4.8366379999999999E-3</v>
      </c>
      <c r="W2146">
        <v>0.18675220000000001</v>
      </c>
      <c r="X2146">
        <v>0.98239520000000002</v>
      </c>
      <c r="Y2146">
        <v>-3.3416040000000001E-2</v>
      </c>
      <c r="Z2146" s="1">
        <v>1.9199509999999999E-5</v>
      </c>
      <c r="AA2146">
        <v>0.99944149999999998</v>
      </c>
      <c r="AB2146">
        <v>49</v>
      </c>
      <c r="AC2146">
        <v>-24.522099999999998</v>
      </c>
      <c r="AD2146">
        <v>-1.109918694354</v>
      </c>
      <c r="AE2146">
        <v>-1.2505000000000399</v>
      </c>
      <c r="AF2146">
        <v>-0.82831650246196298</v>
      </c>
      <c r="AG2146">
        <v>-1.109918694354</v>
      </c>
      <c r="AH2146">
        <v>24.489890211240301</v>
      </c>
      <c r="AI2146">
        <v>92.593474254048999</v>
      </c>
      <c r="AJ2146">
        <v>91.937164857644007</v>
      </c>
      <c r="AK2146">
        <v>24.529018535092899</v>
      </c>
      <c r="AL2146">
        <v>79.236693930191507</v>
      </c>
      <c r="AM2146">
        <v>89.717917284778594</v>
      </c>
      <c r="AN2146">
        <v>1.0000000531275099</v>
      </c>
    </row>
    <row r="2147" spans="1:40" x14ac:dyDescent="0.25">
      <c r="A2147" t="str">
        <f>"20190312172933409"</f>
        <v>20190312172933409</v>
      </c>
      <c r="B2147" t="str">
        <f>"1552382973399895"</f>
        <v>1552382973399895</v>
      </c>
      <c r="C2147" t="s">
        <v>40</v>
      </c>
      <c r="D2147">
        <v>3.4222229999999998</v>
      </c>
      <c r="E2147">
        <v>0.48983460000000001</v>
      </c>
      <c r="F2147" t="s">
        <v>47</v>
      </c>
      <c r="G2147">
        <v>-337.47919999999999</v>
      </c>
      <c r="H2147" s="1">
        <v>2.4767820000000001E-6</v>
      </c>
      <c r="I2147">
        <v>283.8503</v>
      </c>
      <c r="J2147">
        <v>-312.91199999999998</v>
      </c>
      <c r="K2147">
        <v>1.1098920000000001</v>
      </c>
      <c r="L2147">
        <v>285.11110000000002</v>
      </c>
      <c r="M2147">
        <v>-0.99980199999999997</v>
      </c>
      <c r="N2147">
        <v>0</v>
      </c>
      <c r="O2147">
        <v>-1.7471460000000001E-2</v>
      </c>
      <c r="P2147">
        <v>-0.98408419999999996</v>
      </c>
      <c r="Q2147">
        <v>0.17731189999999999</v>
      </c>
      <c r="R2147">
        <v>-1.1765980000000001E-2</v>
      </c>
      <c r="S2147">
        <v>-3.071472</v>
      </c>
      <c r="T2147">
        <v>-0.13722799999999999</v>
      </c>
      <c r="U2147">
        <v>-0.1564941</v>
      </c>
      <c r="V2147">
        <v>4.9954709999999996E-3</v>
      </c>
      <c r="W2147">
        <v>0.18668470000000001</v>
      </c>
      <c r="X2147">
        <v>0.98240720000000004</v>
      </c>
      <c r="Y2147">
        <v>-3.3411610000000001E-2</v>
      </c>
      <c r="Z2147" s="1">
        <v>3.4087690000000002E-5</v>
      </c>
      <c r="AA2147">
        <v>0.99944169999999999</v>
      </c>
      <c r="AB2147">
        <v>49</v>
      </c>
      <c r="AC2147">
        <v>-24.5671999999999</v>
      </c>
      <c r="AD2147">
        <v>-1.1098895232179999</v>
      </c>
      <c r="AE2147">
        <v>-1.2608000000000099</v>
      </c>
      <c r="AF2147">
        <v>-0.82967427927479098</v>
      </c>
      <c r="AG2147">
        <v>-1.1098895232179999</v>
      </c>
      <c r="AH2147">
        <v>24.535532725387299</v>
      </c>
      <c r="AI2147">
        <v>92.588589000722706</v>
      </c>
      <c r="AJ2147">
        <v>91.936731049024601</v>
      </c>
      <c r="AK2147">
        <v>24.574632861591098</v>
      </c>
      <c r="AL2147">
        <v>79.240630259422005</v>
      </c>
      <c r="AM2147">
        <v>89.708657532090001</v>
      </c>
      <c r="AN2147">
        <v>1.0000000192782199</v>
      </c>
    </row>
    <row r="2148" spans="1:40" x14ac:dyDescent="0.25">
      <c r="A2148" t="str">
        <f>"20190312172933424"</f>
        <v>20190312172933424</v>
      </c>
      <c r="B2148" t="str">
        <f>"1552382973419415"</f>
        <v>1552382973419415</v>
      </c>
      <c r="C2148" t="s">
        <v>40</v>
      </c>
      <c r="D2148">
        <v>3.4436689999999999</v>
      </c>
      <c r="E2148">
        <v>0.48995749999999999</v>
      </c>
      <c r="F2148" t="s">
        <v>47</v>
      </c>
      <c r="G2148">
        <v>-337.65620000000001</v>
      </c>
      <c r="H2148" s="1">
        <v>2.5710329999999999E-6</v>
      </c>
      <c r="I2148">
        <v>283.84870000000001</v>
      </c>
      <c r="J2148">
        <v>-313.21440000000001</v>
      </c>
      <c r="K2148">
        <v>1.1098600000000001</v>
      </c>
      <c r="L2148">
        <v>285.10570000000001</v>
      </c>
      <c r="M2148">
        <v>-0.99979510000000005</v>
      </c>
      <c r="N2148">
        <v>0</v>
      </c>
      <c r="O2148">
        <v>-1.7835710000000001E-2</v>
      </c>
      <c r="P2148">
        <v>-0.98407529999999999</v>
      </c>
      <c r="Q2148">
        <v>0.177345899999999</v>
      </c>
      <c r="R2148">
        <v>-1.201765E-2</v>
      </c>
      <c r="S2148">
        <v>-3.071472</v>
      </c>
      <c r="T2148">
        <v>-0.13776959999999999</v>
      </c>
      <c r="U2148">
        <v>-0.15670780000000001</v>
      </c>
      <c r="V2148">
        <v>5.1147190000000002E-3</v>
      </c>
      <c r="W2148">
        <v>0.18677840000000001</v>
      </c>
      <c r="X2148">
        <v>0.9823887</v>
      </c>
      <c r="Y2148">
        <v>-3.3117349999999997E-2</v>
      </c>
      <c r="Z2148" s="1">
        <v>5.7128839999999997E-5</v>
      </c>
      <c r="AA2148">
        <v>0.99945150000000005</v>
      </c>
      <c r="AB2148">
        <v>49</v>
      </c>
      <c r="AC2148">
        <v>-24.441800000000001</v>
      </c>
      <c r="AD2148">
        <v>-1.109857428967</v>
      </c>
      <c r="AE2148">
        <v>-1.2569999999999999</v>
      </c>
      <c r="AF2148">
        <v>-0.81915862883271595</v>
      </c>
      <c r="AG2148">
        <v>-1.109857428967</v>
      </c>
      <c r="AH2148">
        <v>24.410133693267799</v>
      </c>
      <c r="AI2148">
        <v>92.601816138813504</v>
      </c>
      <c r="AJ2148">
        <v>91.922018384824895</v>
      </c>
      <c r="AK2148">
        <v>24.4490783322201</v>
      </c>
      <c r="AL2148">
        <v>79.235164710776402</v>
      </c>
      <c r="AM2148">
        <v>89.701697338081999</v>
      </c>
      <c r="AN2148">
        <v>0.99999994447234797</v>
      </c>
    </row>
    <row r="2149" spans="1:40" x14ac:dyDescent="0.25">
      <c r="A2149" t="str">
        <f>"20190312172933441"</f>
        <v>20190312172933441</v>
      </c>
      <c r="B2149" t="str">
        <f>"1552382973429175"</f>
        <v>1552382973429175</v>
      </c>
      <c r="C2149" t="s">
        <v>40</v>
      </c>
      <c r="D2149">
        <v>3.4348679999999998</v>
      </c>
      <c r="E2149">
        <v>0.49002220000000002</v>
      </c>
      <c r="F2149" t="s">
        <v>47</v>
      </c>
      <c r="G2149">
        <v>-337.91399999999999</v>
      </c>
      <c r="H2149" s="1">
        <v>2.7082880000000001E-6</v>
      </c>
      <c r="I2149">
        <v>283.84649999999999</v>
      </c>
      <c r="J2149">
        <v>-313.6225</v>
      </c>
      <c r="K2149">
        <v>1.1098239999999999</v>
      </c>
      <c r="L2149">
        <v>285.09809999999999</v>
      </c>
      <c r="M2149">
        <v>-0.99978560000000005</v>
      </c>
      <c r="N2149">
        <v>0</v>
      </c>
      <c r="O2149">
        <v>-1.8325029999999999E-2</v>
      </c>
      <c r="P2149">
        <v>-0.98399519999999996</v>
      </c>
      <c r="Q2149">
        <v>0.17780760000000001</v>
      </c>
      <c r="R2149">
        <v>-1.1758930000000001E-2</v>
      </c>
      <c r="S2149">
        <v>-3.0715029999999999</v>
      </c>
      <c r="T2149">
        <v>-0.13801569999999999</v>
      </c>
      <c r="U2149">
        <v>-0.15658569999999999</v>
      </c>
      <c r="V2149">
        <v>5.8669619999999999E-3</v>
      </c>
      <c r="W2149">
        <v>0.18731429999999999</v>
      </c>
      <c r="X2149">
        <v>0.98228249999999995</v>
      </c>
      <c r="Y2149">
        <v>-3.2589029999999998E-2</v>
      </c>
      <c r="Z2149" s="1">
        <v>9.1042430000000003E-5</v>
      </c>
      <c r="AA2149">
        <v>0.99946880000000005</v>
      </c>
      <c r="AB2149">
        <v>49</v>
      </c>
      <c r="AC2149">
        <v>-24.2914999999999</v>
      </c>
      <c r="AD2149">
        <v>-1.1098212917119901</v>
      </c>
      <c r="AE2149">
        <v>-1.2515999999999901</v>
      </c>
      <c r="AF2149">
        <v>-0.80455171704024597</v>
      </c>
      <c r="AG2149">
        <v>-1.1098212917119901</v>
      </c>
      <c r="AH2149">
        <v>24.2598523501721</v>
      </c>
      <c r="AI2149">
        <v>92.617860352150998</v>
      </c>
      <c r="AJ2149">
        <v>91.899456280881907</v>
      </c>
      <c r="AK2149">
        <v>24.298548162741799</v>
      </c>
      <c r="AL2149">
        <v>79.203908744688306</v>
      </c>
      <c r="AM2149">
        <v>89.657788707490894</v>
      </c>
      <c r="AN2149">
        <v>0.999999989016924</v>
      </c>
    </row>
    <row r="2150" spans="1:40" x14ac:dyDescent="0.25">
      <c r="A2150" t="str">
        <f>"20190312172933463"</f>
        <v>20190312172933463</v>
      </c>
      <c r="B2150" t="str">
        <f>"1552382973459432"</f>
        <v>1552382973459432</v>
      </c>
      <c r="C2150" t="s">
        <v>40</v>
      </c>
      <c r="D2150">
        <v>3.4196939999999998</v>
      </c>
      <c r="E2150">
        <v>0.4902049</v>
      </c>
      <c r="F2150" t="s">
        <v>47</v>
      </c>
      <c r="G2150">
        <v>-338.55919999999998</v>
      </c>
      <c r="H2150" s="1">
        <v>3.0522390000000002E-6</v>
      </c>
      <c r="I2150">
        <v>283.8329</v>
      </c>
      <c r="J2150">
        <v>-314.08350000000002</v>
      </c>
      <c r="K2150">
        <v>1.109791</v>
      </c>
      <c r="L2150">
        <v>285.08940000000001</v>
      </c>
      <c r="M2150">
        <v>-0.99977459999999996</v>
      </c>
      <c r="N2150">
        <v>0</v>
      </c>
      <c r="O2150">
        <v>-1.8875530000000001E-2</v>
      </c>
      <c r="P2150">
        <v>-0.98395160000000004</v>
      </c>
      <c r="Q2150">
        <v>0.17806089999999999</v>
      </c>
      <c r="R2150">
        <v>-1.1576680000000001E-2</v>
      </c>
      <c r="S2150">
        <v>-3.071625</v>
      </c>
      <c r="T2150">
        <v>-0.136704399999999</v>
      </c>
      <c r="U2150">
        <v>-0.1558533</v>
      </c>
      <c r="V2150">
        <v>6.6031669999999897E-3</v>
      </c>
      <c r="W2150">
        <v>0.18764310000000001</v>
      </c>
      <c r="X2150">
        <v>0.98221510000000001</v>
      </c>
      <c r="Y2150">
        <v>-3.180053E-2</v>
      </c>
      <c r="Z2150">
        <v>1.3216749999999999E-4</v>
      </c>
      <c r="AA2150">
        <v>0.99949429999999995</v>
      </c>
      <c r="AB2150">
        <v>49</v>
      </c>
      <c r="AC2150">
        <v>-24.4756999999999</v>
      </c>
      <c r="AD2150">
        <v>-1.109787947761</v>
      </c>
      <c r="AE2150">
        <v>-1.2565000000000099</v>
      </c>
      <c r="AF2150">
        <v>-0.79263716213836</v>
      </c>
      <c r="AG2150">
        <v>-1.109787947761</v>
      </c>
      <c r="AH2150">
        <v>24.444932119322601</v>
      </c>
      <c r="AI2150">
        <v>92.598051839953598</v>
      </c>
      <c r="AJ2150">
        <v>91.857188942419299</v>
      </c>
      <c r="AK2150">
        <v>24.482945273763299</v>
      </c>
      <c r="AL2150">
        <v>79.184730149503196</v>
      </c>
      <c r="AM2150">
        <v>89.614821742135305</v>
      </c>
      <c r="AN2150">
        <v>1.00000001873002</v>
      </c>
    </row>
    <row r="2151" spans="1:40" x14ac:dyDescent="0.25">
      <c r="A2151" t="str">
        <f>"20190312172933474"</f>
        <v>20190312172933474</v>
      </c>
      <c r="B2151" t="str">
        <f>"1552382973469192"</f>
        <v>1552382973469192</v>
      </c>
      <c r="C2151" t="s">
        <v>40</v>
      </c>
      <c r="D2151">
        <v>3.4327130000000001</v>
      </c>
      <c r="E2151">
        <v>0.49025360000000001</v>
      </c>
      <c r="F2151" t="s">
        <v>47</v>
      </c>
      <c r="G2151">
        <v>-339.0496</v>
      </c>
      <c r="H2151" s="1">
        <v>3.3131020000000001E-6</v>
      </c>
      <c r="I2151">
        <v>283.83479999999997</v>
      </c>
      <c r="J2151">
        <v>-314.32870000000003</v>
      </c>
      <c r="K2151">
        <v>1.1097729999999999</v>
      </c>
      <c r="L2151">
        <v>285.08449999999999</v>
      </c>
      <c r="M2151">
        <v>-0.99976869999999995</v>
      </c>
      <c r="N2151">
        <v>0</v>
      </c>
      <c r="O2151">
        <v>-1.9166900000000001E-2</v>
      </c>
      <c r="P2151">
        <v>-0.98396620000000001</v>
      </c>
      <c r="Q2151">
        <v>0.17799379999999901</v>
      </c>
      <c r="R2151">
        <v>-1.1359070000000001E-2</v>
      </c>
      <c r="S2151">
        <v>-3.0718380000000001</v>
      </c>
      <c r="T2151">
        <v>-0.13654859999999999</v>
      </c>
      <c r="U2151">
        <v>-0.15435789999999999</v>
      </c>
      <c r="V2151">
        <v>7.1137099999999997E-3</v>
      </c>
      <c r="W2151">
        <v>0.18761259999999999</v>
      </c>
      <c r="X2151">
        <v>0.98221729999999996</v>
      </c>
      <c r="Y2151">
        <v>-3.1021489999999999E-2</v>
      </c>
      <c r="Z2151">
        <v>1.62239E-4</v>
      </c>
      <c r="AA2151">
        <v>0.99951869999999998</v>
      </c>
      <c r="AB2151">
        <v>49</v>
      </c>
      <c r="AC2151">
        <v>-24.720899999999901</v>
      </c>
      <c r="AD2151">
        <v>-1.10976968689799</v>
      </c>
      <c r="AE2151">
        <v>-1.24970000000001</v>
      </c>
      <c r="AF2151">
        <v>-0.77406884227891903</v>
      </c>
      <c r="AG2151">
        <v>-1.10976968689799</v>
      </c>
      <c r="AH2151">
        <v>24.6906803064267</v>
      </c>
      <c r="AI2151">
        <v>92.572273821401794</v>
      </c>
      <c r="AJ2151">
        <v>91.795671704719197</v>
      </c>
      <c r="AK2151">
        <v>24.7277266509623</v>
      </c>
      <c r="AL2151">
        <v>79.1865086082272</v>
      </c>
      <c r="AM2151">
        <v>89.585042501867406</v>
      </c>
      <c r="AN2151">
        <v>0.99999995848400602</v>
      </c>
    </row>
    <row r="2152" spans="1:40" x14ac:dyDescent="0.25">
      <c r="A2152" t="str">
        <f>"20190312172933486"</f>
        <v>20190312172933486</v>
      </c>
      <c r="B2152" t="str">
        <f>"1552382973479927"</f>
        <v>1552382973479927</v>
      </c>
      <c r="C2152" t="s">
        <v>40</v>
      </c>
      <c r="D2152">
        <v>3.3957890000000002</v>
      </c>
      <c r="E2152">
        <v>0.49030879999999999</v>
      </c>
      <c r="F2152" t="s">
        <v>47</v>
      </c>
      <c r="G2152">
        <v>-339.1986</v>
      </c>
      <c r="H2152" s="1">
        <v>3.3921040000000002E-6</v>
      </c>
      <c r="I2152">
        <v>283.84230000000002</v>
      </c>
      <c r="J2152">
        <v>-314.59730000000002</v>
      </c>
      <c r="K2152">
        <v>1.1097600000000001</v>
      </c>
      <c r="L2152">
        <v>285.07929999999999</v>
      </c>
      <c r="M2152">
        <v>-0.99976209999999999</v>
      </c>
      <c r="N2152">
        <v>0</v>
      </c>
      <c r="O2152">
        <v>-1.9485329999999999E-2</v>
      </c>
      <c r="P2152">
        <v>-0.98400310000000002</v>
      </c>
      <c r="Q2152">
        <v>0.177790899999999</v>
      </c>
      <c r="R2152">
        <v>-1.132184E-2</v>
      </c>
      <c r="S2152">
        <v>-3.0718990000000002</v>
      </c>
      <c r="T2152">
        <v>-0.13707720000000001</v>
      </c>
      <c r="U2152">
        <v>-0.15344240000000001</v>
      </c>
      <c r="V2152">
        <v>7.4715469999999898E-3</v>
      </c>
      <c r="W2152">
        <v>0.18744820000000001</v>
      </c>
      <c r="X2152">
        <v>0.98224610000000001</v>
      </c>
      <c r="Y2152">
        <v>-3.040582E-2</v>
      </c>
      <c r="Z2152">
        <v>1.907752E-4</v>
      </c>
      <c r="AA2152">
        <v>0.99953760000000003</v>
      </c>
      <c r="AB2152">
        <v>49</v>
      </c>
      <c r="AC2152">
        <v>-24.601299999999899</v>
      </c>
      <c r="AD2152">
        <v>-1.1097566078959999</v>
      </c>
      <c r="AE2152">
        <v>-1.2369999999999599</v>
      </c>
      <c r="AF2152">
        <v>-0.75584347455196998</v>
      </c>
      <c r="AG2152">
        <v>-1.1097566078959999</v>
      </c>
      <c r="AH2152">
        <v>24.570860605777899</v>
      </c>
      <c r="AI2152">
        <v>92.584817272445207</v>
      </c>
      <c r="AJ2152">
        <v>91.761964683904296</v>
      </c>
      <c r="AK2152">
        <v>24.607520191911998</v>
      </c>
      <c r="AL2152">
        <v>79.196098906878404</v>
      </c>
      <c r="AM2152">
        <v>89.564182689664605</v>
      </c>
      <c r="AN2152">
        <v>1.0000000263315101</v>
      </c>
    </row>
    <row r="2153" spans="1:40" x14ac:dyDescent="0.25">
      <c r="A2153" t="str">
        <f>"20190312172933497"</f>
        <v>20190312172933497</v>
      </c>
      <c r="B2153" t="str">
        <f>"1552382973489687"</f>
        <v>1552382973489687</v>
      </c>
      <c r="C2153" t="s">
        <v>40</v>
      </c>
      <c r="D2153">
        <v>3.4490880000000002</v>
      </c>
      <c r="E2153">
        <v>0.49036360000000001</v>
      </c>
      <c r="F2153" t="s">
        <v>47</v>
      </c>
      <c r="G2153">
        <v>-339.30650000000003</v>
      </c>
      <c r="H2153" s="1">
        <v>3.4492360000000001E-6</v>
      </c>
      <c r="I2153">
        <v>283.84800000000001</v>
      </c>
      <c r="J2153">
        <v>-314.84269999999998</v>
      </c>
      <c r="K2153">
        <v>1.1097459999999999</v>
      </c>
      <c r="L2153">
        <v>285.07429999999999</v>
      </c>
      <c r="M2153">
        <v>-0.99975610000000004</v>
      </c>
      <c r="N2153">
        <v>0</v>
      </c>
      <c r="O2153">
        <v>-1.977539E-2</v>
      </c>
      <c r="P2153">
        <v>-0.98392469999999999</v>
      </c>
      <c r="Q2153">
        <v>0.17824409999999999</v>
      </c>
      <c r="R2153">
        <v>-1.1019370000000001E-2</v>
      </c>
      <c r="S2153">
        <v>-3.07193</v>
      </c>
      <c r="T2153">
        <v>-0.13796849999999999</v>
      </c>
      <c r="U2153">
        <v>-0.1530762</v>
      </c>
      <c r="V2153">
        <v>8.0618500000000006E-3</v>
      </c>
      <c r="W2153">
        <v>0.18793290000000001</v>
      </c>
      <c r="X2153">
        <v>0.98214880000000004</v>
      </c>
      <c r="Y2153">
        <v>-2.9997019999999999E-2</v>
      </c>
      <c r="Z2153">
        <v>2.1419200000000001E-4</v>
      </c>
      <c r="AA2153">
        <v>0.99955000000000005</v>
      </c>
      <c r="AB2153">
        <v>49</v>
      </c>
      <c r="AC2153">
        <v>-24.463799999999999</v>
      </c>
      <c r="AD2153">
        <v>-1.109742550764</v>
      </c>
      <c r="AE2153">
        <v>-1.22629999999998</v>
      </c>
      <c r="AF2153">
        <v>-0.74073515753338504</v>
      </c>
      <c r="AG2153">
        <v>-1.109742550764</v>
      </c>
      <c r="AH2153">
        <v>24.433115629109899</v>
      </c>
      <c r="AI2153">
        <v>92.599371954182004</v>
      </c>
      <c r="AJ2153">
        <v>91.736495803612797</v>
      </c>
      <c r="AK2153">
        <v>24.4695189255538</v>
      </c>
      <c r="AL2153">
        <v>79.1678250639429</v>
      </c>
      <c r="AM2153">
        <v>89.529705064675696</v>
      </c>
      <c r="AN2153">
        <v>1.0000000168346299</v>
      </c>
    </row>
    <row r="2154" spans="1:40" x14ac:dyDescent="0.25">
      <c r="A2154" t="str">
        <f>"20190312172933508"</f>
        <v>20190312172933508</v>
      </c>
      <c r="B2154" t="str">
        <f>"1552382973499448"</f>
        <v>1552382973499448</v>
      </c>
      <c r="C2154" t="s">
        <v>40</v>
      </c>
      <c r="D2154">
        <v>3.4229959999999999</v>
      </c>
      <c r="E2154">
        <v>0.4904232</v>
      </c>
      <c r="F2154" t="s">
        <v>47</v>
      </c>
      <c r="G2154">
        <v>-339.76609999999999</v>
      </c>
      <c r="H2154" s="1">
        <v>3.6940480000000002E-6</v>
      </c>
      <c r="I2154">
        <v>283.8433</v>
      </c>
      <c r="J2154">
        <v>-315.07510000000002</v>
      </c>
      <c r="K2154">
        <v>1.1097410000000001</v>
      </c>
      <c r="L2154">
        <v>285.06959999999998</v>
      </c>
      <c r="M2154">
        <v>-0.99975029999999998</v>
      </c>
      <c r="N2154">
        <v>0</v>
      </c>
      <c r="O2154">
        <v>-2.004937E-2</v>
      </c>
      <c r="P2154">
        <v>-0.98395529999999998</v>
      </c>
      <c r="Q2154">
        <v>0.178096</v>
      </c>
      <c r="R2154">
        <v>-1.0671760000000001E-2</v>
      </c>
      <c r="S2154">
        <v>-3.0720209999999999</v>
      </c>
      <c r="T2154">
        <v>-0.13678489999999999</v>
      </c>
      <c r="U2154">
        <v>-0.15173339999999999</v>
      </c>
      <c r="V2154">
        <v>8.6839109999999903E-3</v>
      </c>
      <c r="W2154">
        <v>0.18781500000000001</v>
      </c>
      <c r="X2154">
        <v>0.98216610000000004</v>
      </c>
      <c r="Y2154">
        <v>-2.9286920000000001E-2</v>
      </c>
      <c r="Z2154">
        <v>2.403265E-4</v>
      </c>
      <c r="AA2154">
        <v>0.99957099999999999</v>
      </c>
      <c r="AB2154">
        <v>49</v>
      </c>
      <c r="AC2154">
        <v>-24.690999999999899</v>
      </c>
      <c r="AD2154">
        <v>-1.1097373059519999</v>
      </c>
      <c r="AE2154">
        <v>-1.22629999999998</v>
      </c>
      <c r="AF2154">
        <v>-0.729520339411178</v>
      </c>
      <c r="AG2154">
        <v>-1.1097373059519999</v>
      </c>
      <c r="AH2154">
        <v>24.660930312214099</v>
      </c>
      <c r="AI2154">
        <v>92.575436148565402</v>
      </c>
      <c r="AJ2154">
        <v>91.694431225107806</v>
      </c>
      <c r="AK2154">
        <v>24.696663756016001</v>
      </c>
      <c r="AL2154">
        <v>79.174703246908507</v>
      </c>
      <c r="AM2154">
        <v>89.493427348567593</v>
      </c>
      <c r="AN2154">
        <v>1.0000000662622299</v>
      </c>
    </row>
    <row r="2155" spans="1:40" x14ac:dyDescent="0.25">
      <c r="A2155" t="str">
        <f>"20190312172933518"</f>
        <v>20190312172933518</v>
      </c>
      <c r="B2155" t="str">
        <f>"1552382973509207"</f>
        <v>1552382973509207</v>
      </c>
      <c r="C2155" t="s">
        <v>40</v>
      </c>
      <c r="D2155">
        <v>3.4163190000000001</v>
      </c>
      <c r="E2155">
        <v>0.49048960000000003</v>
      </c>
      <c r="F2155" t="s">
        <v>47</v>
      </c>
      <c r="G2155">
        <v>-339.88130000000001</v>
      </c>
      <c r="H2155" s="1">
        <v>3.7548520000000002E-6</v>
      </c>
      <c r="I2155">
        <v>283.85480000000001</v>
      </c>
      <c r="J2155">
        <v>-315.34100000000001</v>
      </c>
      <c r="K2155">
        <v>1.109729</v>
      </c>
      <c r="L2155">
        <v>285.0641</v>
      </c>
      <c r="M2155">
        <v>-0.99974370000000001</v>
      </c>
      <c r="N2155">
        <v>0</v>
      </c>
      <c r="O2155">
        <v>-2.036222E-2</v>
      </c>
      <c r="P2155">
        <v>-0.9839386</v>
      </c>
      <c r="Q2155">
        <v>0.1781895</v>
      </c>
      <c r="R2155">
        <v>-1.065787E-2</v>
      </c>
      <c r="S2155">
        <v>-3.072174</v>
      </c>
      <c r="T2155">
        <v>-0.13743729999999901</v>
      </c>
      <c r="U2155">
        <v>-0.15045169999999999</v>
      </c>
      <c r="V2155">
        <v>9.0094430000000007E-3</v>
      </c>
      <c r="W2155">
        <v>0.18793899999999999</v>
      </c>
      <c r="X2155">
        <v>0.98213930000000005</v>
      </c>
      <c r="Y2155">
        <v>-2.8556600000000001E-2</v>
      </c>
      <c r="Z2155">
        <v>2.7175659999999999E-4</v>
      </c>
      <c r="AA2155">
        <v>0.99959209999999998</v>
      </c>
      <c r="AB2155">
        <v>49</v>
      </c>
      <c r="AC2155">
        <v>-24.540299999999998</v>
      </c>
      <c r="AD2155">
        <v>-1.109725245148</v>
      </c>
      <c r="AE2155">
        <v>-1.2092999999999801</v>
      </c>
      <c r="AF2155">
        <v>-0.70788575054351799</v>
      </c>
      <c r="AG2155">
        <v>-1.109725245148</v>
      </c>
      <c r="AH2155">
        <v>24.509838109709602</v>
      </c>
      <c r="AI2155">
        <v>92.591315794387597</v>
      </c>
      <c r="AJ2155">
        <v>91.654339531601593</v>
      </c>
      <c r="AK2155">
        <v>24.545157496331399</v>
      </c>
      <c r="AL2155">
        <v>79.167468170444593</v>
      </c>
      <c r="AM2155">
        <v>89.474424268486004</v>
      </c>
      <c r="AN2155">
        <v>0.99999992119432701</v>
      </c>
    </row>
    <row r="2156" spans="1:40" x14ac:dyDescent="0.25">
      <c r="A2156" t="str">
        <f>"20190312172933531"</f>
        <v>20190312172933531</v>
      </c>
      <c r="B2156" t="str">
        <f>"1552382973519944"</f>
        <v>1552382973519944</v>
      </c>
      <c r="C2156" t="s">
        <v>40</v>
      </c>
      <c r="D2156">
        <v>3.3976709999999999</v>
      </c>
      <c r="E2156">
        <v>0.49054170000000002</v>
      </c>
      <c r="F2156" t="s">
        <v>47</v>
      </c>
      <c r="G2156">
        <v>-340.17160000000001</v>
      </c>
      <c r="H2156" s="1">
        <v>-1.445449E-6</v>
      </c>
      <c r="I2156">
        <v>283.8503</v>
      </c>
      <c r="J2156">
        <v>-315.58850000000001</v>
      </c>
      <c r="K2156">
        <v>1.109721</v>
      </c>
      <c r="L2156">
        <v>285.05889999999999</v>
      </c>
      <c r="M2156">
        <v>-0.9997376</v>
      </c>
      <c r="N2156">
        <v>0</v>
      </c>
      <c r="O2156">
        <v>-2.065289E-2</v>
      </c>
      <c r="P2156">
        <v>-0.98392469999999999</v>
      </c>
      <c r="Q2156">
        <v>0.17829120000000001</v>
      </c>
      <c r="R2156">
        <v>-1.024386E-2</v>
      </c>
      <c r="S2156">
        <v>-3.072174</v>
      </c>
      <c r="T2156">
        <v>-0.13730129999999999</v>
      </c>
      <c r="U2156">
        <v>-0.150177</v>
      </c>
      <c r="V2156">
        <v>9.7122270000000004E-3</v>
      </c>
      <c r="W2156">
        <v>0.18806780000000001</v>
      </c>
      <c r="X2156">
        <v>0.98210799999999998</v>
      </c>
      <c r="Y2156">
        <v>-2.8177489999999999E-2</v>
      </c>
      <c r="Z2156">
        <v>2.92923E-4</v>
      </c>
      <c r="AA2156">
        <v>0.99960289999999996</v>
      </c>
      <c r="AB2156">
        <v>49</v>
      </c>
      <c r="AC2156">
        <v>-24.583100000000002</v>
      </c>
      <c r="AD2156">
        <v>-1.109722445449</v>
      </c>
      <c r="AE2156">
        <v>-1.2085999999999899</v>
      </c>
      <c r="AF2156">
        <v>-0.69918385869584299</v>
      </c>
      <c r="AG2156">
        <v>-1.109722445449</v>
      </c>
      <c r="AH2156">
        <v>24.552905809286901</v>
      </c>
      <c r="AI2156">
        <v>92.586800073641001</v>
      </c>
      <c r="AJ2156">
        <v>91.631149536724806</v>
      </c>
      <c r="AK2156">
        <v>24.587914219264501</v>
      </c>
      <c r="AL2156">
        <v>79.159955073979503</v>
      </c>
      <c r="AM2156">
        <v>89.433411113898998</v>
      </c>
      <c r="AN2156">
        <v>0.99999997420706899</v>
      </c>
    </row>
    <row r="2157" spans="1:40" x14ac:dyDescent="0.25">
      <c r="A2157" t="str">
        <f>"20190312172933542"</f>
        <v>20190312172933542</v>
      </c>
      <c r="B2157" t="str">
        <f>"1552382973539464"</f>
        <v>1552382973539464</v>
      </c>
      <c r="C2157" t="s">
        <v>40</v>
      </c>
      <c r="D2157">
        <v>3.4055849999999999</v>
      </c>
      <c r="E2157">
        <v>0.49063200000000001</v>
      </c>
      <c r="F2157" t="s">
        <v>47</v>
      </c>
      <c r="G2157">
        <v>-340.45240000000001</v>
      </c>
      <c r="H2157" s="1">
        <v>-1.2960419999999899E-6</v>
      </c>
      <c r="I2157">
        <v>283.85390000000001</v>
      </c>
      <c r="J2157">
        <v>-315.84550000000002</v>
      </c>
      <c r="K2157">
        <v>1.1097170000000001</v>
      </c>
      <c r="L2157">
        <v>285.05349999999999</v>
      </c>
      <c r="M2157">
        <v>-0.99973089999999998</v>
      </c>
      <c r="N2157">
        <v>0</v>
      </c>
      <c r="O2157">
        <v>-2.095406E-2</v>
      </c>
      <c r="P2157">
        <v>-0.98392919999999995</v>
      </c>
      <c r="Q2157">
        <v>0.178288</v>
      </c>
      <c r="R2157">
        <v>-9.848351E-3</v>
      </c>
      <c r="S2157">
        <v>-3.0723569999999998</v>
      </c>
      <c r="T2157">
        <v>-0.1371251</v>
      </c>
      <c r="U2157">
        <v>-0.14889530000000001</v>
      </c>
      <c r="V2157">
        <v>1.0407410000000001E-2</v>
      </c>
      <c r="W2157">
        <v>0.1880927</v>
      </c>
      <c r="X2157">
        <v>0.98209610000000003</v>
      </c>
      <c r="Y2157">
        <v>-2.7458440000000001E-2</v>
      </c>
      <c r="Z2157">
        <v>3.219858E-4</v>
      </c>
      <c r="AA2157">
        <v>0.99962289999999998</v>
      </c>
      <c r="AB2157">
        <v>49</v>
      </c>
      <c r="AC2157">
        <v>-24.6069</v>
      </c>
      <c r="AD2157">
        <v>-1.109718296042</v>
      </c>
      <c r="AE2157">
        <v>-1.19959999999997</v>
      </c>
      <c r="AF2157">
        <v>-0.68231218392245996</v>
      </c>
      <c r="AG2157">
        <v>-1.109718296042</v>
      </c>
      <c r="AH2157">
        <v>24.5767683839236</v>
      </c>
      <c r="AI2157">
        <v>92.5843339868089</v>
      </c>
      <c r="AJ2157">
        <v>91.590264782091793</v>
      </c>
      <c r="AK2157">
        <v>24.611269142608801</v>
      </c>
      <c r="AL2157">
        <v>79.1585023715202</v>
      </c>
      <c r="AM2157">
        <v>89.392851322016398</v>
      </c>
      <c r="AN2157">
        <v>0.999999963805703</v>
      </c>
    </row>
    <row r="2158" spans="1:40" x14ac:dyDescent="0.25">
      <c r="A2158" t="str">
        <f>"20190312172933554"</f>
        <v>20190312172933554</v>
      </c>
      <c r="B2158" t="str">
        <f>"1552382973549224"</f>
        <v>1552382973549224</v>
      </c>
      <c r="C2158" t="s">
        <v>40</v>
      </c>
      <c r="D2158">
        <v>3.4066109999999998</v>
      </c>
      <c r="E2158">
        <v>0.4906761</v>
      </c>
      <c r="F2158" t="s">
        <v>47</v>
      </c>
      <c r="G2158">
        <v>-340.62360000000001</v>
      </c>
      <c r="H2158" s="1">
        <v>-1.204926E-6</v>
      </c>
      <c r="I2158">
        <v>283.86509999999998</v>
      </c>
      <c r="J2158">
        <v>-316.08420000000001</v>
      </c>
      <c r="K2158">
        <v>1.10971</v>
      </c>
      <c r="L2158">
        <v>285.04840000000002</v>
      </c>
      <c r="M2158">
        <v>-0.99972490000000003</v>
      </c>
      <c r="N2158">
        <v>0</v>
      </c>
      <c r="O2158">
        <v>-2.1232819999999999E-2</v>
      </c>
      <c r="P2158">
        <v>-0.98394099999999995</v>
      </c>
      <c r="Q2158">
        <v>0.17823889999999901</v>
      </c>
      <c r="R2158">
        <v>-9.5466270000000002E-3</v>
      </c>
      <c r="S2158">
        <v>-3.0724490000000002</v>
      </c>
      <c r="T2158">
        <v>-0.13760329999999901</v>
      </c>
      <c r="U2158">
        <v>-0.14736939999999901</v>
      </c>
      <c r="V2158">
        <v>1.0986009999999999E-2</v>
      </c>
      <c r="W2158">
        <v>0.18806639999999999</v>
      </c>
      <c r="X2158">
        <v>0.98209489999999999</v>
      </c>
      <c r="Y2158">
        <v>-2.6683970000000001E-2</v>
      </c>
      <c r="Z2158">
        <v>3.528936E-4</v>
      </c>
      <c r="AA2158">
        <v>0.99964390000000003</v>
      </c>
      <c r="AB2158">
        <v>49</v>
      </c>
      <c r="AC2158">
        <v>-24.539400000000001</v>
      </c>
      <c r="AD2158">
        <v>-1.1097112049259901</v>
      </c>
      <c r="AE2158">
        <v>-1.18330000000003</v>
      </c>
      <c r="AF2158">
        <v>-0.66061884809053795</v>
      </c>
      <c r="AG2158">
        <v>-1.1097112049259901</v>
      </c>
      <c r="AH2158">
        <v>24.508988821888899</v>
      </c>
      <c r="AI2158">
        <v>92.591511880081995</v>
      </c>
      <c r="AJ2158">
        <v>91.543984928657693</v>
      </c>
      <c r="AK2158">
        <v>24.542991042093099</v>
      </c>
      <c r="AL2158">
        <v>79.160037334646006</v>
      </c>
      <c r="AM2158">
        <v>89.359098847256305</v>
      </c>
      <c r="AN2158">
        <v>1.00000002791534</v>
      </c>
    </row>
    <row r="2159" spans="1:40" x14ac:dyDescent="0.25">
      <c r="A2159" t="str">
        <f>"20190312172933574"</f>
        <v>20190312172933574</v>
      </c>
      <c r="B2159" t="str">
        <f>"1552382973569719"</f>
        <v>1552382973569719</v>
      </c>
      <c r="C2159" t="s">
        <v>40</v>
      </c>
      <c r="D2159">
        <v>3.4199649999999999</v>
      </c>
      <c r="E2159">
        <v>0.49077140000000002</v>
      </c>
      <c r="F2159" t="s">
        <v>47</v>
      </c>
      <c r="G2159">
        <v>-340.79700000000003</v>
      </c>
      <c r="H2159" s="1">
        <v>-1.1126519999999999E-6</v>
      </c>
      <c r="I2159">
        <v>283.87310000000002</v>
      </c>
      <c r="J2159">
        <v>-316.5437</v>
      </c>
      <c r="K2159">
        <v>1.109694</v>
      </c>
      <c r="L2159">
        <v>285.03829999999999</v>
      </c>
      <c r="M2159">
        <v>-0.99971290000000002</v>
      </c>
      <c r="N2159">
        <v>0</v>
      </c>
      <c r="O2159">
        <v>-2.176852E-2</v>
      </c>
      <c r="P2159">
        <v>-0.98409179999999996</v>
      </c>
      <c r="Q2159">
        <v>0.17742820000000001</v>
      </c>
      <c r="R2159">
        <v>-9.1087749999999995E-3</v>
      </c>
      <c r="S2159">
        <v>-3.07254</v>
      </c>
      <c r="T2159">
        <v>-0.13797000000000001</v>
      </c>
      <c r="U2159">
        <v>-0.1461182</v>
      </c>
      <c r="V2159">
        <v>1.195997E-2</v>
      </c>
      <c r="W2159">
        <v>0.1872983</v>
      </c>
      <c r="X2159">
        <v>0.98223020000000005</v>
      </c>
      <c r="Y2159">
        <v>-2.5742170000000002E-2</v>
      </c>
      <c r="Z2159">
        <v>3.9897089999999999E-4</v>
      </c>
      <c r="AA2159">
        <v>0.99966849999999996</v>
      </c>
      <c r="AB2159">
        <v>49</v>
      </c>
      <c r="AC2159">
        <v>-24.2532999999999</v>
      </c>
      <c r="AD2159">
        <v>-1.109695112652</v>
      </c>
      <c r="AE2159">
        <v>-1.16519999999997</v>
      </c>
      <c r="AF2159">
        <v>-0.63561138615152102</v>
      </c>
      <c r="AG2159">
        <v>-1.109695112652</v>
      </c>
      <c r="AH2159">
        <v>24.222326440535799</v>
      </c>
      <c r="AI2159">
        <v>92.622150599575804</v>
      </c>
      <c r="AJ2159">
        <v>91.503137799902206</v>
      </c>
      <c r="AK2159">
        <v>24.256061577863999</v>
      </c>
      <c r="AL2159">
        <v>79.204841348710602</v>
      </c>
      <c r="AM2159">
        <v>89.302381518076402</v>
      </c>
      <c r="AN2159">
        <v>0.99999992992866205</v>
      </c>
    </row>
    <row r="2160" spans="1:40" x14ac:dyDescent="0.25">
      <c r="A2160" t="str">
        <f>"20190312172933587"</f>
        <v>20190312172933587</v>
      </c>
      <c r="B2160" t="str">
        <f>"1552382973579480"</f>
        <v>1552382973579480</v>
      </c>
      <c r="C2160" t="s">
        <v>40</v>
      </c>
      <c r="D2160">
        <v>3.3977759999999999</v>
      </c>
      <c r="E2160">
        <v>0.4908014</v>
      </c>
      <c r="F2160" t="s">
        <v>47</v>
      </c>
      <c r="G2160">
        <v>-340.73869999999999</v>
      </c>
      <c r="H2160" s="1">
        <v>-1.1436909999999999E-6</v>
      </c>
      <c r="I2160">
        <v>283.90159999999997</v>
      </c>
      <c r="J2160">
        <v>-316.81380000000001</v>
      </c>
      <c r="K2160">
        <v>1.109688</v>
      </c>
      <c r="L2160">
        <v>285.03230000000002</v>
      </c>
      <c r="M2160">
        <v>-0.99970570000000003</v>
      </c>
      <c r="N2160">
        <v>0</v>
      </c>
      <c r="O2160">
        <v>-2.208305E-2</v>
      </c>
      <c r="P2160">
        <v>-0.98419900000000005</v>
      </c>
      <c r="Q2160">
        <v>0.17683650000000001</v>
      </c>
      <c r="R2160">
        <v>-9.0078989999999998E-3</v>
      </c>
      <c r="S2160">
        <v>-3.07254</v>
      </c>
      <c r="T2160">
        <v>-0.14092079999999901</v>
      </c>
      <c r="U2160">
        <v>-0.14434810000000001</v>
      </c>
      <c r="V2160">
        <v>1.2375870000000001E-2</v>
      </c>
      <c r="W2160">
        <v>0.1867297</v>
      </c>
      <c r="X2160">
        <v>0.98233340000000002</v>
      </c>
      <c r="Y2160">
        <v>-2.485412E-2</v>
      </c>
      <c r="Z2160">
        <v>4.4224999999999999E-4</v>
      </c>
      <c r="AA2160">
        <v>0.999691</v>
      </c>
      <c r="AB2160">
        <v>49</v>
      </c>
      <c r="AC2160">
        <v>-23.924899999999901</v>
      </c>
      <c r="AD2160">
        <v>-1.1096891436909999</v>
      </c>
      <c r="AE2160">
        <v>-1.13070000000004</v>
      </c>
      <c r="AF2160">
        <v>-0.60077326502885897</v>
      </c>
      <c r="AG2160">
        <v>-1.1096891436909999</v>
      </c>
      <c r="AH2160">
        <v>23.8927495502382</v>
      </c>
      <c r="AI2160">
        <v>92.658329477595004</v>
      </c>
      <c r="AJ2160">
        <v>91.440375073560602</v>
      </c>
      <c r="AK2160">
        <v>23.9260489755832</v>
      </c>
      <c r="AL2160">
        <v>79.238005871844805</v>
      </c>
      <c r="AM2160">
        <v>89.278200652780399</v>
      </c>
      <c r="AN2160">
        <v>1.00000002588795</v>
      </c>
    </row>
    <row r="2161" spans="1:40" x14ac:dyDescent="0.25">
      <c r="A2161" t="str">
        <f>"20190312172933598"</f>
        <v>20190312172933598</v>
      </c>
      <c r="B2161" t="str">
        <f>"1552382973589240"</f>
        <v>1552382973589240</v>
      </c>
      <c r="C2161" t="s">
        <v>40</v>
      </c>
      <c r="D2161">
        <v>3.4309099999999999</v>
      </c>
      <c r="E2161">
        <v>0.4908477</v>
      </c>
      <c r="F2161" t="s">
        <v>47</v>
      </c>
      <c r="G2161">
        <v>-340.67630000000003</v>
      </c>
      <c r="H2161" s="1">
        <v>-1.1768980000000001E-6</v>
      </c>
      <c r="I2161">
        <v>283.91640000000001</v>
      </c>
      <c r="J2161">
        <v>-317.06220000000002</v>
      </c>
      <c r="K2161">
        <v>1.1096870000000001</v>
      </c>
      <c r="L2161">
        <v>285.02659999999997</v>
      </c>
      <c r="M2161">
        <v>-0.99969920000000001</v>
      </c>
      <c r="N2161">
        <v>0</v>
      </c>
      <c r="O2161">
        <v>-2.2372179999999998E-2</v>
      </c>
      <c r="P2161">
        <v>-0.98423950000000004</v>
      </c>
      <c r="Q2161">
        <v>0.17661740000000001</v>
      </c>
      <c r="R2161">
        <v>-8.8885930000000002E-3</v>
      </c>
      <c r="S2161">
        <v>-3.07254</v>
      </c>
      <c r="T2161">
        <v>-0.1428837</v>
      </c>
      <c r="U2161">
        <v>-0.14367679999999999</v>
      </c>
      <c r="V2161">
        <v>1.278259E-2</v>
      </c>
      <c r="W2161">
        <v>0.18652959999999999</v>
      </c>
      <c r="X2161">
        <v>0.98236619999999997</v>
      </c>
      <c r="Y2161">
        <v>-2.4347790000000001E-2</v>
      </c>
      <c r="Z2161">
        <v>4.7359239999999998E-4</v>
      </c>
      <c r="AA2161">
        <v>0.99970340000000002</v>
      </c>
      <c r="AB2161">
        <v>50</v>
      </c>
      <c r="AC2161">
        <v>-23.614100000000001</v>
      </c>
      <c r="AD2161">
        <v>-1.109688176898</v>
      </c>
      <c r="AE2161">
        <v>-1.1101999999999601</v>
      </c>
      <c r="AF2161">
        <v>-0.58031783341920595</v>
      </c>
      <c r="AG2161">
        <v>-1.109688176898</v>
      </c>
      <c r="AH2161">
        <v>23.5810685613455</v>
      </c>
      <c r="AI2161">
        <v>92.693447778494004</v>
      </c>
      <c r="AJ2161">
        <v>91.409734790862899</v>
      </c>
      <c r="AK2161">
        <v>23.614295905925498</v>
      </c>
      <c r="AL2161">
        <v>79.2496757142343</v>
      </c>
      <c r="AM2161">
        <v>89.254506997397897</v>
      </c>
      <c r="AN2161">
        <v>1.0000000185928499</v>
      </c>
    </row>
    <row r="2162" spans="1:40" x14ac:dyDescent="0.25">
      <c r="A2162" t="str">
        <f>"20190312172933609"</f>
        <v>20190312172933609</v>
      </c>
      <c r="B2162" t="str">
        <f>"1552382973599977"</f>
        <v>1552382973599977</v>
      </c>
      <c r="C2162" t="s">
        <v>40</v>
      </c>
      <c r="D2162">
        <v>3.4059919999999999</v>
      </c>
      <c r="E2162">
        <v>0.49087940000000002</v>
      </c>
      <c r="F2162" t="s">
        <v>47</v>
      </c>
      <c r="G2162">
        <v>-340.77249999999998</v>
      </c>
      <c r="H2162" s="1">
        <v>-1.1257080000000001E-6</v>
      </c>
      <c r="I2162">
        <v>283.92329999999998</v>
      </c>
      <c r="J2162">
        <v>-317.30770000000001</v>
      </c>
      <c r="K2162">
        <v>1.109683</v>
      </c>
      <c r="L2162">
        <v>285.02109999999999</v>
      </c>
      <c r="M2162">
        <v>-0.99969260000000004</v>
      </c>
      <c r="N2162">
        <v>0</v>
      </c>
      <c r="O2162">
        <v>-2.2657139999999999E-2</v>
      </c>
      <c r="P2162">
        <v>-0.98428459999999995</v>
      </c>
      <c r="Q2162">
        <v>0.1763701</v>
      </c>
      <c r="R2162">
        <v>-8.8086350000000004E-3</v>
      </c>
      <c r="S2162">
        <v>-3.0725709999999999</v>
      </c>
      <c r="T2162">
        <v>-0.14380229999999999</v>
      </c>
      <c r="U2162">
        <v>-0.14297489999999999</v>
      </c>
      <c r="V2162">
        <v>1.314596E-2</v>
      </c>
      <c r="W2162">
        <v>0.18630050000000001</v>
      </c>
      <c r="X2162">
        <v>0.98240479999999997</v>
      </c>
      <c r="Y2162">
        <v>-2.3835329999999998E-2</v>
      </c>
      <c r="Z2162">
        <v>5.019286E-4</v>
      </c>
      <c r="AA2162">
        <v>0.99971569999999998</v>
      </c>
      <c r="AB2162">
        <v>50</v>
      </c>
      <c r="AC2162">
        <v>-23.464799999999901</v>
      </c>
      <c r="AD2162">
        <v>-1.1096841257079999</v>
      </c>
      <c r="AE2162">
        <v>-1.0978000000000001</v>
      </c>
      <c r="AF2162">
        <v>-0.56458602764121701</v>
      </c>
      <c r="AG2162">
        <v>-1.1096841257079999</v>
      </c>
      <c r="AH2162">
        <v>23.431360785724099</v>
      </c>
      <c r="AI2162">
        <v>92.710655172804294</v>
      </c>
      <c r="AJ2162">
        <v>91.380292792580505</v>
      </c>
      <c r="AK2162">
        <v>23.464416134057601</v>
      </c>
      <c r="AL2162">
        <v>79.263035540852101</v>
      </c>
      <c r="AM2162">
        <v>89.233347522859304</v>
      </c>
      <c r="AN2162">
        <v>0.99999994181380403</v>
      </c>
    </row>
    <row r="2163" spans="1:40" x14ac:dyDescent="0.25">
      <c r="A2163" t="str">
        <f>"20190312172933632"</f>
        <v>20190312172933632</v>
      </c>
      <c r="B2163" t="str">
        <f>"1552382973619496"</f>
        <v>1552382973619496</v>
      </c>
      <c r="C2163" t="s">
        <v>40</v>
      </c>
      <c r="D2163">
        <v>3.4094199999999999</v>
      </c>
      <c r="E2163">
        <v>0.49091289999999999</v>
      </c>
      <c r="F2163" t="s">
        <v>47</v>
      </c>
      <c r="G2163">
        <v>-340.8426</v>
      </c>
      <c r="H2163" s="1">
        <v>-1.088406E-6</v>
      </c>
      <c r="I2163">
        <v>283.93200000000002</v>
      </c>
      <c r="J2163">
        <v>-317.81259999999997</v>
      </c>
      <c r="K2163">
        <v>1.109675</v>
      </c>
      <c r="L2163">
        <v>285.00920000000002</v>
      </c>
      <c r="M2163">
        <v>-0.99967879999999998</v>
      </c>
      <c r="N2163">
        <v>0</v>
      </c>
      <c r="O2163">
        <v>-2.3242329999999999E-2</v>
      </c>
      <c r="P2163">
        <v>-0.98424920000000005</v>
      </c>
      <c r="Q2163">
        <v>0.1765622</v>
      </c>
      <c r="R2163">
        <v>-8.909943E-3</v>
      </c>
      <c r="S2163">
        <v>-3.0726010000000001</v>
      </c>
      <c r="T2163">
        <v>-0.144874799999999</v>
      </c>
      <c r="U2163">
        <v>-0.14218140000000001</v>
      </c>
      <c r="V2163">
        <v>1.3621940000000001E-2</v>
      </c>
      <c r="W2163">
        <v>0.18652489999999999</v>
      </c>
      <c r="X2163">
        <v>0.9823558</v>
      </c>
      <c r="Y2163">
        <v>-2.2993599999999999E-2</v>
      </c>
      <c r="Z2163">
        <v>5.5303980000000002E-4</v>
      </c>
      <c r="AA2163">
        <v>0.9997355</v>
      </c>
      <c r="AB2163">
        <v>50</v>
      </c>
      <c r="AC2163">
        <v>-23.03</v>
      </c>
      <c r="AD2163">
        <v>-1.109676088406</v>
      </c>
      <c r="AE2163">
        <v>-1.0771999999999999</v>
      </c>
      <c r="AF2163">
        <v>-0.54035898257378001</v>
      </c>
      <c r="AG2163">
        <v>-1.109676088406</v>
      </c>
      <c r="AH2163">
        <v>22.995543949836399</v>
      </c>
      <c r="AI2163">
        <v>92.761968498032104</v>
      </c>
      <c r="AJ2163">
        <v>91.346112645589997</v>
      </c>
      <c r="AK2163">
        <v>23.028643260081299</v>
      </c>
      <c r="AL2163">
        <v>79.249949685346493</v>
      </c>
      <c r="AM2163">
        <v>89.205552965336196</v>
      </c>
      <c r="AN2163">
        <v>1.0000000066815</v>
      </c>
    </row>
    <row r="2164" spans="1:40" x14ac:dyDescent="0.25">
      <c r="A2164" t="str">
        <f>"20190312172933646"</f>
        <v>20190312172933646</v>
      </c>
      <c r="B2164" t="str">
        <f>"1552382973639992"</f>
        <v>1552382973639992</v>
      </c>
      <c r="C2164" t="s">
        <v>40</v>
      </c>
      <c r="D2164">
        <v>3.388576</v>
      </c>
      <c r="E2164">
        <v>0.4909615</v>
      </c>
      <c r="F2164" t="s">
        <v>47</v>
      </c>
      <c r="G2164">
        <v>-341.43009999999998</v>
      </c>
      <c r="H2164" s="1">
        <v>-7.7578840000000001E-7</v>
      </c>
      <c r="I2164">
        <v>283.9135</v>
      </c>
      <c r="J2164">
        <v>-318.13249999999999</v>
      </c>
      <c r="K2164">
        <v>1.109672</v>
      </c>
      <c r="L2164">
        <v>285.0016</v>
      </c>
      <c r="M2164">
        <v>-0.9996699</v>
      </c>
      <c r="N2164">
        <v>0</v>
      </c>
      <c r="O2164">
        <v>-2.3612890000000001E-2</v>
      </c>
      <c r="P2164">
        <v>-0.98421789999999998</v>
      </c>
      <c r="Q2164">
        <v>0.17673050000000001</v>
      </c>
      <c r="R2164">
        <v>-9.0197070000000001E-3</v>
      </c>
      <c r="S2164">
        <v>-3.0726010000000001</v>
      </c>
      <c r="T2164">
        <v>-0.1443672</v>
      </c>
      <c r="U2164">
        <v>-0.1425476</v>
      </c>
      <c r="V2164">
        <v>1.3876899999999999E-2</v>
      </c>
      <c r="W2164">
        <v>0.18671180000000001</v>
      </c>
      <c r="X2164">
        <v>0.98231670000000004</v>
      </c>
      <c r="Y2164">
        <v>-2.274259E-2</v>
      </c>
      <c r="Z2164">
        <v>5.7437799999999995E-4</v>
      </c>
      <c r="AA2164">
        <v>0.9997412</v>
      </c>
      <c r="AB2164">
        <v>50</v>
      </c>
      <c r="AC2164">
        <v>-23.2975999999999</v>
      </c>
      <c r="AD2164">
        <v>-1.1096727757884</v>
      </c>
      <c r="AE2164">
        <v>-1.0880999999999901</v>
      </c>
      <c r="AF2164">
        <v>-0.53643038917950003</v>
      </c>
      <c r="AG2164">
        <v>-1.1096727757884</v>
      </c>
      <c r="AH2164">
        <v>23.264134622343601</v>
      </c>
      <c r="AI2164">
        <v>92.730149136170198</v>
      </c>
      <c r="AJ2164">
        <v>91.3209067265568</v>
      </c>
      <c r="AK2164">
        <v>23.296761383468901</v>
      </c>
      <c r="AL2164">
        <v>79.239049346787596</v>
      </c>
      <c r="AM2164">
        <v>89.190653158194706</v>
      </c>
      <c r="AN2164">
        <v>0.99999998185586902</v>
      </c>
    </row>
    <row r="2165" spans="1:40" x14ac:dyDescent="0.25">
      <c r="A2165" t="str">
        <f>"20190312172933663"</f>
        <v>20190312172933663</v>
      </c>
      <c r="B2165" t="str">
        <f>"1552382973659512"</f>
        <v>1552382973659512</v>
      </c>
      <c r="C2165" t="s">
        <v>40</v>
      </c>
      <c r="D2165">
        <v>3.3840810000000001</v>
      </c>
      <c r="E2165">
        <v>0.49099140000000002</v>
      </c>
      <c r="F2165" t="s">
        <v>47</v>
      </c>
      <c r="G2165">
        <v>-341.81020000000001</v>
      </c>
      <c r="H2165" s="1">
        <v>-5.7347459999999997E-7</v>
      </c>
      <c r="I2165">
        <v>283.90109999999999</v>
      </c>
      <c r="J2165">
        <v>-318.5154</v>
      </c>
      <c r="K2165">
        <v>1.1096710000000001</v>
      </c>
      <c r="L2165">
        <v>284.99239999999998</v>
      </c>
      <c r="M2165">
        <v>-0.99965919999999997</v>
      </c>
      <c r="N2165">
        <v>0</v>
      </c>
      <c r="O2165">
        <v>-2.405595E-2</v>
      </c>
      <c r="P2165">
        <v>-0.98423720000000003</v>
      </c>
      <c r="Q2165">
        <v>0.17661749999999901</v>
      </c>
      <c r="R2165">
        <v>-9.1504900000000007E-3</v>
      </c>
      <c r="S2165">
        <v>-3.0726930000000001</v>
      </c>
      <c r="T2165">
        <v>-0.14400399999999999</v>
      </c>
      <c r="U2165">
        <v>-0.14282230000000001</v>
      </c>
      <c r="V2165">
        <v>1.4184199999999999E-2</v>
      </c>
      <c r="W2165">
        <v>0.18662000000000001</v>
      </c>
      <c r="X2165">
        <v>0.98232980000000003</v>
      </c>
      <c r="Y2165">
        <v>-2.2388149999999999E-2</v>
      </c>
      <c r="Z2165">
        <v>6.0194489999999996E-4</v>
      </c>
      <c r="AA2165">
        <v>0.9997492</v>
      </c>
      <c r="AB2165">
        <v>50</v>
      </c>
      <c r="AC2165">
        <v>-23.294799999999999</v>
      </c>
      <c r="AD2165">
        <v>-1.1096715734746001</v>
      </c>
      <c r="AE2165">
        <v>-1.09129999999998</v>
      </c>
      <c r="AF2165">
        <v>-0.529378182635457</v>
      </c>
      <c r="AG2165">
        <v>-1.1096715734746001</v>
      </c>
      <c r="AH2165">
        <v>23.261642215817201</v>
      </c>
      <c r="AI2165">
        <v>92.730457035881997</v>
      </c>
      <c r="AJ2165">
        <v>91.303687020290795</v>
      </c>
      <c r="AK2165">
        <v>23.294111076362601</v>
      </c>
      <c r="AL2165">
        <v>79.2444036816253</v>
      </c>
      <c r="AM2165">
        <v>89.172743897236003</v>
      </c>
      <c r="AN2165">
        <v>1.00000002594883</v>
      </c>
    </row>
    <row r="2166" spans="1:40" x14ac:dyDescent="0.25">
      <c r="A2166" t="str">
        <f>"20190312172933676"</f>
        <v>20190312172933676</v>
      </c>
      <c r="B2166" t="str">
        <f>"1552382973669271"</f>
        <v>1552382973669271</v>
      </c>
      <c r="C2166" t="s">
        <v>40</v>
      </c>
      <c r="D2166">
        <v>3.3926620000000001</v>
      </c>
      <c r="E2166">
        <v>0.49101270000000002</v>
      </c>
      <c r="F2166" t="s">
        <v>47</v>
      </c>
      <c r="G2166">
        <v>-342.14260000000002</v>
      </c>
      <c r="H2166" s="1">
        <v>-3.966033E-7</v>
      </c>
      <c r="I2166">
        <v>283.89179999999999</v>
      </c>
      <c r="J2166">
        <v>-318.79480000000001</v>
      </c>
      <c r="K2166">
        <v>1.109667</v>
      </c>
      <c r="L2166">
        <v>284.9855</v>
      </c>
      <c r="M2166">
        <v>-0.99965130000000002</v>
      </c>
      <c r="N2166">
        <v>0</v>
      </c>
      <c r="O2166">
        <v>-2.4379649999999999E-2</v>
      </c>
      <c r="P2166">
        <v>-0.98420350000000001</v>
      </c>
      <c r="Q2166">
        <v>0.1767976</v>
      </c>
      <c r="R2166">
        <v>-9.2925339999999999E-3</v>
      </c>
      <c r="S2166">
        <v>-3.072632</v>
      </c>
      <c r="T2166">
        <v>-0.14430889999999999</v>
      </c>
      <c r="U2166">
        <v>-0.14312739999999999</v>
      </c>
      <c r="V2166">
        <v>1.4360499999999899E-2</v>
      </c>
      <c r="W2166">
        <v>0.18681310000000001</v>
      </c>
      <c r="X2166">
        <v>0.98229049999999996</v>
      </c>
      <c r="Y2166">
        <v>-2.2165029999999999E-2</v>
      </c>
      <c r="Z2166">
        <v>6.2364180000000003E-4</v>
      </c>
      <c r="AA2166">
        <v>0.99975409999999998</v>
      </c>
      <c r="AB2166">
        <v>50</v>
      </c>
      <c r="AC2166">
        <v>-23.347799999999999</v>
      </c>
      <c r="AD2166">
        <v>-1.1096673966032999</v>
      </c>
      <c r="AE2166">
        <v>-1.0937000000000101</v>
      </c>
      <c r="AF2166">
        <v>-0.522955695649851</v>
      </c>
      <c r="AG2166">
        <v>-1.1096673966032999</v>
      </c>
      <c r="AH2166">
        <v>23.3149745805454</v>
      </c>
      <c r="AI2166">
        <v>92.724230489971205</v>
      </c>
      <c r="AJ2166">
        <v>91.284930882522403</v>
      </c>
      <c r="AK2166">
        <v>23.3472243335728</v>
      </c>
      <c r="AL2166">
        <v>79.2331414475656</v>
      </c>
      <c r="AM2166">
        <v>89.162429615959297</v>
      </c>
      <c r="AN2166">
        <v>0.99999999234105497</v>
      </c>
    </row>
    <row r="2167" spans="1:40" x14ac:dyDescent="0.25">
      <c r="A2167" t="str">
        <f>"20190312172933687"</f>
        <v>20190312172933687</v>
      </c>
      <c r="B2167" t="str">
        <f>"1552382973680008"</f>
        <v>1552382973680008</v>
      </c>
      <c r="C2167" t="s">
        <v>40</v>
      </c>
      <c r="D2167">
        <v>3.4195709999999999</v>
      </c>
      <c r="E2167">
        <v>0.49102829999999897</v>
      </c>
      <c r="F2167" t="s">
        <v>47</v>
      </c>
      <c r="G2167">
        <v>-342.5136</v>
      </c>
      <c r="H2167" s="1">
        <v>-1.991738E-7</v>
      </c>
      <c r="I2167">
        <v>283.87799999999999</v>
      </c>
      <c r="J2167">
        <v>-319.05</v>
      </c>
      <c r="K2167">
        <v>1.1096680000000001</v>
      </c>
      <c r="L2167">
        <v>284.97919999999999</v>
      </c>
      <c r="M2167">
        <v>-0.99964390000000003</v>
      </c>
      <c r="N2167">
        <v>0</v>
      </c>
      <c r="O2167">
        <v>-2.4674729999999999E-2</v>
      </c>
      <c r="P2167">
        <v>-0.98422180000000004</v>
      </c>
      <c r="Q2167">
        <v>0.17668919999999999</v>
      </c>
      <c r="R2167">
        <v>-9.4115640000000007E-3</v>
      </c>
      <c r="S2167">
        <v>-3.072632</v>
      </c>
      <c r="T2167">
        <v>-0.14375099999999999</v>
      </c>
      <c r="U2167">
        <v>-0.14346310000000001</v>
      </c>
      <c r="V2167">
        <v>1.453319E-2</v>
      </c>
      <c r="W2167">
        <v>0.18671650000000001</v>
      </c>
      <c r="X2167">
        <v>0.98230629999999997</v>
      </c>
      <c r="Y2167">
        <v>-2.19794E-2</v>
      </c>
      <c r="Z2167">
        <v>6.3935330000000005E-4</v>
      </c>
      <c r="AA2167">
        <v>0.99975820000000004</v>
      </c>
      <c r="AB2167">
        <v>50</v>
      </c>
      <c r="AC2167">
        <v>-23.4635999999999</v>
      </c>
      <c r="AD2167">
        <v>-1.1096681991738</v>
      </c>
      <c r="AE2167">
        <v>-1.1012</v>
      </c>
      <c r="AF2167">
        <v>-0.52071471135763503</v>
      </c>
      <c r="AG2167">
        <v>-1.1096681991738</v>
      </c>
      <c r="AH2167">
        <v>23.431336182772501</v>
      </c>
      <c r="AI2167">
        <v>92.710736468281496</v>
      </c>
      <c r="AJ2167">
        <v>91.273074872738405</v>
      </c>
      <c r="AK2167">
        <v>23.463376198513799</v>
      </c>
      <c r="AL2167">
        <v>79.238775063543201</v>
      </c>
      <c r="AM2167">
        <v>89.152372634002106</v>
      </c>
      <c r="AN2167">
        <v>0.999999966001757</v>
      </c>
    </row>
    <row r="2168" spans="1:40" x14ac:dyDescent="0.25">
      <c r="A2168" t="str">
        <f>"20190312172933698"</f>
        <v>20190312172933698</v>
      </c>
      <c r="B2168" t="str">
        <f>"1552382973689768"</f>
        <v>1552382973689768</v>
      </c>
      <c r="C2168" t="s">
        <v>40</v>
      </c>
      <c r="D2168">
        <v>3.4072979999999999</v>
      </c>
      <c r="E2168">
        <v>0.49104690000000001</v>
      </c>
      <c r="F2168" t="s">
        <v>47</v>
      </c>
      <c r="G2168">
        <v>-342.69979999999998</v>
      </c>
      <c r="H2168" s="1">
        <v>-1.00098399999999E-7</v>
      </c>
      <c r="I2168">
        <v>283.87279999999998</v>
      </c>
      <c r="J2168">
        <v>-319.3032</v>
      </c>
      <c r="K2168">
        <v>1.1096680000000001</v>
      </c>
      <c r="L2168">
        <v>284.97280000000001</v>
      </c>
      <c r="M2168">
        <v>-0.99963650000000004</v>
      </c>
      <c r="N2168">
        <v>0</v>
      </c>
      <c r="O2168">
        <v>-2.4967079999999999E-2</v>
      </c>
      <c r="P2168">
        <v>-0.98423749999999999</v>
      </c>
      <c r="Q2168">
        <v>0.17658570000000001</v>
      </c>
      <c r="R2168">
        <v>-9.718516E-3</v>
      </c>
      <c r="S2168">
        <v>-3.0726010000000001</v>
      </c>
      <c r="T2168">
        <v>-0.1441692</v>
      </c>
      <c r="U2168">
        <v>-0.1437378</v>
      </c>
      <c r="V2168">
        <v>1.4515129999999999E-2</v>
      </c>
      <c r="W2168">
        <v>0.18662429999999999</v>
      </c>
      <c r="X2168">
        <v>0.98232410000000003</v>
      </c>
      <c r="Y2168">
        <v>-2.177722E-2</v>
      </c>
      <c r="Z2168">
        <v>6.5964979999999995E-4</v>
      </c>
      <c r="AA2168">
        <v>0.9997627</v>
      </c>
      <c r="AB2168">
        <v>50</v>
      </c>
      <c r="AC2168">
        <v>-23.3965999999999</v>
      </c>
      <c r="AD2168">
        <v>-1.1096681000983999</v>
      </c>
      <c r="AE2168">
        <v>-1.1000000000000201</v>
      </c>
      <c r="AF2168">
        <v>-0.51432763212085897</v>
      </c>
      <c r="AG2168">
        <v>-1.1096681000983999</v>
      </c>
      <c r="AH2168">
        <v>23.364329623253301</v>
      </c>
      <c r="AI2168">
        <v>92.718511281377502</v>
      </c>
      <c r="AJ2168">
        <v>91.261069518602994</v>
      </c>
      <c r="AK2168">
        <v>23.396320115556001</v>
      </c>
      <c r="AL2168">
        <v>79.244152381043904</v>
      </c>
      <c r="AM2168">
        <v>89.153441142025898</v>
      </c>
      <c r="AN2168">
        <v>0.99999997789510797</v>
      </c>
    </row>
    <row r="2169" spans="1:40" x14ac:dyDescent="0.25">
      <c r="A2169" t="str">
        <f>"20190312172933710"</f>
        <v>20190312172933710</v>
      </c>
      <c r="B2169" t="str">
        <f>"1552382973699529"</f>
        <v>1552382973699529</v>
      </c>
      <c r="C2169" t="s">
        <v>40</v>
      </c>
      <c r="D2169">
        <v>3.4166690000000002</v>
      </c>
      <c r="E2169">
        <v>0.49107200000000001</v>
      </c>
      <c r="F2169" t="s">
        <v>47</v>
      </c>
      <c r="G2169">
        <v>-342.87959999999998</v>
      </c>
      <c r="H2169" s="1">
        <v>-4.4073539999999997E-9</v>
      </c>
      <c r="I2169">
        <v>283.86189999999999</v>
      </c>
      <c r="J2169">
        <v>-319.55520000000001</v>
      </c>
      <c r="K2169">
        <v>1.109669</v>
      </c>
      <c r="L2169">
        <v>284.96629999999999</v>
      </c>
      <c r="M2169">
        <v>-0.99962910000000005</v>
      </c>
      <c r="N2169">
        <v>0</v>
      </c>
      <c r="O2169">
        <v>-2.5257870000000002E-2</v>
      </c>
      <c r="P2169">
        <v>-0.98425289999999999</v>
      </c>
      <c r="Q2169">
        <v>0.1764838</v>
      </c>
      <c r="R2169">
        <v>-9.9911349999999999E-3</v>
      </c>
      <c r="S2169">
        <v>-3.0725709999999999</v>
      </c>
      <c r="T2169">
        <v>-0.14461650000000001</v>
      </c>
      <c r="U2169">
        <v>-0.1447754</v>
      </c>
      <c r="V2169">
        <v>1.452971E-2</v>
      </c>
      <c r="W2169">
        <v>0.18653249999999999</v>
      </c>
      <c r="X2169">
        <v>0.98234129999999997</v>
      </c>
      <c r="Y2169">
        <v>-2.182402E-2</v>
      </c>
      <c r="Z2169">
        <v>6.7425919999999895E-4</v>
      </c>
      <c r="AA2169">
        <v>0.99976160000000003</v>
      </c>
      <c r="AB2169">
        <v>50</v>
      </c>
      <c r="AC2169">
        <v>-23.324399999999901</v>
      </c>
      <c r="AD2169">
        <v>-1.1096690044073501</v>
      </c>
      <c r="AE2169">
        <v>-1.1043999999999901</v>
      </c>
      <c r="AF2169">
        <v>-0.51373222070712299</v>
      </c>
      <c r="AG2169">
        <v>-1.1096690044073501</v>
      </c>
      <c r="AH2169">
        <v>23.2922519494923</v>
      </c>
      <c r="AI2169">
        <v>92.726910679796205</v>
      </c>
      <c r="AJ2169">
        <v>91.263506703063001</v>
      </c>
      <c r="AK2169">
        <v>23.3243282212492</v>
      </c>
      <c r="AL2169">
        <v>79.249505927447402</v>
      </c>
      <c r="AM2169">
        <v>89.152605759007599</v>
      </c>
      <c r="AN2169">
        <v>0.99999995785731099</v>
      </c>
    </row>
    <row r="2170" spans="1:40" x14ac:dyDescent="0.25">
      <c r="A2170" t="str">
        <f>"20190312172933721"</f>
        <v>20190312172933721</v>
      </c>
      <c r="B2170" t="str">
        <f>"1552382973709288"</f>
        <v>1552382973709288</v>
      </c>
      <c r="C2170" t="s">
        <v>40</v>
      </c>
      <c r="D2170">
        <v>3.3513929999999998</v>
      </c>
      <c r="E2170">
        <v>0.49108420000000003</v>
      </c>
      <c r="F2170" t="s">
        <v>47</v>
      </c>
      <c r="G2170">
        <v>-343.06569999999999</v>
      </c>
      <c r="H2170" s="1">
        <v>9.4643750000000003E-8</v>
      </c>
      <c r="I2170">
        <v>283.8546</v>
      </c>
      <c r="J2170">
        <v>-319.8064</v>
      </c>
      <c r="K2170">
        <v>1.109669</v>
      </c>
      <c r="L2170">
        <v>284.9599</v>
      </c>
      <c r="M2170">
        <v>-0.99962169999999895</v>
      </c>
      <c r="N2170">
        <v>0</v>
      </c>
      <c r="O2170">
        <v>-2.55476E-2</v>
      </c>
      <c r="P2170">
        <v>-0.98423240000000001</v>
      </c>
      <c r="Q2170">
        <v>0.17660310000000001</v>
      </c>
      <c r="R2170">
        <v>-9.9301370000000003E-3</v>
      </c>
      <c r="S2170">
        <v>-3.07254</v>
      </c>
      <c r="T2170">
        <v>-0.14502019999999999</v>
      </c>
      <c r="U2170">
        <v>-0.14529420000000001</v>
      </c>
      <c r="V2170">
        <v>1.487576E-2</v>
      </c>
      <c r="W2170">
        <v>0.18666179999999999</v>
      </c>
      <c r="X2170">
        <v>0.98231159999999995</v>
      </c>
      <c r="Y2170">
        <v>-2.1703630000000002E-2</v>
      </c>
      <c r="Z2170">
        <v>6.926336E-4</v>
      </c>
      <c r="AA2170">
        <v>0.99976419999999999</v>
      </c>
      <c r="AB2170">
        <v>50</v>
      </c>
      <c r="AC2170">
        <v>-23.2593</v>
      </c>
      <c r="AD2170">
        <v>-1.1096689053562501</v>
      </c>
      <c r="AE2170">
        <v>-1.10529999999999</v>
      </c>
      <c r="AF2170">
        <v>-0.50953193344588199</v>
      </c>
      <c r="AG2170">
        <v>-1.1096689053562501</v>
      </c>
      <c r="AH2170">
        <v>23.227198185049399</v>
      </c>
      <c r="AI2170">
        <v>92.734543424176294</v>
      </c>
      <c r="AJ2170">
        <v>91.256688277963505</v>
      </c>
      <c r="AK2170">
        <v>23.2592717727421</v>
      </c>
      <c r="AL2170">
        <v>79.241965573561103</v>
      </c>
      <c r="AM2170">
        <v>89.132400431668103</v>
      </c>
      <c r="AN2170">
        <v>0.99999999765468806</v>
      </c>
    </row>
    <row r="2171" spans="1:40" x14ac:dyDescent="0.25">
      <c r="A2171" t="str">
        <f>"20190312172933733"</f>
        <v>20190312172933733</v>
      </c>
      <c r="B2171" t="str">
        <f>"1552382973729784"</f>
        <v>1552382973729784</v>
      </c>
      <c r="C2171" t="s">
        <v>40</v>
      </c>
      <c r="D2171">
        <v>3.3795769999999998</v>
      </c>
      <c r="E2171">
        <v>0.49112230000000001</v>
      </c>
      <c r="F2171" t="s">
        <v>47</v>
      </c>
      <c r="G2171">
        <v>-343.36520000000002</v>
      </c>
      <c r="H2171" s="1">
        <v>2.5400750000000002E-7</v>
      </c>
      <c r="I2171">
        <v>283.84750000000003</v>
      </c>
      <c r="J2171">
        <v>-320.07209999999998</v>
      </c>
      <c r="K2171">
        <v>1.109669</v>
      </c>
      <c r="L2171">
        <v>284.9529</v>
      </c>
      <c r="M2171">
        <v>-0.9996138</v>
      </c>
      <c r="N2171">
        <v>0</v>
      </c>
      <c r="O2171">
        <v>-2.5852090000000001E-2</v>
      </c>
      <c r="P2171">
        <v>-0.98419900000000005</v>
      </c>
      <c r="Q2171">
        <v>0.17677100000000001</v>
      </c>
      <c r="R2171">
        <v>-1.021392E-2</v>
      </c>
      <c r="S2171">
        <v>-3.0725099999999999</v>
      </c>
      <c r="T2171">
        <v>-0.1447215</v>
      </c>
      <c r="U2171">
        <v>-0.1450806</v>
      </c>
      <c r="V2171">
        <v>1.489091E-2</v>
      </c>
      <c r="W2171">
        <v>0.18683930000000001</v>
      </c>
      <c r="X2171">
        <v>0.98227759999999997</v>
      </c>
      <c r="Y2171">
        <v>-2.133094E-2</v>
      </c>
      <c r="Z2171">
        <v>7.1430349999999996E-4</v>
      </c>
      <c r="AA2171">
        <v>0.9997722</v>
      </c>
      <c r="AB2171">
        <v>50</v>
      </c>
      <c r="AC2171">
        <v>-23.293099999999999</v>
      </c>
      <c r="AD2171">
        <v>-1.1096687459925001</v>
      </c>
      <c r="AE2171">
        <v>-1.10539999999997</v>
      </c>
      <c r="AF2171">
        <v>-0.50168787713003704</v>
      </c>
      <c r="AG2171">
        <v>-1.1096687459925001</v>
      </c>
      <c r="AH2171">
        <v>23.261219580099901</v>
      </c>
      <c r="AI2171">
        <v>92.730571492787504</v>
      </c>
      <c r="AJ2171">
        <v>91.235538927456503</v>
      </c>
      <c r="AK2171">
        <v>23.293076048592599</v>
      </c>
      <c r="AL2171">
        <v>79.231613186640701</v>
      </c>
      <c r="AM2171">
        <v>89.131486916283194</v>
      </c>
      <c r="AN2171">
        <v>0.99999997334343804</v>
      </c>
    </row>
    <row r="2172" spans="1:40" x14ac:dyDescent="0.25">
      <c r="A2172" t="str">
        <f>"20190312172933744"</f>
        <v>20190312172933744</v>
      </c>
      <c r="B2172" t="str">
        <f>"1552382973739544"</f>
        <v>1552382973739544</v>
      </c>
      <c r="C2172" t="s">
        <v>40</v>
      </c>
      <c r="D2172">
        <v>3.407683</v>
      </c>
      <c r="E2172">
        <v>0.49115599999999998</v>
      </c>
      <c r="F2172" t="s">
        <v>47</v>
      </c>
      <c r="G2172">
        <v>-343.69749999999999</v>
      </c>
      <c r="H2172" s="1">
        <v>4.308469E-7</v>
      </c>
      <c r="I2172">
        <v>283.83510000000001</v>
      </c>
      <c r="J2172">
        <v>-320.32089999999999</v>
      </c>
      <c r="K2172">
        <v>1.1096629999999901</v>
      </c>
      <c r="L2172">
        <v>284.94639999999998</v>
      </c>
      <c r="M2172">
        <v>-0.99960629999999995</v>
      </c>
      <c r="N2172">
        <v>0</v>
      </c>
      <c r="O2172">
        <v>-2.613642E-2</v>
      </c>
      <c r="P2172">
        <v>-0.98413839999999997</v>
      </c>
      <c r="Q2172">
        <v>0.1771027</v>
      </c>
      <c r="R2172">
        <v>-1.0319719999999999E-2</v>
      </c>
      <c r="S2172">
        <v>-3.07254</v>
      </c>
      <c r="T2172">
        <v>-0.14431459999999999</v>
      </c>
      <c r="U2172">
        <v>-0.14538570000000001</v>
      </c>
      <c r="V2172">
        <v>1.506351E-2</v>
      </c>
      <c r="W2172">
        <v>0.1871794</v>
      </c>
      <c r="X2172">
        <v>0.98221029999999998</v>
      </c>
      <c r="Y2172">
        <v>-2.1145649999999998E-2</v>
      </c>
      <c r="Z2172">
        <v>7.2996859999999999E-4</v>
      </c>
      <c r="AA2172">
        <v>0.99977609999999995</v>
      </c>
      <c r="AB2172">
        <v>50</v>
      </c>
      <c r="AC2172">
        <v>-23.3766</v>
      </c>
      <c r="AD2172">
        <v>-1.1096625691530999</v>
      </c>
      <c r="AE2172">
        <v>-1.11129999999997</v>
      </c>
      <c r="AF2172">
        <v>-0.49878649267716102</v>
      </c>
      <c r="AG2172">
        <v>-1.1096625691530999</v>
      </c>
      <c r="AH2172">
        <v>23.3451752074856</v>
      </c>
      <c r="AI2172">
        <v>92.720763037569597</v>
      </c>
      <c r="AJ2172">
        <v>91.223979397383104</v>
      </c>
      <c r="AK2172">
        <v>23.376854887919698</v>
      </c>
      <c r="AL2172">
        <v>79.211777837485002</v>
      </c>
      <c r="AM2172">
        <v>89.1213613916171</v>
      </c>
      <c r="AN2172">
        <v>1.0000000552719801</v>
      </c>
    </row>
    <row r="2173" spans="1:40" x14ac:dyDescent="0.25">
      <c r="A2173" t="str">
        <f>"20190312172933756"</f>
        <v>20190312172933756</v>
      </c>
      <c r="B2173" t="str">
        <f>"1552382973749304"</f>
        <v>1552382973749304</v>
      </c>
      <c r="C2173" t="s">
        <v>40</v>
      </c>
      <c r="D2173">
        <v>3.4210690000000001</v>
      </c>
      <c r="E2173">
        <v>0.49116399999999999</v>
      </c>
      <c r="F2173" t="s">
        <v>47</v>
      </c>
      <c r="G2173">
        <v>-344.1223</v>
      </c>
      <c r="H2173" s="1">
        <v>6.5692490000000002E-7</v>
      </c>
      <c r="I2173">
        <v>283.81740000000002</v>
      </c>
      <c r="J2173">
        <v>-320.5822</v>
      </c>
      <c r="K2173">
        <v>1.109661</v>
      </c>
      <c r="L2173">
        <v>284.93950000000001</v>
      </c>
      <c r="M2173">
        <v>-0.99959830000000005</v>
      </c>
      <c r="N2173">
        <v>0</v>
      </c>
      <c r="O2173">
        <v>-2.6430269999999999E-2</v>
      </c>
      <c r="P2173">
        <v>-0.98414889999999999</v>
      </c>
      <c r="Q2173">
        <v>0.17703550000000001</v>
      </c>
      <c r="R2173">
        <v>-1.046157E-2</v>
      </c>
      <c r="S2173">
        <v>-3.0726010000000001</v>
      </c>
      <c r="T2173">
        <v>-0.1432494</v>
      </c>
      <c r="U2173">
        <v>-0.14575199999999999</v>
      </c>
      <c r="V2173">
        <v>1.521282E-2</v>
      </c>
      <c r="W2173">
        <v>0.1871208</v>
      </c>
      <c r="X2173">
        <v>0.98221910000000001</v>
      </c>
      <c r="Y2173">
        <v>-2.0970119999999998E-2</v>
      </c>
      <c r="Z2173">
        <v>7.4233419999999897E-4</v>
      </c>
      <c r="AA2173">
        <v>0.9997798</v>
      </c>
      <c r="AB2173">
        <v>50</v>
      </c>
      <c r="AC2173">
        <v>-23.540099999999899</v>
      </c>
      <c r="AD2173">
        <v>-1.1096603430751</v>
      </c>
      <c r="AE2173">
        <v>-1.1220999999999799</v>
      </c>
      <c r="AF2173">
        <v>-0.49839921623630001</v>
      </c>
      <c r="AG2173">
        <v>-1.1096603430751</v>
      </c>
      <c r="AH2173">
        <v>23.5094127586365</v>
      </c>
      <c r="AI2173">
        <v>92.701788057510299</v>
      </c>
      <c r="AJ2173">
        <v>91.214487786652001</v>
      </c>
      <c r="AK2173">
        <v>23.5408631131418</v>
      </c>
      <c r="AL2173">
        <v>79.215195070062293</v>
      </c>
      <c r="AM2173">
        <v>89.112661631639398</v>
      </c>
      <c r="AN2173">
        <v>0.99999999204490098</v>
      </c>
    </row>
    <row r="2174" spans="1:40" x14ac:dyDescent="0.25">
      <c r="A2174" t="str">
        <f>"20190312172933767"</f>
        <v>20190312172933767</v>
      </c>
      <c r="B2174" t="str">
        <f>"1552382973760041"</f>
        <v>1552382973760041</v>
      </c>
      <c r="C2174" t="s">
        <v>40</v>
      </c>
      <c r="D2174">
        <v>3.4148230000000002</v>
      </c>
      <c r="E2174">
        <v>0.49119099999999999</v>
      </c>
      <c r="F2174" t="s">
        <v>47</v>
      </c>
      <c r="G2174">
        <v>-344.38679999999999</v>
      </c>
      <c r="H2174" s="1">
        <v>7.9767020000000001E-7</v>
      </c>
      <c r="I2174">
        <v>283.80810000000002</v>
      </c>
      <c r="J2174">
        <v>-320.8374</v>
      </c>
      <c r="K2174">
        <v>1.109658</v>
      </c>
      <c r="L2174">
        <v>284.93259999999998</v>
      </c>
      <c r="M2174">
        <v>-0.99959070000000005</v>
      </c>
      <c r="N2174">
        <v>0</v>
      </c>
      <c r="O2174">
        <v>-2.6714330000000001E-2</v>
      </c>
      <c r="P2174">
        <v>-0.98412659999999996</v>
      </c>
      <c r="Q2174">
        <v>0.177149799999999</v>
      </c>
      <c r="R2174">
        <v>-1.062362E-2</v>
      </c>
      <c r="S2174">
        <v>-3.0725709999999999</v>
      </c>
      <c r="T2174">
        <v>-0.14322889999999999</v>
      </c>
      <c r="U2174">
        <v>-0.14602660000000001</v>
      </c>
      <c r="V2174">
        <v>1.5331539999999999E-2</v>
      </c>
      <c r="W2174">
        <v>0.18724299999999999</v>
      </c>
      <c r="X2174">
        <v>0.98219389999999995</v>
      </c>
      <c r="Y2174">
        <v>-2.077617E-2</v>
      </c>
      <c r="Z2174">
        <v>7.5996869999999999E-4</v>
      </c>
      <c r="AA2174">
        <v>0.99978389999999995</v>
      </c>
      <c r="AB2174">
        <v>50</v>
      </c>
      <c r="AC2174">
        <v>-23.549399999999899</v>
      </c>
      <c r="AD2174">
        <v>-1.1096572023297999</v>
      </c>
      <c r="AE2174">
        <v>-1.1244999999999501</v>
      </c>
      <c r="AF2174">
        <v>-0.49386517986696499</v>
      </c>
      <c r="AG2174">
        <v>-1.1096572023297999</v>
      </c>
      <c r="AH2174">
        <v>23.518935323767199</v>
      </c>
      <c r="AI2174">
        <v>92.700699572046602</v>
      </c>
      <c r="AJ2174">
        <v>91.202955497037706</v>
      </c>
      <c r="AK2174">
        <v>23.550277295312501</v>
      </c>
      <c r="AL2174">
        <v>79.208066840340706</v>
      </c>
      <c r="AM2174">
        <v>89.1057150724032</v>
      </c>
      <c r="AN2174">
        <v>0.99999992718248798</v>
      </c>
    </row>
    <row r="2175" spans="1:40" x14ac:dyDescent="0.25">
      <c r="A2175" t="str">
        <f>"20190312172933779"</f>
        <v>20190312172933779</v>
      </c>
      <c r="B2175" t="str">
        <f>"1552382973769800"</f>
        <v>1552382973769800</v>
      </c>
      <c r="C2175" t="s">
        <v>40</v>
      </c>
      <c r="D2175">
        <v>3.4005740000000002</v>
      </c>
      <c r="E2175">
        <v>0.49122670000000002</v>
      </c>
      <c r="F2175" t="s">
        <v>47</v>
      </c>
      <c r="G2175">
        <v>-344.68599999999998</v>
      </c>
      <c r="H2175" s="1">
        <v>9.5689049999999995E-7</v>
      </c>
      <c r="I2175">
        <v>283.79910000000001</v>
      </c>
      <c r="J2175">
        <v>-321.1103</v>
      </c>
      <c r="K2175">
        <v>1.1096549999999901</v>
      </c>
      <c r="L2175">
        <v>284.92509999999999</v>
      </c>
      <c r="M2175">
        <v>-0.99958259999999999</v>
      </c>
      <c r="N2175">
        <v>0</v>
      </c>
      <c r="O2175">
        <v>-2.701338E-2</v>
      </c>
      <c r="P2175">
        <v>-0.98410450000000005</v>
      </c>
      <c r="Q2175">
        <v>0.17726639999999999</v>
      </c>
      <c r="R2175">
        <v>-1.0738549999999999E-2</v>
      </c>
      <c r="S2175">
        <v>-3.0725709999999999</v>
      </c>
      <c r="T2175">
        <v>-0.14296389999999901</v>
      </c>
      <c r="U2175">
        <v>-0.14602660000000001</v>
      </c>
      <c r="V2175">
        <v>1.551311E-2</v>
      </c>
      <c r="W2175">
        <v>0.18736720000000001</v>
      </c>
      <c r="X2175">
        <v>0.98216740000000002</v>
      </c>
      <c r="Y2175">
        <v>-2.0477680000000002E-2</v>
      </c>
      <c r="Z2175">
        <v>7.7939250000000002E-4</v>
      </c>
      <c r="AA2175">
        <v>0.99978999999999996</v>
      </c>
      <c r="AB2175">
        <v>50</v>
      </c>
      <c r="AC2175">
        <v>-23.575699999999902</v>
      </c>
      <c r="AD2175">
        <v>-1.1096540431095001</v>
      </c>
      <c r="AE2175">
        <v>-1.1259999999999699</v>
      </c>
      <c r="AF2175">
        <v>-0.48761850211305102</v>
      </c>
      <c r="AG2175">
        <v>-1.1096540431095001</v>
      </c>
      <c r="AH2175">
        <v>23.545471144944599</v>
      </c>
      <c r="AI2175">
        <v>92.697668930315999</v>
      </c>
      <c r="AJ2175">
        <v>91.186406033826998</v>
      </c>
      <c r="AK2175">
        <v>23.576647669599101</v>
      </c>
      <c r="AL2175">
        <v>79.200822882531995</v>
      </c>
      <c r="AM2175">
        <v>89.095101479503199</v>
      </c>
      <c r="AN2175">
        <v>0.99999996292023496</v>
      </c>
    </row>
    <row r="2176" spans="1:40" x14ac:dyDescent="0.25">
      <c r="A2176" t="str">
        <f>"20190312172933792"</f>
        <v>20190312172933792</v>
      </c>
      <c r="B2176" t="str">
        <f>"1552382973789320"</f>
        <v>1552382973789320</v>
      </c>
      <c r="C2176" t="s">
        <v>40</v>
      </c>
      <c r="D2176">
        <v>3.4140619999999999</v>
      </c>
      <c r="E2176">
        <v>0.4912956</v>
      </c>
      <c r="F2176" t="s">
        <v>47</v>
      </c>
      <c r="G2176">
        <v>-345.00760000000002</v>
      </c>
      <c r="H2176" s="1">
        <v>1.128007E-6</v>
      </c>
      <c r="I2176">
        <v>283.78800000000001</v>
      </c>
      <c r="J2176">
        <v>-321.3741</v>
      </c>
      <c r="K2176">
        <v>1.109648</v>
      </c>
      <c r="L2176">
        <v>284.91789999999997</v>
      </c>
      <c r="M2176">
        <v>-0.99957499999999999</v>
      </c>
      <c r="N2176">
        <v>0</v>
      </c>
      <c r="O2176">
        <v>-2.729235E-2</v>
      </c>
      <c r="P2176">
        <v>-0.98409400000000002</v>
      </c>
      <c r="Q2176">
        <v>0.17731469999999999</v>
      </c>
      <c r="R2176">
        <v>-1.09044E-2</v>
      </c>
      <c r="S2176">
        <v>-3.07254</v>
      </c>
      <c r="T2176">
        <v>-0.1426713</v>
      </c>
      <c r="U2176">
        <v>-0.1462097</v>
      </c>
      <c r="V2176">
        <v>1.562556E-2</v>
      </c>
      <c r="W2176">
        <v>0.18742239999999999</v>
      </c>
      <c r="X2176">
        <v>0.98215509999999995</v>
      </c>
      <c r="Y2176">
        <v>-2.0259070000000001E-2</v>
      </c>
      <c r="Z2176">
        <v>7.9580850000000002E-4</v>
      </c>
      <c r="AA2176">
        <v>0.99979439999999997</v>
      </c>
      <c r="AB2176">
        <v>50</v>
      </c>
      <c r="AC2176">
        <v>-23.633500000000002</v>
      </c>
      <c r="AD2176">
        <v>-1.1096468719929999</v>
      </c>
      <c r="AE2176">
        <v>-1.1298999999999599</v>
      </c>
      <c r="AF2176">
        <v>-0.48336829561457301</v>
      </c>
      <c r="AG2176">
        <v>-1.1096468719929999</v>
      </c>
      <c r="AH2176">
        <v>23.603618790983099</v>
      </c>
      <c r="AI2176">
        <v>92.691028406071695</v>
      </c>
      <c r="AJ2176">
        <v>91.173171496008493</v>
      </c>
      <c r="AK2176">
        <v>23.634630970670599</v>
      </c>
      <c r="AL2176">
        <v>79.197603273403701</v>
      </c>
      <c r="AM2176">
        <v>89.088531824516707</v>
      </c>
      <c r="AN2176">
        <v>0.999999977301541</v>
      </c>
    </row>
    <row r="2177" spans="1:40" x14ac:dyDescent="0.25">
      <c r="A2177" t="str">
        <f>"20190312172933802"</f>
        <v>20190312172933802</v>
      </c>
      <c r="B2177" t="str">
        <f>"1552382973800057"</f>
        <v>1552382973800057</v>
      </c>
      <c r="C2177" t="s">
        <v>40</v>
      </c>
      <c r="D2177">
        <v>3.411041</v>
      </c>
      <c r="E2177">
        <v>0.4912956</v>
      </c>
      <c r="F2177" t="s">
        <v>47</v>
      </c>
      <c r="G2177">
        <v>-345.2835</v>
      </c>
      <c r="H2177" s="1">
        <v>1.2748179999999999E-6</v>
      </c>
      <c r="I2177">
        <v>283.7826</v>
      </c>
      <c r="J2177">
        <v>-321.62220000000002</v>
      </c>
      <c r="K2177">
        <v>1.10964</v>
      </c>
      <c r="L2177">
        <v>284.911</v>
      </c>
      <c r="M2177">
        <v>-0.99956789999999995</v>
      </c>
      <c r="N2177">
        <v>0</v>
      </c>
      <c r="O2177">
        <v>-2.7550939999999999E-2</v>
      </c>
      <c r="P2177">
        <v>-0.9840738</v>
      </c>
      <c r="Q2177">
        <v>0.1774239</v>
      </c>
      <c r="R2177">
        <v>-1.095195E-2</v>
      </c>
      <c r="S2177">
        <v>-3.0726010000000001</v>
      </c>
      <c r="T2177">
        <v>-0.142600799999999</v>
      </c>
      <c r="U2177">
        <v>-0.14590449999999999</v>
      </c>
      <c r="V2177">
        <v>1.5836010000000001E-2</v>
      </c>
      <c r="W2177">
        <v>0.18753819999999999</v>
      </c>
      <c r="X2177">
        <v>0.98212960000000005</v>
      </c>
      <c r="Y2177">
        <v>-1.990105E-2</v>
      </c>
      <c r="Z2177">
        <v>8.1568149999999904E-4</v>
      </c>
      <c r="AA2177">
        <v>0.99980159999999996</v>
      </c>
      <c r="AB2177">
        <v>50</v>
      </c>
      <c r="AC2177">
        <v>-23.661299999999901</v>
      </c>
      <c r="AD2177">
        <v>-1.1096387251819999</v>
      </c>
      <c r="AE2177">
        <v>-1.1283999999999901</v>
      </c>
      <c r="AF2177">
        <v>-0.47500403553874199</v>
      </c>
      <c r="AG2177">
        <v>-1.1096387251819999</v>
      </c>
      <c r="AH2177">
        <v>23.6315522372342</v>
      </c>
      <c r="AI2177">
        <v>92.687853048694805</v>
      </c>
      <c r="AJ2177">
        <v>91.1515139509021</v>
      </c>
      <c r="AK2177">
        <v>23.662358041313801</v>
      </c>
      <c r="AL2177">
        <v>79.190848390379998</v>
      </c>
      <c r="AM2177">
        <v>89.076234015070199</v>
      </c>
      <c r="AN2177">
        <v>0.99999995343405901</v>
      </c>
    </row>
    <row r="2178" spans="1:40" x14ac:dyDescent="0.25">
      <c r="A2178" t="str">
        <f>"20190312172933821"</f>
        <v>20190312172933821</v>
      </c>
      <c r="B2178" t="str">
        <f>"1552382973809816"</f>
        <v>1552382973809816</v>
      </c>
      <c r="C2178" t="s">
        <v>40</v>
      </c>
      <c r="D2178">
        <v>3.4245329999999998</v>
      </c>
      <c r="E2178">
        <v>0.51422789999999996</v>
      </c>
      <c r="F2178" t="s">
        <v>47</v>
      </c>
      <c r="G2178">
        <v>-345.5865</v>
      </c>
      <c r="H2178" s="1">
        <v>1.4360830000000001E-6</v>
      </c>
      <c r="I2178">
        <v>283.7747</v>
      </c>
      <c r="J2178">
        <v>-322.02969999999999</v>
      </c>
      <c r="K2178">
        <v>1.1096140000000001</v>
      </c>
      <c r="L2178">
        <v>284.89960000000002</v>
      </c>
      <c r="M2178">
        <v>-0.99955689999999997</v>
      </c>
      <c r="N2178">
        <v>0</v>
      </c>
      <c r="O2178">
        <v>-2.794162E-2</v>
      </c>
      <c r="P2178">
        <v>-0.98401430000000001</v>
      </c>
      <c r="Q2178">
        <v>0.17775260000000001</v>
      </c>
      <c r="R2178">
        <v>-1.0947739999999999E-2</v>
      </c>
      <c r="S2178">
        <v>-3.0725709999999999</v>
      </c>
      <c r="T2178">
        <v>-0.14227139999999999</v>
      </c>
      <c r="U2178">
        <v>-0.14569089999999901</v>
      </c>
      <c r="V2178">
        <v>1.6233859999999999E-2</v>
      </c>
      <c r="W2178">
        <v>0.1878753</v>
      </c>
      <c r="X2178">
        <v>0.98205869999999995</v>
      </c>
      <c r="Y2178">
        <v>-1.9442259999999999E-2</v>
      </c>
      <c r="Z2178">
        <v>8.4248009999999998E-4</v>
      </c>
      <c r="AA2178">
        <v>0.99981059999999999</v>
      </c>
      <c r="AB2178">
        <v>50</v>
      </c>
      <c r="AC2178">
        <v>-23.556799999999999</v>
      </c>
      <c r="AD2178">
        <v>-1.10961256391699</v>
      </c>
      <c r="AE2178">
        <v>-1.12490000000002</v>
      </c>
      <c r="AF2178">
        <v>-0.46518116564113399</v>
      </c>
      <c r="AG2178">
        <v>-1.10961256391699</v>
      </c>
      <c r="AH2178">
        <v>23.5269527438228</v>
      </c>
      <c r="AI2178">
        <v>92.699739520623694</v>
      </c>
      <c r="AJ2178">
        <v>91.132719793852701</v>
      </c>
      <c r="AK2178">
        <v>23.557698082982199</v>
      </c>
      <c r="AL2178">
        <v>79.171184731577</v>
      </c>
      <c r="AM2178">
        <v>89.052961950300798</v>
      </c>
      <c r="AN2178">
        <v>0.99999997840313903</v>
      </c>
    </row>
    <row r="2179" spans="1:40" x14ac:dyDescent="0.25">
      <c r="A2179" t="str">
        <f>"20190312172933843"</f>
        <v>20190312172933843</v>
      </c>
      <c r="B2179" t="str">
        <f>"1552382973840072"</f>
        <v>1552382973840072</v>
      </c>
      <c r="C2179" t="s">
        <v>40</v>
      </c>
      <c r="D2179">
        <v>3.4019460000000001</v>
      </c>
      <c r="E2179">
        <v>0.52009030000000001</v>
      </c>
      <c r="F2179" t="s">
        <v>47</v>
      </c>
      <c r="G2179">
        <v>-345.19220000000001</v>
      </c>
      <c r="H2179" s="1">
        <v>1.226261E-6</v>
      </c>
      <c r="I2179">
        <v>285.18299999999999</v>
      </c>
      <c r="J2179">
        <v>-322.52210000000002</v>
      </c>
      <c r="K2179">
        <v>1.1095729999999999</v>
      </c>
      <c r="L2179">
        <v>284.88560000000001</v>
      </c>
      <c r="M2179">
        <v>-0.99954489999999996</v>
      </c>
      <c r="N2179">
        <v>0</v>
      </c>
      <c r="O2179">
        <v>-2.8359579999999999E-2</v>
      </c>
      <c r="P2179">
        <v>-0.98388920000000002</v>
      </c>
      <c r="Q2179">
        <v>0.17846779999999901</v>
      </c>
      <c r="R2179">
        <v>-1.054602E-2</v>
      </c>
      <c r="S2179">
        <v>-3.0757750000000001</v>
      </c>
      <c r="T2179">
        <v>-0.1473467</v>
      </c>
      <c r="U2179">
        <v>3.7628170000000002E-2</v>
      </c>
      <c r="V2179">
        <v>1.7062359999999999E-2</v>
      </c>
      <c r="W2179">
        <v>0.18859980000000001</v>
      </c>
      <c r="X2179">
        <v>0.98190580000000005</v>
      </c>
      <c r="Y2179">
        <v>4.0507870000000001E-2</v>
      </c>
      <c r="Z2179">
        <v>2.3274300000000001E-3</v>
      </c>
      <c r="AA2179">
        <v>0.99917650000000002</v>
      </c>
      <c r="AB2179">
        <v>50</v>
      </c>
      <c r="AC2179">
        <v>-22.670099999999898</v>
      </c>
      <c r="AD2179">
        <v>-1.1095717737389901</v>
      </c>
      <c r="AE2179">
        <v>0.29739999999998101</v>
      </c>
      <c r="AF2179">
        <v>0.93798228292935304</v>
      </c>
      <c r="AG2179">
        <v>-1.1095717737389901</v>
      </c>
      <c r="AH2179">
        <v>22.598420057383599</v>
      </c>
      <c r="AI2179">
        <v>92.808524048597704</v>
      </c>
      <c r="AJ2179">
        <v>87.623214568265496</v>
      </c>
      <c r="AK2179">
        <v>22.645077817798001</v>
      </c>
      <c r="AL2179">
        <v>79.128918649665096</v>
      </c>
      <c r="AM2179">
        <v>89.004484098172796</v>
      </c>
      <c r="AN2179">
        <v>1.0000000043812201</v>
      </c>
    </row>
    <row r="2180" spans="1:40" x14ac:dyDescent="0.25">
      <c r="A2180" t="str">
        <f>"20190312172933858"</f>
        <v>20190312172933858</v>
      </c>
      <c r="B2180" t="str">
        <f>"1552382973849832"</f>
        <v>1552382973849832</v>
      </c>
      <c r="C2180" t="s">
        <v>40</v>
      </c>
      <c r="D2180">
        <v>3.4064519999999998</v>
      </c>
      <c r="E2180">
        <v>0.52102859999999995</v>
      </c>
      <c r="F2180" t="s">
        <v>47</v>
      </c>
      <c r="G2180">
        <v>-347.49079999999998</v>
      </c>
      <c r="H2180" s="1">
        <v>2.4494639999999999E-6</v>
      </c>
      <c r="I2180">
        <v>285.58449999999999</v>
      </c>
      <c r="J2180">
        <v>-322.8279</v>
      </c>
      <c r="K2180">
        <v>1.1095379999999999</v>
      </c>
      <c r="L2180">
        <v>284.87689999999998</v>
      </c>
      <c r="M2180">
        <v>-0.99953899999999996</v>
      </c>
      <c r="N2180">
        <v>0</v>
      </c>
      <c r="O2180">
        <v>-2.8572219999999999E-2</v>
      </c>
      <c r="P2180">
        <v>-0.98391059999999997</v>
      </c>
      <c r="Q2180">
        <v>0.17836440000000001</v>
      </c>
      <c r="R2180">
        <v>-1.032168E-2</v>
      </c>
      <c r="S2180">
        <v>-3.0747990000000001</v>
      </c>
      <c r="T2180">
        <v>-0.13663889999999901</v>
      </c>
      <c r="U2180">
        <v>8.6059570000000002E-2</v>
      </c>
      <c r="V2180">
        <v>1.7513979999999998E-2</v>
      </c>
      <c r="W2180">
        <v>0.18850239999999999</v>
      </c>
      <c r="X2180">
        <v>0.98191649999999997</v>
      </c>
      <c r="Y2180">
        <v>5.6445000000000002E-2</v>
      </c>
      <c r="Z2180">
        <v>2.5221879999999999E-3</v>
      </c>
      <c r="AA2180">
        <v>0.99840249999999997</v>
      </c>
      <c r="AB2180">
        <v>50</v>
      </c>
      <c r="AC2180">
        <v>-24.662899999999901</v>
      </c>
      <c r="AD2180">
        <v>-1.1095355505359901</v>
      </c>
      <c r="AE2180">
        <v>0.707600000000013</v>
      </c>
      <c r="AF2180">
        <v>1.4091723160413201</v>
      </c>
      <c r="AG2180">
        <v>-1.1095355505359901</v>
      </c>
      <c r="AH2180">
        <v>24.5828980759633</v>
      </c>
      <c r="AI2180">
        <v>92.580029834074494</v>
      </c>
      <c r="AJ2180">
        <v>86.719208437712297</v>
      </c>
      <c r="AK2180">
        <v>24.648239563250801</v>
      </c>
      <c r="AL2180">
        <v>79.134600625960104</v>
      </c>
      <c r="AM2180">
        <v>88.978150646399499</v>
      </c>
      <c r="AN2180">
        <v>0.999999953636724</v>
      </c>
    </row>
    <row r="2181" spans="1:40" x14ac:dyDescent="0.25">
      <c r="A2181" t="str">
        <f>"20190312172933871"</f>
        <v>20190312172933871</v>
      </c>
      <c r="B2181" t="str">
        <f>"1552382973859592"</f>
        <v>1552382973859592</v>
      </c>
      <c r="C2181" t="s">
        <v>40</v>
      </c>
      <c r="D2181">
        <v>3.393332</v>
      </c>
      <c r="E2181">
        <v>0.52178780000000002</v>
      </c>
      <c r="F2181" t="s">
        <v>47</v>
      </c>
      <c r="G2181">
        <v>-347.65629999999999</v>
      </c>
      <c r="H2181" s="1">
        <v>2.5375409999999999E-6</v>
      </c>
      <c r="I2181">
        <v>285.63679999999999</v>
      </c>
      <c r="J2181">
        <v>-323.14299999999997</v>
      </c>
      <c r="K2181">
        <v>1.109494</v>
      </c>
      <c r="L2181">
        <v>284.86779999999999</v>
      </c>
      <c r="M2181">
        <v>-0.99953329999999996</v>
      </c>
      <c r="N2181">
        <v>0</v>
      </c>
      <c r="O2181">
        <v>-2.876416E-2</v>
      </c>
      <c r="P2181">
        <v>-0.98389389999999999</v>
      </c>
      <c r="Q2181">
        <v>0.17845810000000001</v>
      </c>
      <c r="R2181">
        <v>-1.027815E-2</v>
      </c>
      <c r="S2181">
        <v>-3.0749819999999999</v>
      </c>
      <c r="T2181">
        <v>-0.1374147</v>
      </c>
      <c r="U2181">
        <v>9.4116210000000006E-2</v>
      </c>
      <c r="V2181">
        <v>1.7765099999999999E-2</v>
      </c>
      <c r="W2181">
        <v>0.18860080000000001</v>
      </c>
      <c r="X2181">
        <v>0.98189309999999996</v>
      </c>
      <c r="Y2181">
        <v>5.924455E-2</v>
      </c>
      <c r="Z2181">
        <v>2.6073369999999999E-3</v>
      </c>
      <c r="AA2181">
        <v>0.99824009999999996</v>
      </c>
      <c r="AB2181">
        <v>50</v>
      </c>
      <c r="AC2181">
        <v>-24.513300000000001</v>
      </c>
      <c r="AD2181">
        <v>-1.109491462459</v>
      </c>
      <c r="AE2181">
        <v>0.76900000000000501</v>
      </c>
      <c r="AF2181">
        <v>1.47081350477581</v>
      </c>
      <c r="AG2181">
        <v>-1.109491462459</v>
      </c>
      <c r="AH2181">
        <v>24.4310364083587</v>
      </c>
      <c r="AI2181">
        <v>92.595505148924204</v>
      </c>
      <c r="AJ2181">
        <v>86.554799571442302</v>
      </c>
      <c r="AK2181">
        <v>24.500404152945102</v>
      </c>
      <c r="AL2181">
        <v>79.128859820528106</v>
      </c>
      <c r="AM2181">
        <v>88.963477582471398</v>
      </c>
      <c r="AN2181">
        <v>0.99999996018312898</v>
      </c>
    </row>
    <row r="2182" spans="1:40" x14ac:dyDescent="0.25">
      <c r="A2182" t="str">
        <f>"20190312172933887"</f>
        <v>20190312172933887</v>
      </c>
      <c r="B2182" t="str">
        <f>"1552382973880088"</f>
        <v>1552382973880088</v>
      </c>
      <c r="C2182" t="s">
        <v>40</v>
      </c>
      <c r="D2182">
        <v>3.4013520000000002</v>
      </c>
      <c r="E2182">
        <v>0.52253340000000004</v>
      </c>
      <c r="F2182" t="s">
        <v>47</v>
      </c>
      <c r="G2182">
        <v>-348.05919999999998</v>
      </c>
      <c r="H2182" s="1">
        <v>2.7518999999999999E-6</v>
      </c>
      <c r="I2182">
        <v>285.6816</v>
      </c>
      <c r="J2182">
        <v>-323.5068</v>
      </c>
      <c r="K2182">
        <v>1.1094389999999901</v>
      </c>
      <c r="L2182">
        <v>284.85730000000001</v>
      </c>
      <c r="M2182">
        <v>-0.99952790000000002</v>
      </c>
      <c r="N2182">
        <v>0</v>
      </c>
      <c r="O2182">
        <v>-2.8948700000000001E-2</v>
      </c>
      <c r="P2182">
        <v>-0.98392080000000004</v>
      </c>
      <c r="Q2182">
        <v>0.17833179999999901</v>
      </c>
      <c r="R2182">
        <v>-9.8910990000000004E-3</v>
      </c>
      <c r="S2182">
        <v>-3.0749819999999999</v>
      </c>
      <c r="T2182">
        <v>-0.13692589999999999</v>
      </c>
      <c r="U2182">
        <v>0.1004333</v>
      </c>
      <c r="V2182">
        <v>1.835873E-2</v>
      </c>
      <c r="W2182">
        <v>0.18848000000000001</v>
      </c>
      <c r="X2182">
        <v>0.98190540000000004</v>
      </c>
      <c r="Y2182">
        <v>6.1475630000000003E-2</v>
      </c>
      <c r="Z2182">
        <v>2.6558440000000001E-3</v>
      </c>
      <c r="AA2182">
        <v>0.99810500000000002</v>
      </c>
      <c r="AB2182">
        <v>50</v>
      </c>
      <c r="AC2182">
        <v>-24.552399999999899</v>
      </c>
      <c r="AD2182">
        <v>-1.10943624809999</v>
      </c>
      <c r="AE2182">
        <v>0.82429999999999304</v>
      </c>
      <c r="AF2182">
        <v>1.5316284315345099</v>
      </c>
      <c r="AG2182">
        <v>-1.10943624809999</v>
      </c>
      <c r="AH2182">
        <v>24.468341660361101</v>
      </c>
      <c r="AI2182">
        <v>92.591045674412399</v>
      </c>
      <c r="AJ2182">
        <v>86.418167732514902</v>
      </c>
      <c r="AK2182">
        <v>24.5413218480392</v>
      </c>
      <c r="AL2182">
        <v>79.135907810366007</v>
      </c>
      <c r="AM2182">
        <v>88.928863004230095</v>
      </c>
      <c r="AN2182">
        <v>0.99999998395818601</v>
      </c>
    </row>
    <row r="2183" spans="1:40" x14ac:dyDescent="0.25">
      <c r="A2183" t="str">
        <f>"20190312172933898"</f>
        <v>20190312172933898</v>
      </c>
      <c r="B2183" t="str">
        <f>"1552382973889848"</f>
        <v>1552382973889848</v>
      </c>
      <c r="C2183" t="s">
        <v>40</v>
      </c>
      <c r="D2183">
        <v>3.4224929999999998</v>
      </c>
      <c r="E2183">
        <v>0.52280579999999999</v>
      </c>
      <c r="F2183" t="s">
        <v>47</v>
      </c>
      <c r="G2183">
        <v>-348.16840000000002</v>
      </c>
      <c r="H2183" s="1">
        <v>2.8100249999999998E-6</v>
      </c>
      <c r="I2183">
        <v>285.72269999999997</v>
      </c>
      <c r="J2183">
        <v>-323.7638</v>
      </c>
      <c r="K2183">
        <v>1.1094010000000001</v>
      </c>
      <c r="L2183">
        <v>284.84989999999999</v>
      </c>
      <c r="M2183">
        <v>-0.99952479999999999</v>
      </c>
      <c r="N2183">
        <v>0</v>
      </c>
      <c r="O2183">
        <v>-2.905261E-2</v>
      </c>
      <c r="P2183">
        <v>-0.9839483</v>
      </c>
      <c r="Q2183">
        <v>0.17818829999999999</v>
      </c>
      <c r="R2183">
        <v>-9.7271700000000003E-3</v>
      </c>
      <c r="S2183">
        <v>-3.0751949999999999</v>
      </c>
      <c r="T2183">
        <v>-0.1383421</v>
      </c>
      <c r="U2183">
        <v>0.107910199999999</v>
      </c>
      <c r="V2183">
        <v>1.8643380000000001E-2</v>
      </c>
      <c r="W2183">
        <v>0.18833939999999999</v>
      </c>
      <c r="X2183">
        <v>0.98192699999999999</v>
      </c>
      <c r="Y2183">
        <v>6.399639E-2</v>
      </c>
      <c r="Z2183">
        <v>2.7443260000000001E-3</v>
      </c>
      <c r="AA2183">
        <v>0.99794640000000001</v>
      </c>
      <c r="AB2183">
        <v>50</v>
      </c>
      <c r="AC2183">
        <v>-24.404599999999999</v>
      </c>
      <c r="AD2183">
        <v>-1.1093981899750001</v>
      </c>
      <c r="AE2183">
        <v>0.87279999999998303</v>
      </c>
      <c r="AF2183">
        <v>1.57822927193411</v>
      </c>
      <c r="AG2183">
        <v>-1.1093981899750001</v>
      </c>
      <c r="AH2183">
        <v>24.318748817945199</v>
      </c>
      <c r="AI2183">
        <v>92.606492514787504</v>
      </c>
      <c r="AJ2183">
        <v>86.286846501619607</v>
      </c>
      <c r="AK2183">
        <v>24.395145337731101</v>
      </c>
      <c r="AL2183">
        <v>79.144110341693604</v>
      </c>
      <c r="AM2183">
        <v>88.912283029806602</v>
      </c>
      <c r="AN2183">
        <v>0.999999969269591</v>
      </c>
    </row>
    <row r="2184" spans="1:40" x14ac:dyDescent="0.25">
      <c r="A2184" t="str">
        <f>"20190312172933909"</f>
        <v>20190312172933909</v>
      </c>
      <c r="B2184" t="str">
        <f>"1552382973899608"</f>
        <v>1552382973899608</v>
      </c>
      <c r="C2184" t="s">
        <v>40</v>
      </c>
      <c r="D2184">
        <v>3.4148079999999998</v>
      </c>
      <c r="E2184">
        <v>0.52301229999999999</v>
      </c>
      <c r="F2184" t="s">
        <v>47</v>
      </c>
      <c r="G2184">
        <v>-348.20100000000002</v>
      </c>
      <c r="H2184" s="1">
        <v>2.8274039999999999E-6</v>
      </c>
      <c r="I2184">
        <v>285.72789999999998</v>
      </c>
      <c r="J2184">
        <v>-324.00170000000003</v>
      </c>
      <c r="K2184">
        <v>1.1093649999999999</v>
      </c>
      <c r="L2184">
        <v>284.84289999999999</v>
      </c>
      <c r="M2184">
        <v>-0.99952249999999998</v>
      </c>
      <c r="N2184">
        <v>0</v>
      </c>
      <c r="O2184">
        <v>-2.913406E-2</v>
      </c>
      <c r="P2184">
        <v>-0.98394590000000004</v>
      </c>
      <c r="Q2184">
        <v>0.17821789999999901</v>
      </c>
      <c r="R2184">
        <v>-9.4437510000000002E-3</v>
      </c>
      <c r="S2184">
        <v>-3.075348</v>
      </c>
      <c r="T2184">
        <v>-0.13961409999999999</v>
      </c>
      <c r="U2184">
        <v>0.1105042</v>
      </c>
      <c r="V2184">
        <v>1.9022480000000001E-2</v>
      </c>
      <c r="W2184">
        <v>0.18837180000000001</v>
      </c>
      <c r="X2184">
        <v>0.98191360000000005</v>
      </c>
      <c r="Y2184">
        <v>6.4913890000000002E-2</v>
      </c>
      <c r="Z2184">
        <v>2.7938619999999998E-3</v>
      </c>
      <c r="AA2184">
        <v>0.99788699999999997</v>
      </c>
      <c r="AB2184">
        <v>50</v>
      </c>
      <c r="AC2184">
        <v>-24.199299999999901</v>
      </c>
      <c r="AD2184">
        <v>-1.1093621725959999</v>
      </c>
      <c r="AE2184">
        <v>0.88499999999999002</v>
      </c>
      <c r="AF2184">
        <v>1.58635614477208</v>
      </c>
      <c r="AG2184">
        <v>-1.1093621725959999</v>
      </c>
      <c r="AH2184">
        <v>24.112635233022601</v>
      </c>
      <c r="AI2184">
        <v>92.628504028030406</v>
      </c>
      <c r="AJ2184">
        <v>86.235968533395706</v>
      </c>
      <c r="AK2184">
        <v>24.190212651583899</v>
      </c>
      <c r="AL2184">
        <v>79.142221054404203</v>
      </c>
      <c r="AM2184">
        <v>88.890155406519895</v>
      </c>
      <c r="AN2184">
        <v>1.00000005382277</v>
      </c>
    </row>
    <row r="2185" spans="1:40" x14ac:dyDescent="0.25">
      <c r="A2185" t="str">
        <f>"20190312172933921"</f>
        <v>20190312172933921</v>
      </c>
      <c r="B2185" t="str">
        <f>"1552382973909369"</f>
        <v>1552382973909369</v>
      </c>
      <c r="C2185" t="s">
        <v>40</v>
      </c>
      <c r="D2185">
        <v>3.3762400000000001</v>
      </c>
      <c r="E2185">
        <v>0.52321119999999999</v>
      </c>
      <c r="F2185" t="s">
        <v>47</v>
      </c>
      <c r="G2185">
        <v>-348.3372</v>
      </c>
      <c r="H2185" s="1">
        <v>2.8998289999999999E-6</v>
      </c>
      <c r="I2185">
        <v>285.7364</v>
      </c>
      <c r="J2185">
        <v>-324.26319999999998</v>
      </c>
      <c r="K2185">
        <v>1.109327</v>
      </c>
      <c r="L2185">
        <v>284.83530000000002</v>
      </c>
      <c r="M2185">
        <v>-0.99952010000000002</v>
      </c>
      <c r="N2185">
        <v>0</v>
      </c>
      <c r="O2185">
        <v>-2.9210940000000001E-2</v>
      </c>
      <c r="P2185">
        <v>-0.98399199999999998</v>
      </c>
      <c r="Q2185">
        <v>0.1779714</v>
      </c>
      <c r="R2185">
        <v>-9.2721920000000003E-3</v>
      </c>
      <c r="S2185">
        <v>-3.0754389999999998</v>
      </c>
      <c r="T2185">
        <v>-0.14019799999999999</v>
      </c>
      <c r="U2185">
        <v>0.112915</v>
      </c>
      <c r="V2185">
        <v>1.9287950000000002E-2</v>
      </c>
      <c r="W2185">
        <v>0.1881292</v>
      </c>
      <c r="X2185">
        <v>0.98195489999999996</v>
      </c>
      <c r="Y2185">
        <v>6.5768999999999994E-2</v>
      </c>
      <c r="Z2185">
        <v>2.8283900000000001E-3</v>
      </c>
      <c r="AA2185">
        <v>0.99783089999999997</v>
      </c>
      <c r="AB2185">
        <v>50</v>
      </c>
      <c r="AC2185">
        <v>-24.074000000000002</v>
      </c>
      <c r="AD2185">
        <v>-1.1093241001709999</v>
      </c>
      <c r="AE2185">
        <v>0.90109999999998502</v>
      </c>
      <c r="AF2185">
        <v>1.6005831439145599</v>
      </c>
      <c r="AG2185">
        <v>-1.1093241001709999</v>
      </c>
      <c r="AH2185">
        <v>23.9865419936412</v>
      </c>
      <c r="AI2185">
        <v>92.642048119463894</v>
      </c>
      <c r="AJ2185">
        <v>86.182404781727101</v>
      </c>
      <c r="AK2185">
        <v>24.065466194788701</v>
      </c>
      <c r="AL2185">
        <v>79.156373715237095</v>
      </c>
      <c r="AM2185">
        <v>88.874718139928703</v>
      </c>
      <c r="AN2185">
        <v>1.0000000232709201</v>
      </c>
    </row>
    <row r="2186" spans="1:40" x14ac:dyDescent="0.25">
      <c r="A2186" t="str">
        <f>"20190312172933943"</f>
        <v>20190312172933943</v>
      </c>
      <c r="B2186" t="str">
        <f>"1552382973939624"</f>
        <v>1552382973939624</v>
      </c>
      <c r="C2186" t="s">
        <v>40</v>
      </c>
      <c r="D2186">
        <v>3.407311</v>
      </c>
      <c r="E2186">
        <v>0.52373800000000004</v>
      </c>
      <c r="F2186" t="s">
        <v>47</v>
      </c>
      <c r="G2186">
        <v>-348.52910000000003</v>
      </c>
      <c r="H2186" s="1">
        <v>3.0019649999999999E-6</v>
      </c>
      <c r="I2186">
        <v>285.74329999999998</v>
      </c>
      <c r="J2186">
        <v>-324.75170000000003</v>
      </c>
      <c r="K2186">
        <v>1.1092580000000001</v>
      </c>
      <c r="L2186">
        <v>284.82100000000003</v>
      </c>
      <c r="M2186">
        <v>-0.99951730000000005</v>
      </c>
      <c r="N2186">
        <v>0</v>
      </c>
      <c r="O2186">
        <v>-2.9305339999999999E-2</v>
      </c>
      <c r="P2186">
        <v>-0.98406020000000005</v>
      </c>
      <c r="Q2186">
        <v>0.1776124</v>
      </c>
      <c r="R2186">
        <v>-8.9151669999999999E-3</v>
      </c>
      <c r="S2186">
        <v>-3.0753170000000001</v>
      </c>
      <c r="T2186">
        <v>-0.1405892</v>
      </c>
      <c r="U2186">
        <v>0.1150818</v>
      </c>
      <c r="V2186">
        <v>1.9769849999999999E-2</v>
      </c>
      <c r="W2186">
        <v>0.1877761</v>
      </c>
      <c r="X2186">
        <v>0.98201289999999997</v>
      </c>
      <c r="Y2186">
        <v>6.6565269999999996E-2</v>
      </c>
      <c r="Z2186">
        <v>2.85885E-3</v>
      </c>
      <c r="AA2186">
        <v>0.99777800000000005</v>
      </c>
      <c r="AB2186">
        <v>50</v>
      </c>
      <c r="AC2186">
        <v>-23.7774</v>
      </c>
      <c r="AD2186">
        <v>-1.1092549980349999</v>
      </c>
      <c r="AE2186">
        <v>0.922300000000007</v>
      </c>
      <c r="AF2186">
        <v>1.6152356076836301</v>
      </c>
      <c r="AG2186">
        <v>-1.1092549980349999</v>
      </c>
      <c r="AH2186">
        <v>23.688678882064298</v>
      </c>
      <c r="AI2186">
        <v>92.674793611440904</v>
      </c>
      <c r="AJ2186">
        <v>86.099269332092703</v>
      </c>
      <c r="AK2186">
        <v>23.769580137153302</v>
      </c>
      <c r="AL2186">
        <v>79.176971954162497</v>
      </c>
      <c r="AM2186">
        <v>88.846679128532301</v>
      </c>
      <c r="AN2186">
        <v>1.0000000232333199</v>
      </c>
    </row>
    <row r="2187" spans="1:40" x14ac:dyDescent="0.25">
      <c r="A2187" t="str">
        <f>"20190312172933955"</f>
        <v>20190312172933955</v>
      </c>
      <c r="B2187" t="str">
        <f>"1552382973949385"</f>
        <v>1552382973949385</v>
      </c>
      <c r="C2187" t="s">
        <v>40</v>
      </c>
      <c r="D2187">
        <v>3.401332</v>
      </c>
      <c r="E2187">
        <v>0.52381690000000003</v>
      </c>
      <c r="F2187" t="s">
        <v>47</v>
      </c>
      <c r="G2187">
        <v>-348.87450000000001</v>
      </c>
      <c r="H2187" s="1">
        <v>3.1857569999999999E-6</v>
      </c>
      <c r="I2187">
        <v>285.76490000000001</v>
      </c>
      <c r="J2187">
        <v>-325.03930000000003</v>
      </c>
      <c r="K2187">
        <v>1.109219</v>
      </c>
      <c r="L2187">
        <v>284.81259999999997</v>
      </c>
      <c r="M2187">
        <v>-0.99951659999999998</v>
      </c>
      <c r="N2187">
        <v>0</v>
      </c>
      <c r="O2187">
        <v>-2.932415E-2</v>
      </c>
      <c r="P2187">
        <v>-0.98411760000000004</v>
      </c>
      <c r="Q2187">
        <v>0.1773092</v>
      </c>
      <c r="R2187">
        <v>-8.614933E-3</v>
      </c>
      <c r="S2187">
        <v>-3.0751650000000001</v>
      </c>
      <c r="T2187">
        <v>-0.14140759999999999</v>
      </c>
      <c r="U2187">
        <v>0.1203308</v>
      </c>
      <c r="V2187">
        <v>2.0107989999999999E-2</v>
      </c>
      <c r="W2187">
        <v>0.18747630000000001</v>
      </c>
      <c r="X2187">
        <v>0.98206329999999997</v>
      </c>
      <c r="Y2187">
        <v>6.8283430000000006E-2</v>
      </c>
      <c r="Z2187">
        <v>2.9158640000000002E-3</v>
      </c>
      <c r="AA2187">
        <v>0.99766169999999998</v>
      </c>
      <c r="AB2187">
        <v>50</v>
      </c>
      <c r="AC2187">
        <v>-23.835199999999901</v>
      </c>
      <c r="AD2187">
        <v>-1.109215814243</v>
      </c>
      <c r="AE2187">
        <v>0.95230000000003601</v>
      </c>
      <c r="AF2187">
        <v>1.6473128137489099</v>
      </c>
      <c r="AG2187">
        <v>-1.109215814243</v>
      </c>
      <c r="AH2187">
        <v>23.74567820451</v>
      </c>
      <c r="AI2187">
        <v>92.668071653416504</v>
      </c>
      <c r="AJ2187">
        <v>86.031568581989902</v>
      </c>
      <c r="AK2187">
        <v>23.828580163766599</v>
      </c>
      <c r="AL2187">
        <v>79.194459656625696</v>
      </c>
      <c r="AM2187">
        <v>88.827018583177505</v>
      </c>
      <c r="AN2187">
        <v>1.00000000976521</v>
      </c>
    </row>
    <row r="2188" spans="1:40" x14ac:dyDescent="0.25">
      <c r="A2188" t="str">
        <f>"20190312172933967"</f>
        <v>20190312172933967</v>
      </c>
      <c r="B2188" t="str">
        <f>"1552382973960120"</f>
        <v>1552382973960120</v>
      </c>
      <c r="C2188" t="s">
        <v>40</v>
      </c>
      <c r="D2188">
        <v>3.369605</v>
      </c>
      <c r="E2188">
        <v>0.52395059999999904</v>
      </c>
      <c r="F2188" t="s">
        <v>47</v>
      </c>
      <c r="G2188">
        <v>-348.9332</v>
      </c>
      <c r="H2188" s="1">
        <v>3.2170229999999999E-6</v>
      </c>
      <c r="I2188">
        <v>285.75779999999997</v>
      </c>
      <c r="J2188">
        <v>-325.30110000000002</v>
      </c>
      <c r="K2188">
        <v>1.1091789999999999</v>
      </c>
      <c r="L2188">
        <v>284.80489999999998</v>
      </c>
      <c r="M2188">
        <v>-0.99951650000000003</v>
      </c>
      <c r="N2188">
        <v>0</v>
      </c>
      <c r="O2188">
        <v>-2.933026E-2</v>
      </c>
      <c r="P2188">
        <v>-0.98415189999999997</v>
      </c>
      <c r="Q2188">
        <v>0.17712559999999999</v>
      </c>
      <c r="R2188">
        <v>-8.4752679999999993E-3</v>
      </c>
      <c r="S2188">
        <v>-3.0751949999999999</v>
      </c>
      <c r="T2188">
        <v>-0.14275850000000001</v>
      </c>
      <c r="U2188">
        <v>0.1216431</v>
      </c>
      <c r="V2188">
        <v>2.027085E-2</v>
      </c>
      <c r="W2188">
        <v>0.1872955</v>
      </c>
      <c r="X2188">
        <v>0.98209449999999998</v>
      </c>
      <c r="Y2188">
        <v>6.8711739999999993E-2</v>
      </c>
      <c r="Z2188">
        <v>2.9538530000000002E-3</v>
      </c>
      <c r="AA2188">
        <v>0.99763219999999997</v>
      </c>
      <c r="AB2188">
        <v>50</v>
      </c>
      <c r="AC2188">
        <v>-23.632099999999902</v>
      </c>
      <c r="AD2188">
        <v>-1.1091757829769999</v>
      </c>
      <c r="AE2188">
        <v>0.95289999999999897</v>
      </c>
      <c r="AF2188">
        <v>1.6420511318861699</v>
      </c>
      <c r="AG2188">
        <v>-1.1091757829769999</v>
      </c>
      <c r="AH2188">
        <v>23.542204413470301</v>
      </c>
      <c r="AI2188">
        <v>92.6909309396016</v>
      </c>
      <c r="AJ2188">
        <v>86.010124096454703</v>
      </c>
      <c r="AK2188">
        <v>23.625452196368499</v>
      </c>
      <c r="AL2188">
        <v>79.205006080474902</v>
      </c>
      <c r="AM2188">
        <v>88.817558534237904</v>
      </c>
      <c r="AN2188">
        <v>1.0000000593050999</v>
      </c>
    </row>
    <row r="2189" spans="1:40" x14ac:dyDescent="0.25">
      <c r="A2189" t="str">
        <f>"20190312172933978"</f>
        <v>20190312172933978</v>
      </c>
      <c r="B2189" t="str">
        <f>"1552382973969880"</f>
        <v>1552382973969880</v>
      </c>
      <c r="C2189" t="s">
        <v>40</v>
      </c>
      <c r="D2189">
        <v>3.4004799999999999</v>
      </c>
      <c r="E2189">
        <v>0.52403029999999995</v>
      </c>
      <c r="F2189" t="s">
        <v>47</v>
      </c>
      <c r="G2189">
        <v>-349.16989999999998</v>
      </c>
      <c r="H2189" s="1">
        <v>3.3429510000000001E-6</v>
      </c>
      <c r="I2189">
        <v>285.76049999999998</v>
      </c>
      <c r="J2189">
        <v>-325.57560000000001</v>
      </c>
      <c r="K2189">
        <v>1.109138</v>
      </c>
      <c r="L2189">
        <v>284.79689999999999</v>
      </c>
      <c r="M2189">
        <v>-0.99951690000000004</v>
      </c>
      <c r="N2189">
        <v>0</v>
      </c>
      <c r="O2189">
        <v>-2.9315589999999999E-2</v>
      </c>
      <c r="P2189">
        <v>-0.98415810000000004</v>
      </c>
      <c r="Q2189">
        <v>0.177113299999999</v>
      </c>
      <c r="R2189">
        <v>-8.0080759999999994E-3</v>
      </c>
      <c r="S2189">
        <v>-3.0751040000000001</v>
      </c>
      <c r="T2189">
        <v>-0.1428992</v>
      </c>
      <c r="U2189">
        <v>0.12310790000000001</v>
      </c>
      <c r="V2189">
        <v>2.0740850000000002E-2</v>
      </c>
      <c r="W2189">
        <v>0.18728520000000001</v>
      </c>
      <c r="X2189">
        <v>0.98208660000000003</v>
      </c>
      <c r="Y2189">
        <v>6.9172049999999999E-2</v>
      </c>
      <c r="Z2189">
        <v>2.966827E-3</v>
      </c>
      <c r="AA2189">
        <v>0.9976003</v>
      </c>
      <c r="AB2189">
        <v>50</v>
      </c>
      <c r="AC2189">
        <v>-23.594299999999901</v>
      </c>
      <c r="AD2189">
        <v>-1.1091346570489999</v>
      </c>
      <c r="AE2189">
        <v>0.96359999999998502</v>
      </c>
      <c r="AF2189">
        <v>1.6512605966777201</v>
      </c>
      <c r="AG2189">
        <v>-1.1091346570489999</v>
      </c>
      <c r="AH2189">
        <v>23.504055276333698</v>
      </c>
      <c r="AI2189">
        <v>92.695097654281696</v>
      </c>
      <c r="AJ2189">
        <v>85.981328904651306</v>
      </c>
      <c r="AK2189">
        <v>23.588078677131801</v>
      </c>
      <c r="AL2189">
        <v>79.205606313337299</v>
      </c>
      <c r="AM2189">
        <v>88.790140769466802</v>
      </c>
      <c r="AN2189">
        <v>1.0000000094486601</v>
      </c>
    </row>
    <row r="2190" spans="1:40" x14ac:dyDescent="0.25">
      <c r="A2190" t="str">
        <f>"20190312172933993"</f>
        <v>20190312172933993</v>
      </c>
      <c r="B2190" t="str">
        <f>"1552382973989400"</f>
        <v>1552382973989400</v>
      </c>
      <c r="C2190" t="s">
        <v>40</v>
      </c>
      <c r="D2190">
        <v>3.4065159999999999</v>
      </c>
      <c r="E2190">
        <v>0.52428330000000001</v>
      </c>
      <c r="F2190" t="s">
        <v>47</v>
      </c>
      <c r="G2190">
        <v>-349.47059999999999</v>
      </c>
      <c r="H2190" s="1">
        <v>3.5030019999999998E-6</v>
      </c>
      <c r="I2190">
        <v>285.76799999999997</v>
      </c>
      <c r="J2190">
        <v>-325.86610000000002</v>
      </c>
      <c r="K2190">
        <v>1.1090949999999999</v>
      </c>
      <c r="L2190">
        <v>284.78840000000002</v>
      </c>
      <c r="M2190">
        <v>-0.99951789999999996</v>
      </c>
      <c r="N2190">
        <v>0</v>
      </c>
      <c r="O2190">
        <v>-2.928014E-2</v>
      </c>
      <c r="P2190">
        <v>-0.98418450000000002</v>
      </c>
      <c r="Q2190">
        <v>0.17698329999999901</v>
      </c>
      <c r="R2190">
        <v>-7.6041440000000002E-3</v>
      </c>
      <c r="S2190">
        <v>-3.0749819999999999</v>
      </c>
      <c r="T2190">
        <v>-0.1427312</v>
      </c>
      <c r="U2190">
        <v>0.1249695</v>
      </c>
      <c r="V2190">
        <v>2.1129080000000001E-2</v>
      </c>
      <c r="W2190">
        <v>0.1871583</v>
      </c>
      <c r="X2190">
        <v>0.98210249999999999</v>
      </c>
      <c r="Y2190">
        <v>6.9740869999999996E-2</v>
      </c>
      <c r="Z2190">
        <v>2.9749730000000001E-3</v>
      </c>
      <c r="AA2190">
        <v>0.99756069999999997</v>
      </c>
      <c r="AB2190">
        <v>50</v>
      </c>
      <c r="AC2190">
        <v>-23.604499999999899</v>
      </c>
      <c r="AD2190">
        <v>-1.1090914969979999</v>
      </c>
      <c r="AE2190">
        <v>0.97959999999994796</v>
      </c>
      <c r="AF2190">
        <v>1.6666866056123699</v>
      </c>
      <c r="AG2190">
        <v>-1.1090914969979999</v>
      </c>
      <c r="AH2190">
        <v>23.513871086959298</v>
      </c>
      <c r="AI2190">
        <v>92.6937512026863</v>
      </c>
      <c r="AJ2190">
        <v>85.945598927372004</v>
      </c>
      <c r="AK2190">
        <v>23.598941961117301</v>
      </c>
      <c r="AL2190">
        <v>79.213007857389897</v>
      </c>
      <c r="AM2190">
        <v>88.7675213318159</v>
      </c>
      <c r="AN2190">
        <v>0.999999993893393</v>
      </c>
    </row>
    <row r="2191" spans="1:40" x14ac:dyDescent="0.25">
      <c r="A2191" t="str">
        <f>"20190312172934005"</f>
        <v>20190312172934005</v>
      </c>
      <c r="B2191" t="str">
        <f>"1552382974000135"</f>
        <v>1552382974000135</v>
      </c>
      <c r="C2191" t="s">
        <v>40</v>
      </c>
      <c r="D2191">
        <v>3.415886</v>
      </c>
      <c r="E2191">
        <v>0.52440799999999999</v>
      </c>
      <c r="F2191" t="s">
        <v>47</v>
      </c>
      <c r="G2191">
        <v>-349.80619999999999</v>
      </c>
      <c r="H2191" s="1">
        <v>3.6815970000000002E-6</v>
      </c>
      <c r="I2191">
        <v>285.78820000000002</v>
      </c>
      <c r="J2191">
        <v>-326.13850000000002</v>
      </c>
      <c r="K2191">
        <v>1.109056</v>
      </c>
      <c r="L2191">
        <v>284.78039999999999</v>
      </c>
      <c r="M2191">
        <v>-0.99951900000000005</v>
      </c>
      <c r="N2191">
        <v>0</v>
      </c>
      <c r="O2191">
        <v>-2.9236379999999999E-2</v>
      </c>
      <c r="P2191">
        <v>-0.98422980000000004</v>
      </c>
      <c r="Q2191">
        <v>0.1767444</v>
      </c>
      <c r="R2191">
        <v>-7.2967939999999997E-3</v>
      </c>
      <c r="S2191">
        <v>-3.0748289999999998</v>
      </c>
      <c r="T2191">
        <v>-0.14244960000000001</v>
      </c>
      <c r="U2191">
        <v>0.128418</v>
      </c>
      <c r="V2191">
        <v>2.1412540000000001E-2</v>
      </c>
      <c r="W2191">
        <v>0.18692120000000001</v>
      </c>
      <c r="X2191">
        <v>0.9821415</v>
      </c>
      <c r="Y2191">
        <v>7.0815370000000002E-2</v>
      </c>
      <c r="Z2191">
        <v>2.9920350000000001E-3</v>
      </c>
      <c r="AA2191">
        <v>0.99748499999999996</v>
      </c>
      <c r="AB2191">
        <v>50</v>
      </c>
      <c r="AC2191">
        <v>-23.6676999999999</v>
      </c>
      <c r="AD2191">
        <v>-1.1090523184029999</v>
      </c>
      <c r="AE2191">
        <v>1.00780000000003</v>
      </c>
      <c r="AF2191">
        <v>1.695647482891</v>
      </c>
      <c r="AG2191">
        <v>-1.1090523184029999</v>
      </c>
      <c r="AH2191">
        <v>23.576440229285499</v>
      </c>
      <c r="AI2191">
        <v>92.686319786551294</v>
      </c>
      <c r="AJ2191">
        <v>85.886298052006495</v>
      </c>
      <c r="AK2191">
        <v>23.6633419304261</v>
      </c>
      <c r="AL2191">
        <v>79.226836571157193</v>
      </c>
      <c r="AM2191">
        <v>88.751041633734602</v>
      </c>
      <c r="AN2191">
        <v>0.99999997895046999</v>
      </c>
    </row>
    <row r="2192" spans="1:40" x14ac:dyDescent="0.25">
      <c r="A2192" t="str">
        <f>"20190312172934021"</f>
        <v>20190312172934021</v>
      </c>
      <c r="B2192" t="str">
        <f>"1552382974009896"</f>
        <v>1552382974009896</v>
      </c>
      <c r="C2192" t="s">
        <v>40</v>
      </c>
      <c r="D2192">
        <v>3.5837669999999999</v>
      </c>
      <c r="E2192">
        <v>0.52453729999999998</v>
      </c>
      <c r="F2192" t="s">
        <v>47</v>
      </c>
      <c r="G2192">
        <v>-349.99220000000003</v>
      </c>
      <c r="H2192" s="1">
        <v>-1.5409149999999999E-6</v>
      </c>
      <c r="I2192">
        <v>285.7921</v>
      </c>
      <c r="J2192">
        <v>-326.53219999999999</v>
      </c>
      <c r="K2192">
        <v>1.109</v>
      </c>
      <c r="L2192">
        <v>284.76900000000001</v>
      </c>
      <c r="M2192">
        <v>-0.99952180000000002</v>
      </c>
      <c r="N2192">
        <v>0</v>
      </c>
      <c r="O2192">
        <v>-2.9142580000000001E-2</v>
      </c>
      <c r="P2192">
        <v>-0.98425099999999999</v>
      </c>
      <c r="Q2192">
        <v>0.17664779999999999</v>
      </c>
      <c r="R2192">
        <v>-6.7684319999999996E-3</v>
      </c>
      <c r="S2192">
        <v>-3.0747070000000001</v>
      </c>
      <c r="T2192">
        <v>-0.14295539999999901</v>
      </c>
      <c r="U2192">
        <v>0.13040160000000001</v>
      </c>
      <c r="V2192">
        <v>2.187445E-2</v>
      </c>
      <c r="W2192">
        <v>0.18682760000000001</v>
      </c>
      <c r="X2192">
        <v>0.98214920000000006</v>
      </c>
      <c r="Y2192">
        <v>7.1364540000000004E-2</v>
      </c>
      <c r="Z2192">
        <v>3.0111259999999998E-3</v>
      </c>
      <c r="AA2192">
        <v>0.99744580000000005</v>
      </c>
      <c r="AB2192">
        <v>50</v>
      </c>
      <c r="AC2192">
        <v>-23.46</v>
      </c>
      <c r="AD2192">
        <v>-1.109001540915</v>
      </c>
      <c r="AE2192">
        <v>1.0230999999999899</v>
      </c>
      <c r="AF2192">
        <v>1.7025894148728999</v>
      </c>
      <c r="AG2192">
        <v>-1.109001540915</v>
      </c>
      <c r="AH2192">
        <v>23.368097035548399</v>
      </c>
      <c r="AI2192">
        <v>92.709927939493397</v>
      </c>
      <c r="AJ2192">
        <v>85.832817796978006</v>
      </c>
      <c r="AK2192">
        <v>23.456271105957899</v>
      </c>
      <c r="AL2192">
        <v>79.232296369473303</v>
      </c>
      <c r="AM2192">
        <v>88.724117992129706</v>
      </c>
      <c r="AN2192">
        <v>1.0000000473726001</v>
      </c>
    </row>
    <row r="2193" spans="1:40" x14ac:dyDescent="0.25">
      <c r="A2193" t="str">
        <f>"20190312172934036"</f>
        <v>20190312172934036</v>
      </c>
      <c r="B2193" t="str">
        <f>"1552382974029416"</f>
        <v>1552382974029416</v>
      </c>
      <c r="C2193" t="s">
        <v>40</v>
      </c>
      <c r="D2193">
        <v>3.3971900000000002</v>
      </c>
      <c r="E2193">
        <v>0.52478809999999998</v>
      </c>
      <c r="F2193" t="s">
        <v>47</v>
      </c>
      <c r="G2193">
        <v>-350.3673</v>
      </c>
      <c r="H2193" s="1">
        <v>-1.3413270000000001E-6</v>
      </c>
      <c r="I2193">
        <v>285.79930000000002</v>
      </c>
      <c r="J2193">
        <v>-326.84739999999999</v>
      </c>
      <c r="K2193">
        <v>1.1089629999999999</v>
      </c>
      <c r="L2193">
        <v>284.75979999999998</v>
      </c>
      <c r="M2193">
        <v>-0.99952450000000004</v>
      </c>
      <c r="N2193">
        <v>0</v>
      </c>
      <c r="O2193">
        <v>-2.9048000000000001E-2</v>
      </c>
      <c r="P2193">
        <v>-0.98424630000000002</v>
      </c>
      <c r="Q2193">
        <v>0.17668149999999999</v>
      </c>
      <c r="R2193">
        <v>-6.5691789999999996E-3</v>
      </c>
      <c r="S2193">
        <v>-3.0745849999999999</v>
      </c>
      <c r="T2193">
        <v>-0.1430545</v>
      </c>
      <c r="U2193">
        <v>0.1329041</v>
      </c>
      <c r="V2193">
        <v>2.1999990000000001E-2</v>
      </c>
      <c r="W2193">
        <v>0.1868631</v>
      </c>
      <c r="X2193">
        <v>0.9821396</v>
      </c>
      <c r="Y2193">
        <v>7.2081329999999999E-2</v>
      </c>
      <c r="Z2193">
        <v>3.0255439999999998E-3</v>
      </c>
      <c r="AA2193">
        <v>0.99739409999999895</v>
      </c>
      <c r="AB2193">
        <v>50</v>
      </c>
      <c r="AC2193">
        <v>-23.5199</v>
      </c>
      <c r="AD2193">
        <v>-1.1089643413269901</v>
      </c>
      <c r="AE2193">
        <v>1.0395000000000301</v>
      </c>
      <c r="AF2193">
        <v>1.71849093289466</v>
      </c>
      <c r="AG2193">
        <v>-1.1089643413269901</v>
      </c>
      <c r="AH2193">
        <v>23.427795526443202</v>
      </c>
      <c r="AI2193">
        <v>92.702845475510401</v>
      </c>
      <c r="AJ2193">
        <v>85.804716254542896</v>
      </c>
      <c r="AK2193">
        <v>23.516900650927798</v>
      </c>
      <c r="AL2193">
        <v>79.230225454060999</v>
      </c>
      <c r="AM2193">
        <v>88.716785460392202</v>
      </c>
      <c r="AN2193">
        <v>1.0000000057948799</v>
      </c>
    </row>
    <row r="2194" spans="1:40" x14ac:dyDescent="0.25">
      <c r="A2194" t="str">
        <f>"20190312172934055"</f>
        <v>20190312172934055</v>
      </c>
      <c r="B2194" t="str">
        <f>"1552382974049912"</f>
        <v>1552382974049912</v>
      </c>
      <c r="C2194" t="s">
        <v>40</v>
      </c>
      <c r="D2194">
        <v>3.3733010000000001</v>
      </c>
      <c r="E2194">
        <v>0.52492419999999995</v>
      </c>
      <c r="F2194" t="s">
        <v>47</v>
      </c>
      <c r="G2194">
        <v>-350.7851</v>
      </c>
      <c r="H2194" s="1">
        <v>-1.118978E-6</v>
      </c>
      <c r="I2194">
        <v>285.81639999999999</v>
      </c>
      <c r="J2194">
        <v>-327.28989999999999</v>
      </c>
      <c r="K2194">
        <v>1.1089059999999999</v>
      </c>
      <c r="L2194">
        <v>284.74709999999999</v>
      </c>
      <c r="M2194">
        <v>-0.9995288</v>
      </c>
      <c r="N2194">
        <v>0</v>
      </c>
      <c r="O2194">
        <v>-2.8894940000000001E-2</v>
      </c>
      <c r="P2194">
        <v>-0.98418159999999999</v>
      </c>
      <c r="Q2194">
        <v>0.17706620000000001</v>
      </c>
      <c r="R2194">
        <v>-5.8448739999999999E-3</v>
      </c>
      <c r="S2194">
        <v>-3.074554</v>
      </c>
      <c r="T2194">
        <v>-0.14243520000000001</v>
      </c>
      <c r="U2194">
        <v>0.13571169999999999</v>
      </c>
      <c r="V2194">
        <v>2.2597800000000001E-2</v>
      </c>
      <c r="W2194">
        <v>0.18724959999999999</v>
      </c>
      <c r="X2194">
        <v>0.98205240000000005</v>
      </c>
      <c r="Y2194">
        <v>7.283837E-2</v>
      </c>
      <c r="Z2194">
        <v>3.0228680000000002E-3</v>
      </c>
      <c r="AA2194">
        <v>0.99733919999999998</v>
      </c>
      <c r="AB2194">
        <v>50</v>
      </c>
      <c r="AC2194">
        <v>-23.495200000000001</v>
      </c>
      <c r="AD2194">
        <v>-1.108907118978</v>
      </c>
      <c r="AE2194">
        <v>1.0692999999999899</v>
      </c>
      <c r="AF2194">
        <v>1.74390562819311</v>
      </c>
      <c r="AG2194">
        <v>-1.108907118978</v>
      </c>
      <c r="AH2194">
        <v>23.402466644410499</v>
      </c>
      <c r="AI2194">
        <v>92.705395554613105</v>
      </c>
      <c r="AJ2194">
        <v>85.738308241183205</v>
      </c>
      <c r="AK2194">
        <v>23.4935379813537</v>
      </c>
      <c r="AL2194">
        <v>79.207682617924505</v>
      </c>
      <c r="AM2194">
        <v>88.681811565728694</v>
      </c>
      <c r="AN2194">
        <v>0.99999999480537904</v>
      </c>
    </row>
    <row r="2195" spans="1:40" x14ac:dyDescent="0.25">
      <c r="A2195" t="str">
        <f>"20190312172934068"</f>
        <v>20190312172934068</v>
      </c>
      <c r="B2195" t="str">
        <f>"1552382974059672"</f>
        <v>1552382974059672</v>
      </c>
      <c r="C2195" t="s">
        <v>40</v>
      </c>
      <c r="D2195">
        <v>3.3784100000000001</v>
      </c>
      <c r="E2195">
        <v>0.52499719999999905</v>
      </c>
      <c r="F2195" t="s">
        <v>47</v>
      </c>
      <c r="G2195">
        <v>-351.54500000000002</v>
      </c>
      <c r="H2195" s="1">
        <v>-7.1460780000000003E-7</v>
      </c>
      <c r="I2195">
        <v>285.84449999999998</v>
      </c>
      <c r="J2195">
        <v>-327.57459999999998</v>
      </c>
      <c r="K2195">
        <v>1.1088709999999999</v>
      </c>
      <c r="L2195">
        <v>284.7389</v>
      </c>
      <c r="M2195">
        <v>-0.99953199999999998</v>
      </c>
      <c r="N2195">
        <v>0</v>
      </c>
      <c r="O2195">
        <v>-2.8783409999999999E-2</v>
      </c>
      <c r="P2195">
        <v>-0.98415529999999996</v>
      </c>
      <c r="Q2195">
        <v>0.17721990000000001</v>
      </c>
      <c r="R2195">
        <v>-5.6255239999999998E-3</v>
      </c>
      <c r="S2195">
        <v>-3.0743100000000001</v>
      </c>
      <c r="T2195">
        <v>-0.1405525</v>
      </c>
      <c r="U2195">
        <v>0.1390991</v>
      </c>
      <c r="V2195">
        <v>2.2722909999999999E-2</v>
      </c>
      <c r="W2195">
        <v>0.1874046</v>
      </c>
      <c r="X2195">
        <v>0.98202</v>
      </c>
      <c r="Y2195">
        <v>7.3829199999999998E-2</v>
      </c>
      <c r="Z2195">
        <v>3.0006550000000001E-3</v>
      </c>
      <c r="AA2195">
        <v>0.9972664</v>
      </c>
      <c r="AB2195">
        <v>50</v>
      </c>
      <c r="AC2195">
        <v>-23.970400000000001</v>
      </c>
      <c r="AD2195">
        <v>-1.1088717146078</v>
      </c>
      <c r="AE2195">
        <v>1.1055999999999799</v>
      </c>
      <c r="AF2195">
        <v>1.7913035016405301</v>
      </c>
      <c r="AG2195">
        <v>-1.1088717146078</v>
      </c>
      <c r="AH2195">
        <v>23.8776531756676</v>
      </c>
      <c r="AI2195">
        <v>92.651450022682099</v>
      </c>
      <c r="AJ2195">
        <v>85.709702489242204</v>
      </c>
      <c r="AK2195">
        <v>23.9704127184309</v>
      </c>
      <c r="AL2195">
        <v>79.198642303264194</v>
      </c>
      <c r="AM2195">
        <v>88.674472454141096</v>
      </c>
      <c r="AN2195">
        <v>1.0000000475700099</v>
      </c>
    </row>
    <row r="2196" spans="1:40" x14ac:dyDescent="0.25">
      <c r="A2196" t="str">
        <f>"20190312172934079"</f>
        <v>20190312172934079</v>
      </c>
      <c r="B2196" t="str">
        <f>"1552382974069433"</f>
        <v>1552382974069433</v>
      </c>
      <c r="C2196" t="s">
        <v>40</v>
      </c>
      <c r="D2196">
        <v>3.3794200000000001</v>
      </c>
      <c r="E2196">
        <v>0.52508779999999999</v>
      </c>
      <c r="F2196" t="s">
        <v>47</v>
      </c>
      <c r="G2196">
        <v>-351.95269999999999</v>
      </c>
      <c r="H2196" s="1">
        <v>-4.9765210000000001E-7</v>
      </c>
      <c r="I2196">
        <v>285.851</v>
      </c>
      <c r="J2196">
        <v>-327.84</v>
      </c>
      <c r="K2196">
        <v>1.1088389999999999</v>
      </c>
      <c r="L2196">
        <v>284.73129999999998</v>
      </c>
      <c r="M2196">
        <v>-0.99953519999999896</v>
      </c>
      <c r="N2196">
        <v>0</v>
      </c>
      <c r="O2196">
        <v>-2.8670379999999999E-2</v>
      </c>
      <c r="P2196">
        <v>-0.98417569999999999</v>
      </c>
      <c r="Q2196">
        <v>0.17711589999999999</v>
      </c>
      <c r="R2196">
        <v>-5.3161869999999896E-3</v>
      </c>
      <c r="S2196">
        <v>-3.0743100000000001</v>
      </c>
      <c r="T2196">
        <v>-0.1398394</v>
      </c>
      <c r="U2196">
        <v>0.14025879999999999</v>
      </c>
      <c r="V2196">
        <v>2.293603E-2</v>
      </c>
      <c r="W2196">
        <v>0.1873021</v>
      </c>
      <c r="X2196">
        <v>0.98203459999999998</v>
      </c>
      <c r="Y2196">
        <v>7.4092779999999997E-2</v>
      </c>
      <c r="Z2196">
        <v>2.9862759999999999E-3</v>
      </c>
      <c r="AA2196">
        <v>0.99724690000000005</v>
      </c>
      <c r="AB2196">
        <v>50</v>
      </c>
      <c r="AC2196">
        <v>-24.1127</v>
      </c>
      <c r="AD2196">
        <v>-1.1088394976521001</v>
      </c>
      <c r="AE2196">
        <v>1.1197000000000199</v>
      </c>
      <c r="AF2196">
        <v>1.80678450179303</v>
      </c>
      <c r="AG2196">
        <v>-1.1088394976521001</v>
      </c>
      <c r="AH2196">
        <v>24.0199973070563</v>
      </c>
      <c r="AI2196">
        <v>92.635643796915801</v>
      </c>
      <c r="AJ2196">
        <v>85.698311590566306</v>
      </c>
      <c r="AK2196">
        <v>24.113362807755902</v>
      </c>
      <c r="AL2196">
        <v>79.204620979738195</v>
      </c>
      <c r="AM2196">
        <v>88.662064607059605</v>
      </c>
      <c r="AN2196">
        <v>1.0000000468668599</v>
      </c>
    </row>
    <row r="2197" spans="1:40" x14ac:dyDescent="0.25">
      <c r="A2197" t="str">
        <f>"20190312172934090"</f>
        <v>20190312172934090</v>
      </c>
      <c r="B2197" t="str">
        <f>"1552382974079192"</f>
        <v>1552382974079192</v>
      </c>
      <c r="C2197" t="s">
        <v>40</v>
      </c>
      <c r="D2197">
        <v>3.3989099999999999</v>
      </c>
      <c r="E2197">
        <v>0.52516409999999902</v>
      </c>
      <c r="F2197" t="s">
        <v>47</v>
      </c>
      <c r="G2197">
        <v>-352.18650000000002</v>
      </c>
      <c r="H2197" s="1">
        <v>-3.7322969999999998E-7</v>
      </c>
      <c r="I2197">
        <v>285.85849999999999</v>
      </c>
      <c r="J2197">
        <v>-328.08049999999997</v>
      </c>
      <c r="K2197">
        <v>1.1088100000000001</v>
      </c>
      <c r="L2197">
        <v>284.7244</v>
      </c>
      <c r="M2197">
        <v>-0.99953829999999999</v>
      </c>
      <c r="N2197">
        <v>0</v>
      </c>
      <c r="O2197">
        <v>-2.855943E-2</v>
      </c>
      <c r="P2197">
        <v>-0.98416349999999997</v>
      </c>
      <c r="Q2197">
        <v>0.17718200000000001</v>
      </c>
      <c r="R2197">
        <v>-5.3556339999999997E-3</v>
      </c>
      <c r="S2197">
        <v>-3.0741879999999999</v>
      </c>
      <c r="T2197">
        <v>-0.1400111</v>
      </c>
      <c r="U2197">
        <v>0.14233399999999999</v>
      </c>
      <c r="V2197">
        <v>2.2799610000000001E-2</v>
      </c>
      <c r="W2197">
        <v>0.18736949999999999</v>
      </c>
      <c r="X2197">
        <v>0.98202480000000003</v>
      </c>
      <c r="Y2197">
        <v>7.4654899999999996E-2</v>
      </c>
      <c r="Z2197">
        <v>2.9977519999999998E-3</v>
      </c>
      <c r="AA2197">
        <v>0.99720489999999995</v>
      </c>
      <c r="AB2197">
        <v>50</v>
      </c>
      <c r="AC2197">
        <v>-24.106000000000002</v>
      </c>
      <c r="AD2197">
        <v>-1.1088103732296899</v>
      </c>
      <c r="AE2197">
        <v>1.1340999999999799</v>
      </c>
      <c r="AF2197">
        <v>1.8182894403850101</v>
      </c>
      <c r="AG2197">
        <v>-1.1088103732296899</v>
      </c>
      <c r="AH2197">
        <v>24.013081560493401</v>
      </c>
      <c r="AI2197">
        <v>92.636233709294103</v>
      </c>
      <c r="AJ2197">
        <v>85.669781819838093</v>
      </c>
      <c r="AK2197">
        <v>24.107337533699202</v>
      </c>
      <c r="AL2197">
        <v>79.200688364106796</v>
      </c>
      <c r="AM2197">
        <v>88.670006307811093</v>
      </c>
      <c r="AN2197">
        <v>0.99999992978071806</v>
      </c>
    </row>
    <row r="2198" spans="1:40" x14ac:dyDescent="0.25">
      <c r="A2198" t="str">
        <f>"20190312172934102"</f>
        <v>20190312172934102</v>
      </c>
      <c r="B2198" t="str">
        <f>"1552382974099688"</f>
        <v>1552382974099688</v>
      </c>
      <c r="C2198" t="s">
        <v>40</v>
      </c>
      <c r="D2198">
        <v>3.3607740000000002</v>
      </c>
      <c r="E2198">
        <v>0.52530739999999998</v>
      </c>
      <c r="F2198" t="s">
        <v>47</v>
      </c>
      <c r="G2198">
        <v>-352.49919999999997</v>
      </c>
      <c r="H2198" s="1">
        <v>-2.0683969999999999E-7</v>
      </c>
      <c r="I2198">
        <v>285.86270000000002</v>
      </c>
      <c r="J2198">
        <v>-328.35109999999997</v>
      </c>
      <c r="K2198">
        <v>1.108779</v>
      </c>
      <c r="L2198">
        <v>284.7167</v>
      </c>
      <c r="M2198">
        <v>-0.99954209999999999</v>
      </c>
      <c r="N2198">
        <v>0</v>
      </c>
      <c r="O2198">
        <v>-2.8430339999999998E-2</v>
      </c>
      <c r="P2198">
        <v>-0.98417359999999998</v>
      </c>
      <c r="Q2198">
        <v>0.17712349999999999</v>
      </c>
      <c r="R2198">
        <v>-5.4803849999999999E-3</v>
      </c>
      <c r="S2198">
        <v>-3.0741879999999999</v>
      </c>
      <c r="T2198">
        <v>-0.13959340000000001</v>
      </c>
      <c r="U2198">
        <v>0.14331050000000001</v>
      </c>
      <c r="V2198">
        <v>2.2561899999999999E-2</v>
      </c>
      <c r="W2198">
        <v>0.18731329999999999</v>
      </c>
      <c r="X2198">
        <v>0.9820411</v>
      </c>
      <c r="Y2198">
        <v>7.4842770000000003E-2</v>
      </c>
      <c r="Z2198">
        <v>2.987202E-3</v>
      </c>
      <c r="AA2198">
        <v>0.99719089999999999</v>
      </c>
      <c r="AB2198">
        <v>50</v>
      </c>
      <c r="AC2198">
        <v>-24.148099999999999</v>
      </c>
      <c r="AD2198">
        <v>-1.1087792068397</v>
      </c>
      <c r="AE2198">
        <v>1.1460000000000099</v>
      </c>
      <c r="AF2198">
        <v>1.82826644102257</v>
      </c>
      <c r="AG2198">
        <v>-1.1087792068397</v>
      </c>
      <c r="AH2198">
        <v>24.055154234115999</v>
      </c>
      <c r="AI2198">
        <v>92.631499576687304</v>
      </c>
      <c r="AJ2198">
        <v>85.653698697460896</v>
      </c>
      <c r="AK2198">
        <v>24.149997820621</v>
      </c>
      <c r="AL2198">
        <v>79.203967377388594</v>
      </c>
      <c r="AM2198">
        <v>88.683889830435703</v>
      </c>
      <c r="AN2198">
        <v>1.0000000168888501</v>
      </c>
    </row>
    <row r="2199" spans="1:40" x14ac:dyDescent="0.25">
      <c r="A2199" t="str">
        <f>"20190312172934114"</f>
        <v>20190312172934114</v>
      </c>
      <c r="B2199" t="str">
        <f>"1552382974109448"</f>
        <v>1552382974109448</v>
      </c>
      <c r="C2199" t="s">
        <v>40</v>
      </c>
      <c r="D2199">
        <v>3.3587120000000001</v>
      </c>
      <c r="E2199">
        <v>0.52535739999999997</v>
      </c>
      <c r="F2199" t="s">
        <v>47</v>
      </c>
      <c r="G2199">
        <v>-352.91930000000002</v>
      </c>
      <c r="H2199" s="1">
        <v>1.6693380000000001E-8</v>
      </c>
      <c r="I2199">
        <v>285.86989999999997</v>
      </c>
      <c r="J2199">
        <v>-328.61810000000003</v>
      </c>
      <c r="K2199">
        <v>1.1087499999999999</v>
      </c>
      <c r="L2199">
        <v>284.70920000000001</v>
      </c>
      <c r="M2199">
        <v>-0.99954580000000004</v>
      </c>
      <c r="N2199">
        <v>0</v>
      </c>
      <c r="O2199">
        <v>-2.829137E-2</v>
      </c>
      <c r="P2199">
        <v>-0.98417880000000002</v>
      </c>
      <c r="Q2199">
        <v>0.17708989999999999</v>
      </c>
      <c r="R2199">
        <v>-5.6032549999999997E-3</v>
      </c>
      <c r="S2199">
        <v>-3.0739749999999999</v>
      </c>
      <c r="T2199">
        <v>-0.13873089999999999</v>
      </c>
      <c r="U2199">
        <v>0.1442871</v>
      </c>
      <c r="V2199">
        <v>2.2315169999999999E-2</v>
      </c>
      <c r="W2199">
        <v>0.18728149999999999</v>
      </c>
      <c r="X2199">
        <v>0.98205279999999995</v>
      </c>
      <c r="Y2199">
        <v>7.5024720000000003E-2</v>
      </c>
      <c r="Z2199">
        <v>2.966785E-3</v>
      </c>
      <c r="AA2199">
        <v>0.99717719999999999</v>
      </c>
      <c r="AB2199">
        <v>50</v>
      </c>
      <c r="AC2199">
        <v>-24.301199999999898</v>
      </c>
      <c r="AD2199">
        <v>-1.1087499833066199</v>
      </c>
      <c r="AE2199">
        <v>1.1606999999999601</v>
      </c>
      <c r="AF2199">
        <v>1.84395686960212</v>
      </c>
      <c r="AG2199">
        <v>-1.1087499833066199</v>
      </c>
      <c r="AH2199">
        <v>24.208352989548601</v>
      </c>
      <c r="AI2199">
        <v>92.614767889045098</v>
      </c>
      <c r="AJ2199">
        <v>85.644175840849897</v>
      </c>
      <c r="AK2199">
        <v>24.303782790525101</v>
      </c>
      <c r="AL2199">
        <v>79.205822181738895</v>
      </c>
      <c r="AM2199">
        <v>88.698292930147602</v>
      </c>
      <c r="AN2199">
        <v>1.0000000145211001</v>
      </c>
    </row>
    <row r="2200" spans="1:40" x14ac:dyDescent="0.25">
      <c r="A2200" t="str">
        <f>"20190312172934126"</f>
        <v>20190312172934126</v>
      </c>
      <c r="B2200" t="str">
        <f>"1552382974119207"</f>
        <v>1552382974119207</v>
      </c>
      <c r="C2200" t="s">
        <v>40</v>
      </c>
      <c r="D2200">
        <v>3.3554520000000001</v>
      </c>
      <c r="E2200">
        <v>0.52543509999999904</v>
      </c>
      <c r="F2200" t="s">
        <v>47</v>
      </c>
      <c r="G2200">
        <v>-353.26889999999997</v>
      </c>
      <c r="H2200" s="1">
        <v>2.0276320000000001E-7</v>
      </c>
      <c r="I2200">
        <v>285.86799999999999</v>
      </c>
      <c r="J2200">
        <v>-328.88380000000001</v>
      </c>
      <c r="K2200">
        <v>1.108724</v>
      </c>
      <c r="L2200">
        <v>284.70170000000002</v>
      </c>
      <c r="M2200">
        <v>-0.99955000000000005</v>
      </c>
      <c r="N2200">
        <v>0</v>
      </c>
      <c r="O2200">
        <v>-2.8149799999999999E-2</v>
      </c>
      <c r="P2200">
        <v>-0.98417580000000005</v>
      </c>
      <c r="Q2200">
        <v>0.1771094</v>
      </c>
      <c r="R2200">
        <v>-5.5432249999999997E-3</v>
      </c>
      <c r="S2200">
        <v>-3.073944</v>
      </c>
      <c r="T2200">
        <v>-0.13826060000000001</v>
      </c>
      <c r="U2200">
        <v>0.14450070000000001</v>
      </c>
      <c r="V2200">
        <v>2.2247920000000001E-2</v>
      </c>
      <c r="W2200">
        <v>0.1873021</v>
      </c>
      <c r="X2200">
        <v>0.98205039999999999</v>
      </c>
      <c r="Y2200">
        <v>7.4954019999999996E-2</v>
      </c>
      <c r="Z2200">
        <v>2.9488140000000001E-3</v>
      </c>
      <c r="AA2200">
        <v>0.99718260000000003</v>
      </c>
      <c r="AB2200">
        <v>51</v>
      </c>
      <c r="AC2200">
        <v>-24.385099999999898</v>
      </c>
      <c r="AD2200">
        <v>-1.1087237972368</v>
      </c>
      <c r="AE2200">
        <v>1.1662999999999699</v>
      </c>
      <c r="AF2200">
        <v>1.84849768577133</v>
      </c>
      <c r="AG2200">
        <v>-1.1087237972368</v>
      </c>
      <c r="AH2200">
        <v>24.292498070846499</v>
      </c>
      <c r="AI2200">
        <v>92.605676976336895</v>
      </c>
      <c r="AJ2200">
        <v>85.648557538341805</v>
      </c>
      <c r="AK2200">
        <v>24.387941173353301</v>
      </c>
      <c r="AL2200">
        <v>79.204620657534605</v>
      </c>
      <c r="AM2200">
        <v>88.702211298943098</v>
      </c>
      <c r="AN2200">
        <v>1.0000000173744401</v>
      </c>
    </row>
    <row r="2201" spans="1:40" x14ac:dyDescent="0.25">
      <c r="A2201" t="str">
        <f>"20190312172934137"</f>
        <v>20190312172934137</v>
      </c>
      <c r="B2201" t="str">
        <f>"1552382974129944"</f>
        <v>1552382974129944</v>
      </c>
      <c r="C2201" t="s">
        <v>40</v>
      </c>
      <c r="D2201">
        <v>3.376268</v>
      </c>
      <c r="E2201">
        <v>0.52548119999999998</v>
      </c>
      <c r="F2201" t="s">
        <v>47</v>
      </c>
      <c r="G2201">
        <v>-353.62189999999998</v>
      </c>
      <c r="H2201" s="1">
        <v>3.9062170000000001E-7</v>
      </c>
      <c r="I2201">
        <v>285.87150000000003</v>
      </c>
      <c r="J2201">
        <v>-329.15519999999998</v>
      </c>
      <c r="K2201">
        <v>1.108698</v>
      </c>
      <c r="L2201">
        <v>284.69409999999999</v>
      </c>
      <c r="M2201">
        <v>-0.9995541</v>
      </c>
      <c r="N2201">
        <v>0</v>
      </c>
      <c r="O2201">
        <v>-2.7996320000000002E-2</v>
      </c>
      <c r="P2201">
        <v>-0.98421080000000005</v>
      </c>
      <c r="Q2201">
        <v>0.17691200000000001</v>
      </c>
      <c r="R2201">
        <v>-5.6065129999999996E-3</v>
      </c>
      <c r="S2201">
        <v>-3.0738530000000002</v>
      </c>
      <c r="T2201">
        <v>-0.137765</v>
      </c>
      <c r="U2201">
        <v>0.14535519999999999</v>
      </c>
      <c r="V2201">
        <v>2.2046610000000001E-2</v>
      </c>
      <c r="W2201">
        <v>0.1871072</v>
      </c>
      <c r="X2201">
        <v>0.98209210000000002</v>
      </c>
      <c r="Y2201">
        <v>7.5079649999999998E-2</v>
      </c>
      <c r="Z2201">
        <v>2.9342650000000001E-3</v>
      </c>
      <c r="AA2201">
        <v>0.99717319999999998</v>
      </c>
      <c r="AB2201">
        <v>51</v>
      </c>
      <c r="AC2201">
        <v>-24.466699999999999</v>
      </c>
      <c r="AD2201">
        <v>-1.1086976093783001</v>
      </c>
      <c r="AE2201">
        <v>1.17740000000003</v>
      </c>
      <c r="AF2201">
        <v>1.8581462102500601</v>
      </c>
      <c r="AG2201">
        <v>-1.1086976093783001</v>
      </c>
      <c r="AH2201">
        <v>24.374209436805099</v>
      </c>
      <c r="AI2201">
        <v>92.596864864975103</v>
      </c>
      <c r="AJ2201">
        <v>85.640539288578793</v>
      </c>
      <c r="AK2201">
        <v>24.470063412197099</v>
      </c>
      <c r="AL2201">
        <v>79.215988663243394</v>
      </c>
      <c r="AM2201">
        <v>88.714004948280106</v>
      </c>
      <c r="AN2201">
        <v>1.00000002509337</v>
      </c>
    </row>
    <row r="2202" spans="1:40" x14ac:dyDescent="0.25">
      <c r="A2202" t="str">
        <f>"20190312172934155"</f>
        <v>20190312172934155</v>
      </c>
      <c r="B2202" t="str">
        <f>"1552382974149464"</f>
        <v>1552382974149464</v>
      </c>
      <c r="C2202" t="s">
        <v>40</v>
      </c>
      <c r="D2202">
        <v>3.3890319999999998</v>
      </c>
      <c r="E2202">
        <v>0.52561759999999902</v>
      </c>
      <c r="F2202" t="s">
        <v>47</v>
      </c>
      <c r="G2202">
        <v>-353.8922</v>
      </c>
      <c r="H2202" s="1">
        <v>5.3441609999999998E-7</v>
      </c>
      <c r="I2202">
        <v>285.86759999999998</v>
      </c>
      <c r="J2202">
        <v>-329.54079999999999</v>
      </c>
      <c r="K2202">
        <v>1.108663</v>
      </c>
      <c r="L2202">
        <v>284.68340000000001</v>
      </c>
      <c r="M2202">
        <v>-0.99956049999999996</v>
      </c>
      <c r="N2202">
        <v>0</v>
      </c>
      <c r="O2202">
        <v>-2.776764E-2</v>
      </c>
      <c r="P2202">
        <v>-0.98422310000000002</v>
      </c>
      <c r="Q2202">
        <v>0.1768277</v>
      </c>
      <c r="R2202">
        <v>-6.0704419999999997E-3</v>
      </c>
      <c r="S2202">
        <v>-3.0737610000000002</v>
      </c>
      <c r="T2202">
        <v>-0.1377642</v>
      </c>
      <c r="U2202">
        <v>0.145813</v>
      </c>
      <c r="V2202">
        <v>2.1373949999999999E-2</v>
      </c>
      <c r="W2202">
        <v>0.1870252</v>
      </c>
      <c r="X2202">
        <v>0.98212250000000001</v>
      </c>
      <c r="Y2202">
        <v>7.5001399999999996E-2</v>
      </c>
      <c r="Z2202">
        <v>2.922333E-3</v>
      </c>
      <c r="AA2202">
        <v>0.99717920000000004</v>
      </c>
      <c r="AB2202">
        <v>51</v>
      </c>
      <c r="AC2202">
        <v>-24.351400000000002</v>
      </c>
      <c r="AD2202">
        <v>-1.1086624655838999</v>
      </c>
      <c r="AE2202">
        <v>1.1841999999999699</v>
      </c>
      <c r="AF2202">
        <v>1.8561224393575899</v>
      </c>
      <c r="AG2202">
        <v>-1.1086624655838999</v>
      </c>
      <c r="AH2202">
        <v>24.258960412285202</v>
      </c>
      <c r="AI2202">
        <v>92.609047255448004</v>
      </c>
      <c r="AJ2202">
        <v>85.624660823689098</v>
      </c>
      <c r="AK2202">
        <v>24.3551120559381</v>
      </c>
      <c r="AL2202">
        <v>79.220770395175904</v>
      </c>
      <c r="AM2202">
        <v>88.7532677031204</v>
      </c>
      <c r="AN2202">
        <v>0.99999993808994403</v>
      </c>
    </row>
    <row r="2203" spans="1:40" x14ac:dyDescent="0.25">
      <c r="A2203" t="str">
        <f>"20190312172934167"</f>
        <v>20190312172934167</v>
      </c>
      <c r="B2203" t="str">
        <f>"1552382974159224"</f>
        <v>1552382974159224</v>
      </c>
      <c r="C2203" t="s">
        <v>40</v>
      </c>
      <c r="D2203">
        <v>3.3495910000000002</v>
      </c>
      <c r="E2203">
        <v>0.52564560000000005</v>
      </c>
      <c r="F2203" t="s">
        <v>47</v>
      </c>
      <c r="G2203">
        <v>-354.41719999999998</v>
      </c>
      <c r="H2203" s="1">
        <v>8.1384069999999999E-7</v>
      </c>
      <c r="I2203">
        <v>285.86599999999999</v>
      </c>
      <c r="J2203">
        <v>-329.81119999999999</v>
      </c>
      <c r="K2203">
        <v>1.108638</v>
      </c>
      <c r="L2203">
        <v>284.67599999999999</v>
      </c>
      <c r="M2203">
        <v>-0.99956500000000004</v>
      </c>
      <c r="N2203">
        <v>0</v>
      </c>
      <c r="O2203">
        <v>-2.7600360000000001E-2</v>
      </c>
      <c r="P2203">
        <v>-0.98423389999999999</v>
      </c>
      <c r="Q2203">
        <v>0.17675669999999999</v>
      </c>
      <c r="R2203">
        <v>-6.4020739999999998E-3</v>
      </c>
      <c r="S2203">
        <v>-3.0735779999999999</v>
      </c>
      <c r="T2203">
        <v>-0.13697960000000001</v>
      </c>
      <c r="U2203">
        <v>0.1461182</v>
      </c>
      <c r="V2203">
        <v>2.088914E-2</v>
      </c>
      <c r="W2203">
        <v>0.18695690000000001</v>
      </c>
      <c r="X2203">
        <v>0.98214599999999996</v>
      </c>
      <c r="Y2203">
        <v>7.4937489999999995E-2</v>
      </c>
      <c r="Z2203">
        <v>2.8970020000000001E-3</v>
      </c>
      <c r="AA2203">
        <v>0.99718399999999996</v>
      </c>
      <c r="AB2203">
        <v>51</v>
      </c>
      <c r="AC2203">
        <v>-24.605999999999899</v>
      </c>
      <c r="AD2203">
        <v>-1.1086371861593001</v>
      </c>
      <c r="AE2203">
        <v>1.18999999999999</v>
      </c>
      <c r="AF2203">
        <v>1.8649407478100399</v>
      </c>
      <c r="AG2203">
        <v>-1.1086371861593001</v>
      </c>
      <c r="AH2203">
        <v>24.514131163371299</v>
      </c>
      <c r="AI2203">
        <v>92.581952909301407</v>
      </c>
      <c r="AJ2203">
        <v>85.649537587367902</v>
      </c>
      <c r="AK2203">
        <v>24.609951383502398</v>
      </c>
      <c r="AL2203">
        <v>79.224754657397796</v>
      </c>
      <c r="AM2203">
        <v>88.781566960351299</v>
      </c>
      <c r="AN2203">
        <v>1.0000000019717701</v>
      </c>
    </row>
    <row r="2204" spans="1:40" x14ac:dyDescent="0.25">
      <c r="A2204" t="str">
        <f>"20190312172934178"</f>
        <v>20190312172934178</v>
      </c>
      <c r="B2204" t="str">
        <f>"1552382974169960"</f>
        <v>1552382974169960</v>
      </c>
      <c r="C2204" t="s">
        <v>40</v>
      </c>
      <c r="D2204">
        <v>3.370155</v>
      </c>
      <c r="E2204">
        <v>0.52568859999999995</v>
      </c>
      <c r="F2204" t="s">
        <v>47</v>
      </c>
      <c r="G2204">
        <v>-354.74700000000001</v>
      </c>
      <c r="H2204" s="1">
        <v>9.893262999999999E-7</v>
      </c>
      <c r="I2204">
        <v>285.85770000000002</v>
      </c>
      <c r="J2204">
        <v>-330.07979999999998</v>
      </c>
      <c r="K2204">
        <v>1.1086149999999999</v>
      </c>
      <c r="L2204">
        <v>284.66860000000003</v>
      </c>
      <c r="M2204">
        <v>-0.99956979999999995</v>
      </c>
      <c r="N2204">
        <v>0</v>
      </c>
      <c r="O2204">
        <v>-2.7426780000000001E-2</v>
      </c>
      <c r="P2204">
        <v>-0.9842436</v>
      </c>
      <c r="Q2204">
        <v>0.1766953</v>
      </c>
      <c r="R2204">
        <v>-6.6114859999999998E-3</v>
      </c>
      <c r="S2204">
        <v>-3.0735779999999999</v>
      </c>
      <c r="T2204">
        <v>-0.1366502</v>
      </c>
      <c r="U2204">
        <v>0.1456604</v>
      </c>
      <c r="V2204">
        <v>2.0519949999999999E-2</v>
      </c>
      <c r="W2204">
        <v>0.1868978</v>
      </c>
      <c r="X2204">
        <v>0.98216499999999995</v>
      </c>
      <c r="Y2204">
        <v>7.461711E-2</v>
      </c>
      <c r="Z2204">
        <v>2.8752270000000002E-3</v>
      </c>
      <c r="AA2204">
        <v>0.99720810000000004</v>
      </c>
      <c r="AB2204">
        <v>51</v>
      </c>
      <c r="AC2204">
        <v>-24.667199999999902</v>
      </c>
      <c r="AD2204">
        <v>-1.1086140106736999</v>
      </c>
      <c r="AE2204">
        <v>1.1890999999999901</v>
      </c>
      <c r="AF2204">
        <v>1.8614798201437599</v>
      </c>
      <c r="AG2204">
        <v>-1.1086140106736999</v>
      </c>
      <c r="AH2204">
        <v>24.575780103003598</v>
      </c>
      <c r="AI2204">
        <v>92.575495366999604</v>
      </c>
      <c r="AJ2204">
        <v>85.668431753005393</v>
      </c>
      <c r="AK2204">
        <v>24.671098472031002</v>
      </c>
      <c r="AL2204">
        <v>79.228201263598905</v>
      </c>
      <c r="AM2204">
        <v>88.803118100800305</v>
      </c>
      <c r="AN2204">
        <v>0.99999997160891996</v>
      </c>
    </row>
    <row r="2205" spans="1:40" x14ac:dyDescent="0.25">
      <c r="A2205" t="str">
        <f>"20190312172934189"</f>
        <v>20190312172934189</v>
      </c>
      <c r="B2205" t="str">
        <f>"1552382974179721"</f>
        <v>1552382974179721</v>
      </c>
      <c r="C2205" t="s">
        <v>40</v>
      </c>
      <c r="D2205">
        <v>3.3626049999999998</v>
      </c>
      <c r="E2205">
        <v>0.52573409999999998</v>
      </c>
      <c r="F2205" t="s">
        <v>47</v>
      </c>
      <c r="G2205">
        <v>-355.00740000000002</v>
      </c>
      <c r="H2205" s="1">
        <v>1.1278790000000001E-6</v>
      </c>
      <c r="I2205">
        <v>285.84870000000001</v>
      </c>
      <c r="J2205">
        <v>-330.31459999999998</v>
      </c>
      <c r="K2205">
        <v>1.1085929999999999</v>
      </c>
      <c r="L2205">
        <v>284.66219999999998</v>
      </c>
      <c r="M2205">
        <v>-0.99957419999999997</v>
      </c>
      <c r="N2205">
        <v>0</v>
      </c>
      <c r="O2205">
        <v>-2.72692E-2</v>
      </c>
      <c r="P2205">
        <v>-0.98422589999999999</v>
      </c>
      <c r="Q2205">
        <v>0.17678079999999999</v>
      </c>
      <c r="R2205">
        <v>-6.9319369999999896E-3</v>
      </c>
      <c r="S2205">
        <v>-3.073547</v>
      </c>
      <c r="T2205">
        <v>-0.13669129999999999</v>
      </c>
      <c r="U2205">
        <v>0.14550779999999999</v>
      </c>
      <c r="V2205">
        <v>2.0053100000000001E-2</v>
      </c>
      <c r="W2205">
        <v>0.1869854</v>
      </c>
      <c r="X2205">
        <v>0.98215799999999998</v>
      </c>
      <c r="Y2205">
        <v>7.4411270000000002E-2</v>
      </c>
      <c r="Z2205">
        <v>2.8645490000000001E-3</v>
      </c>
      <c r="AA2205">
        <v>0.99722350000000004</v>
      </c>
      <c r="AB2205">
        <v>51</v>
      </c>
      <c r="AC2205">
        <v>-24.692799999999998</v>
      </c>
      <c r="AD2205">
        <v>-1.108591872121</v>
      </c>
      <c r="AE2205">
        <v>1.1865000000000201</v>
      </c>
      <c r="AF2205">
        <v>1.8557161744683599</v>
      </c>
      <c r="AG2205">
        <v>-1.108591872121</v>
      </c>
      <c r="AH2205">
        <v>24.601786806805698</v>
      </c>
      <c r="AI2205">
        <v>92.5727858480397</v>
      </c>
      <c r="AJ2205">
        <v>85.6863402186965</v>
      </c>
      <c r="AK2205">
        <v>24.696570056318201</v>
      </c>
      <c r="AL2205">
        <v>79.223092412817493</v>
      </c>
      <c r="AM2205">
        <v>88.830332410040299</v>
      </c>
      <c r="AN2205">
        <v>1.0000000017983799</v>
      </c>
    </row>
    <row r="2206" spans="1:40" x14ac:dyDescent="0.25">
      <c r="A2206" t="str">
        <f>"20190312172934200"</f>
        <v>20190312172934200</v>
      </c>
      <c r="B2206" t="str">
        <f>"1552382974189481"</f>
        <v>1552382974189481</v>
      </c>
      <c r="C2206" t="s">
        <v>40</v>
      </c>
      <c r="D2206">
        <v>3.3336229999999998</v>
      </c>
      <c r="E2206">
        <v>0.52577399999999996</v>
      </c>
      <c r="F2206" t="s">
        <v>47</v>
      </c>
      <c r="G2206">
        <v>-355.32510000000002</v>
      </c>
      <c r="H2206" s="1">
        <v>1.296984E-6</v>
      </c>
      <c r="I2206">
        <v>285.84300000000002</v>
      </c>
      <c r="J2206">
        <v>-330.57319999999999</v>
      </c>
      <c r="K2206">
        <v>1.1085670000000001</v>
      </c>
      <c r="L2206">
        <v>284.65519999999998</v>
      </c>
      <c r="M2206">
        <v>-0.99957890000000005</v>
      </c>
      <c r="N2206">
        <v>0</v>
      </c>
      <c r="O2206">
        <v>-2.7090610000000001E-2</v>
      </c>
      <c r="P2206">
        <v>-0.98420240000000003</v>
      </c>
      <c r="Q2206">
        <v>0.17690739999999999</v>
      </c>
      <c r="R2206">
        <v>-7.0342979999999996E-3</v>
      </c>
      <c r="S2206">
        <v>-3.0735779999999999</v>
      </c>
      <c r="T2206">
        <v>-0.13623650000000001</v>
      </c>
      <c r="U2206">
        <v>0.14511109999999999</v>
      </c>
      <c r="V2206">
        <v>1.978477E-2</v>
      </c>
      <c r="W2206">
        <v>0.18711420000000001</v>
      </c>
      <c r="X2206">
        <v>0.98213890000000004</v>
      </c>
      <c r="Y2206">
        <v>7.410535E-2</v>
      </c>
      <c r="Z2206">
        <v>2.840328E-3</v>
      </c>
      <c r="AA2206">
        <v>0.99724639999999998</v>
      </c>
      <c r="AB2206">
        <v>51</v>
      </c>
      <c r="AC2206">
        <v>-24.751899999999999</v>
      </c>
      <c r="AD2206">
        <v>-1.1085657030159899</v>
      </c>
      <c r="AE2206">
        <v>1.1878000000000299</v>
      </c>
      <c r="AF2206">
        <v>1.85423350011931</v>
      </c>
      <c r="AG2206">
        <v>-1.1085657030159899</v>
      </c>
      <c r="AH2206">
        <v>24.661280650273099</v>
      </c>
      <c r="AI2206">
        <v>92.566573429412202</v>
      </c>
      <c r="AJ2206">
        <v>85.700132854377102</v>
      </c>
      <c r="AK2206">
        <v>24.755723845252501</v>
      </c>
      <c r="AL2206">
        <v>79.215579998310304</v>
      </c>
      <c r="AM2206">
        <v>88.845957003237004</v>
      </c>
      <c r="AN2206">
        <v>0.99999998992940098</v>
      </c>
    </row>
    <row r="2207" spans="1:40" x14ac:dyDescent="0.25">
      <c r="A2207" t="str">
        <f>"20190312172934211"</f>
        <v>20190312172934211</v>
      </c>
      <c r="B2207" t="str">
        <f>"1552382974199240"</f>
        <v>1552382974199240</v>
      </c>
      <c r="C2207" t="s">
        <v>40</v>
      </c>
      <c r="D2207">
        <v>3.6514989999999998</v>
      </c>
      <c r="E2207">
        <v>0.52582329999999999</v>
      </c>
      <c r="F2207" t="s">
        <v>47</v>
      </c>
      <c r="G2207">
        <v>-355.75810000000001</v>
      </c>
      <c r="H2207" s="1">
        <v>1.52741E-6</v>
      </c>
      <c r="I2207">
        <v>285.84679999999997</v>
      </c>
      <c r="J2207">
        <v>-330.81169999999997</v>
      </c>
      <c r="K2207">
        <v>1.10854599999999</v>
      </c>
      <c r="L2207">
        <v>284.64890000000003</v>
      </c>
      <c r="M2207">
        <v>-0.99958360000000002</v>
      </c>
      <c r="N2207">
        <v>0</v>
      </c>
      <c r="O2207">
        <v>-2.691634E-2</v>
      </c>
      <c r="P2207">
        <v>-0.98421789999999998</v>
      </c>
      <c r="Q2207">
        <v>0.17681479999999999</v>
      </c>
      <c r="R2207">
        <v>-7.1930819999999999E-3</v>
      </c>
      <c r="S2207">
        <v>-3.0735169999999998</v>
      </c>
      <c r="T2207">
        <v>-0.13528670000000001</v>
      </c>
      <c r="U2207">
        <v>0.145416299999999</v>
      </c>
      <c r="V2207">
        <v>1.9464390000000002E-2</v>
      </c>
      <c r="W2207">
        <v>0.18702379999999999</v>
      </c>
      <c r="X2207">
        <v>0.98216250000000005</v>
      </c>
      <c r="Y2207">
        <v>7.4032829999999994E-2</v>
      </c>
      <c r="Z2207">
        <v>2.8113349999999999E-3</v>
      </c>
      <c r="AA2207">
        <v>0.99725189999999997</v>
      </c>
      <c r="AB2207">
        <v>51</v>
      </c>
      <c r="AC2207">
        <v>-24.946400000000001</v>
      </c>
      <c r="AD2207">
        <v>-1.10854447258999</v>
      </c>
      <c r="AE2207">
        <v>1.19789999999994</v>
      </c>
      <c r="AF2207">
        <v>1.86529320319815</v>
      </c>
      <c r="AG2207">
        <v>-1.10854447258999</v>
      </c>
      <c r="AH2207">
        <v>24.856146542394999</v>
      </c>
      <c r="AI2207">
        <v>92.546457480683003</v>
      </c>
      <c r="AJ2207">
        <v>85.708366030205596</v>
      </c>
      <c r="AK2207">
        <v>24.9506755523498</v>
      </c>
      <c r="AL2207">
        <v>79.2208524016811</v>
      </c>
      <c r="AM2207">
        <v>88.864667068052498</v>
      </c>
      <c r="AN2207">
        <v>0.99999997032538002</v>
      </c>
    </row>
    <row r="2208" spans="1:40" x14ac:dyDescent="0.25">
      <c r="A2208" t="str">
        <f>"20190312172934224"</f>
        <v>20190312172934224</v>
      </c>
      <c r="B2208" t="str">
        <f>"1552382974219736"</f>
        <v>1552382974219736</v>
      </c>
      <c r="C2208" t="s">
        <v>40</v>
      </c>
      <c r="D2208">
        <v>3.3272810000000002</v>
      </c>
      <c r="E2208">
        <v>0.52592050000000001</v>
      </c>
      <c r="F2208" t="s">
        <v>47</v>
      </c>
      <c r="G2208">
        <v>-356.00560000000002</v>
      </c>
      <c r="H2208" s="1">
        <v>1.659064E-6</v>
      </c>
      <c r="I2208">
        <v>285.83890000000002</v>
      </c>
      <c r="J2208">
        <v>-331.09629999999999</v>
      </c>
      <c r="K2208">
        <v>1.108522</v>
      </c>
      <c r="L2208">
        <v>284.64120000000003</v>
      </c>
      <c r="M2208">
        <v>-0.99958930000000001</v>
      </c>
      <c r="N2208">
        <v>0</v>
      </c>
      <c r="O2208">
        <v>-2.6704240000000001E-2</v>
      </c>
      <c r="P2208">
        <v>-0.9842128</v>
      </c>
      <c r="Q2208">
        <v>0.17684339999999901</v>
      </c>
      <c r="R2208">
        <v>-7.1778819999999896E-3</v>
      </c>
      <c r="S2208">
        <v>-3.0734560000000002</v>
      </c>
      <c r="T2208">
        <v>-0.1352341</v>
      </c>
      <c r="U2208">
        <v>0.1451721</v>
      </c>
      <c r="V2208">
        <v>1.928181E-2</v>
      </c>
      <c r="W2208">
        <v>0.18705469999999999</v>
      </c>
      <c r="X2208">
        <v>0.98216020000000004</v>
      </c>
      <c r="Y2208">
        <v>7.3743680000000006E-2</v>
      </c>
      <c r="Z2208">
        <v>2.7946260000000001E-3</v>
      </c>
      <c r="AA2208">
        <v>0.99727330000000003</v>
      </c>
      <c r="AB2208">
        <v>51</v>
      </c>
      <c r="AC2208">
        <v>-24.909300000000002</v>
      </c>
      <c r="AD2208">
        <v>-1.108520340936</v>
      </c>
      <c r="AE2208">
        <v>1.19769999999999</v>
      </c>
      <c r="AF2208">
        <v>1.85881990230954</v>
      </c>
      <c r="AG2208">
        <v>-1.108520340936</v>
      </c>
      <c r="AH2208">
        <v>24.819390212421499</v>
      </c>
      <c r="AI2208">
        <v>92.550196664316601</v>
      </c>
      <c r="AJ2208">
        <v>85.716894153687093</v>
      </c>
      <c r="AK2208">
        <v>24.913573796064199</v>
      </c>
      <c r="AL2208">
        <v>79.219049975723607</v>
      </c>
      <c r="AM2208">
        <v>88.875311344061103</v>
      </c>
      <c r="AN2208">
        <v>0.99999995372650197</v>
      </c>
    </row>
    <row r="2209" spans="1:40" x14ac:dyDescent="0.25">
      <c r="A2209" t="str">
        <f>"20190312172934238"</f>
        <v>20190312172934238</v>
      </c>
      <c r="B2209" t="str">
        <f>"1552382974229496"</f>
        <v>1552382974229496</v>
      </c>
      <c r="C2209" t="s">
        <v>40</v>
      </c>
      <c r="D2209">
        <v>3.3166329999999999</v>
      </c>
      <c r="E2209">
        <v>0.52597669999999996</v>
      </c>
      <c r="F2209" t="s">
        <v>47</v>
      </c>
      <c r="G2209">
        <v>-356.36939999999998</v>
      </c>
      <c r="H2209" s="1">
        <v>1.8526850000000001E-6</v>
      </c>
      <c r="I2209">
        <v>285.8433</v>
      </c>
      <c r="J2209">
        <v>-331.41820000000001</v>
      </c>
      <c r="K2209">
        <v>1.108492</v>
      </c>
      <c r="L2209">
        <v>284.63279999999997</v>
      </c>
      <c r="M2209">
        <v>-0.99959600000000004</v>
      </c>
      <c r="N2209">
        <v>0</v>
      </c>
      <c r="O2209">
        <v>-2.64456E-2</v>
      </c>
      <c r="P2209">
        <v>-0.98419489999999998</v>
      </c>
      <c r="Q2209">
        <v>0.1769462</v>
      </c>
      <c r="R2209">
        <v>-7.1136560000000003E-3</v>
      </c>
      <c r="S2209">
        <v>-3.0733640000000002</v>
      </c>
      <c r="T2209">
        <v>-0.13480320000000001</v>
      </c>
      <c r="U2209">
        <v>0.14617920000000001</v>
      </c>
      <c r="V2209">
        <v>1.910479E-2</v>
      </c>
      <c r="W2209">
        <v>0.1871592</v>
      </c>
      <c r="X2209">
        <v>0.98214380000000001</v>
      </c>
      <c r="Y2209">
        <v>7.3813899999999905E-2</v>
      </c>
      <c r="Z2209">
        <v>2.7759960000000002E-3</v>
      </c>
      <c r="AA2209">
        <v>0.99726809999999999</v>
      </c>
      <c r="AB2209">
        <v>51</v>
      </c>
      <c r="AC2209">
        <v>-24.951199999999901</v>
      </c>
      <c r="AD2209">
        <v>-1.108490147315</v>
      </c>
      <c r="AE2209">
        <v>1.2105000000000199</v>
      </c>
      <c r="AF2209">
        <v>1.86628699170664</v>
      </c>
      <c r="AG2209">
        <v>-1.108490147315</v>
      </c>
      <c r="AH2209">
        <v>24.861504443531199</v>
      </c>
      <c r="AI2209">
        <v>92.545780299170303</v>
      </c>
      <c r="AJ2209">
        <v>85.707010009180195</v>
      </c>
      <c r="AK2209">
        <v>24.9560850442899</v>
      </c>
      <c r="AL2209">
        <v>79.212955446773506</v>
      </c>
      <c r="AM2209">
        <v>88.885615524333801</v>
      </c>
      <c r="AN2209">
        <v>1.0000000015120101</v>
      </c>
    </row>
    <row r="2210" spans="1:40" x14ac:dyDescent="0.25">
      <c r="A2210" t="str">
        <f>"20190312172934256"</f>
        <v>20190312172934256</v>
      </c>
      <c r="B2210" t="str">
        <f>"1552382974249993"</f>
        <v>1552382974249993</v>
      </c>
      <c r="C2210" t="s">
        <v>40</v>
      </c>
      <c r="D2210">
        <v>3.3427440000000002</v>
      </c>
      <c r="E2210">
        <v>0.5260842</v>
      </c>
      <c r="F2210" t="s">
        <v>47</v>
      </c>
      <c r="G2210">
        <v>-356.8</v>
      </c>
      <c r="H2210" s="1">
        <v>2.0818250000000002E-6</v>
      </c>
      <c r="I2210">
        <v>285.84609999999998</v>
      </c>
      <c r="J2210">
        <v>-331.83319999999998</v>
      </c>
      <c r="K2210">
        <v>1.108455</v>
      </c>
      <c r="L2210">
        <v>284.62189999999998</v>
      </c>
      <c r="M2210">
        <v>-0.99960530000000003</v>
      </c>
      <c r="N2210">
        <v>0</v>
      </c>
      <c r="O2210">
        <v>-2.6094949999999999E-2</v>
      </c>
      <c r="P2210">
        <v>-0.98423769999999999</v>
      </c>
      <c r="Q2210">
        <v>0.1767146</v>
      </c>
      <c r="R2210">
        <v>-6.9720959999999997E-3</v>
      </c>
      <c r="S2210">
        <v>-3.0733640000000002</v>
      </c>
      <c r="T2210">
        <v>-0.13422190000000001</v>
      </c>
      <c r="U2210">
        <v>0.1469116</v>
      </c>
      <c r="V2210">
        <v>1.8919640000000001E-2</v>
      </c>
      <c r="W2210">
        <v>0.18693109999999999</v>
      </c>
      <c r="X2210">
        <v>0.98219080000000003</v>
      </c>
      <c r="Y2210">
        <v>7.3702450000000003E-2</v>
      </c>
      <c r="Z2210">
        <v>2.746292E-3</v>
      </c>
      <c r="AA2210">
        <v>0.99727650000000001</v>
      </c>
      <c r="AB2210">
        <v>51</v>
      </c>
      <c r="AC2210">
        <v>-24.966799999999999</v>
      </c>
      <c r="AD2210">
        <v>-1.108452918175</v>
      </c>
      <c r="AE2210">
        <v>1.22419999999999</v>
      </c>
      <c r="AF2210">
        <v>1.8716454030372001</v>
      </c>
      <c r="AG2210">
        <v>-1.108452918175</v>
      </c>
      <c r="AH2210">
        <v>24.877431634355499</v>
      </c>
      <c r="AI2210">
        <v>92.544035460712095</v>
      </c>
      <c r="AJ2210">
        <v>85.697476413500198</v>
      </c>
      <c r="AK2210">
        <v>24.972351293151299</v>
      </c>
      <c r="AL2210">
        <v>79.226259158082897</v>
      </c>
      <c r="AM2210">
        <v>88.896465455990594</v>
      </c>
      <c r="AN2210">
        <v>0.99999997826478904</v>
      </c>
    </row>
    <row r="2211" spans="1:40" x14ac:dyDescent="0.25">
      <c r="A2211" t="str">
        <f>"20190312172934279"</f>
        <v>20190312172934279</v>
      </c>
      <c r="B2211" t="str">
        <f>"1552382974269512"</f>
        <v>1552382974269512</v>
      </c>
      <c r="C2211" t="s">
        <v>40</v>
      </c>
      <c r="D2211">
        <v>3.3332670000000002</v>
      </c>
      <c r="E2211">
        <v>0.52619169999999904</v>
      </c>
      <c r="F2211" t="s">
        <v>47</v>
      </c>
      <c r="G2211">
        <v>-357.221</v>
      </c>
      <c r="H2211" s="1">
        <v>2.305862E-6</v>
      </c>
      <c r="I2211">
        <v>285.8467</v>
      </c>
      <c r="J2211">
        <v>-332.33949999999999</v>
      </c>
      <c r="K2211">
        <v>1.1083959999999999</v>
      </c>
      <c r="L2211">
        <v>284.60899999999998</v>
      </c>
      <c r="M2211">
        <v>-0.99961719999999998</v>
      </c>
      <c r="N2211">
        <v>0</v>
      </c>
      <c r="O2211">
        <v>-2.5634779999999999E-2</v>
      </c>
      <c r="P2211">
        <v>-0.98425149999999995</v>
      </c>
      <c r="Q2211">
        <v>0.1766481</v>
      </c>
      <c r="R2211">
        <v>-6.6917959999999999E-3</v>
      </c>
      <c r="S2211">
        <v>-3.0731809999999999</v>
      </c>
      <c r="T2211">
        <v>-0.13417780000000001</v>
      </c>
      <c r="U2211">
        <v>0.14825439999999901</v>
      </c>
      <c r="V2211">
        <v>1.8768920000000001E-2</v>
      </c>
      <c r="W2211">
        <v>0.18686829999999999</v>
      </c>
      <c r="X2211">
        <v>0.98220560000000001</v>
      </c>
      <c r="Y2211">
        <v>7.3681440000000001E-2</v>
      </c>
      <c r="Z2211">
        <v>2.7249959999999999E-3</v>
      </c>
      <c r="AA2211">
        <v>0.99727809999999995</v>
      </c>
      <c r="AB2211">
        <v>51</v>
      </c>
      <c r="AC2211">
        <v>-24.881499999999999</v>
      </c>
      <c r="AD2211">
        <v>-1.1083936941379999</v>
      </c>
      <c r="AE2211">
        <v>1.2376999999999601</v>
      </c>
      <c r="AF2211">
        <v>1.87145494284946</v>
      </c>
      <c r="AG2211">
        <v>-1.1083936941379999</v>
      </c>
      <c r="AH2211">
        <v>24.792515066723801</v>
      </c>
      <c r="AI2211">
        <v>92.552553534252993</v>
      </c>
      <c r="AJ2211">
        <v>85.683233169710704</v>
      </c>
      <c r="AK2211">
        <v>24.887741631535199</v>
      </c>
      <c r="AL2211">
        <v>79.229921427222095</v>
      </c>
      <c r="AM2211">
        <v>88.905270914467096</v>
      </c>
      <c r="AN2211">
        <v>0.99999993728710601</v>
      </c>
    </row>
    <row r="2212" spans="1:40" x14ac:dyDescent="0.25">
      <c r="A2212" t="str">
        <f>"20190312172934290"</f>
        <v>20190312172934290</v>
      </c>
      <c r="B2212" t="str">
        <f>"1552382974279274"</f>
        <v>1552382974279274</v>
      </c>
      <c r="C2212" t="s">
        <v>40</v>
      </c>
      <c r="D2212">
        <v>3.33216</v>
      </c>
      <c r="E2212">
        <v>0.52627579999999996</v>
      </c>
      <c r="F2212" t="s">
        <v>47</v>
      </c>
      <c r="G2212">
        <v>-357.76859999999999</v>
      </c>
      <c r="H2212" s="1">
        <v>2.597287E-6</v>
      </c>
      <c r="I2212">
        <v>285.85390000000001</v>
      </c>
      <c r="J2212">
        <v>-332.62520000000001</v>
      </c>
      <c r="K2212">
        <v>1.1083689999999999</v>
      </c>
      <c r="L2212">
        <v>284.60180000000003</v>
      </c>
      <c r="M2212">
        <v>-0.99962419999999996</v>
      </c>
      <c r="N2212">
        <v>0</v>
      </c>
      <c r="O2212">
        <v>-2.5357089999999999E-2</v>
      </c>
      <c r="P2212">
        <v>-0.98427039999999999</v>
      </c>
      <c r="Q2212">
        <v>0.17655599999999999</v>
      </c>
      <c r="R2212">
        <v>-6.3239759999999898E-3</v>
      </c>
      <c r="S2212">
        <v>-3.0730590000000002</v>
      </c>
      <c r="T2212">
        <v>-0.13394739999999999</v>
      </c>
      <c r="U2212">
        <v>0.15045169999999999</v>
      </c>
      <c r="V2212">
        <v>1.887614E-2</v>
      </c>
      <c r="W2212">
        <v>0.18677840000000001</v>
      </c>
      <c r="X2212">
        <v>0.98222069999999995</v>
      </c>
      <c r="Y2212">
        <v>7.4117870000000002E-2</v>
      </c>
      <c r="Z2212">
        <v>2.717793E-3</v>
      </c>
      <c r="AA2212">
        <v>0.99724579999999996</v>
      </c>
      <c r="AB2212">
        <v>51</v>
      </c>
      <c r="AC2212">
        <v>-25.1433999999999</v>
      </c>
      <c r="AD2212">
        <v>-1.108366402713</v>
      </c>
      <c r="AE2212">
        <v>1.25209999999998</v>
      </c>
      <c r="AF2212">
        <v>1.8856402706239801</v>
      </c>
      <c r="AG2212">
        <v>-1.108366402713</v>
      </c>
      <c r="AH2212">
        <v>25.0549965472702</v>
      </c>
      <c r="AI2212">
        <v>92.525827610126697</v>
      </c>
      <c r="AJ2212">
        <v>85.696030584441701</v>
      </c>
      <c r="AK2212">
        <v>25.150287618565802</v>
      </c>
      <c r="AL2212">
        <v>79.235165222389895</v>
      </c>
      <c r="AM2212">
        <v>88.899035582703405</v>
      </c>
      <c r="AN2212">
        <v>0.99999999143817397</v>
      </c>
    </row>
    <row r="2213" spans="1:40" x14ac:dyDescent="0.25">
      <c r="A2213" t="str">
        <f>"20190312172934304"</f>
        <v>20190312172934304</v>
      </c>
      <c r="B2213" t="str">
        <f>"1552382974299769"</f>
        <v>1552382974299769</v>
      </c>
      <c r="C2213" t="s">
        <v>40</v>
      </c>
      <c r="D2213">
        <v>3.3294830000000002</v>
      </c>
      <c r="E2213">
        <v>0.52638499999999999</v>
      </c>
      <c r="F2213" t="s">
        <v>47</v>
      </c>
      <c r="G2213">
        <v>-358.02</v>
      </c>
      <c r="H2213" s="1">
        <v>2.7310499999999999E-6</v>
      </c>
      <c r="I2213">
        <v>285.86200000000002</v>
      </c>
      <c r="J2213">
        <v>-332.92660000000001</v>
      </c>
      <c r="K2213">
        <v>1.1083379999999901</v>
      </c>
      <c r="L2213">
        <v>284.5942</v>
      </c>
      <c r="M2213">
        <v>-0.99963179999999996</v>
      </c>
      <c r="N2213">
        <v>0</v>
      </c>
      <c r="O2213">
        <v>-2.5054480000000001E-2</v>
      </c>
      <c r="P2213">
        <v>-0.98422310000000002</v>
      </c>
      <c r="Q2213">
        <v>0.17683160000000001</v>
      </c>
      <c r="R2213">
        <v>-5.9541619999999998E-3</v>
      </c>
      <c r="S2213">
        <v>-3.0729679999999999</v>
      </c>
      <c r="T2213">
        <v>-0.13412070000000001</v>
      </c>
      <c r="U2213">
        <v>0.1524963</v>
      </c>
      <c r="V2213">
        <v>1.8960270000000001E-2</v>
      </c>
      <c r="W2213">
        <v>0.1870552</v>
      </c>
      <c r="X2213">
        <v>0.98216639999999999</v>
      </c>
      <c r="Y2213">
        <v>7.4479050000000005E-2</v>
      </c>
      <c r="Z2213">
        <v>2.716024E-3</v>
      </c>
      <c r="AA2213">
        <v>0.99721890000000002</v>
      </c>
      <c r="AB2213">
        <v>51</v>
      </c>
      <c r="AC2213">
        <v>-25.0933999999999</v>
      </c>
      <c r="AD2213">
        <v>-1.1083352689499999</v>
      </c>
      <c r="AE2213">
        <v>1.26780000000002</v>
      </c>
      <c r="AF2213">
        <v>1.8924556960226799</v>
      </c>
      <c r="AG2213">
        <v>-1.1083352689499999</v>
      </c>
      <c r="AH2213">
        <v>25.005099282767699</v>
      </c>
      <c r="AI2213">
        <v>92.530710129910005</v>
      </c>
      <c r="AJ2213">
        <v>85.671946456241898</v>
      </c>
      <c r="AK2213">
        <v>25.101091326292501</v>
      </c>
      <c r="AL2213">
        <v>79.219021192337294</v>
      </c>
      <c r="AM2213">
        <v>88.894068732026597</v>
      </c>
      <c r="AN2213">
        <v>0.99999998848723604</v>
      </c>
    </row>
    <row r="2214" spans="1:40" x14ac:dyDescent="0.25">
      <c r="A2214" t="str">
        <f>"20190312172934317"</f>
        <v>20190312172934317</v>
      </c>
      <c r="B2214" t="str">
        <f>"1552382974309530"</f>
        <v>1552382974309530</v>
      </c>
      <c r="C2214" t="s">
        <v>40</v>
      </c>
      <c r="D2214">
        <v>3.31813</v>
      </c>
      <c r="E2214">
        <v>0.52644829999999998</v>
      </c>
      <c r="F2214" t="s">
        <v>47</v>
      </c>
      <c r="G2214">
        <v>-358.57780000000002</v>
      </c>
      <c r="H2214" s="1">
        <v>3.0278679999999998E-6</v>
      </c>
      <c r="I2214">
        <v>285.88249999999999</v>
      </c>
      <c r="J2214">
        <v>-333.22680000000003</v>
      </c>
      <c r="K2214">
        <v>1.1083069999999999</v>
      </c>
      <c r="L2214">
        <v>284.58690000000001</v>
      </c>
      <c r="M2214">
        <v>-0.99963970000000002</v>
      </c>
      <c r="N2214">
        <v>0</v>
      </c>
      <c r="O2214">
        <v>-2.4733979999999999E-2</v>
      </c>
      <c r="P2214">
        <v>-0.98419259999999997</v>
      </c>
      <c r="Q2214">
        <v>0.17702560000000001</v>
      </c>
      <c r="R2214">
        <v>-5.2110209999999997E-3</v>
      </c>
      <c r="S2214">
        <v>-3.0728759999999999</v>
      </c>
      <c r="T2214">
        <v>-0.1327728</v>
      </c>
      <c r="U2214">
        <v>0.154327399999999</v>
      </c>
      <c r="V2214">
        <v>1.940064E-2</v>
      </c>
      <c r="W2214">
        <v>0.18724959999999999</v>
      </c>
      <c r="X2214">
        <v>0.98212080000000002</v>
      </c>
      <c r="Y2214">
        <v>7.4755470000000004E-2</v>
      </c>
      <c r="Z2214">
        <v>2.6809260000000001E-3</v>
      </c>
      <c r="AA2214">
        <v>0.99719829999999998</v>
      </c>
      <c r="AB2214">
        <v>51</v>
      </c>
      <c r="AC2214">
        <v>-25.350999999999999</v>
      </c>
      <c r="AD2214">
        <v>-1.1083039721319901</v>
      </c>
      <c r="AE2214">
        <v>1.2955999999999701</v>
      </c>
      <c r="AF2214">
        <v>1.9186113226199299</v>
      </c>
      <c r="AG2214">
        <v>-1.1083039721319901</v>
      </c>
      <c r="AH2214">
        <v>25.263037080834199</v>
      </c>
      <c r="AI2214">
        <v>92.504784278447303</v>
      </c>
      <c r="AJ2214">
        <v>85.656986343696701</v>
      </c>
      <c r="AK2214">
        <v>25.360016751759701</v>
      </c>
      <c r="AL2214">
        <v>79.207683020471407</v>
      </c>
      <c r="AM2214">
        <v>88.868336520453994</v>
      </c>
      <c r="AN2214">
        <v>1.0000000316626001</v>
      </c>
    </row>
    <row r="2215" spans="1:40" x14ac:dyDescent="0.25">
      <c r="A2215" t="str">
        <f>"20190312172934333"</f>
        <v>20190312172934333</v>
      </c>
      <c r="B2215" t="str">
        <f>"1552382974330024"</f>
        <v>1552382974330024</v>
      </c>
      <c r="C2215" t="s">
        <v>40</v>
      </c>
      <c r="D2215">
        <v>3.3187129999999998</v>
      </c>
      <c r="E2215">
        <v>0.52658079999999996</v>
      </c>
      <c r="F2215" t="s">
        <v>47</v>
      </c>
      <c r="G2215">
        <v>-359.04169999999999</v>
      </c>
      <c r="H2215" s="1">
        <v>3.2747550000000002E-6</v>
      </c>
      <c r="I2215">
        <v>285.90679999999998</v>
      </c>
      <c r="J2215">
        <v>-333.58370000000002</v>
      </c>
      <c r="K2215">
        <v>1.1082719999999999</v>
      </c>
      <c r="L2215">
        <v>284.57819999999998</v>
      </c>
      <c r="M2215">
        <v>-0.99964949999999997</v>
      </c>
      <c r="N2215">
        <v>0</v>
      </c>
      <c r="O2215">
        <v>-2.4339300000000001E-2</v>
      </c>
      <c r="P2215">
        <v>-0.98415949999999996</v>
      </c>
      <c r="Q2215">
        <v>0.17723159999999999</v>
      </c>
      <c r="R2215">
        <v>-4.3999629999999998E-3</v>
      </c>
      <c r="S2215">
        <v>-3.0727540000000002</v>
      </c>
      <c r="T2215">
        <v>-0.1319215</v>
      </c>
      <c r="U2215">
        <v>0.15710450000000001</v>
      </c>
      <c r="V2215">
        <v>1.9837850000000001E-2</v>
      </c>
      <c r="W2215">
        <v>0.18745709999999999</v>
      </c>
      <c r="X2215">
        <v>0.98207250000000001</v>
      </c>
      <c r="Y2215">
        <v>7.5263750000000004E-2</v>
      </c>
      <c r="Z2215">
        <v>2.6577710000000002E-3</v>
      </c>
      <c r="AA2215">
        <v>0.99716009999999999</v>
      </c>
      <c r="AB2215">
        <v>51</v>
      </c>
      <c r="AC2215">
        <v>-25.457999999999899</v>
      </c>
      <c r="AD2215">
        <v>-1.1082687252450001</v>
      </c>
      <c r="AE2215">
        <v>1.32859999999999</v>
      </c>
      <c r="AF2215">
        <v>1.94419535912265</v>
      </c>
      <c r="AG2215">
        <v>-1.1082687252450001</v>
      </c>
      <c r="AH2215">
        <v>25.370168977189</v>
      </c>
      <c r="AI2215">
        <v>92.494011428744301</v>
      </c>
      <c r="AJ2215">
        <v>85.617810244280193</v>
      </c>
      <c r="AK2215">
        <v>25.4686793747323</v>
      </c>
      <c r="AL2215">
        <v>79.195580030278293</v>
      </c>
      <c r="AM2215">
        <v>88.842783479313894</v>
      </c>
      <c r="AN2215">
        <v>1.00000004994464</v>
      </c>
    </row>
    <row r="2216" spans="1:40" x14ac:dyDescent="0.25">
      <c r="A2216" t="str">
        <f>"20190312172934344"</f>
        <v>20190312172934344</v>
      </c>
      <c r="B2216" t="str">
        <f>"1552382974339784"</f>
        <v>1552382974339784</v>
      </c>
      <c r="C2216" t="s">
        <v>40</v>
      </c>
      <c r="D2216">
        <v>3.2924349999999998</v>
      </c>
      <c r="E2216">
        <v>0.52664840000000002</v>
      </c>
      <c r="F2216" t="s">
        <v>47</v>
      </c>
      <c r="G2216">
        <v>-359.62380000000002</v>
      </c>
      <c r="H2216" s="1">
        <v>3.58451E-6</v>
      </c>
      <c r="I2216">
        <v>285.94069999999999</v>
      </c>
      <c r="J2216">
        <v>-333.84840000000003</v>
      </c>
      <c r="K2216">
        <v>1.108247</v>
      </c>
      <c r="L2216">
        <v>284.57190000000003</v>
      </c>
      <c r="M2216">
        <v>-0.99965669999999995</v>
      </c>
      <c r="N2216">
        <v>0</v>
      </c>
      <c r="O2216">
        <v>-2.4038520000000001E-2</v>
      </c>
      <c r="P2216">
        <v>-0.98419579999999995</v>
      </c>
      <c r="Q2216">
        <v>0.17704029999999901</v>
      </c>
      <c r="R2216">
        <v>-3.9512430000000001E-3</v>
      </c>
      <c r="S2216">
        <v>-3.07254</v>
      </c>
      <c r="T2216">
        <v>-0.13076750000000001</v>
      </c>
      <c r="U2216">
        <v>0.16076660000000001</v>
      </c>
      <c r="V2216">
        <v>2.000236E-2</v>
      </c>
      <c r="W2216">
        <v>0.1872674</v>
      </c>
      <c r="X2216">
        <v>0.98210529999999996</v>
      </c>
      <c r="Y2216">
        <v>7.6153609999999997E-2</v>
      </c>
      <c r="Z2216">
        <v>2.6407739999999998E-3</v>
      </c>
      <c r="AA2216">
        <v>0.9970926</v>
      </c>
      <c r="AB2216">
        <v>51</v>
      </c>
      <c r="AC2216">
        <v>-25.775399999999902</v>
      </c>
      <c r="AD2216">
        <v>-1.1082434154900001</v>
      </c>
      <c r="AE2216">
        <v>1.36879999999996</v>
      </c>
      <c r="AF2216">
        <v>1.98438239185342</v>
      </c>
      <c r="AG2216">
        <v>-1.1082434154900001</v>
      </c>
      <c r="AH2216">
        <v>25.6876907098377</v>
      </c>
      <c r="AI2216">
        <v>92.463049211539101</v>
      </c>
      <c r="AJ2216">
        <v>85.582655614032106</v>
      </c>
      <c r="AK2216">
        <v>25.788048219075399</v>
      </c>
      <c r="AL2216">
        <v>79.206644410302701</v>
      </c>
      <c r="AM2216">
        <v>88.833228591350903</v>
      </c>
      <c r="AN2216">
        <v>0.99999999689820895</v>
      </c>
    </row>
    <row r="2217" spans="1:40" x14ac:dyDescent="0.25">
      <c r="A2217" t="str">
        <f>"20190312172934356"</f>
        <v>20190312172934356</v>
      </c>
      <c r="B2217" t="str">
        <f>"1552382974349544"</f>
        <v>1552382974349544</v>
      </c>
      <c r="C2217" t="s">
        <v>40</v>
      </c>
      <c r="D2217">
        <v>3.2941020000000001</v>
      </c>
      <c r="E2217">
        <v>0.52670059999999996</v>
      </c>
      <c r="F2217" t="s">
        <v>47</v>
      </c>
      <c r="G2217">
        <v>-359.80799999999999</v>
      </c>
      <c r="H2217" s="1">
        <v>3.6825509999999998E-6</v>
      </c>
      <c r="I2217">
        <v>285.9468</v>
      </c>
      <c r="J2217">
        <v>-334.10820000000001</v>
      </c>
      <c r="K2217">
        <v>1.108222</v>
      </c>
      <c r="L2217">
        <v>284.56580000000002</v>
      </c>
      <c r="M2217">
        <v>-0.999664</v>
      </c>
      <c r="N2217">
        <v>0</v>
      </c>
      <c r="O2217">
        <v>-2.373134E-2</v>
      </c>
      <c r="P2217">
        <v>-0.9841839</v>
      </c>
      <c r="Q2217">
        <v>0.17711579999999999</v>
      </c>
      <c r="R2217">
        <v>-3.492191E-3</v>
      </c>
      <c r="S2217">
        <v>-3.0724179999999999</v>
      </c>
      <c r="T2217">
        <v>-0.131165</v>
      </c>
      <c r="U2217">
        <v>0.16271969999999999</v>
      </c>
      <c r="V2217">
        <v>2.016913E-2</v>
      </c>
      <c r="W2217">
        <v>0.1873447</v>
      </c>
      <c r="X2217">
        <v>0.98208709999999999</v>
      </c>
      <c r="Y2217">
        <v>7.6480809999999996E-2</v>
      </c>
      <c r="Z2217">
        <v>2.642733E-3</v>
      </c>
      <c r="AA2217">
        <v>0.99706760000000005</v>
      </c>
      <c r="AB2217">
        <v>51</v>
      </c>
      <c r="AC2217">
        <v>-25.6998</v>
      </c>
      <c r="AD2217">
        <v>-1.1082183174489999</v>
      </c>
      <c r="AE2217">
        <v>1.38099999999997</v>
      </c>
      <c r="AF2217">
        <v>1.98685100538826</v>
      </c>
      <c r="AG2217">
        <v>-1.1082183174489999</v>
      </c>
      <c r="AH2217">
        <v>25.612298276654201</v>
      </c>
      <c r="AI2217">
        <v>92.470173138066997</v>
      </c>
      <c r="AJ2217">
        <v>85.564214999156206</v>
      </c>
      <c r="AK2217">
        <v>25.713139593776699</v>
      </c>
      <c r="AL2217">
        <v>79.202135149370406</v>
      </c>
      <c r="AM2217">
        <v>88.823481542102598</v>
      </c>
      <c r="AN2217">
        <v>0.99999995120472696</v>
      </c>
    </row>
    <row r="2218" spans="1:40" x14ac:dyDescent="0.25">
      <c r="A2218" t="str">
        <f>"20190312172934368"</f>
        <v>20190312172934368</v>
      </c>
      <c r="B2218" t="str">
        <f>"1552382974359305"</f>
        <v>1552382974359305</v>
      </c>
      <c r="C2218" t="s">
        <v>40</v>
      </c>
      <c r="D2218">
        <v>3.2903349999999998</v>
      </c>
      <c r="E2218">
        <v>0.52673139999999996</v>
      </c>
      <c r="F2218" t="s">
        <v>47</v>
      </c>
      <c r="G2218">
        <v>-360.15460000000002</v>
      </c>
      <c r="H2218" s="1">
        <v>-1.4545250000000001E-6</v>
      </c>
      <c r="I2218">
        <v>285.96260000000001</v>
      </c>
      <c r="J2218">
        <v>-334.37</v>
      </c>
      <c r="K2218">
        <v>1.1082069999999999</v>
      </c>
      <c r="L2218">
        <v>284.55970000000002</v>
      </c>
      <c r="M2218">
        <v>-0.99967130000000004</v>
      </c>
      <c r="N2218">
        <v>0</v>
      </c>
      <c r="O2218">
        <v>-2.34176E-2</v>
      </c>
      <c r="P2218">
        <v>-0.98417370000000004</v>
      </c>
      <c r="Q2218">
        <v>0.1771818</v>
      </c>
      <c r="R2218">
        <v>-3.003538E-3</v>
      </c>
      <c r="S2218">
        <v>-3.072327</v>
      </c>
      <c r="T2218">
        <v>-0.13072139999999999</v>
      </c>
      <c r="U2218">
        <v>0.16476440000000001</v>
      </c>
      <c r="V2218">
        <v>2.0358830000000001E-2</v>
      </c>
      <c r="W2218">
        <v>0.18741169999999999</v>
      </c>
      <c r="X2218">
        <v>0.98207040000000001</v>
      </c>
      <c r="Y2218">
        <v>7.6831709999999998E-2</v>
      </c>
      <c r="Z2218">
        <v>2.627959E-3</v>
      </c>
      <c r="AA2218">
        <v>0.99704060000000005</v>
      </c>
      <c r="AB2218">
        <v>51</v>
      </c>
      <c r="AC2218">
        <v>-25.784600000000001</v>
      </c>
      <c r="AD2218">
        <v>-1.1082084545249999</v>
      </c>
      <c r="AE2218">
        <v>1.4028999999999801</v>
      </c>
      <c r="AF2218">
        <v>2.00267308445925</v>
      </c>
      <c r="AG2218">
        <v>-1.1082084545249999</v>
      </c>
      <c r="AH2218">
        <v>25.697345063784201</v>
      </c>
      <c r="AI2218">
        <v>92.4619179354018</v>
      </c>
      <c r="AJ2218">
        <v>85.543770962866603</v>
      </c>
      <c r="AK2218">
        <v>25.799076898003399</v>
      </c>
      <c r="AL2218">
        <v>79.198227087058498</v>
      </c>
      <c r="AM2218">
        <v>88.812398807034</v>
      </c>
      <c r="AN2218">
        <v>0.99999994890600796</v>
      </c>
    </row>
    <row r="2219" spans="1:40" x14ac:dyDescent="0.25">
      <c r="A2219" t="str">
        <f>"20190312172934377"</f>
        <v>20190312172934377</v>
      </c>
      <c r="B2219" t="str">
        <f>"1552382974370040"</f>
        <v>1552382974370040</v>
      </c>
      <c r="C2219" t="s">
        <v>40</v>
      </c>
      <c r="D2219">
        <v>3.2887179999999998</v>
      </c>
      <c r="E2219">
        <v>0.52675989999999995</v>
      </c>
      <c r="F2219" t="s">
        <v>47</v>
      </c>
      <c r="G2219">
        <v>-360.5052</v>
      </c>
      <c r="H2219" s="1">
        <v>-1.267977E-6</v>
      </c>
      <c r="I2219">
        <v>285.97620000000001</v>
      </c>
      <c r="J2219">
        <v>-334.61529999999999</v>
      </c>
      <c r="K2219">
        <v>1.1081859999999999</v>
      </c>
      <c r="L2219">
        <v>284.55410000000001</v>
      </c>
      <c r="M2219">
        <v>-0.99967830000000002</v>
      </c>
      <c r="N2219">
        <v>0</v>
      </c>
      <c r="O2219">
        <v>-2.311736E-2</v>
      </c>
      <c r="P2219">
        <v>-0.98416429999999999</v>
      </c>
      <c r="Q2219">
        <v>0.17724089999999901</v>
      </c>
      <c r="R2219">
        <v>-2.5402710000000002E-3</v>
      </c>
      <c r="S2219">
        <v>-3.0722049999999999</v>
      </c>
      <c r="T2219">
        <v>-0.13027069999999999</v>
      </c>
      <c r="U2219">
        <v>0.16650390000000001</v>
      </c>
      <c r="V2219">
        <v>2.0535560000000001E-2</v>
      </c>
      <c r="W2219">
        <v>0.18747159999999999</v>
      </c>
      <c r="X2219">
        <v>0.98205540000000002</v>
      </c>
      <c r="Y2219">
        <v>7.709792E-2</v>
      </c>
      <c r="Z2219">
        <v>2.61189E-3</v>
      </c>
      <c r="AA2219">
        <v>0.99702009999999996</v>
      </c>
      <c r="AB2219">
        <v>51</v>
      </c>
      <c r="AC2219">
        <v>-25.889900000000001</v>
      </c>
      <c r="AD2219">
        <v>-1.108187267977</v>
      </c>
      <c r="AE2219">
        <v>1.4220999999999999</v>
      </c>
      <c r="AF2219">
        <v>2.01657504661366</v>
      </c>
      <c r="AG2219">
        <v>-1.108187267977</v>
      </c>
      <c r="AH2219">
        <v>25.8029701962103</v>
      </c>
      <c r="AI2219">
        <v>92.451763774284899</v>
      </c>
      <c r="AJ2219">
        <v>85.531256287016603</v>
      </c>
      <c r="AK2219">
        <v>25.9053647896733</v>
      </c>
      <c r="AL2219">
        <v>79.194734349821402</v>
      </c>
      <c r="AM2219">
        <v>88.802074232403001</v>
      </c>
      <c r="AN2219">
        <v>1.0000000593501099</v>
      </c>
    </row>
    <row r="2220" spans="1:40" x14ac:dyDescent="0.25">
      <c r="A2220" t="str">
        <f>"20190312172934389"</f>
        <v>20190312172934389</v>
      </c>
      <c r="B2220" t="str">
        <f>"1552382974379800"</f>
        <v>1552382974379800</v>
      </c>
      <c r="C2220" t="s">
        <v>40</v>
      </c>
      <c r="D2220">
        <v>3.2908230000000001</v>
      </c>
      <c r="E2220">
        <v>0.52679589999999998</v>
      </c>
      <c r="F2220" t="s">
        <v>47</v>
      </c>
      <c r="G2220">
        <v>-360.82150000000001</v>
      </c>
      <c r="H2220" s="1">
        <v>-1.0996090000000001E-6</v>
      </c>
      <c r="I2220">
        <v>285.98849999999999</v>
      </c>
      <c r="J2220">
        <v>-334.87169999999998</v>
      </c>
      <c r="K2220">
        <v>1.108166</v>
      </c>
      <c r="L2220">
        <v>284.54829999999998</v>
      </c>
      <c r="M2220">
        <v>-0.99968559999999995</v>
      </c>
      <c r="N2220">
        <v>0</v>
      </c>
      <c r="O2220">
        <v>-2.2798889999999999E-2</v>
      </c>
      <c r="P2220">
        <v>-0.98415949999999996</v>
      </c>
      <c r="Q2220">
        <v>0.17727209999999999</v>
      </c>
      <c r="R2220">
        <v>-2.1620820000000001E-3</v>
      </c>
      <c r="S2220">
        <v>-3.0721129999999999</v>
      </c>
      <c r="T2220">
        <v>-0.12991069999999999</v>
      </c>
      <c r="U2220">
        <v>0.16815189999999999</v>
      </c>
      <c r="V2220">
        <v>2.0608660000000001E-2</v>
      </c>
      <c r="W2220">
        <v>0.1875039</v>
      </c>
      <c r="X2220">
        <v>0.98204760000000002</v>
      </c>
      <c r="Y2220">
        <v>7.7315720000000004E-2</v>
      </c>
      <c r="Z2220">
        <v>2.5958660000000001E-3</v>
      </c>
      <c r="AA2220">
        <v>0.99700330000000004</v>
      </c>
      <c r="AB2220">
        <v>51</v>
      </c>
      <c r="AC2220">
        <v>-25.9498</v>
      </c>
      <c r="AD2220">
        <v>-1.1081670996089901</v>
      </c>
      <c r="AE2220">
        <v>1.4401999999999999</v>
      </c>
      <c r="AF2220">
        <v>2.0277978198407198</v>
      </c>
      <c r="AG2220">
        <v>-1.1081670996089901</v>
      </c>
      <c r="AH2220">
        <v>25.863196730875</v>
      </c>
      <c r="AI2220">
        <v>92.445969049117096</v>
      </c>
      <c r="AJ2220">
        <v>85.516909265720798</v>
      </c>
      <c r="AK2220">
        <v>25.966226977725299</v>
      </c>
      <c r="AL2220">
        <v>79.192849188759396</v>
      </c>
      <c r="AM2220">
        <v>88.797801704839699</v>
      </c>
      <c r="AN2220">
        <v>0.99999995902398198</v>
      </c>
    </row>
    <row r="2221" spans="1:40" x14ac:dyDescent="0.25">
      <c r="A2221" t="str">
        <f>"20190312172934400"</f>
        <v>20190312172934400</v>
      </c>
      <c r="B2221" t="str">
        <f>"1552382974390138"</f>
        <v>1552382974390138</v>
      </c>
      <c r="C2221" t="s">
        <v>40</v>
      </c>
      <c r="D2221">
        <v>3.2917299999999998</v>
      </c>
      <c r="E2221">
        <v>0.52682569999999995</v>
      </c>
      <c r="F2221" t="s">
        <v>47</v>
      </c>
      <c r="G2221">
        <v>-361.10550000000001</v>
      </c>
      <c r="H2221" s="1">
        <v>-9.4847660000000003E-7</v>
      </c>
      <c r="I2221">
        <v>285.99439999999998</v>
      </c>
      <c r="J2221">
        <v>-335.13869999999997</v>
      </c>
      <c r="K2221">
        <v>1.1081460000000001</v>
      </c>
      <c r="L2221">
        <v>284.54230000000001</v>
      </c>
      <c r="M2221">
        <v>-0.9996931</v>
      </c>
      <c r="N2221">
        <v>0</v>
      </c>
      <c r="O2221">
        <v>-2.2463730000000001E-2</v>
      </c>
      <c r="P2221">
        <v>-0.98414400000000002</v>
      </c>
      <c r="Q2221">
        <v>0.17736250000000001</v>
      </c>
      <c r="R2221">
        <v>-1.8357919999999999E-3</v>
      </c>
      <c r="S2221">
        <v>-3.0720209999999999</v>
      </c>
      <c r="T2221">
        <v>-0.1297681</v>
      </c>
      <c r="U2221">
        <v>0.16934199999999999</v>
      </c>
      <c r="V2221">
        <v>2.0613610000000001E-2</v>
      </c>
      <c r="W2221">
        <v>0.18759619999999999</v>
      </c>
      <c r="X2221">
        <v>0.98202990000000001</v>
      </c>
      <c r="Y2221">
        <v>7.7368640000000002E-2</v>
      </c>
      <c r="Z2221">
        <v>2.5800430000000002E-3</v>
      </c>
      <c r="AA2221">
        <v>0.99699919999999997</v>
      </c>
      <c r="AB2221">
        <v>51</v>
      </c>
      <c r="AC2221">
        <v>-25.966799999999999</v>
      </c>
      <c r="AD2221">
        <v>-1.10814694847659</v>
      </c>
      <c r="AE2221">
        <v>1.45209999999997</v>
      </c>
      <c r="AF2221">
        <v>2.0313885043042399</v>
      </c>
      <c r="AG2221">
        <v>-1.10814694847659</v>
      </c>
      <c r="AH2221">
        <v>25.8806385209799</v>
      </c>
      <c r="AI2221">
        <v>92.444261887585597</v>
      </c>
      <c r="AJ2221">
        <v>85.512017621390299</v>
      </c>
      <c r="AK2221">
        <v>25.983879217092799</v>
      </c>
      <c r="AL2221">
        <v>79.187465587486997</v>
      </c>
      <c r="AM2221">
        <v>88.797491366128199</v>
      </c>
      <c r="AN2221">
        <v>0.999999989832841</v>
      </c>
    </row>
    <row r="2222" spans="1:40" x14ac:dyDescent="0.25">
      <c r="A2222" t="str">
        <f>"20190312172934412"</f>
        <v>20190312172934412</v>
      </c>
      <c r="B2222" t="str">
        <f>"1552382974409657"</f>
        <v>1552382974409657</v>
      </c>
      <c r="C2222" t="s">
        <v>40</v>
      </c>
      <c r="D2222">
        <v>3.2768769999999998</v>
      </c>
      <c r="E2222">
        <v>0.52688009999999996</v>
      </c>
      <c r="F2222" t="s">
        <v>47</v>
      </c>
      <c r="G2222">
        <v>-361.4776</v>
      </c>
      <c r="H2222" s="1">
        <v>-7.5046059999999996E-7</v>
      </c>
      <c r="I2222">
        <v>286.00599999999997</v>
      </c>
      <c r="J2222">
        <v>-335.38940000000002</v>
      </c>
      <c r="K2222">
        <v>1.1081289999999999</v>
      </c>
      <c r="L2222">
        <v>284.5369</v>
      </c>
      <c r="M2222">
        <v>-0.99970020000000004</v>
      </c>
      <c r="N2222">
        <v>0</v>
      </c>
      <c r="O2222">
        <v>-2.21441E-2</v>
      </c>
      <c r="P2222">
        <v>-0.98413499999999998</v>
      </c>
      <c r="Q2222">
        <v>0.17741509999999999</v>
      </c>
      <c r="R2222">
        <v>-1.505461E-3</v>
      </c>
      <c r="S2222">
        <v>-3.0719599999999998</v>
      </c>
      <c r="T2222">
        <v>-0.129245</v>
      </c>
      <c r="U2222">
        <v>0.17071529999999999</v>
      </c>
      <c r="V2222">
        <v>2.0636390000000001E-2</v>
      </c>
      <c r="W2222">
        <v>0.1876506</v>
      </c>
      <c r="X2222">
        <v>0.98201910000000003</v>
      </c>
      <c r="Y2222">
        <v>7.7496190000000006E-2</v>
      </c>
      <c r="Z2222">
        <v>2.5589190000000002E-3</v>
      </c>
      <c r="AA2222">
        <v>0.99698940000000003</v>
      </c>
      <c r="AB2222">
        <v>51</v>
      </c>
      <c r="AC2222">
        <v>-26.088199999999901</v>
      </c>
      <c r="AD2222">
        <v>-1.1081297504606</v>
      </c>
      <c r="AE2222">
        <v>1.4690999999999601</v>
      </c>
      <c r="AF2222">
        <v>2.0427969275936602</v>
      </c>
      <c r="AG2222">
        <v>-1.1081297504606</v>
      </c>
      <c r="AH2222">
        <v>26.002502213242501</v>
      </c>
      <c r="AI2222">
        <v>92.432769217405706</v>
      </c>
      <c r="AJ2222">
        <v>85.507980939067807</v>
      </c>
      <c r="AK2222">
        <v>26.1061504665266</v>
      </c>
      <c r="AL2222">
        <v>79.184293117264104</v>
      </c>
      <c r="AM2222">
        <v>88.796149634940306</v>
      </c>
      <c r="AN2222">
        <v>1.0000000605186901</v>
      </c>
    </row>
    <row r="2223" spans="1:40" x14ac:dyDescent="0.25">
      <c r="A2223" t="str">
        <f>"20190312172934424"</f>
        <v>20190312172934424</v>
      </c>
      <c r="B2223" t="str">
        <f>"1552382974419417"</f>
        <v>1552382974419417</v>
      </c>
      <c r="C2223" t="s">
        <v>40</v>
      </c>
      <c r="D2223">
        <v>3.2693099999999999</v>
      </c>
      <c r="E2223">
        <v>0.52692459999999997</v>
      </c>
      <c r="F2223" t="s">
        <v>47</v>
      </c>
      <c r="G2223">
        <v>-361.80770000000001</v>
      </c>
      <c r="H2223" s="1">
        <v>-5.7483019999999995E-7</v>
      </c>
      <c r="I2223">
        <v>286.0163</v>
      </c>
      <c r="J2223">
        <v>-335.6592</v>
      </c>
      <c r="K2223">
        <v>1.1081110000000001</v>
      </c>
      <c r="L2223">
        <v>284.53100000000001</v>
      </c>
      <c r="M2223">
        <v>-0.99970780000000004</v>
      </c>
      <c r="N2223">
        <v>0</v>
      </c>
      <c r="O2223">
        <v>-2.179884E-2</v>
      </c>
      <c r="P2223">
        <v>-0.98411599999999999</v>
      </c>
      <c r="Q2223">
        <v>0.1775234</v>
      </c>
      <c r="R2223">
        <v>-1.178435E-3</v>
      </c>
      <c r="S2223">
        <v>-3.0718079999999999</v>
      </c>
      <c r="T2223">
        <v>-0.12884880000000001</v>
      </c>
      <c r="U2223">
        <v>0.1720276</v>
      </c>
      <c r="V2223">
        <v>2.063071E-2</v>
      </c>
      <c r="W2223">
        <v>0.1877606</v>
      </c>
      <c r="X2223">
        <v>0.98199809999999998</v>
      </c>
      <c r="Y2223">
        <v>7.7579949999999995E-2</v>
      </c>
      <c r="Z2223">
        <v>2.5384650000000002E-3</v>
      </c>
      <c r="AA2223">
        <v>0.99698290000000001</v>
      </c>
      <c r="AB2223">
        <v>51</v>
      </c>
      <c r="AC2223">
        <v>-26.148499999999999</v>
      </c>
      <c r="AD2223">
        <v>-1.1081115748302</v>
      </c>
      <c r="AE2223">
        <v>1.4852999999999901</v>
      </c>
      <c r="AF2223">
        <v>2.0513130602777698</v>
      </c>
      <c r="AG2223">
        <v>-1.1081115748302</v>
      </c>
      <c r="AH2223">
        <v>26.0632507383202</v>
      </c>
      <c r="AI2223">
        <v>92.427038706208293</v>
      </c>
      <c r="AJ2223">
        <v>85.4998017471259</v>
      </c>
      <c r="AK2223">
        <v>26.167323813911199</v>
      </c>
      <c r="AL2223">
        <v>79.177875524149897</v>
      </c>
      <c r="AM2223">
        <v>88.796455157927596</v>
      </c>
      <c r="AN2223">
        <v>0.99999996875553598</v>
      </c>
    </row>
    <row r="2224" spans="1:40" x14ac:dyDescent="0.25">
      <c r="A2224" t="str">
        <f>"20190312172934446"</f>
        <v>20190312172934446</v>
      </c>
      <c r="B2224" t="str">
        <f>"1552382974439914"</f>
        <v>1552382974439914</v>
      </c>
      <c r="C2224" t="s">
        <v>40</v>
      </c>
      <c r="D2224">
        <v>3.2943509999999998</v>
      </c>
      <c r="E2224">
        <v>0.52698020000000001</v>
      </c>
      <c r="F2224" t="s">
        <v>47</v>
      </c>
      <c r="G2224">
        <v>-362.18819999999999</v>
      </c>
      <c r="H2224" s="1">
        <v>-3.7231750000000003E-7</v>
      </c>
      <c r="I2224">
        <v>286.02749999999997</v>
      </c>
      <c r="J2224">
        <v>-336.1671</v>
      </c>
      <c r="K2224">
        <v>1.1080829999999999</v>
      </c>
      <c r="L2224">
        <v>284.52019999999999</v>
      </c>
      <c r="M2224">
        <v>-0.99972179999999999</v>
      </c>
      <c r="N2224">
        <v>0</v>
      </c>
      <c r="O2224">
        <v>-2.114044E-2</v>
      </c>
      <c r="P2224">
        <v>-0.98411110000000002</v>
      </c>
      <c r="Q2224">
        <v>0.177554399999999</v>
      </c>
      <c r="R2224" s="1">
        <v>-9.1622820000000001E-5</v>
      </c>
      <c r="S2224">
        <v>-3.071777</v>
      </c>
      <c r="T2224">
        <v>-0.12830719999999901</v>
      </c>
      <c r="U2224">
        <v>0.17327879999999901</v>
      </c>
      <c r="V2224">
        <v>2.1081809999999999E-2</v>
      </c>
      <c r="W2224">
        <v>0.18779390000000001</v>
      </c>
      <c r="X2224">
        <v>0.98198220000000003</v>
      </c>
      <c r="Y2224">
        <v>7.7330250000000003E-2</v>
      </c>
      <c r="Z2224">
        <v>2.4951219999999998E-3</v>
      </c>
      <c r="AA2224">
        <v>0.99700239999999996</v>
      </c>
      <c r="AB2224">
        <v>51</v>
      </c>
      <c r="AC2224">
        <v>-26.021099999999901</v>
      </c>
      <c r="AD2224">
        <v>-1.1080833723175001</v>
      </c>
      <c r="AE2224">
        <v>1.5072999999999801</v>
      </c>
      <c r="AF2224">
        <v>2.0533795572212998</v>
      </c>
      <c r="AG2224">
        <v>-1.1080833723175001</v>
      </c>
      <c r="AH2224">
        <v>25.9365413031698</v>
      </c>
      <c r="AI2224">
        <v>92.438730694732001</v>
      </c>
      <c r="AJ2224">
        <v>85.473370966687199</v>
      </c>
      <c r="AK2224">
        <v>26.0412824403302</v>
      </c>
      <c r="AL2224">
        <v>79.175933542098804</v>
      </c>
      <c r="AM2224">
        <v>88.770127183060296</v>
      </c>
      <c r="AN2224">
        <v>1.0000000163534599</v>
      </c>
    </row>
    <row r="2225" spans="1:40" x14ac:dyDescent="0.25">
      <c r="A2225" t="str">
        <f>"20190312172934459"</f>
        <v>20190312172934459</v>
      </c>
      <c r="B2225" t="str">
        <f>"1552382974449673"</f>
        <v>1552382974449673</v>
      </c>
      <c r="C2225" t="s">
        <v>40</v>
      </c>
      <c r="D2225">
        <v>3.2632629999999998</v>
      </c>
      <c r="E2225">
        <v>0.52701589999999998</v>
      </c>
      <c r="F2225" t="s">
        <v>47</v>
      </c>
      <c r="G2225">
        <v>-362.8426</v>
      </c>
      <c r="H2225" s="1">
        <v>-2.4091169999999998E-8</v>
      </c>
      <c r="I2225">
        <v>286.05669999999998</v>
      </c>
      <c r="J2225">
        <v>-336.4692</v>
      </c>
      <c r="K2225">
        <v>1.1080650000000001</v>
      </c>
      <c r="L2225">
        <v>284.51400000000001</v>
      </c>
      <c r="M2225">
        <v>-0.99973009999999995</v>
      </c>
      <c r="N2225">
        <v>0</v>
      </c>
      <c r="O2225">
        <v>-2.0746089999999998E-2</v>
      </c>
      <c r="P2225">
        <v>-0.98413669999999998</v>
      </c>
      <c r="Q2225">
        <v>0.1774115</v>
      </c>
      <c r="R2225">
        <v>5.6597169999999999E-4</v>
      </c>
      <c r="S2225">
        <v>-3.071472</v>
      </c>
      <c r="T2225">
        <v>-0.1275868</v>
      </c>
      <c r="U2225">
        <v>0.1769104</v>
      </c>
      <c r="V2225">
        <v>2.1358080000000002E-2</v>
      </c>
      <c r="W2225">
        <v>0.1876534</v>
      </c>
      <c r="X2225">
        <v>0.98200310000000002</v>
      </c>
      <c r="Y2225">
        <v>7.8118129999999994E-2</v>
      </c>
      <c r="Z2225">
        <v>2.4812699999999998E-3</v>
      </c>
      <c r="AA2225">
        <v>0.99694099999999997</v>
      </c>
      <c r="AB2225">
        <v>51</v>
      </c>
      <c r="AC2225">
        <v>-26.3734</v>
      </c>
      <c r="AD2225">
        <v>-1.10806502409116</v>
      </c>
      <c r="AE2225">
        <v>1.54269999999996</v>
      </c>
      <c r="AF2225">
        <v>2.0858733152065199</v>
      </c>
      <c r="AG2225">
        <v>-1.10806502409116</v>
      </c>
      <c r="AH2225">
        <v>26.2894680789788</v>
      </c>
      <c r="AI2225">
        <v>92.405957765460897</v>
      </c>
      <c r="AJ2225">
        <v>85.463510512646494</v>
      </c>
      <c r="AK2225">
        <v>26.3953557934034</v>
      </c>
      <c r="AL2225">
        <v>79.184129423591699</v>
      </c>
      <c r="AM2225">
        <v>88.754041673113207</v>
      </c>
      <c r="AN2225">
        <v>1.0000000272612199</v>
      </c>
    </row>
    <row r="2226" spans="1:40" x14ac:dyDescent="0.25">
      <c r="A2226" t="str">
        <f>"20190312172934472"</f>
        <v>20190312172934472</v>
      </c>
      <c r="B2226" t="str">
        <f>"1552382974470171"</f>
        <v>1552382974470171</v>
      </c>
      <c r="C2226" t="s">
        <v>40</v>
      </c>
      <c r="D2226">
        <v>3.2540719999999999</v>
      </c>
      <c r="E2226">
        <v>0.52701999999999904</v>
      </c>
      <c r="F2226" t="s">
        <v>47</v>
      </c>
      <c r="G2226">
        <v>-363.09050000000002</v>
      </c>
      <c r="H2226" s="1">
        <v>1.078471E-7</v>
      </c>
      <c r="I2226">
        <v>286.06970000000001</v>
      </c>
      <c r="J2226">
        <v>-336.75740000000002</v>
      </c>
      <c r="K2226">
        <v>1.10805</v>
      </c>
      <c r="L2226">
        <v>284.50819999999999</v>
      </c>
      <c r="M2226">
        <v>-0.99973789999999996</v>
      </c>
      <c r="N2226">
        <v>0</v>
      </c>
      <c r="O2226">
        <v>-2.0368799999999999E-2</v>
      </c>
      <c r="P2226">
        <v>-0.98413629999999996</v>
      </c>
      <c r="Q2226">
        <v>0.17741170000000001</v>
      </c>
      <c r="R2226">
        <v>9.8634599999999992E-4</v>
      </c>
      <c r="S2226">
        <v>-3.0712890000000002</v>
      </c>
      <c r="T2226">
        <v>-0.1278368</v>
      </c>
      <c r="U2226">
        <v>0.17947389999999999</v>
      </c>
      <c r="V2226">
        <v>2.1412919999999998E-2</v>
      </c>
      <c r="W2226">
        <v>0.18765519999999999</v>
      </c>
      <c r="X2226">
        <v>0.98200149999999997</v>
      </c>
      <c r="Y2226">
        <v>7.8574210000000005E-2</v>
      </c>
      <c r="Z2226">
        <v>2.4800099999999999E-3</v>
      </c>
      <c r="AA2226">
        <v>0.99690520000000005</v>
      </c>
      <c r="AB2226">
        <v>51</v>
      </c>
      <c r="AC2226">
        <v>-26.333100000000002</v>
      </c>
      <c r="AD2226">
        <v>-1.1080498921528901</v>
      </c>
      <c r="AE2226">
        <v>1.5615000000000201</v>
      </c>
      <c r="AF2226">
        <v>2.0938845624350901</v>
      </c>
      <c r="AG2226">
        <v>-1.1080498921528901</v>
      </c>
      <c r="AH2226">
        <v>26.249514655932899</v>
      </c>
      <c r="AI2226">
        <v>92.409501560772199</v>
      </c>
      <c r="AJ2226">
        <v>85.439258274786496</v>
      </c>
      <c r="AK2226">
        <v>26.356197502605401</v>
      </c>
      <c r="AL2226">
        <v>79.184023762081793</v>
      </c>
      <c r="AM2226">
        <v>88.750841470269194</v>
      </c>
      <c r="AN2226">
        <v>0.99999996661610702</v>
      </c>
    </row>
    <row r="2227" spans="1:40" x14ac:dyDescent="0.25">
      <c r="A2227" t="str">
        <f>"20190312172934490"</f>
        <v>20190312172934490</v>
      </c>
      <c r="B2227" t="str">
        <f>"1552382974479932"</f>
        <v>1552382974479932</v>
      </c>
      <c r="C2227" t="s">
        <v>40</v>
      </c>
      <c r="D2227">
        <v>3.310079</v>
      </c>
      <c r="E2227">
        <v>0.52701999999999904</v>
      </c>
      <c r="F2227" t="s">
        <v>47</v>
      </c>
      <c r="G2227">
        <v>-363.53030000000001</v>
      </c>
      <c r="H2227" s="1">
        <v>3.4188489999999998E-7</v>
      </c>
      <c r="I2227">
        <v>286.084</v>
      </c>
      <c r="J2227">
        <v>-337.1678</v>
      </c>
      <c r="K2227">
        <v>1.108031</v>
      </c>
      <c r="L2227">
        <v>284.50009999999997</v>
      </c>
      <c r="M2227">
        <v>-0.99974859999999999</v>
      </c>
      <c r="N2227">
        <v>0</v>
      </c>
      <c r="O2227">
        <v>-1.9829949999999999E-2</v>
      </c>
      <c r="P2227">
        <v>-0.9841896</v>
      </c>
      <c r="Q2227">
        <v>0.17711160000000001</v>
      </c>
      <c r="R2227">
        <v>1.6111630000000001E-3</v>
      </c>
      <c r="S2227">
        <v>-3.0711059999999999</v>
      </c>
      <c r="T2227">
        <v>-0.12710360000000001</v>
      </c>
      <c r="U2227">
        <v>0.18075559999999999</v>
      </c>
      <c r="V2227">
        <v>2.1515619999999999E-2</v>
      </c>
      <c r="W2227">
        <v>0.18735879999999999</v>
      </c>
      <c r="X2227">
        <v>0.98205589999999998</v>
      </c>
      <c r="Y2227">
        <v>7.8456529999999997E-2</v>
      </c>
      <c r="Z2227">
        <v>2.441206E-3</v>
      </c>
      <c r="AA2227">
        <v>0.99691459999999998</v>
      </c>
      <c r="AB2227">
        <v>51</v>
      </c>
      <c r="AC2227">
        <v>-26.362500000000001</v>
      </c>
      <c r="AD2227">
        <v>-1.1080306581151</v>
      </c>
      <c r="AE2227">
        <v>1.5839000000000201</v>
      </c>
      <c r="AF2227">
        <v>2.1026830303453501</v>
      </c>
      <c r="AG2227">
        <v>-1.1080306581151</v>
      </c>
      <c r="AH2227">
        <v>26.279647518294802</v>
      </c>
      <c r="AI2227">
        <v>92.406653856970493</v>
      </c>
      <c r="AJ2227">
        <v>85.425404504076596</v>
      </c>
      <c r="AK2227">
        <v>26.386907388916299</v>
      </c>
      <c r="AL2227">
        <v>79.201313427121093</v>
      </c>
      <c r="AM2227">
        <v>88.7449217112719</v>
      </c>
      <c r="AN2227">
        <v>1.00000001628311</v>
      </c>
    </row>
    <row r="2228" spans="1:40" x14ac:dyDescent="0.25">
      <c r="A2228" t="str">
        <f>"20190312172934501"</f>
        <v>20190312172934501</v>
      </c>
      <c r="B2228" t="str">
        <f>"1552382974489350"</f>
        <v>1552382974489350</v>
      </c>
      <c r="C2228" t="s">
        <v>40</v>
      </c>
      <c r="D2228">
        <v>3.2494390000000002</v>
      </c>
      <c r="E2228">
        <v>0.51858740000000003</v>
      </c>
      <c r="F2228" t="s">
        <v>47</v>
      </c>
      <c r="G2228">
        <v>-363.74970000000002</v>
      </c>
      <c r="H2228" s="1">
        <v>4.5861940000000001E-7</v>
      </c>
      <c r="I2228">
        <v>286.08510000000001</v>
      </c>
      <c r="J2228">
        <v>-337.42880000000002</v>
      </c>
      <c r="K2228">
        <v>1.108023</v>
      </c>
      <c r="L2228">
        <v>284.495</v>
      </c>
      <c r="M2228">
        <v>-0.99975539999999996</v>
      </c>
      <c r="N2228">
        <v>0</v>
      </c>
      <c r="O2228">
        <v>-1.9486659999999999E-2</v>
      </c>
      <c r="P2228">
        <v>-0.9842263</v>
      </c>
      <c r="Q2228">
        <v>0.1769049</v>
      </c>
      <c r="R2228">
        <v>1.888582E-3</v>
      </c>
      <c r="S2228">
        <v>-3.0708920000000002</v>
      </c>
      <c r="T2228">
        <v>-0.1280057</v>
      </c>
      <c r="U2228">
        <v>0.1831055</v>
      </c>
      <c r="V2228">
        <v>2.1460110000000001E-2</v>
      </c>
      <c r="W2228">
        <v>0.1871545</v>
      </c>
      <c r="X2228">
        <v>0.98209610000000003</v>
      </c>
      <c r="Y2228">
        <v>7.8877169999999996E-2</v>
      </c>
      <c r="Z2228">
        <v>2.453097E-3</v>
      </c>
      <c r="AA2228">
        <v>0.99688129999999997</v>
      </c>
      <c r="AB2228">
        <v>51</v>
      </c>
      <c r="AC2228">
        <v>-26.320899999999899</v>
      </c>
      <c r="AD2228">
        <v>-1.1080225413806</v>
      </c>
      <c r="AE2228">
        <v>1.5901000000000001</v>
      </c>
      <c r="AF2228">
        <v>2.0990263017177901</v>
      </c>
      <c r="AG2228">
        <v>-1.1080225413806</v>
      </c>
      <c r="AH2228">
        <v>26.238585013249899</v>
      </c>
      <c r="AI2228">
        <v>92.410400822186702</v>
      </c>
      <c r="AJ2228">
        <v>85.4262100091441</v>
      </c>
      <c r="AK2228">
        <v>26.345720124245101</v>
      </c>
      <c r="AL2228">
        <v>79.213230071019296</v>
      </c>
      <c r="AM2228">
        <v>88.748209989175905</v>
      </c>
      <c r="AN2228">
        <v>1.0000000464133301</v>
      </c>
    </row>
    <row r="2229" spans="1:40" x14ac:dyDescent="0.25">
      <c r="A2229" t="str">
        <f>"20190312172934512"</f>
        <v>20190312172934512</v>
      </c>
      <c r="B2229" t="str">
        <f>"1552382974509837"</f>
        <v>1552382974509837</v>
      </c>
      <c r="C2229" t="s">
        <v>40</v>
      </c>
      <c r="D2229">
        <v>3.2694179999999999</v>
      </c>
      <c r="E2229">
        <v>0.51898880000000003</v>
      </c>
      <c r="F2229" t="s">
        <v>47</v>
      </c>
      <c r="G2229">
        <v>-389.18340000000001</v>
      </c>
      <c r="H2229" s="1">
        <v>3.3501770000000001E-6</v>
      </c>
      <c r="I2229">
        <v>286.52629999999999</v>
      </c>
      <c r="J2229">
        <v>-337.68669999999997</v>
      </c>
      <c r="K2229">
        <v>1.1080110000000001</v>
      </c>
      <c r="L2229">
        <v>284.49009999999998</v>
      </c>
      <c r="M2229">
        <v>-0.99976189999999998</v>
      </c>
      <c r="N2229">
        <v>0</v>
      </c>
      <c r="O2229">
        <v>-1.9146969999999999E-2</v>
      </c>
      <c r="P2229">
        <v>-0.98419710000000005</v>
      </c>
      <c r="Q2229">
        <v>0.17706469999999999</v>
      </c>
      <c r="R2229">
        <v>2.016679E-3</v>
      </c>
      <c r="S2229">
        <v>-3.059631</v>
      </c>
      <c r="T2229">
        <v>-6.5503950000000005E-2</v>
      </c>
      <c r="U2229">
        <v>0.1200867</v>
      </c>
      <c r="V2229">
        <v>2.1257680000000001E-2</v>
      </c>
      <c r="W2229">
        <v>0.1873166</v>
      </c>
      <c r="X2229">
        <v>0.98206959999999999</v>
      </c>
      <c r="Y2229">
        <v>5.8326900000000001E-2</v>
      </c>
      <c r="Z2229">
        <v>1.033808E-3</v>
      </c>
      <c r="AA2229">
        <v>0.99829699999999999</v>
      </c>
      <c r="AB2229">
        <v>51</v>
      </c>
      <c r="AC2229">
        <v>-51.496699999999997</v>
      </c>
      <c r="AD2229">
        <v>-1.108007649823</v>
      </c>
      <c r="AE2229">
        <v>2.0362</v>
      </c>
      <c r="AF2229">
        <v>3.0204903297708299</v>
      </c>
      <c r="AG2229">
        <v>-1.108007649823</v>
      </c>
      <c r="AH2229">
        <v>51.424499987061303</v>
      </c>
      <c r="AI2229">
        <v>91.232197975343894</v>
      </c>
      <c r="AJ2229">
        <v>86.638513930227603</v>
      </c>
      <c r="AK2229">
        <v>51.525044800597399</v>
      </c>
      <c r="AL2229">
        <v>79.203775238849303</v>
      </c>
      <c r="AM2229">
        <v>88.759980783357804</v>
      </c>
      <c r="AN2229">
        <v>1.0000000484193501</v>
      </c>
    </row>
    <row r="2230" spans="1:40" x14ac:dyDescent="0.25">
      <c r="A2230" t="str">
        <f>"20190312172934524"</f>
        <v>20190312172934524</v>
      </c>
      <c r="B2230" t="str">
        <f>"1552382974519597"</f>
        <v>1552382974519597</v>
      </c>
      <c r="C2230" t="s">
        <v>40</v>
      </c>
      <c r="D2230">
        <v>3.2611349999999999</v>
      </c>
      <c r="E2230">
        <v>0.51902079999999995</v>
      </c>
      <c r="F2230" t="s">
        <v>47</v>
      </c>
      <c r="G2230">
        <v>-393.85860000000002</v>
      </c>
      <c r="H2230" s="1">
        <v>5.1654709999999896E-7</v>
      </c>
      <c r="I2230">
        <v>286.7654</v>
      </c>
      <c r="J2230">
        <v>-337.95569999999998</v>
      </c>
      <c r="K2230">
        <v>1.108004</v>
      </c>
      <c r="L2230">
        <v>284.48500000000001</v>
      </c>
      <c r="M2230">
        <v>-0.9997684</v>
      </c>
      <c r="N2230">
        <v>0</v>
      </c>
      <c r="O2230">
        <v>-1.87926E-2</v>
      </c>
      <c r="P2230">
        <v>-0.98423709999999998</v>
      </c>
      <c r="Q2230">
        <v>0.17683589999999999</v>
      </c>
      <c r="R2230">
        <v>2.480534E-3</v>
      </c>
      <c r="S2230">
        <v>-3.0587460000000002</v>
      </c>
      <c r="T2230">
        <v>-6.033492E-2</v>
      </c>
      <c r="U2230">
        <v>0.12390139999999999</v>
      </c>
      <c r="V2230">
        <v>2.1377050000000002E-2</v>
      </c>
      <c r="W2230">
        <v>0.18709039999999999</v>
      </c>
      <c r="X2230">
        <v>0.98211009999999999</v>
      </c>
      <c r="Y2230">
        <v>5.9229980000000002E-2</v>
      </c>
      <c r="Z2230">
        <v>9.5441299999999998E-4</v>
      </c>
      <c r="AA2230">
        <v>0.99824389999999996</v>
      </c>
      <c r="AB2230">
        <v>51</v>
      </c>
      <c r="AC2230">
        <v>-55.902900000000002</v>
      </c>
      <c r="AD2230">
        <v>-1.1080034834529</v>
      </c>
      <c r="AE2230">
        <v>2.2803999999999802</v>
      </c>
      <c r="AF2230">
        <v>3.32931015397395</v>
      </c>
      <c r="AG2230">
        <v>-1.1080034834529</v>
      </c>
      <c r="AH2230">
        <v>55.828274616900799</v>
      </c>
      <c r="AI2230">
        <v>91.134963431213507</v>
      </c>
      <c r="AJ2230">
        <v>86.587217240993397</v>
      </c>
      <c r="AK2230">
        <v>55.938432446045397</v>
      </c>
      <c r="AL2230">
        <v>79.216968505089099</v>
      </c>
      <c r="AM2230">
        <v>88.753071200285902</v>
      </c>
      <c r="AN2230">
        <v>1.0000000222804299</v>
      </c>
    </row>
    <row r="2231" spans="1:40" x14ac:dyDescent="0.25">
      <c r="A2231" t="str">
        <f>"20190312172934535"</f>
        <v>20190312172934535</v>
      </c>
      <c r="B2231" t="str">
        <f>"1552382974529357"</f>
        <v>1552382974529357</v>
      </c>
      <c r="C2231" t="s">
        <v>40</v>
      </c>
      <c r="D2231">
        <v>3.2585359999999999</v>
      </c>
      <c r="E2231">
        <v>0.51902990000000004</v>
      </c>
      <c r="F2231" t="s">
        <v>47</v>
      </c>
      <c r="G2231">
        <v>-393.72489999999999</v>
      </c>
      <c r="H2231" s="1">
        <v>4.4540759999999999E-7</v>
      </c>
      <c r="I2231">
        <v>286.77370000000002</v>
      </c>
      <c r="J2231">
        <v>-338.22219999999999</v>
      </c>
      <c r="K2231">
        <v>1.107993</v>
      </c>
      <c r="L2231">
        <v>284.48020000000002</v>
      </c>
      <c r="M2231">
        <v>-0.99977499999999997</v>
      </c>
      <c r="N2231">
        <v>0</v>
      </c>
      <c r="O2231">
        <v>-1.8441829999999999E-2</v>
      </c>
      <c r="P2231">
        <v>-0.984205</v>
      </c>
      <c r="Q2231">
        <v>0.17700920000000001</v>
      </c>
      <c r="R2231">
        <v>2.9056279999999999E-3</v>
      </c>
      <c r="S2231">
        <v>-3.0586850000000001</v>
      </c>
      <c r="T2231">
        <v>-6.0768959999999997E-2</v>
      </c>
      <c r="U2231">
        <v>0.12551880000000001</v>
      </c>
      <c r="V2231">
        <v>2.1460429999999999E-2</v>
      </c>
      <c r="W2231">
        <v>0.1872655</v>
      </c>
      <c r="X2231">
        <v>0.98207489999999997</v>
      </c>
      <c r="Y2231">
        <v>5.9407349999999998E-2</v>
      </c>
      <c r="Z2231">
        <v>9.5608179999999996E-4</v>
      </c>
      <c r="AA2231">
        <v>0.99823340000000005</v>
      </c>
      <c r="AB2231">
        <v>51</v>
      </c>
      <c r="AC2231">
        <v>-55.502699999999997</v>
      </c>
      <c r="AD2231">
        <v>-1.1079925545923901</v>
      </c>
      <c r="AE2231">
        <v>2.2934999999999901</v>
      </c>
      <c r="AF2231">
        <v>3.3154185002190899</v>
      </c>
      <c r="AG2231">
        <v>-1.1079925545923901</v>
      </c>
      <c r="AH2231">
        <v>55.428909597232</v>
      </c>
      <c r="AI2231">
        <v>91.143115225249801</v>
      </c>
      <c r="AJ2231">
        <v>86.576995030218498</v>
      </c>
      <c r="AK2231">
        <v>55.539028317668098</v>
      </c>
      <c r="AL2231">
        <v>79.206755412833104</v>
      </c>
      <c r="AM2231">
        <v>88.748164315060293</v>
      </c>
      <c r="AN2231">
        <v>1.00000001337802</v>
      </c>
    </row>
    <row r="2232" spans="1:40" x14ac:dyDescent="0.25">
      <c r="A2232" t="str">
        <f>"20190312172934546"</f>
        <v>20190312172934546</v>
      </c>
      <c r="B2232" t="str">
        <f>"1552382974540093"</f>
        <v>1552382974540093</v>
      </c>
      <c r="C2232" t="s">
        <v>40</v>
      </c>
      <c r="D2232">
        <v>3.2518600000000002</v>
      </c>
      <c r="E2232">
        <v>0.51898279999999997</v>
      </c>
      <c r="F2232" t="s">
        <v>47</v>
      </c>
      <c r="G2232">
        <v>-394.00029999999998</v>
      </c>
      <c r="H2232" s="1">
        <v>5.9196620000000001E-7</v>
      </c>
      <c r="I2232">
        <v>286.78919999999999</v>
      </c>
      <c r="J2232">
        <v>-338.46359999999999</v>
      </c>
      <c r="K2232">
        <v>1.1079840000000001</v>
      </c>
      <c r="L2232">
        <v>284.47579999999999</v>
      </c>
      <c r="M2232">
        <v>-0.99978080000000003</v>
      </c>
      <c r="N2232">
        <v>0</v>
      </c>
      <c r="O2232">
        <v>-1.81242E-2</v>
      </c>
      <c r="P2232">
        <v>-0.98421139999999996</v>
      </c>
      <c r="Q2232">
        <v>0.1769724</v>
      </c>
      <c r="R2232">
        <v>3.01878E-3</v>
      </c>
      <c r="S2232">
        <v>-3.058624</v>
      </c>
      <c r="T2232">
        <v>-6.0757400000000003E-2</v>
      </c>
      <c r="U2232">
        <v>0.12661739999999999</v>
      </c>
      <c r="V2232">
        <v>2.1264390000000001E-2</v>
      </c>
      <c r="W2232">
        <v>0.18723090000000001</v>
      </c>
      <c r="X2232">
        <v>0.98208580000000001</v>
      </c>
      <c r="Y2232">
        <v>5.9449050000000003E-2</v>
      </c>
      <c r="Z2232">
        <v>9.5001929999999997E-4</v>
      </c>
      <c r="AA2232">
        <v>0.99823090000000003</v>
      </c>
      <c r="AB2232">
        <v>51</v>
      </c>
      <c r="AC2232">
        <v>-55.536700000000003</v>
      </c>
      <c r="AD2232">
        <v>-1.1079834080338</v>
      </c>
      <c r="AE2232">
        <v>2.3134000000000001</v>
      </c>
      <c r="AF2232">
        <v>3.3183150496978802</v>
      </c>
      <c r="AG2232">
        <v>-1.1079834080338</v>
      </c>
      <c r="AH2232">
        <v>55.4636084272163</v>
      </c>
      <c r="AI2232">
        <v>91.142389829619901</v>
      </c>
      <c r="AJ2232">
        <v>86.576149853876203</v>
      </c>
      <c r="AK2232">
        <v>55.573831087744097</v>
      </c>
      <c r="AL2232">
        <v>79.208773957166997</v>
      </c>
      <c r="AM2232">
        <v>88.759609947589496</v>
      </c>
      <c r="AN2232">
        <v>1.00000005137925</v>
      </c>
    </row>
    <row r="2233" spans="1:40" x14ac:dyDescent="0.25">
      <c r="A2233" t="str">
        <f>"20190312172934557"</f>
        <v>20190312172934557</v>
      </c>
      <c r="B2233" t="str">
        <f>"1552382974549853"</f>
        <v>1552382974549853</v>
      </c>
      <c r="C2233" t="s">
        <v>40</v>
      </c>
      <c r="D2233">
        <v>3.2762910000000001</v>
      </c>
      <c r="E2233">
        <v>0.51894240000000003</v>
      </c>
      <c r="F2233" t="s">
        <v>47</v>
      </c>
      <c r="G2233">
        <v>-394.7647</v>
      </c>
      <c r="H2233" s="1">
        <v>9.9874929999999997E-7</v>
      </c>
      <c r="I2233">
        <v>286.80259999999998</v>
      </c>
      <c r="J2233">
        <v>-338.72829999999999</v>
      </c>
      <c r="K2233">
        <v>1.1079760000000001</v>
      </c>
      <c r="L2233">
        <v>284.47120000000001</v>
      </c>
      <c r="M2233">
        <v>-0.99978710000000004</v>
      </c>
      <c r="N2233">
        <v>0</v>
      </c>
      <c r="O2233">
        <v>-1.7775340000000001E-2</v>
      </c>
      <c r="P2233">
        <v>-0.98424599999999995</v>
      </c>
      <c r="Q2233">
        <v>0.17677300000000001</v>
      </c>
      <c r="R2233">
        <v>3.3414370000000001E-3</v>
      </c>
      <c r="S2233">
        <v>-3.0585939999999998</v>
      </c>
      <c r="T2233">
        <v>-6.0191870000000001E-2</v>
      </c>
      <c r="U2233">
        <v>0.12640380000000001</v>
      </c>
      <c r="V2233">
        <v>2.1246919999999999E-2</v>
      </c>
      <c r="W2233">
        <v>0.18703410000000001</v>
      </c>
      <c r="X2233">
        <v>0.98212359999999999</v>
      </c>
      <c r="Y2233">
        <v>5.9031960000000001E-2</v>
      </c>
      <c r="Z2233">
        <v>9.3022419999999996E-4</v>
      </c>
      <c r="AA2233">
        <v>0.99825569999999997</v>
      </c>
      <c r="AB2233">
        <v>51</v>
      </c>
      <c r="AC2233">
        <v>-56.0364</v>
      </c>
      <c r="AD2233">
        <v>-1.1079750012506999</v>
      </c>
      <c r="AE2233">
        <v>2.3313999999999702</v>
      </c>
      <c r="AF2233">
        <v>3.3258543688892601</v>
      </c>
      <c r="AG2233">
        <v>-1.1079750012506999</v>
      </c>
      <c r="AH2233">
        <v>55.964260586463404</v>
      </c>
      <c r="AI2233">
        <v>91.132191113590494</v>
      </c>
      <c r="AJ2233">
        <v>86.5990158778812</v>
      </c>
      <c r="AK2233">
        <v>56.073945633208702</v>
      </c>
      <c r="AL2233">
        <v>79.220251715673498</v>
      </c>
      <c r="AM2233">
        <v>88.760676372157405</v>
      </c>
      <c r="AN2233">
        <v>0.99999997592462797</v>
      </c>
    </row>
    <row r="2234" spans="1:40" x14ac:dyDescent="0.25">
      <c r="A2234" t="str">
        <f>"20190312172934568"</f>
        <v>20190312172934568</v>
      </c>
      <c r="B2234" t="str">
        <f>"1552382974559613"</f>
        <v>1552382974559613</v>
      </c>
      <c r="C2234" t="s">
        <v>40</v>
      </c>
      <c r="D2234">
        <v>3.254197</v>
      </c>
      <c r="E2234">
        <v>0.51905020000000002</v>
      </c>
      <c r="F2234" t="s">
        <v>47</v>
      </c>
      <c r="G2234">
        <v>-394.64089999999999</v>
      </c>
      <c r="H2234" s="1">
        <v>9.3286779999999998E-7</v>
      </c>
      <c r="I2234">
        <v>286.79539999999997</v>
      </c>
      <c r="J2234">
        <v>-338.97320000000002</v>
      </c>
      <c r="K2234">
        <v>1.1079669999999999</v>
      </c>
      <c r="L2234">
        <v>284.46690000000001</v>
      </c>
      <c r="M2234">
        <v>-0.99979280000000004</v>
      </c>
      <c r="N2234">
        <v>0</v>
      </c>
      <c r="O2234">
        <v>-1.7452479999999999E-2</v>
      </c>
      <c r="P2234">
        <v>-0.98424480000000003</v>
      </c>
      <c r="Q2234">
        <v>0.17677689999999999</v>
      </c>
      <c r="R2234">
        <v>3.5069210000000001E-3</v>
      </c>
      <c r="S2234">
        <v>-3.0584410000000002</v>
      </c>
      <c r="T2234">
        <v>-6.0606720000000003E-2</v>
      </c>
      <c r="U2234">
        <v>0.1271362</v>
      </c>
      <c r="V2234">
        <v>2.109751E-2</v>
      </c>
      <c r="W2234">
        <v>0.1870407</v>
      </c>
      <c r="X2234">
        <v>0.98212560000000004</v>
      </c>
      <c r="Y2234">
        <v>5.8950170000000003E-2</v>
      </c>
      <c r="Z2234">
        <v>9.2947120000000003E-4</v>
      </c>
      <c r="AA2234">
        <v>0.9982605</v>
      </c>
      <c r="AB2234">
        <v>51</v>
      </c>
      <c r="AC2234">
        <v>-55.667699999999897</v>
      </c>
      <c r="AD2234">
        <v>-1.1079660671322</v>
      </c>
      <c r="AE2234">
        <v>2.32849999999996</v>
      </c>
      <c r="AF2234">
        <v>3.2984337111305502</v>
      </c>
      <c r="AG2234">
        <v>-1.1079660671322</v>
      </c>
      <c r="AH2234">
        <v>55.596594756775801</v>
      </c>
      <c r="AI2234">
        <v>91.139674006087702</v>
      </c>
      <c r="AJ2234">
        <v>86.604736915514394</v>
      </c>
      <c r="AK2234">
        <v>55.705373190579998</v>
      </c>
      <c r="AL2234">
        <v>79.219867156006799</v>
      </c>
      <c r="AM2234">
        <v>88.769391208419293</v>
      </c>
      <c r="AN2234">
        <v>1.00000001128002</v>
      </c>
    </row>
    <row r="2235" spans="1:40" x14ac:dyDescent="0.25">
      <c r="A2235" t="str">
        <f>"20190312172934579"</f>
        <v>20190312172934579</v>
      </c>
      <c r="B2235" t="str">
        <f>"1552382974569373"</f>
        <v>1552382974569373</v>
      </c>
      <c r="C2235" t="s">
        <v>40</v>
      </c>
      <c r="D2235">
        <v>3.2363680000000001</v>
      </c>
      <c r="E2235">
        <v>0.51901949999999997</v>
      </c>
      <c r="F2235" t="s">
        <v>47</v>
      </c>
      <c r="G2235">
        <v>-395.47969999999998</v>
      </c>
      <c r="H2235" s="1">
        <v>1.379235E-6</v>
      </c>
      <c r="I2235">
        <v>286.8424</v>
      </c>
      <c r="J2235">
        <v>-339.23219999999998</v>
      </c>
      <c r="K2235">
        <v>1.107961</v>
      </c>
      <c r="L2235">
        <v>284.46249999999998</v>
      </c>
      <c r="M2235">
        <v>-0.99979859999999998</v>
      </c>
      <c r="N2235">
        <v>0</v>
      </c>
      <c r="O2235">
        <v>-1.711066E-2</v>
      </c>
      <c r="P2235">
        <v>-0.98429560000000005</v>
      </c>
      <c r="Q2235">
        <v>0.17648610000000001</v>
      </c>
      <c r="R2235">
        <v>3.8351940000000001E-3</v>
      </c>
      <c r="S2235">
        <v>-3.0583800000000001</v>
      </c>
      <c r="T2235">
        <v>-5.9967989999999999E-2</v>
      </c>
      <c r="U2235">
        <v>0.12857060000000001</v>
      </c>
      <c r="V2235">
        <v>2.1092159999999999E-2</v>
      </c>
      <c r="W2235">
        <v>0.1867521</v>
      </c>
      <c r="X2235">
        <v>0.98218059999999996</v>
      </c>
      <c r="Y2235">
        <v>5.9077419999999999E-2</v>
      </c>
      <c r="Z2235">
        <v>9.1423470000000001E-4</v>
      </c>
      <c r="AA2235">
        <v>0.99825299999999995</v>
      </c>
      <c r="AB2235">
        <v>51</v>
      </c>
      <c r="AC2235">
        <v>-56.247500000000002</v>
      </c>
      <c r="AD2235">
        <v>-1.107959620765</v>
      </c>
      <c r="AE2235">
        <v>2.3799000000000201</v>
      </c>
      <c r="AF2235">
        <v>3.3407424075093899</v>
      </c>
      <c r="AG2235">
        <v>-1.107959620765</v>
      </c>
      <c r="AH2235">
        <v>56.176782544241497</v>
      </c>
      <c r="AI2235">
        <v>91.127890700245004</v>
      </c>
      <c r="AJ2235">
        <v>86.596720761969706</v>
      </c>
      <c r="AK2235">
        <v>56.286934819526003</v>
      </c>
      <c r="AL2235">
        <v>79.236698950010904</v>
      </c>
      <c r="AM2235">
        <v>88.769772048519897</v>
      </c>
      <c r="AN2235">
        <v>0.99999997854211697</v>
      </c>
    </row>
    <row r="2236" spans="1:40" x14ac:dyDescent="0.25">
      <c r="A2236" t="str">
        <f>"20190312172934591"</f>
        <v>20190312172934591</v>
      </c>
      <c r="B2236" t="str">
        <f>"1552382974580109"</f>
        <v>1552382974580109</v>
      </c>
      <c r="C2236" t="s">
        <v>40</v>
      </c>
      <c r="D2236">
        <v>3.2798340000000001</v>
      </c>
      <c r="E2236">
        <v>0.51907619999999999</v>
      </c>
      <c r="F2236" t="s">
        <v>47</v>
      </c>
      <c r="G2236">
        <v>-394.63600000000002</v>
      </c>
      <c r="H2236" s="1">
        <v>9.3028670000000005E-7</v>
      </c>
      <c r="I2236">
        <v>286.80549999999999</v>
      </c>
      <c r="J2236">
        <v>-339.48579999999998</v>
      </c>
      <c r="K2236">
        <v>1.1079559999999999</v>
      </c>
      <c r="L2236">
        <v>284.45830000000001</v>
      </c>
      <c r="M2236">
        <v>-0.99980429999999998</v>
      </c>
      <c r="N2236">
        <v>0</v>
      </c>
      <c r="O2236">
        <v>-1.6775890000000002E-2</v>
      </c>
      <c r="P2236">
        <v>-0.98428599999999999</v>
      </c>
      <c r="Q2236">
        <v>0.17654</v>
      </c>
      <c r="R2236">
        <v>3.9027929999999999E-3</v>
      </c>
      <c r="S2236">
        <v>-3.0583499999999999</v>
      </c>
      <c r="T2236">
        <v>-6.1160560000000003E-2</v>
      </c>
      <c r="U2236">
        <v>0.12933349999999999</v>
      </c>
      <c r="V2236">
        <v>2.0832690000000001E-2</v>
      </c>
      <c r="W2236">
        <v>0.1868088</v>
      </c>
      <c r="X2236">
        <v>0.98217540000000003</v>
      </c>
      <c r="Y2236">
        <v>5.8991660000000001E-2</v>
      </c>
      <c r="Z2236">
        <v>9.2486779999999995E-4</v>
      </c>
      <c r="AA2236">
        <v>0.99825810000000004</v>
      </c>
      <c r="AB2236">
        <v>51</v>
      </c>
      <c r="AC2236">
        <v>-55.150199999999899</v>
      </c>
      <c r="AD2236">
        <v>-1.1079550697133</v>
      </c>
      <c r="AE2236">
        <v>2.34719999999998</v>
      </c>
      <c r="AF2236">
        <v>3.2707964968740701</v>
      </c>
      <c r="AG2236">
        <v>-1.1079550697133</v>
      </c>
      <c r="AH2236">
        <v>55.080869202750399</v>
      </c>
      <c r="AI2236">
        <v>91.150326919632207</v>
      </c>
      <c r="AJ2236">
        <v>86.601668965300405</v>
      </c>
      <c r="AK2236">
        <v>55.189019073462099</v>
      </c>
      <c r="AL2236">
        <v>79.233392563403797</v>
      </c>
      <c r="AM2236">
        <v>88.784894980455206</v>
      </c>
      <c r="AN2236">
        <v>1.00000002254761</v>
      </c>
    </row>
    <row r="2237" spans="1:40" x14ac:dyDescent="0.25">
      <c r="A2237" t="str">
        <f>"20190312172934602"</f>
        <v>20190312172934602</v>
      </c>
      <c r="B2237" t="str">
        <f>"1552382974599296"</f>
        <v>1552382974599296</v>
      </c>
      <c r="C2237" t="s">
        <v>40</v>
      </c>
      <c r="D2237">
        <v>3.2741319999999998</v>
      </c>
      <c r="E2237">
        <v>0.51913429999999905</v>
      </c>
      <c r="F2237" t="s">
        <v>47</v>
      </c>
      <c r="G2237">
        <v>-394.6388</v>
      </c>
      <c r="H2237" s="1">
        <v>9.317319E-7</v>
      </c>
      <c r="I2237">
        <v>286.80430000000001</v>
      </c>
      <c r="J2237">
        <v>-339.75869999999998</v>
      </c>
      <c r="K2237">
        <v>1.1079540000000001</v>
      </c>
      <c r="L2237">
        <v>284.4538</v>
      </c>
      <c r="M2237">
        <v>-0.99981030000000004</v>
      </c>
      <c r="N2237">
        <v>0</v>
      </c>
      <c r="O2237">
        <v>-1.6415490000000001E-2</v>
      </c>
      <c r="P2237">
        <v>-0.98427290000000001</v>
      </c>
      <c r="Q2237">
        <v>0.17660290000000001</v>
      </c>
      <c r="R2237">
        <v>4.313524E-3</v>
      </c>
      <c r="S2237">
        <v>-3.0584410000000002</v>
      </c>
      <c r="T2237">
        <v>-6.1440349999999998E-2</v>
      </c>
      <c r="U2237">
        <v>0.1300964</v>
      </c>
      <c r="V2237">
        <v>2.0890809999999999E-2</v>
      </c>
      <c r="W2237">
        <v>0.18687390000000001</v>
      </c>
      <c r="X2237">
        <v>0.98216179999999997</v>
      </c>
      <c r="Y2237">
        <v>5.887908E-2</v>
      </c>
      <c r="Z2237">
        <v>9.2069829999999995E-4</v>
      </c>
      <c r="AA2237">
        <v>0.9982647</v>
      </c>
      <c r="AB2237">
        <v>51</v>
      </c>
      <c r="AC2237">
        <v>-54.880099999999999</v>
      </c>
      <c r="AD2237">
        <v>-1.1079530682681</v>
      </c>
      <c r="AE2237">
        <v>2.35050000000001</v>
      </c>
      <c r="AF2237">
        <v>3.2497943635429301</v>
      </c>
      <c r="AG2237">
        <v>-1.1079530682681</v>
      </c>
      <c r="AH2237">
        <v>54.8118184361552</v>
      </c>
      <c r="AI2237">
        <v>91.1559760942515</v>
      </c>
      <c r="AJ2237">
        <v>86.606903715048603</v>
      </c>
      <c r="AK2237">
        <v>54.919251303025298</v>
      </c>
      <c r="AL2237">
        <v>79.229595946832703</v>
      </c>
      <c r="AM2237">
        <v>88.781489177600506</v>
      </c>
      <c r="AN2237">
        <v>1.00000004091145</v>
      </c>
    </row>
    <row r="2238" spans="1:40" x14ac:dyDescent="0.25">
      <c r="A2238" t="str">
        <f>"20190312172934613"</f>
        <v>20190312172934613</v>
      </c>
      <c r="B2238" t="str">
        <f>"1552382974610032"</f>
        <v>1552382974610032</v>
      </c>
      <c r="C2238" t="s">
        <v>40</v>
      </c>
      <c r="D2238">
        <v>3.2416320000000001</v>
      </c>
      <c r="E2238">
        <v>0.51920549999999999</v>
      </c>
      <c r="F2238" t="s">
        <v>47</v>
      </c>
      <c r="G2238">
        <v>-393.65769999999998</v>
      </c>
      <c r="H2238" s="1">
        <v>4.0967720000000001E-7</v>
      </c>
      <c r="I2238">
        <v>286.77969999999999</v>
      </c>
      <c r="J2238">
        <v>-340.01729999999998</v>
      </c>
      <c r="K2238">
        <v>1.107947</v>
      </c>
      <c r="L2238">
        <v>284.44979999999998</v>
      </c>
      <c r="M2238">
        <v>-0.99981569999999997</v>
      </c>
      <c r="N2238">
        <v>0</v>
      </c>
      <c r="O2238">
        <v>-1.607345E-2</v>
      </c>
      <c r="P2238">
        <v>-0.98424710000000004</v>
      </c>
      <c r="Q2238">
        <v>0.17673549999999999</v>
      </c>
      <c r="R2238">
        <v>4.7431359999999898E-3</v>
      </c>
      <c r="S2238">
        <v>-3.0586549999999999</v>
      </c>
      <c r="T2238">
        <v>-6.2873960000000007E-2</v>
      </c>
      <c r="U2238">
        <v>0.13198850000000001</v>
      </c>
      <c r="V2238">
        <v>2.098566E-2</v>
      </c>
      <c r="W2238">
        <v>0.1870088</v>
      </c>
      <c r="X2238">
        <v>0.98213399999999995</v>
      </c>
      <c r="Y2238">
        <v>5.9150330000000001E-2</v>
      </c>
      <c r="Z2238">
        <v>9.3785769999999997E-4</v>
      </c>
      <c r="AA2238">
        <v>0.99824860000000004</v>
      </c>
      <c r="AB2238">
        <v>51</v>
      </c>
      <c r="AC2238">
        <v>-53.6404</v>
      </c>
      <c r="AD2238">
        <v>-1.1079465903228001</v>
      </c>
      <c r="AE2238">
        <v>2.3298999999999999</v>
      </c>
      <c r="AF2238">
        <v>3.1904741821393601</v>
      </c>
      <c r="AG2238">
        <v>-1.1079465903228001</v>
      </c>
      <c r="AH2238">
        <v>53.573205025013401</v>
      </c>
      <c r="AI2238">
        <v>91.182669414307298</v>
      </c>
      <c r="AJ2238">
        <v>86.5918586461095</v>
      </c>
      <c r="AK2238">
        <v>53.679558193096398</v>
      </c>
      <c r="AL2238">
        <v>79.221726960399295</v>
      </c>
      <c r="AM2238">
        <v>88.7759238472254</v>
      </c>
      <c r="AN2238">
        <v>0.99999994157953598</v>
      </c>
    </row>
    <row r="2239" spans="1:40" x14ac:dyDescent="0.25">
      <c r="A2239" t="str">
        <f>"20190312172934625"</f>
        <v>20190312172934625</v>
      </c>
      <c r="B2239" t="str">
        <f>"1552382974619792"</f>
        <v>1552382974619792</v>
      </c>
      <c r="C2239" t="s">
        <v>40</v>
      </c>
      <c r="D2239">
        <v>3.2446380000000001</v>
      </c>
      <c r="E2239">
        <v>0.51920549999999999</v>
      </c>
      <c r="F2239" t="s">
        <v>47</v>
      </c>
      <c r="G2239">
        <v>-392.68900000000002</v>
      </c>
      <c r="H2239" s="1">
        <v>-1.058483E-7</v>
      </c>
      <c r="I2239">
        <v>286.75709999999998</v>
      </c>
      <c r="J2239">
        <v>-340.2817</v>
      </c>
      <c r="K2239">
        <v>1.1079429999999999</v>
      </c>
      <c r="L2239">
        <v>284.44560000000001</v>
      </c>
      <c r="M2239">
        <v>-0.99982130000000002</v>
      </c>
      <c r="N2239">
        <v>0</v>
      </c>
      <c r="O2239">
        <v>-1.5723790000000001E-2</v>
      </c>
      <c r="P2239">
        <v>-0.98425320000000005</v>
      </c>
      <c r="Q2239">
        <v>0.17668889999999901</v>
      </c>
      <c r="R2239">
        <v>5.1796919999999996E-3</v>
      </c>
      <c r="S2239">
        <v>-3.0589599999999999</v>
      </c>
      <c r="T2239">
        <v>-6.4345120000000006E-2</v>
      </c>
      <c r="U2239">
        <v>0.1340027</v>
      </c>
      <c r="V2239">
        <v>2.1079830000000001E-2</v>
      </c>
      <c r="W2239">
        <v>0.1869644</v>
      </c>
      <c r="X2239">
        <v>0.98214049999999997</v>
      </c>
      <c r="Y2239">
        <v>5.9452240000000003E-2</v>
      </c>
      <c r="Z2239">
        <v>9.5551019999999998E-4</v>
      </c>
      <c r="AA2239">
        <v>0.99823070000000003</v>
      </c>
      <c r="AB2239">
        <v>51</v>
      </c>
      <c r="AC2239">
        <v>-52.407299999999999</v>
      </c>
      <c r="AD2239">
        <v>-1.1079431058483</v>
      </c>
      <c r="AE2239">
        <v>2.3114999999999601</v>
      </c>
      <c r="AF2239">
        <v>3.1339030115844899</v>
      </c>
      <c r="AG2239">
        <v>-1.1079431058483</v>
      </c>
      <c r="AH2239">
        <v>52.341124781051803</v>
      </c>
      <c r="AI2239">
        <v>91.210473667685704</v>
      </c>
      <c r="AJ2239">
        <v>86.573529788857002</v>
      </c>
      <c r="AK2239">
        <v>52.446565467697198</v>
      </c>
      <c r="AL2239">
        <v>79.224317247247896</v>
      </c>
      <c r="AM2239">
        <v>88.770440806707398</v>
      </c>
      <c r="AN2239">
        <v>1.0000000039202099</v>
      </c>
    </row>
    <row r="2240" spans="1:40" x14ac:dyDescent="0.25">
      <c r="A2240" t="str">
        <f>"20190312172934639"</f>
        <v>20190312172934639</v>
      </c>
      <c r="B2240" t="str">
        <f>"1552382974629552"</f>
        <v>1552382974629552</v>
      </c>
      <c r="C2240" t="s">
        <v>40</v>
      </c>
      <c r="D2240">
        <v>2.7717109999999998</v>
      </c>
      <c r="E2240">
        <v>0.52360850000000003</v>
      </c>
      <c r="F2240" t="s">
        <v>47</v>
      </c>
      <c r="G2240">
        <v>-392.82780000000002</v>
      </c>
      <c r="H2240" s="1">
        <v>-3.1984649999999999E-8</v>
      </c>
      <c r="I2240">
        <v>286.77269999999999</v>
      </c>
      <c r="J2240">
        <v>-340.60969999999998</v>
      </c>
      <c r="K2240">
        <v>1.107939</v>
      </c>
      <c r="L2240">
        <v>284.44060000000002</v>
      </c>
      <c r="M2240">
        <v>-0.99982789999999999</v>
      </c>
      <c r="N2240">
        <v>0</v>
      </c>
      <c r="O2240">
        <v>-1.528902E-2</v>
      </c>
      <c r="P2240">
        <v>-0.98426599999999997</v>
      </c>
      <c r="Q2240">
        <v>0.17660429999999999</v>
      </c>
      <c r="R2240">
        <v>5.5939719999999896E-3</v>
      </c>
      <c r="S2240">
        <v>-3.0588380000000002</v>
      </c>
      <c r="T2240">
        <v>-6.4496159999999997E-2</v>
      </c>
      <c r="U2240">
        <v>0.13546749999999999</v>
      </c>
      <c r="V2240">
        <v>2.1068110000000001E-2</v>
      </c>
      <c r="W2240">
        <v>0.18688279999999999</v>
      </c>
      <c r="X2240">
        <v>0.98215629999999998</v>
      </c>
      <c r="Y2240">
        <v>5.9497010000000003E-2</v>
      </c>
      <c r="Z2240">
        <v>9.4908950000000003E-4</v>
      </c>
      <c r="AA2240">
        <v>0.998228</v>
      </c>
      <c r="AB2240">
        <v>52</v>
      </c>
      <c r="AC2240">
        <v>-52.2181</v>
      </c>
      <c r="AD2240">
        <v>-1.1079390319846401</v>
      </c>
      <c r="AE2240">
        <v>2.3320999999999601</v>
      </c>
      <c r="AF2240">
        <v>3.1288292965107698</v>
      </c>
      <c r="AG2240">
        <v>-1.1079390319846401</v>
      </c>
      <c r="AH2240">
        <v>52.152906735916801</v>
      </c>
      <c r="AI2240">
        <v>91.214827836818202</v>
      </c>
      <c r="AJ2240">
        <v>86.566747416896803</v>
      </c>
      <c r="AK2240">
        <v>52.2584230786821</v>
      </c>
      <c r="AL2240">
        <v>79.229076662786298</v>
      </c>
      <c r="AM2240">
        <v>88.771143972375398</v>
      </c>
      <c r="AN2240">
        <v>1.00000002191225</v>
      </c>
    </row>
    <row r="2241" spans="1:40" x14ac:dyDescent="0.25">
      <c r="A2241" t="str">
        <f>"20190312172934747"</f>
        <v>20190312172934747</v>
      </c>
      <c r="B2241" t="str">
        <f>"1552382974739395"</f>
        <v>1552382974739395</v>
      </c>
      <c r="C2241" t="s">
        <v>40</v>
      </c>
      <c r="D2241">
        <v>3.3514170000000001</v>
      </c>
      <c r="E2241">
        <v>0.50535450000000004</v>
      </c>
      <c r="F2241" t="s">
        <v>42</v>
      </c>
      <c r="G2241">
        <v>-343.73140000000001</v>
      </c>
      <c r="H2241">
        <v>1.0273829999999999</v>
      </c>
      <c r="I2241">
        <v>284.43560000000002</v>
      </c>
      <c r="J2241">
        <v>-343.08839999999998</v>
      </c>
      <c r="K2241">
        <v>1.1079129999999999</v>
      </c>
      <c r="L2241">
        <v>284.40750000000003</v>
      </c>
      <c r="M2241">
        <v>-0.99987269999999995</v>
      </c>
      <c r="N2241">
        <v>0</v>
      </c>
      <c r="O2241">
        <v>-1.2002260000000001E-2</v>
      </c>
      <c r="P2241">
        <v>-0.98425300000000004</v>
      </c>
      <c r="Q2241">
        <v>0.17658270000000001</v>
      </c>
      <c r="R2241">
        <v>8.0588710000000004E-3</v>
      </c>
      <c r="S2241">
        <v>-3.0974119999999998</v>
      </c>
      <c r="T2241">
        <v>-0.2782406</v>
      </c>
      <c r="U2241">
        <v>8.54187E-2</v>
      </c>
      <c r="V2241">
        <v>2.0308030000000001E-2</v>
      </c>
      <c r="W2241">
        <v>0.18688660000000001</v>
      </c>
      <c r="X2241">
        <v>0.98217160000000003</v>
      </c>
      <c r="Y2241">
        <v>3.9356679999999998E-2</v>
      </c>
      <c r="Z2241">
        <v>2.8396990000000002E-3</v>
      </c>
      <c r="AA2241">
        <v>0.99922120000000003</v>
      </c>
      <c r="AB2241">
        <v>52</v>
      </c>
      <c r="AC2241">
        <v>-0.64300000000002899</v>
      </c>
      <c r="AD2241">
        <v>-8.0529999999999893E-2</v>
      </c>
      <c r="AE2241">
        <v>2.80999999999949E-2</v>
      </c>
      <c r="AF2241">
        <v>3.5263785953968403E-2</v>
      </c>
      <c r="AG2241">
        <v>-8.0529999999999893E-2</v>
      </c>
      <c r="AH2241">
        <v>0.63271103832144204</v>
      </c>
      <c r="AI2241">
        <v>97.2423542589231</v>
      </c>
      <c r="AJ2241">
        <v>86.809953047155005</v>
      </c>
      <c r="AK2241">
        <v>0.63878938118413098</v>
      </c>
      <c r="AL2241">
        <v>79.228855172376001</v>
      </c>
      <c r="AM2241">
        <v>88.815483328598802</v>
      </c>
      <c r="AN2241">
        <v>1.0000000345942901</v>
      </c>
    </row>
    <row r="2242" spans="1:40" x14ac:dyDescent="0.25">
      <c r="A2242" t="str">
        <f>"20190312172934757"</f>
        <v>20190312172934757</v>
      </c>
      <c r="B2242" t="str">
        <f>"1552382974750131"</f>
        <v>1552382974750131</v>
      </c>
      <c r="C2242" t="s">
        <v>40</v>
      </c>
      <c r="D2242">
        <v>3.2261709999999999</v>
      </c>
      <c r="E2242">
        <v>0.50149999999999995</v>
      </c>
      <c r="F2242" t="s">
        <v>42</v>
      </c>
      <c r="G2242">
        <v>-344.18610000000001</v>
      </c>
      <c r="H2242">
        <v>1.0099830000000001</v>
      </c>
      <c r="I2242">
        <v>284.41590000000002</v>
      </c>
      <c r="J2242">
        <v>-343.35079999999999</v>
      </c>
      <c r="K2242">
        <v>1.1079110000000001</v>
      </c>
      <c r="L2242">
        <v>284.40449999999998</v>
      </c>
      <c r="M2242">
        <v>-0.99987669999999995</v>
      </c>
      <c r="N2242">
        <v>0</v>
      </c>
      <c r="O2242">
        <v>-1.165417E-2</v>
      </c>
      <c r="P2242">
        <v>-0.98425510000000005</v>
      </c>
      <c r="Q2242">
        <v>0.17656769999999999</v>
      </c>
      <c r="R2242">
        <v>8.1065689999999992E-3</v>
      </c>
      <c r="S2242">
        <v>-3.0973820000000001</v>
      </c>
      <c r="T2242">
        <v>-0.27634789999999998</v>
      </c>
      <c r="U2242">
        <v>2.3162840000000001E-2</v>
      </c>
      <c r="V2242">
        <v>2.0013739999999999E-2</v>
      </c>
      <c r="W2242">
        <v>0.18687529999999999</v>
      </c>
      <c r="X2242">
        <v>0.98217980000000005</v>
      </c>
      <c r="Y2242">
        <v>1.9010180000000002E-2</v>
      </c>
      <c r="Z2242">
        <v>1.8841089999999999E-3</v>
      </c>
      <c r="AA2242">
        <v>0.99981750000000003</v>
      </c>
      <c r="AB2242">
        <v>52</v>
      </c>
      <c r="AC2242">
        <v>-0.83530000000001703</v>
      </c>
      <c r="AD2242">
        <v>-9.7928000000000001E-2</v>
      </c>
      <c r="AE2242">
        <v>1.14000000000373E-2</v>
      </c>
      <c r="AF2242">
        <v>2.0848001197358301E-2</v>
      </c>
      <c r="AG2242">
        <v>-9.7928000000000001E-2</v>
      </c>
      <c r="AH2242">
        <v>0.82378993325491801</v>
      </c>
      <c r="AI2242">
        <v>96.777070601153497</v>
      </c>
      <c r="AJ2242">
        <v>88.550300850973997</v>
      </c>
      <c r="AK2242">
        <v>0.82985202685181603</v>
      </c>
      <c r="AL2242">
        <v>79.229514322913801</v>
      </c>
      <c r="AM2242">
        <v>88.832653487829404</v>
      </c>
      <c r="AN2242">
        <v>1.00000004353345</v>
      </c>
    </row>
    <row r="2243" spans="1:40" x14ac:dyDescent="0.25">
      <c r="A2243" t="str">
        <f>"20190312172934781"</f>
        <v>20190312172934781</v>
      </c>
      <c r="B2243" t="str">
        <f>"1552382974769651"</f>
        <v>1552382974769651</v>
      </c>
      <c r="C2243" t="s">
        <v>40</v>
      </c>
      <c r="D2243">
        <v>3.3336220000000001</v>
      </c>
      <c r="E2243">
        <v>0.49676589999999998</v>
      </c>
      <c r="F2243" t="s">
        <v>42</v>
      </c>
      <c r="G2243">
        <v>-344.20580000000001</v>
      </c>
      <c r="H2243">
        <v>1.0432429999999999</v>
      </c>
      <c r="I2243">
        <v>284.40320000000003</v>
      </c>
      <c r="J2243">
        <v>-343.87889999999999</v>
      </c>
      <c r="K2243">
        <v>1.107901</v>
      </c>
      <c r="L2243">
        <v>284.39870000000002</v>
      </c>
      <c r="M2243">
        <v>-0.99988460000000001</v>
      </c>
      <c r="N2243">
        <v>0</v>
      </c>
      <c r="O2243">
        <v>-1.0953829999999999E-2</v>
      </c>
      <c r="P2243">
        <v>-0.98420010000000002</v>
      </c>
      <c r="Q2243">
        <v>0.17685319999999999</v>
      </c>
      <c r="R2243">
        <v>8.5520609999999997E-3</v>
      </c>
      <c r="S2243">
        <v>-3.089966</v>
      </c>
      <c r="T2243">
        <v>-0.23377600000000001</v>
      </c>
      <c r="U2243">
        <v>-5.065918E-3</v>
      </c>
      <c r="V2243">
        <v>1.9771279999999999E-2</v>
      </c>
      <c r="W2243">
        <v>0.18716579999999999</v>
      </c>
      <c r="X2243">
        <v>0.98212929999999998</v>
      </c>
      <c r="Y2243">
        <v>9.2572880000000007E-3</v>
      </c>
      <c r="Z2243">
        <v>1.1772639999999999E-3</v>
      </c>
      <c r="AA2243">
        <v>0.99995639999999997</v>
      </c>
      <c r="AB2243">
        <v>52</v>
      </c>
      <c r="AC2243">
        <v>-0.32690000000002301</v>
      </c>
      <c r="AD2243">
        <v>-6.4658000000000104E-2</v>
      </c>
      <c r="AE2243">
        <v>4.5000000000072699E-3</v>
      </c>
      <c r="AF2243">
        <v>7.7765628143420598E-3</v>
      </c>
      <c r="AG2243">
        <v>-6.4658000000000104E-2</v>
      </c>
      <c r="AH2243">
        <v>0.31452861341492899</v>
      </c>
      <c r="AI2243">
        <v>101.613073310627</v>
      </c>
      <c r="AJ2243">
        <v>88.583679031438294</v>
      </c>
      <c r="AK2243">
        <v>0.32119990745628102</v>
      </c>
      <c r="AL2243">
        <v>79.212569941316502</v>
      </c>
      <c r="AM2243">
        <v>88.846732390886899</v>
      </c>
      <c r="AN2243">
        <v>0.99999995106048301</v>
      </c>
    </row>
    <row r="2244" spans="1:40" x14ac:dyDescent="0.25">
      <c r="A2244" t="str">
        <f>"20190312172934793"</f>
        <v>20190312172934793</v>
      </c>
      <c r="B2244" t="str">
        <f>"1552382974789721"</f>
        <v>1552382974789721</v>
      </c>
      <c r="C2244" t="s">
        <v>40</v>
      </c>
      <c r="D2244">
        <v>3.2662620000000002</v>
      </c>
      <c r="E2244">
        <v>0.49474400000000002</v>
      </c>
      <c r="F2244" t="s">
        <v>47</v>
      </c>
      <c r="G2244">
        <v>-360.99239999999998</v>
      </c>
      <c r="H2244" s="1">
        <v>-1.0086810000000001E-6</v>
      </c>
      <c r="I2244">
        <v>284.17759999999998</v>
      </c>
      <c r="J2244">
        <v>-344.16090000000003</v>
      </c>
      <c r="K2244">
        <v>1.107899</v>
      </c>
      <c r="L2244">
        <v>284.39580000000001</v>
      </c>
      <c r="M2244">
        <v>-0.99988849999999996</v>
      </c>
      <c r="N2244">
        <v>0</v>
      </c>
      <c r="O2244">
        <v>-1.057988E-2</v>
      </c>
      <c r="P2244">
        <v>-0.98419909999999999</v>
      </c>
      <c r="Q2244">
        <v>0.176847</v>
      </c>
      <c r="R2244">
        <v>8.7886070000000004E-3</v>
      </c>
      <c r="S2244">
        <v>-3.0844119999999999</v>
      </c>
      <c r="T2244">
        <v>-0.19967969999999999</v>
      </c>
      <c r="U2244">
        <v>-3.9855960000000003E-2</v>
      </c>
      <c r="V2244">
        <v>1.9640459999999998E-2</v>
      </c>
      <c r="W2244">
        <v>0.18716250000000001</v>
      </c>
      <c r="X2244">
        <v>0.98213260000000002</v>
      </c>
      <c r="Y2244">
        <v>-2.357563E-3</v>
      </c>
      <c r="Z2244">
        <v>6.0796669999999995E-4</v>
      </c>
      <c r="AA2244">
        <v>0.99999700000000002</v>
      </c>
      <c r="AB2244">
        <v>52</v>
      </c>
      <c r="AC2244">
        <v>-16.831499999999899</v>
      </c>
      <c r="AD2244">
        <v>-1.107900008681</v>
      </c>
      <c r="AE2244">
        <v>-0.21820000000002401</v>
      </c>
      <c r="AF2244">
        <v>-3.9929674332518802E-2</v>
      </c>
      <c r="AG2244">
        <v>-1.107900008681</v>
      </c>
      <c r="AH2244">
        <v>16.760262057535201</v>
      </c>
      <c r="AI2244">
        <v>93.781897880366103</v>
      </c>
      <c r="AJ2244">
        <v>90.136501295764305</v>
      </c>
      <c r="AK2244">
        <v>16.7968872427418</v>
      </c>
      <c r="AL2244">
        <v>79.212762915092298</v>
      </c>
      <c r="AM2244">
        <v>88.854364987881596</v>
      </c>
      <c r="AN2244">
        <v>0.99999999652900995</v>
      </c>
    </row>
    <row r="2245" spans="1:40" x14ac:dyDescent="0.25">
      <c r="A2245" t="str">
        <f>"20190312172934804"</f>
        <v>20190312172934804</v>
      </c>
      <c r="B2245" t="str">
        <f>"1552382974799457"</f>
        <v>1552382974799457</v>
      </c>
      <c r="C2245" t="s">
        <v>40</v>
      </c>
      <c r="D2245">
        <v>3.1965370000000002</v>
      </c>
      <c r="E2245">
        <v>0.49420429999999999</v>
      </c>
      <c r="F2245" t="s">
        <v>47</v>
      </c>
      <c r="G2245">
        <v>-363.97859999999997</v>
      </c>
      <c r="H2245" s="1">
        <v>5.8044070000000003E-7</v>
      </c>
      <c r="I2245">
        <v>284.04849999999999</v>
      </c>
      <c r="J2245">
        <v>-344.43150000000003</v>
      </c>
      <c r="K2245">
        <v>1.1078969999999999</v>
      </c>
      <c r="L2245">
        <v>284.39299999999997</v>
      </c>
      <c r="M2245">
        <v>-0.99989220000000001</v>
      </c>
      <c r="N2245">
        <v>0</v>
      </c>
      <c r="O2245">
        <v>-1.0221070000000001E-2</v>
      </c>
      <c r="P2245">
        <v>-0.98423550000000004</v>
      </c>
      <c r="Q2245">
        <v>0.17663779999999901</v>
      </c>
      <c r="R2245">
        <v>8.9377090000000003E-3</v>
      </c>
      <c r="S2245">
        <v>-3.0795590000000002</v>
      </c>
      <c r="T2245">
        <v>-0.1721606</v>
      </c>
      <c r="U2245">
        <v>-5.3955080000000002E-2</v>
      </c>
      <c r="V2245">
        <v>1.9436999999999999E-2</v>
      </c>
      <c r="W2245">
        <v>0.18695680000000001</v>
      </c>
      <c r="X2245">
        <v>0.98217580000000004</v>
      </c>
      <c r="Y2245">
        <v>-7.3012789999999999E-3</v>
      </c>
      <c r="Z2245">
        <v>3.67012E-4</v>
      </c>
      <c r="AA2245">
        <v>0.99997329999999995</v>
      </c>
      <c r="AB2245">
        <v>52</v>
      </c>
      <c r="AC2245">
        <v>-19.547099999999901</v>
      </c>
      <c r="AD2245">
        <v>-1.1078964195593</v>
      </c>
      <c r="AE2245">
        <v>-0.34449999999998199</v>
      </c>
      <c r="AF2245">
        <v>-0.14421548566243</v>
      </c>
      <c r="AG2245">
        <v>-1.1078964195593</v>
      </c>
      <c r="AH2245">
        <v>19.487018926348899</v>
      </c>
      <c r="AI2245">
        <v>93.253847932858406</v>
      </c>
      <c r="AJ2245">
        <v>90.424014974006298</v>
      </c>
      <c r="AK2245">
        <v>19.519019934890601</v>
      </c>
      <c r="AL2245">
        <v>79.224760163765097</v>
      </c>
      <c r="AM2245">
        <v>88.866279622697405</v>
      </c>
      <c r="AN2245">
        <v>0.999999972070439</v>
      </c>
    </row>
    <row r="2246" spans="1:40" x14ac:dyDescent="0.25">
      <c r="A2246" t="str">
        <f>"20190312172934816"</f>
        <v>20190312172934816</v>
      </c>
      <c r="B2246" t="str">
        <f>"1552382974809217"</f>
        <v>1552382974809217</v>
      </c>
      <c r="C2246" t="s">
        <v>40</v>
      </c>
      <c r="D2246">
        <v>3.2196859999999998</v>
      </c>
      <c r="E2246">
        <v>0.49378260000000002</v>
      </c>
      <c r="F2246" t="s">
        <v>47</v>
      </c>
      <c r="G2246">
        <v>-365.09649999999999</v>
      </c>
      <c r="H2246" s="1">
        <v>1.1753100000000001E-6</v>
      </c>
      <c r="I2246">
        <v>284.0068</v>
      </c>
      <c r="J2246">
        <v>-344.7002</v>
      </c>
      <c r="K2246">
        <v>1.1078939999999999</v>
      </c>
      <c r="L2246">
        <v>284.3904</v>
      </c>
      <c r="M2246">
        <v>-0.9998958</v>
      </c>
      <c r="N2246">
        <v>0</v>
      </c>
      <c r="O2246">
        <v>-9.8647579999999995E-3</v>
      </c>
      <c r="P2246">
        <v>-0.98426290000000005</v>
      </c>
      <c r="Q2246">
        <v>0.1764763</v>
      </c>
      <c r="R2246">
        <v>9.0893080000000008E-3</v>
      </c>
      <c r="S2246">
        <v>-3.0781860000000001</v>
      </c>
      <c r="T2246">
        <v>-0.16502820000000001</v>
      </c>
      <c r="U2246">
        <v>-5.7525630000000001E-2</v>
      </c>
      <c r="V2246">
        <v>1.9238169999999999E-2</v>
      </c>
      <c r="W2246">
        <v>0.18679899999999999</v>
      </c>
      <c r="X2246">
        <v>0.98220969999999996</v>
      </c>
      <c r="Y2246">
        <v>-8.8219049999999997E-3</v>
      </c>
      <c r="Z2246">
        <v>2.9216600000000001E-4</v>
      </c>
      <c r="AA2246">
        <v>0.99996099999999999</v>
      </c>
      <c r="AB2246">
        <v>52</v>
      </c>
      <c r="AC2246">
        <v>-20.3963</v>
      </c>
      <c r="AD2246">
        <v>-1.1078928246899999</v>
      </c>
      <c r="AE2246">
        <v>-0.383600000000001</v>
      </c>
      <c r="AF2246">
        <v>-0.18182929968994799</v>
      </c>
      <c r="AG2246">
        <v>-1.1078928246899999</v>
      </c>
      <c r="AH2246">
        <v>20.339102876770401</v>
      </c>
      <c r="AI2246">
        <v>93.117757187064697</v>
      </c>
      <c r="AJ2246">
        <v>90.512204200846398</v>
      </c>
      <c r="AK2246">
        <v>20.370066132368802</v>
      </c>
      <c r="AL2246">
        <v>79.233963160341403</v>
      </c>
      <c r="AM2246">
        <v>88.877912707661395</v>
      </c>
      <c r="AN2246">
        <v>0.99999993418001698</v>
      </c>
    </row>
    <row r="2247" spans="1:40" x14ac:dyDescent="0.25">
      <c r="A2247" t="str">
        <f>"20190312172934826"</f>
        <v>20190312172934826</v>
      </c>
      <c r="B2247" t="str">
        <f>"1552382974819953"</f>
        <v>1552382974819953</v>
      </c>
      <c r="C2247" t="s">
        <v>40</v>
      </c>
      <c r="D2247">
        <v>3.2012930000000002</v>
      </c>
      <c r="E2247">
        <v>0.49323270000000002</v>
      </c>
      <c r="F2247" t="s">
        <v>47</v>
      </c>
      <c r="G2247">
        <v>-365.89940000000001</v>
      </c>
      <c r="H2247" s="1">
        <v>1.602594E-6</v>
      </c>
      <c r="I2247">
        <v>283.97379999999998</v>
      </c>
      <c r="J2247">
        <v>-344.94450000000001</v>
      </c>
      <c r="K2247">
        <v>1.107891</v>
      </c>
      <c r="L2247">
        <v>284.38810000000001</v>
      </c>
      <c r="M2247">
        <v>-0.99989890000000003</v>
      </c>
      <c r="N2247">
        <v>0</v>
      </c>
      <c r="O2247">
        <v>-9.5406359999999999E-3</v>
      </c>
      <c r="P2247">
        <v>-0.98427779999999998</v>
      </c>
      <c r="Q2247">
        <v>0.1763989</v>
      </c>
      <c r="R2247">
        <v>8.9944229999999997E-3</v>
      </c>
      <c r="S2247">
        <v>-3.0773929999999998</v>
      </c>
      <c r="T2247">
        <v>-0.16082779999999999</v>
      </c>
      <c r="U2247">
        <v>-6.0485839999999999E-2</v>
      </c>
      <c r="V2247">
        <v>1.8824850000000001E-2</v>
      </c>
      <c r="W2247">
        <v>0.18672449999999999</v>
      </c>
      <c r="X2247">
        <v>0.98223190000000005</v>
      </c>
      <c r="Y2247">
        <v>-1.011011E-2</v>
      </c>
      <c r="Z2247">
        <v>2.3424909999999999E-4</v>
      </c>
      <c r="AA2247">
        <v>0.99994890000000003</v>
      </c>
      <c r="AB2247">
        <v>52</v>
      </c>
      <c r="AC2247">
        <v>-20.954899999999999</v>
      </c>
      <c r="AD2247">
        <v>-1.107889397406</v>
      </c>
      <c r="AE2247">
        <v>-0.41430000000002498</v>
      </c>
      <c r="AF2247">
        <v>-0.213749703603517</v>
      </c>
      <c r="AG2247">
        <v>-1.107889397406</v>
      </c>
      <c r="AH2247">
        <v>20.899502442920902</v>
      </c>
      <c r="AI2247">
        <v>93.0342692296026</v>
      </c>
      <c r="AJ2247">
        <v>90.5859722704419</v>
      </c>
      <c r="AK2247">
        <v>20.929938132119101</v>
      </c>
      <c r="AL2247">
        <v>79.238308422314702</v>
      </c>
      <c r="AM2247">
        <v>88.902038892138705</v>
      </c>
      <c r="AN2247">
        <v>0.99999995962768995</v>
      </c>
    </row>
    <row r="2248" spans="1:40" x14ac:dyDescent="0.25">
      <c r="A2248" t="str">
        <f>"20190312172934840"</f>
        <v>20190312172934840</v>
      </c>
      <c r="B2248" t="str">
        <f>"1552382974829713"</f>
        <v>1552382974829713</v>
      </c>
      <c r="C2248" t="s">
        <v>40</v>
      </c>
      <c r="D2248">
        <v>3.2114479999999999</v>
      </c>
      <c r="E2248">
        <v>0.49276330000000002</v>
      </c>
      <c r="F2248" t="s">
        <v>47</v>
      </c>
      <c r="G2248">
        <v>-366.6379</v>
      </c>
      <c r="H2248" s="1">
        <v>1.9955849999999998E-6</v>
      </c>
      <c r="I2248">
        <v>283.93299999999999</v>
      </c>
      <c r="J2248">
        <v>-345.25920000000002</v>
      </c>
      <c r="K2248">
        <v>1.107893</v>
      </c>
      <c r="L2248">
        <v>284.38529999999997</v>
      </c>
      <c r="M2248">
        <v>-0.99990279999999998</v>
      </c>
      <c r="N2248">
        <v>0</v>
      </c>
      <c r="O2248">
        <v>-9.1232959999999995E-3</v>
      </c>
      <c r="P2248">
        <v>-0.98434980000000005</v>
      </c>
      <c r="Q2248">
        <v>0.175981</v>
      </c>
      <c r="R2248">
        <v>9.2845670000000005E-3</v>
      </c>
      <c r="S2248">
        <v>-3.07666</v>
      </c>
      <c r="T2248">
        <v>-0.15712619999999999</v>
      </c>
      <c r="U2248">
        <v>-6.4544679999999993E-2</v>
      </c>
      <c r="V2248">
        <v>1.8704430000000001E-2</v>
      </c>
      <c r="W2248">
        <v>0.18631130000000001</v>
      </c>
      <c r="X2248">
        <v>0.98231270000000004</v>
      </c>
      <c r="Y2248">
        <v>-1.1847979999999999E-2</v>
      </c>
      <c r="Z2248">
        <v>1.6327529999999999E-4</v>
      </c>
      <c r="AA2248">
        <v>0.99992979999999998</v>
      </c>
      <c r="AB2248">
        <v>52</v>
      </c>
      <c r="AC2248">
        <v>-21.378699999999899</v>
      </c>
      <c r="AD2248">
        <v>-1.1078910044149901</v>
      </c>
      <c r="AE2248">
        <v>-0.452299999999979</v>
      </c>
      <c r="AF2248">
        <v>-0.25653749151697602</v>
      </c>
      <c r="AG2248">
        <v>-1.1078910044149901</v>
      </c>
      <c r="AH2248">
        <v>21.324694176702099</v>
      </c>
      <c r="AI2248">
        <v>92.973823592511593</v>
      </c>
      <c r="AJ2248">
        <v>90.689238796201096</v>
      </c>
      <c r="AK2248">
        <v>21.354995099322501</v>
      </c>
      <c r="AL2248">
        <v>79.262406334110196</v>
      </c>
      <c r="AM2248">
        <v>88.909150410224498</v>
      </c>
      <c r="AN2248">
        <v>0.99999999839530196</v>
      </c>
    </row>
    <row r="2249" spans="1:40" x14ac:dyDescent="0.25">
      <c r="A2249" t="str">
        <f>"20190312172934854"</f>
        <v>20190312172934854</v>
      </c>
      <c r="B2249" t="str">
        <f>"1552382974849233"</f>
        <v>1552382974849233</v>
      </c>
      <c r="C2249" t="s">
        <v>40</v>
      </c>
      <c r="D2249">
        <v>3.2980209999999999</v>
      </c>
      <c r="E2249">
        <v>0.49184139999999998</v>
      </c>
      <c r="F2249" t="s">
        <v>47</v>
      </c>
      <c r="G2249">
        <v>-367.18740000000003</v>
      </c>
      <c r="H2249" s="1">
        <v>2.2880040000000001E-6</v>
      </c>
      <c r="I2249">
        <v>283.90629999999999</v>
      </c>
      <c r="J2249">
        <v>-345.56699999999898</v>
      </c>
      <c r="K2249">
        <v>1.107891</v>
      </c>
      <c r="L2249">
        <v>284.38260000000002</v>
      </c>
      <c r="M2249">
        <v>-0.99990639999999997</v>
      </c>
      <c r="N2249">
        <v>0</v>
      </c>
      <c r="O2249">
        <v>-8.7148980000000004E-3</v>
      </c>
      <c r="P2249">
        <v>-0.98441299999999998</v>
      </c>
      <c r="Q2249">
        <v>0.1756228</v>
      </c>
      <c r="R2249">
        <v>9.3823150000000004E-3</v>
      </c>
      <c r="S2249">
        <v>-3.076111</v>
      </c>
      <c r="T2249">
        <v>-0.155416</v>
      </c>
      <c r="U2249">
        <v>-6.7199709999999996E-2</v>
      </c>
      <c r="V2249">
        <v>1.8400369999999999E-2</v>
      </c>
      <c r="W2249">
        <v>0.1859566</v>
      </c>
      <c r="X2249">
        <v>0.98238559999999997</v>
      </c>
      <c r="Y2249">
        <v>-1.3120710000000001E-2</v>
      </c>
      <c r="Z2249">
        <v>1.087826E-4</v>
      </c>
      <c r="AA2249">
        <v>0.99991390000000002</v>
      </c>
      <c r="AB2249">
        <v>52</v>
      </c>
      <c r="AC2249">
        <v>-21.6204</v>
      </c>
      <c r="AD2249">
        <v>-1.1078887119959999</v>
      </c>
      <c r="AE2249">
        <v>-0.47630000000003703</v>
      </c>
      <c r="AF2249">
        <v>-0.287098345958547</v>
      </c>
      <c r="AG2249">
        <v>-1.1078887119959999</v>
      </c>
      <c r="AH2249">
        <v>21.567126097915299</v>
      </c>
      <c r="AI2249">
        <v>92.9404006711286</v>
      </c>
      <c r="AJ2249">
        <v>90.762667770818396</v>
      </c>
      <c r="AK2249">
        <v>21.597471402499799</v>
      </c>
      <c r="AL2249">
        <v>79.283090081212706</v>
      </c>
      <c r="AM2249">
        <v>88.926958740554795</v>
      </c>
      <c r="AN2249">
        <v>0.99999994889352695</v>
      </c>
    </row>
    <row r="2250" spans="1:40" x14ac:dyDescent="0.25">
      <c r="A2250" t="str">
        <f>"20190312172934870"</f>
        <v>20190312172934870</v>
      </c>
      <c r="B2250" t="str">
        <f>"1552382974859969"</f>
        <v>1552382974859969</v>
      </c>
      <c r="C2250" t="s">
        <v>40</v>
      </c>
      <c r="D2250">
        <v>3.260329</v>
      </c>
      <c r="E2250">
        <v>0.49164049999999998</v>
      </c>
      <c r="F2250" t="s">
        <v>47</v>
      </c>
      <c r="G2250">
        <v>-368.26909999999998</v>
      </c>
      <c r="H2250" s="1">
        <v>2.8636239999999998E-6</v>
      </c>
      <c r="I2250">
        <v>283.8399</v>
      </c>
      <c r="J2250">
        <v>-345.9658</v>
      </c>
      <c r="K2250">
        <v>1.1078859999999999</v>
      </c>
      <c r="L2250">
        <v>284.37939999999998</v>
      </c>
      <c r="M2250">
        <v>-0.99991090000000005</v>
      </c>
      <c r="N2250">
        <v>0</v>
      </c>
      <c r="O2250">
        <v>-8.1858639999999993E-3</v>
      </c>
      <c r="P2250">
        <v>-0.98444589999999998</v>
      </c>
      <c r="Q2250">
        <v>0.17543029999999901</v>
      </c>
      <c r="R2250">
        <v>9.529961E-3</v>
      </c>
      <c r="S2250">
        <v>-3.0750120000000001</v>
      </c>
      <c r="T2250">
        <v>-0.15006410000000001</v>
      </c>
      <c r="U2250">
        <v>-7.3516849999999995E-2</v>
      </c>
      <c r="V2250">
        <v>1.8027629999999999E-2</v>
      </c>
      <c r="W2250">
        <v>0.1857692</v>
      </c>
      <c r="X2250">
        <v>0.98242799999999997</v>
      </c>
      <c r="Y2250">
        <v>-1.5707269999999999E-2</v>
      </c>
      <c r="Z2250" s="1">
        <v>1.6210429999999999E-5</v>
      </c>
      <c r="AA2250">
        <v>0.9998766</v>
      </c>
      <c r="AB2250">
        <v>52</v>
      </c>
      <c r="AC2250">
        <v>-22.303299999999901</v>
      </c>
      <c r="AD2250">
        <v>-1.107883136376</v>
      </c>
      <c r="AE2250">
        <v>-0.539499999999975</v>
      </c>
      <c r="AF2250">
        <v>-0.35602203580596298</v>
      </c>
      <c r="AG2250">
        <v>-1.107883136376</v>
      </c>
      <c r="AH2250">
        <v>22.252095182097801</v>
      </c>
      <c r="AI2250">
        <v>92.849913810761294</v>
      </c>
      <c r="AJ2250">
        <v>90.916624686390193</v>
      </c>
      <c r="AK2250">
        <v>22.2825020302251</v>
      </c>
      <c r="AL2250">
        <v>79.294018088480598</v>
      </c>
      <c r="AM2250">
        <v>88.948735987058996</v>
      </c>
      <c r="AN2250">
        <v>0.99999998314802796</v>
      </c>
    </row>
    <row r="2251" spans="1:40" x14ac:dyDescent="0.25">
      <c r="A2251" t="str">
        <f>"20190312172934891"</f>
        <v>20190312172934891</v>
      </c>
      <c r="B2251" t="str">
        <f>"1552382974879489"</f>
        <v>1552382974879489</v>
      </c>
      <c r="C2251" t="s">
        <v>40</v>
      </c>
      <c r="D2251">
        <v>3.2908949999999999</v>
      </c>
      <c r="E2251">
        <v>0.49119639999999998</v>
      </c>
      <c r="F2251" t="s">
        <v>47</v>
      </c>
      <c r="G2251">
        <v>-368.99419999999998</v>
      </c>
      <c r="H2251" s="1">
        <v>3.2494729999999999E-6</v>
      </c>
      <c r="I2251">
        <v>283.81979999999999</v>
      </c>
      <c r="J2251">
        <v>-346.44880000000001</v>
      </c>
      <c r="K2251">
        <v>1.1078790000000001</v>
      </c>
      <c r="L2251">
        <v>284.37569999999999</v>
      </c>
      <c r="M2251">
        <v>-0.99991589999999997</v>
      </c>
      <c r="N2251">
        <v>0</v>
      </c>
      <c r="O2251">
        <v>-7.545253E-3</v>
      </c>
      <c r="P2251">
        <v>-0.9844465</v>
      </c>
      <c r="Q2251">
        <v>0.17541029999999999</v>
      </c>
      <c r="R2251">
        <v>9.833194E-3</v>
      </c>
      <c r="S2251">
        <v>-3.0744929999999999</v>
      </c>
      <c r="T2251">
        <v>-0.14791199999999999</v>
      </c>
      <c r="U2251">
        <v>-7.4707029999999994E-2</v>
      </c>
      <c r="V2251">
        <v>1.7700879999999999E-2</v>
      </c>
      <c r="W2251">
        <v>0.18575469999999999</v>
      </c>
      <c r="X2251">
        <v>0.98243670000000005</v>
      </c>
      <c r="Y2251">
        <v>-1.6737040000000002E-2</v>
      </c>
      <c r="Z2251" s="1">
        <v>-3.9568840000000002E-5</v>
      </c>
      <c r="AA2251">
        <v>0.99985990000000002</v>
      </c>
      <c r="AB2251">
        <v>52</v>
      </c>
      <c r="AC2251">
        <v>-22.545399999999901</v>
      </c>
      <c r="AD2251">
        <v>-1.107875750527</v>
      </c>
      <c r="AE2251">
        <v>-0.55590000000000805</v>
      </c>
      <c r="AF2251">
        <v>-0.384835259282374</v>
      </c>
      <c r="AG2251">
        <v>-1.107875750527</v>
      </c>
      <c r="AH2251">
        <v>22.494667544022299</v>
      </c>
      <c r="AI2251">
        <v>92.819161082049902</v>
      </c>
      <c r="AJ2251">
        <v>90.980111636172495</v>
      </c>
      <c r="AK2251">
        <v>22.5252204156027</v>
      </c>
      <c r="AL2251">
        <v>79.294863771871604</v>
      </c>
      <c r="AM2251">
        <v>88.967795079269905</v>
      </c>
      <c r="AN2251">
        <v>0.99999999961587704</v>
      </c>
    </row>
    <row r="2252" spans="1:40" x14ac:dyDescent="0.25">
      <c r="A2252" t="str">
        <f>"20190312172934903"</f>
        <v>20190312172934903</v>
      </c>
      <c r="B2252" t="str">
        <f>"1552382974899645"</f>
        <v>1552382974899645</v>
      </c>
      <c r="C2252" t="s">
        <v>40</v>
      </c>
      <c r="D2252">
        <v>3.2777059999999998</v>
      </c>
      <c r="E2252">
        <v>0.49074590000000001</v>
      </c>
      <c r="F2252" t="s">
        <v>47</v>
      </c>
      <c r="G2252">
        <v>-370.64109999999999</v>
      </c>
      <c r="H2252" s="1">
        <v>-1.1956339999999999E-6</v>
      </c>
      <c r="I2252">
        <v>283.76650000000001</v>
      </c>
      <c r="J2252">
        <v>-346.72300000000001</v>
      </c>
      <c r="K2252">
        <v>1.1078809999999999</v>
      </c>
      <c r="L2252">
        <v>284.37369999999999</v>
      </c>
      <c r="M2252">
        <v>-0.99991850000000004</v>
      </c>
      <c r="N2252">
        <v>0</v>
      </c>
      <c r="O2252">
        <v>-7.181794E-3</v>
      </c>
      <c r="P2252">
        <v>-0.98450910000000003</v>
      </c>
      <c r="Q2252">
        <v>0.17504529999999999</v>
      </c>
      <c r="R2252">
        <v>1.007474E-2</v>
      </c>
      <c r="S2252">
        <v>-3.0732729999999999</v>
      </c>
      <c r="T2252">
        <v>-0.1407399</v>
      </c>
      <c r="U2252">
        <v>-7.7392580000000002E-2</v>
      </c>
      <c r="V2252">
        <v>1.7584820000000001E-2</v>
      </c>
      <c r="W2252">
        <v>0.18539349999999999</v>
      </c>
      <c r="X2252">
        <v>0.98250700000000002</v>
      </c>
      <c r="Y2252">
        <v>-1.7982599999999901E-2</v>
      </c>
      <c r="Z2252" s="1">
        <v>-8.2800750000000005E-5</v>
      </c>
      <c r="AA2252">
        <v>0.99983829999999996</v>
      </c>
      <c r="AB2252">
        <v>52</v>
      </c>
      <c r="AC2252">
        <v>-23.9180999999999</v>
      </c>
      <c r="AD2252">
        <v>-1.1078821956339999</v>
      </c>
      <c r="AE2252">
        <v>-0.60719999999997698</v>
      </c>
      <c r="AF2252">
        <v>-0.434468339079435</v>
      </c>
      <c r="AG2252">
        <v>-1.1078821956339999</v>
      </c>
      <c r="AH2252">
        <v>23.870661982227599</v>
      </c>
      <c r="AI2252">
        <v>92.656858287113195</v>
      </c>
      <c r="AJ2252">
        <v>91.042721559318096</v>
      </c>
      <c r="AK2252">
        <v>23.9003068843652</v>
      </c>
      <c r="AL2252">
        <v>79.315924732743596</v>
      </c>
      <c r="AM2252">
        <v>88.974634880850701</v>
      </c>
      <c r="AN2252">
        <v>0.99999999039284104</v>
      </c>
    </row>
    <row r="2253" spans="1:40" x14ac:dyDescent="0.25">
      <c r="A2253" t="str">
        <f>"20190312172934914"</f>
        <v>20190312172934914</v>
      </c>
      <c r="B2253" t="str">
        <f>"1552382974910381"</f>
        <v>1552382974910381</v>
      </c>
      <c r="C2253" t="s">
        <v>40</v>
      </c>
      <c r="D2253">
        <v>3.2934380000000001</v>
      </c>
      <c r="E2253">
        <v>0.4905447</v>
      </c>
      <c r="F2253" t="s">
        <v>47</v>
      </c>
      <c r="G2253">
        <v>-371.79489999999998</v>
      </c>
      <c r="H2253" s="1">
        <v>-5.8164579999999998E-7</v>
      </c>
      <c r="I2253">
        <v>283.72269999999997</v>
      </c>
      <c r="J2253">
        <v>-346.98270000000002</v>
      </c>
      <c r="K2253">
        <v>1.1078779999999999</v>
      </c>
      <c r="L2253">
        <v>284.37200000000001</v>
      </c>
      <c r="M2253">
        <v>-0.99992080000000005</v>
      </c>
      <c r="N2253">
        <v>0</v>
      </c>
      <c r="O2253">
        <v>-6.8375279999999998E-3</v>
      </c>
      <c r="P2253">
        <v>-0.9845448</v>
      </c>
      <c r="Q2253">
        <v>0.17484140000000001</v>
      </c>
      <c r="R2253">
        <v>1.011166E-2</v>
      </c>
      <c r="S2253">
        <v>-3.0721440000000002</v>
      </c>
      <c r="T2253">
        <v>-0.1357527</v>
      </c>
      <c r="U2253">
        <v>-7.9772949999999995E-2</v>
      </c>
      <c r="V2253">
        <v>1.7282929999999998E-2</v>
      </c>
      <c r="W2253">
        <v>0.18519340000000001</v>
      </c>
      <c r="X2253">
        <v>0.98255009999999998</v>
      </c>
      <c r="Y2253">
        <v>-1.9109620000000001E-2</v>
      </c>
      <c r="Z2253">
        <v>-1.199847E-4</v>
      </c>
      <c r="AA2253">
        <v>0.99981739999999997</v>
      </c>
      <c r="AB2253">
        <v>52</v>
      </c>
      <c r="AC2253">
        <v>-24.812199999999901</v>
      </c>
      <c r="AD2253">
        <v>-1.1078785816458001</v>
      </c>
      <c r="AE2253">
        <v>-0.64930000000003896</v>
      </c>
      <c r="AF2253">
        <v>-0.47866758359684197</v>
      </c>
      <c r="AG2253">
        <v>-1.1078785816458001</v>
      </c>
      <c r="AH2253">
        <v>24.766716846978198</v>
      </c>
      <c r="AI2253">
        <v>92.560801685787197</v>
      </c>
      <c r="AJ2253">
        <v>91.107220567599896</v>
      </c>
      <c r="AK2253">
        <v>24.7961041493548</v>
      </c>
      <c r="AL2253">
        <v>79.327591723460202</v>
      </c>
      <c r="AM2253">
        <v>88.992278523252594</v>
      </c>
      <c r="AN2253">
        <v>0.99999999704147702</v>
      </c>
    </row>
    <row r="2254" spans="1:40" x14ac:dyDescent="0.25">
      <c r="A2254" t="str">
        <f>"20190312172934937"</f>
        <v>20190312172934937</v>
      </c>
      <c r="B2254" t="str">
        <f>"1552382974929900"</f>
        <v>1552382974929900</v>
      </c>
      <c r="C2254" t="s">
        <v>40</v>
      </c>
      <c r="D2254">
        <v>3.2834949999999998</v>
      </c>
      <c r="E2254">
        <v>0.49027730000000003</v>
      </c>
      <c r="F2254" t="s">
        <v>47</v>
      </c>
      <c r="G2254">
        <v>-372.47120000000001</v>
      </c>
      <c r="H2254" s="1">
        <v>-2.2176069999999999E-7</v>
      </c>
      <c r="I2254">
        <v>283.7002</v>
      </c>
      <c r="J2254">
        <v>-347.50810000000001</v>
      </c>
      <c r="K2254">
        <v>1.1078699999999999</v>
      </c>
      <c r="L2254">
        <v>284.36880000000002</v>
      </c>
      <c r="M2254">
        <v>-0.99992530000000002</v>
      </c>
      <c r="N2254">
        <v>0</v>
      </c>
      <c r="O2254">
        <v>-6.1414859999999998E-3</v>
      </c>
      <c r="P2254">
        <v>-0.98460329999999996</v>
      </c>
      <c r="Q2254">
        <v>0.1744858</v>
      </c>
      <c r="R2254">
        <v>1.05355E-2</v>
      </c>
      <c r="S2254">
        <v>-3.071625</v>
      </c>
      <c r="T2254">
        <v>-0.13351070000000001</v>
      </c>
      <c r="U2254">
        <v>-8.0963129999999994E-2</v>
      </c>
      <c r="V2254">
        <v>1.702151E-2</v>
      </c>
      <c r="W2254">
        <v>0.18484329999999999</v>
      </c>
      <c r="X2254">
        <v>0.98262059999999996</v>
      </c>
      <c r="Y2254">
        <v>-2.0195810000000002E-2</v>
      </c>
      <c r="Z2254">
        <v>-1.7184979999999999E-4</v>
      </c>
      <c r="AA2254">
        <v>0.99979600000000002</v>
      </c>
      <c r="AB2254">
        <v>52</v>
      </c>
      <c r="AC2254">
        <v>-24.963100000000001</v>
      </c>
      <c r="AD2254">
        <v>-1.1078702217606999</v>
      </c>
      <c r="AE2254">
        <v>-0.66860000000002595</v>
      </c>
      <c r="AF2254">
        <v>-0.51425613978184503</v>
      </c>
      <c r="AG2254">
        <v>-1.1078702217606999</v>
      </c>
      <c r="AH2254">
        <v>24.917692580426099</v>
      </c>
      <c r="AI2254">
        <v>92.545220561368396</v>
      </c>
      <c r="AJ2254">
        <v>91.182313491588801</v>
      </c>
      <c r="AK2254">
        <v>24.9476098922961</v>
      </c>
      <c r="AL2254">
        <v>79.348003526488</v>
      </c>
      <c r="AM2254">
        <v>89.007589346023806</v>
      </c>
      <c r="AN2254">
        <v>1.0000000104509601</v>
      </c>
    </row>
    <row r="2255" spans="1:40" x14ac:dyDescent="0.25">
      <c r="A2255" t="str">
        <f>"20190312172934948"</f>
        <v>20190312172934948</v>
      </c>
      <c r="B2255" t="str">
        <f>"1552382974939661"</f>
        <v>1552382974939661</v>
      </c>
      <c r="C2255" t="s">
        <v>40</v>
      </c>
      <c r="D2255">
        <v>3.2899829999999999</v>
      </c>
      <c r="E2255">
        <v>0.49021340000000002</v>
      </c>
      <c r="F2255" t="s">
        <v>47</v>
      </c>
      <c r="G2255">
        <v>-373.67959999999999</v>
      </c>
      <c r="H2255" s="1">
        <v>4.2131790000000002E-7</v>
      </c>
      <c r="I2255">
        <v>283.6764</v>
      </c>
      <c r="J2255">
        <v>-347.77870000000001</v>
      </c>
      <c r="K2255">
        <v>1.1078680000000001</v>
      </c>
      <c r="L2255">
        <v>284.36720000000003</v>
      </c>
      <c r="M2255">
        <v>-0.99992749999999997</v>
      </c>
      <c r="N2255">
        <v>0</v>
      </c>
      <c r="O2255">
        <v>-5.7831530000000001E-3</v>
      </c>
      <c r="P2255">
        <v>-0.98464019999999997</v>
      </c>
      <c r="Q2255">
        <v>0.17427210000000001</v>
      </c>
      <c r="R2255">
        <v>1.0637020000000001E-2</v>
      </c>
      <c r="S2255">
        <v>-3.0708310000000001</v>
      </c>
      <c r="T2255">
        <v>-0.129992</v>
      </c>
      <c r="U2255">
        <v>-8.1237790000000004E-2</v>
      </c>
      <c r="V2255">
        <v>1.6770520000000001E-2</v>
      </c>
      <c r="W2255">
        <v>0.18463289999999999</v>
      </c>
      <c r="X2255">
        <v>0.98266450000000005</v>
      </c>
      <c r="Y2255">
        <v>-2.0650209999999999E-2</v>
      </c>
      <c r="Z2255">
        <v>-1.9213880000000001E-4</v>
      </c>
      <c r="AA2255">
        <v>0.99978670000000003</v>
      </c>
      <c r="AB2255">
        <v>52</v>
      </c>
      <c r="AC2255">
        <v>-25.900899999999901</v>
      </c>
      <c r="AD2255">
        <v>-1.1078675786821</v>
      </c>
      <c r="AE2255">
        <v>-0.69080000000002395</v>
      </c>
      <c r="AF2255">
        <v>-0.54000395819759195</v>
      </c>
      <c r="AG2255">
        <v>-1.1078675786821</v>
      </c>
      <c r="AH2255">
        <v>25.857188468666799</v>
      </c>
      <c r="AI2255">
        <v>92.452839167688694</v>
      </c>
      <c r="AJ2255">
        <v>91.196396539172397</v>
      </c>
      <c r="AK2255">
        <v>25.886544194830702</v>
      </c>
      <c r="AL2255">
        <v>79.360269991629096</v>
      </c>
      <c r="AM2255">
        <v>89.022263708986301</v>
      </c>
      <c r="AN2255">
        <v>1.0000000388318599</v>
      </c>
    </row>
    <row r="2256" spans="1:40" x14ac:dyDescent="0.25">
      <c r="A2256" t="str">
        <f>"20190312172934959"</f>
        <v>20190312172934959</v>
      </c>
      <c r="B2256" t="str">
        <f>"1552382974949421"</f>
        <v>1552382974949421</v>
      </c>
      <c r="C2256" t="s">
        <v>40</v>
      </c>
      <c r="D2256">
        <v>3.3047840000000002</v>
      </c>
      <c r="E2256">
        <v>0.4901509</v>
      </c>
      <c r="F2256" t="s">
        <v>47</v>
      </c>
      <c r="G2256">
        <v>-374.10950000000003</v>
      </c>
      <c r="H2256" s="1">
        <v>6.5007530000000001E-7</v>
      </c>
      <c r="I2256">
        <v>283.66820000000001</v>
      </c>
      <c r="J2256">
        <v>-348.04160000000002</v>
      </c>
      <c r="K2256">
        <v>1.1078669999999999</v>
      </c>
      <c r="L2256">
        <v>284.36579999999998</v>
      </c>
      <c r="M2256">
        <v>-0.99992930000000002</v>
      </c>
      <c r="N2256">
        <v>0</v>
      </c>
      <c r="O2256">
        <v>-5.4353099999999996E-3</v>
      </c>
      <c r="P2256">
        <v>-0.98464569999999996</v>
      </c>
      <c r="Q2256">
        <v>0.1742253</v>
      </c>
      <c r="R2256">
        <v>1.089129E-2</v>
      </c>
      <c r="S2256">
        <v>-3.0705260000000001</v>
      </c>
      <c r="T2256">
        <v>-0.12919259999999999</v>
      </c>
      <c r="U2256">
        <v>-8.151245E-2</v>
      </c>
      <c r="V2256">
        <v>1.6682530000000001E-2</v>
      </c>
      <c r="W2256">
        <v>0.18458930000000001</v>
      </c>
      <c r="X2256">
        <v>0.98267409999999999</v>
      </c>
      <c r="Y2256">
        <v>-2.1089460000000001E-2</v>
      </c>
      <c r="Z2256">
        <v>-2.148385E-4</v>
      </c>
      <c r="AA2256">
        <v>0.99977760000000004</v>
      </c>
      <c r="AB2256">
        <v>52</v>
      </c>
      <c r="AC2256">
        <v>-26.067900000000002</v>
      </c>
      <c r="AD2256">
        <v>-1.1078663499246999</v>
      </c>
      <c r="AE2256">
        <v>-0.69759999999996503</v>
      </c>
      <c r="AF2256">
        <v>-0.55489312870096397</v>
      </c>
      <c r="AG2256">
        <v>-1.1078663499246999</v>
      </c>
      <c r="AH2256">
        <v>26.024335609907101</v>
      </c>
      <c r="AI2256">
        <v>92.437079124994298</v>
      </c>
      <c r="AJ2256">
        <v>91.221480467699706</v>
      </c>
      <c r="AK2256">
        <v>26.053815808258399</v>
      </c>
      <c r="AL2256">
        <v>79.362810838388398</v>
      </c>
      <c r="AM2256">
        <v>89.027402116366702</v>
      </c>
      <c r="AN2256">
        <v>0.999999951646249</v>
      </c>
    </row>
    <row r="2257" spans="1:40" x14ac:dyDescent="0.25">
      <c r="A2257" t="str">
        <f>"20190312172934970"</f>
        <v>20190312172934970</v>
      </c>
      <c r="B2257" t="str">
        <f>"1552382974960157"</f>
        <v>1552382974960157</v>
      </c>
      <c r="C2257" t="s">
        <v>40</v>
      </c>
      <c r="D2257">
        <v>3.3142100000000001</v>
      </c>
      <c r="E2257">
        <v>0.49011090000000002</v>
      </c>
      <c r="F2257" t="s">
        <v>47</v>
      </c>
      <c r="G2257">
        <v>-374.69439999999997</v>
      </c>
      <c r="H2257" s="1">
        <v>9.6133529999999995E-7</v>
      </c>
      <c r="I2257">
        <v>283.66219999999998</v>
      </c>
      <c r="J2257">
        <v>-348.29090000000002</v>
      </c>
      <c r="K2257">
        <v>1.1078650000000001</v>
      </c>
      <c r="L2257">
        <v>284.3646</v>
      </c>
      <c r="M2257">
        <v>-0.99993120000000002</v>
      </c>
      <c r="N2257">
        <v>0</v>
      </c>
      <c r="O2257">
        <v>-5.1054680000000002E-3</v>
      </c>
      <c r="P2257">
        <v>-0.98466209999999998</v>
      </c>
      <c r="Q2257">
        <v>0.17412759999999999</v>
      </c>
      <c r="R2257">
        <v>1.096078E-2</v>
      </c>
      <c r="S2257">
        <v>-3.0702509999999998</v>
      </c>
      <c r="T2257">
        <v>-0.12761989999999901</v>
      </c>
      <c r="U2257">
        <v>-8.1054689999999999E-2</v>
      </c>
      <c r="V2257">
        <v>1.642743E-2</v>
      </c>
      <c r="W2257">
        <v>0.1844942</v>
      </c>
      <c r="X2257">
        <v>0.98269629999999997</v>
      </c>
      <c r="Y2257">
        <v>-2.1272550000000001E-2</v>
      </c>
      <c r="Z2257">
        <v>-2.2975E-4</v>
      </c>
      <c r="AA2257">
        <v>0.99977369999999999</v>
      </c>
      <c r="AB2257">
        <v>52</v>
      </c>
      <c r="AC2257">
        <v>-26.403499999999902</v>
      </c>
      <c r="AD2257">
        <v>-1.1078640386646901</v>
      </c>
      <c r="AE2257">
        <v>-0.70240000000001102</v>
      </c>
      <c r="AF2257">
        <v>-0.56658430426486395</v>
      </c>
      <c r="AG2257">
        <v>-1.1078640386646901</v>
      </c>
      <c r="AH2257">
        <v>26.3603660360947</v>
      </c>
      <c r="AI2257">
        <v>92.406035207325402</v>
      </c>
      <c r="AJ2257">
        <v>91.2313141482974</v>
      </c>
      <c r="AK2257">
        <v>26.389719173551299</v>
      </c>
      <c r="AL2257">
        <v>79.368355345420895</v>
      </c>
      <c r="AM2257">
        <v>89.042293384248694</v>
      </c>
      <c r="AN2257">
        <v>0.99999999416186702</v>
      </c>
    </row>
    <row r="2258" spans="1:40" x14ac:dyDescent="0.25">
      <c r="A2258" t="str">
        <f>"20190312172934982"</f>
        <v>20190312172934982</v>
      </c>
      <c r="B2258" t="str">
        <f>"1552382974979676"</f>
        <v>1552382974979676</v>
      </c>
      <c r="C2258" t="s">
        <v>40</v>
      </c>
      <c r="D2258">
        <v>3.3158349999999999</v>
      </c>
      <c r="E2258">
        <v>0.4899908</v>
      </c>
      <c r="F2258" t="s">
        <v>47</v>
      </c>
      <c r="G2258">
        <v>-375.26499999999999</v>
      </c>
      <c r="H2258" s="1">
        <v>1.2650050000000001E-6</v>
      </c>
      <c r="I2258">
        <v>283.65179999999998</v>
      </c>
      <c r="J2258">
        <v>-348.57190000000003</v>
      </c>
      <c r="K2258">
        <v>1.1078629999999901</v>
      </c>
      <c r="L2258">
        <v>284.36329999999998</v>
      </c>
      <c r="M2258">
        <v>-0.99993290000000001</v>
      </c>
      <c r="N2258">
        <v>0</v>
      </c>
      <c r="O2258">
        <v>-4.7335479999999997E-3</v>
      </c>
      <c r="P2258">
        <v>-0.98464180000000001</v>
      </c>
      <c r="Q2258">
        <v>0.17423759999999999</v>
      </c>
      <c r="R2258">
        <v>1.1039520000000001E-2</v>
      </c>
      <c r="S2258">
        <v>-3.0699459999999998</v>
      </c>
      <c r="T2258">
        <v>-0.12608659999999999</v>
      </c>
      <c r="U2258">
        <v>-8.1115720000000002E-2</v>
      </c>
      <c r="V2258">
        <v>1.614053E-2</v>
      </c>
      <c r="W2258">
        <v>0.18460760000000001</v>
      </c>
      <c r="X2258">
        <v>0.98267979999999999</v>
      </c>
      <c r="Y2258">
        <v>-2.1666580000000001E-2</v>
      </c>
      <c r="Z2258">
        <v>-2.5036770000000001E-4</v>
      </c>
      <c r="AA2258">
        <v>0.99976520000000002</v>
      </c>
      <c r="AB2258">
        <v>52</v>
      </c>
      <c r="AC2258">
        <v>-26.693099999999902</v>
      </c>
      <c r="AD2258">
        <v>-1.10786173499499</v>
      </c>
      <c r="AE2258">
        <v>-0.71150000000000002</v>
      </c>
      <c r="AF2258">
        <v>-0.58412641929161002</v>
      </c>
      <c r="AG2258">
        <v>-1.10786173499499</v>
      </c>
      <c r="AH2258">
        <v>26.650295017001</v>
      </c>
      <c r="AI2258">
        <v>92.3798633431214</v>
      </c>
      <c r="AJ2258">
        <v>91.255619145278601</v>
      </c>
      <c r="AK2258">
        <v>26.679707378282199</v>
      </c>
      <c r="AL2258">
        <v>79.361744898667595</v>
      </c>
      <c r="AM2258">
        <v>89.059000603799404</v>
      </c>
      <c r="AN2258">
        <v>1.0000000360072301</v>
      </c>
    </row>
    <row r="2259" spans="1:40" x14ac:dyDescent="0.25">
      <c r="A2259" t="str">
        <f>"20190312172934997"</f>
        <v>20190312172934997</v>
      </c>
      <c r="B2259" t="str">
        <f>"1552382974989957"</f>
        <v>1552382974989957</v>
      </c>
      <c r="C2259" t="s">
        <v>40</v>
      </c>
      <c r="D2259">
        <v>3.3296730000000001</v>
      </c>
      <c r="E2259">
        <v>0.48992059999999998</v>
      </c>
      <c r="F2259" t="s">
        <v>47</v>
      </c>
      <c r="G2259">
        <v>-376.24639999999999</v>
      </c>
      <c r="H2259" s="1">
        <v>1.7872419999999999E-6</v>
      </c>
      <c r="I2259">
        <v>283.62720000000002</v>
      </c>
      <c r="J2259">
        <v>-348.9144</v>
      </c>
      <c r="K2259">
        <v>1.107861</v>
      </c>
      <c r="L2259">
        <v>284.36180000000002</v>
      </c>
      <c r="M2259">
        <v>-0.99993500000000002</v>
      </c>
      <c r="N2259">
        <v>0</v>
      </c>
      <c r="O2259">
        <v>-4.2802179999999997E-3</v>
      </c>
      <c r="P2259">
        <v>-0.98464980000000002</v>
      </c>
      <c r="Q2259">
        <v>0.1741721</v>
      </c>
      <c r="R2259">
        <v>1.1351139999999999E-2</v>
      </c>
      <c r="S2259">
        <v>-3.069458</v>
      </c>
      <c r="T2259">
        <v>-0.1228762</v>
      </c>
      <c r="U2259">
        <v>-8.1634520000000002E-2</v>
      </c>
      <c r="V2259">
        <v>1.6005889999999998E-2</v>
      </c>
      <c r="W2259">
        <v>0.18454719999999999</v>
      </c>
      <c r="X2259">
        <v>0.98269329999999999</v>
      </c>
      <c r="Y2259">
        <v>-2.2292739999999998E-2</v>
      </c>
      <c r="Z2259">
        <v>-2.746998E-4</v>
      </c>
      <c r="AA2259">
        <v>0.99975139999999996</v>
      </c>
      <c r="AB2259">
        <v>52</v>
      </c>
      <c r="AC2259">
        <v>-27.331999999999901</v>
      </c>
      <c r="AD2259">
        <v>-1.107859212758</v>
      </c>
      <c r="AE2259">
        <v>-0.73460000000000003</v>
      </c>
      <c r="AF2259">
        <v>-0.61658752314386001</v>
      </c>
      <c r="AG2259">
        <v>-1.107859212758</v>
      </c>
      <c r="AH2259">
        <v>27.290089937645</v>
      </c>
      <c r="AI2259">
        <v>92.324091038061596</v>
      </c>
      <c r="AJ2259">
        <v>91.294310619629002</v>
      </c>
      <c r="AK2259">
        <v>27.319526734805301</v>
      </c>
      <c r="AL2259">
        <v>79.365265566198502</v>
      </c>
      <c r="AM2259">
        <v>89.066861593295201</v>
      </c>
      <c r="AN2259">
        <v>0.99999998970371096</v>
      </c>
    </row>
    <row r="2260" spans="1:40" x14ac:dyDescent="0.25">
      <c r="A2260" t="str">
        <f>"20190312172935015"</f>
        <v>20190312172935015</v>
      </c>
      <c r="B2260" t="str">
        <f>"1552382975009478"</f>
        <v>1552382975009478</v>
      </c>
      <c r="C2260" t="s">
        <v>40</v>
      </c>
      <c r="D2260">
        <v>3.3287260000000001</v>
      </c>
      <c r="E2260">
        <v>0.489784</v>
      </c>
      <c r="F2260" t="s">
        <v>47</v>
      </c>
      <c r="G2260">
        <v>-376.82530000000003</v>
      </c>
      <c r="H2260" s="1">
        <v>2.095289E-6</v>
      </c>
      <c r="I2260">
        <v>283.62139999999999</v>
      </c>
      <c r="J2260">
        <v>-349.32029999999997</v>
      </c>
      <c r="K2260">
        <v>1.1078629999999901</v>
      </c>
      <c r="L2260">
        <v>284.3603</v>
      </c>
      <c r="M2260">
        <v>-0.99993690000000002</v>
      </c>
      <c r="N2260">
        <v>0</v>
      </c>
      <c r="O2260">
        <v>-3.7432229999999999E-3</v>
      </c>
      <c r="P2260">
        <v>-0.98459909999999995</v>
      </c>
      <c r="Q2260">
        <v>0.1744657</v>
      </c>
      <c r="R2260">
        <v>1.124407E-2</v>
      </c>
      <c r="S2260">
        <v>-3.0692439999999999</v>
      </c>
      <c r="T2260">
        <v>-0.12182659999999999</v>
      </c>
      <c r="U2260">
        <v>-8.1420899999999893E-2</v>
      </c>
      <c r="V2260">
        <v>1.5371320000000001E-2</v>
      </c>
      <c r="W2260">
        <v>0.1848513</v>
      </c>
      <c r="X2260">
        <v>0.98264629999999997</v>
      </c>
      <c r="Y2260">
        <v>-2.2761400000000001E-2</v>
      </c>
      <c r="Z2260">
        <v>-3.0297359999999999E-4</v>
      </c>
      <c r="AA2260">
        <v>0.99974090000000004</v>
      </c>
      <c r="AB2260">
        <v>52</v>
      </c>
      <c r="AC2260">
        <v>-27.504999999999999</v>
      </c>
      <c r="AD2260">
        <v>-1.10786090471099</v>
      </c>
      <c r="AE2260">
        <v>-0.738900000000001</v>
      </c>
      <c r="AF2260">
        <v>-0.63490240127139397</v>
      </c>
      <c r="AG2260">
        <v>-1.10786090471099</v>
      </c>
      <c r="AH2260">
        <v>27.463050486707001</v>
      </c>
      <c r="AI2260">
        <v>92.309445835888695</v>
      </c>
      <c r="AJ2260">
        <v>91.324352127181001</v>
      </c>
      <c r="AK2260">
        <v>27.4927190157456</v>
      </c>
      <c r="AL2260">
        <v>79.347537179915903</v>
      </c>
      <c r="AM2260">
        <v>89.103807813274898</v>
      </c>
      <c r="AN2260">
        <v>1.00000001574696</v>
      </c>
    </row>
    <row r="2261" spans="1:40" x14ac:dyDescent="0.25">
      <c r="A2261" t="str">
        <f>"20190312172935027"</f>
        <v>20190312172935027</v>
      </c>
      <c r="B2261" t="str">
        <f>"1552382975019225"</f>
        <v>1552382975019225</v>
      </c>
      <c r="C2261" t="s">
        <v>40</v>
      </c>
      <c r="D2261">
        <v>3.3394119999999998</v>
      </c>
      <c r="E2261">
        <v>0.48973280000000002</v>
      </c>
      <c r="F2261" t="s">
        <v>47</v>
      </c>
      <c r="G2261">
        <v>-378.04250000000002</v>
      </c>
      <c r="H2261" s="1">
        <v>2.743038E-6</v>
      </c>
      <c r="I2261">
        <v>283.58659999999998</v>
      </c>
      <c r="J2261">
        <v>-349.61250000000001</v>
      </c>
      <c r="K2261">
        <v>1.1078629999999901</v>
      </c>
      <c r="L2261">
        <v>284.35939999999999</v>
      </c>
      <c r="M2261">
        <v>-0.9999382</v>
      </c>
      <c r="N2261">
        <v>0</v>
      </c>
      <c r="O2261">
        <v>-3.3566669999999998E-3</v>
      </c>
      <c r="P2261">
        <v>-0.98457430000000001</v>
      </c>
      <c r="Q2261">
        <v>0.17459169999999999</v>
      </c>
      <c r="R2261">
        <v>1.145915E-2</v>
      </c>
      <c r="S2261">
        <v>-3.068848</v>
      </c>
      <c r="T2261">
        <v>-0.1183703</v>
      </c>
      <c r="U2261">
        <v>-8.2672120000000002E-2</v>
      </c>
      <c r="V2261">
        <v>1.5206310000000001E-2</v>
      </c>
      <c r="W2261">
        <v>0.18498629999999999</v>
      </c>
      <c r="X2261">
        <v>0.98262349999999998</v>
      </c>
      <c r="Y2261">
        <v>-2.3558579999999999E-2</v>
      </c>
      <c r="Z2261">
        <v>-3.2468869999999997E-4</v>
      </c>
      <c r="AA2261">
        <v>0.99972240000000001</v>
      </c>
      <c r="AB2261">
        <v>52</v>
      </c>
      <c r="AC2261">
        <v>-28.43</v>
      </c>
      <c r="AD2261">
        <v>-1.10786025696199</v>
      </c>
      <c r="AE2261">
        <v>-0.77280000000001703</v>
      </c>
      <c r="AF2261">
        <v>-0.67633398451515303</v>
      </c>
      <c r="AG2261">
        <v>-1.10786025696199</v>
      </c>
      <c r="AH2261">
        <v>28.389356443996999</v>
      </c>
      <c r="AI2261">
        <v>92.234131196368807</v>
      </c>
      <c r="AJ2261">
        <v>91.364728159491904</v>
      </c>
      <c r="AK2261">
        <v>28.419013728697202</v>
      </c>
      <c r="AL2261">
        <v>79.339666911407804</v>
      </c>
      <c r="AM2261">
        <v>89.113406259137804</v>
      </c>
      <c r="AN2261">
        <v>1.00000005290187</v>
      </c>
    </row>
    <row r="2262" spans="1:40" x14ac:dyDescent="0.25">
      <c r="A2262" t="str">
        <f>"20190312172935038"</f>
        <v>20190312172935038</v>
      </c>
      <c r="B2262" t="str">
        <f>"1552382975029961"</f>
        <v>1552382975029961</v>
      </c>
      <c r="C2262" t="s">
        <v>40</v>
      </c>
      <c r="D2262">
        <v>3.3336830000000002</v>
      </c>
      <c r="E2262">
        <v>0.48968200000000001</v>
      </c>
      <c r="F2262" t="s">
        <v>47</v>
      </c>
      <c r="G2262">
        <v>-378.7953</v>
      </c>
      <c r="H2262" s="1">
        <v>3.1436400000000001E-6</v>
      </c>
      <c r="I2262">
        <v>283.57870000000003</v>
      </c>
      <c r="J2262">
        <v>-349.88529999999997</v>
      </c>
      <c r="K2262">
        <v>1.107866</v>
      </c>
      <c r="L2262">
        <v>284.35860000000002</v>
      </c>
      <c r="M2262">
        <v>-0.99993929999999998</v>
      </c>
      <c r="N2262">
        <v>0</v>
      </c>
      <c r="O2262">
        <v>-2.9956259999999999E-3</v>
      </c>
      <c r="P2262">
        <v>-0.98460519999999996</v>
      </c>
      <c r="Q2262">
        <v>0.1744203</v>
      </c>
      <c r="R2262">
        <v>1.142697E-2</v>
      </c>
      <c r="S2262">
        <v>-3.0686040000000001</v>
      </c>
      <c r="T2262">
        <v>-0.1164925</v>
      </c>
      <c r="U2262">
        <v>-8.2092289999999998E-2</v>
      </c>
      <c r="V2262">
        <v>1.481879E-2</v>
      </c>
      <c r="W2262">
        <v>0.1848265</v>
      </c>
      <c r="X2262">
        <v>0.98265950000000002</v>
      </c>
      <c r="Y2262">
        <v>-2.3733000000000001E-2</v>
      </c>
      <c r="Z2262">
        <v>-3.3657579999999998E-4</v>
      </c>
      <c r="AA2262">
        <v>0.9997182</v>
      </c>
      <c r="AB2262">
        <v>52</v>
      </c>
      <c r="AC2262">
        <v>-28.91</v>
      </c>
      <c r="AD2262">
        <v>-1.1078628563599999</v>
      </c>
      <c r="AE2262">
        <v>-0.77989999999999704</v>
      </c>
      <c r="AF2262">
        <v>-0.69227221727785404</v>
      </c>
      <c r="AG2262">
        <v>-1.1078628563599999</v>
      </c>
      <c r="AH2262">
        <v>28.869841974692399</v>
      </c>
      <c r="AI2262">
        <v>92.196981920553995</v>
      </c>
      <c r="AJ2262">
        <v>91.373636776777204</v>
      </c>
      <c r="AK2262">
        <v>28.899383671196698</v>
      </c>
      <c r="AL2262">
        <v>79.348983530406997</v>
      </c>
      <c r="AM2262">
        <v>89.136028532076296</v>
      </c>
      <c r="AN2262">
        <v>1.00000006228978</v>
      </c>
    </row>
    <row r="2263" spans="1:40" x14ac:dyDescent="0.25">
      <c r="A2263" t="str">
        <f>"20190312172935052"</f>
        <v>20190312172935052</v>
      </c>
      <c r="B2263" t="str">
        <f>"1552382975039720"</f>
        <v>1552382975039720</v>
      </c>
      <c r="C2263" t="s">
        <v>40</v>
      </c>
      <c r="D2263">
        <v>3.3676599999999999</v>
      </c>
      <c r="E2263">
        <v>0.48961490000000002</v>
      </c>
      <c r="F2263" t="s">
        <v>47</v>
      </c>
      <c r="G2263">
        <v>-379.2183</v>
      </c>
      <c r="H2263" s="1">
        <v>3.3687419999999999E-6</v>
      </c>
      <c r="I2263">
        <v>283.56849999999997</v>
      </c>
      <c r="J2263">
        <v>-350.19119999999998</v>
      </c>
      <c r="K2263">
        <v>1.107866</v>
      </c>
      <c r="L2263">
        <v>284.3578</v>
      </c>
      <c r="M2263">
        <v>-0.99994019999999995</v>
      </c>
      <c r="N2263">
        <v>0</v>
      </c>
      <c r="O2263">
        <v>-2.5908400000000001E-3</v>
      </c>
      <c r="P2263">
        <v>-0.98462050000000001</v>
      </c>
      <c r="Q2263">
        <v>0.17431579999999999</v>
      </c>
      <c r="R2263">
        <v>1.1695570000000001E-2</v>
      </c>
      <c r="S2263">
        <v>-3.06839</v>
      </c>
      <c r="T2263">
        <v>-0.1158884</v>
      </c>
      <c r="U2263">
        <v>-8.2641599999999996E-2</v>
      </c>
      <c r="V2263">
        <v>1.4688949999999999E-2</v>
      </c>
      <c r="W2263">
        <v>0.1847337</v>
      </c>
      <c r="X2263">
        <v>0.98267879999999996</v>
      </c>
      <c r="Y2263">
        <v>-2.431784E-2</v>
      </c>
      <c r="Z2263">
        <v>-3.6117290000000003E-4</v>
      </c>
      <c r="AA2263">
        <v>0.99970420000000004</v>
      </c>
      <c r="AB2263">
        <v>52</v>
      </c>
      <c r="AC2263">
        <v>-29.027100000000001</v>
      </c>
      <c r="AD2263">
        <v>-1.107862631258</v>
      </c>
      <c r="AE2263">
        <v>-0.78930000000002498</v>
      </c>
      <c r="AF2263">
        <v>-0.71305061378520496</v>
      </c>
      <c r="AG2263">
        <v>-1.107862631258</v>
      </c>
      <c r="AH2263">
        <v>28.986854223454898</v>
      </c>
      <c r="AI2263">
        <v>92.188088579586207</v>
      </c>
      <c r="AJ2263">
        <v>91.409140598611799</v>
      </c>
      <c r="AK2263">
        <v>29.016779948150401</v>
      </c>
      <c r="AL2263">
        <v>79.354392690411999</v>
      </c>
      <c r="AM2263">
        <v>89.143614204578796</v>
      </c>
      <c r="AN2263">
        <v>0.99999996456861495</v>
      </c>
    </row>
    <row r="2264" spans="1:40" x14ac:dyDescent="0.25">
      <c r="A2264" t="str">
        <f>"20190312172935071"</f>
        <v>20190312172935071</v>
      </c>
      <c r="B2264" t="str">
        <f>"1552382975059241"</f>
        <v>1552382975059241</v>
      </c>
      <c r="C2264" t="s">
        <v>40</v>
      </c>
      <c r="D2264">
        <v>3.3548789999999999</v>
      </c>
      <c r="E2264">
        <v>0.48951339999999999</v>
      </c>
      <c r="F2264" t="s">
        <v>47</v>
      </c>
      <c r="G2264">
        <v>-379.68299999999999</v>
      </c>
      <c r="H2264" s="1">
        <v>3.6160059999999999E-6</v>
      </c>
      <c r="I2264">
        <v>283.56729999999999</v>
      </c>
      <c r="J2264">
        <v>-350.64519999999999</v>
      </c>
      <c r="K2264">
        <v>1.1078669999999999</v>
      </c>
      <c r="L2264">
        <v>284.3569</v>
      </c>
      <c r="M2264">
        <v>-0.99994139999999998</v>
      </c>
      <c r="N2264">
        <v>0</v>
      </c>
      <c r="O2264">
        <v>-1.99058E-3</v>
      </c>
      <c r="P2264">
        <v>-0.98467760000000004</v>
      </c>
      <c r="Q2264">
        <v>0.17398669999999999</v>
      </c>
      <c r="R2264">
        <v>1.1782900000000001E-2</v>
      </c>
      <c r="S2264">
        <v>-3.0682369999999999</v>
      </c>
      <c r="T2264">
        <v>-0.1152586</v>
      </c>
      <c r="U2264">
        <v>-8.2244869999999998E-2</v>
      </c>
      <c r="V2264">
        <v>1.4185140000000001E-2</v>
      </c>
      <c r="W2264">
        <v>0.18442439999999999</v>
      </c>
      <c r="X2264">
        <v>0.98274430000000002</v>
      </c>
      <c r="Y2264">
        <v>-2.4789530000000001E-2</v>
      </c>
      <c r="Z2264">
        <v>-3.906224E-4</v>
      </c>
      <c r="AA2264">
        <v>0.99969260000000004</v>
      </c>
      <c r="AB2264">
        <v>52</v>
      </c>
      <c r="AC2264">
        <v>-29.037800000000001</v>
      </c>
      <c r="AD2264">
        <v>-1.107863383994</v>
      </c>
      <c r="AE2264">
        <v>-0.78960000000000696</v>
      </c>
      <c r="AF2264">
        <v>-0.73073022643201901</v>
      </c>
      <c r="AG2264">
        <v>-1.107863383994</v>
      </c>
      <c r="AH2264">
        <v>28.997136981616599</v>
      </c>
      <c r="AI2264">
        <v>92.187282214761694</v>
      </c>
      <c r="AJ2264">
        <v>91.443552814006907</v>
      </c>
      <c r="AK2264">
        <v>29.027491815037202</v>
      </c>
      <c r="AL2264">
        <v>79.372424137938793</v>
      </c>
      <c r="AM2264">
        <v>89.173037974970299</v>
      </c>
      <c r="AN2264">
        <v>0.99999996834733396</v>
      </c>
    </row>
    <row r="2265" spans="1:40" x14ac:dyDescent="0.25">
      <c r="A2265" t="str">
        <f>"20190312172935094"</f>
        <v>20190312172935094</v>
      </c>
      <c r="B2265" t="str">
        <f>"1552382975089497"</f>
        <v>1552382975089497</v>
      </c>
      <c r="C2265" t="s">
        <v>40</v>
      </c>
      <c r="D2265">
        <v>3.498386</v>
      </c>
      <c r="E2265">
        <v>0.48919689999999999</v>
      </c>
      <c r="F2265" t="s">
        <v>47</v>
      </c>
      <c r="G2265">
        <v>-380.274</v>
      </c>
      <c r="H2265" s="1">
        <v>-1.3909889999999901E-6</v>
      </c>
      <c r="I2265">
        <v>283.56290000000001</v>
      </c>
      <c r="J2265">
        <v>-351.16829999999999</v>
      </c>
      <c r="K2265">
        <v>1.107869</v>
      </c>
      <c r="L2265">
        <v>284.3562</v>
      </c>
      <c r="M2265">
        <v>-0.99994240000000001</v>
      </c>
      <c r="N2265">
        <v>0</v>
      </c>
      <c r="O2265">
        <v>-1.299503E-3</v>
      </c>
      <c r="P2265">
        <v>-0.98470999999999997</v>
      </c>
      <c r="Q2265">
        <v>0.173789</v>
      </c>
      <c r="R2265">
        <v>1.2001090000000001E-2</v>
      </c>
      <c r="S2265">
        <v>-3.0679319999999999</v>
      </c>
      <c r="T2265">
        <v>-0.114715</v>
      </c>
      <c r="U2265">
        <v>-8.221436E-2</v>
      </c>
      <c r="V2265">
        <v>1.3723279999999999E-2</v>
      </c>
      <c r="W2265">
        <v>0.184251</v>
      </c>
      <c r="X2265">
        <v>0.98278339999999997</v>
      </c>
      <c r="Y2265">
        <v>-2.547234E-2</v>
      </c>
      <c r="Z2265">
        <v>-4.2740699999999998E-4</v>
      </c>
      <c r="AA2265">
        <v>0.99967550000000005</v>
      </c>
      <c r="AB2265">
        <v>52</v>
      </c>
      <c r="AC2265">
        <v>-29.105699999999999</v>
      </c>
      <c r="AD2265">
        <v>-1.107870390989</v>
      </c>
      <c r="AE2265">
        <v>-0.79329999999998702</v>
      </c>
      <c r="AF2265">
        <v>-0.75438206779344397</v>
      </c>
      <c r="AG2265">
        <v>-1.107870390989</v>
      </c>
      <c r="AH2265">
        <v>29.064627506164101</v>
      </c>
      <c r="AI2265">
        <v>92.182179778538199</v>
      </c>
      <c r="AJ2265">
        <v>91.486797187102098</v>
      </c>
      <c r="AK2265">
        <v>29.0955158259741</v>
      </c>
      <c r="AL2265">
        <v>79.382532635756405</v>
      </c>
      <c r="AM2265">
        <v>89.199991649727494</v>
      </c>
      <c r="AN2265">
        <v>0.99999998536525903</v>
      </c>
    </row>
    <row r="2266" spans="1:40" x14ac:dyDescent="0.25">
      <c r="A2266" t="str">
        <f>"20190312172935106"</f>
        <v>20190312172935106</v>
      </c>
      <c r="B2266" t="str">
        <f>"1552382975099257"</f>
        <v>1552382975099257</v>
      </c>
      <c r="C2266" t="s">
        <v>40</v>
      </c>
      <c r="D2266">
        <v>3.2431369999999999</v>
      </c>
      <c r="E2266">
        <v>0.48919689999999999</v>
      </c>
      <c r="F2266" t="s">
        <v>47</v>
      </c>
      <c r="G2266">
        <v>-381.06009999999998</v>
      </c>
      <c r="H2266" s="1">
        <v>-9.7266130000000003E-7</v>
      </c>
      <c r="I2266">
        <v>283.54109999999997</v>
      </c>
      <c r="J2266">
        <v>-351.44709999999998</v>
      </c>
      <c r="K2266">
        <v>1.107874</v>
      </c>
      <c r="L2266">
        <v>284.35599999999999</v>
      </c>
      <c r="M2266">
        <v>-0.99994269999999996</v>
      </c>
      <c r="N2266">
        <v>0</v>
      </c>
      <c r="O2266">
        <v>-9.3132079999999997E-4</v>
      </c>
      <c r="P2266">
        <v>-0.98470230000000003</v>
      </c>
      <c r="Q2266">
        <v>0.173819</v>
      </c>
      <c r="R2266">
        <v>1.2191550000000001E-2</v>
      </c>
      <c r="S2266">
        <v>-3.0676570000000001</v>
      </c>
      <c r="T2266">
        <v>-0.11369559999999999</v>
      </c>
      <c r="U2266">
        <v>-8.3648680000000003E-2</v>
      </c>
      <c r="V2266">
        <v>1.355168E-2</v>
      </c>
      <c r="W2266">
        <v>0.1842946</v>
      </c>
      <c r="X2266">
        <v>0.98277769999999998</v>
      </c>
      <c r="Y2266">
        <v>-2.6309349999999999E-2</v>
      </c>
      <c r="Z2266">
        <v>-4.5278890000000001E-4</v>
      </c>
      <c r="AA2266">
        <v>0.99965380000000004</v>
      </c>
      <c r="AB2266">
        <v>52</v>
      </c>
      <c r="AC2266">
        <v>-29.613</v>
      </c>
      <c r="AD2266">
        <v>-1.1078749726613</v>
      </c>
      <c r="AE2266">
        <v>-0.81490000000002205</v>
      </c>
      <c r="AF2266">
        <v>-0.78621928313277101</v>
      </c>
      <c r="AG2266">
        <v>-1.1078749726613</v>
      </c>
      <c r="AH2266">
        <v>29.572386724041198</v>
      </c>
      <c r="AI2266">
        <v>92.1447203191169</v>
      </c>
      <c r="AJ2266">
        <v>91.522921977459504</v>
      </c>
      <c r="AK2266">
        <v>29.603573842907299</v>
      </c>
      <c r="AL2266">
        <v>79.379992005929495</v>
      </c>
      <c r="AM2266">
        <v>89.209989336329798</v>
      </c>
      <c r="AN2266">
        <v>1.00000007761863</v>
      </c>
    </row>
    <row r="2267" spans="1:40" x14ac:dyDescent="0.25">
      <c r="A2267" t="str">
        <f>"20190312172935117"</f>
        <v>20190312172935117</v>
      </c>
      <c r="B2267" t="str">
        <f>"1552382975109992"</f>
        <v>1552382975109992</v>
      </c>
      <c r="C2267" t="s">
        <v>40</v>
      </c>
      <c r="D2267">
        <v>3.2183830000000002</v>
      </c>
      <c r="E2267">
        <v>0.47075889999999998</v>
      </c>
      <c r="F2267" t="s">
        <v>47</v>
      </c>
      <c r="G2267">
        <v>-381.37880000000001</v>
      </c>
      <c r="H2267" s="1">
        <v>-8.0304899999999995E-7</v>
      </c>
      <c r="I2267">
        <v>283.5428</v>
      </c>
      <c r="J2267">
        <v>-351.74369999999999</v>
      </c>
      <c r="K2267">
        <v>1.107874</v>
      </c>
      <c r="L2267">
        <v>284.35590000000002</v>
      </c>
      <c r="M2267">
        <v>-0.99994269999999996</v>
      </c>
      <c r="N2267">
        <v>0</v>
      </c>
      <c r="O2267">
        <v>-5.3966690000000004E-4</v>
      </c>
      <c r="P2267">
        <v>-0.98466670000000001</v>
      </c>
      <c r="Q2267">
        <v>0.1740005</v>
      </c>
      <c r="R2267">
        <v>1.2486540000000001E-2</v>
      </c>
      <c r="S2267">
        <v>-3.0677189999999999</v>
      </c>
      <c r="T2267">
        <v>-0.1135468</v>
      </c>
      <c r="U2267">
        <v>-8.3343509999999996E-2</v>
      </c>
      <c r="V2267">
        <v>1.3461839999999999E-2</v>
      </c>
      <c r="W2267">
        <v>0.1844914</v>
      </c>
      <c r="X2267">
        <v>0.982742</v>
      </c>
      <c r="Y2267">
        <v>-2.6600559999999999E-2</v>
      </c>
      <c r="Z2267">
        <v>-4.7206469999999998E-4</v>
      </c>
      <c r="AA2267">
        <v>0.99964600000000003</v>
      </c>
      <c r="AB2267">
        <v>52</v>
      </c>
      <c r="AC2267">
        <v>-29.635100000000001</v>
      </c>
      <c r="AD2267">
        <v>-1.107874803049</v>
      </c>
      <c r="AE2267">
        <v>-0.81310000000001903</v>
      </c>
      <c r="AF2267">
        <v>-0.79599427678708401</v>
      </c>
      <c r="AG2267">
        <v>-1.107874803049</v>
      </c>
      <c r="AH2267">
        <v>29.594206124860001</v>
      </c>
      <c r="AI2267">
        <v>92.143122416504397</v>
      </c>
      <c r="AJ2267">
        <v>91.540711011185607</v>
      </c>
      <c r="AK2267">
        <v>29.625631295022401</v>
      </c>
      <c r="AL2267">
        <v>79.368519371792203</v>
      </c>
      <c r="AM2267">
        <v>89.215197499683896</v>
      </c>
      <c r="AN2267">
        <v>1.00000006818707</v>
      </c>
    </row>
    <row r="2268" spans="1:40" x14ac:dyDescent="0.25">
      <c r="A2268" t="str">
        <f>"20190312172935129"</f>
        <v>20190312172935129</v>
      </c>
      <c r="B2268" t="str">
        <f>"1552382975119752"</f>
        <v>1552382975119752</v>
      </c>
      <c r="C2268" t="s">
        <v>40</v>
      </c>
      <c r="D2268">
        <v>3.2097250000000002</v>
      </c>
      <c r="E2268">
        <v>0.47091549999999999</v>
      </c>
      <c r="F2268" t="s">
        <v>47</v>
      </c>
      <c r="G2268">
        <v>-392.5865</v>
      </c>
      <c r="H2268" s="1">
        <v>-1.6037430000000001E-7</v>
      </c>
      <c r="I2268">
        <v>281.31700000000001</v>
      </c>
      <c r="J2268">
        <v>-352.00740000000002</v>
      </c>
      <c r="K2268">
        <v>1.1078749999999999</v>
      </c>
      <c r="L2268">
        <v>284.35579999999999</v>
      </c>
      <c r="M2268">
        <v>-0.99994260000000001</v>
      </c>
      <c r="N2268">
        <v>0</v>
      </c>
      <c r="O2268">
        <v>-1.914033E-4</v>
      </c>
      <c r="P2268">
        <v>-0.98466540000000002</v>
      </c>
      <c r="Q2268">
        <v>0.1739764</v>
      </c>
      <c r="R2268">
        <v>1.290343E-2</v>
      </c>
      <c r="S2268">
        <v>-3.06427</v>
      </c>
      <c r="T2268">
        <v>-8.3119150000000003E-2</v>
      </c>
      <c r="U2268">
        <v>-0.2279968</v>
      </c>
      <c r="V2268">
        <v>1.3535989999999999E-2</v>
      </c>
      <c r="W2268">
        <v>0.18448200000000001</v>
      </c>
      <c r="X2268">
        <v>0.98274269999999997</v>
      </c>
      <c r="Y2268">
        <v>-7.3981959999999999E-2</v>
      </c>
      <c r="Z2268">
        <v>-9.9663810000000003E-4</v>
      </c>
      <c r="AA2268">
        <v>0.99725909999999995</v>
      </c>
      <c r="AB2268">
        <v>52</v>
      </c>
      <c r="AC2268">
        <v>-40.579099999999897</v>
      </c>
      <c r="AD2268">
        <v>-1.1078751603743</v>
      </c>
      <c r="AE2268">
        <v>-3.0387999999999802</v>
      </c>
      <c r="AF2268">
        <v>-3.0287875217696301</v>
      </c>
      <c r="AG2268">
        <v>-1.1078751603743</v>
      </c>
      <c r="AH2268">
        <v>40.549624662379102</v>
      </c>
      <c r="AI2268">
        <v>91.560669966627103</v>
      </c>
      <c r="AJ2268">
        <v>94.271681757423096</v>
      </c>
      <c r="AK2268">
        <v>40.677672026344197</v>
      </c>
      <c r="AL2268">
        <v>79.369066870962897</v>
      </c>
      <c r="AM2268">
        <v>89.210875787278596</v>
      </c>
      <c r="AN2268">
        <v>1.00000002287628</v>
      </c>
    </row>
    <row r="2269" spans="1:40" x14ac:dyDescent="0.25">
      <c r="A2269" t="str">
        <f>"20190312172935141"</f>
        <v>20190312172935141</v>
      </c>
      <c r="B2269" t="str">
        <f>"1552382975129513"</f>
        <v>1552382975129513</v>
      </c>
      <c r="C2269" t="s">
        <v>40</v>
      </c>
      <c r="D2269">
        <v>3.2010540000000001</v>
      </c>
      <c r="E2269">
        <v>0.47074250000000001</v>
      </c>
      <c r="F2269" t="s">
        <v>47</v>
      </c>
      <c r="G2269">
        <v>-393.19760000000002</v>
      </c>
      <c r="H2269" s="1">
        <v>1.64817399999999E-7</v>
      </c>
      <c r="I2269">
        <v>281.32760000000002</v>
      </c>
      <c r="J2269">
        <v>-352.28309999999999</v>
      </c>
      <c r="K2269">
        <v>1.107872</v>
      </c>
      <c r="L2269">
        <v>284.35590000000002</v>
      </c>
      <c r="M2269">
        <v>-0.99994249999999996</v>
      </c>
      <c r="N2269">
        <v>0</v>
      </c>
      <c r="O2269">
        <v>1.7223020000000001E-4</v>
      </c>
      <c r="P2269">
        <v>-0.98468670000000003</v>
      </c>
      <c r="Q2269">
        <v>0.1738325</v>
      </c>
      <c r="R2269">
        <v>1.3217670000000001E-2</v>
      </c>
      <c r="S2269">
        <v>-3.0642399999999999</v>
      </c>
      <c r="T2269">
        <v>-8.2417610000000002E-2</v>
      </c>
      <c r="U2269">
        <v>-0.2252808</v>
      </c>
      <c r="V2269">
        <v>1.349235E-2</v>
      </c>
      <c r="W2269">
        <v>0.18435550000000001</v>
      </c>
      <c r="X2269">
        <v>0.98276699999999995</v>
      </c>
      <c r="Y2269">
        <v>-7.3466710000000005E-2</v>
      </c>
      <c r="Z2269">
        <v>-9.9111860000000002E-4</v>
      </c>
      <c r="AA2269">
        <v>0.99729719999999999</v>
      </c>
      <c r="AB2269">
        <v>52</v>
      </c>
      <c r="AC2269">
        <v>-40.914499999999997</v>
      </c>
      <c r="AD2269">
        <v>-1.1078718351826</v>
      </c>
      <c r="AE2269">
        <v>-3.0283000000000002</v>
      </c>
      <c r="AF2269">
        <v>-3.0331352839789498</v>
      </c>
      <c r="AG2269">
        <v>-1.1078718351826</v>
      </c>
      <c r="AH2269">
        <v>40.8841647086387</v>
      </c>
      <c r="AI2269">
        <v>91.547958998740995</v>
      </c>
      <c r="AJ2269">
        <v>94.242915689754398</v>
      </c>
      <c r="AK2269">
        <v>41.011488799813201</v>
      </c>
      <c r="AL2269">
        <v>79.376440868322106</v>
      </c>
      <c r="AM2269">
        <v>89.213439048348903</v>
      </c>
      <c r="AN2269">
        <v>0.99999998508888599</v>
      </c>
    </row>
    <row r="2270" spans="1:40" x14ac:dyDescent="0.25">
      <c r="A2270" t="str">
        <f>"20190312172935152"</f>
        <v>20190312172935152</v>
      </c>
      <c r="B2270" t="str">
        <f>"1552382975150009"</f>
        <v>1552382975150009</v>
      </c>
      <c r="C2270" t="s">
        <v>40</v>
      </c>
      <c r="D2270">
        <v>3.2067640000000002</v>
      </c>
      <c r="E2270">
        <v>0.47070830000000002</v>
      </c>
      <c r="F2270" t="s">
        <v>47</v>
      </c>
      <c r="G2270">
        <v>-393.97059999999999</v>
      </c>
      <c r="H2270" s="1">
        <v>5.7619669999999903E-7</v>
      </c>
      <c r="I2270">
        <v>281.28719999999998</v>
      </c>
      <c r="J2270">
        <v>-352.5523</v>
      </c>
      <c r="K2270">
        <v>1.107874</v>
      </c>
      <c r="L2270">
        <v>284.35610000000003</v>
      </c>
      <c r="M2270">
        <v>-0.99994209999999994</v>
      </c>
      <c r="N2270">
        <v>0</v>
      </c>
      <c r="O2270">
        <v>5.2762230000000005E-4</v>
      </c>
      <c r="P2270">
        <v>-0.9846935</v>
      </c>
      <c r="Q2270">
        <v>0.17377379999999901</v>
      </c>
      <c r="R2270">
        <v>1.3474130000000001E-2</v>
      </c>
      <c r="S2270">
        <v>-3.0640559999999999</v>
      </c>
      <c r="T2270">
        <v>-8.1429119999999994E-2</v>
      </c>
      <c r="U2270">
        <v>-0.22555539999999999</v>
      </c>
      <c r="V2270">
        <v>1.3399009999999999E-2</v>
      </c>
      <c r="W2270">
        <v>0.18431800000000001</v>
      </c>
      <c r="X2270">
        <v>0.98277530000000002</v>
      </c>
      <c r="Y2270">
        <v>-7.3914779999999999E-2</v>
      </c>
      <c r="Z2270">
        <v>-9.9466669999999997E-4</v>
      </c>
      <c r="AA2270">
        <v>0.99726409999999999</v>
      </c>
      <c r="AB2270">
        <v>52</v>
      </c>
      <c r="AC2270">
        <v>-41.418299999999903</v>
      </c>
      <c r="AD2270">
        <v>-1.1078734238032999</v>
      </c>
      <c r="AE2270">
        <v>-3.0689000000000402</v>
      </c>
      <c r="AF2270">
        <v>-3.0885563281895299</v>
      </c>
      <c r="AG2270">
        <v>-1.1078734238032999</v>
      </c>
      <c r="AH2270">
        <v>41.387224991383597</v>
      </c>
      <c r="AI2270">
        <v>91.529105330003702</v>
      </c>
      <c r="AJ2270">
        <v>94.267834718589299</v>
      </c>
      <c r="AK2270">
        <v>41.517092338011501</v>
      </c>
      <c r="AL2270">
        <v>79.378626807771198</v>
      </c>
      <c r="AM2270">
        <v>89.218886392057897</v>
      </c>
      <c r="AN2270">
        <v>0.99999997444153399</v>
      </c>
    </row>
    <row r="2271" spans="1:40" x14ac:dyDescent="0.25">
      <c r="A2271" t="str">
        <f>"20190312172935164"</f>
        <v>20190312172935164</v>
      </c>
      <c r="B2271" t="str">
        <f>"1552382975159768"</f>
        <v>1552382975159768</v>
      </c>
      <c r="C2271" t="s">
        <v>40</v>
      </c>
      <c r="D2271">
        <v>3.221511</v>
      </c>
      <c r="E2271">
        <v>0.47059609999999902</v>
      </c>
      <c r="F2271" t="s">
        <v>47</v>
      </c>
      <c r="G2271">
        <v>-394.25580000000002</v>
      </c>
      <c r="H2271" s="1">
        <v>7.2795649999999897E-7</v>
      </c>
      <c r="I2271">
        <v>281.29410000000001</v>
      </c>
      <c r="J2271">
        <v>-352.83519999999999</v>
      </c>
      <c r="K2271">
        <v>1.107877</v>
      </c>
      <c r="L2271">
        <v>284.35640000000001</v>
      </c>
      <c r="M2271">
        <v>-0.99994150000000004</v>
      </c>
      <c r="N2271">
        <v>0</v>
      </c>
      <c r="O2271">
        <v>9.009434E-4</v>
      </c>
      <c r="P2271">
        <v>-0.98465990000000003</v>
      </c>
      <c r="Q2271">
        <v>0.1739262</v>
      </c>
      <c r="R2271">
        <v>1.3942660000000001E-2</v>
      </c>
      <c r="S2271">
        <v>-3.0640559999999999</v>
      </c>
      <c r="T2271">
        <v>-8.1398129999999999E-2</v>
      </c>
      <c r="U2271">
        <v>-0.2249756</v>
      </c>
      <c r="V2271">
        <v>1.350058E-2</v>
      </c>
      <c r="W2271">
        <v>0.18449280000000001</v>
      </c>
      <c r="X2271">
        <v>0.98274110000000003</v>
      </c>
      <c r="Y2271">
        <v>-7.4099219999999993E-2</v>
      </c>
      <c r="Z2271">
        <v>-1.0066439999999999E-3</v>
      </c>
      <c r="AA2271">
        <v>0.99725039999999998</v>
      </c>
      <c r="AB2271">
        <v>52</v>
      </c>
      <c r="AC2271">
        <v>-41.4206</v>
      </c>
      <c r="AD2271">
        <v>-1.1078762720435</v>
      </c>
      <c r="AE2271">
        <v>-3.0622999999999898</v>
      </c>
      <c r="AF2271">
        <v>-3.0974146926917498</v>
      </c>
      <c r="AG2271">
        <v>-1.1078762720435</v>
      </c>
      <c r="AH2271">
        <v>41.388375730737998</v>
      </c>
      <c r="AI2271">
        <v>91.529042691015803</v>
      </c>
      <c r="AJ2271">
        <v>94.2799114217393</v>
      </c>
      <c r="AK2271">
        <v>41.518899470499001</v>
      </c>
      <c r="AL2271">
        <v>79.368436639051396</v>
      </c>
      <c r="AM2271">
        <v>89.212938586209006</v>
      </c>
      <c r="AN2271">
        <v>0.99999996427069204</v>
      </c>
    </row>
    <row r="2272" spans="1:40" x14ac:dyDescent="0.25">
      <c r="A2272" t="str">
        <f>"20190312172935177"</f>
        <v>20190312172935177</v>
      </c>
      <c r="B2272" t="str">
        <f>"1552382975169529"</f>
        <v>1552382975169529</v>
      </c>
      <c r="C2272" t="s">
        <v>40</v>
      </c>
      <c r="D2272">
        <v>3.2039309999999999</v>
      </c>
      <c r="E2272">
        <v>0.47053669999999997</v>
      </c>
      <c r="F2272" t="s">
        <v>47</v>
      </c>
      <c r="G2272">
        <v>-394.04759999999999</v>
      </c>
      <c r="H2272" s="1">
        <v>6.1714149999999997E-7</v>
      </c>
      <c r="I2272">
        <v>281.33980000000003</v>
      </c>
      <c r="J2272">
        <v>-353.13040000000001</v>
      </c>
      <c r="K2272">
        <v>1.1078840000000001</v>
      </c>
      <c r="L2272">
        <v>284.35680000000002</v>
      </c>
      <c r="M2272">
        <v>-0.99994079999999996</v>
      </c>
      <c r="N2272">
        <v>0</v>
      </c>
      <c r="O2272">
        <v>1.2900310000000001E-3</v>
      </c>
      <c r="P2272">
        <v>-0.98466810000000005</v>
      </c>
      <c r="Q2272">
        <v>0.17385249999999999</v>
      </c>
      <c r="R2272">
        <v>1.429158E-2</v>
      </c>
      <c r="S2272">
        <v>-3.0644529999999999</v>
      </c>
      <c r="T2272">
        <v>-8.2378980000000004E-2</v>
      </c>
      <c r="U2272">
        <v>-0.22430420000000001</v>
      </c>
      <c r="V2272">
        <v>1.3466840000000001E-2</v>
      </c>
      <c r="W2272">
        <v>0.18444969999999999</v>
      </c>
      <c r="X2272">
        <v>0.98274969999999995</v>
      </c>
      <c r="Y2272">
        <v>-7.4259690000000003E-2</v>
      </c>
      <c r="Z2272">
        <v>-1.0312450000000001E-3</v>
      </c>
      <c r="AA2272">
        <v>0.99723839999999997</v>
      </c>
      <c r="AB2272">
        <v>52</v>
      </c>
      <c r="AC2272">
        <v>-40.917199999999902</v>
      </c>
      <c r="AD2272">
        <v>-1.1078833828585</v>
      </c>
      <c r="AE2272">
        <v>-3.0169999999999901</v>
      </c>
      <c r="AF2272">
        <v>-3.0675483000238701</v>
      </c>
      <c r="AG2272">
        <v>-1.1078833828585</v>
      </c>
      <c r="AH2272">
        <v>40.883463202084101</v>
      </c>
      <c r="AI2272">
        <v>91.547904898830694</v>
      </c>
      <c r="AJ2272">
        <v>94.290949064754301</v>
      </c>
      <c r="AK2272">
        <v>41.0133493092086</v>
      </c>
      <c r="AL2272">
        <v>79.370949702361301</v>
      </c>
      <c r="AM2272">
        <v>89.214912195186102</v>
      </c>
      <c r="AN2272">
        <v>1.0000000102298801</v>
      </c>
    </row>
    <row r="2273" spans="1:40" x14ac:dyDescent="0.25">
      <c r="A2273" t="str">
        <f>"20190312172935193"</f>
        <v>20190312172935193</v>
      </c>
      <c r="B2273" t="str">
        <f>"1552382975190024"</f>
        <v>1552382975190024</v>
      </c>
      <c r="C2273" t="s">
        <v>40</v>
      </c>
      <c r="D2273">
        <v>3.2120259999999998</v>
      </c>
      <c r="E2273">
        <v>0.470416</v>
      </c>
      <c r="F2273" t="s">
        <v>47</v>
      </c>
      <c r="G2273">
        <v>-393.92759999999998</v>
      </c>
      <c r="H2273" s="1">
        <v>5.5328619999999998E-7</v>
      </c>
      <c r="I2273">
        <v>281.37979999999999</v>
      </c>
      <c r="J2273">
        <v>-353.5129</v>
      </c>
      <c r="K2273">
        <v>1.1078889999999999</v>
      </c>
      <c r="L2273">
        <v>284.35750000000002</v>
      </c>
      <c r="M2273">
        <v>-0.99993960000000004</v>
      </c>
      <c r="N2273">
        <v>0</v>
      </c>
      <c r="O2273">
        <v>1.7936810000000001E-3</v>
      </c>
      <c r="P2273">
        <v>-0.98469039999999997</v>
      </c>
      <c r="Q2273">
        <v>0.1736945</v>
      </c>
      <c r="R2273">
        <v>1.467947E-2</v>
      </c>
      <c r="S2273">
        <v>-3.0646969999999998</v>
      </c>
      <c r="T2273">
        <v>-8.3224530000000005E-2</v>
      </c>
      <c r="U2273">
        <v>-0.22363279999999999</v>
      </c>
      <c r="V2273">
        <v>1.3359050000000001E-2</v>
      </c>
      <c r="W2273">
        <v>0.18433620000000001</v>
      </c>
      <c r="X2273">
        <v>0.98277250000000005</v>
      </c>
      <c r="Y2273">
        <v>-7.4538030000000005E-2</v>
      </c>
      <c r="Z2273">
        <v>-1.059183E-3</v>
      </c>
      <c r="AA2273">
        <v>0.99721760000000004</v>
      </c>
      <c r="AB2273">
        <v>52</v>
      </c>
      <c r="AC2273">
        <v>-40.414699999999897</v>
      </c>
      <c r="AD2273">
        <v>-1.1078884467137999</v>
      </c>
      <c r="AE2273">
        <v>-2.97770000000002</v>
      </c>
      <c r="AF2273">
        <v>-3.0479124937284201</v>
      </c>
      <c r="AG2273">
        <v>-1.1078884467137999</v>
      </c>
      <c r="AH2273">
        <v>40.379113643330598</v>
      </c>
      <c r="AI2273">
        <v>91.567183508091404</v>
      </c>
      <c r="AJ2273">
        <v>94.316637340902602</v>
      </c>
      <c r="AK2273">
        <v>40.509134846362699</v>
      </c>
      <c r="AL2273">
        <v>79.377566579498406</v>
      </c>
      <c r="AM2273">
        <v>89.221213409005003</v>
      </c>
      <c r="AN2273">
        <v>1.0000000428017899</v>
      </c>
    </row>
    <row r="2274" spans="1:40" x14ac:dyDescent="0.25">
      <c r="A2274" t="str">
        <f>"20190312172935205"</f>
        <v>20190312172935205</v>
      </c>
      <c r="B2274" t="str">
        <f>"1552382975199785"</f>
        <v>1552382975199785</v>
      </c>
      <c r="C2274" t="s">
        <v>40</v>
      </c>
      <c r="D2274">
        <v>3.1945410000000001</v>
      </c>
      <c r="E2274">
        <v>0.47030480000000002</v>
      </c>
      <c r="F2274" t="s">
        <v>47</v>
      </c>
      <c r="G2274">
        <v>-393.44650000000001</v>
      </c>
      <c r="H2274" s="1">
        <v>2.9725689999999998E-7</v>
      </c>
      <c r="I2274">
        <v>281.44659999999999</v>
      </c>
      <c r="J2274">
        <v>-353.79910000000001</v>
      </c>
      <c r="K2274">
        <v>1.1078920000000001</v>
      </c>
      <c r="L2274">
        <v>284.35820000000001</v>
      </c>
      <c r="M2274">
        <v>-0.99993849999999995</v>
      </c>
      <c r="N2274">
        <v>0</v>
      </c>
      <c r="O2274">
        <v>2.1706500000000001E-3</v>
      </c>
      <c r="P2274">
        <v>-0.98468049999999996</v>
      </c>
      <c r="Q2274">
        <v>0.1737165</v>
      </c>
      <c r="R2274">
        <v>1.5079830000000001E-2</v>
      </c>
      <c r="S2274">
        <v>-3.064972</v>
      </c>
      <c r="T2274">
        <v>-8.5032339999999998E-2</v>
      </c>
      <c r="U2274">
        <v>-0.22341920000000001</v>
      </c>
      <c r="V2274">
        <v>1.338891E-2</v>
      </c>
      <c r="W2274">
        <v>0.18439340000000001</v>
      </c>
      <c r="X2274">
        <v>0.98276129999999995</v>
      </c>
      <c r="Y2274">
        <v>-7.4836849999999996E-2</v>
      </c>
      <c r="Z2274">
        <v>-1.0966699999999999E-3</v>
      </c>
      <c r="AA2274">
        <v>0.99719519999999995</v>
      </c>
      <c r="AB2274">
        <v>52</v>
      </c>
      <c r="AC2274">
        <v>-39.647399999999998</v>
      </c>
      <c r="AD2274">
        <v>-1.1078917027430999</v>
      </c>
      <c r="AE2274">
        <v>-2.9116000000000199</v>
      </c>
      <c r="AF2274">
        <v>-2.9953325126647599</v>
      </c>
      <c r="AG2274">
        <v>-1.1078917027430999</v>
      </c>
      <c r="AH2274">
        <v>39.610222586002699</v>
      </c>
      <c r="AI2274">
        <v>91.597577330412605</v>
      </c>
      <c r="AJ2274">
        <v>94.324487132217797</v>
      </c>
      <c r="AK2274">
        <v>39.738761608775803</v>
      </c>
      <c r="AL2274">
        <v>79.374231434844702</v>
      </c>
      <c r="AM2274">
        <v>89.219463994847203</v>
      </c>
      <c r="AN2274">
        <v>0.99999998082611896</v>
      </c>
    </row>
    <row r="2275" spans="1:40" x14ac:dyDescent="0.25">
      <c r="A2275" t="str">
        <f>"20190312172935217"</f>
        <v>20190312172935217</v>
      </c>
      <c r="B2275" t="str">
        <f>"1552382975209545"</f>
        <v>1552382975209545</v>
      </c>
      <c r="C2275" t="s">
        <v>40</v>
      </c>
      <c r="D2275">
        <v>3.2252450000000001</v>
      </c>
      <c r="E2275">
        <v>0.47030480000000002</v>
      </c>
      <c r="F2275" t="s">
        <v>47</v>
      </c>
      <c r="G2275">
        <v>-393.35610000000003</v>
      </c>
      <c r="H2275" s="1">
        <v>2.4918719999999998E-7</v>
      </c>
      <c r="I2275">
        <v>281.4812</v>
      </c>
      <c r="J2275">
        <v>-354.07420000000002</v>
      </c>
      <c r="K2275">
        <v>1.107896</v>
      </c>
      <c r="L2275">
        <v>284.35890000000001</v>
      </c>
      <c r="M2275">
        <v>-0.99993730000000003</v>
      </c>
      <c r="N2275">
        <v>0</v>
      </c>
      <c r="O2275">
        <v>2.5319990000000001E-3</v>
      </c>
      <c r="P2275">
        <v>-0.98471039999999999</v>
      </c>
      <c r="Q2275">
        <v>0.17353840000000001</v>
      </c>
      <c r="R2275">
        <v>1.5170980000000001E-2</v>
      </c>
      <c r="S2275">
        <v>-3.0652469999999998</v>
      </c>
      <c r="T2275">
        <v>-8.5849759999999997E-2</v>
      </c>
      <c r="U2275">
        <v>-0.22293089999999999</v>
      </c>
      <c r="V2275">
        <v>1.312425E-2</v>
      </c>
      <c r="W2275">
        <v>0.18425240000000001</v>
      </c>
      <c r="X2275">
        <v>0.98279139999999998</v>
      </c>
      <c r="Y2275">
        <v>-7.503195E-2</v>
      </c>
      <c r="Z2275">
        <v>-1.11995E-3</v>
      </c>
      <c r="AA2275">
        <v>0.99718050000000003</v>
      </c>
      <c r="AB2275">
        <v>53</v>
      </c>
      <c r="AC2275">
        <v>-39.2819</v>
      </c>
      <c r="AD2275">
        <v>-1.1078957508128</v>
      </c>
      <c r="AE2275">
        <v>-2.8776999999999999</v>
      </c>
      <c r="AF2275">
        <v>-2.9748047470225001</v>
      </c>
      <c r="AG2275">
        <v>-1.1078957508128</v>
      </c>
      <c r="AH2275">
        <v>39.2434377444945</v>
      </c>
      <c r="AI2275">
        <v>91.612484682080094</v>
      </c>
      <c r="AJ2275">
        <v>94.334951729137998</v>
      </c>
      <c r="AK2275">
        <v>39.371617978990798</v>
      </c>
      <c r="AL2275">
        <v>79.382451873071304</v>
      </c>
      <c r="AM2275">
        <v>89.234914510232699</v>
      </c>
      <c r="AN2275">
        <v>1.00000006437888</v>
      </c>
    </row>
    <row r="2276" spans="1:40" x14ac:dyDescent="0.25">
      <c r="A2276" t="str">
        <f>"20190312172935237"</f>
        <v>20190312172935237</v>
      </c>
      <c r="B2276" t="str">
        <f>"1552382975230044"</f>
        <v>1552382975230044</v>
      </c>
      <c r="C2276" t="s">
        <v>40</v>
      </c>
      <c r="D2276">
        <v>3.2187190000000001</v>
      </c>
      <c r="E2276">
        <v>0.46641159999999998</v>
      </c>
      <c r="F2276" t="s">
        <v>47</v>
      </c>
      <c r="G2276">
        <v>-393.41019999999997</v>
      </c>
      <c r="H2276" s="1">
        <v>2.7795020000000001E-7</v>
      </c>
      <c r="I2276">
        <v>281.50069999999999</v>
      </c>
      <c r="J2276">
        <v>-354.56199999999899</v>
      </c>
      <c r="K2276">
        <v>1.1079030000000001</v>
      </c>
      <c r="L2276">
        <v>284.36040000000003</v>
      </c>
      <c r="M2276">
        <v>-0.99993460000000001</v>
      </c>
      <c r="N2276">
        <v>0</v>
      </c>
      <c r="O2276">
        <v>3.1729509999999998E-3</v>
      </c>
      <c r="P2276">
        <v>-0.98470840000000004</v>
      </c>
      <c r="Q2276">
        <v>0.17349990000000001</v>
      </c>
      <c r="R2276">
        <v>1.5720290000000001E-2</v>
      </c>
      <c r="S2276">
        <v>-3.0652159999999999</v>
      </c>
      <c r="T2276">
        <v>-8.6331489999999997E-2</v>
      </c>
      <c r="U2276">
        <v>-0.22271730000000001</v>
      </c>
      <c r="V2276">
        <v>1.3043310000000001E-2</v>
      </c>
      <c r="W2276">
        <v>0.1842781</v>
      </c>
      <c r="X2276">
        <v>0.98278759999999998</v>
      </c>
      <c r="Y2276">
        <v>-7.5601899999999903E-2</v>
      </c>
      <c r="Z2276">
        <v>-1.1522870000000001E-3</v>
      </c>
      <c r="AA2276">
        <v>0.99713739999999995</v>
      </c>
      <c r="AB2276">
        <v>53</v>
      </c>
      <c r="AC2276">
        <v>-38.848199999999999</v>
      </c>
      <c r="AD2276">
        <v>-1.1079027220497999</v>
      </c>
      <c r="AE2276">
        <v>-2.8597000000000299</v>
      </c>
      <c r="AF2276">
        <v>-2.9805454072145698</v>
      </c>
      <c r="AG2276">
        <v>-1.1079027220497999</v>
      </c>
      <c r="AH2276">
        <v>38.807537349034497</v>
      </c>
      <c r="AI2276">
        <v>91.630473675906799</v>
      </c>
      <c r="AJ2276">
        <v>94.391880709376096</v>
      </c>
      <c r="AK2276">
        <v>38.937591790745103</v>
      </c>
      <c r="AL2276">
        <v>79.380953095170696</v>
      </c>
      <c r="AM2276">
        <v>89.239629457420705</v>
      </c>
      <c r="AN2276">
        <v>1.00000000639456</v>
      </c>
    </row>
    <row r="2277" spans="1:40" x14ac:dyDescent="0.25">
      <c r="A2277" t="str">
        <f>"20190312172935252"</f>
        <v>20190312172935252</v>
      </c>
      <c r="B2277" t="str">
        <f>"1552382975239800"</f>
        <v>1552382975239800</v>
      </c>
      <c r="C2277" t="s">
        <v>40</v>
      </c>
      <c r="D2277">
        <v>3.2136170000000002</v>
      </c>
      <c r="E2277">
        <v>0.46670279999999997</v>
      </c>
      <c r="F2277" t="s">
        <v>48</v>
      </c>
      <c r="G2277">
        <v>-413.89580000000001</v>
      </c>
      <c r="H2277" s="1">
        <v>3.37347E-6</v>
      </c>
      <c r="I2277">
        <v>279.50450000000001</v>
      </c>
      <c r="J2277">
        <v>-354.87849999999997</v>
      </c>
      <c r="K2277">
        <v>1.1079060000000001</v>
      </c>
      <c r="L2277">
        <v>284.36160000000001</v>
      </c>
      <c r="M2277">
        <v>-0.99993290000000001</v>
      </c>
      <c r="N2277">
        <v>0</v>
      </c>
      <c r="O2277">
        <v>3.5883360000000001E-3</v>
      </c>
      <c r="P2277">
        <v>-0.98467919999999998</v>
      </c>
      <c r="Q2277">
        <v>0.17364360000000001</v>
      </c>
      <c r="R2277">
        <v>1.5969239999999999E-2</v>
      </c>
      <c r="S2277">
        <v>-3.060638</v>
      </c>
      <c r="T2277">
        <v>-5.7149169999999999E-2</v>
      </c>
      <c r="U2277">
        <v>-0.2504883</v>
      </c>
      <c r="V2277">
        <v>1.2884140000000001E-2</v>
      </c>
      <c r="W2277">
        <v>0.18446180000000001</v>
      </c>
      <c r="X2277">
        <v>0.98275520000000005</v>
      </c>
      <c r="Y2277">
        <v>-8.5129830000000004E-2</v>
      </c>
      <c r="Z2277">
        <v>-8.6028119999999905E-4</v>
      </c>
      <c r="AA2277">
        <v>0.99636950000000002</v>
      </c>
      <c r="AB2277">
        <v>53</v>
      </c>
      <c r="AC2277">
        <v>-59.017299999999999</v>
      </c>
      <c r="AD2277">
        <v>-1.10790262653</v>
      </c>
      <c r="AE2277">
        <v>-4.8571</v>
      </c>
      <c r="AF2277">
        <v>-5.0670818136088398</v>
      </c>
      <c r="AG2277">
        <v>-1.10790262653</v>
      </c>
      <c r="AH2277">
        <v>58.978845304793502</v>
      </c>
      <c r="AI2277">
        <v>91.072211227714206</v>
      </c>
      <c r="AJ2277">
        <v>94.910425840132902</v>
      </c>
      <c r="AK2277">
        <v>59.2064773468448</v>
      </c>
      <c r="AL2277">
        <v>79.370243886231094</v>
      </c>
      <c r="AM2277">
        <v>89.24888257504</v>
      </c>
      <c r="AN2277">
        <v>0.99999996992490903</v>
      </c>
    </row>
    <row r="2278" spans="1:40" x14ac:dyDescent="0.25">
      <c r="A2278" t="str">
        <f>"20190312172935272"</f>
        <v>20190312172935272</v>
      </c>
      <c r="B2278" t="str">
        <f>"1552382975270057"</f>
        <v>1552382975270057</v>
      </c>
      <c r="C2278" t="s">
        <v>40</v>
      </c>
      <c r="D2278">
        <v>3.2450610000000002</v>
      </c>
      <c r="E2278">
        <v>0.46676390000000001</v>
      </c>
      <c r="F2278" t="s">
        <v>48</v>
      </c>
      <c r="G2278">
        <v>-413.41590000000002</v>
      </c>
      <c r="H2278" s="1">
        <v>3.247628E-6</v>
      </c>
      <c r="I2278">
        <v>279.62959999999998</v>
      </c>
      <c r="J2278">
        <v>-355.36770000000001</v>
      </c>
      <c r="K2278">
        <v>1.1079129999999999</v>
      </c>
      <c r="L2278">
        <v>284.36369999999999</v>
      </c>
      <c r="M2278">
        <v>-0.99992950000000003</v>
      </c>
      <c r="N2278">
        <v>0</v>
      </c>
      <c r="O2278">
        <v>4.2304869999999998E-3</v>
      </c>
      <c r="P2278">
        <v>-0.98461540000000003</v>
      </c>
      <c r="Q2278">
        <v>0.17397360000000001</v>
      </c>
      <c r="R2278">
        <v>1.6298300000000002E-2</v>
      </c>
      <c r="S2278">
        <v>-3.0609130000000002</v>
      </c>
      <c r="T2278">
        <v>-5.793214E-2</v>
      </c>
      <c r="U2278">
        <v>-0.2474365</v>
      </c>
      <c r="V2278">
        <v>1.258254E-2</v>
      </c>
      <c r="W2278">
        <v>0.18485080000000001</v>
      </c>
      <c r="X2278">
        <v>0.98268599999999995</v>
      </c>
      <c r="Y2278">
        <v>-8.4775080000000003E-2</v>
      </c>
      <c r="Z2278">
        <v>-8.8080539999999896E-4</v>
      </c>
      <c r="AA2278">
        <v>0.9963997</v>
      </c>
      <c r="AB2278">
        <v>53</v>
      </c>
      <c r="AC2278">
        <v>-58.048200000000001</v>
      </c>
      <c r="AD2278">
        <v>-1.1079097523719901</v>
      </c>
      <c r="AE2278">
        <v>-4.7341000000000104</v>
      </c>
      <c r="AF2278">
        <v>-4.97784357212847</v>
      </c>
      <c r="AG2278">
        <v>-1.1079097523719901</v>
      </c>
      <c r="AH2278">
        <v>58.006660852751899</v>
      </c>
      <c r="AI2278">
        <v>91.090193216054303</v>
      </c>
      <c r="AJ2278">
        <v>94.904822754517596</v>
      </c>
      <c r="AK2278">
        <v>58.230396649294498</v>
      </c>
      <c r="AL2278">
        <v>79.347565692579707</v>
      </c>
      <c r="AM2278">
        <v>89.266411607378402</v>
      </c>
      <c r="AN2278">
        <v>0.99999995658474405</v>
      </c>
    </row>
    <row r="2279" spans="1:40" x14ac:dyDescent="0.25">
      <c r="A2279" t="str">
        <f>"20190312172935295"</f>
        <v>20190312172935295</v>
      </c>
      <c r="B2279" t="str">
        <f>"1552382975289577"</f>
        <v>1552382975289577</v>
      </c>
      <c r="C2279" t="s">
        <v>40</v>
      </c>
      <c r="D2279">
        <v>3.2475900000000002</v>
      </c>
      <c r="E2279">
        <v>0.46639940000000002</v>
      </c>
      <c r="F2279" t="s">
        <v>48</v>
      </c>
      <c r="G2279">
        <v>-406.24930000000001</v>
      </c>
      <c r="H2279" s="1">
        <v>6.52772799999999E-6</v>
      </c>
      <c r="I2279">
        <v>280.27629999999999</v>
      </c>
      <c r="J2279">
        <v>-355.88670000000002</v>
      </c>
      <c r="K2279">
        <v>1.107918</v>
      </c>
      <c r="L2279">
        <v>284.36619999999999</v>
      </c>
      <c r="M2279">
        <v>-0.99992599999999998</v>
      </c>
      <c r="N2279">
        <v>0</v>
      </c>
      <c r="O2279">
        <v>4.9117370000000002E-3</v>
      </c>
      <c r="P2279">
        <v>-0.98455329999999996</v>
      </c>
      <c r="Q2279">
        <v>0.17427989999999999</v>
      </c>
      <c r="R2279">
        <v>1.678371E-2</v>
      </c>
      <c r="S2279">
        <v>-3.0627439999999999</v>
      </c>
      <c r="T2279">
        <v>-6.6688780000000003E-2</v>
      </c>
      <c r="U2279">
        <v>-0.24603269999999999</v>
      </c>
      <c r="V2279">
        <v>1.2398289999999999E-2</v>
      </c>
      <c r="W2279">
        <v>0.1852135</v>
      </c>
      <c r="X2279">
        <v>0.9826201</v>
      </c>
      <c r="Y2279">
        <v>-8.4946999999999995E-2</v>
      </c>
      <c r="Z2279">
        <v>-1.030006E-3</v>
      </c>
      <c r="AA2279">
        <v>0.99638490000000002</v>
      </c>
      <c r="AB2279">
        <v>53</v>
      </c>
      <c r="AC2279">
        <v>-50.362599999999901</v>
      </c>
      <c r="AD2279">
        <v>-1.107911472272</v>
      </c>
      <c r="AE2279">
        <v>-4.0899000000000001</v>
      </c>
      <c r="AF2279">
        <v>-4.3351496085145902</v>
      </c>
      <c r="AG2279">
        <v>-1.107911472272</v>
      </c>
      <c r="AH2279">
        <v>50.317711317616997</v>
      </c>
      <c r="AI2279">
        <v>91.256699026204899</v>
      </c>
      <c r="AJ2279">
        <v>94.924189148283801</v>
      </c>
      <c r="AK2279">
        <v>50.516265323177201</v>
      </c>
      <c r="AL2279">
        <v>79.326419939404403</v>
      </c>
      <c r="AM2279">
        <v>89.277104146325598</v>
      </c>
      <c r="AN2279">
        <v>1.0000000095505901</v>
      </c>
    </row>
    <row r="2280" spans="1:40" x14ac:dyDescent="0.25">
      <c r="A2280" t="str">
        <f>"20190312172935316"</f>
        <v>20190312172935316</v>
      </c>
      <c r="B2280" t="str">
        <f>"1552382975310073"</f>
        <v>1552382975310073</v>
      </c>
      <c r="C2280" t="s">
        <v>40</v>
      </c>
      <c r="D2280">
        <v>3.2172459999999998</v>
      </c>
      <c r="E2280">
        <v>0.4663641</v>
      </c>
      <c r="F2280" t="s">
        <v>48</v>
      </c>
      <c r="G2280">
        <v>-407.30930000000001</v>
      </c>
      <c r="H2280" s="1">
        <v>6.0708249999999996E-6</v>
      </c>
      <c r="I2280">
        <v>280.21260000000001</v>
      </c>
      <c r="J2280">
        <v>-356.41050000000001</v>
      </c>
      <c r="K2280">
        <v>1.1079159999999999</v>
      </c>
      <c r="L2280">
        <v>284.3691</v>
      </c>
      <c r="M2280">
        <v>-0.99992159999999997</v>
      </c>
      <c r="N2280">
        <v>0</v>
      </c>
      <c r="O2280">
        <v>5.6000310000000001E-3</v>
      </c>
      <c r="P2280">
        <v>-0.98452649999999997</v>
      </c>
      <c r="Q2280">
        <v>0.17436940000000001</v>
      </c>
      <c r="R2280">
        <v>1.7408090000000001E-2</v>
      </c>
      <c r="S2280">
        <v>-3.0629270000000002</v>
      </c>
      <c r="T2280">
        <v>-6.5991519999999998E-2</v>
      </c>
      <c r="U2280">
        <v>-0.24740599999999999</v>
      </c>
      <c r="V2280">
        <v>1.234522E-2</v>
      </c>
      <c r="W2280">
        <v>0.18535509999999999</v>
      </c>
      <c r="X2280">
        <v>0.98259410000000003</v>
      </c>
      <c r="Y2280">
        <v>-8.6071960000000003E-2</v>
      </c>
      <c r="Z2280">
        <v>-1.046064E-3</v>
      </c>
      <c r="AA2280">
        <v>0.99628839999999996</v>
      </c>
      <c r="AB2280">
        <v>53</v>
      </c>
      <c r="AC2280">
        <v>-50.898800000000001</v>
      </c>
      <c r="AD2280">
        <v>-1.1079099291750001</v>
      </c>
      <c r="AE2280">
        <v>-4.1564999999999896</v>
      </c>
      <c r="AF2280">
        <v>-4.4393981057040897</v>
      </c>
      <c r="AG2280">
        <v>-1.1079099291750001</v>
      </c>
      <c r="AH2280">
        <v>50.850790371387802</v>
      </c>
      <c r="AI2280">
        <v>91.243404500071307</v>
      </c>
      <c r="AJ2280">
        <v>94.9894110900577</v>
      </c>
      <c r="AK2280">
        <v>51.056229799574098</v>
      </c>
      <c r="AL2280">
        <v>79.318164248284702</v>
      </c>
      <c r="AM2280">
        <v>89.280179080068507</v>
      </c>
      <c r="AN2280">
        <v>1.0000000414538299</v>
      </c>
    </row>
    <row r="2281" spans="1:40" x14ac:dyDescent="0.25">
      <c r="A2281" t="str">
        <f>"20190312172935338"</f>
        <v>20190312172935338</v>
      </c>
      <c r="B2281" t="str">
        <f>"1552382975329593"</f>
        <v>1552382975329593</v>
      </c>
      <c r="C2281" t="s">
        <v>40</v>
      </c>
      <c r="D2281">
        <v>3.195341</v>
      </c>
      <c r="E2281">
        <v>0.46626980000000001</v>
      </c>
      <c r="F2281" t="s">
        <v>48</v>
      </c>
      <c r="G2281">
        <v>-408.54270000000002</v>
      </c>
      <c r="H2281" s="1">
        <v>5.5285410000000002E-6</v>
      </c>
      <c r="I2281">
        <v>280.19</v>
      </c>
      <c r="J2281">
        <v>-356.93079999999998</v>
      </c>
      <c r="K2281">
        <v>1.107923</v>
      </c>
      <c r="L2281">
        <v>284.37240000000003</v>
      </c>
      <c r="M2281">
        <v>-0.9999171</v>
      </c>
      <c r="N2281">
        <v>0</v>
      </c>
      <c r="O2281">
        <v>6.2844090000000003E-3</v>
      </c>
      <c r="P2281">
        <v>-0.98445749999999999</v>
      </c>
      <c r="Q2281">
        <v>0.17472789999999999</v>
      </c>
      <c r="R2281">
        <v>1.7711009999999999E-2</v>
      </c>
      <c r="S2281">
        <v>-3.0630489999999999</v>
      </c>
      <c r="T2281">
        <v>-6.5095780000000006E-2</v>
      </c>
      <c r="U2281">
        <v>-0.2455444</v>
      </c>
      <c r="V2281">
        <v>1.197514E-2</v>
      </c>
      <c r="W2281">
        <v>0.18576039999999999</v>
      </c>
      <c r="X2281">
        <v>0.98252209999999995</v>
      </c>
      <c r="Y2281">
        <v>-8.6149450000000002E-2</v>
      </c>
      <c r="Z2281">
        <v>-1.0471969999999999E-3</v>
      </c>
      <c r="AA2281">
        <v>0.99628170000000005</v>
      </c>
      <c r="AB2281">
        <v>53</v>
      </c>
      <c r="AC2281">
        <v>-51.611899999999999</v>
      </c>
      <c r="AD2281">
        <v>-1.1079174714590001</v>
      </c>
      <c r="AE2281">
        <v>-4.1824000000000296</v>
      </c>
      <c r="AF2281">
        <v>-4.5046259703929099</v>
      </c>
      <c r="AG2281">
        <v>-1.1079174714590001</v>
      </c>
      <c r="AH2281">
        <v>51.560990669025003</v>
      </c>
      <c r="AI2281">
        <v>91.226284830095196</v>
      </c>
      <c r="AJ2281">
        <v>94.992968370691202</v>
      </c>
      <c r="AK2281">
        <v>51.769246614452399</v>
      </c>
      <c r="AL2281">
        <v>79.294531444237407</v>
      </c>
      <c r="AM2281">
        <v>89.301704247486995</v>
      </c>
      <c r="AN2281">
        <v>1.00000000358729</v>
      </c>
    </row>
    <row r="2282" spans="1:40" x14ac:dyDescent="0.25">
      <c r="A2282" t="str">
        <f>"20190312172935351"</f>
        <v>20190312172935351</v>
      </c>
      <c r="B2282" t="str">
        <f>"1552382975339353"</f>
        <v>1552382975339353</v>
      </c>
      <c r="C2282" t="s">
        <v>40</v>
      </c>
      <c r="D2282">
        <v>3.2559239999999998</v>
      </c>
      <c r="E2282">
        <v>0.46615089999999998</v>
      </c>
      <c r="F2282" t="s">
        <v>48</v>
      </c>
      <c r="G2282">
        <v>-410.15980000000002</v>
      </c>
      <c r="H2282" s="1">
        <v>2.627989E-6</v>
      </c>
      <c r="I2282">
        <v>280.11070000000001</v>
      </c>
      <c r="J2282">
        <v>-357.20979999999997</v>
      </c>
      <c r="K2282">
        <v>1.1079239999999999</v>
      </c>
      <c r="L2282">
        <v>284.37430000000001</v>
      </c>
      <c r="M2282">
        <v>-0.99991450000000004</v>
      </c>
      <c r="N2282">
        <v>0</v>
      </c>
      <c r="O2282">
        <v>6.651573E-3</v>
      </c>
      <c r="P2282">
        <v>-0.98444500000000001</v>
      </c>
      <c r="Q2282">
        <v>0.17475470000000001</v>
      </c>
      <c r="R2282">
        <v>1.8140989999999999E-2</v>
      </c>
      <c r="S2282">
        <v>-3.0630489999999999</v>
      </c>
      <c r="T2282">
        <v>-6.3755039999999999E-2</v>
      </c>
      <c r="U2282">
        <v>-0.24523929999999999</v>
      </c>
      <c r="V2282">
        <v>1.2043679999999999E-2</v>
      </c>
      <c r="W2282">
        <v>0.18581049999999999</v>
      </c>
      <c r="X2282">
        <v>0.98251180000000005</v>
      </c>
      <c r="Y2282">
        <v>-8.6417369999999993E-2</v>
      </c>
      <c r="Z2282">
        <v>-1.0360510000000001E-3</v>
      </c>
      <c r="AA2282">
        <v>0.99625850000000005</v>
      </c>
      <c r="AB2282">
        <v>53</v>
      </c>
      <c r="AC2282">
        <v>-52.95</v>
      </c>
      <c r="AD2282">
        <v>-1.1079213720109999</v>
      </c>
      <c r="AE2282">
        <v>-4.2635999999999896</v>
      </c>
      <c r="AF2282">
        <v>-4.6137218593218297</v>
      </c>
      <c r="AG2282">
        <v>-1.1079213720109999</v>
      </c>
      <c r="AH2282">
        <v>52.897457187848602</v>
      </c>
      <c r="AI2282">
        <v>91.195330771781499</v>
      </c>
      <c r="AJ2282">
        <v>94.984729353653805</v>
      </c>
      <c r="AK2282">
        <v>53.109838034981998</v>
      </c>
      <c r="AL2282">
        <v>79.291610185208995</v>
      </c>
      <c r="AM2282">
        <v>89.297700572596796</v>
      </c>
      <c r="AN2282">
        <v>1.00000001463871</v>
      </c>
    </row>
    <row r="2283" spans="1:40" x14ac:dyDescent="0.25">
      <c r="A2283" t="str">
        <f>"20190312172935362"</f>
        <v>20190312172935362</v>
      </c>
      <c r="B2283" t="str">
        <f>"1552382975359849"</f>
        <v>1552382975359849</v>
      </c>
      <c r="C2283" t="s">
        <v>40</v>
      </c>
      <c r="D2283">
        <v>3.2240530000000001</v>
      </c>
      <c r="E2283">
        <v>0.46596890000000002</v>
      </c>
      <c r="F2283" t="s">
        <v>48</v>
      </c>
      <c r="G2283">
        <v>-411.10649999999998</v>
      </c>
      <c r="H2283" s="1">
        <v>2.799438E-6</v>
      </c>
      <c r="I2283">
        <v>280.07060000000001</v>
      </c>
      <c r="J2283">
        <v>-357.49880000000002</v>
      </c>
      <c r="K2283">
        <v>1.107925</v>
      </c>
      <c r="L2283">
        <v>284.37639999999999</v>
      </c>
      <c r="M2283">
        <v>-0.99991149999999995</v>
      </c>
      <c r="N2283">
        <v>0</v>
      </c>
      <c r="O2283">
        <v>7.0322070000000004E-3</v>
      </c>
      <c r="P2283">
        <v>-0.98447470000000004</v>
      </c>
      <c r="Q2283">
        <v>0.174543</v>
      </c>
      <c r="R2283">
        <v>1.855617E-2</v>
      </c>
      <c r="S2283">
        <v>-3.0631409999999999</v>
      </c>
      <c r="T2283">
        <v>-6.2967060000000005E-2</v>
      </c>
      <c r="U2283">
        <v>-0.24459839999999999</v>
      </c>
      <c r="V2283">
        <v>1.2083160000000001E-2</v>
      </c>
      <c r="W2283">
        <v>0.1856217</v>
      </c>
      <c r="X2283">
        <v>0.98254699999999995</v>
      </c>
      <c r="Y2283">
        <v>-8.6587499999999998E-2</v>
      </c>
      <c r="Z2283">
        <v>-1.032785E-3</v>
      </c>
      <c r="AA2283">
        <v>0.99624369999999995</v>
      </c>
      <c r="AB2283">
        <v>53</v>
      </c>
      <c r="AC2283">
        <v>-53.607699999999902</v>
      </c>
      <c r="AD2283">
        <v>-1.107922200562</v>
      </c>
      <c r="AE2283">
        <v>-4.3057999999999703</v>
      </c>
      <c r="AF2283">
        <v>-4.6807115299301403</v>
      </c>
      <c r="AG2283">
        <v>-1.107922200562</v>
      </c>
      <c r="AH2283">
        <v>53.553365265337099</v>
      </c>
      <c r="AI2283">
        <v>91.180677034624907</v>
      </c>
      <c r="AJ2283">
        <v>94.995115015179394</v>
      </c>
      <c r="AK2283">
        <v>53.768945342749099</v>
      </c>
      <c r="AL2283">
        <v>79.302619125655895</v>
      </c>
      <c r="AM2283">
        <v>89.295423859138396</v>
      </c>
      <c r="AN2283">
        <v>1.00000001273773</v>
      </c>
    </row>
    <row r="2284" spans="1:40" x14ac:dyDescent="0.25">
      <c r="A2284" t="str">
        <f>"20190312172935374"</f>
        <v>20190312172935374</v>
      </c>
      <c r="B2284" t="str">
        <f>"1552382975369609"</f>
        <v>1552382975369609</v>
      </c>
      <c r="C2284" t="s">
        <v>40</v>
      </c>
      <c r="D2284">
        <v>3.243541</v>
      </c>
      <c r="E2284">
        <v>0.46588889999999999</v>
      </c>
      <c r="F2284" t="s">
        <v>48</v>
      </c>
      <c r="G2284">
        <v>-411.26170000000002</v>
      </c>
      <c r="H2284" s="1">
        <v>2.826095E-6</v>
      </c>
      <c r="I2284">
        <v>280.08049999999997</v>
      </c>
      <c r="J2284">
        <v>-357.75529999999998</v>
      </c>
      <c r="K2284">
        <v>1.107923</v>
      </c>
      <c r="L2284">
        <v>284.3784</v>
      </c>
      <c r="M2284">
        <v>-0.99990900000000005</v>
      </c>
      <c r="N2284">
        <v>0</v>
      </c>
      <c r="O2284">
        <v>7.3694110000000002E-3</v>
      </c>
      <c r="P2284">
        <v>-0.98446789999999995</v>
      </c>
      <c r="Q2284">
        <v>0.17458299999999999</v>
      </c>
      <c r="R2284">
        <v>1.8544999999999999E-2</v>
      </c>
      <c r="S2284">
        <v>-3.0630799999999998</v>
      </c>
      <c r="T2284">
        <v>-6.3122629999999999E-2</v>
      </c>
      <c r="U2284">
        <v>-0.244751</v>
      </c>
      <c r="V2284">
        <v>1.1739869999999999E-2</v>
      </c>
      <c r="W2284">
        <v>0.18568109999999999</v>
      </c>
      <c r="X2284">
        <v>0.98253990000000002</v>
      </c>
      <c r="Y2284">
        <v>-8.6974090000000004E-2</v>
      </c>
      <c r="Z2284">
        <v>-1.04627E-3</v>
      </c>
      <c r="AA2284">
        <v>0.99621000000000004</v>
      </c>
      <c r="AB2284">
        <v>53</v>
      </c>
      <c r="AC2284">
        <v>-53.506399999999999</v>
      </c>
      <c r="AD2284">
        <v>-1.107920173905</v>
      </c>
      <c r="AE2284">
        <v>-4.2979000000000198</v>
      </c>
      <c r="AF2284">
        <v>-4.6901211021689901</v>
      </c>
      <c r="AG2284">
        <v>-1.107920173905</v>
      </c>
      <c r="AH2284">
        <v>53.450501803457797</v>
      </c>
      <c r="AI2284">
        <v>91.182911013819705</v>
      </c>
      <c r="AJ2284">
        <v>95.014688740514003</v>
      </c>
      <c r="AK2284">
        <v>53.667316553990297</v>
      </c>
      <c r="AL2284">
        <v>79.299155138680504</v>
      </c>
      <c r="AM2284">
        <v>89.315434421144104</v>
      </c>
      <c r="AN2284">
        <v>0.999999975268418</v>
      </c>
    </row>
    <row r="2285" spans="1:40" x14ac:dyDescent="0.25">
      <c r="A2285" t="str">
        <f>"20190312172935394"</f>
        <v>20190312172935394</v>
      </c>
      <c r="B2285" t="str">
        <f>"1552382975390105"</f>
        <v>1552382975390105</v>
      </c>
      <c r="C2285" t="s">
        <v>40</v>
      </c>
      <c r="D2285">
        <v>3.2455479999999999</v>
      </c>
      <c r="E2285">
        <v>0.46564220000000001</v>
      </c>
      <c r="F2285" t="s">
        <v>48</v>
      </c>
      <c r="G2285">
        <v>-411.96660000000003</v>
      </c>
      <c r="H2285" s="1">
        <v>2.9551689999999999E-6</v>
      </c>
      <c r="I2285">
        <v>280.0342</v>
      </c>
      <c r="J2285">
        <v>-358.24059999999997</v>
      </c>
      <c r="K2285">
        <v>1.107923</v>
      </c>
      <c r="L2285">
        <v>284.38220000000001</v>
      </c>
      <c r="M2285">
        <v>-0.99990369999999995</v>
      </c>
      <c r="N2285">
        <v>0</v>
      </c>
      <c r="O2285">
        <v>8.0080180000000004E-3</v>
      </c>
      <c r="P2285">
        <v>-0.98448749999999996</v>
      </c>
      <c r="Q2285">
        <v>0.17441860000000001</v>
      </c>
      <c r="R2285">
        <v>1.9038550000000001E-2</v>
      </c>
      <c r="S2285">
        <v>-3.0630489999999999</v>
      </c>
      <c r="T2285">
        <v>-6.2599779999999994E-2</v>
      </c>
      <c r="U2285">
        <v>-0.2454529</v>
      </c>
      <c r="V2285">
        <v>1.160392E-2</v>
      </c>
      <c r="W2285">
        <v>0.18554989999999999</v>
      </c>
      <c r="X2285">
        <v>0.9825663</v>
      </c>
      <c r="Y2285">
        <v>-8.7837960000000007E-2</v>
      </c>
      <c r="Z2285">
        <v>-1.05945E-3</v>
      </c>
      <c r="AA2285">
        <v>0.99613419999999997</v>
      </c>
      <c r="AB2285">
        <v>53</v>
      </c>
      <c r="AC2285">
        <v>-53.725999999999999</v>
      </c>
      <c r="AD2285">
        <v>-1.107920044831</v>
      </c>
      <c r="AE2285">
        <v>-4.3480000000000096</v>
      </c>
      <c r="AF2285">
        <v>-4.7761091364120398</v>
      </c>
      <c r="AG2285">
        <v>-1.107920044831</v>
      </c>
      <c r="AH2285">
        <v>53.666782489533801</v>
      </c>
      <c r="AI2285">
        <v>91.178016063780703</v>
      </c>
      <c r="AJ2285">
        <v>95.085675694152002</v>
      </c>
      <c r="AK2285">
        <v>53.890279718030698</v>
      </c>
      <c r="AL2285">
        <v>79.306805284362596</v>
      </c>
      <c r="AM2285">
        <v>89.323379262137607</v>
      </c>
      <c r="AN2285">
        <v>0.99999997512253203</v>
      </c>
    </row>
    <row r="2286" spans="1:40" x14ac:dyDescent="0.25">
      <c r="A2286" t="str">
        <f>"20190312172935406"</f>
        <v>20190312172935406</v>
      </c>
      <c r="B2286" t="str">
        <f>"1552382975399865"</f>
        <v>1552382975399865</v>
      </c>
      <c r="C2286" t="s">
        <v>40</v>
      </c>
      <c r="D2286">
        <v>3.2216680000000002</v>
      </c>
      <c r="E2286">
        <v>0.46556649999999999</v>
      </c>
      <c r="F2286" t="s">
        <v>48</v>
      </c>
      <c r="G2286">
        <v>-412.38440000000003</v>
      </c>
      <c r="H2286" s="1">
        <v>3.0290760000000001E-6</v>
      </c>
      <c r="I2286">
        <v>280.0367</v>
      </c>
      <c r="J2286">
        <v>-358.52640000000002</v>
      </c>
      <c r="K2286">
        <v>1.107926</v>
      </c>
      <c r="L2286">
        <v>284.38470000000001</v>
      </c>
      <c r="M2286">
        <v>-0.99990029999999996</v>
      </c>
      <c r="N2286">
        <v>0</v>
      </c>
      <c r="O2286">
        <v>8.3842069999999994E-3</v>
      </c>
      <c r="P2286">
        <v>-0.98445419999999995</v>
      </c>
      <c r="Q2286">
        <v>0.1745814</v>
      </c>
      <c r="R2286">
        <v>1.9268420000000001E-2</v>
      </c>
      <c r="S2286">
        <v>-3.0631710000000001</v>
      </c>
      <c r="T2286">
        <v>-6.2680239999999998E-2</v>
      </c>
      <c r="U2286">
        <v>-0.2458496</v>
      </c>
      <c r="V2286">
        <v>1.1464E-2</v>
      </c>
      <c r="W2286">
        <v>0.1857308</v>
      </c>
      <c r="X2286">
        <v>0.98253380000000001</v>
      </c>
      <c r="Y2286">
        <v>-8.8337509999999994E-2</v>
      </c>
      <c r="Z2286">
        <v>-1.0735530000000001E-3</v>
      </c>
      <c r="AA2286">
        <v>0.99609000000000003</v>
      </c>
      <c r="AB2286">
        <v>53</v>
      </c>
      <c r="AC2286">
        <v>-53.857999999999997</v>
      </c>
      <c r="AD2286">
        <v>-1.1079229709239999</v>
      </c>
      <c r="AE2286">
        <v>-4.3480000000000096</v>
      </c>
      <c r="AF2286">
        <v>-4.79741593206173</v>
      </c>
      <c r="AG2286">
        <v>-1.1079229709239999</v>
      </c>
      <c r="AH2286">
        <v>53.797031787325302</v>
      </c>
      <c r="AI2286">
        <v>91.175149092339396</v>
      </c>
      <c r="AJ2286">
        <v>95.095941237945695</v>
      </c>
      <c r="AK2286">
        <v>54.021878179689303</v>
      </c>
      <c r="AL2286">
        <v>79.296257512836803</v>
      </c>
      <c r="AM2286">
        <v>89.331515096984106</v>
      </c>
      <c r="AN2286">
        <v>1.0000000107535401</v>
      </c>
    </row>
    <row r="2287" spans="1:40" x14ac:dyDescent="0.25">
      <c r="A2287" t="str">
        <f>"20190312172935418"</f>
        <v>20190312172935418</v>
      </c>
      <c r="B2287" t="str">
        <f>"1552382975409624"</f>
        <v>1552382975409624</v>
      </c>
      <c r="C2287" t="s">
        <v>40</v>
      </c>
      <c r="D2287">
        <v>3.2298819999999999</v>
      </c>
      <c r="E2287">
        <v>0.46548879999999998</v>
      </c>
      <c r="F2287" t="s">
        <v>48</v>
      </c>
      <c r="G2287">
        <v>-413.28989999999999</v>
      </c>
      <c r="H2287" s="1">
        <v>3.193969E-6</v>
      </c>
      <c r="I2287">
        <v>279.98770000000002</v>
      </c>
      <c r="J2287">
        <v>-358.80189999999999</v>
      </c>
      <c r="K2287">
        <v>1.107925</v>
      </c>
      <c r="L2287">
        <v>284.38709999999998</v>
      </c>
      <c r="M2287">
        <v>-0.99989709999999998</v>
      </c>
      <c r="N2287">
        <v>0</v>
      </c>
      <c r="O2287">
        <v>8.7463390000000005E-3</v>
      </c>
      <c r="P2287">
        <v>-0.9844813</v>
      </c>
      <c r="Q2287">
        <v>0.1744001</v>
      </c>
      <c r="R2287">
        <v>1.9530209999999999E-2</v>
      </c>
      <c r="S2287">
        <v>-3.0631710000000001</v>
      </c>
      <c r="T2287">
        <v>-6.1971190000000002E-2</v>
      </c>
      <c r="U2287">
        <v>-0.2459412</v>
      </c>
      <c r="V2287">
        <v>1.1368609999999999E-2</v>
      </c>
      <c r="W2287">
        <v>0.18556590000000001</v>
      </c>
      <c r="X2287">
        <v>0.9825661</v>
      </c>
      <c r="Y2287">
        <v>-8.8728139999999997E-2</v>
      </c>
      <c r="Z2287">
        <v>-1.07267E-3</v>
      </c>
      <c r="AA2287">
        <v>0.99605529999999998</v>
      </c>
      <c r="AB2287">
        <v>53</v>
      </c>
      <c r="AC2287">
        <v>-54.488</v>
      </c>
      <c r="AD2287">
        <v>-1.1079218060310001</v>
      </c>
      <c r="AE2287">
        <v>-4.3993999999999502</v>
      </c>
      <c r="AF2287">
        <v>-4.8738310279004402</v>
      </c>
      <c r="AG2287">
        <v>-1.1079218060310001</v>
      </c>
      <c r="AH2287">
        <v>54.425078464079597</v>
      </c>
      <c r="AI2287">
        <v>91.161552187677998</v>
      </c>
      <c r="AJ2287">
        <v>95.117255743037802</v>
      </c>
      <c r="AK2287">
        <v>54.654102183075203</v>
      </c>
      <c r="AL2287">
        <v>79.305873102765901</v>
      </c>
      <c r="AM2287">
        <v>89.337098738411996</v>
      </c>
      <c r="AN2287">
        <v>1.00000004470267</v>
      </c>
    </row>
    <row r="2288" spans="1:40" x14ac:dyDescent="0.25">
      <c r="A2288" t="str">
        <f>"20190312172935430"</f>
        <v>20190312172935430</v>
      </c>
      <c r="B2288" t="str">
        <f>"1552382975419385"</f>
        <v>1552382975419385</v>
      </c>
      <c r="C2288" t="s">
        <v>40</v>
      </c>
      <c r="D2288">
        <v>3.2630560000000002</v>
      </c>
      <c r="E2288">
        <v>0.46538489999999999</v>
      </c>
      <c r="F2288" t="s">
        <v>48</v>
      </c>
      <c r="G2288">
        <v>-413.06920000000002</v>
      </c>
      <c r="H2288" s="1">
        <v>3.150646E-6</v>
      </c>
      <c r="I2288">
        <v>280.03559999999999</v>
      </c>
      <c r="J2288">
        <v>-359.0881</v>
      </c>
      <c r="K2288">
        <v>1.107923</v>
      </c>
      <c r="L2288">
        <v>284.38979999999998</v>
      </c>
      <c r="M2288">
        <v>-0.99989349999999999</v>
      </c>
      <c r="N2288">
        <v>0</v>
      </c>
      <c r="O2288">
        <v>9.1222439999999998E-3</v>
      </c>
      <c r="P2288">
        <v>-0.98444399999999999</v>
      </c>
      <c r="Q2288">
        <v>0.1745555</v>
      </c>
      <c r="R2288">
        <v>2.0018620000000001E-2</v>
      </c>
      <c r="S2288">
        <v>-3.0632630000000001</v>
      </c>
      <c r="T2288">
        <v>-6.2539579999999997E-2</v>
      </c>
      <c r="U2288">
        <v>-0.24563599999999999</v>
      </c>
      <c r="V2288">
        <v>1.148762E-2</v>
      </c>
      <c r="W2288">
        <v>0.18573600000000001</v>
      </c>
      <c r="X2288">
        <v>0.98253259999999998</v>
      </c>
      <c r="Y2288">
        <v>-8.9001129999999998E-2</v>
      </c>
      <c r="Z2288">
        <v>-1.092923E-3</v>
      </c>
      <c r="AA2288">
        <v>0.99603090000000005</v>
      </c>
      <c r="AB2288">
        <v>53</v>
      </c>
      <c r="AC2288">
        <v>-53.981099999999998</v>
      </c>
      <c r="AD2288">
        <v>-1.1079198493539999</v>
      </c>
      <c r="AE2288">
        <v>-4.3541999999999899</v>
      </c>
      <c r="AF2288">
        <v>-4.8444520228916002</v>
      </c>
      <c r="AG2288">
        <v>-1.1079198493539999</v>
      </c>
      <c r="AH2288">
        <v>53.916565793713097</v>
      </c>
      <c r="AI2288">
        <v>91.172470962075707</v>
      </c>
      <c r="AJ2288">
        <v>95.134290349858205</v>
      </c>
      <c r="AK2288">
        <v>54.145103830193896</v>
      </c>
      <c r="AL2288">
        <v>79.295954925262805</v>
      </c>
      <c r="AM2288">
        <v>89.330137082831897</v>
      </c>
      <c r="AN2288">
        <v>1.000000068586</v>
      </c>
    </row>
    <row r="2289" spans="1:40" x14ac:dyDescent="0.25">
      <c r="A2289" t="str">
        <f>"20190312172935444"</f>
        <v>20190312172935444</v>
      </c>
      <c r="B2289" t="str">
        <f>"1552382975439881"</f>
        <v>1552382975439881</v>
      </c>
      <c r="C2289" t="s">
        <v>40</v>
      </c>
      <c r="D2289">
        <v>3.2508349999999999</v>
      </c>
      <c r="E2289">
        <v>0.465229</v>
      </c>
      <c r="F2289" t="s">
        <v>48</v>
      </c>
      <c r="G2289">
        <v>-413.67939999999999</v>
      </c>
      <c r="H2289" s="1">
        <v>3.2598020000000002E-6</v>
      </c>
      <c r="I2289">
        <v>280.02499999999998</v>
      </c>
      <c r="J2289">
        <v>-359.43060000000003</v>
      </c>
      <c r="K2289">
        <v>1.107926</v>
      </c>
      <c r="L2289">
        <v>284.3931</v>
      </c>
      <c r="M2289">
        <v>-0.99988909999999998</v>
      </c>
      <c r="N2289">
        <v>0</v>
      </c>
      <c r="O2289">
        <v>9.571988E-3</v>
      </c>
      <c r="P2289">
        <v>-0.98443919999999996</v>
      </c>
      <c r="Q2289">
        <v>0.17452790000000001</v>
      </c>
      <c r="R2289">
        <v>2.049175E-2</v>
      </c>
      <c r="S2289">
        <v>-3.0634459999999999</v>
      </c>
      <c r="T2289">
        <v>-6.2172060000000001E-2</v>
      </c>
      <c r="U2289">
        <v>-0.24493409999999999</v>
      </c>
      <c r="V2289">
        <v>1.151805E-2</v>
      </c>
      <c r="W2289">
        <v>0.18572610000000001</v>
      </c>
      <c r="X2289">
        <v>0.98253409999999997</v>
      </c>
      <c r="Y2289">
        <v>-8.9217740000000004E-2</v>
      </c>
      <c r="Z2289">
        <v>-1.097755E-3</v>
      </c>
      <c r="AA2289">
        <v>0.9960116</v>
      </c>
      <c r="AB2289">
        <v>53</v>
      </c>
      <c r="AC2289">
        <v>-54.248799999999903</v>
      </c>
      <c r="AD2289">
        <v>-1.1079227401980001</v>
      </c>
      <c r="AE2289">
        <v>-4.3681000000000196</v>
      </c>
      <c r="AF2289">
        <v>-4.8851780462755601</v>
      </c>
      <c r="AG2289">
        <v>-1.1079227401980001</v>
      </c>
      <c r="AH2289">
        <v>54.182046603364597</v>
      </c>
      <c r="AI2289">
        <v>91.166698303396601</v>
      </c>
      <c r="AJ2289">
        <v>95.151988922612304</v>
      </c>
      <c r="AK2289">
        <v>54.413110841700998</v>
      </c>
      <c r="AL2289">
        <v>79.296532036192005</v>
      </c>
      <c r="AM2289">
        <v>89.328363844699297</v>
      </c>
      <c r="AN2289">
        <v>1.0000000536799001</v>
      </c>
    </row>
    <row r="2290" spans="1:40" x14ac:dyDescent="0.25">
      <c r="A2290" t="str">
        <f>"20190312172935462"</f>
        <v>20190312172935462</v>
      </c>
      <c r="B2290" t="str">
        <f>"1552382975449640"</f>
        <v>1552382975449640</v>
      </c>
      <c r="C2290" t="s">
        <v>40</v>
      </c>
      <c r="D2290">
        <v>3.249066</v>
      </c>
      <c r="E2290">
        <v>0.46513880000000002</v>
      </c>
      <c r="F2290" t="s">
        <v>48</v>
      </c>
      <c r="G2290">
        <v>-413.9556</v>
      </c>
      <c r="H2290" s="1">
        <v>3.3078439999999999E-6</v>
      </c>
      <c r="I2290">
        <v>280.03590000000003</v>
      </c>
      <c r="J2290">
        <v>-359.83960000000002</v>
      </c>
      <c r="K2290">
        <v>1.1079270000000001</v>
      </c>
      <c r="L2290">
        <v>284.3972</v>
      </c>
      <c r="M2290">
        <v>-0.99988370000000004</v>
      </c>
      <c r="N2290">
        <v>0</v>
      </c>
      <c r="O2290">
        <v>1.0108860000000001E-2</v>
      </c>
      <c r="P2290">
        <v>-0.98443720000000001</v>
      </c>
      <c r="Q2290">
        <v>0.174489899999999</v>
      </c>
      <c r="R2290">
        <v>2.0904450000000002E-2</v>
      </c>
      <c r="S2290">
        <v>-3.0635680000000001</v>
      </c>
      <c r="T2290">
        <v>-6.2250260000000002E-2</v>
      </c>
      <c r="U2290">
        <v>-0.244812</v>
      </c>
      <c r="V2290">
        <v>1.140187E-2</v>
      </c>
      <c r="W2290">
        <v>0.18570739999999999</v>
      </c>
      <c r="X2290">
        <v>0.98253889999999999</v>
      </c>
      <c r="Y2290">
        <v>-8.9709670000000005E-2</v>
      </c>
      <c r="Z2290">
        <v>-1.1149759999999999E-3</v>
      </c>
      <c r="AA2290">
        <v>0.9959673</v>
      </c>
      <c r="AB2290">
        <v>53</v>
      </c>
      <c r="AC2290">
        <v>-54.1159999999999</v>
      </c>
      <c r="AD2290">
        <v>-1.1079236921560001</v>
      </c>
      <c r="AE2290">
        <v>-4.3612999999999698</v>
      </c>
      <c r="AF2290">
        <v>-4.9061207400292304</v>
      </c>
      <c r="AG2290">
        <v>-1.1079236921560001</v>
      </c>
      <c r="AH2290">
        <v>54.046636489765497</v>
      </c>
      <c r="AI2290">
        <v>91.169557220279401</v>
      </c>
      <c r="AJ2290">
        <v>95.186848179144306</v>
      </c>
      <c r="AK2290">
        <v>54.280166096652998</v>
      </c>
      <c r="AL2290">
        <v>79.297621482052307</v>
      </c>
      <c r="AM2290">
        <v>89.335141125242899</v>
      </c>
      <c r="AN2290">
        <v>0.99999996553373205</v>
      </c>
    </row>
    <row r="2291" spans="1:40" x14ac:dyDescent="0.25">
      <c r="A2291" t="str">
        <f>"20190312172935485"</f>
        <v>20190312172935485</v>
      </c>
      <c r="B2291" t="str">
        <f>"1552382975479896"</f>
        <v>1552382975479896</v>
      </c>
      <c r="C2291" t="s">
        <v>40</v>
      </c>
      <c r="D2291">
        <v>3.2626210000000002</v>
      </c>
      <c r="E2291">
        <v>0.46495239999999999</v>
      </c>
      <c r="F2291" t="s">
        <v>48</v>
      </c>
      <c r="G2291">
        <v>-414.31200000000001</v>
      </c>
      <c r="H2291" s="1">
        <v>3.3691800000000002E-6</v>
      </c>
      <c r="I2291">
        <v>280.05739999999997</v>
      </c>
      <c r="J2291">
        <v>-360.3716</v>
      </c>
      <c r="K2291">
        <v>1.1079349999999999</v>
      </c>
      <c r="L2291">
        <v>284.40300000000002</v>
      </c>
      <c r="M2291">
        <v>-0.99987599999999999</v>
      </c>
      <c r="N2291">
        <v>0</v>
      </c>
      <c r="O2291">
        <v>1.080569E-2</v>
      </c>
      <c r="P2291">
        <v>-0.9844408</v>
      </c>
      <c r="Q2291">
        <v>0.174377</v>
      </c>
      <c r="R2291">
        <v>2.1651440000000001E-2</v>
      </c>
      <c r="S2291">
        <v>-3.0636290000000002</v>
      </c>
      <c r="T2291">
        <v>-6.2311770000000002E-2</v>
      </c>
      <c r="U2291">
        <v>-0.24407960000000001</v>
      </c>
      <c r="V2291">
        <v>1.146207E-2</v>
      </c>
      <c r="W2291">
        <v>0.18561649999999999</v>
      </c>
      <c r="X2291">
        <v>0.98255539999999997</v>
      </c>
      <c r="Y2291">
        <v>-9.0165319999999993E-2</v>
      </c>
      <c r="Z2291">
        <v>-1.1348440000000001E-3</v>
      </c>
      <c r="AA2291">
        <v>0.99592610000000004</v>
      </c>
      <c r="AB2291">
        <v>53</v>
      </c>
      <c r="AC2291">
        <v>-53.940399999999897</v>
      </c>
      <c r="AD2291">
        <v>-1.10793163082</v>
      </c>
      <c r="AE2291">
        <v>-4.3456000000000401</v>
      </c>
      <c r="AF2291">
        <v>-4.92618284611732</v>
      </c>
      <c r="AG2291">
        <v>-1.10793163082</v>
      </c>
      <c r="AH2291">
        <v>53.867710475093801</v>
      </c>
      <c r="AI2291">
        <v>91.173377880900901</v>
      </c>
      <c r="AJ2291">
        <v>95.225144849028197</v>
      </c>
      <c r="AK2291">
        <v>54.103835554981501</v>
      </c>
      <c r="AL2291">
        <v>79.302922077022004</v>
      </c>
      <c r="AM2291">
        <v>89.331642320109793</v>
      </c>
      <c r="AN2291">
        <v>0.99999998909504695</v>
      </c>
    </row>
    <row r="2292" spans="1:40" x14ac:dyDescent="0.25">
      <c r="A2292" t="str">
        <f>"20190312172935497"</f>
        <v>20190312172935497</v>
      </c>
      <c r="B2292" t="str">
        <f>"1552382975489656"</f>
        <v>1552382975489656</v>
      </c>
      <c r="C2292" t="s">
        <v>40</v>
      </c>
      <c r="D2292">
        <v>3.2295210000000001</v>
      </c>
      <c r="E2292">
        <v>0.46175709999999998</v>
      </c>
      <c r="F2292" t="s">
        <v>48</v>
      </c>
      <c r="G2292">
        <v>-414.25619999999998</v>
      </c>
      <c r="H2292" s="1">
        <v>3.3529620000000001E-6</v>
      </c>
      <c r="I2292">
        <v>280.12970000000001</v>
      </c>
      <c r="J2292">
        <v>-360.68279999999999</v>
      </c>
      <c r="K2292">
        <v>1.107936</v>
      </c>
      <c r="L2292">
        <v>284.40649999999999</v>
      </c>
      <c r="M2292">
        <v>-0.99987159999999997</v>
      </c>
      <c r="N2292">
        <v>0</v>
      </c>
      <c r="O2292">
        <v>1.121254E-2</v>
      </c>
      <c r="P2292">
        <v>-0.98439100000000002</v>
      </c>
      <c r="Q2292">
        <v>0.1746106</v>
      </c>
      <c r="R2292">
        <v>2.2042809999999999E-2</v>
      </c>
      <c r="S2292">
        <v>-3.0638730000000001</v>
      </c>
      <c r="T2292">
        <v>-6.2996979999999994E-2</v>
      </c>
      <c r="U2292">
        <v>-0.242981</v>
      </c>
      <c r="V2292">
        <v>1.1453980000000001E-2</v>
      </c>
      <c r="W2292">
        <v>0.18586150000000001</v>
      </c>
      <c r="X2292">
        <v>0.98250919999999997</v>
      </c>
      <c r="Y2292">
        <v>-9.0208839999999998E-2</v>
      </c>
      <c r="Z2292">
        <v>-1.156046E-3</v>
      </c>
      <c r="AA2292">
        <v>0.99592219999999998</v>
      </c>
      <c r="AB2292">
        <v>53</v>
      </c>
      <c r="AC2292">
        <v>-53.5733999999999</v>
      </c>
      <c r="AD2292">
        <v>-1.107932647038</v>
      </c>
      <c r="AE2292">
        <v>-4.2767999999999802</v>
      </c>
      <c r="AF2292">
        <v>-4.8751925095071202</v>
      </c>
      <c r="AG2292">
        <v>-1.107932647038</v>
      </c>
      <c r="AH2292">
        <v>53.499338672724903</v>
      </c>
      <c r="AI2292">
        <v>91.181490606006705</v>
      </c>
      <c r="AJ2292">
        <v>95.206767278536006</v>
      </c>
      <c r="AK2292">
        <v>53.7324320608517</v>
      </c>
      <c r="AL2292">
        <v>79.288636241583603</v>
      </c>
      <c r="AM2292">
        <v>89.332082605555499</v>
      </c>
      <c r="AN2292">
        <v>1.00000000946236</v>
      </c>
    </row>
    <row r="2293" spans="1:40" x14ac:dyDescent="0.25">
      <c r="A2293" t="str">
        <f>"20190312172935510"</f>
        <v>20190312172935510</v>
      </c>
      <c r="B2293" t="str">
        <f>"1552382975499417"</f>
        <v>1552382975499417</v>
      </c>
      <c r="C2293" t="s">
        <v>40</v>
      </c>
      <c r="D2293">
        <v>3.2204839999999999</v>
      </c>
      <c r="E2293">
        <v>0.46198329999999999</v>
      </c>
      <c r="F2293" t="s">
        <v>48</v>
      </c>
      <c r="G2293">
        <v>-412.7688</v>
      </c>
      <c r="H2293" s="1">
        <v>3.1126489999999999E-6</v>
      </c>
      <c r="I2293">
        <v>279.86059999999998</v>
      </c>
      <c r="J2293">
        <v>-360.96960000000001</v>
      </c>
      <c r="K2293">
        <v>1.107931</v>
      </c>
      <c r="L2293">
        <v>284.40989999999999</v>
      </c>
      <c r="M2293">
        <v>-0.99986710000000001</v>
      </c>
      <c r="N2293">
        <v>0</v>
      </c>
      <c r="O2293">
        <v>1.1587449999999999E-2</v>
      </c>
      <c r="P2293">
        <v>-0.98441460000000003</v>
      </c>
      <c r="Q2293">
        <v>0.1744185</v>
      </c>
      <c r="R2293">
        <v>2.2506390000000001E-2</v>
      </c>
      <c r="S2293">
        <v>-3.0651549999999999</v>
      </c>
      <c r="T2293">
        <v>-6.5199610000000005E-2</v>
      </c>
      <c r="U2293">
        <v>-0.26751710000000001</v>
      </c>
      <c r="V2293">
        <v>1.154756E-2</v>
      </c>
      <c r="W2293">
        <v>0.18567980000000001</v>
      </c>
      <c r="X2293">
        <v>0.98254249999999999</v>
      </c>
      <c r="Y2293">
        <v>-9.8460130000000007E-2</v>
      </c>
      <c r="Z2293">
        <v>-1.2911070000000001E-3</v>
      </c>
      <c r="AA2293">
        <v>0.99514009999999997</v>
      </c>
      <c r="AB2293">
        <v>53</v>
      </c>
      <c r="AC2293">
        <v>-51.7991999999999</v>
      </c>
      <c r="AD2293">
        <v>-1.1079278873509999</v>
      </c>
      <c r="AE2293">
        <v>-4.5493000000000103</v>
      </c>
      <c r="AF2293">
        <v>-5.14691803224341</v>
      </c>
      <c r="AG2293">
        <v>-1.1079278873509999</v>
      </c>
      <c r="AH2293">
        <v>51.719523859757601</v>
      </c>
      <c r="AI2293">
        <v>91.221163789900004</v>
      </c>
      <c r="AJ2293">
        <v>95.683132924233803</v>
      </c>
      <c r="AK2293">
        <v>51.9868004181277</v>
      </c>
      <c r="AL2293">
        <v>79.299231742798398</v>
      </c>
      <c r="AM2293">
        <v>89.326648983194104</v>
      </c>
      <c r="AN2293">
        <v>1.00000004928812</v>
      </c>
    </row>
    <row r="2294" spans="1:40" x14ac:dyDescent="0.25">
      <c r="A2294" t="str">
        <f>"20190312172935521"</f>
        <v>20190312172935521</v>
      </c>
      <c r="B2294" t="str">
        <f>"1552382975519913"</f>
        <v>1552382975519913</v>
      </c>
      <c r="C2294" t="s">
        <v>40</v>
      </c>
      <c r="D2294">
        <v>3.1970689999999999</v>
      </c>
      <c r="E2294">
        <v>0.46188489999999999</v>
      </c>
      <c r="F2294" t="s">
        <v>48</v>
      </c>
      <c r="G2294">
        <v>-413.70890000000003</v>
      </c>
      <c r="H2294" s="1">
        <v>3.278981E-6</v>
      </c>
      <c r="I2294">
        <v>279.86540000000002</v>
      </c>
      <c r="J2294">
        <v>-361.2672</v>
      </c>
      <c r="K2294">
        <v>1.1079300000000001</v>
      </c>
      <c r="L2294">
        <v>284.4135</v>
      </c>
      <c r="M2294">
        <v>-0.99986240000000004</v>
      </c>
      <c r="N2294">
        <v>0</v>
      </c>
      <c r="O2294">
        <v>1.197637E-2</v>
      </c>
      <c r="P2294">
        <v>-0.9843693</v>
      </c>
      <c r="Q2294">
        <v>0.17460709999999999</v>
      </c>
      <c r="R2294">
        <v>2.3012439999999999E-2</v>
      </c>
      <c r="S2294">
        <v>-3.0649410000000001</v>
      </c>
      <c r="T2294">
        <v>-6.4387199999999895E-2</v>
      </c>
      <c r="U2294">
        <v>-0.26409909999999998</v>
      </c>
      <c r="V2294">
        <v>1.167137E-2</v>
      </c>
      <c r="W2294">
        <v>0.18587790000000001</v>
      </c>
      <c r="X2294">
        <v>0.98250349999999997</v>
      </c>
      <c r="Y2294">
        <v>-9.775238E-2</v>
      </c>
      <c r="Z2294">
        <v>-1.275909E-3</v>
      </c>
      <c r="AA2294">
        <v>0.99520989999999998</v>
      </c>
      <c r="AB2294">
        <v>53</v>
      </c>
      <c r="AC2294">
        <v>-52.441699999999997</v>
      </c>
      <c r="AD2294">
        <v>-1.10792672101899</v>
      </c>
      <c r="AE2294">
        <v>-4.5480999999999696</v>
      </c>
      <c r="AF2294">
        <v>-5.1735843967877999</v>
      </c>
      <c r="AG2294">
        <v>-1.10792672101899</v>
      </c>
      <c r="AH2294">
        <v>52.360268946759199</v>
      </c>
      <c r="AI2294">
        <v>91.206307189738894</v>
      </c>
      <c r="AJ2294">
        <v>95.642933333059503</v>
      </c>
      <c r="AK2294">
        <v>52.626906058657802</v>
      </c>
      <c r="AL2294">
        <v>79.287679510087997</v>
      </c>
      <c r="AM2294">
        <v>89.319403148031796</v>
      </c>
      <c r="AN2294">
        <v>0.99999997104916805</v>
      </c>
    </row>
    <row r="2295" spans="1:40" x14ac:dyDescent="0.25">
      <c r="A2295" t="str">
        <f>"20190312172935534"</f>
        <v>20190312172935534</v>
      </c>
      <c r="B2295" t="str">
        <f>"1552382975529673"</f>
        <v>1552382975529673</v>
      </c>
      <c r="C2295" t="s">
        <v>40</v>
      </c>
      <c r="D2295">
        <v>3.238105</v>
      </c>
      <c r="E2295">
        <v>0.46183170000000001</v>
      </c>
      <c r="F2295" t="s">
        <v>48</v>
      </c>
      <c r="G2295">
        <v>-415.99759999999998</v>
      </c>
      <c r="H2295" s="1">
        <v>3.6987529999999998E-6</v>
      </c>
      <c r="I2295">
        <v>279.70760000000001</v>
      </c>
      <c r="J2295">
        <v>-361.53960000000001</v>
      </c>
      <c r="K2295">
        <v>1.107931</v>
      </c>
      <c r="L2295">
        <v>284.4169</v>
      </c>
      <c r="M2295">
        <v>-0.99985789999999997</v>
      </c>
      <c r="N2295">
        <v>0</v>
      </c>
      <c r="O2295">
        <v>1.2332040000000001E-2</v>
      </c>
      <c r="P2295">
        <v>-0.9843653</v>
      </c>
      <c r="Q2295">
        <v>0.17457879999999901</v>
      </c>
      <c r="R2295">
        <v>2.3397370000000001E-2</v>
      </c>
      <c r="S2295">
        <v>-3.0647579999999999</v>
      </c>
      <c r="T2295">
        <v>-6.2041039999999999E-2</v>
      </c>
      <c r="U2295">
        <v>-0.26351930000000001</v>
      </c>
      <c r="V2295">
        <v>1.170614E-2</v>
      </c>
      <c r="W2295">
        <v>0.1858573</v>
      </c>
      <c r="X2295">
        <v>0.98250700000000002</v>
      </c>
      <c r="Y2295">
        <v>-9.7926189999999996E-2</v>
      </c>
      <c r="Z2295">
        <v>-1.2384539999999999E-3</v>
      </c>
      <c r="AA2295">
        <v>0.99519290000000005</v>
      </c>
      <c r="AB2295">
        <v>53</v>
      </c>
      <c r="AC2295">
        <v>-54.457999999999899</v>
      </c>
      <c r="AD2295">
        <v>-1.1079273012469999</v>
      </c>
      <c r="AE2295">
        <v>-4.7092999999999803</v>
      </c>
      <c r="AF2295">
        <v>-5.3783548457521997</v>
      </c>
      <c r="AG2295">
        <v>-1.1079273012469999</v>
      </c>
      <c r="AH2295">
        <v>54.373440905419201</v>
      </c>
      <c r="AI2295">
        <v>91.161644610804302</v>
      </c>
      <c r="AJ2295">
        <v>95.649042328901601</v>
      </c>
      <c r="AK2295">
        <v>54.650025431346201</v>
      </c>
      <c r="AL2295">
        <v>79.288880911566807</v>
      </c>
      <c r="AM2295">
        <v>89.317378215420405</v>
      </c>
      <c r="AN2295">
        <v>0.999999987362994</v>
      </c>
    </row>
    <row r="2296" spans="1:40" x14ac:dyDescent="0.25">
      <c r="A2296" t="str">
        <f>"20190312172935551"</f>
        <v>20190312172935551</v>
      </c>
      <c r="B2296" t="str">
        <f>"1552382975539433"</f>
        <v>1552382975539433</v>
      </c>
      <c r="C2296" t="s">
        <v>40</v>
      </c>
      <c r="D2296">
        <v>3.1049120000000001</v>
      </c>
      <c r="E2296">
        <v>0.46183170000000001</v>
      </c>
      <c r="F2296" t="s">
        <v>48</v>
      </c>
      <c r="G2296">
        <v>-416.39280000000002</v>
      </c>
      <c r="H2296" s="1">
        <v>3.768169E-6</v>
      </c>
      <c r="I2296">
        <v>279.71539999999999</v>
      </c>
      <c r="J2296">
        <v>-361.93779999999998</v>
      </c>
      <c r="K2296">
        <v>1.1079349999999999</v>
      </c>
      <c r="L2296">
        <v>284.4221</v>
      </c>
      <c r="M2296">
        <v>-0.99985119999999905</v>
      </c>
      <c r="N2296">
        <v>0</v>
      </c>
      <c r="O2296">
        <v>1.285058E-2</v>
      </c>
      <c r="P2296">
        <v>-0.98434619999999995</v>
      </c>
      <c r="Q2296">
        <v>0.1746192</v>
      </c>
      <c r="R2296">
        <v>2.3892279999999998E-2</v>
      </c>
      <c r="S2296">
        <v>-3.0649109999999999</v>
      </c>
      <c r="T2296">
        <v>-6.1905259999999997E-2</v>
      </c>
      <c r="U2296">
        <v>-0.26269530000000002</v>
      </c>
      <c r="V2296">
        <v>1.1690509999999999E-2</v>
      </c>
      <c r="W2296">
        <v>0.1859093</v>
      </c>
      <c r="X2296">
        <v>0.98249730000000002</v>
      </c>
      <c r="Y2296">
        <v>-9.8172430000000005E-2</v>
      </c>
      <c r="Z2296">
        <v>-1.2486349999999999E-3</v>
      </c>
      <c r="AA2296">
        <v>0.99516859999999996</v>
      </c>
      <c r="AB2296">
        <v>53</v>
      </c>
      <c r="AC2296">
        <v>-54.454999999999998</v>
      </c>
      <c r="AD2296">
        <v>-1.107931231831</v>
      </c>
      <c r="AE2296">
        <v>-4.7067000000000103</v>
      </c>
      <c r="AF2296">
        <v>-5.4039156097593102</v>
      </c>
      <c r="AG2296">
        <v>-1.107931231831</v>
      </c>
      <c r="AH2296">
        <v>54.367676380404902</v>
      </c>
      <c r="AI2296">
        <v>91.161717053243095</v>
      </c>
      <c r="AJ2296">
        <v>95.676312522374701</v>
      </c>
      <c r="AK2296">
        <v>54.646811897276301</v>
      </c>
      <c r="AL2296">
        <v>79.285848173312502</v>
      </c>
      <c r="AM2296">
        <v>89.318282833974806</v>
      </c>
      <c r="AN2296">
        <v>0.99999994017891802</v>
      </c>
    </row>
    <row r="2297" spans="1:40" x14ac:dyDescent="0.25">
      <c r="A2297" t="str">
        <f>"20190312172935564"</f>
        <v>20190312172935564</v>
      </c>
      <c r="B2297" t="str">
        <f>"1552382975559929"</f>
        <v>1552382975559929</v>
      </c>
      <c r="C2297" t="s">
        <v>40</v>
      </c>
      <c r="D2297">
        <v>3.0882209999999999</v>
      </c>
      <c r="E2297">
        <v>0.4631169</v>
      </c>
      <c r="F2297" t="s">
        <v>48</v>
      </c>
      <c r="G2297">
        <v>-416.89640000000003</v>
      </c>
      <c r="H2297" s="1">
        <v>3.8556479999999996E-6</v>
      </c>
      <c r="I2297">
        <v>279.73680000000002</v>
      </c>
      <c r="J2297">
        <v>-362.25420000000003</v>
      </c>
      <c r="K2297">
        <v>1.107936</v>
      </c>
      <c r="L2297">
        <v>284.42630000000003</v>
      </c>
      <c r="M2297">
        <v>-0.99984569999999995</v>
      </c>
      <c r="N2297">
        <v>0</v>
      </c>
      <c r="O2297">
        <v>1.326168E-2</v>
      </c>
      <c r="P2297">
        <v>-0.9843324</v>
      </c>
      <c r="Q2297">
        <v>0.17465549999999999</v>
      </c>
      <c r="R2297">
        <v>2.4187879999999998E-2</v>
      </c>
      <c r="S2297">
        <v>-3.064972</v>
      </c>
      <c r="T2297">
        <v>-6.1787839999999997E-2</v>
      </c>
      <c r="U2297">
        <v>-0.26129150000000001</v>
      </c>
      <c r="V2297">
        <v>1.1581279999999999E-2</v>
      </c>
      <c r="W2297">
        <v>0.18595429999999999</v>
      </c>
      <c r="X2297">
        <v>0.98249010000000003</v>
      </c>
      <c r="Y2297">
        <v>-9.8127430000000002E-2</v>
      </c>
      <c r="Z2297">
        <v>-1.254088E-3</v>
      </c>
      <c r="AA2297">
        <v>0.99517310000000003</v>
      </c>
      <c r="AB2297">
        <v>53</v>
      </c>
      <c r="AC2297">
        <v>-54.642200000000003</v>
      </c>
      <c r="AD2297">
        <v>-1.107932144352</v>
      </c>
      <c r="AE2297">
        <v>-4.6894999999999998</v>
      </c>
      <c r="AF2297">
        <v>-5.4115744617346202</v>
      </c>
      <c r="AG2297">
        <v>-1.107932144352</v>
      </c>
      <c r="AH2297">
        <v>54.552935464063097</v>
      </c>
      <c r="AI2297">
        <v>91.157796386190199</v>
      </c>
      <c r="AJ2297">
        <v>95.665126947246407</v>
      </c>
      <c r="AK2297">
        <v>54.831883239020897</v>
      </c>
      <c r="AL2297">
        <v>79.283224344728296</v>
      </c>
      <c r="AM2297">
        <v>89.324646900531604</v>
      </c>
      <c r="AN2297">
        <v>0.99999996216646803</v>
      </c>
    </row>
    <row r="2298" spans="1:40" x14ac:dyDescent="0.25">
      <c r="A2298" t="str">
        <f>"20190312172935577"</f>
        <v>20190312172935577</v>
      </c>
      <c r="B2298" t="str">
        <f>"1552382975569689"</f>
        <v>1552382975569689</v>
      </c>
      <c r="C2298" t="s">
        <v>40</v>
      </c>
      <c r="D2298">
        <v>3.1101529999999999</v>
      </c>
      <c r="E2298">
        <v>0.4631169</v>
      </c>
      <c r="F2298" t="s">
        <v>47</v>
      </c>
      <c r="G2298">
        <v>-387.77030000000002</v>
      </c>
      <c r="H2298" s="1">
        <v>2.5981679999999999E-6</v>
      </c>
      <c r="I2298">
        <v>282.32569999999998</v>
      </c>
      <c r="J2298">
        <v>-362.56259999999997</v>
      </c>
      <c r="K2298">
        <v>1.107934</v>
      </c>
      <c r="L2298">
        <v>284.43049999999999</v>
      </c>
      <c r="M2298">
        <v>-0.99984019999999996</v>
      </c>
      <c r="N2298">
        <v>0</v>
      </c>
      <c r="O2298">
        <v>1.365948E-2</v>
      </c>
      <c r="P2298">
        <v>-0.98430229999999996</v>
      </c>
      <c r="Q2298">
        <v>0.17474589999999901</v>
      </c>
      <c r="R2298">
        <v>2.475484E-2</v>
      </c>
      <c r="S2298">
        <v>-3.0776669999999999</v>
      </c>
      <c r="T2298">
        <v>-0.13363539999999999</v>
      </c>
      <c r="U2298">
        <v>-0.2533569</v>
      </c>
      <c r="V2298">
        <v>1.1756529999999999E-2</v>
      </c>
      <c r="W2298">
        <v>0.18605179999999999</v>
      </c>
      <c r="X2298">
        <v>0.98246960000000005</v>
      </c>
      <c r="Y2298">
        <v>-9.5548010000000003E-2</v>
      </c>
      <c r="Z2298">
        <v>-2.6618599999999998E-3</v>
      </c>
      <c r="AA2298">
        <v>0.99542129999999995</v>
      </c>
      <c r="AB2298">
        <v>53</v>
      </c>
      <c r="AC2298">
        <v>-25.207699999999999</v>
      </c>
      <c r="AD2298">
        <v>-1.1079314018319999</v>
      </c>
      <c r="AE2298">
        <v>-2.1048000000000102</v>
      </c>
      <c r="AF2298">
        <v>-2.4442614781380301</v>
      </c>
      <c r="AG2298">
        <v>-1.1079314018319999</v>
      </c>
      <c r="AH2298">
        <v>25.128388940971501</v>
      </c>
      <c r="AI2298">
        <v>92.512739098181598</v>
      </c>
      <c r="AJ2298">
        <v>95.555734998071003</v>
      </c>
      <c r="AK2298">
        <v>25.2712852252</v>
      </c>
      <c r="AL2298">
        <v>79.277539216166204</v>
      </c>
      <c r="AM2298">
        <v>89.314414001178307</v>
      </c>
      <c r="AN2298">
        <v>1.0000000016025199</v>
      </c>
    </row>
    <row r="2299" spans="1:40" x14ac:dyDescent="0.25">
      <c r="A2299" t="str">
        <f>"20190312172935589"</f>
        <v>20190312172935589</v>
      </c>
      <c r="B2299" t="str">
        <f>"1552382975579449"</f>
        <v>1552382975579449</v>
      </c>
      <c r="C2299" t="s">
        <v>40</v>
      </c>
      <c r="D2299">
        <v>3.1471680000000002</v>
      </c>
      <c r="E2299">
        <v>0.4623931</v>
      </c>
      <c r="F2299" t="s">
        <v>47</v>
      </c>
      <c r="G2299">
        <v>-388.14049999999997</v>
      </c>
      <c r="H2299" s="1">
        <v>2.7951760000000001E-6</v>
      </c>
      <c r="I2299">
        <v>282.3372</v>
      </c>
      <c r="J2299">
        <v>-362.8519</v>
      </c>
      <c r="K2299">
        <v>1.1079349999999999</v>
      </c>
      <c r="L2299">
        <v>284.43459999999999</v>
      </c>
      <c r="M2299">
        <v>-0.99983509999999998</v>
      </c>
      <c r="N2299">
        <v>0</v>
      </c>
      <c r="O2299">
        <v>1.403075E-2</v>
      </c>
      <c r="P2299">
        <v>-0.98427900000000002</v>
      </c>
      <c r="Q2299">
        <v>0.17482249999999999</v>
      </c>
      <c r="R2299">
        <v>2.514009E-2</v>
      </c>
      <c r="S2299">
        <v>-3.0778810000000001</v>
      </c>
      <c r="T2299">
        <v>-0.1333213</v>
      </c>
      <c r="U2299">
        <v>-0.25189210000000001</v>
      </c>
      <c r="V2299">
        <v>1.1775809999999999E-2</v>
      </c>
      <c r="W2299">
        <v>0.1861342</v>
      </c>
      <c r="X2299">
        <v>0.98245380000000004</v>
      </c>
      <c r="Y2299">
        <v>-9.5441650000000003E-2</v>
      </c>
      <c r="Z2299">
        <v>-2.6692299999999999E-3</v>
      </c>
      <c r="AA2299">
        <v>0.99543139999999997</v>
      </c>
      <c r="AB2299">
        <v>53</v>
      </c>
      <c r="AC2299">
        <v>-25.288599999999899</v>
      </c>
      <c r="AD2299">
        <v>-1.1079322048239999</v>
      </c>
      <c r="AE2299">
        <v>-2.0973999999999902</v>
      </c>
      <c r="AF2299">
        <v>-2.4473696092459098</v>
      </c>
      <c r="AG2299">
        <v>-1.1079322048239999</v>
      </c>
      <c r="AH2299">
        <v>25.208624189688901</v>
      </c>
      <c r="AI2299">
        <v>92.504798309702593</v>
      </c>
      <c r="AJ2299">
        <v>95.545160521539103</v>
      </c>
      <c r="AK2299">
        <v>25.351368115186901</v>
      </c>
      <c r="AL2299">
        <v>79.272734521659601</v>
      </c>
      <c r="AM2299">
        <v>89.313278746337204</v>
      </c>
      <c r="AN2299">
        <v>1.0000000396226101</v>
      </c>
    </row>
    <row r="2300" spans="1:40" x14ac:dyDescent="0.25">
      <c r="A2300" t="str">
        <f>"20190312172935606"</f>
        <v>20190312172935606</v>
      </c>
      <c r="B2300" t="str">
        <f>"1552382975599957"</f>
        <v>1552382975599957</v>
      </c>
      <c r="C2300" t="s">
        <v>40</v>
      </c>
      <c r="D2300">
        <v>3.1861030000000001</v>
      </c>
      <c r="E2300">
        <v>0.46175080000000002</v>
      </c>
      <c r="F2300" t="s">
        <v>47</v>
      </c>
      <c r="G2300">
        <v>-389.80900000000003</v>
      </c>
      <c r="H2300" s="1">
        <v>3.683072E-6</v>
      </c>
      <c r="I2300">
        <v>282.19170000000003</v>
      </c>
      <c r="J2300">
        <v>-363.25779999999997</v>
      </c>
      <c r="K2300">
        <v>1.1079410000000001</v>
      </c>
      <c r="L2300">
        <v>284.44060000000002</v>
      </c>
      <c r="M2300">
        <v>-0.99982769999999999</v>
      </c>
      <c r="N2300">
        <v>0</v>
      </c>
      <c r="O2300">
        <v>1.4546160000000001E-2</v>
      </c>
      <c r="P2300">
        <v>-0.98425549999999995</v>
      </c>
      <c r="Q2300">
        <v>0.17485129999999999</v>
      </c>
      <c r="R2300">
        <v>2.585173E-2</v>
      </c>
      <c r="S2300">
        <v>-3.0769039999999999</v>
      </c>
      <c r="T2300">
        <v>-0.1264603</v>
      </c>
      <c r="U2300">
        <v>-0.25601200000000002</v>
      </c>
      <c r="V2300">
        <v>1.197819E-2</v>
      </c>
      <c r="W2300">
        <v>0.18617120000000001</v>
      </c>
      <c r="X2300">
        <v>0.98244430000000005</v>
      </c>
      <c r="Y2300">
        <v>-9.7312319999999994E-2</v>
      </c>
      <c r="Z2300">
        <v>-2.592151E-3</v>
      </c>
      <c r="AA2300">
        <v>0.99525050000000004</v>
      </c>
      <c r="AB2300">
        <v>53</v>
      </c>
      <c r="AC2300">
        <v>-26.551200000000001</v>
      </c>
      <c r="AD2300">
        <v>-1.107937316928</v>
      </c>
      <c r="AE2300">
        <v>-2.2488999999999901</v>
      </c>
      <c r="AF2300">
        <v>-2.6303582213652201</v>
      </c>
      <c r="AG2300">
        <v>-1.107937316928</v>
      </c>
      <c r="AH2300">
        <v>26.469912921266499</v>
      </c>
      <c r="AI2300">
        <v>92.385067120889403</v>
      </c>
      <c r="AJ2300">
        <v>95.674944072327506</v>
      </c>
      <c r="AK2300">
        <v>26.623346888217799</v>
      </c>
      <c r="AL2300">
        <v>79.270576408403798</v>
      </c>
      <c r="AM2300">
        <v>89.301471106340699</v>
      </c>
      <c r="AN2300">
        <v>0.99999999767380299</v>
      </c>
    </row>
    <row r="2301" spans="1:40" x14ac:dyDescent="0.25">
      <c r="A2301" t="str">
        <f>"20190312172935618"</f>
        <v>20190312172935618</v>
      </c>
      <c r="B2301" t="str">
        <f>"1552382975609706"</f>
        <v>1552382975609706</v>
      </c>
      <c r="C2301" t="s">
        <v>40</v>
      </c>
      <c r="D2301">
        <v>3.157117</v>
      </c>
      <c r="E2301">
        <v>0.46154210000000001</v>
      </c>
      <c r="F2301" t="s">
        <v>47</v>
      </c>
      <c r="G2301">
        <v>-392.4006</v>
      </c>
      <c r="H2301" s="1">
        <v>-2.5932669999999997E-7</v>
      </c>
      <c r="I2301">
        <v>281.98489999999998</v>
      </c>
      <c r="J2301">
        <v>-363.55239999999998</v>
      </c>
      <c r="K2301">
        <v>1.1079460000000001</v>
      </c>
      <c r="L2301">
        <v>284.44499999999999</v>
      </c>
      <c r="M2301">
        <v>-0.99982230000000005</v>
      </c>
      <c r="N2301">
        <v>0</v>
      </c>
      <c r="O2301">
        <v>1.49137E-2</v>
      </c>
      <c r="P2301">
        <v>-0.98426570000000002</v>
      </c>
      <c r="Q2301">
        <v>0.17473069999999999</v>
      </c>
      <c r="R2301">
        <v>2.6273899999999999E-2</v>
      </c>
      <c r="S2301">
        <v>-3.0755309999999998</v>
      </c>
      <c r="T2301">
        <v>-0.1169245</v>
      </c>
      <c r="U2301">
        <v>-0.25915529999999998</v>
      </c>
      <c r="V2301">
        <v>1.203542E-2</v>
      </c>
      <c r="W2301">
        <v>0.1860569</v>
      </c>
      <c r="X2301">
        <v>0.98246529999999999</v>
      </c>
      <c r="Y2301">
        <v>-9.8737169999999999E-2</v>
      </c>
      <c r="Z2301">
        <v>-2.4387749999999998E-3</v>
      </c>
      <c r="AA2301">
        <v>0.99511059999999996</v>
      </c>
      <c r="AB2301">
        <v>53</v>
      </c>
      <c r="AC2301">
        <v>-28.848199999999999</v>
      </c>
      <c r="AD2301">
        <v>-1.10794625932669</v>
      </c>
      <c r="AE2301">
        <v>-2.4601000000000099</v>
      </c>
      <c r="AF2301">
        <v>-2.885862373238</v>
      </c>
      <c r="AG2301">
        <v>-1.10794625932669</v>
      </c>
      <c r="AH2301">
        <v>28.766175033246899</v>
      </c>
      <c r="AI2301">
        <v>92.194685048411699</v>
      </c>
      <c r="AJ2301">
        <v>95.728823953625493</v>
      </c>
      <c r="AK2301">
        <v>28.931791728032</v>
      </c>
      <c r="AL2301">
        <v>79.277242269892596</v>
      </c>
      <c r="AM2301">
        <v>89.298148973600703</v>
      </c>
      <c r="AN2301">
        <v>1.00000004353813</v>
      </c>
    </row>
    <row r="2302" spans="1:40" x14ac:dyDescent="0.25">
      <c r="A2302" t="str">
        <f>"20190312172935630"</f>
        <v>20190312172935630</v>
      </c>
      <c r="B2302" t="str">
        <f>"1552382975619466"</f>
        <v>1552382975619466</v>
      </c>
      <c r="C2302" t="s">
        <v>40</v>
      </c>
      <c r="D2302">
        <v>3.136415</v>
      </c>
      <c r="E2302">
        <v>0.46137119999999998</v>
      </c>
      <c r="F2302" t="s">
        <v>47</v>
      </c>
      <c r="G2302">
        <v>-393.3621</v>
      </c>
      <c r="H2302" s="1">
        <v>2.5233819999999998E-7</v>
      </c>
      <c r="I2302">
        <v>281.93130000000002</v>
      </c>
      <c r="J2302">
        <v>-363.82209999999998</v>
      </c>
      <c r="K2302">
        <v>1.1079509999999999</v>
      </c>
      <c r="L2302">
        <v>284.44909999999999</v>
      </c>
      <c r="M2302">
        <v>-0.99981719999999996</v>
      </c>
      <c r="N2302">
        <v>0</v>
      </c>
      <c r="O2302">
        <v>1.5243390000000001E-2</v>
      </c>
      <c r="P2302">
        <v>-0.98424820000000002</v>
      </c>
      <c r="Q2302">
        <v>0.1747831</v>
      </c>
      <c r="R2302">
        <v>2.6584110000000001E-2</v>
      </c>
      <c r="S2302">
        <v>-3.0751650000000001</v>
      </c>
      <c r="T2302">
        <v>-0.1142957</v>
      </c>
      <c r="U2302">
        <v>-0.25930789999999998</v>
      </c>
      <c r="V2302">
        <v>1.2018539999999999E-2</v>
      </c>
      <c r="W2302">
        <v>0.18611449999999999</v>
      </c>
      <c r="X2302">
        <v>0.98245450000000001</v>
      </c>
      <c r="Y2302">
        <v>-9.9127350000000003E-2</v>
      </c>
      <c r="Z2302">
        <v>-2.403727E-3</v>
      </c>
      <c r="AA2302">
        <v>0.99507179999999995</v>
      </c>
      <c r="AB2302">
        <v>53</v>
      </c>
      <c r="AC2302">
        <v>-29.54</v>
      </c>
      <c r="AD2302">
        <v>-1.1079507476618</v>
      </c>
      <c r="AE2302">
        <v>-2.5177999999999598</v>
      </c>
      <c r="AF2302">
        <v>-2.9636880318121102</v>
      </c>
      <c r="AG2302">
        <v>-1.1079507476618</v>
      </c>
      <c r="AH2302">
        <v>29.457044897111299</v>
      </c>
      <c r="AI2302">
        <v>92.143207751148907</v>
      </c>
      <c r="AJ2302">
        <v>95.745223817124696</v>
      </c>
      <c r="AK2302">
        <v>29.626483012325</v>
      </c>
      <c r="AL2302">
        <v>79.273882333330405</v>
      </c>
      <c r="AM2302">
        <v>89.299125536493605</v>
      </c>
      <c r="AN2302">
        <v>0.99999994849211404</v>
      </c>
    </row>
    <row r="2303" spans="1:40" x14ac:dyDescent="0.25">
      <c r="A2303" t="str">
        <f>"20190312172935643"</f>
        <v>20190312172935643</v>
      </c>
      <c r="B2303" t="str">
        <f>"1552382975639961"</f>
        <v>1552382975639961</v>
      </c>
      <c r="C2303" t="s">
        <v>40</v>
      </c>
      <c r="D2303">
        <v>3.05653</v>
      </c>
      <c r="E2303">
        <v>0.46119500000000002</v>
      </c>
      <c r="F2303" t="s">
        <v>47</v>
      </c>
      <c r="G2303">
        <v>-394.15359999999998</v>
      </c>
      <c r="H2303" s="1">
        <v>6.7353200000000003E-7</v>
      </c>
      <c r="I2303">
        <v>281.88740000000001</v>
      </c>
      <c r="J2303">
        <v>-364.1277</v>
      </c>
      <c r="K2303">
        <v>1.10796299999999</v>
      </c>
      <c r="L2303">
        <v>284.45389999999998</v>
      </c>
      <c r="M2303">
        <v>-0.99981140000000002</v>
      </c>
      <c r="N2303">
        <v>0</v>
      </c>
      <c r="O2303">
        <v>1.5612920000000001E-2</v>
      </c>
      <c r="P2303">
        <v>-0.98429580000000005</v>
      </c>
      <c r="Q2303">
        <v>0.1744598</v>
      </c>
      <c r="R2303">
        <v>2.6939000000000001E-2</v>
      </c>
      <c r="S2303">
        <v>-3.074951</v>
      </c>
      <c r="T2303">
        <v>-0.11232200000000001</v>
      </c>
      <c r="U2303">
        <v>-0.25970460000000001</v>
      </c>
      <c r="V2303">
        <v>1.2004010000000001E-2</v>
      </c>
      <c r="W2303">
        <v>0.1857973</v>
      </c>
      <c r="X2303">
        <v>0.98251469999999996</v>
      </c>
      <c r="Y2303">
        <v>-9.9630449999999995E-2</v>
      </c>
      <c r="Z2303">
        <v>-2.3850389999999998E-3</v>
      </c>
      <c r="AA2303">
        <v>0.99502159999999995</v>
      </c>
      <c r="AB2303">
        <v>53</v>
      </c>
      <c r="AC2303">
        <v>-30.025899999999901</v>
      </c>
      <c r="AD2303">
        <v>-1.1079623264680001</v>
      </c>
      <c r="AE2303">
        <v>-2.56649999999996</v>
      </c>
      <c r="AF2303">
        <v>-3.0309133389295702</v>
      </c>
      <c r="AG2303">
        <v>-1.1079623264680001</v>
      </c>
      <c r="AH2303">
        <v>29.941692763559299</v>
      </c>
      <c r="AI2303">
        <v>92.108440761177405</v>
      </c>
      <c r="AJ2303">
        <v>95.780201128916801</v>
      </c>
      <c r="AK2303">
        <v>30.115095579000801</v>
      </c>
      <c r="AL2303">
        <v>79.292379022447705</v>
      </c>
      <c r="AM2303">
        <v>89.300015672498304</v>
      </c>
      <c r="AN2303">
        <v>0.999999934329728</v>
      </c>
    </row>
    <row r="2304" spans="1:40" x14ac:dyDescent="0.25">
      <c r="A2304" t="str">
        <f>"20190312172935655"</f>
        <v>20190312172935655</v>
      </c>
      <c r="B2304" t="str">
        <f>"1552382975649721"</f>
        <v>1552382975649721</v>
      </c>
      <c r="C2304" t="s">
        <v>40</v>
      </c>
      <c r="D2304">
        <v>3.0494629999999998</v>
      </c>
      <c r="E2304">
        <v>0.46126889999999998</v>
      </c>
      <c r="F2304" t="s">
        <v>47</v>
      </c>
      <c r="G2304">
        <v>-394.32619999999997</v>
      </c>
      <c r="H2304" s="1">
        <v>7.653758E-7</v>
      </c>
      <c r="I2304">
        <v>281.90159999999997</v>
      </c>
      <c r="J2304">
        <v>-364.43200000000002</v>
      </c>
      <c r="K2304">
        <v>1.1079779999999999</v>
      </c>
      <c r="L2304">
        <v>284.4588</v>
      </c>
      <c r="M2304">
        <v>-0.99980570000000002</v>
      </c>
      <c r="N2304">
        <v>0</v>
      </c>
      <c r="O2304">
        <v>1.596177E-2</v>
      </c>
      <c r="P2304">
        <v>-0.98433729999999997</v>
      </c>
      <c r="Q2304">
        <v>0.1742099</v>
      </c>
      <c r="R2304">
        <v>2.7042090000000001E-2</v>
      </c>
      <c r="S2304">
        <v>-3.0749819999999999</v>
      </c>
      <c r="T2304">
        <v>-0.112819</v>
      </c>
      <c r="U2304">
        <v>-0.2598877</v>
      </c>
      <c r="V2304">
        <v>1.175593E-2</v>
      </c>
      <c r="W2304">
        <v>0.18555369999999999</v>
      </c>
      <c r="X2304">
        <v>0.98256379999999999</v>
      </c>
      <c r="Y2304">
        <v>-0.1000345</v>
      </c>
      <c r="Z2304">
        <v>-2.4157269999999999E-3</v>
      </c>
      <c r="AA2304">
        <v>0.99498109999999995</v>
      </c>
      <c r="AB2304">
        <v>53</v>
      </c>
      <c r="AC2304">
        <v>-29.894200000000001</v>
      </c>
      <c r="AD2304">
        <v>-1.1079772346242001</v>
      </c>
      <c r="AE2304">
        <v>-2.5572000000000199</v>
      </c>
      <c r="AF2304">
        <v>-3.0299384906279401</v>
      </c>
      <c r="AG2304">
        <v>-1.1079772346242001</v>
      </c>
      <c r="AH2304">
        <v>29.808920213955599</v>
      </c>
      <c r="AI2304">
        <v>92.117763112487907</v>
      </c>
      <c r="AJ2304">
        <v>95.803916770000498</v>
      </c>
      <c r="AK2304">
        <v>29.982992931517099</v>
      </c>
      <c r="AL2304">
        <v>79.306583973971101</v>
      </c>
      <c r="AM2304">
        <v>89.314514705666497</v>
      </c>
      <c r="AN2304">
        <v>0.999999999272147</v>
      </c>
    </row>
    <row r="2305" spans="1:40" x14ac:dyDescent="0.25">
      <c r="A2305" t="str">
        <f>"20190312172935670"</f>
        <v>20190312172935670</v>
      </c>
      <c r="B2305" t="str">
        <f>"1552382975659481"</f>
        <v>1552382975659481</v>
      </c>
      <c r="C2305" t="s">
        <v>40</v>
      </c>
      <c r="D2305">
        <v>3.1926109999999999</v>
      </c>
      <c r="E2305">
        <v>0.46120689999999998</v>
      </c>
      <c r="F2305" t="s">
        <v>47</v>
      </c>
      <c r="G2305">
        <v>-394.05470000000003</v>
      </c>
      <c r="H2305" s="1">
        <v>6.2090600000000001E-7</v>
      </c>
      <c r="I2305">
        <v>281.96510000000001</v>
      </c>
      <c r="J2305">
        <v>-364.7604</v>
      </c>
      <c r="K2305">
        <v>1.1079969999999999</v>
      </c>
      <c r="L2305">
        <v>284.46420000000001</v>
      </c>
      <c r="M2305">
        <v>-0.99980000000000002</v>
      </c>
      <c r="N2305">
        <v>0</v>
      </c>
      <c r="O2305">
        <v>1.6326070000000002E-2</v>
      </c>
      <c r="P2305">
        <v>-0.98439049999999995</v>
      </c>
      <c r="Q2305">
        <v>0.17387849999999999</v>
      </c>
      <c r="R2305">
        <v>2.7239940000000001E-2</v>
      </c>
      <c r="S2305">
        <v>-3.0752259999999998</v>
      </c>
      <c r="T2305">
        <v>-0.11502270000000001</v>
      </c>
      <c r="U2305">
        <v>-0.25888060000000002</v>
      </c>
      <c r="V2305">
        <v>1.158518E-2</v>
      </c>
      <c r="W2305">
        <v>0.18522949999999999</v>
      </c>
      <c r="X2305">
        <v>0.98262700000000003</v>
      </c>
      <c r="Y2305">
        <v>-0.1000635</v>
      </c>
      <c r="Z2305">
        <v>-2.4768640000000001E-3</v>
      </c>
      <c r="AA2305">
        <v>0.99497800000000003</v>
      </c>
      <c r="AB2305">
        <v>53</v>
      </c>
      <c r="AC2305">
        <v>-29.2943</v>
      </c>
      <c r="AD2305">
        <v>-1.107996379094</v>
      </c>
      <c r="AE2305">
        <v>-2.4990999999999901</v>
      </c>
      <c r="AF2305">
        <v>-2.9728374407901699</v>
      </c>
      <c r="AG2305">
        <v>-1.107996379094</v>
      </c>
      <c r="AH2305">
        <v>29.208109485249899</v>
      </c>
      <c r="AI2305">
        <v>92.161292370919597</v>
      </c>
      <c r="AJ2305">
        <v>95.811621966944998</v>
      </c>
      <c r="AK2305">
        <v>29.379909430217701</v>
      </c>
      <c r="AL2305">
        <v>79.325486990138302</v>
      </c>
      <c r="AM2305">
        <v>89.324513609652996</v>
      </c>
      <c r="AN2305">
        <v>1.00000000259744</v>
      </c>
    </row>
    <row r="2306" spans="1:40" x14ac:dyDescent="0.25">
      <c r="A2306" t="str">
        <f>"20190312172935685"</f>
        <v>20190312172935685</v>
      </c>
      <c r="B2306" t="str">
        <f>"1552382975679976"</f>
        <v>1552382975679976</v>
      </c>
      <c r="C2306" t="s">
        <v>40</v>
      </c>
      <c r="D2306">
        <v>3.0036130000000001</v>
      </c>
      <c r="E2306">
        <v>0.46109420000000001</v>
      </c>
      <c r="F2306" t="s">
        <v>47</v>
      </c>
      <c r="G2306">
        <v>-394.72019999999998</v>
      </c>
      <c r="H2306" s="1">
        <v>9.7509050000000005E-7</v>
      </c>
      <c r="I2306">
        <v>281.94589999999999</v>
      </c>
      <c r="J2306">
        <v>-365.12459999999999</v>
      </c>
      <c r="K2306">
        <v>1.1080209999999999</v>
      </c>
      <c r="L2306">
        <v>284.47019999999998</v>
      </c>
      <c r="M2306">
        <v>-0.9997935</v>
      </c>
      <c r="N2306">
        <v>0</v>
      </c>
      <c r="O2306">
        <v>1.6711819999999999E-2</v>
      </c>
      <c r="P2306">
        <v>-0.98439529999999997</v>
      </c>
      <c r="Q2306">
        <v>0.17382449999999999</v>
      </c>
      <c r="R2306">
        <v>2.7412189999999999E-2</v>
      </c>
      <c r="S2306">
        <v>-3.0747990000000001</v>
      </c>
      <c r="T2306">
        <v>-0.1137142</v>
      </c>
      <c r="U2306">
        <v>-0.2584534</v>
      </c>
      <c r="V2306">
        <v>1.1366660000000001E-2</v>
      </c>
      <c r="W2306">
        <v>0.1851817</v>
      </c>
      <c r="X2306">
        <v>0.98263849999999997</v>
      </c>
      <c r="Y2306">
        <v>-0.100323</v>
      </c>
      <c r="Z2306">
        <v>-2.4680890000000001E-3</v>
      </c>
      <c r="AA2306">
        <v>0.99495180000000005</v>
      </c>
      <c r="AB2306">
        <v>53</v>
      </c>
      <c r="AC2306">
        <v>-29.595599999999902</v>
      </c>
      <c r="AD2306">
        <v>-1.1080200249095</v>
      </c>
      <c r="AE2306">
        <v>-2.5242999999999798</v>
      </c>
      <c r="AF2306">
        <v>-3.0143822225475199</v>
      </c>
      <c r="AG2306">
        <v>-1.1080200249095</v>
      </c>
      <c r="AH2306">
        <v>29.508216289799201</v>
      </c>
      <c r="AI2306">
        <v>92.139297161868598</v>
      </c>
      <c r="AJ2306">
        <v>95.832759874937906</v>
      </c>
      <c r="AK2306">
        <v>29.682470199846598</v>
      </c>
      <c r="AL2306">
        <v>79.328273292536494</v>
      </c>
      <c r="AM2306">
        <v>89.337261261647797</v>
      </c>
      <c r="AN2306">
        <v>0.99999994232834599</v>
      </c>
    </row>
    <row r="2307" spans="1:40" x14ac:dyDescent="0.25">
      <c r="A2307" t="str">
        <f>"20190312172935708"</f>
        <v>20190312172935708</v>
      </c>
      <c r="B2307" t="str">
        <f>"1552382975699497"</f>
        <v>1552382975699497</v>
      </c>
      <c r="C2307" t="s">
        <v>40</v>
      </c>
      <c r="D2307">
        <v>3.2970609999999998</v>
      </c>
      <c r="E2307">
        <v>0.46109410000000001</v>
      </c>
      <c r="F2307" t="s">
        <v>47</v>
      </c>
      <c r="G2307">
        <v>-395.48480000000001</v>
      </c>
      <c r="H2307" s="1">
        <v>1.3819479999999999E-6</v>
      </c>
      <c r="I2307">
        <v>281.91480000000001</v>
      </c>
      <c r="J2307">
        <v>-365.6497</v>
      </c>
      <c r="K2307">
        <v>1.1080680000000001</v>
      </c>
      <c r="L2307">
        <v>284.47919999999999</v>
      </c>
      <c r="M2307">
        <v>-0.99978480000000003</v>
      </c>
      <c r="N2307">
        <v>0</v>
      </c>
      <c r="O2307">
        <v>1.7215520000000002E-2</v>
      </c>
      <c r="P2307">
        <v>-0.98436230000000002</v>
      </c>
      <c r="Q2307">
        <v>0.17394709999999999</v>
      </c>
      <c r="R2307">
        <v>2.781117E-2</v>
      </c>
      <c r="S2307">
        <v>-3.0745849999999999</v>
      </c>
      <c r="T2307">
        <v>-0.1122094</v>
      </c>
      <c r="U2307">
        <v>-0.25878909999999999</v>
      </c>
      <c r="V2307">
        <v>1.12502E-2</v>
      </c>
      <c r="W2307">
        <v>0.1853119</v>
      </c>
      <c r="X2307">
        <v>0.98261540000000003</v>
      </c>
      <c r="Y2307">
        <v>-0.1009393</v>
      </c>
      <c r="Z2307">
        <v>-2.46518E-3</v>
      </c>
      <c r="AA2307">
        <v>0.99488960000000004</v>
      </c>
      <c r="AB2307">
        <v>53</v>
      </c>
      <c r="AC2307">
        <v>-29.835100000000001</v>
      </c>
      <c r="AD2307">
        <v>-1.108066618052</v>
      </c>
      <c r="AE2307">
        <v>-2.5643999999999698</v>
      </c>
      <c r="AF2307">
        <v>-3.07347275554813</v>
      </c>
      <c r="AG2307">
        <v>-1.108066618052</v>
      </c>
      <c r="AH2307">
        <v>29.745798285652199</v>
      </c>
      <c r="AI2307">
        <v>92.122062943287901</v>
      </c>
      <c r="AJ2307">
        <v>95.899130037149106</v>
      </c>
      <c r="AK2307">
        <v>29.924681486355801</v>
      </c>
      <c r="AL2307">
        <v>79.320683109549293</v>
      </c>
      <c r="AM2307">
        <v>89.344035504069396</v>
      </c>
      <c r="AN2307">
        <v>1.0000000457994001</v>
      </c>
    </row>
    <row r="2308" spans="1:40" x14ac:dyDescent="0.25">
      <c r="A2308" t="str">
        <f>"20190312172935730"</f>
        <v>20190312172935730</v>
      </c>
      <c r="B2308" t="str">
        <f>"1552382975719996"</f>
        <v>1552382975719996</v>
      </c>
      <c r="C2308" t="s">
        <v>40</v>
      </c>
      <c r="D2308">
        <v>3.0500609999999999</v>
      </c>
      <c r="E2308">
        <v>0.46091379999999998</v>
      </c>
      <c r="F2308" t="s">
        <v>47</v>
      </c>
      <c r="G2308">
        <v>-396.11900000000003</v>
      </c>
      <c r="H2308" s="1">
        <v>1.719468E-6</v>
      </c>
      <c r="I2308">
        <v>281.92290000000003</v>
      </c>
      <c r="J2308">
        <v>-366.1848</v>
      </c>
      <c r="K2308">
        <v>1.108125</v>
      </c>
      <c r="L2308">
        <v>284.48869999999999</v>
      </c>
      <c r="M2308">
        <v>-0.99977689999999997</v>
      </c>
      <c r="N2308">
        <v>0</v>
      </c>
      <c r="O2308">
        <v>1.766641E-2</v>
      </c>
      <c r="P2308">
        <v>-0.98437359999999896</v>
      </c>
      <c r="Q2308">
        <v>0.17383750000000001</v>
      </c>
      <c r="R2308">
        <v>2.8094750000000002E-2</v>
      </c>
      <c r="S2308">
        <v>-3.074646</v>
      </c>
      <c r="T2308">
        <v>-0.11181430000000001</v>
      </c>
      <c r="U2308">
        <v>-0.2579651</v>
      </c>
      <c r="V2308">
        <v>1.106482E-2</v>
      </c>
      <c r="W2308">
        <v>0.18521119999999999</v>
      </c>
      <c r="X2308">
        <v>0.98263650000000002</v>
      </c>
      <c r="Y2308">
        <v>-0.10112169999999999</v>
      </c>
      <c r="Z2308">
        <v>-2.4761610000000002E-3</v>
      </c>
      <c r="AA2308">
        <v>0.99487099999999995</v>
      </c>
      <c r="AB2308">
        <v>53</v>
      </c>
      <c r="AC2308">
        <v>-29.934200000000001</v>
      </c>
      <c r="AD2308">
        <v>-1.108123280532</v>
      </c>
      <c r="AE2308">
        <v>-2.5657999999999599</v>
      </c>
      <c r="AF2308">
        <v>-3.0900611455001399</v>
      </c>
      <c r="AG2308">
        <v>-1.108123280532</v>
      </c>
      <c r="AH2308">
        <v>29.843597459319898</v>
      </c>
      <c r="AI2308">
        <v>92.115176226236997</v>
      </c>
      <c r="AJ2308">
        <v>95.911445420822403</v>
      </c>
      <c r="AK2308">
        <v>30.023602788501499</v>
      </c>
      <c r="AL2308">
        <v>79.326554530512198</v>
      </c>
      <c r="AM2308">
        <v>89.354857371545407</v>
      </c>
      <c r="AN2308">
        <v>1.0000000549896499</v>
      </c>
    </row>
    <row r="2309" spans="1:40" x14ac:dyDescent="0.25">
      <c r="A2309" t="str">
        <f>"20190312172935752"</f>
        <v>20190312172935752</v>
      </c>
      <c r="B2309" t="str">
        <f>"1552382975739513"</f>
        <v>1552382975739513</v>
      </c>
      <c r="C2309" t="s">
        <v>40</v>
      </c>
      <c r="D2309">
        <v>3.2166890000000001</v>
      </c>
      <c r="E2309">
        <v>0.46058290000000002</v>
      </c>
      <c r="F2309" t="s">
        <v>47</v>
      </c>
      <c r="G2309">
        <v>-396.8698</v>
      </c>
      <c r="H2309" s="1">
        <v>2.1189580000000001E-6</v>
      </c>
      <c r="I2309">
        <v>281.91320000000002</v>
      </c>
      <c r="J2309">
        <v>-366.69709999999998</v>
      </c>
      <c r="K2309">
        <v>1.108185</v>
      </c>
      <c r="L2309">
        <v>284.49790000000002</v>
      </c>
      <c r="M2309">
        <v>-0.99977020000000005</v>
      </c>
      <c r="N2309">
        <v>0</v>
      </c>
      <c r="O2309">
        <v>1.803486E-2</v>
      </c>
      <c r="P2309">
        <v>-0.98441160000000005</v>
      </c>
      <c r="Q2309">
        <v>0.17366219999999999</v>
      </c>
      <c r="R2309">
        <v>2.7842019999999999E-2</v>
      </c>
      <c r="S2309">
        <v>-3.0745849999999999</v>
      </c>
      <c r="T2309">
        <v>-0.11103200000000001</v>
      </c>
      <c r="U2309">
        <v>-0.25805660000000002</v>
      </c>
      <c r="V2309">
        <v>1.042152E-2</v>
      </c>
      <c r="W2309">
        <v>0.1850444</v>
      </c>
      <c r="X2309">
        <v>0.98267490000000002</v>
      </c>
      <c r="Y2309">
        <v>-0.10152</v>
      </c>
      <c r="Z2309">
        <v>-2.4793530000000001E-3</v>
      </c>
      <c r="AA2309">
        <v>0.9948304</v>
      </c>
      <c r="AB2309">
        <v>53</v>
      </c>
      <c r="AC2309">
        <v>-30.172699999999999</v>
      </c>
      <c r="AD2309">
        <v>-1.108182881042</v>
      </c>
      <c r="AE2309">
        <v>-2.58469999999999</v>
      </c>
      <c r="AF2309">
        <v>-3.1242927264051299</v>
      </c>
      <c r="AG2309">
        <v>-1.108182881042</v>
      </c>
      <c r="AH2309">
        <v>30.0808922830265</v>
      </c>
      <c r="AI2309">
        <v>92.098549189185306</v>
      </c>
      <c r="AJ2309">
        <v>95.929652365770906</v>
      </c>
      <c r="AK2309">
        <v>30.2630030710956</v>
      </c>
      <c r="AL2309">
        <v>79.3362789599134</v>
      </c>
      <c r="AM2309">
        <v>89.392386304253094</v>
      </c>
      <c r="AN2309">
        <v>0.99999999857024002</v>
      </c>
    </row>
    <row r="2310" spans="1:40" x14ac:dyDescent="0.25">
      <c r="A2310" t="str">
        <f>"20190312172935764"</f>
        <v>20190312172935764</v>
      </c>
      <c r="B2310" t="str">
        <f>"1552382975760011"</f>
        <v>1552382975760011</v>
      </c>
      <c r="C2310" t="s">
        <v>40</v>
      </c>
      <c r="D2310">
        <v>3.009423</v>
      </c>
      <c r="E2310">
        <v>0.46028599999999997</v>
      </c>
      <c r="F2310" t="s">
        <v>47</v>
      </c>
      <c r="G2310">
        <v>-398.16219999999998</v>
      </c>
      <c r="H2310" s="1">
        <v>2.8067479999999998E-6</v>
      </c>
      <c r="I2310">
        <v>281.82769999999999</v>
      </c>
      <c r="J2310">
        <v>-367.00049999999999</v>
      </c>
      <c r="K2310">
        <v>1.1082240000000001</v>
      </c>
      <c r="L2310">
        <v>284.5034</v>
      </c>
      <c r="M2310">
        <v>-0.99976670000000001</v>
      </c>
      <c r="N2310">
        <v>0</v>
      </c>
      <c r="O2310">
        <v>1.8227500000000001E-2</v>
      </c>
      <c r="P2310">
        <v>-0.98442609999999997</v>
      </c>
      <c r="Q2310">
        <v>0.1736067</v>
      </c>
      <c r="R2310">
        <v>2.7676550000000001E-2</v>
      </c>
      <c r="S2310">
        <v>-3.074036</v>
      </c>
      <c r="T2310">
        <v>-0.1082654</v>
      </c>
      <c r="U2310">
        <v>-0.26086429999999999</v>
      </c>
      <c r="V2310">
        <v>1.004886E-2</v>
      </c>
      <c r="W2310">
        <v>0.18499370000000001</v>
      </c>
      <c r="X2310">
        <v>0.98268829999999996</v>
      </c>
      <c r="Y2310">
        <v>-0.1026316</v>
      </c>
      <c r="Z2310">
        <v>-2.4442589999999998E-3</v>
      </c>
      <c r="AA2310">
        <v>0.99471639999999995</v>
      </c>
      <c r="AB2310">
        <v>53</v>
      </c>
      <c r="AC2310">
        <v>-31.1617</v>
      </c>
      <c r="AD2310">
        <v>-1.1082211932520001</v>
      </c>
      <c r="AE2310">
        <v>-2.6757</v>
      </c>
      <c r="AF2310">
        <v>-3.2392265631847899</v>
      </c>
      <c r="AG2310">
        <v>-1.1082211932520001</v>
      </c>
      <c r="AH2310">
        <v>31.0687405341187</v>
      </c>
      <c r="AI2310">
        <v>92.031868694342904</v>
      </c>
      <c r="AJ2310">
        <v>95.952152614052906</v>
      </c>
      <c r="AK2310">
        <v>31.256797361809301</v>
      </c>
      <c r="AL2310">
        <v>79.3392346014532</v>
      </c>
      <c r="AM2310">
        <v>89.414120225678005</v>
      </c>
      <c r="AN2310">
        <v>0.999999971791939</v>
      </c>
    </row>
    <row r="2311" spans="1:40" x14ac:dyDescent="0.25">
      <c r="A2311" t="str">
        <f>"20190312172935777"</f>
        <v>20190312172935777</v>
      </c>
      <c r="B2311" t="str">
        <f>"1552382975769769"</f>
        <v>1552382975769769</v>
      </c>
      <c r="C2311" t="s">
        <v>40</v>
      </c>
      <c r="D2311">
        <v>2.9613939999999999</v>
      </c>
      <c r="E2311">
        <v>0.46015109999999898</v>
      </c>
      <c r="F2311" t="s">
        <v>47</v>
      </c>
      <c r="G2311">
        <v>-399.35500000000002</v>
      </c>
      <c r="H2311" s="1">
        <v>3.4415020000000001E-6</v>
      </c>
      <c r="I2311">
        <v>281.7312</v>
      </c>
      <c r="J2311">
        <v>-367.30739999999997</v>
      </c>
      <c r="K2311">
        <v>1.108266</v>
      </c>
      <c r="L2311">
        <v>284.50900000000001</v>
      </c>
      <c r="M2311">
        <v>-0.99976379999999998</v>
      </c>
      <c r="N2311">
        <v>0</v>
      </c>
      <c r="O2311">
        <v>1.8387199999999999E-2</v>
      </c>
      <c r="P2311">
        <v>-0.98443190000000003</v>
      </c>
      <c r="Q2311">
        <v>0.17358599999999999</v>
      </c>
      <c r="R2311">
        <v>2.7601580000000001E-2</v>
      </c>
      <c r="S2311">
        <v>-3.0734560000000002</v>
      </c>
      <c r="T2311">
        <v>-0.1052734</v>
      </c>
      <c r="U2311">
        <v>-0.26333620000000002</v>
      </c>
      <c r="V2311">
        <v>9.797923E-3</v>
      </c>
      <c r="W2311">
        <v>0.18497730000000001</v>
      </c>
      <c r="X2311">
        <v>0.98269399999999996</v>
      </c>
      <c r="Y2311">
        <v>-0.1036039</v>
      </c>
      <c r="Z2311">
        <v>-2.399193E-3</v>
      </c>
      <c r="AA2311">
        <v>0.99461569999999999</v>
      </c>
      <c r="AB2311">
        <v>53</v>
      </c>
      <c r="AC2311">
        <v>-32.047600000000003</v>
      </c>
      <c r="AD2311">
        <v>-1.1082625584979999</v>
      </c>
      <c r="AE2311">
        <v>-2.7778000000000098</v>
      </c>
      <c r="AF2311">
        <v>-3.3626441222217101</v>
      </c>
      <c r="AG2311">
        <v>-1.1082625584979999</v>
      </c>
      <c r="AH2311">
        <v>31.953174147664001</v>
      </c>
      <c r="AI2311">
        <v>91.975547622438697</v>
      </c>
      <c r="AJ2311">
        <v>96.007502243027901</v>
      </c>
      <c r="AK2311">
        <v>32.148731849051501</v>
      </c>
      <c r="AL2311">
        <v>79.340191589326594</v>
      </c>
      <c r="AM2311">
        <v>89.428752964101307</v>
      </c>
      <c r="AN2311">
        <v>1.0000000492232</v>
      </c>
    </row>
    <row r="2312" spans="1:40" x14ac:dyDescent="0.25">
      <c r="A2312" t="str">
        <f>"20190312172935798"</f>
        <v>20190312172935798</v>
      </c>
      <c r="B2312" t="str">
        <f>"1552382975789289"</f>
        <v>1552382975789289</v>
      </c>
      <c r="C2312" t="s">
        <v>40</v>
      </c>
      <c r="D2312">
        <v>2.9505690000000002</v>
      </c>
      <c r="E2312">
        <v>0.45987119999999998</v>
      </c>
      <c r="F2312" t="s">
        <v>48</v>
      </c>
      <c r="G2312">
        <v>-400.1336</v>
      </c>
      <c r="H2312" s="1">
        <v>8.9490780000000002E-6</v>
      </c>
      <c r="I2312">
        <v>281.6832</v>
      </c>
      <c r="J2312">
        <v>-367.77620000000002</v>
      </c>
      <c r="K2312">
        <v>1.1083259999999999</v>
      </c>
      <c r="L2312">
        <v>284.51769999999999</v>
      </c>
      <c r="M2312">
        <v>-0.99975990000000003</v>
      </c>
      <c r="N2312">
        <v>0</v>
      </c>
      <c r="O2312">
        <v>1.859075E-2</v>
      </c>
      <c r="P2312">
        <v>-0.9843364</v>
      </c>
      <c r="Q2312">
        <v>0.17416609999999999</v>
      </c>
      <c r="R2312">
        <v>2.735133E-2</v>
      </c>
      <c r="S2312">
        <v>-3.0731809999999999</v>
      </c>
      <c r="T2312">
        <v>-0.1037545</v>
      </c>
      <c r="U2312">
        <v>-0.26455689999999998</v>
      </c>
      <c r="V2312">
        <v>9.3201719999999998E-3</v>
      </c>
      <c r="W2312">
        <v>0.18556259999999999</v>
      </c>
      <c r="X2312">
        <v>0.98258820000000002</v>
      </c>
      <c r="Y2312">
        <v>-0.1042077</v>
      </c>
      <c r="Z2312">
        <v>-2.381799E-3</v>
      </c>
      <c r="AA2312">
        <v>0.99455269999999996</v>
      </c>
      <c r="AB2312">
        <v>53</v>
      </c>
      <c r="AC2312">
        <v>-32.357399999999899</v>
      </c>
      <c r="AD2312">
        <v>-1.1083170509219999</v>
      </c>
      <c r="AE2312">
        <v>-2.83449999999999</v>
      </c>
      <c r="AF2312">
        <v>-3.4316034888561302</v>
      </c>
      <c r="AG2312">
        <v>-1.1083170509219999</v>
      </c>
      <c r="AH2312">
        <v>32.261546351745402</v>
      </c>
      <c r="AI2312">
        <v>91.956543729680206</v>
      </c>
      <c r="AJ2312">
        <v>96.071620658437297</v>
      </c>
      <c r="AK2312">
        <v>32.462465128143201</v>
      </c>
      <c r="AL2312">
        <v>79.306064576678693</v>
      </c>
      <c r="AM2312">
        <v>89.456546999358196</v>
      </c>
      <c r="AN2312">
        <v>0.99999995745205295</v>
      </c>
    </row>
    <row r="2313" spans="1:40" x14ac:dyDescent="0.25">
      <c r="A2313" t="str">
        <f>"20190312172935809"</f>
        <v>20190312172935809</v>
      </c>
      <c r="B2313" t="str">
        <f>"1552382975800026"</f>
        <v>1552382975800026</v>
      </c>
      <c r="C2313" t="s">
        <v>40</v>
      </c>
      <c r="D2313">
        <v>2.9657809999999998</v>
      </c>
      <c r="E2313">
        <v>0.45988899999999999</v>
      </c>
      <c r="F2313" t="s">
        <v>48</v>
      </c>
      <c r="G2313">
        <v>-401.99340000000001</v>
      </c>
      <c r="H2313" s="1">
        <v>8.1539709999999992E-6</v>
      </c>
      <c r="I2313">
        <v>281.53980000000001</v>
      </c>
      <c r="J2313">
        <v>-368.07170000000002</v>
      </c>
      <c r="K2313">
        <v>1.1083700000000001</v>
      </c>
      <c r="L2313">
        <v>284.52319999999997</v>
      </c>
      <c r="M2313">
        <v>-0.99975789999999998</v>
      </c>
      <c r="N2313">
        <v>0</v>
      </c>
      <c r="O2313">
        <v>1.8692790000000001E-2</v>
      </c>
      <c r="P2313">
        <v>-0.98433859999999995</v>
      </c>
      <c r="Q2313">
        <v>0.17417639999999901</v>
      </c>
      <c r="R2313">
        <v>2.7205710000000001E-2</v>
      </c>
      <c r="S2313">
        <v>-3.0728149999999999</v>
      </c>
      <c r="T2313">
        <v>-9.9530460000000001E-2</v>
      </c>
      <c r="U2313">
        <v>-0.26742549999999998</v>
      </c>
      <c r="V2313">
        <v>9.0550170000000003E-3</v>
      </c>
      <c r="W2313">
        <v>0.18557670000000001</v>
      </c>
      <c r="X2313">
        <v>0.98258809999999996</v>
      </c>
      <c r="Y2313">
        <v>-0.105245699999999</v>
      </c>
      <c r="Z2313">
        <v>-2.305138E-3</v>
      </c>
      <c r="AA2313">
        <v>0.99444359999999998</v>
      </c>
      <c r="AB2313">
        <v>53</v>
      </c>
      <c r="AC2313">
        <v>-33.921699999999902</v>
      </c>
      <c r="AD2313">
        <v>-1.1083618460289999</v>
      </c>
      <c r="AE2313">
        <v>-2.9833999999999601</v>
      </c>
      <c r="AF2313">
        <v>-3.6131847637793402</v>
      </c>
      <c r="AG2313">
        <v>-1.1083618460289999</v>
      </c>
      <c r="AH2313">
        <v>33.824166939721003</v>
      </c>
      <c r="AI2313">
        <v>91.866206173658099</v>
      </c>
      <c r="AJ2313">
        <v>96.097360663345498</v>
      </c>
      <c r="AK2313">
        <v>34.034656444351697</v>
      </c>
      <c r="AL2313">
        <v>79.305243315092994</v>
      </c>
      <c r="AM2313">
        <v>89.472007068372605</v>
      </c>
      <c r="AN2313">
        <v>1.0000000395886799</v>
      </c>
    </row>
    <row r="2314" spans="1:40" x14ac:dyDescent="0.25">
      <c r="A2314" t="str">
        <f>"20190312172935821"</f>
        <v>20190312172935821</v>
      </c>
      <c r="B2314" t="str">
        <f>"1552382975809785"</f>
        <v>1552382975809785</v>
      </c>
      <c r="C2314" t="s">
        <v>40</v>
      </c>
      <c r="D2314">
        <v>2.9381629999999999</v>
      </c>
      <c r="E2314">
        <v>0.45973839999999999</v>
      </c>
      <c r="F2314" t="s">
        <v>48</v>
      </c>
      <c r="G2314">
        <v>-402.35770000000002</v>
      </c>
      <c r="H2314" s="1">
        <v>7.9931039999999905E-6</v>
      </c>
      <c r="I2314">
        <v>281.53649999999999</v>
      </c>
      <c r="J2314">
        <v>-368.36340000000001</v>
      </c>
      <c r="K2314">
        <v>1.108411</v>
      </c>
      <c r="L2314">
        <v>284.52870000000001</v>
      </c>
      <c r="M2314">
        <v>-0.99975650000000005</v>
      </c>
      <c r="N2314">
        <v>0</v>
      </c>
      <c r="O2314">
        <v>1.877844E-2</v>
      </c>
      <c r="P2314">
        <v>-0.98430709999999999</v>
      </c>
      <c r="Q2314">
        <v>0.17435780000000001</v>
      </c>
      <c r="R2314">
        <v>2.71921E-2</v>
      </c>
      <c r="S2314">
        <v>-3.0726930000000001</v>
      </c>
      <c r="T2314">
        <v>-9.9330779999999994E-2</v>
      </c>
      <c r="U2314">
        <v>-0.26766970000000001</v>
      </c>
      <c r="V2314">
        <v>8.9392480000000003E-3</v>
      </c>
      <c r="W2314">
        <v>0.1857617</v>
      </c>
      <c r="X2314">
        <v>0.98255409999999999</v>
      </c>
      <c r="Y2314">
        <v>-0.1054129</v>
      </c>
      <c r="Z2314">
        <v>-2.3060590000000001E-3</v>
      </c>
      <c r="AA2314">
        <v>0.99442589999999997</v>
      </c>
      <c r="AB2314">
        <v>53</v>
      </c>
      <c r="AC2314">
        <v>-33.994300000000003</v>
      </c>
      <c r="AD2314">
        <v>-1.108403006896</v>
      </c>
      <c r="AE2314">
        <v>-2.99220000000002</v>
      </c>
      <c r="AF2314">
        <v>-3.6262496018975501</v>
      </c>
      <c r="AG2314">
        <v>-1.108403006896</v>
      </c>
      <c r="AH2314">
        <v>33.896353423878402</v>
      </c>
      <c r="AI2314">
        <v>91.862272699871497</v>
      </c>
      <c r="AJ2314">
        <v>96.106307882205897</v>
      </c>
      <c r="AK2314">
        <v>34.107785311237002</v>
      </c>
      <c r="AL2314">
        <v>79.294454944913298</v>
      </c>
      <c r="AM2314">
        <v>89.478739082641098</v>
      </c>
      <c r="AN2314">
        <v>0.99999993938425003</v>
      </c>
    </row>
    <row r="2315" spans="1:40" x14ac:dyDescent="0.25">
      <c r="A2315" t="str">
        <f>"20190312172935835"</f>
        <v>20190312172935835</v>
      </c>
      <c r="B2315" t="str">
        <f>"1552382975829305"</f>
        <v>1552382975829305</v>
      </c>
      <c r="C2315" t="s">
        <v>40</v>
      </c>
      <c r="D2315">
        <v>2.9513050000000001</v>
      </c>
      <c r="E2315">
        <v>0.45960869999999998</v>
      </c>
      <c r="F2315" t="s">
        <v>48</v>
      </c>
      <c r="G2315">
        <v>-403.2903</v>
      </c>
      <c r="H2315" s="1">
        <v>7.5921519999999901E-6</v>
      </c>
      <c r="I2315">
        <v>281.47550000000001</v>
      </c>
      <c r="J2315">
        <v>-368.66269999999997</v>
      </c>
      <c r="K2315">
        <v>1.1084529999999999</v>
      </c>
      <c r="L2315">
        <v>284.53429999999997</v>
      </c>
      <c r="M2315">
        <v>-0.99975519999999996</v>
      </c>
      <c r="N2315">
        <v>0</v>
      </c>
      <c r="O2315">
        <v>1.8845029999999999E-2</v>
      </c>
      <c r="P2315">
        <v>-0.98431880000000005</v>
      </c>
      <c r="Q2315">
        <v>0.17429040000000001</v>
      </c>
      <c r="R2315">
        <v>2.7198090000000001E-2</v>
      </c>
      <c r="S2315">
        <v>-3.072479</v>
      </c>
      <c r="T2315">
        <v>-9.7505090000000003E-2</v>
      </c>
      <c r="U2315">
        <v>-0.26858520000000002</v>
      </c>
      <c r="V2315">
        <v>8.8611920000000004E-3</v>
      </c>
      <c r="W2315">
        <v>0.18569749999999999</v>
      </c>
      <c r="X2315">
        <v>0.98256699999999997</v>
      </c>
      <c r="Y2315">
        <v>-0.10578129999999999</v>
      </c>
      <c r="Z2315">
        <v>-2.2717660000000001E-3</v>
      </c>
      <c r="AA2315">
        <v>0.99438689999999996</v>
      </c>
      <c r="AB2315">
        <v>53</v>
      </c>
      <c r="AC2315">
        <v>-34.627600000000001</v>
      </c>
      <c r="AD2315">
        <v>-1.1084454078479999</v>
      </c>
      <c r="AE2315">
        <v>-3.0587999999999602</v>
      </c>
      <c r="AF2315">
        <v>-3.7070896221732101</v>
      </c>
      <c r="AG2315">
        <v>-1.1084454078479999</v>
      </c>
      <c r="AH2315">
        <v>34.528696266391499</v>
      </c>
      <c r="AI2315">
        <v>91.828187176206796</v>
      </c>
      <c r="AJ2315">
        <v>96.127949109496996</v>
      </c>
      <c r="AK2315">
        <v>34.744813002025602</v>
      </c>
      <c r="AL2315">
        <v>79.298199079664002</v>
      </c>
      <c r="AM2315">
        <v>89.483297180296404</v>
      </c>
      <c r="AN2315">
        <v>0.99999999585945498</v>
      </c>
    </row>
    <row r="2316" spans="1:40" x14ac:dyDescent="0.25">
      <c r="A2316" t="str">
        <f>"20190312172935847"</f>
        <v>20190312172935847</v>
      </c>
      <c r="B2316" t="str">
        <f>"1552382975840042"</f>
        <v>1552382975840042</v>
      </c>
      <c r="C2316" t="s">
        <v>40</v>
      </c>
      <c r="D2316">
        <v>2.9642309999999998</v>
      </c>
      <c r="E2316">
        <v>0.45961940000000001</v>
      </c>
      <c r="F2316" t="s">
        <v>48</v>
      </c>
      <c r="G2316">
        <v>-404.10809999999998</v>
      </c>
      <c r="H2316" s="1">
        <v>7.2405639999999996E-6</v>
      </c>
      <c r="I2316">
        <v>281.42180000000002</v>
      </c>
      <c r="J2316">
        <v>-368.9649</v>
      </c>
      <c r="K2316">
        <v>1.108484</v>
      </c>
      <c r="L2316">
        <v>284.54000000000002</v>
      </c>
      <c r="M2316">
        <v>-0.99975400000000003</v>
      </c>
      <c r="N2316">
        <v>0</v>
      </c>
      <c r="O2316">
        <v>1.8903940000000001E-2</v>
      </c>
      <c r="P2316">
        <v>-0.98431749999999996</v>
      </c>
      <c r="Q2316">
        <v>0.17431140000000001</v>
      </c>
      <c r="R2316">
        <v>2.71022E-2</v>
      </c>
      <c r="S2316">
        <v>-3.072235</v>
      </c>
      <c r="T2316">
        <v>-9.6074699999999999E-2</v>
      </c>
      <c r="U2316">
        <v>-0.2697754</v>
      </c>
      <c r="V2316">
        <v>8.6895789999999994E-3</v>
      </c>
      <c r="W2316">
        <v>0.1857219</v>
      </c>
      <c r="X2316">
        <v>0.98256390000000005</v>
      </c>
      <c r="Y2316">
        <v>-0.10623059999999999</v>
      </c>
      <c r="Z2316">
        <v>-2.2474449999999998E-3</v>
      </c>
      <c r="AA2316">
        <v>0.99433899999999997</v>
      </c>
      <c r="AB2316">
        <v>53</v>
      </c>
      <c r="AC2316">
        <v>-35.143199999999901</v>
      </c>
      <c r="AD2316">
        <v>-1.1084767594359899</v>
      </c>
      <c r="AE2316">
        <v>-3.1181999999999999</v>
      </c>
      <c r="AF2316">
        <v>-3.7783027748463498</v>
      </c>
      <c r="AG2316">
        <v>-1.1084767594359899</v>
      </c>
      <c r="AH2316">
        <v>35.043377377587603</v>
      </c>
      <c r="AI2316">
        <v>91.801318203844403</v>
      </c>
      <c r="AJ2316">
        <v>96.153738032840494</v>
      </c>
      <c r="AK2316">
        <v>35.2638992542322</v>
      </c>
      <c r="AL2316">
        <v>79.296776089965206</v>
      </c>
      <c r="AM2316">
        <v>89.493301938920993</v>
      </c>
      <c r="AN2316">
        <v>0.99999997525300799</v>
      </c>
    </row>
    <row r="2317" spans="1:40" x14ac:dyDescent="0.25">
      <c r="A2317" t="str">
        <f>"20190312172935863"</f>
        <v>20190312172935863</v>
      </c>
      <c r="B2317" t="str">
        <f>"1552382975859561"</f>
        <v>1552382975859561</v>
      </c>
      <c r="C2317" t="s">
        <v>40</v>
      </c>
      <c r="D2317">
        <v>2.9618159999999998</v>
      </c>
      <c r="E2317">
        <v>0.45961869999999999</v>
      </c>
      <c r="F2317" t="s">
        <v>48</v>
      </c>
      <c r="G2317">
        <v>-404.5598</v>
      </c>
      <c r="H2317" s="1">
        <v>7.0427399999999896E-6</v>
      </c>
      <c r="I2317">
        <v>281.40969999999999</v>
      </c>
      <c r="J2317">
        <v>-369.35039999999998</v>
      </c>
      <c r="K2317">
        <v>1.108528</v>
      </c>
      <c r="L2317">
        <v>284.54730000000001</v>
      </c>
      <c r="M2317">
        <v>-0.9997528</v>
      </c>
      <c r="N2317">
        <v>0</v>
      </c>
      <c r="O2317">
        <v>1.8962630000000001E-2</v>
      </c>
      <c r="P2317">
        <v>-0.98433539999999997</v>
      </c>
      <c r="Q2317">
        <v>0.1742061</v>
      </c>
      <c r="R2317">
        <v>2.713138E-2</v>
      </c>
      <c r="S2317">
        <v>-3.0722049999999999</v>
      </c>
      <c r="T2317">
        <v>-9.5672850000000004E-2</v>
      </c>
      <c r="U2317">
        <v>-0.27017210000000003</v>
      </c>
      <c r="V2317">
        <v>8.639575E-3</v>
      </c>
      <c r="W2317">
        <v>0.1856207</v>
      </c>
      <c r="X2317">
        <v>0.98258350000000005</v>
      </c>
      <c r="Y2317">
        <v>-0.1064176</v>
      </c>
      <c r="Z2317">
        <v>-2.2427889999999998E-3</v>
      </c>
      <c r="AA2317">
        <v>0.99431899999999995</v>
      </c>
      <c r="AB2317">
        <v>53</v>
      </c>
      <c r="AC2317">
        <v>-35.209400000000002</v>
      </c>
      <c r="AD2317">
        <v>-1.1085209572600001</v>
      </c>
      <c r="AE2317">
        <v>-3.1376000000000199</v>
      </c>
      <c r="AF2317">
        <v>-3.8010056236592602</v>
      </c>
      <c r="AG2317">
        <v>-1.1085209572600001</v>
      </c>
      <c r="AH2317">
        <v>35.109040452573602</v>
      </c>
      <c r="AI2317">
        <v>91.797937735541097</v>
      </c>
      <c r="AJ2317">
        <v>96.178939944193999</v>
      </c>
      <c r="AK2317">
        <v>35.331589038199603</v>
      </c>
      <c r="AL2317">
        <v>79.302677410530094</v>
      </c>
      <c r="AM2317">
        <v>89.496227620205204</v>
      </c>
      <c r="AN2317">
        <v>1.0000000104984601</v>
      </c>
    </row>
    <row r="2318" spans="1:40" x14ac:dyDescent="0.25">
      <c r="A2318" t="str">
        <f>"20190312172935887"</f>
        <v>20190312172935887</v>
      </c>
      <c r="B2318" t="str">
        <f>"1552382975880057"</f>
        <v>1552382975880057</v>
      </c>
      <c r="C2318" t="s">
        <v>40</v>
      </c>
      <c r="D2318">
        <v>2.965897</v>
      </c>
      <c r="E2318">
        <v>0.45940039999999999</v>
      </c>
      <c r="F2318" t="s">
        <v>48</v>
      </c>
      <c r="G2318">
        <v>-404.88130000000001</v>
      </c>
      <c r="H2318" s="1">
        <v>6.8974649999999997E-6</v>
      </c>
      <c r="I2318">
        <v>281.423</v>
      </c>
      <c r="J2318">
        <v>-369.91750000000002</v>
      </c>
      <c r="K2318">
        <v>1.108589</v>
      </c>
      <c r="L2318">
        <v>284.55810000000002</v>
      </c>
      <c r="M2318">
        <v>-0.99975159999999996</v>
      </c>
      <c r="N2318">
        <v>0</v>
      </c>
      <c r="O2318">
        <v>1.902042E-2</v>
      </c>
      <c r="P2318">
        <v>-0.98438809999999999</v>
      </c>
      <c r="Q2318">
        <v>0.17390799999999901</v>
      </c>
      <c r="R2318">
        <v>2.7127789999999999E-2</v>
      </c>
      <c r="S2318">
        <v>-3.072174</v>
      </c>
      <c r="T2318">
        <v>-9.5848320000000001E-2</v>
      </c>
      <c r="U2318">
        <v>-0.27014159999999998</v>
      </c>
      <c r="V2318">
        <v>8.5509009999999996E-3</v>
      </c>
      <c r="W2318">
        <v>0.18532879999999999</v>
      </c>
      <c r="X2318">
        <v>0.98263940000000005</v>
      </c>
      <c r="Y2318">
        <v>-0.1064659</v>
      </c>
      <c r="Z2318">
        <v>-2.2494749999999999E-3</v>
      </c>
      <c r="AA2318">
        <v>0.99431380000000003</v>
      </c>
      <c r="AB2318">
        <v>53</v>
      </c>
      <c r="AC2318">
        <v>-34.9637999999999</v>
      </c>
      <c r="AD2318">
        <v>-1.108582102535</v>
      </c>
      <c r="AE2318">
        <v>-3.13510000000002</v>
      </c>
      <c r="AF2318">
        <v>-3.7958182871767501</v>
      </c>
      <c r="AG2318">
        <v>-1.108582102535</v>
      </c>
      <c r="AH2318">
        <v>34.863070567663399</v>
      </c>
      <c r="AI2318">
        <v>91.810594723505005</v>
      </c>
      <c r="AJ2318">
        <v>96.213768412476995</v>
      </c>
      <c r="AK2318">
        <v>35.086619674075202</v>
      </c>
      <c r="AL2318">
        <v>79.319697639092695</v>
      </c>
      <c r="AM2318">
        <v>89.501426288887899</v>
      </c>
      <c r="AN2318">
        <v>1.00000003622485</v>
      </c>
    </row>
    <row r="2319" spans="1:40" x14ac:dyDescent="0.25">
      <c r="A2319" t="str">
        <f>"20190312172935909"</f>
        <v>20190312172935909</v>
      </c>
      <c r="B2319" t="str">
        <f>"1552382975899578"</f>
        <v>1552382975899578</v>
      </c>
      <c r="C2319" t="s">
        <v>40</v>
      </c>
      <c r="D2319">
        <v>2.9604940000000002</v>
      </c>
      <c r="E2319">
        <v>0.45934320000000001</v>
      </c>
      <c r="F2319" t="s">
        <v>48</v>
      </c>
      <c r="G2319">
        <v>-405.42039999999997</v>
      </c>
      <c r="H2319" s="1">
        <v>6.659134E-6</v>
      </c>
      <c r="I2319">
        <v>281.41919999999999</v>
      </c>
      <c r="J2319">
        <v>-370.4307</v>
      </c>
      <c r="K2319">
        <v>1.108635</v>
      </c>
      <c r="L2319">
        <v>284.56790000000001</v>
      </c>
      <c r="M2319">
        <v>-0.9997509</v>
      </c>
      <c r="N2319">
        <v>0</v>
      </c>
      <c r="O2319">
        <v>1.905637E-2</v>
      </c>
      <c r="P2319">
        <v>-0.98446610000000001</v>
      </c>
      <c r="Q2319">
        <v>0.1734715</v>
      </c>
      <c r="R2319">
        <v>2.710398E-2</v>
      </c>
      <c r="S2319">
        <v>-3.0720519999999998</v>
      </c>
      <c r="T2319">
        <v>-9.5925090000000005E-2</v>
      </c>
      <c r="U2319">
        <v>-0.27160640000000003</v>
      </c>
      <c r="V2319">
        <v>8.4688809999999993E-3</v>
      </c>
      <c r="W2319">
        <v>0.18489810000000001</v>
      </c>
      <c r="X2319">
        <v>0.98272119999999996</v>
      </c>
      <c r="Y2319">
        <v>-0.10697520000000001</v>
      </c>
      <c r="Z2319">
        <v>-2.2603720000000001E-3</v>
      </c>
      <c r="AA2319">
        <v>0.99425909999999995</v>
      </c>
      <c r="AB2319">
        <v>53</v>
      </c>
      <c r="AC2319">
        <v>-34.9896999999999</v>
      </c>
      <c r="AD2319">
        <v>-1.108628340866</v>
      </c>
      <c r="AE2319">
        <v>-3.1487000000000198</v>
      </c>
      <c r="AF2319">
        <v>-3.8111545393183199</v>
      </c>
      <c r="AG2319">
        <v>-1.108628340866</v>
      </c>
      <c r="AH2319">
        <v>34.888595159685401</v>
      </c>
      <c r="AI2319">
        <v>91.809276243305106</v>
      </c>
      <c r="AJ2319">
        <v>96.234148060579599</v>
      </c>
      <c r="AK2319">
        <v>35.113644469595599</v>
      </c>
      <c r="AL2319">
        <v>79.344808460474695</v>
      </c>
      <c r="AM2319">
        <v>89.506249456166103</v>
      </c>
      <c r="AN2319">
        <v>0.99999999312922105</v>
      </c>
    </row>
    <row r="2320" spans="1:40" x14ac:dyDescent="0.25">
      <c r="A2320" t="str">
        <f>"20190312172935920"</f>
        <v>20190312172935920</v>
      </c>
      <c r="B2320" t="str">
        <f>"1552382975909337"</f>
        <v>1552382975909337</v>
      </c>
      <c r="C2320" t="s">
        <v>40</v>
      </c>
      <c r="D2320">
        <v>2.9518550000000001</v>
      </c>
      <c r="E2320">
        <v>0.45922449999999998</v>
      </c>
      <c r="F2320" t="s">
        <v>48</v>
      </c>
      <c r="G2320">
        <v>-405.56200000000001</v>
      </c>
      <c r="H2320" s="1">
        <v>6.5887449999999999E-6</v>
      </c>
      <c r="I2320">
        <v>281.45609999999999</v>
      </c>
      <c r="J2320">
        <v>-370.71480000000003</v>
      </c>
      <c r="K2320">
        <v>1.1086549999999999</v>
      </c>
      <c r="L2320">
        <v>284.57330000000002</v>
      </c>
      <c r="M2320">
        <v>-0.99975060000000004</v>
      </c>
      <c r="N2320">
        <v>0</v>
      </c>
      <c r="O2320">
        <v>1.9071540000000001E-2</v>
      </c>
      <c r="P2320">
        <v>-0.98446990000000001</v>
      </c>
      <c r="Q2320">
        <v>0.17341519999999999</v>
      </c>
      <c r="R2320">
        <v>2.7321850000000002E-2</v>
      </c>
      <c r="S2320">
        <v>-3.0718990000000002</v>
      </c>
      <c r="T2320">
        <v>-9.6938969999999999E-2</v>
      </c>
      <c r="U2320">
        <v>-0.27209470000000002</v>
      </c>
      <c r="V2320">
        <v>8.6608399999999995E-3</v>
      </c>
      <c r="W2320">
        <v>0.18484429999999999</v>
      </c>
      <c r="X2320">
        <v>0.98272969999999904</v>
      </c>
      <c r="Y2320">
        <v>-0.10715</v>
      </c>
      <c r="Z2320">
        <v>-2.2875790000000001E-3</v>
      </c>
      <c r="AA2320">
        <v>0.99424020000000002</v>
      </c>
      <c r="AB2320">
        <v>53</v>
      </c>
      <c r="AC2320">
        <v>-34.847199999999901</v>
      </c>
      <c r="AD2320">
        <v>-1.1086484112549999</v>
      </c>
      <c r="AE2320">
        <v>-3.11720000000002</v>
      </c>
      <c r="AF2320">
        <v>-3.7774745291767702</v>
      </c>
      <c r="AG2320">
        <v>-1.1086484112549999</v>
      </c>
      <c r="AH2320">
        <v>34.7465173053154</v>
      </c>
      <c r="AI2320">
        <v>91.816804449162902</v>
      </c>
      <c r="AJ2320">
        <v>96.204554749393793</v>
      </c>
      <c r="AK2320">
        <v>34.968827260389197</v>
      </c>
      <c r="AL2320">
        <v>79.347945591136806</v>
      </c>
      <c r="AM2320">
        <v>89.495062851671705</v>
      </c>
      <c r="AN2320">
        <v>1.00000004432704</v>
      </c>
    </row>
    <row r="2321" spans="1:40" x14ac:dyDescent="0.25">
      <c r="A2321" t="str">
        <f>"20190312172935941"</f>
        <v>20190312172935941</v>
      </c>
      <c r="B2321" t="str">
        <f>"1552382975929833"</f>
        <v>1552382975929833</v>
      </c>
      <c r="C2321" t="s">
        <v>40</v>
      </c>
      <c r="D2321">
        <v>3.0004909999999998</v>
      </c>
      <c r="E2321">
        <v>0.45913520000000002</v>
      </c>
      <c r="F2321" t="s">
        <v>48</v>
      </c>
      <c r="G2321">
        <v>-406.11450000000002</v>
      </c>
      <c r="H2321" s="1">
        <v>6.3483209999999998E-6</v>
      </c>
      <c r="I2321">
        <v>281.43389999999999</v>
      </c>
      <c r="J2321">
        <v>-371.20429999999999</v>
      </c>
      <c r="K2321">
        <v>1.108687</v>
      </c>
      <c r="L2321">
        <v>284.58269999999999</v>
      </c>
      <c r="M2321">
        <v>-0.99975020000000003</v>
      </c>
      <c r="N2321">
        <v>0</v>
      </c>
      <c r="O2321">
        <v>1.9092899999999999E-2</v>
      </c>
      <c r="P2321">
        <v>-0.98448089999999999</v>
      </c>
      <c r="Q2321">
        <v>0.17328669999999999</v>
      </c>
      <c r="R2321">
        <v>2.7744080000000001E-2</v>
      </c>
      <c r="S2321">
        <v>-3.0718380000000001</v>
      </c>
      <c r="T2321">
        <v>-9.6203800000000006E-2</v>
      </c>
      <c r="U2321">
        <v>-0.27243040000000002</v>
      </c>
      <c r="V2321">
        <v>9.0448909999999993E-3</v>
      </c>
      <c r="W2321">
        <v>0.18471960000000001</v>
      </c>
      <c r="X2321">
        <v>0.9827496</v>
      </c>
      <c r="Y2321">
        <v>-0.10728169999999999</v>
      </c>
      <c r="Z2321">
        <v>-2.272998E-3</v>
      </c>
      <c r="AA2321">
        <v>0.9942261</v>
      </c>
      <c r="AB2321">
        <v>53</v>
      </c>
      <c r="AC2321">
        <v>-34.910200000000003</v>
      </c>
      <c r="AD2321">
        <v>-1.108680651679</v>
      </c>
      <c r="AE2321">
        <v>-3.1487999999999898</v>
      </c>
      <c r="AF2321">
        <v>-3.8109952360884698</v>
      </c>
      <c r="AG2321">
        <v>-1.108680651679</v>
      </c>
      <c r="AH2321">
        <v>34.808887649956198</v>
      </c>
      <c r="AI2321">
        <v>91.813453887251896</v>
      </c>
      <c r="AJ2321">
        <v>96.248051498421006</v>
      </c>
      <c r="AK2321">
        <v>35.0344333035967</v>
      </c>
      <c r="AL2321">
        <v>79.3552146424299</v>
      </c>
      <c r="AM2321">
        <v>89.472684142064097</v>
      </c>
      <c r="AN2321">
        <v>0.99999995848876</v>
      </c>
    </row>
    <row r="2322" spans="1:40" x14ac:dyDescent="0.25">
      <c r="A2322" t="str">
        <f>"20190312172935955"</f>
        <v>20190312172935955</v>
      </c>
      <c r="B2322" t="str">
        <f>"1552382975949353"</f>
        <v>1552382975949353</v>
      </c>
      <c r="C2322" t="s">
        <v>40</v>
      </c>
      <c r="D2322">
        <v>2.992902</v>
      </c>
      <c r="E2322">
        <v>0.45887280000000003</v>
      </c>
      <c r="F2322" t="s">
        <v>48</v>
      </c>
      <c r="G2322">
        <v>-406.66930000000002</v>
      </c>
      <c r="H2322" s="1">
        <v>6.1013469999999997E-6</v>
      </c>
      <c r="I2322">
        <v>281.43860000000001</v>
      </c>
      <c r="J2322">
        <v>-371.52640000000002</v>
      </c>
      <c r="K2322">
        <v>1.1087100000000001</v>
      </c>
      <c r="L2322">
        <v>284.58890000000002</v>
      </c>
      <c r="M2322">
        <v>-0.99975000000000003</v>
      </c>
      <c r="N2322">
        <v>0</v>
      </c>
      <c r="O2322">
        <v>1.9104449999999999E-2</v>
      </c>
      <c r="P2322">
        <v>-0.98454819999999998</v>
      </c>
      <c r="Q2322">
        <v>0.17286840000000001</v>
      </c>
      <c r="R2322">
        <v>2.795274E-2</v>
      </c>
      <c r="S2322">
        <v>-3.071869</v>
      </c>
      <c r="T2322">
        <v>-9.6030829999999998E-2</v>
      </c>
      <c r="U2322">
        <v>-0.27233889999999999</v>
      </c>
      <c r="V2322">
        <v>9.230594E-3</v>
      </c>
      <c r="W2322">
        <v>0.18430489999999999</v>
      </c>
      <c r="X2322">
        <v>0.98282579999999997</v>
      </c>
      <c r="Y2322">
        <v>-0.1072631</v>
      </c>
      <c r="Z2322">
        <v>-2.268965E-3</v>
      </c>
      <c r="AA2322">
        <v>0.99422809999999995</v>
      </c>
      <c r="AB2322">
        <v>53</v>
      </c>
      <c r="AC2322">
        <v>-35.142899999999997</v>
      </c>
      <c r="AD2322">
        <v>-1.108703898653</v>
      </c>
      <c r="AE2322">
        <v>-3.1503000000000099</v>
      </c>
      <c r="AF2322">
        <v>-3.81738688247458</v>
      </c>
      <c r="AG2322">
        <v>-1.108703898653</v>
      </c>
      <c r="AH2322">
        <v>35.041697383695499</v>
      </c>
      <c r="AI2322">
        <v>91.801557278450602</v>
      </c>
      <c r="AJ2322">
        <v>96.217194268046796</v>
      </c>
      <c r="AK2322">
        <v>35.2664461276702</v>
      </c>
      <c r="AL2322">
        <v>79.379391025826806</v>
      </c>
      <c r="AM2322">
        <v>89.461900034393693</v>
      </c>
      <c r="AN2322">
        <v>1.0000000265876201</v>
      </c>
    </row>
    <row r="2323" spans="1:40" x14ac:dyDescent="0.25">
      <c r="A2323" t="str">
        <f>"20190312172935967"</f>
        <v>20190312172935967</v>
      </c>
      <c r="B2323" t="str">
        <f>"1552382975960090"</f>
        <v>1552382975960090</v>
      </c>
      <c r="C2323" t="s">
        <v>40</v>
      </c>
      <c r="D2323">
        <v>3.0206970000000002</v>
      </c>
      <c r="E2323">
        <v>0.45882580000000001</v>
      </c>
      <c r="F2323" t="s">
        <v>48</v>
      </c>
      <c r="G2323">
        <v>-406.89940000000001</v>
      </c>
      <c r="H2323" s="1">
        <v>6.0002980000000003E-6</v>
      </c>
      <c r="I2323">
        <v>281.43369999999999</v>
      </c>
      <c r="J2323">
        <v>-371.8279</v>
      </c>
      <c r="K2323">
        <v>1.1087279999999999</v>
      </c>
      <c r="L2323">
        <v>284.59469999999999</v>
      </c>
      <c r="M2323">
        <v>-0.99974969999999996</v>
      </c>
      <c r="N2323">
        <v>0</v>
      </c>
      <c r="O2323">
        <v>1.9114550000000001E-2</v>
      </c>
      <c r="P2323">
        <v>-0.98459770000000002</v>
      </c>
      <c r="Q2323">
        <v>0.17259260000000001</v>
      </c>
      <c r="R2323">
        <v>2.79136E-2</v>
      </c>
      <c r="S2323">
        <v>-3.0717469999999998</v>
      </c>
      <c r="T2323">
        <v>-9.6278669999999997E-2</v>
      </c>
      <c r="U2323">
        <v>-0.27398679999999997</v>
      </c>
      <c r="V2323">
        <v>9.1718600000000004E-3</v>
      </c>
      <c r="W2323">
        <v>0.18403159999999999</v>
      </c>
      <c r="X2323">
        <v>0.98287760000000002</v>
      </c>
      <c r="Y2323">
        <v>-0.1078052</v>
      </c>
      <c r="Z2323">
        <v>-2.2836470000000002E-3</v>
      </c>
      <c r="AA2323">
        <v>0.99416939999999998</v>
      </c>
      <c r="AB2323">
        <v>53</v>
      </c>
      <c r="AC2323">
        <v>-35.0715</v>
      </c>
      <c r="AD2323">
        <v>-1.1087219997019999</v>
      </c>
      <c r="AE2323">
        <v>-3.161</v>
      </c>
      <c r="AF2323">
        <v>-3.8270497507429702</v>
      </c>
      <c r="AG2323">
        <v>-1.1087219997019999</v>
      </c>
      <c r="AH2323">
        <v>34.969999221382302</v>
      </c>
      <c r="AI2323">
        <v>91.805180715111206</v>
      </c>
      <c r="AJ2323">
        <v>96.245486104220106</v>
      </c>
      <c r="AK2323">
        <v>35.196255764083197</v>
      </c>
      <c r="AL2323">
        <v>79.395322882493602</v>
      </c>
      <c r="AM2323">
        <v>89.465351926427601</v>
      </c>
      <c r="AN2323">
        <v>1.00000006469808</v>
      </c>
    </row>
    <row r="2324" spans="1:40" x14ac:dyDescent="0.25">
      <c r="A2324" t="str">
        <f>"20190312172935987"</f>
        <v>20190312172935987</v>
      </c>
      <c r="B2324" t="str">
        <f>"1552382975979612"</f>
        <v>1552382975979612</v>
      </c>
      <c r="C2324" t="s">
        <v>40</v>
      </c>
      <c r="D2324">
        <v>2.9953319999999999</v>
      </c>
      <c r="E2324">
        <v>0.4585687</v>
      </c>
      <c r="F2324" t="s">
        <v>48</v>
      </c>
      <c r="G2324">
        <v>-406.46629999999999</v>
      </c>
      <c r="H2324" s="1">
        <v>6.178414E-6</v>
      </c>
      <c r="I2324">
        <v>281.50110000000001</v>
      </c>
      <c r="J2324">
        <v>-372.29899999999998</v>
      </c>
      <c r="K2324">
        <v>1.1087530000000001</v>
      </c>
      <c r="L2324">
        <v>284.6037</v>
      </c>
      <c r="M2324">
        <v>-0.99974949999999996</v>
      </c>
      <c r="N2324">
        <v>0</v>
      </c>
      <c r="O2324">
        <v>1.912817E-2</v>
      </c>
      <c r="P2324">
        <v>-0.98471810000000004</v>
      </c>
      <c r="Q2324">
        <v>0.17200850000000001</v>
      </c>
      <c r="R2324">
        <v>2.7265319999999999E-2</v>
      </c>
      <c r="S2324">
        <v>-3.0718990000000002</v>
      </c>
      <c r="T2324">
        <v>-9.832668E-2</v>
      </c>
      <c r="U2324">
        <v>-0.27435300000000001</v>
      </c>
      <c r="V2324">
        <v>8.4956340000000002E-3</v>
      </c>
      <c r="W2324">
        <v>0.1834527</v>
      </c>
      <c r="X2324">
        <v>0.98299179999999997</v>
      </c>
      <c r="Y2324">
        <v>-0.10792930000000001</v>
      </c>
      <c r="Z2324">
        <v>-2.3344889999999999E-3</v>
      </c>
      <c r="AA2324">
        <v>0.99415580000000003</v>
      </c>
      <c r="AB2324">
        <v>53</v>
      </c>
      <c r="AC2324">
        <v>-34.167299999999898</v>
      </c>
      <c r="AD2324">
        <v>-1.1087468215859999</v>
      </c>
      <c r="AE2324">
        <v>-3.10259999999999</v>
      </c>
      <c r="AF2324">
        <v>-3.7517159459214202</v>
      </c>
      <c r="AG2324">
        <v>-1.1087468215859999</v>
      </c>
      <c r="AH2324">
        <v>34.066117344360698</v>
      </c>
      <c r="AI2324">
        <v>91.852947296350607</v>
      </c>
      <c r="AJ2324">
        <v>96.284681788365802</v>
      </c>
      <c r="AK2324">
        <v>34.290013749968203</v>
      </c>
      <c r="AL2324">
        <v>79.429064929233505</v>
      </c>
      <c r="AM2324">
        <v>89.504826130378802</v>
      </c>
      <c r="AN2324">
        <v>0.99999997390079498</v>
      </c>
    </row>
    <row r="2325" spans="1:40" x14ac:dyDescent="0.25">
      <c r="A2325" t="str">
        <f>"20190312172936008"</f>
        <v>20190312172936008</v>
      </c>
      <c r="B2325" t="str">
        <f>"1552382976000105"</f>
        <v>1552382976000105</v>
      </c>
      <c r="C2325" t="s">
        <v>40</v>
      </c>
      <c r="D2325">
        <v>2.9527209999999999</v>
      </c>
      <c r="E2325">
        <v>0.45841310000000002</v>
      </c>
      <c r="F2325" t="s">
        <v>48</v>
      </c>
      <c r="G2325">
        <v>-406.50259999999997</v>
      </c>
      <c r="H2325" s="1">
        <v>6.1611960000000003E-6</v>
      </c>
      <c r="I2325">
        <v>281.50659999999999</v>
      </c>
      <c r="J2325">
        <v>-372.7987</v>
      </c>
      <c r="K2325">
        <v>1.1087800000000001</v>
      </c>
      <c r="L2325">
        <v>284.61329999999998</v>
      </c>
      <c r="M2325">
        <v>-0.99974909999999995</v>
      </c>
      <c r="N2325">
        <v>0</v>
      </c>
      <c r="O2325">
        <v>1.9142470000000002E-2</v>
      </c>
      <c r="P2325">
        <v>-0.98478670000000001</v>
      </c>
      <c r="Q2325">
        <v>0.17170750000000001</v>
      </c>
      <c r="R2325">
        <v>2.6679930000000001E-2</v>
      </c>
      <c r="S2325">
        <v>-3.0716860000000001</v>
      </c>
      <c r="T2325">
        <v>-9.9572179999999996E-2</v>
      </c>
      <c r="U2325">
        <v>-0.27813719999999997</v>
      </c>
      <c r="V2325">
        <v>7.8836319999999998E-3</v>
      </c>
      <c r="W2325">
        <v>0.18315600000000001</v>
      </c>
      <c r="X2325">
        <v>0.98305229999999999</v>
      </c>
      <c r="Y2325">
        <v>-0.1091622</v>
      </c>
      <c r="Z2325">
        <v>-2.3844790000000001E-3</v>
      </c>
      <c r="AA2325">
        <v>0.99402109999999999</v>
      </c>
      <c r="AB2325">
        <v>53</v>
      </c>
      <c r="AC2325">
        <v>-33.703899999999898</v>
      </c>
      <c r="AD2325">
        <v>-1.1087738388039901</v>
      </c>
      <c r="AE2325">
        <v>-3.10669999999998</v>
      </c>
      <c r="AF2325">
        <v>-3.7473288555420199</v>
      </c>
      <c r="AG2325">
        <v>-1.1087738388039901</v>
      </c>
      <c r="AH2325">
        <v>33.602190105462398</v>
      </c>
      <c r="AI2325">
        <v>91.878271834199694</v>
      </c>
      <c r="AJ2325">
        <v>96.363353857057803</v>
      </c>
      <c r="AK2325">
        <v>33.828671757265703</v>
      </c>
      <c r="AL2325">
        <v>79.446358384525197</v>
      </c>
      <c r="AM2325">
        <v>89.540523776991506</v>
      </c>
      <c r="AN2325">
        <v>1.0000000482623901</v>
      </c>
    </row>
    <row r="2326" spans="1:40" x14ac:dyDescent="0.25">
      <c r="A2326" t="str">
        <f>"20190312172936030"</f>
        <v>20190312172936030</v>
      </c>
      <c r="B2326" t="str">
        <f>"1552382976019625"</f>
        <v>1552382976019625</v>
      </c>
      <c r="C2326" t="s">
        <v>40</v>
      </c>
      <c r="D2326">
        <v>3.008378</v>
      </c>
      <c r="E2326">
        <v>0.45826250000000002</v>
      </c>
      <c r="F2326" t="s">
        <v>48</v>
      </c>
      <c r="G2326">
        <v>-406.6336</v>
      </c>
      <c r="H2326" s="1">
        <v>6.101946E-6</v>
      </c>
      <c r="I2326">
        <v>281.51209999999998</v>
      </c>
      <c r="J2326">
        <v>-373.33580000000001</v>
      </c>
      <c r="K2326">
        <v>1.1088020000000001</v>
      </c>
      <c r="L2326">
        <v>284.62360000000001</v>
      </c>
      <c r="M2326">
        <v>-0.99974890000000005</v>
      </c>
      <c r="N2326">
        <v>0</v>
      </c>
      <c r="O2326">
        <v>1.9155490000000001E-2</v>
      </c>
      <c r="P2326">
        <v>-0.98473350000000004</v>
      </c>
      <c r="Q2326">
        <v>0.17203840000000001</v>
      </c>
      <c r="R2326">
        <v>2.6516189999999999E-2</v>
      </c>
      <c r="S2326">
        <v>-3.0715029999999999</v>
      </c>
      <c r="T2326">
        <v>-0.10065350000000001</v>
      </c>
      <c r="U2326">
        <v>-0.28152470000000002</v>
      </c>
      <c r="V2326">
        <v>7.6981469999999998E-3</v>
      </c>
      <c r="W2326">
        <v>0.18348980000000001</v>
      </c>
      <c r="X2326">
        <v>0.98299150000000002</v>
      </c>
      <c r="Y2326">
        <v>-0.1102655</v>
      </c>
      <c r="Z2326">
        <v>-2.428847E-3</v>
      </c>
      <c r="AA2326">
        <v>0.99389919999999998</v>
      </c>
      <c r="AB2326">
        <v>53</v>
      </c>
      <c r="AC2326">
        <v>-33.297799999999903</v>
      </c>
      <c r="AD2326">
        <v>-1.108795898054</v>
      </c>
      <c r="AE2326">
        <v>-3.1115000000000301</v>
      </c>
      <c r="AF2326">
        <v>-3.74469146176496</v>
      </c>
      <c r="AG2326">
        <v>-1.108795898054</v>
      </c>
      <c r="AH2326">
        <v>33.195593000750002</v>
      </c>
      <c r="AI2326">
        <v>91.901028182417406</v>
      </c>
      <c r="AJ2326">
        <v>96.436149630214501</v>
      </c>
      <c r="AK2326">
        <v>33.424534958003498</v>
      </c>
      <c r="AL2326">
        <v>79.426903134753402</v>
      </c>
      <c r="AM2326">
        <v>89.551306072802603</v>
      </c>
      <c r="AN2326">
        <v>1.0000000286217601</v>
      </c>
    </row>
    <row r="2327" spans="1:40" x14ac:dyDescent="0.25">
      <c r="A2327" t="str">
        <f>"20190312172936043"</f>
        <v>20190312172936043</v>
      </c>
      <c r="B2327" t="str">
        <f>"1552382976040121"</f>
        <v>1552382976040121</v>
      </c>
      <c r="C2327" t="s">
        <v>40</v>
      </c>
      <c r="D2327">
        <v>3.1762290000000002</v>
      </c>
      <c r="E2327">
        <v>0.4580707</v>
      </c>
      <c r="F2327" t="s">
        <v>48</v>
      </c>
      <c r="G2327">
        <v>-407.28219999999999</v>
      </c>
      <c r="H2327" s="1">
        <v>5.8183550000000003E-6</v>
      </c>
      <c r="I2327">
        <v>281.49270000000001</v>
      </c>
      <c r="J2327">
        <v>-373.63099999999997</v>
      </c>
      <c r="K2327">
        <v>1.1088129999999901</v>
      </c>
      <c r="L2327">
        <v>284.6293</v>
      </c>
      <c r="M2327">
        <v>-0.99974859999999999</v>
      </c>
      <c r="N2327">
        <v>0</v>
      </c>
      <c r="O2327">
        <v>1.9162530000000001E-2</v>
      </c>
      <c r="P2327">
        <v>-0.98471830000000005</v>
      </c>
      <c r="Q2327">
        <v>0.172128</v>
      </c>
      <c r="R2327">
        <v>2.6493940000000001E-2</v>
      </c>
      <c r="S2327">
        <v>-3.0715940000000002</v>
      </c>
      <c r="T2327">
        <v>-0.10032820000000001</v>
      </c>
      <c r="U2327">
        <v>-0.28329470000000001</v>
      </c>
      <c r="V2327">
        <v>7.6641950000000004E-3</v>
      </c>
      <c r="W2327">
        <v>0.1835812</v>
      </c>
      <c r="X2327">
        <v>0.98297469999999998</v>
      </c>
      <c r="Y2327">
        <v>-0.1108379</v>
      </c>
      <c r="Z2327">
        <v>-2.4304219999999998E-3</v>
      </c>
      <c r="AA2327">
        <v>0.99383549999999998</v>
      </c>
      <c r="AB2327">
        <v>53</v>
      </c>
      <c r="AC2327">
        <v>-33.651200000000003</v>
      </c>
      <c r="AD2327">
        <v>-1.10880718164499</v>
      </c>
      <c r="AE2327">
        <v>-3.1365999999999801</v>
      </c>
      <c r="AF2327">
        <v>-3.7768446060223799</v>
      </c>
      <c r="AG2327">
        <v>-1.10880718164499</v>
      </c>
      <c r="AH2327">
        <v>33.548800624939297</v>
      </c>
      <c r="AI2327">
        <v>91.881095362397602</v>
      </c>
      <c r="AJ2327">
        <v>96.423179213924698</v>
      </c>
      <c r="AK2327">
        <v>33.778928815402601</v>
      </c>
      <c r="AL2327">
        <v>79.421575808301796</v>
      </c>
      <c r="AM2327">
        <v>89.553277283027199</v>
      </c>
      <c r="AN2327">
        <v>1.0000000288592601</v>
      </c>
    </row>
    <row r="2328" spans="1:40" x14ac:dyDescent="0.25">
      <c r="A2328" t="str">
        <f>"20190312172936055"</f>
        <v>20190312172936055</v>
      </c>
      <c r="B2328" t="str">
        <f>"1552382976049883"</f>
        <v>1552382976049883</v>
      </c>
      <c r="C2328" t="s">
        <v>40</v>
      </c>
      <c r="D2328">
        <v>3.0608840000000002</v>
      </c>
      <c r="E2328">
        <v>0.45799069999999997</v>
      </c>
      <c r="F2328" t="s">
        <v>48</v>
      </c>
      <c r="G2328">
        <v>-407.95069999999998</v>
      </c>
      <c r="H2328" s="1">
        <v>5.5312139999999996E-6</v>
      </c>
      <c r="I2328">
        <v>281.44760000000002</v>
      </c>
      <c r="J2328">
        <v>-373.928</v>
      </c>
      <c r="K2328">
        <v>1.108822</v>
      </c>
      <c r="L2328">
        <v>284.63499999999999</v>
      </c>
      <c r="M2328">
        <v>-0.99974850000000004</v>
      </c>
      <c r="N2328">
        <v>0</v>
      </c>
      <c r="O2328">
        <v>1.916841E-2</v>
      </c>
      <c r="P2328">
        <v>-0.98472630000000005</v>
      </c>
      <c r="Q2328">
        <v>0.1721097</v>
      </c>
      <c r="R2328">
        <v>2.6316329999999999E-2</v>
      </c>
      <c r="S2328">
        <v>-3.0715940000000002</v>
      </c>
      <c r="T2328">
        <v>-9.9237560000000002E-2</v>
      </c>
      <c r="U2328">
        <v>-0.2847595</v>
      </c>
      <c r="V2328">
        <v>7.4765350000000003E-3</v>
      </c>
      <c r="W2328">
        <v>0.18356520000000001</v>
      </c>
      <c r="X2328">
        <v>0.98297909999999999</v>
      </c>
      <c r="Y2328">
        <v>-0.11131489999999999</v>
      </c>
      <c r="Z2328">
        <v>-2.4118389999999998E-3</v>
      </c>
      <c r="AA2328">
        <v>0.99378230000000001</v>
      </c>
      <c r="AB2328">
        <v>53</v>
      </c>
      <c r="AC2328">
        <v>-34.022699999999901</v>
      </c>
      <c r="AD2328">
        <v>-1.108816468786</v>
      </c>
      <c r="AE2328">
        <v>-3.1873999999999598</v>
      </c>
      <c r="AF2328">
        <v>-3.83498170278606</v>
      </c>
      <c r="AG2328">
        <v>-1.108816468786</v>
      </c>
      <c r="AH2328">
        <v>33.919632656578401</v>
      </c>
      <c r="AI2328">
        <v>91.8604600029567</v>
      </c>
      <c r="AJ2328">
        <v>96.450516141277603</v>
      </c>
      <c r="AK2328">
        <v>34.153741203261703</v>
      </c>
      <c r="AL2328">
        <v>79.422508038820496</v>
      </c>
      <c r="AM2328">
        <v>89.564216939582593</v>
      </c>
      <c r="AN2328">
        <v>0.99999999613172796</v>
      </c>
    </row>
    <row r="2329" spans="1:40" x14ac:dyDescent="0.25">
      <c r="A2329" t="str">
        <f>"20190312172936069"</f>
        <v>20190312172936069</v>
      </c>
      <c r="B2329" t="str">
        <f>"1552382976059641"</f>
        <v>1552382976059641</v>
      </c>
      <c r="C2329" t="s">
        <v>40</v>
      </c>
      <c r="D2329">
        <v>3.087583</v>
      </c>
      <c r="E2329">
        <v>0.45794269999999998</v>
      </c>
      <c r="F2329" t="s">
        <v>48</v>
      </c>
      <c r="G2329">
        <v>-408.36169999999998</v>
      </c>
      <c r="H2329" s="1">
        <v>5.3527329999999999E-6</v>
      </c>
      <c r="I2329">
        <v>281.42930000000001</v>
      </c>
      <c r="J2329">
        <v>-374.2611</v>
      </c>
      <c r="K2329">
        <v>1.1088309999999999</v>
      </c>
      <c r="L2329">
        <v>284.64139999999998</v>
      </c>
      <c r="M2329">
        <v>-0.99974850000000004</v>
      </c>
      <c r="N2329">
        <v>0</v>
      </c>
      <c r="O2329">
        <v>1.9174409999999999E-2</v>
      </c>
      <c r="P2329">
        <v>-0.98476280000000005</v>
      </c>
      <c r="Q2329">
        <v>0.1719589</v>
      </c>
      <c r="R2329">
        <v>2.5935960000000001E-2</v>
      </c>
      <c r="S2329">
        <v>-3.071472</v>
      </c>
      <c r="T2329">
        <v>-9.8906040000000001E-2</v>
      </c>
      <c r="U2329">
        <v>-0.28594969999999997</v>
      </c>
      <c r="V2329">
        <v>7.0851450000000002E-3</v>
      </c>
      <c r="W2329">
        <v>0.18341669999999999</v>
      </c>
      <c r="X2329">
        <v>0.98300980000000004</v>
      </c>
      <c r="Y2329">
        <v>-0.1117066</v>
      </c>
      <c r="Z2329">
        <v>-2.4103219999999999E-3</v>
      </c>
      <c r="AA2329">
        <v>0.99373829999999996</v>
      </c>
      <c r="AB2329">
        <v>53</v>
      </c>
      <c r="AC2329">
        <v>-34.100599999999901</v>
      </c>
      <c r="AD2329">
        <v>-1.1088256472669999</v>
      </c>
      <c r="AE2329">
        <v>-3.21209999999996</v>
      </c>
      <c r="AF2329">
        <v>-3.8613657489567101</v>
      </c>
      <c r="AG2329">
        <v>-1.1088256472669999</v>
      </c>
      <c r="AH2329">
        <v>33.9971062425832</v>
      </c>
      <c r="AI2329">
        <v>91.856131068611006</v>
      </c>
      <c r="AJ2329">
        <v>96.479842886498901</v>
      </c>
      <c r="AK2329">
        <v>34.233651172972202</v>
      </c>
      <c r="AL2329">
        <v>79.431164272253795</v>
      </c>
      <c r="AM2329">
        <v>89.587041882658397</v>
      </c>
      <c r="AN2329">
        <v>1.00000007600729</v>
      </c>
    </row>
    <row r="2330" spans="1:40" x14ac:dyDescent="0.25">
      <c r="A2330" t="str">
        <f>"20190312172936087"</f>
        <v>20190312172936087</v>
      </c>
      <c r="B2330" t="str">
        <f>"1552382976080137"</f>
        <v>1552382976080137</v>
      </c>
      <c r="C2330" t="s">
        <v>40</v>
      </c>
      <c r="D2330">
        <v>3.0652629999999998</v>
      </c>
      <c r="E2330">
        <v>0.45789839999999998</v>
      </c>
      <c r="F2330" t="s">
        <v>48</v>
      </c>
      <c r="G2330">
        <v>-408.15339999999998</v>
      </c>
      <c r="H2330" s="1">
        <v>5.4366319999999998E-6</v>
      </c>
      <c r="I2330">
        <v>281.47030000000001</v>
      </c>
      <c r="J2330">
        <v>-374.69189999999998</v>
      </c>
      <c r="K2330">
        <v>1.108841</v>
      </c>
      <c r="L2330">
        <v>284.64960000000002</v>
      </c>
      <c r="M2330">
        <v>-0.99974819999999998</v>
      </c>
      <c r="N2330">
        <v>0</v>
      </c>
      <c r="O2330">
        <v>1.918127E-2</v>
      </c>
      <c r="P2330">
        <v>-0.98484210000000005</v>
      </c>
      <c r="Q2330">
        <v>0.17157800000000001</v>
      </c>
      <c r="R2330">
        <v>2.544045E-2</v>
      </c>
      <c r="S2330">
        <v>-3.0715330000000001</v>
      </c>
      <c r="T2330">
        <v>-0.1004887</v>
      </c>
      <c r="U2330">
        <v>-0.28738399999999997</v>
      </c>
      <c r="V2330">
        <v>6.5767150000000003E-3</v>
      </c>
      <c r="W2330">
        <v>0.18303929999999999</v>
      </c>
      <c r="X2330">
        <v>0.98308359999999995</v>
      </c>
      <c r="Y2330">
        <v>-0.1121692</v>
      </c>
      <c r="Z2330">
        <v>-2.4565429999999998E-3</v>
      </c>
      <c r="AA2330">
        <v>0.99368610000000002</v>
      </c>
      <c r="AB2330">
        <v>53</v>
      </c>
      <c r="AC2330">
        <v>-33.461500000000001</v>
      </c>
      <c r="AD2330">
        <v>-1.108835563368</v>
      </c>
      <c r="AE2330">
        <v>-3.1793000000000098</v>
      </c>
      <c r="AF2330">
        <v>-3.8164392404124299</v>
      </c>
      <c r="AG2330">
        <v>-1.108835563368</v>
      </c>
      <c r="AH2330">
        <v>33.358052970854303</v>
      </c>
      <c r="AI2330">
        <v>91.891504656216995</v>
      </c>
      <c r="AJ2330">
        <v>96.526736624876193</v>
      </c>
      <c r="AK2330">
        <v>33.593964082684103</v>
      </c>
      <c r="AL2330">
        <v>79.453159282865499</v>
      </c>
      <c r="AM2330">
        <v>89.616703613739602</v>
      </c>
      <c r="AN2330">
        <v>1.00000000155682</v>
      </c>
    </row>
    <row r="2331" spans="1:40" x14ac:dyDescent="0.25">
      <c r="A2331" t="str">
        <f>"20190312172936110"</f>
        <v>20190312172936110</v>
      </c>
      <c r="B2331" t="str">
        <f>"1552382976099658"</f>
        <v>1552382976099658</v>
      </c>
      <c r="C2331" t="s">
        <v>40</v>
      </c>
      <c r="D2331">
        <v>3.0913390000000001</v>
      </c>
      <c r="E2331">
        <v>0.45790769999999997</v>
      </c>
      <c r="F2331" t="s">
        <v>48</v>
      </c>
      <c r="G2331">
        <v>-407.55950000000001</v>
      </c>
      <c r="H2331" s="1">
        <v>5.6810719999999998E-6</v>
      </c>
      <c r="I2331">
        <v>281.56189999999998</v>
      </c>
      <c r="J2331">
        <v>-375.23270000000002</v>
      </c>
      <c r="K2331">
        <v>1.1088439999999999</v>
      </c>
      <c r="L2331">
        <v>284.66000000000003</v>
      </c>
      <c r="M2331">
        <v>-0.99974819999999998</v>
      </c>
      <c r="N2331">
        <v>0</v>
      </c>
      <c r="O2331">
        <v>1.918796E-2</v>
      </c>
      <c r="P2331">
        <v>-0.98486850000000004</v>
      </c>
      <c r="Q2331">
        <v>0.17155509999999999</v>
      </c>
      <c r="R2331">
        <v>2.4556379999999999E-2</v>
      </c>
      <c r="S2331">
        <v>-3.0717159999999999</v>
      </c>
      <c r="T2331">
        <v>-0.1036285</v>
      </c>
      <c r="U2331">
        <v>-0.2885742</v>
      </c>
      <c r="V2331">
        <v>5.6807169999999896E-3</v>
      </c>
      <c r="W2331">
        <v>0.1830196</v>
      </c>
      <c r="X2331">
        <v>0.98309279999999999</v>
      </c>
      <c r="Y2331">
        <v>-0.11254740000000001</v>
      </c>
      <c r="Z2331">
        <v>-2.5396500000000001E-3</v>
      </c>
      <c r="AA2331">
        <v>0.9936431</v>
      </c>
      <c r="AB2331">
        <v>53</v>
      </c>
      <c r="AC2331">
        <v>-32.326799999999899</v>
      </c>
      <c r="AD2331">
        <v>-1.108838318928</v>
      </c>
      <c r="AE2331">
        <v>-3.09810000000004</v>
      </c>
      <c r="AF2331">
        <v>-3.7135274816764601</v>
      </c>
      <c r="AG2331">
        <v>-1.108838318928</v>
      </c>
      <c r="AH2331">
        <v>32.223829447724597</v>
      </c>
      <c r="AI2331">
        <v>91.957851527280397</v>
      </c>
      <c r="AJ2331">
        <v>96.573861196456903</v>
      </c>
      <c r="AK2331">
        <v>32.456047095275402</v>
      </c>
      <c r="AL2331">
        <v>79.4543068435392</v>
      </c>
      <c r="AM2331">
        <v>89.668924961947695</v>
      </c>
      <c r="AN2331">
        <v>0.99999994897081501</v>
      </c>
    </row>
    <row r="2332" spans="1:40" x14ac:dyDescent="0.25">
      <c r="A2332" t="str">
        <f>"20190312172936131"</f>
        <v>20190312172936131</v>
      </c>
      <c r="B2332" t="str">
        <f>"1552382976120153"</f>
        <v>1552382976120153</v>
      </c>
      <c r="C2332" t="s">
        <v>40</v>
      </c>
      <c r="D2332">
        <v>3.1386210000000001</v>
      </c>
      <c r="E2332">
        <v>0.45787679999999997</v>
      </c>
      <c r="F2332" t="s">
        <v>48</v>
      </c>
      <c r="G2332">
        <v>-407.35629999999998</v>
      </c>
      <c r="H2332" s="1">
        <v>5.7591539999999998E-6</v>
      </c>
      <c r="I2332">
        <v>281.62020000000001</v>
      </c>
      <c r="J2332">
        <v>-375.7414</v>
      </c>
      <c r="K2332">
        <v>1.1088519999999999</v>
      </c>
      <c r="L2332">
        <v>284.66980000000001</v>
      </c>
      <c r="M2332">
        <v>-0.99974790000000002</v>
      </c>
      <c r="N2332">
        <v>0</v>
      </c>
      <c r="O2332">
        <v>1.9192839999999999E-2</v>
      </c>
      <c r="P2332">
        <v>-0.98492489999999999</v>
      </c>
      <c r="Q2332">
        <v>0.1713674</v>
      </c>
      <c r="R2332">
        <v>2.3581060000000001E-2</v>
      </c>
      <c r="S2332">
        <v>-3.0718079999999999</v>
      </c>
      <c r="T2332">
        <v>-0.1060323</v>
      </c>
      <c r="U2332">
        <v>-0.29067989999999999</v>
      </c>
      <c r="V2332">
        <v>4.6960040000000002E-3</v>
      </c>
      <c r="W2332">
        <v>0.18283540000000001</v>
      </c>
      <c r="X2332">
        <v>0.98313229999999996</v>
      </c>
      <c r="Y2332">
        <v>-0.11322069999999999</v>
      </c>
      <c r="Z2332">
        <v>-2.6101240000000001E-3</v>
      </c>
      <c r="AA2332">
        <v>0.99356650000000002</v>
      </c>
      <c r="AB2332">
        <v>53</v>
      </c>
      <c r="AC2332">
        <v>-31.614899999999899</v>
      </c>
      <c r="AD2332">
        <v>-1.108846240846</v>
      </c>
      <c r="AE2332">
        <v>-3.0495999999999901</v>
      </c>
      <c r="AF2332">
        <v>-3.6514087210795099</v>
      </c>
      <c r="AG2332">
        <v>-1.108846240846</v>
      </c>
      <c r="AH2332">
        <v>31.512133932654599</v>
      </c>
      <c r="AI2332">
        <v>92.0019038965428</v>
      </c>
      <c r="AJ2332">
        <v>96.609563630660602</v>
      </c>
      <c r="AK2332">
        <v>31.742352002077201</v>
      </c>
      <c r="AL2332">
        <v>79.465042170416694</v>
      </c>
      <c r="AM2332">
        <v>89.726324561266907</v>
      </c>
      <c r="AN2332">
        <v>0.99999997762500803</v>
      </c>
    </row>
    <row r="2333" spans="1:40" x14ac:dyDescent="0.25">
      <c r="A2333" t="str">
        <f>"20190312172936144"</f>
        <v>20190312172936144</v>
      </c>
      <c r="B2333" t="str">
        <f>"1552382976139674"</f>
        <v>1552382976139674</v>
      </c>
      <c r="C2333" t="s">
        <v>40</v>
      </c>
      <c r="D2333">
        <v>3.1339800000000002</v>
      </c>
      <c r="E2333">
        <v>0.4578701</v>
      </c>
      <c r="F2333" t="s">
        <v>48</v>
      </c>
      <c r="G2333">
        <v>-407.27379999999999</v>
      </c>
      <c r="H2333" s="1">
        <v>5.7886260000000002E-6</v>
      </c>
      <c r="I2333">
        <v>281.65449999999998</v>
      </c>
      <c r="J2333">
        <v>-376.0564</v>
      </c>
      <c r="K2333">
        <v>1.1088549999999999</v>
      </c>
      <c r="L2333">
        <v>284.67579999999998</v>
      </c>
      <c r="M2333">
        <v>-0.99974790000000002</v>
      </c>
      <c r="N2333">
        <v>0</v>
      </c>
      <c r="O2333">
        <v>1.9195440000000001E-2</v>
      </c>
      <c r="P2333">
        <v>-0.98497159999999995</v>
      </c>
      <c r="Q2333">
        <v>0.1711655</v>
      </c>
      <c r="R2333">
        <v>2.3102919999999999E-2</v>
      </c>
      <c r="S2333">
        <v>-3.071777</v>
      </c>
      <c r="T2333">
        <v>-0.1080199</v>
      </c>
      <c r="U2333">
        <v>-0.29373169999999998</v>
      </c>
      <c r="V2333">
        <v>4.2125189999999996E-3</v>
      </c>
      <c r="W2333">
        <v>0.18263570000000001</v>
      </c>
      <c r="X2333">
        <v>0.98317160000000003</v>
      </c>
      <c r="Y2333">
        <v>-0.1141988</v>
      </c>
      <c r="Z2333">
        <v>-2.676173E-3</v>
      </c>
      <c r="AA2333">
        <v>0.99345430000000001</v>
      </c>
      <c r="AB2333">
        <v>53</v>
      </c>
      <c r="AC2333">
        <v>-31.217400000000001</v>
      </c>
      <c r="AD2333">
        <v>-1.1088492113739901</v>
      </c>
      <c r="AE2333">
        <v>-3.0212999999999899</v>
      </c>
      <c r="AF2333">
        <v>-3.6154963417267698</v>
      </c>
      <c r="AG2333">
        <v>-1.1088492113739901</v>
      </c>
      <c r="AH2333">
        <v>31.114755543843099</v>
      </c>
      <c r="AI2333">
        <v>92.027379663885597</v>
      </c>
      <c r="AJ2333">
        <v>96.627975146737597</v>
      </c>
      <c r="AK2333">
        <v>31.343729403562001</v>
      </c>
      <c r="AL2333">
        <v>79.476680011076894</v>
      </c>
      <c r="AM2333">
        <v>89.754510725415301</v>
      </c>
      <c r="AN2333">
        <v>0.99999996963868698</v>
      </c>
    </row>
    <row r="2334" spans="1:40" x14ac:dyDescent="0.25">
      <c r="A2334" t="str">
        <f>"20190312172936156"</f>
        <v>20190312172936156</v>
      </c>
      <c r="B2334" t="str">
        <f>"1552382976149434"</f>
        <v>1552382976149434</v>
      </c>
      <c r="C2334" t="s">
        <v>40</v>
      </c>
      <c r="D2334">
        <v>3.2093379999999998</v>
      </c>
      <c r="E2334">
        <v>0.45783420000000002</v>
      </c>
      <c r="F2334" t="s">
        <v>48</v>
      </c>
      <c r="G2334">
        <v>-407.0154</v>
      </c>
      <c r="H2334" s="1">
        <v>5.89299999999999E-6</v>
      </c>
      <c r="I2334">
        <v>281.70409999999998</v>
      </c>
      <c r="J2334">
        <v>-376.35500000000002</v>
      </c>
      <c r="K2334">
        <v>1.10886</v>
      </c>
      <c r="L2334">
        <v>284.68150000000003</v>
      </c>
      <c r="M2334">
        <v>-0.99974779999999996</v>
      </c>
      <c r="N2334">
        <v>0</v>
      </c>
      <c r="O2334">
        <v>1.9197530000000001E-2</v>
      </c>
      <c r="P2334">
        <v>-0.98505089999999995</v>
      </c>
      <c r="Q2334">
        <v>0.17078550000000001</v>
      </c>
      <c r="R2334">
        <v>2.2521340000000001E-2</v>
      </c>
      <c r="S2334">
        <v>-3.0718079999999999</v>
      </c>
      <c r="T2334">
        <v>-0.1100222</v>
      </c>
      <c r="U2334">
        <v>-0.29486079999999998</v>
      </c>
      <c r="V2334">
        <v>3.6258760000000001E-3</v>
      </c>
      <c r="W2334">
        <v>0.18225830000000001</v>
      </c>
      <c r="X2334">
        <v>0.98324400000000001</v>
      </c>
      <c r="Y2334">
        <v>-0.11455849999999999</v>
      </c>
      <c r="Z2334">
        <v>-2.7321720000000002E-3</v>
      </c>
      <c r="AA2334">
        <v>0.99341270000000004</v>
      </c>
      <c r="AB2334">
        <v>53</v>
      </c>
      <c r="AC2334">
        <v>-30.6603999999999</v>
      </c>
      <c r="AD2334">
        <v>-1.108854107</v>
      </c>
      <c r="AE2334">
        <v>-2.9774000000000398</v>
      </c>
      <c r="AF2334">
        <v>-3.56088117220775</v>
      </c>
      <c r="AG2334">
        <v>-1.108854107</v>
      </c>
      <c r="AH2334">
        <v>30.557991109395601</v>
      </c>
      <c r="AI2334">
        <v>92.064217701772506</v>
      </c>
      <c r="AJ2334">
        <v>96.646622822692294</v>
      </c>
      <c r="AK2334">
        <v>30.7847405835277</v>
      </c>
      <c r="AL2334">
        <v>79.4986728831351</v>
      </c>
      <c r="AM2334">
        <v>89.788713228725996</v>
      </c>
      <c r="AN2334">
        <v>0.99999999921582805</v>
      </c>
    </row>
    <row r="2335" spans="1:40" x14ac:dyDescent="0.25">
      <c r="A2335" t="str">
        <f>"20190312172936168"</f>
        <v>20190312172936168</v>
      </c>
      <c r="B2335" t="str">
        <f>"1552382976160169"</f>
        <v>1552382976160169</v>
      </c>
      <c r="C2335" t="s">
        <v>40</v>
      </c>
      <c r="D2335">
        <v>3.1689250000000002</v>
      </c>
      <c r="E2335">
        <v>0.45779059999999999</v>
      </c>
      <c r="F2335" t="s">
        <v>48</v>
      </c>
      <c r="G2335">
        <v>-406.8451</v>
      </c>
      <c r="H2335" s="1">
        <v>5.9614390000000002E-6</v>
      </c>
      <c r="I2335">
        <v>281.73829999999998</v>
      </c>
      <c r="J2335">
        <v>-376.63670000000002</v>
      </c>
      <c r="K2335">
        <v>1.1088659999999999</v>
      </c>
      <c r="L2335">
        <v>284.68700000000001</v>
      </c>
      <c r="M2335">
        <v>-0.99974779999999996</v>
      </c>
      <c r="N2335">
        <v>0</v>
      </c>
      <c r="O2335">
        <v>1.9199319999999999E-2</v>
      </c>
      <c r="P2335">
        <v>-0.98510629999999999</v>
      </c>
      <c r="Q2335">
        <v>0.17054649999999999</v>
      </c>
      <c r="R2335">
        <v>2.1899729999999999E-2</v>
      </c>
      <c r="S2335">
        <v>-3.0716549999999998</v>
      </c>
      <c r="T2335">
        <v>-0.111709199999999</v>
      </c>
      <c r="U2335">
        <v>-0.29650880000000002</v>
      </c>
      <c r="V2335">
        <v>3.0000909999999999E-3</v>
      </c>
      <c r="W2335">
        <v>0.18202189999999999</v>
      </c>
      <c r="X2335">
        <v>0.98328990000000005</v>
      </c>
      <c r="Y2335">
        <v>-0.1150901</v>
      </c>
      <c r="Z2335">
        <v>-2.7838120000000001E-3</v>
      </c>
      <c r="AA2335">
        <v>0.99335119999999999</v>
      </c>
      <c r="AB2335">
        <v>53</v>
      </c>
      <c r="AC2335">
        <v>-30.208399999999902</v>
      </c>
      <c r="AD2335">
        <v>-1.1088600385609999</v>
      </c>
      <c r="AE2335">
        <v>-2.9487000000000299</v>
      </c>
      <c r="AF2335">
        <v>-3.5234737741460398</v>
      </c>
      <c r="AG2335">
        <v>-1.1088600385609999</v>
      </c>
      <c r="AH2335">
        <v>30.106032089492601</v>
      </c>
      <c r="AI2335">
        <v>92.095067788458493</v>
      </c>
      <c r="AJ2335">
        <v>96.675271580134293</v>
      </c>
      <c r="AK2335">
        <v>30.331792004360299</v>
      </c>
      <c r="AL2335">
        <v>79.512448036646106</v>
      </c>
      <c r="AM2335">
        <v>89.825186835466994</v>
      </c>
      <c r="AN2335">
        <v>1.0000000000338101</v>
      </c>
    </row>
    <row r="2336" spans="1:40" x14ac:dyDescent="0.25">
      <c r="A2336" t="str">
        <f>"20190312172936180"</f>
        <v>20190312172936180</v>
      </c>
      <c r="B2336" t="str">
        <f>"1552382976169930"</f>
        <v>1552382976169930</v>
      </c>
      <c r="C2336" t="s">
        <v>40</v>
      </c>
      <c r="D2336">
        <v>3.1854770000000001</v>
      </c>
      <c r="E2336">
        <v>0.45778380000000002</v>
      </c>
      <c r="F2336" t="s">
        <v>48</v>
      </c>
      <c r="G2336">
        <v>-406.84249999999997</v>
      </c>
      <c r="H2336" s="1">
        <v>5.9594970000000004E-6</v>
      </c>
      <c r="I2336">
        <v>281.75330000000002</v>
      </c>
      <c r="J2336">
        <v>-376.93830000000003</v>
      </c>
      <c r="K2336">
        <v>1.10887</v>
      </c>
      <c r="L2336">
        <v>284.6927</v>
      </c>
      <c r="M2336">
        <v>-0.99974779999999996</v>
      </c>
      <c r="N2336">
        <v>0</v>
      </c>
      <c r="O2336">
        <v>1.920092E-2</v>
      </c>
      <c r="P2336">
        <v>-0.98518190000000005</v>
      </c>
      <c r="Q2336">
        <v>0.17017449999999901</v>
      </c>
      <c r="R2336">
        <v>2.1391170000000001E-2</v>
      </c>
      <c r="S2336">
        <v>-3.071472</v>
      </c>
      <c r="T2336">
        <v>-0.1127543</v>
      </c>
      <c r="U2336">
        <v>-0.2983093</v>
      </c>
      <c r="V2336">
        <v>2.4871619999999998E-3</v>
      </c>
      <c r="W2336">
        <v>0.18165429999999999</v>
      </c>
      <c r="X2336">
        <v>0.98335930000000005</v>
      </c>
      <c r="Y2336">
        <v>-0.1156722</v>
      </c>
      <c r="Z2336">
        <v>-2.820641E-3</v>
      </c>
      <c r="AA2336">
        <v>0.99328349999999999</v>
      </c>
      <c r="AB2336">
        <v>54</v>
      </c>
      <c r="AC2336">
        <v>-29.9041999999999</v>
      </c>
      <c r="AD2336">
        <v>-1.1088640405029999</v>
      </c>
      <c r="AE2336">
        <v>-2.9393999999999698</v>
      </c>
      <c r="AF2336">
        <v>-3.50830749138701</v>
      </c>
      <c r="AG2336">
        <v>-1.1088640405029999</v>
      </c>
      <c r="AH2336">
        <v>29.801659079292801</v>
      </c>
      <c r="AI2336">
        <v>92.1162855502252</v>
      </c>
      <c r="AJ2336">
        <v>96.714065482498995</v>
      </c>
      <c r="AK2336">
        <v>30.0279317435091</v>
      </c>
      <c r="AL2336">
        <v>79.533866965568293</v>
      </c>
      <c r="AM2336">
        <v>89.855084930100702</v>
      </c>
      <c r="AN2336">
        <v>0.99999999178989696</v>
      </c>
    </row>
    <row r="2337" spans="1:40" x14ac:dyDescent="0.25">
      <c r="A2337" t="str">
        <f>"20190312172936195"</f>
        <v>20190312172936195</v>
      </c>
      <c r="B2337" t="str">
        <f>"1552382976189451"</f>
        <v>1552382976189451</v>
      </c>
      <c r="C2337" t="s">
        <v>40</v>
      </c>
      <c r="D2337">
        <v>3.1196299999999999</v>
      </c>
      <c r="E2337">
        <v>0.4577427</v>
      </c>
      <c r="F2337" t="s">
        <v>48</v>
      </c>
      <c r="G2337">
        <v>-406.68189999999998</v>
      </c>
      <c r="H2337" s="1">
        <v>6.0228189999999996E-6</v>
      </c>
      <c r="I2337">
        <v>281.79149999999998</v>
      </c>
      <c r="J2337">
        <v>-377.26170000000002</v>
      </c>
      <c r="K2337">
        <v>1.1088739999999999</v>
      </c>
      <c r="L2337">
        <v>284.69889999999998</v>
      </c>
      <c r="M2337">
        <v>-0.99974759999999996</v>
      </c>
      <c r="N2337">
        <v>0</v>
      </c>
      <c r="O2337">
        <v>1.9202489999999999E-2</v>
      </c>
      <c r="P2337">
        <v>-0.98526210000000003</v>
      </c>
      <c r="Q2337">
        <v>0.16979179999999999</v>
      </c>
      <c r="R2337">
        <v>2.073407E-2</v>
      </c>
      <c r="S2337">
        <v>-3.0714109999999999</v>
      </c>
      <c r="T2337">
        <v>-0.1145046</v>
      </c>
      <c r="U2337">
        <v>-0.299591099999999</v>
      </c>
      <c r="V2337">
        <v>1.8258700000000001E-3</v>
      </c>
      <c r="W2337">
        <v>0.181283</v>
      </c>
      <c r="X2337">
        <v>0.98342929999999995</v>
      </c>
      <c r="Y2337">
        <v>-0.11608309999999999</v>
      </c>
      <c r="Z2337">
        <v>-2.872093E-3</v>
      </c>
      <c r="AA2337">
        <v>0.99323530000000004</v>
      </c>
      <c r="AB2337">
        <v>54</v>
      </c>
      <c r="AC2337">
        <v>-29.420199999999902</v>
      </c>
      <c r="AD2337">
        <v>-1.1088679771809999</v>
      </c>
      <c r="AE2337">
        <v>-2.9073999999999902</v>
      </c>
      <c r="AF2337">
        <v>-3.46696586341307</v>
      </c>
      <c r="AG2337">
        <v>-1.1088679771809999</v>
      </c>
      <c r="AH2337">
        <v>29.317695917993799</v>
      </c>
      <c r="AI2337">
        <v>92.151061961781593</v>
      </c>
      <c r="AJ2337">
        <v>96.744194654547996</v>
      </c>
      <c r="AK2337">
        <v>29.542794966435299</v>
      </c>
      <c r="AL2337">
        <v>79.555500409209998</v>
      </c>
      <c r="AM2337">
        <v>89.893622729428301</v>
      </c>
      <c r="AN2337">
        <v>1.00000002399437</v>
      </c>
    </row>
    <row r="2338" spans="1:40" x14ac:dyDescent="0.25">
      <c r="A2338" t="str">
        <f>"20190312172936209"</f>
        <v>20190312172936209</v>
      </c>
      <c r="B2338" t="str">
        <f>"1552382976200186"</f>
        <v>1552382976200186</v>
      </c>
      <c r="C2338" t="s">
        <v>40</v>
      </c>
      <c r="D2338">
        <v>3.1168719999999999</v>
      </c>
      <c r="E2338">
        <v>0.45771600000000001</v>
      </c>
      <c r="F2338" t="s">
        <v>48</v>
      </c>
      <c r="G2338">
        <v>-406.33240000000001</v>
      </c>
      <c r="H2338" s="1">
        <v>6.16728899999999E-6</v>
      </c>
      <c r="I2338">
        <v>281.84230000000002</v>
      </c>
      <c r="J2338">
        <v>-377.6182</v>
      </c>
      <c r="K2338">
        <v>1.108876</v>
      </c>
      <c r="L2338">
        <v>284.70580000000001</v>
      </c>
      <c r="M2338">
        <v>-0.99974730000000001</v>
      </c>
      <c r="N2338">
        <v>0</v>
      </c>
      <c r="O2338">
        <v>1.9204180000000001E-2</v>
      </c>
      <c r="P2338">
        <v>-0.98553630000000003</v>
      </c>
      <c r="Q2338">
        <v>0.1683579</v>
      </c>
      <c r="R2338">
        <v>1.932685E-2</v>
      </c>
      <c r="S2338">
        <v>-3.0714419999999998</v>
      </c>
      <c r="T2338">
        <v>-0.1171566</v>
      </c>
      <c r="U2338">
        <v>-0.3018188</v>
      </c>
      <c r="V2338">
        <v>4.1047460000000002E-4</v>
      </c>
      <c r="W2338">
        <v>0.17987220000000001</v>
      </c>
      <c r="X2338">
        <v>0.98368990000000001</v>
      </c>
      <c r="Y2338">
        <v>-0.1167926</v>
      </c>
      <c r="Z2338">
        <v>-2.9519920000000001E-3</v>
      </c>
      <c r="AA2338">
        <v>0.99315200000000003</v>
      </c>
      <c r="AB2338">
        <v>54</v>
      </c>
      <c r="AC2338">
        <v>-28.714200000000002</v>
      </c>
      <c r="AD2338">
        <v>-1.108869832711</v>
      </c>
      <c r="AE2338">
        <v>-2.8634999999999802</v>
      </c>
      <c r="AF2338">
        <v>-3.40940774902869</v>
      </c>
      <c r="AG2338">
        <v>-1.108869832711</v>
      </c>
      <c r="AH2338">
        <v>28.611660285840301</v>
      </c>
      <c r="AI2338">
        <v>92.203860983492106</v>
      </c>
      <c r="AJ2338">
        <v>96.795407004812901</v>
      </c>
      <c r="AK2338">
        <v>28.835408057063599</v>
      </c>
      <c r="AL2338">
        <v>79.637684072218704</v>
      </c>
      <c r="AM2338">
        <v>89.976091590640195</v>
      </c>
      <c r="AN2338">
        <v>0.99999999809212303</v>
      </c>
    </row>
    <row r="2339" spans="1:40" x14ac:dyDescent="0.25">
      <c r="A2339" t="str">
        <f>"20190312172936223"</f>
        <v>20190312172936223</v>
      </c>
      <c r="B2339" t="str">
        <f>"1552382976219705"</f>
        <v>1552382976219705</v>
      </c>
      <c r="C2339" t="s">
        <v>40</v>
      </c>
      <c r="D2339">
        <v>3.1409370000000001</v>
      </c>
      <c r="E2339">
        <v>0.4576615</v>
      </c>
      <c r="F2339" t="s">
        <v>48</v>
      </c>
      <c r="G2339">
        <v>-405.39269999999999</v>
      </c>
      <c r="H2339" s="1">
        <v>6.5636740000000001E-6</v>
      </c>
      <c r="I2339">
        <v>281.94080000000002</v>
      </c>
      <c r="J2339">
        <v>-377.94159999999999</v>
      </c>
      <c r="K2339">
        <v>1.108881</v>
      </c>
      <c r="L2339">
        <v>284.71199999999999</v>
      </c>
      <c r="M2339">
        <v>-0.99974689999999999</v>
      </c>
      <c r="N2339">
        <v>0</v>
      </c>
      <c r="O2339">
        <v>1.920548E-2</v>
      </c>
      <c r="P2339">
        <v>-0.985676</v>
      </c>
      <c r="Q2339">
        <v>0.1676359</v>
      </c>
      <c r="R2339">
        <v>1.8469639999999999E-2</v>
      </c>
      <c r="S2339">
        <v>-3.0709840000000002</v>
      </c>
      <c r="T2339">
        <v>-0.122606199999999</v>
      </c>
      <c r="U2339">
        <v>-0.30572510000000003</v>
      </c>
      <c r="V2339">
        <v>-4.5112149999999997E-4</v>
      </c>
      <c r="W2339">
        <v>0.17917749999999999</v>
      </c>
      <c r="X2339">
        <v>0.98381669999999999</v>
      </c>
      <c r="Y2339">
        <v>-0.1180489</v>
      </c>
      <c r="Z2339">
        <v>-3.1145249999999999E-3</v>
      </c>
      <c r="AA2339">
        <v>0.99300290000000002</v>
      </c>
      <c r="AB2339">
        <v>54</v>
      </c>
      <c r="AC2339">
        <v>-27.4511</v>
      </c>
      <c r="AD2339">
        <v>-1.1088744363259999</v>
      </c>
      <c r="AE2339">
        <v>-2.7711999999999599</v>
      </c>
      <c r="AF2339">
        <v>-3.2926181225585198</v>
      </c>
      <c r="AG2339">
        <v>-1.1088744363259999</v>
      </c>
      <c r="AH2339">
        <v>27.348635196023999</v>
      </c>
      <c r="AI2339">
        <v>92.305207452521699</v>
      </c>
      <c r="AJ2339">
        <v>96.865039951681695</v>
      </c>
      <c r="AK2339">
        <v>27.568438180312999</v>
      </c>
      <c r="AL2339">
        <v>79.678145232125701</v>
      </c>
      <c r="AM2339">
        <v>90.026272532460595</v>
      </c>
      <c r="AN2339">
        <v>1.0000000396078701</v>
      </c>
    </row>
    <row r="2340" spans="1:40" x14ac:dyDescent="0.25">
      <c r="A2340" t="str">
        <f>"20190312172936243"</f>
        <v>20190312172936243</v>
      </c>
      <c r="B2340" t="str">
        <f>"1552382976240202"</f>
        <v>1552382976240202</v>
      </c>
      <c r="C2340" t="s">
        <v>40</v>
      </c>
      <c r="D2340">
        <v>3.07253</v>
      </c>
      <c r="E2340">
        <v>0.45761600000000002</v>
      </c>
      <c r="F2340" t="s">
        <v>48</v>
      </c>
      <c r="G2340">
        <v>-404.92169999999999</v>
      </c>
      <c r="H2340" s="1">
        <v>6.75992E-6</v>
      </c>
      <c r="I2340">
        <v>282.0018</v>
      </c>
      <c r="J2340">
        <v>-378.4074</v>
      </c>
      <c r="K2340">
        <v>1.108895</v>
      </c>
      <c r="L2340">
        <v>284.72089999999997</v>
      </c>
      <c r="M2340">
        <v>-0.99974620000000003</v>
      </c>
      <c r="N2340">
        <v>0</v>
      </c>
      <c r="O2340">
        <v>1.9206750000000002E-2</v>
      </c>
      <c r="P2340">
        <v>-0.98597509999999999</v>
      </c>
      <c r="Q2340">
        <v>0.16604849999999999</v>
      </c>
      <c r="R2340">
        <v>1.676952E-2</v>
      </c>
      <c r="S2340">
        <v>-3.0708920000000002</v>
      </c>
      <c r="T2340">
        <v>-0.12621280000000001</v>
      </c>
      <c r="U2340">
        <v>-0.30847170000000002</v>
      </c>
      <c r="V2340">
        <v>-2.159794E-3</v>
      </c>
      <c r="W2340">
        <v>0.1776527</v>
      </c>
      <c r="X2340">
        <v>0.98409089999999999</v>
      </c>
      <c r="Y2340">
        <v>-0.11892519999999999</v>
      </c>
      <c r="Z2340">
        <v>-3.2240300000000001E-3</v>
      </c>
      <c r="AA2340">
        <v>0.99289799999999995</v>
      </c>
      <c r="AB2340">
        <v>54</v>
      </c>
      <c r="AC2340">
        <v>-26.514299999999899</v>
      </c>
      <c r="AD2340">
        <v>-1.10888824007999</v>
      </c>
      <c r="AE2340">
        <v>-2.7190999999999601</v>
      </c>
      <c r="AF2340">
        <v>-3.2223096916985998</v>
      </c>
      <c r="AG2340">
        <v>-1.10888824007999</v>
      </c>
      <c r="AH2340">
        <v>26.411464058232799</v>
      </c>
      <c r="AI2340">
        <v>92.386482529180697</v>
      </c>
      <c r="AJ2340">
        <v>96.955948841220405</v>
      </c>
      <c r="AK2340">
        <v>26.630402673965001</v>
      </c>
      <c r="AL2340">
        <v>79.766934266210299</v>
      </c>
      <c r="AM2340">
        <v>90.125747410256395</v>
      </c>
      <c r="AN2340">
        <v>1.00000002299511</v>
      </c>
    </row>
    <row r="2341" spans="1:40" x14ac:dyDescent="0.25">
      <c r="A2341" t="str">
        <f>"20190312172936254"</f>
        <v>20190312172936254</v>
      </c>
      <c r="B2341" t="str">
        <f>"1552382976249961"</f>
        <v>1552382976249961</v>
      </c>
      <c r="C2341" t="s">
        <v>40</v>
      </c>
      <c r="D2341">
        <v>3.2154669999999999</v>
      </c>
      <c r="E2341">
        <v>0.45752480000000001</v>
      </c>
      <c r="F2341" t="s">
        <v>48</v>
      </c>
      <c r="G2341">
        <v>-404.125</v>
      </c>
      <c r="H2341" s="1">
        <v>7.0936329999999996E-6</v>
      </c>
      <c r="I2341">
        <v>282.0967</v>
      </c>
      <c r="J2341">
        <v>-378.69709999999998</v>
      </c>
      <c r="K2341">
        <v>1.1089020000000001</v>
      </c>
      <c r="L2341">
        <v>284.72649999999999</v>
      </c>
      <c r="M2341">
        <v>-0.99974560000000001</v>
      </c>
      <c r="N2341">
        <v>0</v>
      </c>
      <c r="O2341">
        <v>1.9207459999999999E-2</v>
      </c>
      <c r="P2341">
        <v>-0.98615580000000003</v>
      </c>
      <c r="Q2341">
        <v>0.16504659999999999</v>
      </c>
      <c r="R2341">
        <v>1.6017E-2</v>
      </c>
      <c r="S2341">
        <v>-3.0702820000000002</v>
      </c>
      <c r="T2341">
        <v>-0.13238420000000001</v>
      </c>
      <c r="U2341">
        <v>-0.3132935</v>
      </c>
      <c r="V2341">
        <v>-2.9172030000000002E-3</v>
      </c>
      <c r="W2341">
        <v>0.17670139999999901</v>
      </c>
      <c r="X2341">
        <v>0.98426020000000003</v>
      </c>
      <c r="Y2341">
        <v>-0.12047579999999999</v>
      </c>
      <c r="Z2341">
        <v>-3.415295E-3</v>
      </c>
      <c r="AA2341">
        <v>0.99271039999999999</v>
      </c>
      <c r="AB2341">
        <v>54</v>
      </c>
      <c r="AC2341">
        <v>-25.427900000000001</v>
      </c>
      <c r="AD2341">
        <v>-1.1088949063669999</v>
      </c>
      <c r="AE2341">
        <v>-2.6297999999999799</v>
      </c>
      <c r="AF2341">
        <v>-3.1118987940492699</v>
      </c>
      <c r="AG2341">
        <v>-1.1088949063669999</v>
      </c>
      <c r="AH2341">
        <v>25.325040186576199</v>
      </c>
      <c r="AI2341">
        <v>92.488487479786599</v>
      </c>
      <c r="AJ2341">
        <v>97.0052930507741</v>
      </c>
      <c r="AK2341">
        <v>25.539601063240401</v>
      </c>
      <c r="AL2341">
        <v>79.822315885341496</v>
      </c>
      <c r="AM2341">
        <v>90.169815797149695</v>
      </c>
      <c r="AN2341">
        <v>1.00000001806967</v>
      </c>
    </row>
    <row r="2342" spans="1:40" x14ac:dyDescent="0.25">
      <c r="A2342" t="str">
        <f>"20190312172936270"</f>
        <v>20190312172936270</v>
      </c>
      <c r="B2342" t="str">
        <f>"1552382976259721"</f>
        <v>1552382976259721</v>
      </c>
      <c r="C2342" t="s">
        <v>40</v>
      </c>
      <c r="D2342">
        <v>3.1619199999999998</v>
      </c>
      <c r="E2342">
        <v>0.45748260000000002</v>
      </c>
      <c r="F2342" t="s">
        <v>48</v>
      </c>
      <c r="G2342">
        <v>-403.79399999999998</v>
      </c>
      <c r="H2342" s="1">
        <v>7.23111E-6</v>
      </c>
      <c r="I2342">
        <v>282.14159999999998</v>
      </c>
      <c r="J2342">
        <v>-379.05059999999997</v>
      </c>
      <c r="K2342">
        <v>1.108914</v>
      </c>
      <c r="L2342">
        <v>284.73329999999999</v>
      </c>
      <c r="M2342">
        <v>-0.99974479999999999</v>
      </c>
      <c r="N2342">
        <v>0</v>
      </c>
      <c r="O2342">
        <v>1.9208030000000001E-2</v>
      </c>
      <c r="P2342">
        <v>-0.98634290000000002</v>
      </c>
      <c r="Q2342">
        <v>0.1639951</v>
      </c>
      <c r="R2342">
        <v>1.5286920000000001E-2</v>
      </c>
      <c r="S2342">
        <v>-3.0699770000000002</v>
      </c>
      <c r="T2342">
        <v>-0.13564499999999999</v>
      </c>
      <c r="U2342">
        <v>-0.31619259999999999</v>
      </c>
      <c r="V2342">
        <v>-3.6514199999999998E-3</v>
      </c>
      <c r="W2342">
        <v>0.1757195</v>
      </c>
      <c r="X2342">
        <v>0.98443349999999996</v>
      </c>
      <c r="Y2342">
        <v>-0.12140670000000001</v>
      </c>
      <c r="Z2342">
        <v>-3.520048E-3</v>
      </c>
      <c r="AA2342">
        <v>0.99259660000000005</v>
      </c>
      <c r="AB2342">
        <v>54</v>
      </c>
      <c r="AC2342">
        <v>-24.743400000000001</v>
      </c>
      <c r="AD2342">
        <v>-1.1089067688900001</v>
      </c>
      <c r="AE2342">
        <v>-2.5916999999999999</v>
      </c>
      <c r="AF2342">
        <v>-3.060447163763</v>
      </c>
      <c r="AG2342">
        <v>-1.1089067688900001</v>
      </c>
      <c r="AH2342">
        <v>24.640096931297901</v>
      </c>
      <c r="AI2342">
        <v>92.557186340578795</v>
      </c>
      <c r="AJ2342">
        <v>97.080217382441404</v>
      </c>
      <c r="AK2342">
        <v>24.854182502106799</v>
      </c>
      <c r="AL2342">
        <v>79.879468685389597</v>
      </c>
      <c r="AM2342">
        <v>90.212518159739602</v>
      </c>
      <c r="AN2342">
        <v>0.999999995735258</v>
      </c>
    </row>
    <row r="2343" spans="1:40" x14ac:dyDescent="0.25">
      <c r="A2343" t="str">
        <f>"20190312172936289"</f>
        <v>20190312172936289</v>
      </c>
      <c r="B2343" t="str">
        <f>"1552382976280217"</f>
        <v>1552382976280217</v>
      </c>
      <c r="C2343" t="s">
        <v>40</v>
      </c>
      <c r="D2343">
        <v>3.2324839999999999</v>
      </c>
      <c r="E2343">
        <v>0.4574646</v>
      </c>
      <c r="F2343" t="s">
        <v>48</v>
      </c>
      <c r="G2343">
        <v>-403.56200000000001</v>
      </c>
      <c r="H2343" s="1">
        <v>7.3236459999999996E-6</v>
      </c>
      <c r="I2343">
        <v>282.1918</v>
      </c>
      <c r="J2343">
        <v>-379.50850000000003</v>
      </c>
      <c r="K2343">
        <v>1.1089290000000001</v>
      </c>
      <c r="L2343">
        <v>284.74209999999999</v>
      </c>
      <c r="M2343">
        <v>-0.99974350000000001</v>
      </c>
      <c r="N2343">
        <v>0</v>
      </c>
      <c r="O2343">
        <v>1.920819E-2</v>
      </c>
      <c r="P2343">
        <v>-0.98676109999999995</v>
      </c>
      <c r="Q2343">
        <v>0.16159989999999999</v>
      </c>
      <c r="R2343">
        <v>1.3721250000000001E-2</v>
      </c>
      <c r="S2343">
        <v>-3.06955</v>
      </c>
      <c r="T2343">
        <v>-0.13886799999999999</v>
      </c>
      <c r="U2343">
        <v>-0.31826779999999999</v>
      </c>
      <c r="V2343">
        <v>-5.2256309999999997E-3</v>
      </c>
      <c r="W2343">
        <v>0.1734367</v>
      </c>
      <c r="X2343">
        <v>0.98483120000000002</v>
      </c>
      <c r="Y2343">
        <v>-0.1220777</v>
      </c>
      <c r="Z2343">
        <v>-3.6191130000000002E-3</v>
      </c>
      <c r="AA2343">
        <v>0.99251400000000001</v>
      </c>
      <c r="AB2343">
        <v>54</v>
      </c>
      <c r="AC2343">
        <v>-24.0534999999999</v>
      </c>
      <c r="AD2343">
        <v>-1.108921676354</v>
      </c>
      <c r="AE2343">
        <v>-2.5502999999999898</v>
      </c>
      <c r="AF2343">
        <v>-3.0055697886900399</v>
      </c>
      <c r="AG2343">
        <v>-1.108921676354</v>
      </c>
      <c r="AH2343">
        <v>23.949734030280101</v>
      </c>
      <c r="AI2343">
        <v>92.630415453057097</v>
      </c>
      <c r="AJ2343">
        <v>97.152934819968607</v>
      </c>
      <c r="AK2343">
        <v>24.163048589946801</v>
      </c>
      <c r="AL2343">
        <v>80.012303912862293</v>
      </c>
      <c r="AM2343">
        <v>90.304015339603296</v>
      </c>
      <c r="AN2343">
        <v>1.00000004430983</v>
      </c>
    </row>
    <row r="2344" spans="1:40" x14ac:dyDescent="0.25">
      <c r="A2344" t="str">
        <f>"20190312172936313"</f>
        <v>20190312172936313</v>
      </c>
      <c r="B2344" t="str">
        <f>"1552382976309497"</f>
        <v>1552382976309497</v>
      </c>
      <c r="C2344" t="s">
        <v>40</v>
      </c>
      <c r="D2344">
        <v>3.3856440000000001</v>
      </c>
      <c r="E2344">
        <v>0.48876629999999899</v>
      </c>
      <c r="F2344" t="s">
        <v>48</v>
      </c>
      <c r="G2344">
        <v>-402.71409999999997</v>
      </c>
      <c r="H2344" s="1">
        <v>7.6770010000000006E-6</v>
      </c>
      <c r="I2344">
        <v>282.30149999999998</v>
      </c>
      <c r="J2344">
        <v>-380.06920000000002</v>
      </c>
      <c r="K2344">
        <v>1.1089450000000001</v>
      </c>
      <c r="L2344">
        <v>284.75279999999998</v>
      </c>
      <c r="M2344">
        <v>-0.99974169999999996</v>
      </c>
      <c r="N2344">
        <v>0</v>
      </c>
      <c r="O2344">
        <v>1.9207680000000001E-2</v>
      </c>
      <c r="P2344">
        <v>-0.98721239999999999</v>
      </c>
      <c r="Q2344">
        <v>0.15892809999999999</v>
      </c>
      <c r="R2344">
        <v>1.239731E-2</v>
      </c>
      <c r="S2344">
        <v>-3.068756</v>
      </c>
      <c r="T2344">
        <v>-0.1466461</v>
      </c>
      <c r="U2344">
        <v>-0.32275389999999998</v>
      </c>
      <c r="V2344">
        <v>-6.5589369999999999E-3</v>
      </c>
      <c r="W2344">
        <v>0.1709251</v>
      </c>
      <c r="X2344">
        <v>0.98526219999999998</v>
      </c>
      <c r="Y2344">
        <v>-0.12352050000000001</v>
      </c>
      <c r="Z2344">
        <v>-3.8566339999999998E-3</v>
      </c>
      <c r="AA2344">
        <v>0.99233450000000001</v>
      </c>
      <c r="AB2344">
        <v>54</v>
      </c>
      <c r="AC2344">
        <v>-22.6448999999999</v>
      </c>
      <c r="AD2344">
        <v>-1.1089373229990001</v>
      </c>
      <c r="AE2344">
        <v>-2.4512999999999998</v>
      </c>
      <c r="AF2344">
        <v>-2.8790115175786402</v>
      </c>
      <c r="AG2344">
        <v>-1.1089373229990001</v>
      </c>
      <c r="AH2344">
        <v>22.5402061577715</v>
      </c>
      <c r="AI2344">
        <v>92.793915663391005</v>
      </c>
      <c r="AJ2344">
        <v>97.278852710495798</v>
      </c>
      <c r="AK2344">
        <v>22.750370171483599</v>
      </c>
      <c r="AL2344">
        <v>80.158389390548194</v>
      </c>
      <c r="AM2344">
        <v>90.381415076104702</v>
      </c>
      <c r="AN2344">
        <v>1.0000000061067</v>
      </c>
    </row>
    <row r="2345" spans="1:40" x14ac:dyDescent="0.25">
      <c r="A2345" t="str">
        <f>"20190312172936332"</f>
        <v>20190312172936332</v>
      </c>
      <c r="B2345" t="str">
        <f>"1552382976329994"</f>
        <v>1552382976329994</v>
      </c>
      <c r="C2345" t="s">
        <v>40</v>
      </c>
      <c r="D2345">
        <v>3.3381050000000001</v>
      </c>
      <c r="E2345">
        <v>0.49193290000000001</v>
      </c>
      <c r="F2345" t="s">
        <v>48</v>
      </c>
      <c r="G2345">
        <v>-406.08240000000001</v>
      </c>
      <c r="H2345" s="1">
        <v>5.8083790000000002E-6</v>
      </c>
      <c r="I2345">
        <v>284.11579999999998</v>
      </c>
      <c r="J2345">
        <v>-380.55189999999999</v>
      </c>
      <c r="K2345">
        <v>1.1089639999999901</v>
      </c>
      <c r="L2345">
        <v>284.76209999999998</v>
      </c>
      <c r="M2345">
        <v>-0.99973970000000001</v>
      </c>
      <c r="N2345">
        <v>0</v>
      </c>
      <c r="O2345">
        <v>1.920724E-2</v>
      </c>
      <c r="P2345">
        <v>-0.98771149999999996</v>
      </c>
      <c r="Q2345">
        <v>0.15590190000000001</v>
      </c>
      <c r="R2345">
        <v>1.0975449999999999E-2</v>
      </c>
      <c r="S2345">
        <v>-3.0608219999999999</v>
      </c>
      <c r="T2345">
        <v>-0.130482399999999</v>
      </c>
      <c r="U2345">
        <v>-7.4951169999999998E-2</v>
      </c>
      <c r="V2345">
        <v>-7.9902210000000005E-3</v>
      </c>
      <c r="W2345">
        <v>0.16804810000000001</v>
      </c>
      <c r="X2345">
        <v>0.98574640000000002</v>
      </c>
      <c r="Y2345">
        <v>-4.362133E-2</v>
      </c>
      <c r="Z2345">
        <v>-1.7476049999999999E-3</v>
      </c>
      <c r="AA2345">
        <v>0.99904660000000001</v>
      </c>
      <c r="AB2345">
        <v>54</v>
      </c>
      <c r="AC2345">
        <v>-25.5305</v>
      </c>
      <c r="AD2345">
        <v>-1.1089581916209901</v>
      </c>
      <c r="AE2345">
        <v>-0.64629999999999599</v>
      </c>
      <c r="AF2345">
        <v>-1.13444933522254</v>
      </c>
      <c r="AG2345">
        <v>-1.1089581916209901</v>
      </c>
      <c r="AH2345">
        <v>25.465359236918601</v>
      </c>
      <c r="AI2345">
        <v>92.491057276521701</v>
      </c>
      <c r="AJ2345">
        <v>92.550767520316199</v>
      </c>
      <c r="AK2345">
        <v>25.514726818648601</v>
      </c>
      <c r="AL2345">
        <v>80.325649051022694</v>
      </c>
      <c r="AM2345">
        <v>90.4644155074959</v>
      </c>
      <c r="AN2345">
        <v>0.99999998632909903</v>
      </c>
    </row>
    <row r="2346" spans="1:40" x14ac:dyDescent="0.25">
      <c r="A2346" t="str">
        <f>"20190312172936355"</f>
        <v>20190312172936355</v>
      </c>
      <c r="B2346" t="str">
        <f>"1552382976349513"</f>
        <v>1552382976349513</v>
      </c>
      <c r="C2346" t="s">
        <v>40</v>
      </c>
      <c r="D2346">
        <v>3.3652790000000001</v>
      </c>
      <c r="E2346">
        <v>0.49409819999999999</v>
      </c>
      <c r="F2346" t="s">
        <v>48</v>
      </c>
      <c r="G2346">
        <v>-405.3297</v>
      </c>
      <c r="H2346" s="1">
        <v>6.09780999999999E-6</v>
      </c>
      <c r="I2346">
        <v>284.3306</v>
      </c>
      <c r="J2346">
        <v>-381.09140000000002</v>
      </c>
      <c r="K2346">
        <v>1.1089850000000001</v>
      </c>
      <c r="L2346">
        <v>284.77249999999998</v>
      </c>
      <c r="M2346">
        <v>-0.99973780000000001</v>
      </c>
      <c r="N2346">
        <v>0</v>
      </c>
      <c r="O2346">
        <v>1.9206689999999998E-2</v>
      </c>
      <c r="P2346">
        <v>-0.98815969999999997</v>
      </c>
      <c r="Q2346">
        <v>0.1531237</v>
      </c>
      <c r="R2346">
        <v>9.6964870000000002E-3</v>
      </c>
      <c r="S2346">
        <v>-3.0595400000000001</v>
      </c>
      <c r="T2346">
        <v>-0.13693339999999901</v>
      </c>
      <c r="U2346">
        <v>-5.3283690000000002E-2</v>
      </c>
      <c r="V2346">
        <v>-9.2775689999999994E-3</v>
      </c>
      <c r="W2346">
        <v>0.16544249999999999</v>
      </c>
      <c r="X2346">
        <v>0.98617580000000005</v>
      </c>
      <c r="Y2346">
        <v>-3.6559189999999998E-2</v>
      </c>
      <c r="Z2346">
        <v>-1.6768410000000001E-3</v>
      </c>
      <c r="AA2346">
        <v>0.9993301</v>
      </c>
      <c r="AB2346">
        <v>54</v>
      </c>
      <c r="AC2346">
        <v>-24.238299999999899</v>
      </c>
      <c r="AD2346">
        <v>-1.1089789021900001</v>
      </c>
      <c r="AE2346">
        <v>-0.44189999999997498</v>
      </c>
      <c r="AF2346">
        <v>-0.90549727605891095</v>
      </c>
      <c r="AG2346">
        <v>-1.1089789021900001</v>
      </c>
      <c r="AH2346">
        <v>24.174750632564798</v>
      </c>
      <c r="AI2346">
        <v>92.624675026084006</v>
      </c>
      <c r="AJ2346">
        <v>92.145086449407898</v>
      </c>
      <c r="AK2346">
        <v>24.2171081607434</v>
      </c>
      <c r="AL2346">
        <v>80.477058862238593</v>
      </c>
      <c r="AM2346">
        <v>90.539001126266797</v>
      </c>
      <c r="AN2346">
        <v>1.0000000012992101</v>
      </c>
    </row>
    <row r="2347" spans="1:40" x14ac:dyDescent="0.25">
      <c r="A2347" t="str">
        <f>"20190312172936377"</f>
        <v>20190312172936377</v>
      </c>
      <c r="B2347" t="str">
        <f>"1552382976370013"</f>
        <v>1552382976370013</v>
      </c>
      <c r="C2347" t="s">
        <v>40</v>
      </c>
      <c r="D2347">
        <v>3.3707889999999998</v>
      </c>
      <c r="E2347">
        <v>0.49530449999999998</v>
      </c>
      <c r="F2347" t="s">
        <v>48</v>
      </c>
      <c r="G2347">
        <v>-404.96159999999998</v>
      </c>
      <c r="H2347" s="1">
        <v>6.2319950000000003E-6</v>
      </c>
      <c r="I2347">
        <v>284.47120000000001</v>
      </c>
      <c r="J2347">
        <v>-381.62020000000001</v>
      </c>
      <c r="K2347">
        <v>1.109008</v>
      </c>
      <c r="L2347">
        <v>284.7826</v>
      </c>
      <c r="M2347">
        <v>-0.9997355</v>
      </c>
      <c r="N2347">
        <v>0</v>
      </c>
      <c r="O2347">
        <v>1.920705E-2</v>
      </c>
      <c r="P2347">
        <v>-0.98857989999999996</v>
      </c>
      <c r="Q2347">
        <v>0.15048249999999999</v>
      </c>
      <c r="R2347">
        <v>8.0491669999999994E-3</v>
      </c>
      <c r="S2347">
        <v>-3.058319</v>
      </c>
      <c r="T2347">
        <v>-0.14208579999999901</v>
      </c>
      <c r="U2347">
        <v>-3.8604739999999999E-2</v>
      </c>
      <c r="V2347">
        <v>-1.09336E-2</v>
      </c>
      <c r="W2347">
        <v>0.1629787</v>
      </c>
      <c r="X2347">
        <v>0.98656900000000003</v>
      </c>
      <c r="Y2347">
        <v>-3.1771599999999997E-2</v>
      </c>
      <c r="Z2347">
        <v>-1.629485E-3</v>
      </c>
      <c r="AA2347">
        <v>0.99949379999999999</v>
      </c>
      <c r="AB2347">
        <v>53</v>
      </c>
      <c r="AC2347">
        <v>-23.341399999999901</v>
      </c>
      <c r="AD2347">
        <v>-1.1090017680049999</v>
      </c>
      <c r="AE2347">
        <v>-0.31139999999999102</v>
      </c>
      <c r="AF2347">
        <v>-0.75798707313844405</v>
      </c>
      <c r="AG2347">
        <v>-1.1090017680049999</v>
      </c>
      <c r="AH2347">
        <v>23.278571955121901</v>
      </c>
      <c r="AI2347">
        <v>92.726092176300995</v>
      </c>
      <c r="AJ2347">
        <v>91.864982150458303</v>
      </c>
      <c r="AK2347">
        <v>23.317297047348202</v>
      </c>
      <c r="AL2347">
        <v>80.620166841419206</v>
      </c>
      <c r="AM2347">
        <v>90.634951523723402</v>
      </c>
      <c r="AN2347">
        <v>0.99999999601182499</v>
      </c>
    </row>
    <row r="2348" spans="1:40" x14ac:dyDescent="0.25">
      <c r="A2348" t="str">
        <f>"20190312172936390"</f>
        <v>20190312172936390</v>
      </c>
      <c r="B2348" t="str">
        <f>"1552382976379771"</f>
        <v>1552382976379771</v>
      </c>
      <c r="C2348" t="s">
        <v>40</v>
      </c>
      <c r="D2348">
        <v>3.3321230000000002</v>
      </c>
      <c r="E2348">
        <v>0.49574400000000002</v>
      </c>
      <c r="F2348" t="s">
        <v>48</v>
      </c>
      <c r="G2348">
        <v>-404.642</v>
      </c>
      <c r="H2348" s="1">
        <v>6.3610910000000004E-6</v>
      </c>
      <c r="I2348">
        <v>284.53230000000002</v>
      </c>
      <c r="J2348">
        <v>-381.93369999999999</v>
      </c>
      <c r="K2348">
        <v>1.10902099999999</v>
      </c>
      <c r="L2348">
        <v>284.78859999999997</v>
      </c>
      <c r="M2348">
        <v>-0.99973420000000002</v>
      </c>
      <c r="N2348">
        <v>0</v>
      </c>
      <c r="O2348">
        <v>1.9207350000000002E-2</v>
      </c>
      <c r="P2348">
        <v>-0.98878529999999998</v>
      </c>
      <c r="Q2348">
        <v>0.14915780000000001</v>
      </c>
      <c r="R2348">
        <v>7.4746140000000001E-3</v>
      </c>
      <c r="S2348">
        <v>-3.0573429999999999</v>
      </c>
      <c r="T2348">
        <v>-0.1472781</v>
      </c>
      <c r="U2348">
        <v>-3.3233640000000002E-2</v>
      </c>
      <c r="V2348">
        <v>-1.1512680000000001E-2</v>
      </c>
      <c r="W2348">
        <v>0.16176389999999999</v>
      </c>
      <c r="X2348">
        <v>0.98676229999999998</v>
      </c>
      <c r="Y2348">
        <v>-3.0018159999999999E-2</v>
      </c>
      <c r="Z2348">
        <v>-1.6473239999999999E-3</v>
      </c>
      <c r="AA2348">
        <v>0.99954799999999999</v>
      </c>
      <c r="AB2348">
        <v>53</v>
      </c>
      <c r="AC2348">
        <v>-22.708300000000001</v>
      </c>
      <c r="AD2348">
        <v>-1.1090146389090001</v>
      </c>
      <c r="AE2348">
        <v>-0.25629999999995301</v>
      </c>
      <c r="AF2348">
        <v>-0.69080701365661301</v>
      </c>
      <c r="AG2348">
        <v>-1.1090146389090001</v>
      </c>
      <c r="AH2348">
        <v>22.6451829020709</v>
      </c>
      <c r="AI2348">
        <v>92.802435161145894</v>
      </c>
      <c r="AJ2348">
        <v>91.747305622580697</v>
      </c>
      <c r="AK2348">
        <v>22.6828445409229</v>
      </c>
      <c r="AL2348">
        <v>80.690705576389306</v>
      </c>
      <c r="AM2348">
        <v>90.668446744881905</v>
      </c>
      <c r="AN2348">
        <v>0.99999996892263998</v>
      </c>
    </row>
    <row r="2349" spans="1:40" x14ac:dyDescent="0.25">
      <c r="A2349" t="str">
        <f>"20190312172936404"</f>
        <v>20190312172936404</v>
      </c>
      <c r="B2349" t="str">
        <f>"1552382976400266"</f>
        <v>1552382976400266</v>
      </c>
      <c r="C2349" t="s">
        <v>40</v>
      </c>
      <c r="D2349">
        <v>3.3729719999999999</v>
      </c>
      <c r="E2349">
        <v>0.49627109999999902</v>
      </c>
      <c r="F2349" t="s">
        <v>48</v>
      </c>
      <c r="G2349">
        <v>-404.50299999999999</v>
      </c>
      <c r="H2349" s="1">
        <v>6.41660899999999E-6</v>
      </c>
      <c r="I2349">
        <v>284.56200000000001</v>
      </c>
      <c r="J2349">
        <v>-382.24930000000001</v>
      </c>
      <c r="K2349">
        <v>1.1090329999999999</v>
      </c>
      <c r="L2349">
        <v>284.79469999999998</v>
      </c>
      <c r="M2349">
        <v>-0.99973270000000003</v>
      </c>
      <c r="N2349">
        <v>0</v>
      </c>
      <c r="O2349">
        <v>1.920761E-2</v>
      </c>
      <c r="P2349">
        <v>-0.98896010000000001</v>
      </c>
      <c r="Q2349">
        <v>0.14803329999999901</v>
      </c>
      <c r="R2349">
        <v>6.6488049999999998E-3</v>
      </c>
      <c r="S2349">
        <v>-3.0568849999999999</v>
      </c>
      <c r="T2349">
        <v>-0.15020989999999901</v>
      </c>
      <c r="U2349">
        <v>-3.0700680000000001E-2</v>
      </c>
      <c r="V2349">
        <v>-1.23424E-2</v>
      </c>
      <c r="W2349">
        <v>0.16075400000000001</v>
      </c>
      <c r="X2349">
        <v>0.9869173</v>
      </c>
      <c r="Y2349">
        <v>-2.9190609999999999E-2</v>
      </c>
      <c r="Z2349">
        <v>-1.6600289999999999E-3</v>
      </c>
      <c r="AA2349">
        <v>0.99957249999999997</v>
      </c>
      <c r="AB2349">
        <v>53</v>
      </c>
      <c r="AC2349">
        <v>-22.253699999999998</v>
      </c>
      <c r="AD2349">
        <v>-1.109026583391</v>
      </c>
      <c r="AE2349">
        <v>-0.23269999999996499</v>
      </c>
      <c r="AF2349">
        <v>-0.65849759243275097</v>
      </c>
      <c r="AG2349">
        <v>-1.109026583391</v>
      </c>
      <c r="AH2349">
        <v>22.1900190788174</v>
      </c>
      <c r="AI2349">
        <v>92.8599265313362</v>
      </c>
      <c r="AJ2349">
        <v>91.6997760775252</v>
      </c>
      <c r="AK2349">
        <v>22.227471870642201</v>
      </c>
      <c r="AL2349">
        <v>80.749335947133602</v>
      </c>
      <c r="AM2349">
        <v>90.716504377260904</v>
      </c>
      <c r="AN2349">
        <v>0.99999997019652398</v>
      </c>
    </row>
    <row r="2350" spans="1:40" x14ac:dyDescent="0.25">
      <c r="A2350" t="str">
        <f>"20190312172936420"</f>
        <v>20190312172936420</v>
      </c>
      <c r="B2350" t="str">
        <f>"1552382976410026"</f>
        <v>1552382976410026</v>
      </c>
      <c r="C2350" t="s">
        <v>40</v>
      </c>
      <c r="D2350">
        <v>3.3978790000000001</v>
      </c>
      <c r="E2350">
        <v>0.49647950000000002</v>
      </c>
      <c r="F2350" t="s">
        <v>48</v>
      </c>
      <c r="G2350">
        <v>-404.6936</v>
      </c>
      <c r="H2350" s="1">
        <v>6.3273659999999899E-6</v>
      </c>
      <c r="I2350">
        <v>284.5847</v>
      </c>
      <c r="J2350">
        <v>-382.67779999999999</v>
      </c>
      <c r="K2350">
        <v>1.109051</v>
      </c>
      <c r="L2350">
        <v>284.80290000000002</v>
      </c>
      <c r="M2350">
        <v>-0.99973049999999997</v>
      </c>
      <c r="N2350">
        <v>0</v>
      </c>
      <c r="O2350">
        <v>1.9207970000000001E-2</v>
      </c>
      <c r="P2350">
        <v>-0.98927960000000004</v>
      </c>
      <c r="Q2350">
        <v>0.145951</v>
      </c>
      <c r="R2350">
        <v>4.9378269999999997E-3</v>
      </c>
      <c r="S2350">
        <v>-3.056244</v>
      </c>
      <c r="T2350">
        <v>-0.15101619999999999</v>
      </c>
      <c r="U2350">
        <v>-2.8594970000000001E-2</v>
      </c>
      <c r="V2350">
        <v>-1.4059759999999999E-2</v>
      </c>
      <c r="W2350">
        <v>0.1588434</v>
      </c>
      <c r="X2350">
        <v>0.98720370000000002</v>
      </c>
      <c r="Y2350">
        <v>-2.8504669999999999E-2</v>
      </c>
      <c r="Z2350">
        <v>-1.6523670000000001E-3</v>
      </c>
      <c r="AA2350">
        <v>0.99959229999999999</v>
      </c>
      <c r="AB2350">
        <v>53</v>
      </c>
      <c r="AC2350">
        <v>-22.015799999999999</v>
      </c>
      <c r="AD2350">
        <v>-1.109044672634</v>
      </c>
      <c r="AE2350">
        <v>-0.21820000000002401</v>
      </c>
      <c r="AF2350">
        <v>-0.63945197240968099</v>
      </c>
      <c r="AG2350">
        <v>-1.109044672634</v>
      </c>
      <c r="AH2350">
        <v>21.951845779085399</v>
      </c>
      <c r="AI2350">
        <v>92.890997163676204</v>
      </c>
      <c r="AJ2350">
        <v>91.668540400629794</v>
      </c>
      <c r="AK2350">
        <v>21.989143048778999</v>
      </c>
      <c r="AL2350">
        <v>80.860230815257907</v>
      </c>
      <c r="AM2350">
        <v>90.815951611696093</v>
      </c>
      <c r="AN2350">
        <v>1.0000000239342499</v>
      </c>
    </row>
    <row r="2351" spans="1:40" x14ac:dyDescent="0.25">
      <c r="A2351" t="str">
        <f>"20190312172936445"</f>
        <v>20190312172936445</v>
      </c>
      <c r="B2351" t="str">
        <f>"1552382976440282"</f>
        <v>1552382976440282</v>
      </c>
      <c r="C2351" t="s">
        <v>40</v>
      </c>
      <c r="D2351">
        <v>3.3859439999999998</v>
      </c>
      <c r="E2351">
        <v>0.497197</v>
      </c>
      <c r="F2351" t="s">
        <v>48</v>
      </c>
      <c r="G2351">
        <v>-404.4717</v>
      </c>
      <c r="H2351" s="1">
        <v>6.4265570000000003E-6</v>
      </c>
      <c r="I2351">
        <v>284.58089999999999</v>
      </c>
      <c r="J2351">
        <v>-383.22089999999997</v>
      </c>
      <c r="K2351">
        <v>1.10907</v>
      </c>
      <c r="L2351">
        <v>284.81330000000003</v>
      </c>
      <c r="M2351">
        <v>-0.99972740000000004</v>
      </c>
      <c r="N2351">
        <v>0</v>
      </c>
      <c r="O2351">
        <v>1.9207950000000001E-2</v>
      </c>
      <c r="P2351">
        <v>-0.98959560000000002</v>
      </c>
      <c r="Q2351">
        <v>0.1438382</v>
      </c>
      <c r="R2351">
        <v>3.3647780000000001E-3</v>
      </c>
      <c r="S2351">
        <v>-3.055634</v>
      </c>
      <c r="T2351">
        <v>-0.1554943</v>
      </c>
      <c r="U2351">
        <v>-3.1127930000000002E-2</v>
      </c>
      <c r="V2351">
        <v>-1.5638659999999999E-2</v>
      </c>
      <c r="W2351">
        <v>0.15695709999999999</v>
      </c>
      <c r="X2351">
        <v>0.98748159999999896</v>
      </c>
      <c r="Y2351">
        <v>-2.9330490000000001E-2</v>
      </c>
      <c r="Z2351">
        <v>-1.722637E-3</v>
      </c>
      <c r="AA2351">
        <v>0.99956829999999997</v>
      </c>
      <c r="AB2351">
        <v>53</v>
      </c>
      <c r="AC2351">
        <v>-21.250800000000002</v>
      </c>
      <c r="AD2351">
        <v>-1.1090635734430001</v>
      </c>
      <c r="AE2351">
        <v>-0.23240000000004099</v>
      </c>
      <c r="AF2351">
        <v>-0.63883757665121099</v>
      </c>
      <c r="AG2351">
        <v>-1.1090635734430001</v>
      </c>
      <c r="AH2351">
        <v>21.184720108236899</v>
      </c>
      <c r="AI2351">
        <v>92.995456629036894</v>
      </c>
      <c r="AJ2351">
        <v>91.727264169644201</v>
      </c>
      <c r="AK2351">
        <v>21.223348028141501</v>
      </c>
      <c r="AL2351">
        <v>80.969680727362203</v>
      </c>
      <c r="AM2351">
        <v>90.907312415883595</v>
      </c>
      <c r="AN2351">
        <v>1.0000000046327799</v>
      </c>
    </row>
    <row r="2352" spans="1:40" x14ac:dyDescent="0.25">
      <c r="A2352" t="str">
        <f>"20190312172936457"</f>
        <v>20190312172936457</v>
      </c>
      <c r="B2352" t="str">
        <f>"1552382976450042"</f>
        <v>1552382976450042</v>
      </c>
      <c r="C2352" t="s">
        <v>40</v>
      </c>
      <c r="D2352">
        <v>3.371219</v>
      </c>
      <c r="E2352">
        <v>0.49743229999999999</v>
      </c>
      <c r="F2352" t="s">
        <v>48</v>
      </c>
      <c r="G2352">
        <v>-404.74579999999997</v>
      </c>
      <c r="H2352" s="1">
        <v>6.2998439999999997E-6</v>
      </c>
      <c r="I2352">
        <v>284.60579999999999</v>
      </c>
      <c r="J2352">
        <v>-383.53640000000001</v>
      </c>
      <c r="K2352">
        <v>1.1090850000000001</v>
      </c>
      <c r="L2352">
        <v>284.81939999999997</v>
      </c>
      <c r="M2352">
        <v>-0.9997258</v>
      </c>
      <c r="N2352">
        <v>0</v>
      </c>
      <c r="O2352">
        <v>1.9207889999999998E-2</v>
      </c>
      <c r="P2352">
        <v>-0.98976960000000003</v>
      </c>
      <c r="Q2352">
        <v>0.1426511</v>
      </c>
      <c r="R2352">
        <v>2.6873550000000002E-3</v>
      </c>
      <c r="S2352">
        <v>-3.0545040000000001</v>
      </c>
      <c r="T2352">
        <v>-0.1573821</v>
      </c>
      <c r="U2352">
        <v>-2.944946E-2</v>
      </c>
      <c r="V2352">
        <v>-1.6319469999999999E-2</v>
      </c>
      <c r="W2352">
        <v>0.15590209999999999</v>
      </c>
      <c r="X2352">
        <v>0.98763769999999995</v>
      </c>
      <c r="Y2352">
        <v>-2.878416E-2</v>
      </c>
      <c r="Z2352">
        <v>-1.7301040000000001E-3</v>
      </c>
      <c r="AA2352">
        <v>0.99958409999999998</v>
      </c>
      <c r="AB2352">
        <v>53</v>
      </c>
      <c r="AC2352">
        <v>-21.209399999999899</v>
      </c>
      <c r="AD2352">
        <v>-1.1090787001559901</v>
      </c>
      <c r="AE2352">
        <v>-0.213599999999985</v>
      </c>
      <c r="AF2352">
        <v>-0.61929170964467795</v>
      </c>
      <c r="AG2352">
        <v>-1.1090787001559901</v>
      </c>
      <c r="AH2352">
        <v>21.143573321971701</v>
      </c>
      <c r="AI2352">
        <v>93.001393220726698</v>
      </c>
      <c r="AJ2352">
        <v>91.677704099453294</v>
      </c>
      <c r="AK2352">
        <v>21.181696594143901</v>
      </c>
      <c r="AL2352">
        <v>81.030881241908602</v>
      </c>
      <c r="AM2352">
        <v>90.946654496762307</v>
      </c>
      <c r="AN2352">
        <v>1.00000000817339</v>
      </c>
    </row>
    <row r="2353" spans="1:40" x14ac:dyDescent="0.25">
      <c r="A2353" t="str">
        <f>"20190312172936479"</f>
        <v>20190312172936479</v>
      </c>
      <c r="B2353" t="str">
        <f>"1552382976469565"</f>
        <v>1552382976469565</v>
      </c>
      <c r="C2353" t="s">
        <v>40</v>
      </c>
      <c r="D2353">
        <v>3.3867910000000001</v>
      </c>
      <c r="E2353">
        <v>0.4978786</v>
      </c>
      <c r="F2353" t="s">
        <v>48</v>
      </c>
      <c r="G2353">
        <v>-404.7835</v>
      </c>
      <c r="H2353" s="1">
        <v>6.2811519999999996E-6</v>
      </c>
      <c r="I2353">
        <v>284.61529999999999</v>
      </c>
      <c r="J2353">
        <v>-384.03620000000001</v>
      </c>
      <c r="K2353">
        <v>1.1091089999999999</v>
      </c>
      <c r="L2353">
        <v>284.82900000000001</v>
      </c>
      <c r="M2353">
        <v>-0.99972309999999998</v>
      </c>
      <c r="N2353">
        <v>0</v>
      </c>
      <c r="O2353">
        <v>1.9207519999999999E-2</v>
      </c>
      <c r="P2353">
        <v>-0.99007670000000003</v>
      </c>
      <c r="Q2353">
        <v>0.1405235</v>
      </c>
      <c r="R2353">
        <v>1.290937E-3</v>
      </c>
      <c r="S2353">
        <v>-3.0540769999999999</v>
      </c>
      <c r="T2353">
        <v>-0.1594197</v>
      </c>
      <c r="U2353">
        <v>-2.9327389999999998E-2</v>
      </c>
      <c r="V2353">
        <v>-1.772168E-2</v>
      </c>
      <c r="W2353">
        <v>0.15397729999999901</v>
      </c>
      <c r="X2353">
        <v>0.98791549999999995</v>
      </c>
      <c r="Y2353">
        <v>-2.8743620000000001E-2</v>
      </c>
      <c r="Z2353">
        <v>-1.75164299999999E-3</v>
      </c>
      <c r="AA2353">
        <v>0.99958530000000001</v>
      </c>
      <c r="AB2353">
        <v>53</v>
      </c>
      <c r="AC2353">
        <v>-20.747299999999999</v>
      </c>
      <c r="AD2353">
        <v>-1.109102718848</v>
      </c>
      <c r="AE2353">
        <v>-0.21370000000001699</v>
      </c>
      <c r="AF2353">
        <v>-0.61045724093680998</v>
      </c>
      <c r="AG2353">
        <v>-1.109102718848</v>
      </c>
      <c r="AH2353">
        <v>20.680274515620301</v>
      </c>
      <c r="AI2353">
        <v>93.068551860042504</v>
      </c>
      <c r="AJ2353">
        <v>91.690812647436601</v>
      </c>
      <c r="AK2353">
        <v>20.718989379923499</v>
      </c>
      <c r="AL2353">
        <v>81.142512622364094</v>
      </c>
      <c r="AM2353">
        <v>91.027687670377503</v>
      </c>
      <c r="AN2353">
        <v>1.0000000509987701</v>
      </c>
    </row>
    <row r="2354" spans="1:40" x14ac:dyDescent="0.25">
      <c r="A2354" t="str">
        <f>"20190312172936501"</f>
        <v>20190312172936501</v>
      </c>
      <c r="B2354" t="str">
        <f>"1552382976490058"</f>
        <v>1552382976490058</v>
      </c>
      <c r="C2354" t="s">
        <v>40</v>
      </c>
      <c r="D2354">
        <v>3.3815940000000002</v>
      </c>
      <c r="E2354">
        <v>0.49834830000000002</v>
      </c>
      <c r="F2354" t="s">
        <v>48</v>
      </c>
      <c r="G2354">
        <v>-404.77940000000001</v>
      </c>
      <c r="H2354" s="1">
        <v>6.2798119999999897E-6</v>
      </c>
      <c r="I2354">
        <v>284.63060000000002</v>
      </c>
      <c r="J2354">
        <v>-384.56889999999999</v>
      </c>
      <c r="K2354">
        <v>1.109124</v>
      </c>
      <c r="L2354">
        <v>284.83920000000001</v>
      </c>
      <c r="M2354">
        <v>-0.99972050000000001</v>
      </c>
      <c r="N2354">
        <v>0</v>
      </c>
      <c r="O2354">
        <v>1.920697E-2</v>
      </c>
      <c r="P2354">
        <v>-0.99032439999999999</v>
      </c>
      <c r="Q2354">
        <v>0.1387729</v>
      </c>
      <c r="R2354">
        <v>1.5716069999999999E-4</v>
      </c>
      <c r="S2354">
        <v>-3.0533139999999999</v>
      </c>
      <c r="T2354">
        <v>-0.16325509999999999</v>
      </c>
      <c r="U2354">
        <v>-2.920532E-2</v>
      </c>
      <c r="V2354">
        <v>-1.885966E-2</v>
      </c>
      <c r="W2354">
        <v>0.15242559999999999</v>
      </c>
      <c r="X2354">
        <v>0.98813499999999999</v>
      </c>
      <c r="Y2354">
        <v>-2.8702410000000001E-2</v>
      </c>
      <c r="Z2354">
        <v>-1.793046E-3</v>
      </c>
      <c r="AA2354">
        <v>0.99958639999999999</v>
      </c>
      <c r="AB2354">
        <v>53</v>
      </c>
      <c r="AC2354">
        <v>-20.2105</v>
      </c>
      <c r="AD2354">
        <v>-1.109117720188</v>
      </c>
      <c r="AE2354">
        <v>-0.20859999999998899</v>
      </c>
      <c r="AF2354">
        <v>-0.59498917005484098</v>
      </c>
      <c r="AG2354">
        <v>-1.109117720188</v>
      </c>
      <c r="AH2354">
        <v>20.1421100288517</v>
      </c>
      <c r="AI2354">
        <v>93.150416181226603</v>
      </c>
      <c r="AJ2354">
        <v>91.692000383662801</v>
      </c>
      <c r="AK2354">
        <v>20.181396152003099</v>
      </c>
      <c r="AL2354">
        <v>81.232480237460905</v>
      </c>
      <c r="AM2354">
        <v>91.093421180991498</v>
      </c>
      <c r="AN2354">
        <v>1.00000001426783</v>
      </c>
    </row>
    <row r="2355" spans="1:40" x14ac:dyDescent="0.25">
      <c r="A2355" t="str">
        <f>"20190312172936522"</f>
        <v>20190312172936522</v>
      </c>
      <c r="B2355" t="str">
        <f>"1552382976510154"</f>
        <v>1552382976510154</v>
      </c>
      <c r="C2355" t="s">
        <v>40</v>
      </c>
      <c r="D2355">
        <v>3.3517350000000001</v>
      </c>
      <c r="E2355">
        <v>0.49887359999999997</v>
      </c>
      <c r="F2355" t="s">
        <v>48</v>
      </c>
      <c r="G2355">
        <v>-404.88159999999999</v>
      </c>
      <c r="H2355" s="1">
        <v>6.2304049999999899E-6</v>
      </c>
      <c r="I2355">
        <v>284.65050000000002</v>
      </c>
      <c r="J2355">
        <v>-385.07960000000003</v>
      </c>
      <c r="K2355">
        <v>1.109137</v>
      </c>
      <c r="L2355">
        <v>284.84899999999999</v>
      </c>
      <c r="M2355">
        <v>-0.999718</v>
      </c>
      <c r="N2355">
        <v>0</v>
      </c>
      <c r="O2355">
        <v>1.920678E-2</v>
      </c>
      <c r="P2355">
        <v>-0.99052130000000005</v>
      </c>
      <c r="Q2355">
        <v>0.1373579</v>
      </c>
      <c r="R2355">
        <v>-8.5075179999999904E-4</v>
      </c>
      <c r="S2355">
        <v>-3.0526430000000002</v>
      </c>
      <c r="T2355">
        <v>-0.16668139999999901</v>
      </c>
      <c r="U2355">
        <v>-2.835083E-2</v>
      </c>
      <c r="V2355">
        <v>-1.987088E-2</v>
      </c>
      <c r="W2355">
        <v>0.15118139999999999</v>
      </c>
      <c r="X2355">
        <v>0.98830629999999997</v>
      </c>
      <c r="Y2355">
        <v>-2.8422070000000001E-2</v>
      </c>
      <c r="Z2355">
        <v>-1.8233710000000001E-3</v>
      </c>
      <c r="AA2355">
        <v>0.99959430000000005</v>
      </c>
      <c r="AB2355">
        <v>53</v>
      </c>
      <c r="AC2355">
        <v>-19.8019999999999</v>
      </c>
      <c r="AD2355">
        <v>-1.1091307695949999</v>
      </c>
      <c r="AE2355">
        <v>-0.19849999999996701</v>
      </c>
      <c r="AF2355">
        <v>-0.57702304890214695</v>
      </c>
      <c r="AG2355">
        <v>-1.1091307695949999</v>
      </c>
      <c r="AH2355">
        <v>19.732633811636799</v>
      </c>
      <c r="AI2355">
        <v>93.215721141865103</v>
      </c>
      <c r="AJ2355">
        <v>91.674969852654797</v>
      </c>
      <c r="AK2355">
        <v>19.772201794620099</v>
      </c>
      <c r="AL2355">
        <v>81.304603428743903</v>
      </c>
      <c r="AM2355">
        <v>91.151833374735006</v>
      </c>
      <c r="AN2355">
        <v>1.00000000509881</v>
      </c>
    </row>
    <row r="2356" spans="1:40" x14ac:dyDescent="0.25">
      <c r="A2356" t="str">
        <f>"20190312172936536"</f>
        <v>20190312172936536</v>
      </c>
      <c r="B2356" t="str">
        <f>"1552382976529674"</f>
        <v>1552382976529674</v>
      </c>
      <c r="C2356" t="s">
        <v>40</v>
      </c>
      <c r="D2356">
        <v>3.3444790000000002</v>
      </c>
      <c r="E2356">
        <v>0.49934869999999998</v>
      </c>
      <c r="F2356" t="s">
        <v>48</v>
      </c>
      <c r="G2356">
        <v>-405.13929999999999</v>
      </c>
      <c r="H2356" s="1">
        <v>6.1114179999999997E-6</v>
      </c>
      <c r="I2356">
        <v>284.67329999999998</v>
      </c>
      <c r="J2356">
        <v>-385.40010000000001</v>
      </c>
      <c r="K2356">
        <v>1.109148</v>
      </c>
      <c r="L2356">
        <v>284.85520000000002</v>
      </c>
      <c r="M2356">
        <v>-0.99971659999999996</v>
      </c>
      <c r="N2356">
        <v>0</v>
      </c>
      <c r="O2356">
        <v>1.9206750000000002E-2</v>
      </c>
      <c r="P2356">
        <v>-0.99056429999999995</v>
      </c>
      <c r="Q2356">
        <v>0.13704359999999999</v>
      </c>
      <c r="R2356">
        <v>-1.0510599999999999E-3</v>
      </c>
      <c r="S2356">
        <v>-3.052063</v>
      </c>
      <c r="T2356">
        <v>-0.16875309999999999</v>
      </c>
      <c r="U2356">
        <v>-2.6733400000000001E-2</v>
      </c>
      <c r="V2356">
        <v>-2.0071840000000001E-2</v>
      </c>
      <c r="W2356">
        <v>0.15096309999999999</v>
      </c>
      <c r="X2356">
        <v>0.98833559999999998</v>
      </c>
      <c r="Y2356">
        <v>-2.7893149999999999E-2</v>
      </c>
      <c r="Z2356">
        <v>-1.831741E-3</v>
      </c>
      <c r="AA2356">
        <v>0.99960919999999998</v>
      </c>
      <c r="AB2356">
        <v>53</v>
      </c>
      <c r="AC2356">
        <v>-19.739199999999901</v>
      </c>
      <c r="AD2356">
        <v>-1.1091418885819999</v>
      </c>
      <c r="AE2356">
        <v>-0.181900000000041</v>
      </c>
      <c r="AF2356">
        <v>-0.55926421147312899</v>
      </c>
      <c r="AG2356">
        <v>-1.1091418885819999</v>
      </c>
      <c r="AH2356">
        <v>19.669965398138199</v>
      </c>
      <c r="AI2356">
        <v>93.226052183149093</v>
      </c>
      <c r="AJ2356">
        <v>91.628617429000997</v>
      </c>
      <c r="AK2356">
        <v>19.7091479001807</v>
      </c>
      <c r="AL2356">
        <v>81.317256249623199</v>
      </c>
      <c r="AM2356">
        <v>91.163444532503902</v>
      </c>
      <c r="AN2356">
        <v>0.99999999727497701</v>
      </c>
    </row>
    <row r="2357" spans="1:40" x14ac:dyDescent="0.25">
      <c r="A2357" t="str">
        <f>"20190312172936548"</f>
        <v>20190312172936548</v>
      </c>
      <c r="B2357" t="str">
        <f>"1552382976539434"</f>
        <v>1552382976539434</v>
      </c>
      <c r="C2357" t="s">
        <v>40</v>
      </c>
      <c r="D2357">
        <v>3.3595790000000001</v>
      </c>
      <c r="E2357">
        <v>0.49956070000000002</v>
      </c>
      <c r="F2357" t="s">
        <v>48</v>
      </c>
      <c r="G2357">
        <v>-405.5607</v>
      </c>
      <c r="H2357" s="1">
        <v>5.9189680000000004E-6</v>
      </c>
      <c r="I2357">
        <v>284.70030000000003</v>
      </c>
      <c r="J2357">
        <v>-385.69639999999998</v>
      </c>
      <c r="K2357">
        <v>1.1091530000000001</v>
      </c>
      <c r="L2357">
        <v>284.86079999999998</v>
      </c>
      <c r="M2357">
        <v>-0.99971540000000003</v>
      </c>
      <c r="N2357">
        <v>0</v>
      </c>
      <c r="O2357">
        <v>1.9206500000000001E-2</v>
      </c>
      <c r="P2357">
        <v>-0.99064750000000001</v>
      </c>
      <c r="Q2357">
        <v>0.13643849999999999</v>
      </c>
      <c r="R2357">
        <v>-1.558689E-3</v>
      </c>
      <c r="S2357">
        <v>-3.0517880000000002</v>
      </c>
      <c r="T2357">
        <v>-0.1678954</v>
      </c>
      <c r="U2357">
        <v>-2.34375E-2</v>
      </c>
      <c r="V2357">
        <v>-2.058105E-2</v>
      </c>
      <c r="W2357">
        <v>0.1504422</v>
      </c>
      <c r="X2357">
        <v>0.98840459999999997</v>
      </c>
      <c r="Y2357">
        <v>-2.681654E-2</v>
      </c>
      <c r="Z2357">
        <v>-1.79301E-3</v>
      </c>
      <c r="AA2357">
        <v>0.99963869999999999</v>
      </c>
      <c r="AB2357">
        <v>53</v>
      </c>
      <c r="AC2357">
        <v>-19.8643</v>
      </c>
      <c r="AD2357">
        <v>-1.1091470810320001</v>
      </c>
      <c r="AE2357">
        <v>-0.16049999999995601</v>
      </c>
      <c r="AF2357">
        <v>-0.54034774553903298</v>
      </c>
      <c r="AG2357">
        <v>-1.1091470810320001</v>
      </c>
      <c r="AH2357">
        <v>19.795839016142999</v>
      </c>
      <c r="AI2357">
        <v>93.205698146008999</v>
      </c>
      <c r="AJ2357">
        <v>91.563558868769704</v>
      </c>
      <c r="AK2357">
        <v>19.8342487956192</v>
      </c>
      <c r="AL2357">
        <v>81.347446828801793</v>
      </c>
      <c r="AM2357">
        <v>91.192868711680504</v>
      </c>
      <c r="AN2357">
        <v>1.0000000442305499</v>
      </c>
    </row>
    <row r="2358" spans="1:40" x14ac:dyDescent="0.25">
      <c r="A2358" t="str">
        <f>"20190312172936559"</f>
        <v>20190312172936559</v>
      </c>
      <c r="B2358" t="str">
        <f>"1552382976550170"</f>
        <v>1552382976550170</v>
      </c>
      <c r="C2358" t="s">
        <v>40</v>
      </c>
      <c r="D2358">
        <v>3.358311</v>
      </c>
      <c r="E2358">
        <v>0.4997992</v>
      </c>
      <c r="F2358" t="s">
        <v>48</v>
      </c>
      <c r="G2358">
        <v>-405.73610000000002</v>
      </c>
      <c r="H2358" s="1">
        <v>5.8390539999999997E-6</v>
      </c>
      <c r="I2358">
        <v>284.71069999999997</v>
      </c>
      <c r="J2358">
        <v>-385.99090000000001</v>
      </c>
      <c r="K2358">
        <v>1.1091580000000001</v>
      </c>
      <c r="L2358">
        <v>284.86649999999997</v>
      </c>
      <c r="M2358">
        <v>-0.99971429999999994</v>
      </c>
      <c r="N2358">
        <v>0</v>
      </c>
      <c r="O2358">
        <v>1.920641E-2</v>
      </c>
      <c r="P2358">
        <v>-0.99072300000000002</v>
      </c>
      <c r="Q2358">
        <v>0.13588169999999999</v>
      </c>
      <c r="R2358">
        <v>-2.1108390000000002E-3</v>
      </c>
      <c r="S2358">
        <v>-3.0515140000000001</v>
      </c>
      <c r="T2358">
        <v>-0.16889370000000001</v>
      </c>
      <c r="U2358">
        <v>-2.285767E-2</v>
      </c>
      <c r="V2358">
        <v>-2.1134500000000001E-2</v>
      </c>
      <c r="W2358">
        <v>0.14996419999999999</v>
      </c>
      <c r="X2358">
        <v>0.9884655</v>
      </c>
      <c r="Y2358">
        <v>-2.6626670000000002E-2</v>
      </c>
      <c r="Z2358">
        <v>-1.798563E-3</v>
      </c>
      <c r="AA2358">
        <v>0.99964379999999997</v>
      </c>
      <c r="AB2358">
        <v>53</v>
      </c>
      <c r="AC2358">
        <v>-19.745200000000001</v>
      </c>
      <c r="AD2358">
        <v>-1.109152160946</v>
      </c>
      <c r="AE2358">
        <v>-0.15579999999999899</v>
      </c>
      <c r="AF2358">
        <v>-0.53336117095936497</v>
      </c>
      <c r="AG2358">
        <v>-1.109152160946</v>
      </c>
      <c r="AH2358">
        <v>19.676480417211</v>
      </c>
      <c r="AI2358">
        <v>93.225134475512405</v>
      </c>
      <c r="AJ2358">
        <v>91.552709735962907</v>
      </c>
      <c r="AK2358">
        <v>19.714932773501999</v>
      </c>
      <c r="AL2358">
        <v>81.375147980205298</v>
      </c>
      <c r="AM2358">
        <v>91.224861341254098</v>
      </c>
      <c r="AN2358">
        <v>0.99999998653106903</v>
      </c>
    </row>
    <row r="2359" spans="1:40" x14ac:dyDescent="0.25">
      <c r="A2359" t="str">
        <f>"20190312172936573"</f>
        <v>20190312172936573</v>
      </c>
      <c r="B2359" t="str">
        <f>"1552382976569689"</f>
        <v>1552382976569689</v>
      </c>
      <c r="C2359" t="s">
        <v>40</v>
      </c>
      <c r="D2359">
        <v>3.3625479999999999</v>
      </c>
      <c r="E2359">
        <v>0.4999808</v>
      </c>
      <c r="F2359" t="s">
        <v>48</v>
      </c>
      <c r="G2359">
        <v>-405.95490000000001</v>
      </c>
      <c r="H2359" s="1">
        <v>5.7398550000000001E-6</v>
      </c>
      <c r="I2359">
        <v>284.72109999999998</v>
      </c>
      <c r="J2359">
        <v>-386.29180000000002</v>
      </c>
      <c r="K2359">
        <v>1.109162</v>
      </c>
      <c r="L2359">
        <v>284.8723</v>
      </c>
      <c r="M2359">
        <v>-0.99971330000000003</v>
      </c>
      <c r="N2359">
        <v>0</v>
      </c>
      <c r="O2359">
        <v>1.9206230000000001E-2</v>
      </c>
      <c r="P2359">
        <v>-0.99078350000000004</v>
      </c>
      <c r="Q2359">
        <v>0.13543379999999999</v>
      </c>
      <c r="R2359">
        <v>-2.4300319999999999E-3</v>
      </c>
      <c r="S2359">
        <v>-3.0512999999999999</v>
      </c>
      <c r="T2359">
        <v>-0.16952310000000001</v>
      </c>
      <c r="U2359">
        <v>-2.2216799999999998E-2</v>
      </c>
      <c r="V2359">
        <v>-2.1454830000000001E-2</v>
      </c>
      <c r="W2359">
        <v>0.14959040000000001</v>
      </c>
      <c r="X2359">
        <v>0.98851529999999999</v>
      </c>
      <c r="Y2359">
        <v>-2.641688E-2</v>
      </c>
      <c r="Z2359">
        <v>-1.79955E-3</v>
      </c>
      <c r="AA2359">
        <v>0.99964940000000002</v>
      </c>
      <c r="AB2359">
        <v>53</v>
      </c>
      <c r="AC2359">
        <v>-19.663099999999901</v>
      </c>
      <c r="AD2359">
        <v>-1.109156260145</v>
      </c>
      <c r="AE2359">
        <v>-0.15120000000001699</v>
      </c>
      <c r="AF2359">
        <v>-0.52718739604470699</v>
      </c>
      <c r="AG2359">
        <v>-1.109156260145</v>
      </c>
      <c r="AH2359">
        <v>19.594225532452199</v>
      </c>
      <c r="AI2359">
        <v>93.238674053617203</v>
      </c>
      <c r="AJ2359">
        <v>91.541185048887201</v>
      </c>
      <c r="AK2359">
        <v>19.632672471585899</v>
      </c>
      <c r="AL2359">
        <v>81.396810022217394</v>
      </c>
      <c r="AM2359">
        <v>91.243357832065399</v>
      </c>
      <c r="AN2359">
        <v>1.00000004791828</v>
      </c>
    </row>
    <row r="2360" spans="1:40" x14ac:dyDescent="0.25">
      <c r="A2360" t="str">
        <f>"20190312172936587"</f>
        <v>20190312172936587</v>
      </c>
      <c r="B2360" t="str">
        <f>"1552382976579450"</f>
        <v>1552382976579450</v>
      </c>
      <c r="C2360" t="s">
        <v>40</v>
      </c>
      <c r="D2360">
        <v>3.3368899999999999</v>
      </c>
      <c r="E2360">
        <v>0.50486739999999997</v>
      </c>
      <c r="F2360" t="s">
        <v>48</v>
      </c>
      <c r="G2360">
        <v>-406.19189999999998</v>
      </c>
      <c r="H2360" s="1">
        <v>5.6325389999999999E-6</v>
      </c>
      <c r="I2360">
        <v>284.7319</v>
      </c>
      <c r="J2360">
        <v>-386.60329999999999</v>
      </c>
      <c r="K2360">
        <v>1.109165</v>
      </c>
      <c r="L2360">
        <v>284.87819999999999</v>
      </c>
      <c r="M2360">
        <v>-0.9997123</v>
      </c>
      <c r="N2360">
        <v>0</v>
      </c>
      <c r="O2360">
        <v>1.9206000000000001E-2</v>
      </c>
      <c r="P2360">
        <v>-0.99082460000000006</v>
      </c>
      <c r="Q2360">
        <v>0.13513020000000001</v>
      </c>
      <c r="R2360">
        <v>-2.5834339999999999E-3</v>
      </c>
      <c r="S2360">
        <v>-3.0511170000000001</v>
      </c>
      <c r="T2360">
        <v>-0.1700585</v>
      </c>
      <c r="U2360">
        <v>-2.1514889999999998E-2</v>
      </c>
      <c r="V2360">
        <v>-2.1608789999999999E-2</v>
      </c>
      <c r="W2360">
        <v>0.149358399999999</v>
      </c>
      <c r="X2360">
        <v>0.98854699999999995</v>
      </c>
      <c r="Y2360">
        <v>-2.618705E-2</v>
      </c>
      <c r="Z2360">
        <v>-1.7989220000000001E-3</v>
      </c>
      <c r="AA2360">
        <v>0.99965539999999997</v>
      </c>
      <c r="AB2360">
        <v>53</v>
      </c>
      <c r="AC2360">
        <v>-19.5885999999999</v>
      </c>
      <c r="AD2360">
        <v>-1.1091593674610001</v>
      </c>
      <c r="AE2360">
        <v>-0.14629999999999599</v>
      </c>
      <c r="AF2360">
        <v>-0.52086064752542205</v>
      </c>
      <c r="AG2360">
        <v>-1.1091593674610001</v>
      </c>
      <c r="AH2360">
        <v>19.5195970929108</v>
      </c>
      <c r="AI2360">
        <v>93.251058134892602</v>
      </c>
      <c r="AJ2360">
        <v>91.528517037761205</v>
      </c>
      <c r="AK2360">
        <v>19.558021397527298</v>
      </c>
      <c r="AL2360">
        <v>81.410253443767601</v>
      </c>
      <c r="AM2360">
        <v>91.252237200567905</v>
      </c>
      <c r="AN2360">
        <v>1.0000000213324101</v>
      </c>
    </row>
    <row r="2361" spans="1:40" x14ac:dyDescent="0.25">
      <c r="A2361" t="str">
        <f>"20190312172936600"</f>
        <v>20190312172936600</v>
      </c>
      <c r="B2361" t="str">
        <f>"1552382976590186"</f>
        <v>1552382976590186</v>
      </c>
      <c r="C2361" t="s">
        <v>40</v>
      </c>
      <c r="D2361">
        <v>3.3650839999999902</v>
      </c>
      <c r="E2361">
        <v>0.50509159999999997</v>
      </c>
      <c r="F2361" t="s">
        <v>48</v>
      </c>
      <c r="G2361">
        <v>-411.7217</v>
      </c>
      <c r="H2361" s="1">
        <v>2.4751650000000001E-6</v>
      </c>
      <c r="I2361">
        <v>285.02800000000002</v>
      </c>
      <c r="J2361">
        <v>-386.93880000000001</v>
      </c>
      <c r="K2361">
        <v>1.10917</v>
      </c>
      <c r="L2361">
        <v>284.88470000000001</v>
      </c>
      <c r="M2361">
        <v>-0.99971120000000002</v>
      </c>
      <c r="N2361">
        <v>0</v>
      </c>
      <c r="O2361">
        <v>1.9206009999999999E-2</v>
      </c>
      <c r="P2361">
        <v>-0.99089130000000003</v>
      </c>
      <c r="Q2361">
        <v>0.13463229999999901</v>
      </c>
      <c r="R2361">
        <v>-2.9602500000000002E-3</v>
      </c>
      <c r="S2361">
        <v>-3.0462340000000001</v>
      </c>
      <c r="T2361">
        <v>-0.13451370000000001</v>
      </c>
      <c r="U2361">
        <v>1.8157960000000001E-2</v>
      </c>
      <c r="V2361">
        <v>-2.1987309999999999E-2</v>
      </c>
      <c r="W2361">
        <v>0.1489326</v>
      </c>
      <c r="X2361">
        <v>0.98860289999999995</v>
      </c>
      <c r="Y2361">
        <v>-1.3216500000000001E-2</v>
      </c>
      <c r="Z2361">
        <v>-1.1393620000000001E-3</v>
      </c>
      <c r="AA2361">
        <v>0.99991200000000002</v>
      </c>
      <c r="AB2361">
        <v>53</v>
      </c>
      <c r="AC2361">
        <v>-24.782899999999898</v>
      </c>
      <c r="AD2361">
        <v>-1.1091675248349999</v>
      </c>
      <c r="AE2361">
        <v>0.14330000000001</v>
      </c>
      <c r="AF2361">
        <v>-0.33209155515000899</v>
      </c>
      <c r="AG2361">
        <v>-1.1091675248349999</v>
      </c>
      <c r="AH2361">
        <v>24.731543625597698</v>
      </c>
      <c r="AI2361">
        <v>92.567666025394004</v>
      </c>
      <c r="AJ2361">
        <v>90.769313122476206</v>
      </c>
      <c r="AK2361">
        <v>24.758630566006602</v>
      </c>
      <c r="AL2361">
        <v>81.434925995173202</v>
      </c>
      <c r="AM2361">
        <v>91.274093379228702</v>
      </c>
      <c r="AN2361">
        <v>1.0000000275161001</v>
      </c>
    </row>
    <row r="2362" spans="1:40" x14ac:dyDescent="0.25">
      <c r="A2362" t="str">
        <f>"20190312172936622"</f>
        <v>20190312172936622</v>
      </c>
      <c r="B2362" t="str">
        <f>"1552382976610279"</f>
        <v>1552382976610279</v>
      </c>
      <c r="C2362" t="s">
        <v>40</v>
      </c>
      <c r="D2362">
        <v>3.3678439999999998</v>
      </c>
      <c r="E2362">
        <v>0.50521280000000002</v>
      </c>
      <c r="F2362" t="s">
        <v>48</v>
      </c>
      <c r="G2362">
        <v>-411.79790000000003</v>
      </c>
      <c r="H2362" s="1">
        <v>2.4877849999999999E-6</v>
      </c>
      <c r="I2362">
        <v>285.03829999999999</v>
      </c>
      <c r="J2362">
        <v>-387.4674</v>
      </c>
      <c r="K2362">
        <v>1.1091799999999901</v>
      </c>
      <c r="L2362">
        <v>284.89479999999998</v>
      </c>
      <c r="M2362">
        <v>-0.99970970000000003</v>
      </c>
      <c r="N2362">
        <v>0</v>
      </c>
      <c r="O2362">
        <v>1.920591E-2</v>
      </c>
      <c r="P2362">
        <v>-0.99099899999999996</v>
      </c>
      <c r="Q2362">
        <v>0.13382279999999999</v>
      </c>
      <c r="R2362">
        <v>-3.5611319999999998E-3</v>
      </c>
      <c r="S2362">
        <v>-3.0461429999999998</v>
      </c>
      <c r="T2362">
        <v>-0.13591329999999999</v>
      </c>
      <c r="U2362">
        <v>1.8829350000000002E-2</v>
      </c>
      <c r="V2362">
        <v>-2.2589830000000002E-2</v>
      </c>
      <c r="W2362">
        <v>0.14822439999999901</v>
      </c>
      <c r="X2362">
        <v>0.98869569999999996</v>
      </c>
      <c r="Y2362">
        <v>-1.2995430000000001E-2</v>
      </c>
      <c r="Z2362">
        <v>-1.1463059999999999E-3</v>
      </c>
      <c r="AA2362">
        <v>0.99991490000000005</v>
      </c>
      <c r="AB2362">
        <v>53</v>
      </c>
      <c r="AC2362">
        <v>-24.330500000000001</v>
      </c>
      <c r="AD2362">
        <v>-1.1091775122149901</v>
      </c>
      <c r="AE2362">
        <v>0.143500000000017</v>
      </c>
      <c r="AF2362">
        <v>-0.32319366859869803</v>
      </c>
      <c r="AG2362">
        <v>-1.1091775122149901</v>
      </c>
      <c r="AH2362">
        <v>24.278312706516498</v>
      </c>
      <c r="AI2362">
        <v>92.615561178589701</v>
      </c>
      <c r="AJ2362">
        <v>90.762678184370699</v>
      </c>
      <c r="AK2362">
        <v>24.305785253236099</v>
      </c>
      <c r="AL2362">
        <v>81.475957892845898</v>
      </c>
      <c r="AM2362">
        <v>91.308872654424704</v>
      </c>
      <c r="AN2362">
        <v>0.99999998018663905</v>
      </c>
    </row>
    <row r="2363" spans="1:40" x14ac:dyDescent="0.25">
      <c r="A2363" t="str">
        <f>"20190312172936648"</f>
        <v>20190312172936648</v>
      </c>
      <c r="B2363" t="str">
        <f>"1552382976639559"</f>
        <v>1552382976639559</v>
      </c>
      <c r="C2363" t="s">
        <v>40</v>
      </c>
      <c r="D2363">
        <v>3.369548</v>
      </c>
      <c r="E2363">
        <v>0.50522230000000001</v>
      </c>
      <c r="F2363" t="s">
        <v>48</v>
      </c>
      <c r="G2363">
        <v>-412.04840000000002</v>
      </c>
      <c r="H2363" s="1">
        <v>2.5319439999999998E-6</v>
      </c>
      <c r="I2363">
        <v>285.04140000000001</v>
      </c>
      <c r="J2363">
        <v>-388.0129</v>
      </c>
      <c r="K2363">
        <v>1.1091869999999999</v>
      </c>
      <c r="L2363">
        <v>284.90530000000001</v>
      </c>
      <c r="M2363">
        <v>-0.99970840000000005</v>
      </c>
      <c r="N2363">
        <v>0</v>
      </c>
      <c r="O2363">
        <v>1.9205719999999999E-2</v>
      </c>
      <c r="P2363">
        <v>-0.99099060000000005</v>
      </c>
      <c r="Q2363">
        <v>0.1338741</v>
      </c>
      <c r="R2363">
        <v>-3.9196959999999899E-3</v>
      </c>
      <c r="S2363">
        <v>-3.0458370000000001</v>
      </c>
      <c r="T2363">
        <v>-0.13743849999999999</v>
      </c>
      <c r="U2363">
        <v>1.8157960000000001E-2</v>
      </c>
      <c r="V2363">
        <v>-2.2948119999999999E-2</v>
      </c>
      <c r="W2363">
        <v>0.14836489999999999</v>
      </c>
      <c r="X2363">
        <v>0.98866639999999995</v>
      </c>
      <c r="Y2363">
        <v>-1.3214099999999999E-2</v>
      </c>
      <c r="Z2363">
        <v>-1.164198E-3</v>
      </c>
      <c r="AA2363">
        <v>0.99991200000000002</v>
      </c>
      <c r="AB2363">
        <v>53</v>
      </c>
      <c r="AC2363">
        <v>-24.035499999999999</v>
      </c>
      <c r="AD2363">
        <v>-1.1091844680559999</v>
      </c>
      <c r="AE2363">
        <v>0.136099999999999</v>
      </c>
      <c r="AF2363">
        <v>-0.32490175807348898</v>
      </c>
      <c r="AG2363">
        <v>-1.1091844680559999</v>
      </c>
      <c r="AH2363">
        <v>23.982607855798001</v>
      </c>
      <c r="AI2363">
        <v>92.647773580420406</v>
      </c>
      <c r="AJ2363">
        <v>90.776160828128695</v>
      </c>
      <c r="AK2363">
        <v>24.010442122159301</v>
      </c>
      <c r="AL2363">
        <v>81.467818047195493</v>
      </c>
      <c r="AM2363">
        <v>91.329664257236004</v>
      </c>
      <c r="AN2363">
        <v>1.0000000051262501</v>
      </c>
    </row>
    <row r="2364" spans="1:40" x14ac:dyDescent="0.25">
      <c r="A2364" t="str">
        <f>"20190312172936667"</f>
        <v>20190312172936667</v>
      </c>
      <c r="B2364" t="str">
        <f>"1552382976660054"</f>
        <v>1552382976660054</v>
      </c>
      <c r="C2364" t="s">
        <v>40</v>
      </c>
      <c r="D2364">
        <v>3.4068610000000001</v>
      </c>
      <c r="E2364">
        <v>0.50540149999999995</v>
      </c>
      <c r="F2364" t="s">
        <v>48</v>
      </c>
      <c r="G2364">
        <v>-412.9273</v>
      </c>
      <c r="H2364" s="1">
        <v>2.6868069999999998E-6</v>
      </c>
      <c r="I2364">
        <v>285.05329999999998</v>
      </c>
      <c r="J2364">
        <v>-388.52780000000001</v>
      </c>
      <c r="K2364">
        <v>1.1092040000000001</v>
      </c>
      <c r="L2364">
        <v>284.91520000000003</v>
      </c>
      <c r="M2364">
        <v>-0.99970729999999997</v>
      </c>
      <c r="N2364">
        <v>0</v>
      </c>
      <c r="O2364">
        <v>1.9205529999999998E-2</v>
      </c>
      <c r="P2364">
        <v>-0.99091859999999998</v>
      </c>
      <c r="Q2364">
        <v>0.13438599999999901</v>
      </c>
      <c r="R2364">
        <v>-4.5810570000000004E-3</v>
      </c>
      <c r="S2364">
        <v>-3.0456850000000002</v>
      </c>
      <c r="T2364">
        <v>-0.1355934</v>
      </c>
      <c r="U2364">
        <v>1.8096919999999999E-2</v>
      </c>
      <c r="V2364">
        <v>-2.360744E-2</v>
      </c>
      <c r="W2364">
        <v>0.1489482</v>
      </c>
      <c r="X2364">
        <v>0.98856319999999998</v>
      </c>
      <c r="Y2364">
        <v>-1.323452E-2</v>
      </c>
      <c r="Z2364">
        <v>-1.1490879999999999E-3</v>
      </c>
      <c r="AA2364">
        <v>0.99991180000000002</v>
      </c>
      <c r="AB2364">
        <v>53</v>
      </c>
      <c r="AC2364">
        <v>-24.3994999999999</v>
      </c>
      <c r="AD2364">
        <v>-1.1092013131929901</v>
      </c>
      <c r="AE2364">
        <v>0.13809999999995101</v>
      </c>
      <c r="AF2364">
        <v>-0.32989977927824299</v>
      </c>
      <c r="AG2364">
        <v>-1.1092013131929901</v>
      </c>
      <c r="AH2364">
        <v>24.347336394567499</v>
      </c>
      <c r="AI2364">
        <v>92.608204000350199</v>
      </c>
      <c r="AJ2364">
        <v>90.776294707258501</v>
      </c>
      <c r="AK2364">
        <v>24.374822069664202</v>
      </c>
      <c r="AL2364">
        <v>81.434022197821903</v>
      </c>
      <c r="AM2364">
        <v>91.367995129784504</v>
      </c>
      <c r="AN2364">
        <v>1.00000003895041</v>
      </c>
    </row>
    <row r="2365" spans="1:40" x14ac:dyDescent="0.25">
      <c r="A2365" t="str">
        <f>"20190312172936691"</f>
        <v>20190312172936691</v>
      </c>
      <c r="B2365" t="str">
        <f>"1552382976679575"</f>
        <v>1552382976679575</v>
      </c>
      <c r="C2365" t="s">
        <v>40</v>
      </c>
      <c r="D2365">
        <v>3.3898229999999998</v>
      </c>
      <c r="E2365">
        <v>0.50557989999999997</v>
      </c>
      <c r="F2365" t="s">
        <v>48</v>
      </c>
      <c r="G2365">
        <v>-413.7869</v>
      </c>
      <c r="H2365" s="1">
        <v>2.837948E-6</v>
      </c>
      <c r="I2365">
        <v>285.06849999999997</v>
      </c>
      <c r="J2365">
        <v>-389.07760000000002</v>
      </c>
      <c r="K2365">
        <v>1.1092219999999999</v>
      </c>
      <c r="L2365">
        <v>284.92570000000001</v>
      </c>
      <c r="M2365">
        <v>-0.99970630000000005</v>
      </c>
      <c r="N2365">
        <v>0</v>
      </c>
      <c r="O2365">
        <v>1.9205199999999999E-2</v>
      </c>
      <c r="P2365">
        <v>-0.9908382</v>
      </c>
      <c r="Q2365">
        <v>0.13494979999999901</v>
      </c>
      <c r="R2365">
        <v>-5.3211040000000001E-3</v>
      </c>
      <c r="S2365">
        <v>-3.0457459999999998</v>
      </c>
      <c r="T2365">
        <v>-0.13374759999999999</v>
      </c>
      <c r="U2365">
        <v>1.849365E-2</v>
      </c>
      <c r="V2365">
        <v>-2.434563E-2</v>
      </c>
      <c r="W2365">
        <v>0.14957809999999999</v>
      </c>
      <c r="X2365">
        <v>0.98845019999999995</v>
      </c>
      <c r="Y2365">
        <v>-1.310507E-2</v>
      </c>
      <c r="Z2365">
        <v>-1.1305829999999999E-3</v>
      </c>
      <c r="AA2365">
        <v>0.99991350000000001</v>
      </c>
      <c r="AB2365">
        <v>53</v>
      </c>
      <c r="AC2365">
        <v>-24.709299999999899</v>
      </c>
      <c r="AD2365">
        <v>-1.109219162052</v>
      </c>
      <c r="AE2365">
        <v>0.14279999999996501</v>
      </c>
      <c r="AF2365">
        <v>-0.33115791777703901</v>
      </c>
      <c r="AG2365">
        <v>-1.109219162052</v>
      </c>
      <c r="AH2365">
        <v>24.657796262351599</v>
      </c>
      <c r="AI2365">
        <v>92.575454816980198</v>
      </c>
      <c r="AJ2365">
        <v>90.769444689704798</v>
      </c>
      <c r="AK2365">
        <v>24.684953903777298</v>
      </c>
      <c r="AL2365">
        <v>81.397522865079097</v>
      </c>
      <c r="AM2365">
        <v>91.4109156764262</v>
      </c>
      <c r="AN2365">
        <v>1.00000005778987</v>
      </c>
    </row>
    <row r="2366" spans="1:40" x14ac:dyDescent="0.25">
      <c r="A2366" t="str">
        <f>"20190312172936713"</f>
        <v>20190312172936713</v>
      </c>
      <c r="B2366" t="str">
        <f>"1552382976700071"</f>
        <v>1552382976700071</v>
      </c>
      <c r="C2366" t="s">
        <v>40</v>
      </c>
      <c r="D2366">
        <v>3.349272</v>
      </c>
      <c r="E2366">
        <v>0.50554449999999995</v>
      </c>
      <c r="F2366" t="s">
        <v>48</v>
      </c>
      <c r="G2366">
        <v>-414.75009999999997</v>
      </c>
      <c r="H2366" s="1">
        <v>3.0072810000000001E-6</v>
      </c>
      <c r="I2366">
        <v>285.08600000000001</v>
      </c>
      <c r="J2366">
        <v>-389.59690000000001</v>
      </c>
      <c r="K2366">
        <v>1.1092390000000001</v>
      </c>
      <c r="L2366">
        <v>284.9357</v>
      </c>
      <c r="M2366">
        <v>-0.99970559999999997</v>
      </c>
      <c r="N2366">
        <v>0</v>
      </c>
      <c r="O2366">
        <v>1.9204599999999999E-2</v>
      </c>
      <c r="P2366">
        <v>-0.990734</v>
      </c>
      <c r="Q2366">
        <v>0.13568079999999999</v>
      </c>
      <c r="R2366">
        <v>-6.0993740000000003E-3</v>
      </c>
      <c r="S2366">
        <v>-3.045776</v>
      </c>
      <c r="T2366">
        <v>-0.1315974</v>
      </c>
      <c r="U2366">
        <v>1.901245E-2</v>
      </c>
      <c r="V2366">
        <v>-2.512124E-2</v>
      </c>
      <c r="W2366">
        <v>0.1503621</v>
      </c>
      <c r="X2366">
        <v>0.98831179999999996</v>
      </c>
      <c r="Y2366">
        <v>-1.293539E-2</v>
      </c>
      <c r="Z2366">
        <v>-1.108723E-3</v>
      </c>
      <c r="AA2366">
        <v>0.99991569999999996</v>
      </c>
      <c r="AB2366">
        <v>53</v>
      </c>
      <c r="AC2366">
        <v>-25.153199999999899</v>
      </c>
      <c r="AD2366">
        <v>-1.1092359927190001</v>
      </c>
      <c r="AE2366">
        <v>0.150300000000015</v>
      </c>
      <c r="AF2366">
        <v>-0.33219198624806501</v>
      </c>
      <c r="AG2366">
        <v>-1.1092359927190001</v>
      </c>
      <c r="AH2366">
        <v>25.102630528772799</v>
      </c>
      <c r="AI2366">
        <v>92.529920946223797</v>
      </c>
      <c r="AJ2366">
        <v>90.758171055152204</v>
      </c>
      <c r="AK2366">
        <v>25.129321826649999</v>
      </c>
      <c r="AL2366">
        <v>81.352088866406604</v>
      </c>
      <c r="AM2366">
        <v>91.456049767019806</v>
      </c>
      <c r="AN2366">
        <v>1.00000002591739</v>
      </c>
    </row>
    <row r="2367" spans="1:40" x14ac:dyDescent="0.25">
      <c r="A2367" t="str">
        <f>"20190312172936736"</f>
        <v>20190312172936736</v>
      </c>
      <c r="B2367" t="str">
        <f>"1552382976729351"</f>
        <v>1552382976729351</v>
      </c>
      <c r="C2367" t="s">
        <v>40</v>
      </c>
      <c r="D2367">
        <v>3.3464939999999999</v>
      </c>
      <c r="E2367">
        <v>0.50553919999999997</v>
      </c>
      <c r="F2367" t="s">
        <v>48</v>
      </c>
      <c r="G2367">
        <v>-415.67700000000002</v>
      </c>
      <c r="H2367" s="1">
        <v>3.1719300000000001E-6</v>
      </c>
      <c r="I2367">
        <v>285.08330000000001</v>
      </c>
      <c r="J2367">
        <v>-390.13990000000001</v>
      </c>
      <c r="K2367">
        <v>1.109256</v>
      </c>
      <c r="L2367">
        <v>284.9461</v>
      </c>
      <c r="M2367">
        <v>-0.99970479999999995</v>
      </c>
      <c r="N2367">
        <v>0</v>
      </c>
      <c r="O2367">
        <v>1.92044E-2</v>
      </c>
      <c r="P2367">
        <v>-0.99064560000000002</v>
      </c>
      <c r="Q2367">
        <v>0.136299799999999</v>
      </c>
      <c r="R2367">
        <v>-6.6377199999999997E-3</v>
      </c>
      <c r="S2367">
        <v>-3.045868</v>
      </c>
      <c r="T2367">
        <v>-0.12954640000000001</v>
      </c>
      <c r="U2367">
        <v>1.724243E-2</v>
      </c>
      <c r="V2367">
        <v>-2.565725E-2</v>
      </c>
      <c r="W2367">
        <v>0.1510291</v>
      </c>
      <c r="X2367">
        <v>0.98819630000000003</v>
      </c>
      <c r="Y2367">
        <v>-1.351685E-2</v>
      </c>
      <c r="Z2367">
        <v>-1.1037810000000001E-3</v>
      </c>
      <c r="AA2367">
        <v>0.99990800000000002</v>
      </c>
      <c r="AB2367">
        <v>53</v>
      </c>
      <c r="AC2367">
        <v>-25.537099999999899</v>
      </c>
      <c r="AD2367">
        <v>-1.10925282807</v>
      </c>
      <c r="AE2367">
        <v>0.13720000000000701</v>
      </c>
      <c r="AF2367">
        <v>-0.35263898809962002</v>
      </c>
      <c r="AG2367">
        <v>-1.10925282807</v>
      </c>
      <c r="AH2367">
        <v>25.486938013558099</v>
      </c>
      <c r="AI2367">
        <v>92.491839191336098</v>
      </c>
      <c r="AJ2367">
        <v>90.792697676674393</v>
      </c>
      <c r="AK2367">
        <v>25.513502413417498</v>
      </c>
      <c r="AL2367">
        <v>81.313430939084597</v>
      </c>
      <c r="AM2367">
        <v>91.487277319861505</v>
      </c>
      <c r="AN2367">
        <v>1.0000000054290299</v>
      </c>
    </row>
    <row r="2368" spans="1:40" x14ac:dyDescent="0.25">
      <c r="A2368" t="str">
        <f>"20190312172936758"</f>
        <v>20190312172936758</v>
      </c>
      <c r="B2368" t="str">
        <f>"1552382976749846"</f>
        <v>1552382976749846</v>
      </c>
      <c r="C2368" t="s">
        <v>40</v>
      </c>
      <c r="D2368">
        <v>3.4391099999999999</v>
      </c>
      <c r="E2368">
        <v>0.50560260000000001</v>
      </c>
      <c r="F2368" t="s">
        <v>48</v>
      </c>
      <c r="G2368">
        <v>-416.52719999999999</v>
      </c>
      <c r="H2368" s="1">
        <v>3.3221949999999998E-6</v>
      </c>
      <c r="I2368">
        <v>285.08960000000002</v>
      </c>
      <c r="J2368">
        <v>-390.6438</v>
      </c>
      <c r="K2368">
        <v>1.109264</v>
      </c>
      <c r="L2368">
        <v>284.95580000000001</v>
      </c>
      <c r="M2368">
        <v>-0.99970420000000004</v>
      </c>
      <c r="N2368">
        <v>0</v>
      </c>
      <c r="O2368">
        <v>1.9204100000000002E-2</v>
      </c>
      <c r="P2368">
        <v>-0.99061030000000005</v>
      </c>
      <c r="Q2368">
        <v>0.1365345</v>
      </c>
      <c r="R2368">
        <v>-7.0520319999999997E-3</v>
      </c>
      <c r="S2368">
        <v>-3.0460509999999998</v>
      </c>
      <c r="T2368">
        <v>-0.12804769999999999</v>
      </c>
      <c r="U2368">
        <v>1.6571039999999999E-2</v>
      </c>
      <c r="V2368">
        <v>-2.607081E-2</v>
      </c>
      <c r="W2368">
        <v>0.15130250000000001</v>
      </c>
      <c r="X2368">
        <v>0.98814360000000001</v>
      </c>
      <c r="Y2368">
        <v>-1.373777E-2</v>
      </c>
      <c r="Z2368">
        <v>-1.095588E-3</v>
      </c>
      <c r="AA2368">
        <v>0.99990500000000004</v>
      </c>
      <c r="AB2368">
        <v>53</v>
      </c>
      <c r="AC2368">
        <v>-25.883399999999899</v>
      </c>
      <c r="AD2368">
        <v>-1.109260677805</v>
      </c>
      <c r="AE2368">
        <v>0.133800000000007</v>
      </c>
      <c r="AF2368">
        <v>-0.36268134559445597</v>
      </c>
      <c r="AG2368">
        <v>-1.109260677805</v>
      </c>
      <c r="AH2368">
        <v>25.833749335600999</v>
      </c>
      <c r="AI2368">
        <v>92.458438655348999</v>
      </c>
      <c r="AJ2368">
        <v>90.804325577512003</v>
      </c>
      <c r="AK2368">
        <v>25.860096707948099</v>
      </c>
      <c r="AL2368">
        <v>81.297583716965804</v>
      </c>
      <c r="AM2368">
        <v>91.511319740523703</v>
      </c>
      <c r="AN2368">
        <v>0.99999995393063201</v>
      </c>
    </row>
    <row r="2369" spans="1:40" x14ac:dyDescent="0.25">
      <c r="A2369" t="str">
        <f>"20190312172936780"</f>
        <v>20190312172936780</v>
      </c>
      <c r="B2369" t="str">
        <f>"1552382976769367"</f>
        <v>1552382976769367</v>
      </c>
      <c r="C2369" t="s">
        <v>40</v>
      </c>
      <c r="D2369">
        <v>3.4532069999999999</v>
      </c>
      <c r="E2369">
        <v>0.50766599999999995</v>
      </c>
      <c r="F2369" t="s">
        <v>48</v>
      </c>
      <c r="G2369">
        <v>-417.08870000000002</v>
      </c>
      <c r="H2369" s="1">
        <v>3.4209769999999999E-6</v>
      </c>
      <c r="I2369">
        <v>285.09890000000001</v>
      </c>
      <c r="J2369">
        <v>-391.16849999999999</v>
      </c>
      <c r="K2369">
        <v>1.10927</v>
      </c>
      <c r="L2369">
        <v>284.96589999999998</v>
      </c>
      <c r="M2369">
        <v>-0.99970380000000003</v>
      </c>
      <c r="N2369">
        <v>0</v>
      </c>
      <c r="O2369">
        <v>1.9203640000000001E-2</v>
      </c>
      <c r="P2369">
        <v>-0.99074119999999999</v>
      </c>
      <c r="Q2369">
        <v>0.13560029999999901</v>
      </c>
      <c r="R2369">
        <v>-6.6862379999999997E-3</v>
      </c>
      <c r="S2369">
        <v>-3.046173</v>
      </c>
      <c r="T2369">
        <v>-0.1277751</v>
      </c>
      <c r="U2369">
        <v>1.6479489999999999E-2</v>
      </c>
      <c r="V2369">
        <v>-2.5707310000000001E-2</v>
      </c>
      <c r="W2369">
        <v>0.15040590000000001</v>
      </c>
      <c r="X2369">
        <v>0.98829</v>
      </c>
      <c r="Y2369">
        <v>-1.3767700000000001E-2</v>
      </c>
      <c r="Z2369">
        <v>-1.0938219999999999E-3</v>
      </c>
      <c r="AA2369">
        <v>0.99990460000000003</v>
      </c>
      <c r="AB2369">
        <v>53</v>
      </c>
      <c r="AC2369">
        <v>-25.920200000000001</v>
      </c>
      <c r="AD2369">
        <v>-1.1092665790230001</v>
      </c>
      <c r="AE2369">
        <v>0.133000000000038</v>
      </c>
      <c r="AF2369">
        <v>-0.36417541182340302</v>
      </c>
      <c r="AG2369">
        <v>-1.1092665790230001</v>
      </c>
      <c r="AH2369">
        <v>25.870593975041601</v>
      </c>
      <c r="AI2369">
        <v>92.454953401458695</v>
      </c>
      <c r="AJ2369">
        <v>90.806488481010106</v>
      </c>
      <c r="AK2369">
        <v>25.8969250818581</v>
      </c>
      <c r="AL2369">
        <v>81.349549889170405</v>
      </c>
      <c r="AM2369">
        <v>91.490036627156698</v>
      </c>
      <c r="AN2369">
        <v>0.99999996232112198</v>
      </c>
    </row>
    <row r="2370" spans="1:40" x14ac:dyDescent="0.25">
      <c r="A2370" t="str">
        <f>"20190312172936802"</f>
        <v>20190312172936802</v>
      </c>
      <c r="B2370" t="str">
        <f>"1552382976789862"</f>
        <v>1552382976789862</v>
      </c>
      <c r="C2370" t="s">
        <v>40</v>
      </c>
      <c r="D2370">
        <v>3.3929149999999999</v>
      </c>
      <c r="E2370">
        <v>0.55723730000000005</v>
      </c>
      <c r="F2370" t="s">
        <v>48</v>
      </c>
      <c r="G2370">
        <v>-414.11419999999998</v>
      </c>
      <c r="H2370" s="1">
        <v>2.8826920000000001E-6</v>
      </c>
      <c r="I2370">
        <v>285.22089999999997</v>
      </c>
      <c r="J2370">
        <v>-391.69240000000002</v>
      </c>
      <c r="K2370">
        <v>1.10927</v>
      </c>
      <c r="L2370">
        <v>284.97590000000002</v>
      </c>
      <c r="M2370">
        <v>-0.99970320000000001</v>
      </c>
      <c r="N2370">
        <v>0</v>
      </c>
      <c r="O2370">
        <v>1.920359E-2</v>
      </c>
      <c r="P2370">
        <v>-0.99094340000000003</v>
      </c>
      <c r="Q2370">
        <v>0.134161999999999</v>
      </c>
      <c r="R2370">
        <v>-5.6444190000000003E-3</v>
      </c>
      <c r="S2370">
        <v>-3.0484010000000001</v>
      </c>
      <c r="T2370">
        <v>-0.147369</v>
      </c>
      <c r="U2370">
        <v>3.3874509999999997E-2</v>
      </c>
      <c r="V2370">
        <v>-2.4669730000000001E-2</v>
      </c>
      <c r="W2370">
        <v>0.14900099999999999</v>
      </c>
      <c r="X2370">
        <v>0.98852930000000006</v>
      </c>
      <c r="Y2370">
        <v>-8.0632369999999991E-3</v>
      </c>
      <c r="Z2370">
        <v>-1.122608E-3</v>
      </c>
      <c r="AA2370">
        <v>0.99996689999999999</v>
      </c>
      <c r="AB2370">
        <v>53</v>
      </c>
      <c r="AC2370">
        <v>-22.421799999999902</v>
      </c>
      <c r="AD2370">
        <v>-1.109267117308</v>
      </c>
      <c r="AE2370">
        <v>0.24499999999994701</v>
      </c>
      <c r="AF2370">
        <v>-0.185219355654898</v>
      </c>
      <c r="AG2370">
        <v>-1.109267117308</v>
      </c>
      <c r="AH2370">
        <v>22.367630438212</v>
      </c>
      <c r="AI2370">
        <v>92.839018808237398</v>
      </c>
      <c r="AJ2370">
        <v>90.474437595958193</v>
      </c>
      <c r="AK2370">
        <v>22.395885139187499</v>
      </c>
      <c r="AL2370">
        <v>81.430962809712</v>
      </c>
      <c r="AM2370">
        <v>91.429576324065394</v>
      </c>
      <c r="AN2370">
        <v>1.00000003526888</v>
      </c>
    </row>
    <row r="2371" spans="1:40" x14ac:dyDescent="0.25">
      <c r="A2371" t="str">
        <f>"20190312172936825"</f>
        <v>20190312172936825</v>
      </c>
      <c r="B2371" t="str">
        <f>"1552382976820119"</f>
        <v>1552382976820119</v>
      </c>
      <c r="C2371" t="s">
        <v>40</v>
      </c>
      <c r="D2371">
        <v>3.38117</v>
      </c>
      <c r="E2371">
        <v>0.56011679999999997</v>
      </c>
      <c r="F2371" t="s">
        <v>42</v>
      </c>
      <c r="G2371">
        <v>-392.41269999999997</v>
      </c>
      <c r="H2371">
        <v>0.96693419999999997</v>
      </c>
      <c r="I2371">
        <v>285.07499999999999</v>
      </c>
      <c r="J2371">
        <v>-392.23270000000002</v>
      </c>
      <c r="K2371">
        <v>1.10927</v>
      </c>
      <c r="L2371">
        <v>284.98630000000003</v>
      </c>
      <c r="M2371">
        <v>-0.99970289999999995</v>
      </c>
      <c r="N2371">
        <v>0</v>
      </c>
      <c r="O2371">
        <v>1.9203209999999998E-2</v>
      </c>
      <c r="P2371">
        <v>-0.9911816</v>
      </c>
      <c r="Q2371">
        <v>0.132433299999999</v>
      </c>
      <c r="R2371">
        <v>-4.5238609999999997E-3</v>
      </c>
      <c r="S2371">
        <v>-3.1130979999999999</v>
      </c>
      <c r="T2371">
        <v>-0.61528729999999998</v>
      </c>
      <c r="U2371">
        <v>0.42684939999999999</v>
      </c>
      <c r="V2371">
        <v>-2.3553439999999998E-2</v>
      </c>
      <c r="W2371">
        <v>0.14730289999999999</v>
      </c>
      <c r="X2371">
        <v>0.988811</v>
      </c>
      <c r="Y2371">
        <v>0.11497309999999999</v>
      </c>
      <c r="Z2371">
        <v>7.4610630000000004E-3</v>
      </c>
      <c r="AA2371">
        <v>0.99334060000000002</v>
      </c>
      <c r="AB2371">
        <v>53</v>
      </c>
      <c r="AC2371">
        <v>-0.17999999999994901</v>
      </c>
      <c r="AD2371">
        <v>-0.14233580000000001</v>
      </c>
      <c r="AE2371">
        <v>8.86999999999602E-2</v>
      </c>
      <c r="AF2371">
        <v>5.6699846416860399E-2</v>
      </c>
      <c r="AG2371">
        <v>-0.14233580000000001</v>
      </c>
      <c r="AH2371">
        <v>0.120862152148159</v>
      </c>
      <c r="AI2371">
        <v>136.834491827157</v>
      </c>
      <c r="AJ2371">
        <v>64.8674010391547</v>
      </c>
      <c r="AK2371">
        <v>0.195146130802587</v>
      </c>
      <c r="AL2371">
        <v>81.529342576557397</v>
      </c>
      <c r="AM2371">
        <v>91.364525231086802</v>
      </c>
      <c r="AN2371">
        <v>1.0000000513026199</v>
      </c>
    </row>
    <row r="2372" spans="1:40" x14ac:dyDescent="0.25">
      <c r="A2372" t="str">
        <f>"20190312172936847"</f>
        <v>20190312172936847</v>
      </c>
      <c r="B2372" t="str">
        <f>"1552382976839639"</f>
        <v>1552382976839639</v>
      </c>
      <c r="C2372" t="s">
        <v>40</v>
      </c>
      <c r="D2372">
        <v>3.4673579999999999</v>
      </c>
      <c r="E2372">
        <v>0.56139930000000005</v>
      </c>
      <c r="F2372" t="s">
        <v>42</v>
      </c>
      <c r="G2372">
        <v>-393.31319999999999</v>
      </c>
      <c r="H2372">
        <v>0.87943689999999997</v>
      </c>
      <c r="I2372">
        <v>285.14339999999999</v>
      </c>
      <c r="J2372">
        <v>-392.75720000000001</v>
      </c>
      <c r="K2372">
        <v>1.1092649999999999</v>
      </c>
      <c r="L2372">
        <v>284.99639999999999</v>
      </c>
      <c r="M2372">
        <v>-0.9997026</v>
      </c>
      <c r="N2372">
        <v>0</v>
      </c>
      <c r="O2372">
        <v>1.920287E-2</v>
      </c>
      <c r="P2372">
        <v>-0.99149710000000002</v>
      </c>
      <c r="Q2372">
        <v>0.13008210000000001</v>
      </c>
      <c r="R2372">
        <v>-3.5271270000000001E-3</v>
      </c>
      <c r="S2372">
        <v>-3.1173709999999999</v>
      </c>
      <c r="T2372">
        <v>-0.66314649999999997</v>
      </c>
      <c r="U2372">
        <v>0.45251459999999999</v>
      </c>
      <c r="V2372">
        <v>-2.2563090000000001E-2</v>
      </c>
      <c r="W2372">
        <v>0.14497769999999999</v>
      </c>
      <c r="X2372">
        <v>0.98917759999999999</v>
      </c>
      <c r="Y2372">
        <v>0.1223617</v>
      </c>
      <c r="Z2372">
        <v>8.7875760000000001E-3</v>
      </c>
      <c r="AA2372">
        <v>0.99244670000000001</v>
      </c>
      <c r="AB2372">
        <v>53</v>
      </c>
      <c r="AC2372">
        <v>-0.55599999999998295</v>
      </c>
      <c r="AD2372">
        <v>-0.22982809999999901</v>
      </c>
      <c r="AE2372">
        <v>0.146999999999991</v>
      </c>
      <c r="AF2372">
        <v>0.11752568607871999</v>
      </c>
      <c r="AG2372">
        <v>-0.22982809999999901</v>
      </c>
      <c r="AH2372">
        <v>0.48177905454171399</v>
      </c>
      <c r="AI2372">
        <v>114.865382865979</v>
      </c>
      <c r="AJ2372">
        <v>76.290951246480901</v>
      </c>
      <c r="AK2372">
        <v>0.54657506331060501</v>
      </c>
      <c r="AL2372">
        <v>81.664011945972504</v>
      </c>
      <c r="AM2372">
        <v>91.306687184439099</v>
      </c>
      <c r="AN2372">
        <v>0.99999997543469799</v>
      </c>
    </row>
    <row r="2373" spans="1:40" x14ac:dyDescent="0.25">
      <c r="A2373" t="str">
        <f>"20190312172936869"</f>
        <v>20190312172936869</v>
      </c>
      <c r="B2373" t="str">
        <f>"1552382976860135"</f>
        <v>1552382976860135</v>
      </c>
      <c r="C2373" t="s">
        <v>40</v>
      </c>
      <c r="D2373">
        <v>3.4229440000000002</v>
      </c>
      <c r="E2373">
        <v>0.56204919999999903</v>
      </c>
      <c r="F2373" t="s">
        <v>42</v>
      </c>
      <c r="G2373">
        <v>-393.7842</v>
      </c>
      <c r="H2373">
        <v>0.88316849999999902</v>
      </c>
      <c r="I2373">
        <v>285.1499</v>
      </c>
      <c r="J2373">
        <v>-393.26659999999998</v>
      </c>
      <c r="K2373">
        <v>1.1092660000000001</v>
      </c>
      <c r="L2373">
        <v>285.00619999999998</v>
      </c>
      <c r="M2373">
        <v>-0.99970219999999999</v>
      </c>
      <c r="N2373">
        <v>0</v>
      </c>
      <c r="O2373">
        <v>1.9202730000000001E-2</v>
      </c>
      <c r="P2373">
        <v>-0.9920506</v>
      </c>
      <c r="Q2373">
        <v>0.1258261</v>
      </c>
      <c r="R2373">
        <v>-1.8223169999999999E-3</v>
      </c>
      <c r="S2373">
        <v>-3.117432</v>
      </c>
      <c r="T2373">
        <v>-0.68633630000000001</v>
      </c>
      <c r="U2373">
        <v>0.46481319999999998</v>
      </c>
      <c r="V2373">
        <v>-2.086845E-2</v>
      </c>
      <c r="W2373">
        <v>0.14074909999999999</v>
      </c>
      <c r="X2373">
        <v>0.98982530000000002</v>
      </c>
      <c r="Y2373">
        <v>0.12594929999999999</v>
      </c>
      <c r="Z2373">
        <v>9.4734780000000005E-3</v>
      </c>
      <c r="AA2373">
        <v>0.99199150000000003</v>
      </c>
      <c r="AB2373">
        <v>53</v>
      </c>
      <c r="AC2373">
        <v>-0.51760000000001505</v>
      </c>
      <c r="AD2373">
        <v>-0.22609750000000001</v>
      </c>
      <c r="AE2373">
        <v>0.143700000000023</v>
      </c>
      <c r="AF2373">
        <v>0.11360688019726201</v>
      </c>
      <c r="AG2373">
        <v>-0.22609750000000001</v>
      </c>
      <c r="AH2373">
        <v>0.44196709690659902</v>
      </c>
      <c r="AI2373">
        <v>116.35676337787</v>
      </c>
      <c r="AJ2373">
        <v>75.584310001874201</v>
      </c>
      <c r="AK2373">
        <v>0.50927548289943403</v>
      </c>
      <c r="AL2373">
        <v>81.908803955071704</v>
      </c>
      <c r="AM2373">
        <v>91.207785860416905</v>
      </c>
      <c r="AN2373">
        <v>0.99999996293814997</v>
      </c>
    </row>
    <row r="2374" spans="1:40" x14ac:dyDescent="0.25">
      <c r="A2374" t="str">
        <f>"20190312172936892"</f>
        <v>20190312172936892</v>
      </c>
      <c r="B2374" t="str">
        <f>"1552382976879656"</f>
        <v>1552382976879656</v>
      </c>
      <c r="C2374" t="s">
        <v>40</v>
      </c>
      <c r="D2374">
        <v>3.4237890000000002</v>
      </c>
      <c r="E2374">
        <v>0.56245919999999905</v>
      </c>
      <c r="F2374" t="s">
        <v>42</v>
      </c>
      <c r="G2374">
        <v>-394.25400000000002</v>
      </c>
      <c r="H2374">
        <v>0.88478659999999998</v>
      </c>
      <c r="I2374">
        <v>285.15660000000003</v>
      </c>
      <c r="J2374">
        <v>-393.80009999999999</v>
      </c>
      <c r="K2374">
        <v>1.109267</v>
      </c>
      <c r="L2374">
        <v>285.01650000000001</v>
      </c>
      <c r="M2374">
        <v>-0.99970199999999998</v>
      </c>
      <c r="N2374">
        <v>0</v>
      </c>
      <c r="O2374">
        <v>1.9202250000000001E-2</v>
      </c>
      <c r="P2374">
        <v>-0.99234279999999997</v>
      </c>
      <c r="Q2374">
        <v>0.1235139</v>
      </c>
      <c r="R2374" s="1">
        <v>-2.6784839999999998E-6</v>
      </c>
      <c r="S2374">
        <v>-3.114655</v>
      </c>
      <c r="T2374">
        <v>-0.70811089999999999</v>
      </c>
      <c r="U2374">
        <v>0.47378540000000002</v>
      </c>
      <c r="V2374">
        <v>-1.9054660000000001E-2</v>
      </c>
      <c r="W2374">
        <v>0.1384572</v>
      </c>
      <c r="X2374">
        <v>0.99018510000000004</v>
      </c>
      <c r="Y2374">
        <v>0.12864289999999901</v>
      </c>
      <c r="Z2374">
        <v>1.0074E-2</v>
      </c>
      <c r="AA2374">
        <v>0.99163979999999996</v>
      </c>
      <c r="AB2374">
        <v>53</v>
      </c>
      <c r="AC2374">
        <v>-0.453900000000032</v>
      </c>
      <c r="AD2374">
        <v>-0.2244804</v>
      </c>
      <c r="AE2374">
        <v>0.14010000000001799</v>
      </c>
      <c r="AF2374">
        <v>0.107378241225086</v>
      </c>
      <c r="AG2374">
        <v>-0.2244804</v>
      </c>
      <c r="AH2374">
        <v>0.37317234390146098</v>
      </c>
      <c r="AI2374">
        <v>120.03177934817801</v>
      </c>
      <c r="AJ2374">
        <v>73.947125077070794</v>
      </c>
      <c r="AK2374">
        <v>0.448529971045039</v>
      </c>
      <c r="AL2374">
        <v>82.041419145817997</v>
      </c>
      <c r="AM2374">
        <v>91.102437175142498</v>
      </c>
      <c r="AN2374">
        <v>1.00000000428078</v>
      </c>
    </row>
    <row r="2375" spans="1:40" x14ac:dyDescent="0.25">
      <c r="A2375" t="str">
        <f>"20190312172936915"</f>
        <v>20190312172936915</v>
      </c>
      <c r="B2375" t="str">
        <f>"1552382976909444"</f>
        <v>1552382976909444</v>
      </c>
      <c r="C2375" t="s">
        <v>40</v>
      </c>
      <c r="D2375">
        <v>3.4663379999999999</v>
      </c>
      <c r="E2375">
        <v>0.5625424</v>
      </c>
      <c r="F2375" t="s">
        <v>42</v>
      </c>
      <c r="G2375">
        <v>-394.7269</v>
      </c>
      <c r="H2375">
        <v>0.89451399999999903</v>
      </c>
      <c r="I2375">
        <v>285.16050000000001</v>
      </c>
      <c r="J2375">
        <v>-394.32780000000002</v>
      </c>
      <c r="K2375">
        <v>1.109267</v>
      </c>
      <c r="L2375">
        <v>285.02659999999997</v>
      </c>
      <c r="M2375">
        <v>-0.99970179999999997</v>
      </c>
      <c r="N2375">
        <v>0</v>
      </c>
      <c r="O2375">
        <v>1.9201860000000001E-2</v>
      </c>
      <c r="P2375">
        <v>-0.99258860000000004</v>
      </c>
      <c r="Q2375">
        <v>0.1215012</v>
      </c>
      <c r="R2375">
        <v>2.3353369999999998E-3</v>
      </c>
      <c r="S2375">
        <v>-3.1128849999999999</v>
      </c>
      <c r="T2375">
        <v>-0.72130640000000001</v>
      </c>
      <c r="U2375">
        <v>0.48178100000000001</v>
      </c>
      <c r="V2375">
        <v>-1.6721639999999999E-2</v>
      </c>
      <c r="W2375">
        <v>0.13646220000000001</v>
      </c>
      <c r="X2375">
        <v>0.9905041</v>
      </c>
      <c r="Y2375">
        <v>0.1310499</v>
      </c>
      <c r="Z2375">
        <v>1.0534470000000001E-2</v>
      </c>
      <c r="AA2375">
        <v>0.99131979999999997</v>
      </c>
      <c r="AB2375">
        <v>52</v>
      </c>
      <c r="AC2375">
        <v>-0.39909999999997497</v>
      </c>
      <c r="AD2375">
        <v>-0.214753</v>
      </c>
      <c r="AE2375">
        <v>0.13390000000003899</v>
      </c>
      <c r="AF2375">
        <v>0.100147593206733</v>
      </c>
      <c r="AG2375">
        <v>-0.214753</v>
      </c>
      <c r="AH2375">
        <v>0.31866528367318703</v>
      </c>
      <c r="AI2375">
        <v>122.737460166525</v>
      </c>
      <c r="AJ2375">
        <v>72.553523901914801</v>
      </c>
      <c r="AK2375">
        <v>0.397109499323063</v>
      </c>
      <c r="AL2375">
        <v>82.156819341992104</v>
      </c>
      <c r="AM2375">
        <v>90.9671725704995</v>
      </c>
      <c r="AN2375">
        <v>0.99999995869496805</v>
      </c>
    </row>
    <row r="2376" spans="1:40" x14ac:dyDescent="0.25">
      <c r="A2376" t="str">
        <f>"20190312172936936"</f>
        <v>20190312172936936</v>
      </c>
      <c r="B2376" t="str">
        <f>"1552382976929940"</f>
        <v>1552382976929940</v>
      </c>
      <c r="C2376" t="s">
        <v>40</v>
      </c>
      <c r="D2376">
        <v>3.43289</v>
      </c>
      <c r="E2376">
        <v>0.56251309999999999</v>
      </c>
      <c r="F2376" t="s">
        <v>42</v>
      </c>
      <c r="G2376">
        <v>-395.19940000000003</v>
      </c>
      <c r="H2376">
        <v>0.90434769999999998</v>
      </c>
      <c r="I2376">
        <v>285.16390000000001</v>
      </c>
      <c r="J2376">
        <v>-394.84429999999998</v>
      </c>
      <c r="K2376">
        <v>1.1092690000000001</v>
      </c>
      <c r="L2376">
        <v>285.03649999999999</v>
      </c>
      <c r="M2376">
        <v>-0.99970159999999997</v>
      </c>
      <c r="N2376">
        <v>0</v>
      </c>
      <c r="O2376">
        <v>1.9201599999999999E-2</v>
      </c>
      <c r="P2376">
        <v>-0.99270230000000004</v>
      </c>
      <c r="Q2376">
        <v>0.120483199999999</v>
      </c>
      <c r="R2376">
        <v>5.0790660000000001E-3</v>
      </c>
      <c r="S2376">
        <v>-3.110779</v>
      </c>
      <c r="T2376">
        <v>-0.73143669999999905</v>
      </c>
      <c r="U2376">
        <v>0.48876950000000002</v>
      </c>
      <c r="V2376">
        <v>-1.3980350000000001E-2</v>
      </c>
      <c r="W2376">
        <v>0.13545689999999999</v>
      </c>
      <c r="X2376">
        <v>0.99068460000000003</v>
      </c>
      <c r="Y2376">
        <v>0.1331851</v>
      </c>
      <c r="Z2376">
        <v>1.093007E-2</v>
      </c>
      <c r="AA2376">
        <v>0.99103090000000005</v>
      </c>
      <c r="AB2376">
        <v>52</v>
      </c>
      <c r="AC2376">
        <v>-0.35510000000004899</v>
      </c>
      <c r="AD2376">
        <v>-0.2049213</v>
      </c>
      <c r="AE2376">
        <v>0.127400000000022</v>
      </c>
      <c r="AF2376">
        <v>9.3091191075967597E-2</v>
      </c>
      <c r="AG2376">
        <v>-0.2049213</v>
      </c>
      <c r="AH2376">
        <v>0.27603766695042598</v>
      </c>
      <c r="AI2376">
        <v>125.124177191708</v>
      </c>
      <c r="AJ2376">
        <v>71.363789598305601</v>
      </c>
      <c r="AK2376">
        <v>0.356167801218845</v>
      </c>
      <c r="AL2376">
        <v>82.214958971346803</v>
      </c>
      <c r="AM2376">
        <v>90.808493323971305</v>
      </c>
      <c r="AN2376">
        <v>0.99999999931044603</v>
      </c>
    </row>
    <row r="2377" spans="1:40" x14ac:dyDescent="0.25">
      <c r="A2377" t="str">
        <f>"20190312172936960"</f>
        <v>20190312172936960</v>
      </c>
      <c r="B2377" t="str">
        <f>"1552382976949460"</f>
        <v>1552382976949460</v>
      </c>
      <c r="C2377" t="s">
        <v>40</v>
      </c>
      <c r="D2377">
        <v>3.4615</v>
      </c>
      <c r="E2377">
        <v>0.56298999999999999</v>
      </c>
      <c r="F2377" t="s">
        <v>42</v>
      </c>
      <c r="G2377">
        <v>-395.67140000000001</v>
      </c>
      <c r="H2377">
        <v>0.91361000000000003</v>
      </c>
      <c r="I2377">
        <v>285.16879999999998</v>
      </c>
      <c r="J2377">
        <v>-395.3854</v>
      </c>
      <c r="K2377">
        <v>1.109275</v>
      </c>
      <c r="L2377">
        <v>285.04689999999999</v>
      </c>
      <c r="M2377">
        <v>-0.99970159999999997</v>
      </c>
      <c r="N2377">
        <v>0</v>
      </c>
      <c r="O2377">
        <v>1.920117E-2</v>
      </c>
      <c r="P2377">
        <v>-0.99280959999999996</v>
      </c>
      <c r="Q2377">
        <v>0.11940050000000001</v>
      </c>
      <c r="R2377">
        <v>8.5183999999999902E-3</v>
      </c>
      <c r="S2377">
        <v>-3.1087950000000002</v>
      </c>
      <c r="T2377">
        <v>-0.73543080000000005</v>
      </c>
      <c r="U2377">
        <v>0.4961853</v>
      </c>
      <c r="V2377">
        <v>-1.0543729999999999E-2</v>
      </c>
      <c r="W2377">
        <v>0.13438530000000001</v>
      </c>
      <c r="X2377">
        <v>0.990873</v>
      </c>
      <c r="Y2377">
        <v>0.1354911</v>
      </c>
      <c r="Z2377">
        <v>1.126052E-2</v>
      </c>
      <c r="AA2377">
        <v>0.9907146</v>
      </c>
      <c r="AB2377">
        <v>52</v>
      </c>
      <c r="AC2377">
        <v>-0.28600000000000098</v>
      </c>
      <c r="AD2377">
        <v>-0.19566500000000001</v>
      </c>
      <c r="AE2377">
        <v>0.12189999999998199</v>
      </c>
      <c r="AF2377">
        <v>8.3364936227609598E-2</v>
      </c>
      <c r="AG2377">
        <v>-0.19566500000000001</v>
      </c>
      <c r="AH2377">
        <v>0.20649610199780299</v>
      </c>
      <c r="AI2377">
        <v>131.304066934069</v>
      </c>
      <c r="AJ2377">
        <v>68.015483344968004</v>
      </c>
      <c r="AK2377">
        <v>0.29643742165509401</v>
      </c>
      <c r="AL2377">
        <v>82.276923260027104</v>
      </c>
      <c r="AM2377">
        <v>90.609652730644996</v>
      </c>
      <c r="AN2377">
        <v>0.99999994061369901</v>
      </c>
    </row>
    <row r="2378" spans="1:40" x14ac:dyDescent="0.25">
      <c r="A2378" t="str">
        <f>"20190312172936982"</f>
        <v>20190312172936982</v>
      </c>
      <c r="B2378" t="str">
        <f>"1552382976969957"</f>
        <v>1552382976969957</v>
      </c>
      <c r="C2378" t="s">
        <v>40</v>
      </c>
      <c r="D2378">
        <v>3.4833189999999998</v>
      </c>
      <c r="E2378">
        <v>0.58720899999999998</v>
      </c>
      <c r="F2378" t="s">
        <v>42</v>
      </c>
      <c r="G2378">
        <v>-396.14609999999999</v>
      </c>
      <c r="H2378">
        <v>0.92845580000000005</v>
      </c>
      <c r="I2378">
        <v>285.17230000000001</v>
      </c>
      <c r="J2378">
        <v>-395.90179999999998</v>
      </c>
      <c r="K2378">
        <v>1.109278</v>
      </c>
      <c r="L2378">
        <v>285.05689999999998</v>
      </c>
      <c r="M2378">
        <v>-0.99970139999999996</v>
      </c>
      <c r="N2378">
        <v>0</v>
      </c>
      <c r="O2378">
        <v>1.920082E-2</v>
      </c>
      <c r="P2378">
        <v>-0.99295120000000003</v>
      </c>
      <c r="Q2378">
        <v>0.11786140000000001</v>
      </c>
      <c r="R2378">
        <v>1.2507870000000001E-2</v>
      </c>
      <c r="S2378">
        <v>-3.1061100000000001</v>
      </c>
      <c r="T2378">
        <v>-0.73840069999999902</v>
      </c>
      <c r="U2378">
        <v>0.5111694</v>
      </c>
      <c r="V2378">
        <v>-6.5572440000000003E-3</v>
      </c>
      <c r="W2378">
        <v>0.1328561</v>
      </c>
      <c r="X2378">
        <v>0.99111369999999999</v>
      </c>
      <c r="Y2378">
        <v>0.140127</v>
      </c>
      <c r="Z2378">
        <v>1.185012E-2</v>
      </c>
      <c r="AA2378">
        <v>0.99006260000000001</v>
      </c>
      <c r="AB2378">
        <v>52</v>
      </c>
      <c r="AC2378">
        <v>-0.24430000000000901</v>
      </c>
      <c r="AD2378">
        <v>-0.18082219999999999</v>
      </c>
      <c r="AE2378">
        <v>0.115400000000022</v>
      </c>
      <c r="AF2378">
        <v>7.6446780832768499E-2</v>
      </c>
      <c r="AG2378">
        <v>-0.18082219999999999</v>
      </c>
      <c r="AH2378">
        <v>0.17022632027373599</v>
      </c>
      <c r="AI2378">
        <v>134.09844725279299</v>
      </c>
      <c r="AJ2378">
        <v>65.815672482538005</v>
      </c>
      <c r="AK2378">
        <v>0.259841833480427</v>
      </c>
      <c r="AL2378">
        <v>82.365333656155798</v>
      </c>
      <c r="AM2378">
        <v>90.379065413828101</v>
      </c>
      <c r="AN2378">
        <v>1.00000005354188</v>
      </c>
    </row>
    <row r="2379" spans="1:40" x14ac:dyDescent="0.25">
      <c r="A2379" t="str">
        <f>"20190312172937003"</f>
        <v>20190312172937003</v>
      </c>
      <c r="B2379" t="str">
        <f>"1552382977000212"</f>
        <v>1552382977000212</v>
      </c>
      <c r="C2379" t="s">
        <v>40</v>
      </c>
      <c r="D2379">
        <v>3.4128250000000002</v>
      </c>
      <c r="E2379">
        <v>0.58616800000000002</v>
      </c>
      <c r="F2379" t="s">
        <v>42</v>
      </c>
      <c r="G2379">
        <v>-396.61720000000003</v>
      </c>
      <c r="H2379">
        <v>0.93472949999999999</v>
      </c>
      <c r="I2379">
        <v>285.22239999999999</v>
      </c>
      <c r="J2379">
        <v>-396.40440000000001</v>
      </c>
      <c r="K2379">
        <v>1.1092839999999999</v>
      </c>
      <c r="L2379">
        <v>285.06650000000002</v>
      </c>
      <c r="M2379">
        <v>-0.99970150000000002</v>
      </c>
      <c r="N2379">
        <v>0</v>
      </c>
      <c r="O2379">
        <v>1.9200419999999999E-2</v>
      </c>
      <c r="P2379">
        <v>-0.99320439999999999</v>
      </c>
      <c r="Q2379">
        <v>0.11525199999999999</v>
      </c>
      <c r="R2379">
        <v>1.6202620000000001E-2</v>
      </c>
      <c r="S2379">
        <v>-3.102112</v>
      </c>
      <c r="T2379">
        <v>-0.75693789999999905</v>
      </c>
      <c r="U2379">
        <v>0.71658330000000003</v>
      </c>
      <c r="V2379">
        <v>-2.8676740000000002E-3</v>
      </c>
      <c r="W2379">
        <v>0.13025680000000001</v>
      </c>
      <c r="X2379">
        <v>0.99147609999999997</v>
      </c>
      <c r="Y2379">
        <v>0.2012516</v>
      </c>
      <c r="Z2379">
        <v>1.9339329999999998E-2</v>
      </c>
      <c r="AA2379">
        <v>0.97934869999999996</v>
      </c>
      <c r="AB2379">
        <v>52</v>
      </c>
      <c r="AC2379">
        <v>-0.212800000000015</v>
      </c>
      <c r="AD2379">
        <v>-0.174554499999999</v>
      </c>
      <c r="AE2379">
        <v>0.155899999999974</v>
      </c>
      <c r="AF2379">
        <v>0.10556394315362699</v>
      </c>
      <c r="AG2379">
        <v>-0.174554499999999</v>
      </c>
      <c r="AH2379">
        <v>0.150053692467817</v>
      </c>
      <c r="AI2379">
        <v>133.57410777964</v>
      </c>
      <c r="AJ2379">
        <v>54.873314612033298</v>
      </c>
      <c r="AK2379">
        <v>0.253237300150705</v>
      </c>
      <c r="AL2379">
        <v>82.515567625042095</v>
      </c>
      <c r="AM2379">
        <v>90.165717720328402</v>
      </c>
      <c r="AN2379">
        <v>0.99999995718580903</v>
      </c>
    </row>
    <row r="2380" spans="1:40" x14ac:dyDescent="0.25">
      <c r="A2380" t="str">
        <f>"20190312172937027"</f>
        <v>20190312172937027</v>
      </c>
      <c r="B2380" t="str">
        <f>"1552382977020238"</f>
        <v>1552382977020238</v>
      </c>
      <c r="C2380" t="s">
        <v>40</v>
      </c>
      <c r="D2380">
        <v>3.441268</v>
      </c>
      <c r="E2380">
        <v>0.58543029999999996</v>
      </c>
      <c r="F2380" t="s">
        <v>42</v>
      </c>
      <c r="G2380">
        <v>-397.08670000000001</v>
      </c>
      <c r="H2380">
        <v>0.94010850000000001</v>
      </c>
      <c r="I2380">
        <v>285.2253</v>
      </c>
      <c r="J2380">
        <v>-396.92849999999999</v>
      </c>
      <c r="K2380">
        <v>1.1092879999999901</v>
      </c>
      <c r="L2380">
        <v>285.07659999999998</v>
      </c>
      <c r="M2380">
        <v>-0.99970139999999996</v>
      </c>
      <c r="N2380">
        <v>0</v>
      </c>
      <c r="O2380">
        <v>1.920009E-2</v>
      </c>
      <c r="P2380">
        <v>-0.99336460000000004</v>
      </c>
      <c r="Q2380">
        <v>0.1132235</v>
      </c>
      <c r="R2380">
        <v>2.018845E-2</v>
      </c>
      <c r="S2380">
        <v>-3.0979610000000002</v>
      </c>
      <c r="T2380">
        <v>-0.76818929999999996</v>
      </c>
      <c r="U2380">
        <v>0.71960449999999998</v>
      </c>
      <c r="V2380">
        <v>1.114894E-3</v>
      </c>
      <c r="W2380">
        <v>0.1282363</v>
      </c>
      <c r="X2380">
        <v>0.99174300000000004</v>
      </c>
      <c r="Y2380">
        <v>0.2022554</v>
      </c>
      <c r="Z2380">
        <v>1.9762729999999999E-2</v>
      </c>
      <c r="AA2380">
        <v>0.97913340000000004</v>
      </c>
      <c r="AB2380">
        <v>52</v>
      </c>
      <c r="AC2380">
        <v>-0.15820000000002199</v>
      </c>
      <c r="AD2380">
        <v>-0.16917949999999901</v>
      </c>
      <c r="AE2380">
        <v>0.14870000000001901</v>
      </c>
      <c r="AF2380">
        <v>9.0615237347373395E-2</v>
      </c>
      <c r="AG2380">
        <v>-0.16917949999999901</v>
      </c>
      <c r="AH2380">
        <v>0.100191919520715</v>
      </c>
      <c r="AI2380">
        <v>141.392420760134</v>
      </c>
      <c r="AJ2380">
        <v>47.8732854309998</v>
      </c>
      <c r="AK2380">
        <v>0.2164976794264</v>
      </c>
      <c r="AL2380">
        <v>82.632313181358995</v>
      </c>
      <c r="AM2380">
        <v>89.935589468345</v>
      </c>
      <c r="AN2380">
        <v>0.99999998483765995</v>
      </c>
    </row>
    <row r="2381" spans="1:40" x14ac:dyDescent="0.25">
      <c r="A2381" t="str">
        <f>"20190312172937048"</f>
        <v>20190312172937048</v>
      </c>
      <c r="B2381" t="str">
        <f>"1552382977039758"</f>
        <v>1552382977039758</v>
      </c>
      <c r="C2381" t="s">
        <v>40</v>
      </c>
      <c r="D2381">
        <v>3.4660630000000001</v>
      </c>
      <c r="E2381">
        <v>0.58449439999999997</v>
      </c>
      <c r="F2381" t="s">
        <v>42</v>
      </c>
      <c r="G2381">
        <v>-397.9819</v>
      </c>
      <c r="H2381">
        <v>0.845939</v>
      </c>
      <c r="I2381">
        <v>285.32420000000002</v>
      </c>
      <c r="J2381">
        <v>-397.45659999999998</v>
      </c>
      <c r="K2381">
        <v>1.109294</v>
      </c>
      <c r="L2381">
        <v>285.08679999999998</v>
      </c>
      <c r="M2381">
        <v>-0.99970130000000001</v>
      </c>
      <c r="N2381">
        <v>0</v>
      </c>
      <c r="O2381">
        <v>1.9199709999999998E-2</v>
      </c>
      <c r="P2381">
        <v>-0.9934866</v>
      </c>
      <c r="Q2381">
        <v>0.1115303</v>
      </c>
      <c r="R2381">
        <v>2.335651E-2</v>
      </c>
      <c r="S2381">
        <v>-3.0934140000000001</v>
      </c>
      <c r="T2381">
        <v>-0.77339530000000001</v>
      </c>
      <c r="U2381">
        <v>0.72644039999999999</v>
      </c>
      <c r="V2381">
        <v>4.2803059999999898E-3</v>
      </c>
      <c r="W2381">
        <v>0.12654879999999999</v>
      </c>
      <c r="X2381">
        <v>0.99195120000000003</v>
      </c>
      <c r="Y2381">
        <v>0.20447699999999999</v>
      </c>
      <c r="Z2381">
        <v>2.01859E-2</v>
      </c>
      <c r="AA2381">
        <v>0.97866319999999996</v>
      </c>
      <c r="AB2381">
        <v>52</v>
      </c>
      <c r="AC2381">
        <v>-0.52530000000001498</v>
      </c>
      <c r="AD2381">
        <v>-0.26335500000000001</v>
      </c>
      <c r="AE2381">
        <v>0.237400000000036</v>
      </c>
      <c r="AF2381">
        <v>0.18802563978493</v>
      </c>
      <c r="AG2381">
        <v>-0.26335500000000001</v>
      </c>
      <c r="AH2381">
        <v>0.43828491168681899</v>
      </c>
      <c r="AI2381">
        <v>118.90774601126699</v>
      </c>
      <c r="AJ2381">
        <v>66.780511712588705</v>
      </c>
      <c r="AK2381">
        <v>0.54479644001576799</v>
      </c>
      <c r="AL2381">
        <v>82.729794547648893</v>
      </c>
      <c r="AM2381">
        <v>89.752768133417803</v>
      </c>
      <c r="AN2381">
        <v>1.00000005149116</v>
      </c>
    </row>
    <row r="2382" spans="1:40" x14ac:dyDescent="0.25">
      <c r="A2382" t="str">
        <f>"20190312172937070"</f>
        <v>20190312172937070</v>
      </c>
      <c r="B2382" t="str">
        <f>"1552382977060256"</f>
        <v>1552382977060256</v>
      </c>
      <c r="C2382" t="s">
        <v>40</v>
      </c>
      <c r="D2382">
        <v>3.491959</v>
      </c>
      <c r="E2382">
        <v>0.58378859999999999</v>
      </c>
      <c r="F2382" t="s">
        <v>42</v>
      </c>
      <c r="G2382">
        <v>-398.45299999999997</v>
      </c>
      <c r="H2382">
        <v>0.85903130000000005</v>
      </c>
      <c r="I2382">
        <v>285.32190000000003</v>
      </c>
      <c r="J2382">
        <v>-397.96960000000001</v>
      </c>
      <c r="K2382">
        <v>1.1092900000000001</v>
      </c>
      <c r="L2382">
        <v>285.09660000000002</v>
      </c>
      <c r="M2382">
        <v>-0.99970139999999996</v>
      </c>
      <c r="N2382">
        <v>0</v>
      </c>
      <c r="O2382">
        <v>1.9199339999999999E-2</v>
      </c>
      <c r="P2382">
        <v>-0.99361960000000005</v>
      </c>
      <c r="Q2382">
        <v>0.1099189</v>
      </c>
      <c r="R2382">
        <v>2.5268849999999999E-2</v>
      </c>
      <c r="S2382">
        <v>-3.0896910000000002</v>
      </c>
      <c r="T2382">
        <v>-0.7760937</v>
      </c>
      <c r="U2382">
        <v>0.72790529999999998</v>
      </c>
      <c r="V2382">
        <v>6.1900130000000003E-3</v>
      </c>
      <c r="W2382">
        <v>0.1249424</v>
      </c>
      <c r="X2382">
        <v>0.99214469999999999</v>
      </c>
      <c r="Y2382">
        <v>0.20511180000000001</v>
      </c>
      <c r="Z2382">
        <v>2.0353920000000001E-2</v>
      </c>
      <c r="AA2382">
        <v>0.97852689999999998</v>
      </c>
      <c r="AB2382">
        <v>52</v>
      </c>
      <c r="AC2382">
        <v>-0.48340000000001698</v>
      </c>
      <c r="AD2382">
        <v>-0.250258699999999</v>
      </c>
      <c r="AE2382">
        <v>0.225300000000004</v>
      </c>
      <c r="AF2382">
        <v>0.17700254266204499</v>
      </c>
      <c r="AG2382">
        <v>-0.250258699999999</v>
      </c>
      <c r="AH2382">
        <v>0.39964074577286801</v>
      </c>
      <c r="AI2382">
        <v>119.793899350174</v>
      </c>
      <c r="AJ2382">
        <v>66.111248673578103</v>
      </c>
      <c r="AK2382">
        <v>0.50365865694576595</v>
      </c>
      <c r="AL2382">
        <v>82.822570623847</v>
      </c>
      <c r="AM2382">
        <v>89.642534986724399</v>
      </c>
      <c r="AN2382">
        <v>1.0000000126583899</v>
      </c>
    </row>
    <row r="2383" spans="1:40" x14ac:dyDescent="0.25">
      <c r="A2383" t="str">
        <f>"20190312172937093"</f>
        <v>20190312172937093</v>
      </c>
      <c r="B2383" t="str">
        <f>"1552382977079775"</f>
        <v>1552382977079775</v>
      </c>
      <c r="C2383" t="s">
        <v>40</v>
      </c>
      <c r="D2383">
        <v>3.456909</v>
      </c>
      <c r="E2383">
        <v>0.583391199999999</v>
      </c>
      <c r="F2383" t="s">
        <v>42</v>
      </c>
      <c r="G2383">
        <v>-398.92239999999998</v>
      </c>
      <c r="H2383">
        <v>0.86859949999999997</v>
      </c>
      <c r="I2383">
        <v>285.32139999999998</v>
      </c>
      <c r="J2383">
        <v>-398.48700000000002</v>
      </c>
      <c r="K2383">
        <v>1.1092959999999901</v>
      </c>
      <c r="L2383">
        <v>285.10660000000001</v>
      </c>
      <c r="M2383">
        <v>-0.99970130000000001</v>
      </c>
      <c r="N2383">
        <v>0</v>
      </c>
      <c r="O2383">
        <v>1.9199210000000001E-2</v>
      </c>
      <c r="P2383">
        <v>-0.99380840000000004</v>
      </c>
      <c r="Q2383">
        <v>0.1079866</v>
      </c>
      <c r="R2383">
        <v>2.6151799999999999E-2</v>
      </c>
      <c r="S2383">
        <v>-3.0870359999999999</v>
      </c>
      <c r="T2383">
        <v>-0.7798908</v>
      </c>
      <c r="U2383">
        <v>0.72729489999999997</v>
      </c>
      <c r="V2383">
        <v>7.0692419999999999E-3</v>
      </c>
      <c r="W2383">
        <v>0.1230142</v>
      </c>
      <c r="X2383">
        <v>0.99237969999999998</v>
      </c>
      <c r="Y2383">
        <v>0.20505590000000001</v>
      </c>
      <c r="Z2383">
        <v>2.0460820000000001E-2</v>
      </c>
      <c r="AA2383">
        <v>0.97853639999999997</v>
      </c>
      <c r="AB2383">
        <v>52</v>
      </c>
      <c r="AC2383">
        <v>-0.435400000000015</v>
      </c>
      <c r="AD2383">
        <v>-0.24069649999999901</v>
      </c>
      <c r="AE2383">
        <v>0.21479999999996799</v>
      </c>
      <c r="AF2383">
        <v>0.16567859484927799</v>
      </c>
      <c r="AG2383">
        <v>-0.24069649999999901</v>
      </c>
      <c r="AH2383">
        <v>0.35274446860582997</v>
      </c>
      <c r="AI2383">
        <v>121.700360975574</v>
      </c>
      <c r="AJ2383">
        <v>64.841285347001403</v>
      </c>
      <c r="AK2383">
        <v>0.45805333972747198</v>
      </c>
      <c r="AL2383">
        <v>82.933907018057297</v>
      </c>
      <c r="AM2383">
        <v>89.591858962850495</v>
      </c>
      <c r="AN2383">
        <v>0.99999996827809101</v>
      </c>
    </row>
    <row r="2384" spans="1:40" x14ac:dyDescent="0.25">
      <c r="A2384" t="str">
        <f>"20190312172937117"</f>
        <v>20190312172937117</v>
      </c>
      <c r="B2384" t="str">
        <f>"1552382977109562"</f>
        <v>1552382977109562</v>
      </c>
      <c r="C2384" t="s">
        <v>40</v>
      </c>
      <c r="D2384">
        <v>3.4346179999999999</v>
      </c>
      <c r="E2384">
        <v>0.57655369999999995</v>
      </c>
      <c r="F2384" t="s">
        <v>42</v>
      </c>
      <c r="G2384">
        <v>-399.392</v>
      </c>
      <c r="H2384">
        <v>0.87929749999999995</v>
      </c>
      <c r="I2384">
        <v>285.3202</v>
      </c>
      <c r="J2384">
        <v>-399.0394</v>
      </c>
      <c r="K2384">
        <v>1.1093040000000001</v>
      </c>
      <c r="L2384">
        <v>285.11720000000003</v>
      </c>
      <c r="M2384">
        <v>-0.99970119999999896</v>
      </c>
      <c r="N2384">
        <v>0</v>
      </c>
      <c r="O2384">
        <v>1.919885E-2</v>
      </c>
      <c r="P2384">
        <v>-0.99392619999999998</v>
      </c>
      <c r="Q2384">
        <v>0.10705340000000001</v>
      </c>
      <c r="R2384">
        <v>2.550185E-2</v>
      </c>
      <c r="S2384">
        <v>-3.084778</v>
      </c>
      <c r="T2384">
        <v>-0.78402349999999998</v>
      </c>
      <c r="U2384">
        <v>0.72610469999999905</v>
      </c>
      <c r="V2384">
        <v>6.4174879999999998E-3</v>
      </c>
      <c r="W2384">
        <v>0.12208380000000001</v>
      </c>
      <c r="X2384">
        <v>0.99249909999999997</v>
      </c>
      <c r="Y2384">
        <v>0.2047998</v>
      </c>
      <c r="Z2384">
        <v>2.0549600000000001E-2</v>
      </c>
      <c r="AA2384">
        <v>0.97858820000000002</v>
      </c>
      <c r="AB2384">
        <v>52</v>
      </c>
      <c r="AC2384">
        <v>-0.35259999999999497</v>
      </c>
      <c r="AD2384">
        <v>-0.2300065</v>
      </c>
      <c r="AE2384">
        <v>0.20299999999997401</v>
      </c>
      <c r="AF2384">
        <v>0.14867709675952201</v>
      </c>
      <c r="AG2384">
        <v>-0.2300065</v>
      </c>
      <c r="AH2384">
        <v>0.27010947377500899</v>
      </c>
      <c r="AI2384">
        <v>126.722510167076</v>
      </c>
      <c r="AJ2384">
        <v>61.1701740613494</v>
      </c>
      <c r="AK2384">
        <v>0.38466478519108399</v>
      </c>
      <c r="AL2384">
        <v>82.987620460235902</v>
      </c>
      <c r="AM2384">
        <v>89.629531298030003</v>
      </c>
      <c r="AN2384">
        <v>1.00000005093773</v>
      </c>
    </row>
    <row r="2385" spans="1:40" x14ac:dyDescent="0.25">
      <c r="A2385" t="str">
        <f>"20190312172937137"</f>
        <v>20190312172937137</v>
      </c>
      <c r="B2385" t="str">
        <f>"1552382977130060"</f>
        <v>1552382977130060</v>
      </c>
      <c r="C2385" t="s">
        <v>40</v>
      </c>
      <c r="D2385">
        <v>3.4546969999999999</v>
      </c>
      <c r="E2385">
        <v>0.57578399999999996</v>
      </c>
      <c r="F2385" t="s">
        <v>42</v>
      </c>
      <c r="G2385">
        <v>-399.86770000000001</v>
      </c>
      <c r="H2385">
        <v>0.90648220000000002</v>
      </c>
      <c r="I2385">
        <v>285.2971</v>
      </c>
      <c r="J2385">
        <v>-399.52780000000001</v>
      </c>
      <c r="K2385">
        <v>1.109307</v>
      </c>
      <c r="L2385">
        <v>285.1266</v>
      </c>
      <c r="M2385">
        <v>-0.99970119999999896</v>
      </c>
      <c r="N2385">
        <v>0</v>
      </c>
      <c r="O2385">
        <v>1.9198369999999999E-2</v>
      </c>
      <c r="P2385">
        <v>-0.99402690000000005</v>
      </c>
      <c r="Q2385">
        <v>0.1064112</v>
      </c>
      <c r="R2385">
        <v>2.42291E-2</v>
      </c>
      <c r="S2385">
        <v>-3.0824579999999999</v>
      </c>
      <c r="T2385">
        <v>-0.75472340000000004</v>
      </c>
      <c r="U2385">
        <v>0.66885380000000005</v>
      </c>
      <c r="V2385">
        <v>5.1434499999999999E-3</v>
      </c>
      <c r="W2385">
        <v>0.1214435</v>
      </c>
      <c r="X2385">
        <v>0.99258500000000005</v>
      </c>
      <c r="Y2385">
        <v>0.18847610000000001</v>
      </c>
      <c r="Z2385">
        <v>1.790812E-2</v>
      </c>
      <c r="AA2385">
        <v>0.98191450000000002</v>
      </c>
      <c r="AB2385">
        <v>52</v>
      </c>
      <c r="AC2385">
        <v>-0.33989999999999998</v>
      </c>
      <c r="AD2385">
        <v>-0.2028248</v>
      </c>
      <c r="AE2385">
        <v>0.17050000000000401</v>
      </c>
      <c r="AF2385">
        <v>0.12763220685916499</v>
      </c>
      <c r="AG2385">
        <v>-0.2028248</v>
      </c>
      <c r="AH2385">
        <v>0.267118492381613</v>
      </c>
      <c r="AI2385">
        <v>124.415675409153</v>
      </c>
      <c r="AJ2385">
        <v>64.461006659253798</v>
      </c>
      <c r="AK2385">
        <v>0.358859538949443</v>
      </c>
      <c r="AL2385">
        <v>83.024581478885807</v>
      </c>
      <c r="AM2385">
        <v>89.703103170555707</v>
      </c>
      <c r="AN2385">
        <v>0.99999998049757599</v>
      </c>
    </row>
    <row r="2386" spans="1:40" x14ac:dyDescent="0.25">
      <c r="A2386" t="str">
        <f>"20190312172937160"</f>
        <v>20190312172937160</v>
      </c>
      <c r="B2386" t="str">
        <f>"1552382977149577"</f>
        <v>1552382977149577</v>
      </c>
      <c r="C2386" t="s">
        <v>40</v>
      </c>
      <c r="D2386">
        <v>3.457551</v>
      </c>
      <c r="E2386">
        <v>0.57511540000000005</v>
      </c>
      <c r="F2386" t="s">
        <v>42</v>
      </c>
      <c r="G2386">
        <v>-400.33449999999999</v>
      </c>
      <c r="H2386">
        <v>0.91187750000000001</v>
      </c>
      <c r="I2386">
        <v>285.29919999999998</v>
      </c>
      <c r="J2386">
        <v>-400.06049999999999</v>
      </c>
      <c r="K2386">
        <v>1.1093120000000001</v>
      </c>
      <c r="L2386">
        <v>285.13679999999999</v>
      </c>
      <c r="M2386">
        <v>-0.99970119999999896</v>
      </c>
      <c r="N2386">
        <v>0</v>
      </c>
      <c r="O2386">
        <v>1.919802E-2</v>
      </c>
      <c r="P2386">
        <v>-0.99410520000000002</v>
      </c>
      <c r="Q2386">
        <v>0.10611370000000001</v>
      </c>
      <c r="R2386">
        <v>2.2250530000000001E-2</v>
      </c>
      <c r="S2386">
        <v>-3.0827939999999998</v>
      </c>
      <c r="T2386">
        <v>-0.75456690000000004</v>
      </c>
      <c r="U2386">
        <v>0.65740969999999999</v>
      </c>
      <c r="V2386">
        <v>3.1641260000000002E-3</v>
      </c>
      <c r="W2386">
        <v>0.1211462</v>
      </c>
      <c r="X2386">
        <v>0.9926296</v>
      </c>
      <c r="Y2386">
        <v>0.1850639</v>
      </c>
      <c r="Z2386">
        <v>1.7502179999999999E-2</v>
      </c>
      <c r="AA2386">
        <v>0.98257059999999996</v>
      </c>
      <c r="AB2386">
        <v>52</v>
      </c>
      <c r="AC2386">
        <v>-0.27400000000000002</v>
      </c>
      <c r="AD2386">
        <v>-0.19743450000000001</v>
      </c>
      <c r="AE2386">
        <v>0.162399999999991</v>
      </c>
      <c r="AF2386">
        <v>0.113499073349278</v>
      </c>
      <c r="AG2386">
        <v>-0.19743450000000001</v>
      </c>
      <c r="AH2386">
        <v>0.20015960794982701</v>
      </c>
      <c r="AI2386">
        <v>130.63086845258999</v>
      </c>
      <c r="AJ2386">
        <v>60.444905791651102</v>
      </c>
      <c r="AK2386">
        <v>0.30319348623613801</v>
      </c>
      <c r="AL2386">
        <v>83.041742134031594</v>
      </c>
      <c r="AM2386">
        <v>89.817363443903602</v>
      </c>
      <c r="AN2386">
        <v>0.99999996813197101</v>
      </c>
    </row>
    <row r="2387" spans="1:40" x14ac:dyDescent="0.25">
      <c r="A2387" t="str">
        <f>"20190312172937181"</f>
        <v>20190312172937181</v>
      </c>
      <c r="B2387" t="str">
        <f>"1552382977170074"</f>
        <v>1552382977170074</v>
      </c>
      <c r="C2387" t="s">
        <v>40</v>
      </c>
      <c r="D2387">
        <v>3.4874649999999998</v>
      </c>
      <c r="E2387">
        <v>0.5752853</v>
      </c>
      <c r="F2387" t="s">
        <v>42</v>
      </c>
      <c r="G2387">
        <v>-400.80509999999998</v>
      </c>
      <c r="H2387">
        <v>0.92753459999999999</v>
      </c>
      <c r="I2387">
        <v>285.29250000000002</v>
      </c>
      <c r="J2387">
        <v>-400.5505</v>
      </c>
      <c r="K2387">
        <v>1.109316</v>
      </c>
      <c r="L2387">
        <v>285.14620000000002</v>
      </c>
      <c r="M2387">
        <v>-0.99970119999999896</v>
      </c>
      <c r="N2387">
        <v>0</v>
      </c>
      <c r="O2387">
        <v>1.9197659999999998E-2</v>
      </c>
      <c r="P2387">
        <v>-0.994112</v>
      </c>
      <c r="Q2387">
        <v>0.1064228</v>
      </c>
      <c r="R2387">
        <v>2.038394E-2</v>
      </c>
      <c r="S2387">
        <v>-3.08371</v>
      </c>
      <c r="T2387">
        <v>-0.75269390000000003</v>
      </c>
      <c r="U2387">
        <v>0.6447754</v>
      </c>
      <c r="V2387">
        <v>1.2980940000000001E-3</v>
      </c>
      <c r="W2387">
        <v>0.1214539</v>
      </c>
      <c r="X2387">
        <v>0.99259620000000004</v>
      </c>
      <c r="Y2387">
        <v>0.18127650000000001</v>
      </c>
      <c r="Z2387">
        <v>1.7011200000000001E-2</v>
      </c>
      <c r="AA2387">
        <v>0.98328499999999996</v>
      </c>
      <c r="AB2387">
        <v>52</v>
      </c>
      <c r="AC2387">
        <v>-0.25459999999998201</v>
      </c>
      <c r="AD2387">
        <v>-0.18178140000000001</v>
      </c>
      <c r="AE2387">
        <v>0.14629999999999599</v>
      </c>
      <c r="AF2387">
        <v>0.10221302456567399</v>
      </c>
      <c r="AG2387">
        <v>-0.18178140000000001</v>
      </c>
      <c r="AH2387">
        <v>0.186057899373514</v>
      </c>
      <c r="AI2387">
        <v>130.57367859164</v>
      </c>
      <c r="AJ2387">
        <v>61.2173060913128</v>
      </c>
      <c r="AK2387">
        <v>0.27948080738417003</v>
      </c>
      <c r="AL2387">
        <v>83.023981124436304</v>
      </c>
      <c r="AM2387">
        <v>89.925069967817194</v>
      </c>
      <c r="AN2387">
        <v>0.99999997556384101</v>
      </c>
    </row>
    <row r="2388" spans="1:40" x14ac:dyDescent="0.25">
      <c r="A2388" t="str">
        <f>"20190312172937204"</f>
        <v>20190312172937204</v>
      </c>
      <c r="B2388" t="str">
        <f>"1552382977200330"</f>
        <v>1552382977200330</v>
      </c>
      <c r="C2388" t="s">
        <v>40</v>
      </c>
      <c r="D2388">
        <v>3.5017550000000002</v>
      </c>
      <c r="E2388">
        <v>0.5752121</v>
      </c>
      <c r="F2388" t="s">
        <v>42</v>
      </c>
      <c r="G2388">
        <v>-401.27190000000002</v>
      </c>
      <c r="H2388">
        <v>0.93362339999999999</v>
      </c>
      <c r="I2388">
        <v>285.2962</v>
      </c>
      <c r="J2388">
        <v>-401.06880000000001</v>
      </c>
      <c r="K2388">
        <v>1.109334</v>
      </c>
      <c r="L2388">
        <v>285.15620000000001</v>
      </c>
      <c r="M2388">
        <v>-0.99970130000000001</v>
      </c>
      <c r="N2388">
        <v>0</v>
      </c>
      <c r="O2388">
        <v>1.9197200000000001E-2</v>
      </c>
      <c r="P2388">
        <v>-0.99403319999999995</v>
      </c>
      <c r="Q2388">
        <v>0.1076135</v>
      </c>
      <c r="R2388">
        <v>1.782282E-2</v>
      </c>
      <c r="S2388">
        <v>-3.0851440000000001</v>
      </c>
      <c r="T2388">
        <v>-0.7514653</v>
      </c>
      <c r="U2388">
        <v>0.63961789999999996</v>
      </c>
      <c r="V2388">
        <v>-1.261004E-3</v>
      </c>
      <c r="W2388">
        <v>0.12264129999999999</v>
      </c>
      <c r="X2388">
        <v>0.99245019999999995</v>
      </c>
      <c r="Y2388">
        <v>0.17967139999999901</v>
      </c>
      <c r="Z2388">
        <v>1.6788790000000001E-2</v>
      </c>
      <c r="AA2388">
        <v>0.9835834</v>
      </c>
      <c r="AB2388">
        <v>52</v>
      </c>
      <c r="AC2388">
        <v>-0.203100000000006</v>
      </c>
      <c r="AD2388">
        <v>-0.17571059999999999</v>
      </c>
      <c r="AE2388">
        <v>0.139999999999986</v>
      </c>
      <c r="AF2388">
        <v>9.0272056748903595E-2</v>
      </c>
      <c r="AG2388">
        <v>-0.17571059999999999</v>
      </c>
      <c r="AH2388">
        <v>0.13649492278396999</v>
      </c>
      <c r="AI2388">
        <v>137.03614337879401</v>
      </c>
      <c r="AJ2388">
        <v>56.521010037077403</v>
      </c>
      <c r="AK2388">
        <v>0.24011273004120201</v>
      </c>
      <c r="AL2388">
        <v>82.955435422585097</v>
      </c>
      <c r="AM2388">
        <v>90.072799792139193</v>
      </c>
      <c r="AN2388">
        <v>0.999999939038407</v>
      </c>
    </row>
    <row r="2389" spans="1:40" x14ac:dyDescent="0.25">
      <c r="A2389" t="str">
        <f>"20190312172937227"</f>
        <v>20190312172937227</v>
      </c>
      <c r="B2389" t="str">
        <f>"1552382977219383"</f>
        <v>1552382977219383</v>
      </c>
      <c r="C2389" t="s">
        <v>40</v>
      </c>
      <c r="D2389">
        <v>3.8472499999999998</v>
      </c>
      <c r="E2389">
        <v>0.57530369999999997</v>
      </c>
      <c r="F2389" t="s">
        <v>42</v>
      </c>
      <c r="G2389">
        <v>-402.16250000000002</v>
      </c>
      <c r="H2389">
        <v>0.84502389999999905</v>
      </c>
      <c r="I2389">
        <v>285.3802</v>
      </c>
      <c r="J2389">
        <v>-401.61090000000002</v>
      </c>
      <c r="K2389">
        <v>1.109351</v>
      </c>
      <c r="L2389">
        <v>285.16660000000002</v>
      </c>
      <c r="M2389">
        <v>-0.99970139999999996</v>
      </c>
      <c r="N2389">
        <v>0</v>
      </c>
      <c r="O2389">
        <v>1.9196850000000001E-2</v>
      </c>
      <c r="P2389">
        <v>-0.99391399999999996</v>
      </c>
      <c r="Q2389">
        <v>0.109129</v>
      </c>
      <c r="R2389">
        <v>1.504458E-2</v>
      </c>
      <c r="S2389">
        <v>-3.087494</v>
      </c>
      <c r="T2389">
        <v>-0.74621530000000003</v>
      </c>
      <c r="U2389">
        <v>0.63092040000000005</v>
      </c>
      <c r="V2389">
        <v>-4.0357680000000003E-3</v>
      </c>
      <c r="W2389">
        <v>0.1241527</v>
      </c>
      <c r="X2389">
        <v>0.99225490000000005</v>
      </c>
      <c r="Y2389">
        <v>0.17700289999999999</v>
      </c>
      <c r="Z2389">
        <v>1.6352370000000001E-2</v>
      </c>
      <c r="AA2389">
        <v>0.98407449999999996</v>
      </c>
      <c r="AB2389">
        <v>52</v>
      </c>
      <c r="AC2389">
        <v>-0.55160000000000697</v>
      </c>
      <c r="AD2389">
        <v>-0.26432709999999998</v>
      </c>
      <c r="AE2389">
        <v>0.213599999999985</v>
      </c>
      <c r="AF2389">
        <v>0.169185826721551</v>
      </c>
      <c r="AG2389">
        <v>-0.26432709999999998</v>
      </c>
      <c r="AH2389">
        <v>0.46311925664834402</v>
      </c>
      <c r="AI2389">
        <v>118.19578465110099</v>
      </c>
      <c r="AJ2389">
        <v>69.931838591260203</v>
      </c>
      <c r="AK2389">
        <v>0.55943909913088796</v>
      </c>
      <c r="AL2389">
        <v>82.868171962317007</v>
      </c>
      <c r="AM2389">
        <v>90.233036086229703</v>
      </c>
      <c r="AN2389">
        <v>0.99999998345732399</v>
      </c>
    </row>
    <row r="2390" spans="1:40" x14ac:dyDescent="0.25">
      <c r="A2390" t="str">
        <f>"20190312172937249"</f>
        <v>20190312172937249</v>
      </c>
      <c r="B2390" t="str">
        <f>"1552382977239878"</f>
        <v>1552382977239878</v>
      </c>
      <c r="C2390" t="s">
        <v>40</v>
      </c>
      <c r="D2390">
        <v>3.4801690000000001</v>
      </c>
      <c r="E2390">
        <v>0.57517940000000001</v>
      </c>
      <c r="F2390" t="s">
        <v>42</v>
      </c>
      <c r="G2390">
        <v>-402.63339999999999</v>
      </c>
      <c r="H2390">
        <v>0.86460300000000001</v>
      </c>
      <c r="I2390">
        <v>285.37329999999997</v>
      </c>
      <c r="J2390">
        <v>-402.1148</v>
      </c>
      <c r="K2390">
        <v>1.109372</v>
      </c>
      <c r="L2390">
        <v>285.17630000000003</v>
      </c>
      <c r="M2390">
        <v>-0.99970130000000001</v>
      </c>
      <c r="N2390">
        <v>0</v>
      </c>
      <c r="O2390">
        <v>1.9196749999999999E-2</v>
      </c>
      <c r="P2390">
        <v>-0.99372760000000004</v>
      </c>
      <c r="Q2390">
        <v>0.11112229999999999</v>
      </c>
      <c r="R2390">
        <v>1.2537970000000001E-2</v>
      </c>
      <c r="S2390">
        <v>-3.0901489999999998</v>
      </c>
      <c r="T2390">
        <v>-0.73980369999999995</v>
      </c>
      <c r="U2390">
        <v>0.62365719999999902</v>
      </c>
      <c r="V2390">
        <v>-6.5379770000000004E-3</v>
      </c>
      <c r="W2390">
        <v>0.12614110000000001</v>
      </c>
      <c r="X2390">
        <v>0.9919907</v>
      </c>
      <c r="Y2390">
        <v>0.174754399999999</v>
      </c>
      <c r="Z2390">
        <v>1.594309E-2</v>
      </c>
      <c r="AA2390">
        <v>0.98448290000000005</v>
      </c>
      <c r="AB2390">
        <v>52</v>
      </c>
      <c r="AC2390">
        <v>-0.51859999999999196</v>
      </c>
      <c r="AD2390">
        <v>-0.24476899999999999</v>
      </c>
      <c r="AE2390">
        <v>0.196999999999945</v>
      </c>
      <c r="AF2390">
        <v>0.15653402439195899</v>
      </c>
      <c r="AG2390">
        <v>-0.24476899999999999</v>
      </c>
      <c r="AH2390">
        <v>0.43717921568347001</v>
      </c>
      <c r="AI2390">
        <v>117.79427228149</v>
      </c>
      <c r="AJ2390">
        <v>70.299860259520997</v>
      </c>
      <c r="AK2390">
        <v>0.52491945170564702</v>
      </c>
      <c r="AL2390">
        <v>82.753341897929303</v>
      </c>
      <c r="AM2390">
        <v>90.377617516814098</v>
      </c>
      <c r="AN2390">
        <v>0.99999993556947397</v>
      </c>
    </row>
    <row r="2391" spans="1:40" x14ac:dyDescent="0.25">
      <c r="A2391" t="str">
        <f>"20190312172937272"</f>
        <v>20190312172937272</v>
      </c>
      <c r="B2391" t="str">
        <f>"1552382977259399"</f>
        <v>1552382977259399</v>
      </c>
      <c r="C2391" t="s">
        <v>40</v>
      </c>
      <c r="D2391">
        <v>3.5213019999999902</v>
      </c>
      <c r="E2391">
        <v>0.57540769999999997</v>
      </c>
      <c r="F2391" t="s">
        <v>42</v>
      </c>
      <c r="G2391">
        <v>-403.10070000000002</v>
      </c>
      <c r="H2391">
        <v>0.87618779999999996</v>
      </c>
      <c r="I2391">
        <v>285.37270000000001</v>
      </c>
      <c r="J2391">
        <v>-402.63130000000001</v>
      </c>
      <c r="K2391">
        <v>1.1093820000000001</v>
      </c>
      <c r="L2391">
        <v>285.18619999999999</v>
      </c>
      <c r="M2391">
        <v>-0.99970139999999996</v>
      </c>
      <c r="N2391">
        <v>0</v>
      </c>
      <c r="O2391">
        <v>1.919622E-2</v>
      </c>
      <c r="P2391">
        <v>-0.99349710000000002</v>
      </c>
      <c r="Q2391">
        <v>0.1134</v>
      </c>
      <c r="R2391">
        <v>1.02177E-2</v>
      </c>
      <c r="S2391">
        <v>-3.0930179999999998</v>
      </c>
      <c r="T2391">
        <v>-0.73161359999999998</v>
      </c>
      <c r="U2391">
        <v>0.61532589999999998</v>
      </c>
      <c r="V2391">
        <v>-8.8531440000000003E-3</v>
      </c>
      <c r="W2391">
        <v>0.1284122</v>
      </c>
      <c r="X2391">
        <v>0.99168129999999999</v>
      </c>
      <c r="Y2391">
        <v>0.17219209999999999</v>
      </c>
      <c r="Z2391">
        <v>1.546519E-2</v>
      </c>
      <c r="AA2391">
        <v>0.98494199999999998</v>
      </c>
      <c r="AB2391">
        <v>52</v>
      </c>
      <c r="AC2391">
        <v>-0.46940000000000698</v>
      </c>
      <c r="AD2391">
        <v>-0.23319419999999899</v>
      </c>
      <c r="AE2391">
        <v>0.18650000000002301</v>
      </c>
      <c r="AF2391">
        <v>0.14627483476763301</v>
      </c>
      <c r="AG2391">
        <v>-0.23319419999999899</v>
      </c>
      <c r="AH2391">
        <v>0.38980543051146999</v>
      </c>
      <c r="AI2391">
        <v>119.253019822683</v>
      </c>
      <c r="AJ2391">
        <v>69.431353129251505</v>
      </c>
      <c r="AK2391">
        <v>0.47720450108540602</v>
      </c>
      <c r="AL2391">
        <v>82.622150471801902</v>
      </c>
      <c r="AM2391">
        <v>90.511489237133105</v>
      </c>
      <c r="AN2391">
        <v>0.99999993601860504</v>
      </c>
    </row>
    <row r="2392" spans="1:40" x14ac:dyDescent="0.25">
      <c r="A2392" t="str">
        <f>"20190312172937294"</f>
        <v>20190312172937294</v>
      </c>
      <c r="B2392" t="str">
        <f>"1552382977289655"</f>
        <v>1552382977289655</v>
      </c>
      <c r="C2392" t="s">
        <v>40</v>
      </c>
      <c r="D2392">
        <v>3.4755069999999999</v>
      </c>
      <c r="E2392">
        <v>0.5758219</v>
      </c>
      <c r="F2392" t="s">
        <v>42</v>
      </c>
      <c r="G2392">
        <v>-403.56880000000001</v>
      </c>
      <c r="H2392">
        <v>0.89022019999999902</v>
      </c>
      <c r="I2392">
        <v>285.37139999999999</v>
      </c>
      <c r="J2392">
        <v>-403.14960000000002</v>
      </c>
      <c r="K2392">
        <v>1.109391</v>
      </c>
      <c r="L2392">
        <v>285.1961</v>
      </c>
      <c r="M2392">
        <v>-0.99970139999999996</v>
      </c>
      <c r="N2392">
        <v>0</v>
      </c>
      <c r="O2392">
        <v>1.9195879999999998E-2</v>
      </c>
      <c r="P2392">
        <v>-0.99324800000000002</v>
      </c>
      <c r="Q2392">
        <v>0.1157412</v>
      </c>
      <c r="R2392">
        <v>7.9178809999999999E-3</v>
      </c>
      <c r="S2392">
        <v>-3.0960390000000002</v>
      </c>
      <c r="T2392">
        <v>-0.72377049999999998</v>
      </c>
      <c r="U2392">
        <v>0.61071779999999998</v>
      </c>
      <c r="V2392">
        <v>-1.114736E-2</v>
      </c>
      <c r="W2392">
        <v>0.13074649999999999</v>
      </c>
      <c r="X2392">
        <v>0.99135320000000005</v>
      </c>
      <c r="Y2392">
        <v>0.17072709999999999</v>
      </c>
      <c r="Z2392">
        <v>1.5124139999999999E-2</v>
      </c>
      <c r="AA2392">
        <v>0.98520229999999998</v>
      </c>
      <c r="AB2392">
        <v>52</v>
      </c>
      <c r="AC2392">
        <v>-0.41919999999998903</v>
      </c>
      <c r="AD2392">
        <v>-0.2191708</v>
      </c>
      <c r="AE2392">
        <v>0.17529999999999199</v>
      </c>
      <c r="AF2392">
        <v>0.13565711769178801</v>
      </c>
      <c r="AG2392">
        <v>-0.2191708</v>
      </c>
      <c r="AH2392">
        <v>0.34274354031346099</v>
      </c>
      <c r="AI2392">
        <v>120.734930100772</v>
      </c>
      <c r="AJ2392">
        <v>68.406452810231301</v>
      </c>
      <c r="AK2392">
        <v>0.42884942296765299</v>
      </c>
      <c r="AL2392">
        <v>82.487268481711297</v>
      </c>
      <c r="AM2392">
        <v>90.644240381378694</v>
      </c>
      <c r="AN2392">
        <v>1.00000003902372</v>
      </c>
    </row>
    <row r="2393" spans="1:40" x14ac:dyDescent="0.25">
      <c r="A2393" t="str">
        <f>"20190312172937438"</f>
        <v>20190312172937438</v>
      </c>
      <c r="B2393" t="str">
        <f>"1552382977430199"</f>
        <v>1552382977430199</v>
      </c>
      <c r="C2393" t="s">
        <v>40</v>
      </c>
      <c r="D2393">
        <v>3.590427</v>
      </c>
      <c r="E2393">
        <v>0.50269090000000005</v>
      </c>
      <c r="F2393" t="s">
        <v>42</v>
      </c>
      <c r="G2393">
        <v>-406.8116</v>
      </c>
      <c r="H2393">
        <v>0.92752749999999995</v>
      </c>
      <c r="I2393">
        <v>285.29820000000001</v>
      </c>
      <c r="J2393">
        <v>-406.4932</v>
      </c>
      <c r="K2393">
        <v>1.1093980000000001</v>
      </c>
      <c r="L2393">
        <v>285.2602</v>
      </c>
      <c r="M2393">
        <v>-0.99970179999999997</v>
      </c>
      <c r="N2393">
        <v>0</v>
      </c>
      <c r="O2393">
        <v>1.9193689999999999E-2</v>
      </c>
      <c r="P2393">
        <v>-0.99250859999999996</v>
      </c>
      <c r="Q2393">
        <v>0.1221045</v>
      </c>
      <c r="R2393">
        <v>-4.1688309999999996E-3</v>
      </c>
      <c r="S2393">
        <v>-3.1055600000000001</v>
      </c>
      <c r="T2393">
        <v>-0.68060120000000002</v>
      </c>
      <c r="U2393">
        <v>0.177948</v>
      </c>
      <c r="V2393">
        <v>-2.3215380000000001E-2</v>
      </c>
      <c r="W2393">
        <v>0.13707720000000001</v>
      </c>
      <c r="X2393">
        <v>0.99028830000000001</v>
      </c>
      <c r="Y2393">
        <v>3.7595799999999999E-2</v>
      </c>
      <c r="Z2393" s="1">
        <v>-8.5372480000000002E-5</v>
      </c>
      <c r="AA2393">
        <v>0.99929299999999999</v>
      </c>
      <c r="AB2393">
        <v>51</v>
      </c>
      <c r="AC2393">
        <v>-0.31839999999999602</v>
      </c>
      <c r="AD2393">
        <v>-0.18187049999999999</v>
      </c>
      <c r="AE2393">
        <v>3.80000000000109E-2</v>
      </c>
      <c r="AF2393">
        <v>2.4121432940277101E-2</v>
      </c>
      <c r="AG2393">
        <v>-0.18187049999999999</v>
      </c>
      <c r="AH2393">
        <v>0.24141140148135101</v>
      </c>
      <c r="AI2393">
        <v>126.8563495528</v>
      </c>
      <c r="AJ2393">
        <v>84.294037833782596</v>
      </c>
      <c r="AK2393">
        <v>0.30321310503098697</v>
      </c>
      <c r="AL2393">
        <v>82.121248614046493</v>
      </c>
      <c r="AM2393">
        <v>91.342941951548994</v>
      </c>
      <c r="AN2393">
        <v>1.00000001487263</v>
      </c>
    </row>
    <row r="2394" spans="1:40" x14ac:dyDescent="0.25">
      <c r="A2394" t="str">
        <f>"20190312172937461"</f>
        <v>20190312172937461</v>
      </c>
      <c r="B2394" t="str">
        <f>"1552382977449718"</f>
        <v>1552382977449718</v>
      </c>
      <c r="C2394" t="s">
        <v>40</v>
      </c>
      <c r="D2394">
        <v>3.7588550000000001</v>
      </c>
      <c r="E2394">
        <v>0.50468020000000002</v>
      </c>
      <c r="F2394" t="s">
        <v>47</v>
      </c>
      <c r="G2394">
        <v>-449.36900000000003</v>
      </c>
      <c r="H2394" s="1">
        <v>3.4200759999999998E-6</v>
      </c>
      <c r="I2394">
        <v>285.2758</v>
      </c>
      <c r="J2394">
        <v>-407.005</v>
      </c>
      <c r="K2394">
        <v>1.109405</v>
      </c>
      <c r="L2394">
        <v>285.27</v>
      </c>
      <c r="M2394">
        <v>-0.99970190000000003</v>
      </c>
      <c r="N2394">
        <v>0</v>
      </c>
      <c r="O2394">
        <v>1.9193410000000001E-2</v>
      </c>
      <c r="P2394">
        <v>-0.99234840000000002</v>
      </c>
      <c r="Q2394">
        <v>0.1233785</v>
      </c>
      <c r="R2394">
        <v>-4.7703049999999999E-3</v>
      </c>
      <c r="S2394">
        <v>-3.0323180000000001</v>
      </c>
      <c r="T2394">
        <v>-7.8460100000000005E-2</v>
      </c>
      <c r="U2394">
        <v>1.0986329999999999E-3</v>
      </c>
      <c r="V2394">
        <v>-2.3812719999999999E-2</v>
      </c>
      <c r="W2394">
        <v>0.1383462</v>
      </c>
      <c r="X2394">
        <v>0.99009760000000002</v>
      </c>
      <c r="Y2394">
        <v>-1.8820630000000001E-2</v>
      </c>
      <c r="Z2394">
        <v>-7.4002020000000005E-4</v>
      </c>
      <c r="AA2394">
        <v>0.99982260000000001</v>
      </c>
      <c r="AB2394">
        <v>51</v>
      </c>
      <c r="AC2394">
        <v>-42.363999999999997</v>
      </c>
      <c r="AD2394">
        <v>-1.109401579924</v>
      </c>
      <c r="AE2394">
        <v>5.8000000000220098E-3</v>
      </c>
      <c r="AF2394">
        <v>-0.80684996800268705</v>
      </c>
      <c r="AG2394">
        <v>-1.109401579924</v>
      </c>
      <c r="AH2394">
        <v>42.327278542732302</v>
      </c>
      <c r="AI2394">
        <v>91.501110951470594</v>
      </c>
      <c r="AJ2394">
        <v>91.092049886273401</v>
      </c>
      <c r="AK2394">
        <v>42.349501621275898</v>
      </c>
      <c r="AL2394">
        <v>82.0478406405269</v>
      </c>
      <c r="AM2394">
        <v>91.377748391021299</v>
      </c>
      <c r="AN2394">
        <v>0.999999987106999</v>
      </c>
    </row>
    <row r="2395" spans="1:40" x14ac:dyDescent="0.25">
      <c r="A2395" t="str">
        <f>"20190312172937483"</f>
        <v>20190312172937483</v>
      </c>
      <c r="B2395" t="str">
        <f>"1552382977479974"</f>
        <v>1552382977479974</v>
      </c>
      <c r="C2395" t="s">
        <v>40</v>
      </c>
      <c r="D2395">
        <v>3.6373890000000002</v>
      </c>
      <c r="E2395">
        <v>0.50473100000000004</v>
      </c>
      <c r="F2395" t="s">
        <v>47</v>
      </c>
      <c r="G2395">
        <v>-461.65609999999998</v>
      </c>
      <c r="H2395" s="1">
        <v>-6.9624840000000002E-7</v>
      </c>
      <c r="I2395">
        <v>285.54849999999999</v>
      </c>
      <c r="J2395">
        <v>-407.50760000000002</v>
      </c>
      <c r="K2395">
        <v>1.1094079999999999</v>
      </c>
      <c r="L2395">
        <v>285.27969999999999</v>
      </c>
      <c r="M2395">
        <v>-0.99970190000000003</v>
      </c>
      <c r="N2395">
        <v>0</v>
      </c>
      <c r="O2395">
        <v>1.9193080000000001E-2</v>
      </c>
      <c r="P2395">
        <v>-0.992197</v>
      </c>
      <c r="Q2395">
        <v>0.1245624</v>
      </c>
      <c r="R2395">
        <v>-5.4466580000000001E-3</v>
      </c>
      <c r="S2395">
        <v>-3.030853</v>
      </c>
      <c r="T2395">
        <v>-6.1525700000000003E-2</v>
      </c>
      <c r="U2395">
        <v>1.544189E-2</v>
      </c>
      <c r="V2395">
        <v>-2.4485639999999999E-2</v>
      </c>
      <c r="W2395">
        <v>0.13952439999999999</v>
      </c>
      <c r="X2395">
        <v>0.98991580000000001</v>
      </c>
      <c r="Y2395">
        <v>-1.4094260000000001E-2</v>
      </c>
      <c r="Z2395">
        <v>-5.3263430000000003E-4</v>
      </c>
      <c r="AA2395">
        <v>0.99990049999999997</v>
      </c>
      <c r="AB2395">
        <v>51</v>
      </c>
      <c r="AC2395">
        <v>-54.148499999999899</v>
      </c>
      <c r="AD2395">
        <v>-1.1094086962484</v>
      </c>
      <c r="AE2395">
        <v>0.26879999999999798</v>
      </c>
      <c r="AF2395">
        <v>-0.77032102985366202</v>
      </c>
      <c r="AG2395">
        <v>-1.1094086962484</v>
      </c>
      <c r="AH2395">
        <v>54.120965299265798</v>
      </c>
      <c r="AI2395">
        <v>91.174204853340697</v>
      </c>
      <c r="AJ2395">
        <v>90.815454113269496</v>
      </c>
      <c r="AK2395">
        <v>54.137815499599498</v>
      </c>
      <c r="AL2395">
        <v>81.979673311207307</v>
      </c>
      <c r="AM2395">
        <v>91.416926390680601</v>
      </c>
      <c r="AN2395">
        <v>0.99999994792560298</v>
      </c>
    </row>
    <row r="2396" spans="1:40" x14ac:dyDescent="0.25">
      <c r="A2396" t="str">
        <f>"20190312172937506"</f>
        <v>20190312172937506</v>
      </c>
      <c r="B2396" t="str">
        <f>"1552382977499495"</f>
        <v>1552382977499495</v>
      </c>
      <c r="C2396" t="s">
        <v>40</v>
      </c>
      <c r="D2396">
        <v>3.6657920000000002</v>
      </c>
      <c r="E2396">
        <v>0.5048473</v>
      </c>
      <c r="F2396" t="s">
        <v>47</v>
      </c>
      <c r="G2396">
        <v>-456.51260000000002</v>
      </c>
      <c r="H2396" s="1">
        <v>1.890303E-6</v>
      </c>
      <c r="I2396">
        <v>285.4991</v>
      </c>
      <c r="J2396">
        <v>-408.02679999999998</v>
      </c>
      <c r="K2396">
        <v>1.109426</v>
      </c>
      <c r="L2396">
        <v>285.28969999999998</v>
      </c>
      <c r="M2396">
        <v>-0.99970190000000003</v>
      </c>
      <c r="N2396">
        <v>0</v>
      </c>
      <c r="O2396">
        <v>1.919274E-2</v>
      </c>
      <c r="P2396">
        <v>-0.99210759999999998</v>
      </c>
      <c r="Q2396">
        <v>0.1252423</v>
      </c>
      <c r="R2396">
        <v>-6.0757459999999999E-3</v>
      </c>
      <c r="S2396">
        <v>-3.0322879999999999</v>
      </c>
      <c r="T2396">
        <v>-6.8646910000000005E-2</v>
      </c>
      <c r="U2396">
        <v>1.358032E-2</v>
      </c>
      <c r="V2396">
        <v>-2.51129E-2</v>
      </c>
      <c r="W2396">
        <v>0.14019999999999999</v>
      </c>
      <c r="X2396">
        <v>0.98980469999999998</v>
      </c>
      <c r="Y2396">
        <v>-1.470835E-2</v>
      </c>
      <c r="Z2396">
        <v>-6.0093120000000004E-4</v>
      </c>
      <c r="AA2396">
        <v>0.99989159999999999</v>
      </c>
      <c r="AB2396">
        <v>51</v>
      </c>
      <c r="AC2396">
        <v>-48.485799999999998</v>
      </c>
      <c r="AD2396">
        <v>-1.1094241096969999</v>
      </c>
      <c r="AE2396">
        <v>0.20940000000001599</v>
      </c>
      <c r="AF2396">
        <v>-0.72094247090770902</v>
      </c>
      <c r="AG2396">
        <v>-1.1094241096969999</v>
      </c>
      <c r="AH2396">
        <v>48.4555175401537</v>
      </c>
      <c r="AI2396">
        <v>91.311454047035099</v>
      </c>
      <c r="AJ2396">
        <v>90.852408876096305</v>
      </c>
      <c r="AK2396">
        <v>48.473577957333397</v>
      </c>
      <c r="AL2396">
        <v>81.940580623392293</v>
      </c>
      <c r="AM2396">
        <v>91.453372125313095</v>
      </c>
      <c r="AN2396">
        <v>1.0000000209442499</v>
      </c>
    </row>
    <row r="2397" spans="1:40" x14ac:dyDescent="0.25">
      <c r="A2397" t="str">
        <f>"20190312172937528"</f>
        <v>20190312172937528</v>
      </c>
      <c r="B2397" t="str">
        <f>"1552382977519991"</f>
        <v>1552382977519991</v>
      </c>
      <c r="C2397" t="s">
        <v>40</v>
      </c>
      <c r="D2397">
        <v>3.6449009999999999</v>
      </c>
      <c r="E2397">
        <v>0.50489479999999998</v>
      </c>
      <c r="F2397" t="s">
        <v>47</v>
      </c>
      <c r="G2397">
        <v>-451.49689999999998</v>
      </c>
      <c r="H2397" s="1">
        <v>-7.7708689999999996E-7</v>
      </c>
      <c r="I2397">
        <v>285.46019999999999</v>
      </c>
      <c r="J2397">
        <v>-408.5369</v>
      </c>
      <c r="K2397">
        <v>1.10945</v>
      </c>
      <c r="L2397">
        <v>285.29939999999999</v>
      </c>
      <c r="M2397">
        <v>-0.99970190000000003</v>
      </c>
      <c r="N2397">
        <v>0</v>
      </c>
      <c r="O2397">
        <v>1.919247E-2</v>
      </c>
      <c r="P2397">
        <v>-0.99197279999999999</v>
      </c>
      <c r="Q2397">
        <v>0.12628900000000001</v>
      </c>
      <c r="R2397">
        <v>-6.4052190000000002E-3</v>
      </c>
      <c r="S2397">
        <v>-3.033722</v>
      </c>
      <c r="T2397">
        <v>-7.7425359999999999E-2</v>
      </c>
      <c r="U2397">
        <v>1.190186E-2</v>
      </c>
      <c r="V2397">
        <v>-2.5439010000000001E-2</v>
      </c>
      <c r="W2397">
        <v>0.14124149999999999</v>
      </c>
      <c r="X2397">
        <v>0.98964830000000004</v>
      </c>
      <c r="Y2397">
        <v>-1.5260849999999999E-2</v>
      </c>
      <c r="Z2397">
        <v>-6.8447699999999996E-4</v>
      </c>
      <c r="AA2397">
        <v>0.99988330000000003</v>
      </c>
      <c r="AB2397">
        <v>51</v>
      </c>
      <c r="AC2397">
        <v>-42.959999999999901</v>
      </c>
      <c r="AD2397">
        <v>-1.1094507770869</v>
      </c>
      <c r="AE2397">
        <v>0.160799999999994</v>
      </c>
      <c r="AF2397">
        <v>-0.66338961160530097</v>
      </c>
      <c r="AG2397">
        <v>-1.1094507770869</v>
      </c>
      <c r="AH2397">
        <v>42.926542713835197</v>
      </c>
      <c r="AI2397">
        <v>91.480322210595602</v>
      </c>
      <c r="AJ2397">
        <v>90.885382260990895</v>
      </c>
      <c r="AK2397">
        <v>42.946001399039297</v>
      </c>
      <c r="AL2397">
        <v>81.880307390548296</v>
      </c>
      <c r="AM2397">
        <v>91.472469572458905</v>
      </c>
      <c r="AN2397">
        <v>1.00000003112245</v>
      </c>
    </row>
    <row r="2398" spans="1:40" x14ac:dyDescent="0.25">
      <c r="A2398" t="str">
        <f>"20190312172937552"</f>
        <v>20190312172937552</v>
      </c>
      <c r="B2398" t="str">
        <f>"1552382977539511"</f>
        <v>1552382977539511</v>
      </c>
      <c r="C2398" t="s">
        <v>40</v>
      </c>
      <c r="D2398">
        <v>3.6523119999999998</v>
      </c>
      <c r="E2398">
        <v>0.50507440000000003</v>
      </c>
      <c r="F2398" t="s">
        <v>47</v>
      </c>
      <c r="G2398">
        <v>-449.42009999999999</v>
      </c>
      <c r="H2398" s="1">
        <v>3.4398990000000001E-6</v>
      </c>
      <c r="I2398">
        <v>285.44540000000001</v>
      </c>
      <c r="J2398">
        <v>-409.07029999999997</v>
      </c>
      <c r="K2398">
        <v>1.109478</v>
      </c>
      <c r="L2398">
        <v>285.30970000000002</v>
      </c>
      <c r="M2398">
        <v>-0.99970210000000004</v>
      </c>
      <c r="N2398">
        <v>0</v>
      </c>
      <c r="O2398">
        <v>1.9191949999999999E-2</v>
      </c>
      <c r="P2398">
        <v>-0.99171569999999998</v>
      </c>
      <c r="Q2398">
        <v>0.1283309</v>
      </c>
      <c r="R2398">
        <v>-5.6018619999999896E-3</v>
      </c>
      <c r="S2398">
        <v>-3.0348510000000002</v>
      </c>
      <c r="T2398">
        <v>-8.2356689999999996E-2</v>
      </c>
      <c r="U2398">
        <v>1.083374E-2</v>
      </c>
      <c r="V2398">
        <v>-2.4630429999999998E-2</v>
      </c>
      <c r="W2398">
        <v>0.14327670000000001</v>
      </c>
      <c r="X2398">
        <v>0.98937609999999998</v>
      </c>
      <c r="Y2398">
        <v>-1.56121E-2</v>
      </c>
      <c r="Z2398">
        <v>-7.3253789999999902E-4</v>
      </c>
      <c r="AA2398">
        <v>0.99987789999999999</v>
      </c>
      <c r="AB2398">
        <v>51</v>
      </c>
      <c r="AC2398">
        <v>-40.349800000000002</v>
      </c>
      <c r="AD2398">
        <v>-1.1094745601010001</v>
      </c>
      <c r="AE2398">
        <v>0.135699999999985</v>
      </c>
      <c r="AF2398">
        <v>-0.63832179973921099</v>
      </c>
      <c r="AG2398">
        <v>-1.1094745601010001</v>
      </c>
      <c r="AH2398">
        <v>40.314491703594001</v>
      </c>
      <c r="AI2398">
        <v>91.576212552934393</v>
      </c>
      <c r="AJ2398">
        <v>90.907120186714906</v>
      </c>
      <c r="AK2398">
        <v>40.334806679079101</v>
      </c>
      <c r="AL2398">
        <v>81.762500330221499</v>
      </c>
      <c r="AM2398">
        <v>91.426078775689106</v>
      </c>
      <c r="AN2398">
        <v>0.999999969048041</v>
      </c>
    </row>
    <row r="2399" spans="1:40" x14ac:dyDescent="0.25">
      <c r="A2399" t="str">
        <f>"20190312172937573"</f>
        <v>20190312172937573</v>
      </c>
      <c r="B2399" t="str">
        <f>"1552382977569767"</f>
        <v>1552382977569767</v>
      </c>
      <c r="C2399" t="s">
        <v>40</v>
      </c>
      <c r="D2399">
        <v>3.6474730000000002</v>
      </c>
      <c r="E2399">
        <v>0.50536270000000005</v>
      </c>
      <c r="F2399" t="s">
        <v>47</v>
      </c>
      <c r="G2399">
        <v>-449.245</v>
      </c>
      <c r="H2399" s="1">
        <v>3.3442390000000001E-6</v>
      </c>
      <c r="I2399">
        <v>285.50110000000001</v>
      </c>
      <c r="J2399">
        <v>-409.55860000000001</v>
      </c>
      <c r="K2399">
        <v>1.1094790000000001</v>
      </c>
      <c r="L2399">
        <v>285.31909999999999</v>
      </c>
      <c r="M2399">
        <v>-0.99970219999999999</v>
      </c>
      <c r="N2399">
        <v>0</v>
      </c>
      <c r="O2399">
        <v>1.9191679999999999E-2</v>
      </c>
      <c r="P2399">
        <v>-0.99145439999999996</v>
      </c>
      <c r="Q2399">
        <v>0.13034769999999901</v>
      </c>
      <c r="R2399">
        <v>-5.282821E-3</v>
      </c>
      <c r="S2399">
        <v>-3.0359500000000001</v>
      </c>
      <c r="T2399">
        <v>-8.3841680000000002E-2</v>
      </c>
      <c r="U2399">
        <v>1.446533E-2</v>
      </c>
      <c r="V2399">
        <v>-2.43062E-2</v>
      </c>
      <c r="W2399">
        <v>0.14528629999999901</v>
      </c>
      <c r="X2399">
        <v>0.98909100000000005</v>
      </c>
      <c r="Y2399">
        <v>-1.4417080000000001E-2</v>
      </c>
      <c r="Z2399">
        <v>-7.2896279999999896E-4</v>
      </c>
      <c r="AA2399">
        <v>0.9998958</v>
      </c>
      <c r="AB2399">
        <v>51</v>
      </c>
      <c r="AC2399">
        <v>-39.6863999999999</v>
      </c>
      <c r="AD2399">
        <v>-1.1094756557609999</v>
      </c>
      <c r="AE2399">
        <v>0.18200000000001601</v>
      </c>
      <c r="AF2399">
        <v>-0.57931600145798801</v>
      </c>
      <c r="AG2399">
        <v>-1.1094756557609999</v>
      </c>
      <c r="AH2399">
        <v>39.6515935680751</v>
      </c>
      <c r="AI2399">
        <v>91.602581560265193</v>
      </c>
      <c r="AJ2399">
        <v>90.837040771713006</v>
      </c>
      <c r="AK2399">
        <v>39.671342499946803</v>
      </c>
      <c r="AL2399">
        <v>81.646141072243495</v>
      </c>
      <c r="AM2399">
        <v>91.407719250053503</v>
      </c>
      <c r="AN2399">
        <v>0.99999995330356395</v>
      </c>
    </row>
    <row r="2400" spans="1:40" x14ac:dyDescent="0.25">
      <c r="A2400" t="str">
        <f>"20190312172937595"</f>
        <v>20190312172937595</v>
      </c>
      <c r="B2400" t="str">
        <f>"1552382977590263"</f>
        <v>1552382977590263</v>
      </c>
      <c r="C2400" t="s">
        <v>40</v>
      </c>
      <c r="D2400">
        <v>3.6738740000000001</v>
      </c>
      <c r="E2400">
        <v>0.50560669999999996</v>
      </c>
      <c r="F2400" t="s">
        <v>47</v>
      </c>
      <c r="G2400">
        <v>-448.84010000000001</v>
      </c>
      <c r="H2400" s="1">
        <v>3.1268560000000001E-6</v>
      </c>
      <c r="I2400">
        <v>285.54520000000002</v>
      </c>
      <c r="J2400">
        <v>-410.06760000000003</v>
      </c>
      <c r="K2400">
        <v>1.1094630000000001</v>
      </c>
      <c r="L2400">
        <v>285.32889999999998</v>
      </c>
      <c r="M2400">
        <v>-0.99970199999999998</v>
      </c>
      <c r="N2400">
        <v>0</v>
      </c>
      <c r="O2400">
        <v>1.919152E-2</v>
      </c>
      <c r="P2400">
        <v>-0.99129460000000003</v>
      </c>
      <c r="Q2400">
        <v>0.13155159999999999</v>
      </c>
      <c r="R2400">
        <v>-5.407963E-3</v>
      </c>
      <c r="S2400">
        <v>-3.037201</v>
      </c>
      <c r="T2400">
        <v>-8.5783479999999995E-2</v>
      </c>
      <c r="U2400">
        <v>1.748657E-2</v>
      </c>
      <c r="V2400">
        <v>-2.442824E-2</v>
      </c>
      <c r="W2400">
        <v>0.14648449999999999</v>
      </c>
      <c r="X2400">
        <v>0.98891130000000005</v>
      </c>
      <c r="Y2400">
        <v>-1.342408E-2</v>
      </c>
      <c r="Z2400">
        <v>-7.3150410000000004E-4</v>
      </c>
      <c r="AA2400">
        <v>0.99990959999999995</v>
      </c>
      <c r="AB2400">
        <v>51</v>
      </c>
      <c r="AC2400">
        <v>-38.772499999999901</v>
      </c>
      <c r="AD2400">
        <v>-1.109459873144</v>
      </c>
      <c r="AE2400">
        <v>0.21630000000004601</v>
      </c>
      <c r="AF2400">
        <v>-0.52749584941235905</v>
      </c>
      <c r="AG2400">
        <v>-1.109459873144</v>
      </c>
      <c r="AH2400">
        <v>38.7377917262625</v>
      </c>
      <c r="AI2400">
        <v>91.640364756939604</v>
      </c>
      <c r="AJ2400">
        <v>90.780153351333396</v>
      </c>
      <c r="AK2400">
        <v>38.757265911162399</v>
      </c>
      <c r="AL2400">
        <v>81.576747272632801</v>
      </c>
      <c r="AM2400">
        <v>91.415041443050697</v>
      </c>
      <c r="AN2400">
        <v>1.00000000345871</v>
      </c>
    </row>
    <row r="2401" spans="1:40" x14ac:dyDescent="0.25">
      <c r="A2401" t="str">
        <f>"20190312172937617"</f>
        <v>20190312172937617</v>
      </c>
      <c r="B2401" t="str">
        <f>"1552382977609782"</f>
        <v>1552382977609782</v>
      </c>
      <c r="C2401" t="s">
        <v>40</v>
      </c>
      <c r="D2401">
        <v>3.663179</v>
      </c>
      <c r="E2401">
        <v>0.50570139999999997</v>
      </c>
      <c r="F2401" t="s">
        <v>47</v>
      </c>
      <c r="G2401">
        <v>-449.13630000000001</v>
      </c>
      <c r="H2401" s="1">
        <v>3.2833369999999999E-6</v>
      </c>
      <c r="I2401">
        <v>285.57139999999998</v>
      </c>
      <c r="J2401">
        <v>-410.57339999999999</v>
      </c>
      <c r="K2401">
        <v>1.1094349999999999</v>
      </c>
      <c r="L2401">
        <v>285.33859999999999</v>
      </c>
      <c r="M2401">
        <v>-0.99970219999999999</v>
      </c>
      <c r="N2401">
        <v>0</v>
      </c>
      <c r="O2401">
        <v>1.919119E-2</v>
      </c>
      <c r="P2401">
        <v>-0.99126080000000005</v>
      </c>
      <c r="Q2401">
        <v>0.13177639999999999</v>
      </c>
      <c r="R2401">
        <v>-6.1014759999999998E-3</v>
      </c>
      <c r="S2401">
        <v>-3.0378720000000001</v>
      </c>
      <c r="T2401">
        <v>-8.6268540000000005E-2</v>
      </c>
      <c r="U2401">
        <v>1.8859859999999999E-2</v>
      </c>
      <c r="V2401">
        <v>-2.512058E-2</v>
      </c>
      <c r="W2401">
        <v>0.14670529999999901</v>
      </c>
      <c r="X2401">
        <v>0.9888612</v>
      </c>
      <c r="Y2401">
        <v>-1.297305E-2</v>
      </c>
      <c r="Z2401">
        <v>-7.290625E-4</v>
      </c>
      <c r="AA2401">
        <v>0.99991560000000002</v>
      </c>
      <c r="AB2401">
        <v>51</v>
      </c>
      <c r="AC2401">
        <v>-38.562899999999999</v>
      </c>
      <c r="AD2401">
        <v>-1.1094317166629999</v>
      </c>
      <c r="AE2401">
        <v>0.23279999999999701</v>
      </c>
      <c r="AF2401">
        <v>-0.50697531706561505</v>
      </c>
      <c r="AG2401">
        <v>-1.1094317166629999</v>
      </c>
      <c r="AH2401">
        <v>38.528376601495196</v>
      </c>
      <c r="AI2401">
        <v>91.649244083901905</v>
      </c>
      <c r="AJ2401">
        <v>90.753882520717397</v>
      </c>
      <c r="AK2401">
        <v>38.547680426358902</v>
      </c>
      <c r="AL2401">
        <v>81.563958006030703</v>
      </c>
      <c r="AM2401">
        <v>91.455202933829099</v>
      </c>
      <c r="AN2401">
        <v>0.99999998072653296</v>
      </c>
    </row>
    <row r="2402" spans="1:40" x14ac:dyDescent="0.25">
      <c r="A2402" t="str">
        <f>"20190312172937640"</f>
        <v>20190312172937640</v>
      </c>
      <c r="B2402" t="str">
        <f>"1552382977630279"</f>
        <v>1552382977630279</v>
      </c>
      <c r="C2402" t="s">
        <v>40</v>
      </c>
      <c r="D2402">
        <v>3.6988799999999999</v>
      </c>
      <c r="E2402">
        <v>0.50590559999999996</v>
      </c>
      <c r="F2402" t="s">
        <v>47</v>
      </c>
      <c r="G2402">
        <v>-448.15199999999999</v>
      </c>
      <c r="H2402" s="1">
        <v>2.7599399999999999E-6</v>
      </c>
      <c r="I2402">
        <v>285.56240000000003</v>
      </c>
      <c r="J2402">
        <v>-411.0917</v>
      </c>
      <c r="K2402">
        <v>1.109416</v>
      </c>
      <c r="L2402">
        <v>285.3485</v>
      </c>
      <c r="M2402">
        <v>-0.99970219999999999</v>
      </c>
      <c r="N2402">
        <v>0</v>
      </c>
      <c r="O2402">
        <v>1.9190740000000001E-2</v>
      </c>
      <c r="P2402">
        <v>-0.99136230000000003</v>
      </c>
      <c r="Q2402">
        <v>0.13093369999999999</v>
      </c>
      <c r="R2402">
        <v>-7.5682609999999997E-3</v>
      </c>
      <c r="S2402">
        <v>-3.0384829999999998</v>
      </c>
      <c r="T2402">
        <v>-8.9704989999999998E-2</v>
      </c>
      <c r="U2402">
        <v>1.8096919999999999E-2</v>
      </c>
      <c r="V2402">
        <v>-2.6588469999999999E-2</v>
      </c>
      <c r="W2402">
        <v>0.1458604</v>
      </c>
      <c r="X2402">
        <v>0.98894780000000004</v>
      </c>
      <c r="Y2402">
        <v>-1.3223749999999999E-2</v>
      </c>
      <c r="Z2402">
        <v>-7.6162679999999903E-4</v>
      </c>
      <c r="AA2402">
        <v>0.99991229999999998</v>
      </c>
      <c r="AB2402">
        <v>51</v>
      </c>
      <c r="AC2402">
        <v>-37.060299999999899</v>
      </c>
      <c r="AD2402">
        <v>-1.1094132400600001</v>
      </c>
      <c r="AE2402">
        <v>0.21390000000002299</v>
      </c>
      <c r="AF2402">
        <v>-0.49698944943961998</v>
      </c>
      <c r="AG2402">
        <v>-1.1094132400600001</v>
      </c>
      <c r="AH2402">
        <v>37.0244014144901</v>
      </c>
      <c r="AI2402">
        <v>91.716164455492304</v>
      </c>
      <c r="AJ2402">
        <v>90.769051942344703</v>
      </c>
      <c r="AK2402">
        <v>37.044353096678201</v>
      </c>
      <c r="AL2402">
        <v>81.612893591772306</v>
      </c>
      <c r="AM2402">
        <v>91.5400612811233</v>
      </c>
      <c r="AN2402">
        <v>0.99999997707497001</v>
      </c>
    </row>
    <row r="2403" spans="1:40" x14ac:dyDescent="0.25">
      <c r="A2403" t="str">
        <f>"20190312172937662"</f>
        <v>20190312172937662</v>
      </c>
      <c r="B2403" t="str">
        <f>"1552382977649802"</f>
        <v>1552382977649802</v>
      </c>
      <c r="C2403" t="s">
        <v>40</v>
      </c>
      <c r="D2403">
        <v>3.6909209999999999</v>
      </c>
      <c r="E2403">
        <v>0.50600800000000001</v>
      </c>
      <c r="F2403" t="s">
        <v>47</v>
      </c>
      <c r="G2403">
        <v>-446.28100000000001</v>
      </c>
      <c r="H2403" s="1">
        <v>1.7656920000000001E-6</v>
      </c>
      <c r="I2403">
        <v>285.5301</v>
      </c>
      <c r="J2403">
        <v>-411.59129999999999</v>
      </c>
      <c r="K2403">
        <v>1.1094029999999999</v>
      </c>
      <c r="L2403">
        <v>285.35809999999998</v>
      </c>
      <c r="M2403">
        <v>-0.99970230000000004</v>
      </c>
      <c r="N2403">
        <v>0</v>
      </c>
      <c r="O2403">
        <v>1.91904E-2</v>
      </c>
      <c r="P2403">
        <v>-0.99144880000000002</v>
      </c>
      <c r="Q2403">
        <v>0.13018389999999999</v>
      </c>
      <c r="R2403">
        <v>-9.0329350000000006E-3</v>
      </c>
      <c r="S2403">
        <v>-3.03891</v>
      </c>
      <c r="T2403">
        <v>-9.5807790000000004E-2</v>
      </c>
      <c r="U2403">
        <v>1.5686039999999998E-2</v>
      </c>
      <c r="V2403">
        <v>-2.80539E-2</v>
      </c>
      <c r="W2403">
        <v>0.145108399999999</v>
      </c>
      <c r="X2403">
        <v>0.98901799999999995</v>
      </c>
      <c r="Y2403">
        <v>-1.4015120000000001E-2</v>
      </c>
      <c r="Z2403">
        <v>-8.2576669999999896E-4</v>
      </c>
      <c r="AA2403">
        <v>0.99990140000000005</v>
      </c>
      <c r="AB2403">
        <v>51</v>
      </c>
      <c r="AC2403">
        <v>-34.689700000000002</v>
      </c>
      <c r="AD2403">
        <v>-1.109401234308</v>
      </c>
      <c r="AE2403">
        <v>0.17200000000002499</v>
      </c>
      <c r="AF2403">
        <v>-0.49331195429354902</v>
      </c>
      <c r="AG2403">
        <v>-1.109401234308</v>
      </c>
      <c r="AH2403">
        <v>34.651172308370398</v>
      </c>
      <c r="AI2403">
        <v>91.833584987026896</v>
      </c>
      <c r="AJ2403">
        <v>90.815637156448204</v>
      </c>
      <c r="AK2403">
        <v>34.6724367492005</v>
      </c>
      <c r="AL2403">
        <v>81.656443866858595</v>
      </c>
      <c r="AM2403">
        <v>91.624782544039405</v>
      </c>
      <c r="AN2403">
        <v>1.00000003668988</v>
      </c>
    </row>
    <row r="2404" spans="1:40" x14ac:dyDescent="0.25">
      <c r="A2404" t="str">
        <f>"20190312172937684"</f>
        <v>20190312172937684</v>
      </c>
      <c r="B2404" t="str">
        <f>"1552382977680055"</f>
        <v>1552382977680055</v>
      </c>
      <c r="C2404" t="s">
        <v>40</v>
      </c>
      <c r="D2404">
        <v>3.6984119999999998</v>
      </c>
      <c r="E2404">
        <v>0.50602380000000002</v>
      </c>
      <c r="F2404" t="s">
        <v>47</v>
      </c>
      <c r="G2404">
        <v>-444.90210000000002</v>
      </c>
      <c r="H2404" s="1">
        <v>1.0340529999999999E-6</v>
      </c>
      <c r="I2404">
        <v>285.48180000000002</v>
      </c>
      <c r="J2404">
        <v>-412.09730000000002</v>
      </c>
      <c r="K2404">
        <v>1.1094079999999999</v>
      </c>
      <c r="L2404">
        <v>285.36779999999999</v>
      </c>
      <c r="M2404">
        <v>-0.99970250000000005</v>
      </c>
      <c r="N2404">
        <v>0</v>
      </c>
      <c r="O2404">
        <v>1.9189950000000001E-2</v>
      </c>
      <c r="P2404">
        <v>-0.99148270000000005</v>
      </c>
      <c r="Q2404">
        <v>0.12986310000000001</v>
      </c>
      <c r="R2404">
        <v>-9.8865470000000007E-3</v>
      </c>
      <c r="S2404">
        <v>-3.0392760000000001</v>
      </c>
      <c r="T2404">
        <v>-0.1012217</v>
      </c>
      <c r="U2404">
        <v>1.1291499999999999E-2</v>
      </c>
      <c r="V2404">
        <v>-2.8907929999999998E-2</v>
      </c>
      <c r="W2404">
        <v>0.14478529999999901</v>
      </c>
      <c r="X2404">
        <v>0.98904069999999999</v>
      </c>
      <c r="Y2404">
        <v>-1.5458299999999999E-2</v>
      </c>
      <c r="Z2404">
        <v>-8.9631420000000001E-4</v>
      </c>
      <c r="AA2404">
        <v>0.99988010000000005</v>
      </c>
      <c r="AB2404">
        <v>51</v>
      </c>
      <c r="AC2404">
        <v>-32.8048</v>
      </c>
      <c r="AD2404">
        <v>-1.1094069659469901</v>
      </c>
      <c r="AE2404">
        <v>0.11400000000003201</v>
      </c>
      <c r="AF2404">
        <v>-0.51502580307057699</v>
      </c>
      <c r="AG2404">
        <v>-1.1094069659469901</v>
      </c>
      <c r="AH2404">
        <v>32.763475033048998</v>
      </c>
      <c r="AI2404">
        <v>91.939117166205904</v>
      </c>
      <c r="AJ2404">
        <v>90.900587456464393</v>
      </c>
      <c r="AK2404">
        <v>32.786297925126398</v>
      </c>
      <c r="AL2404">
        <v>81.675153234446199</v>
      </c>
      <c r="AM2404">
        <v>91.674178798217696</v>
      </c>
      <c r="AN2404">
        <v>0.99999997888473202</v>
      </c>
    </row>
    <row r="2405" spans="1:40" x14ac:dyDescent="0.25">
      <c r="A2405" t="str">
        <f>"20190312172937708"</f>
        <v>20190312172937708</v>
      </c>
      <c r="B2405" t="str">
        <f>"1552382977699578"</f>
        <v>1552382977699578</v>
      </c>
      <c r="C2405" t="s">
        <v>40</v>
      </c>
      <c r="D2405">
        <v>3.6958329999999999</v>
      </c>
      <c r="E2405">
        <v>0.50609110000000002</v>
      </c>
      <c r="F2405" t="s">
        <v>47</v>
      </c>
      <c r="G2405">
        <v>-443.83080000000001</v>
      </c>
      <c r="H2405" s="1">
        <v>4.6515320000000002E-7</v>
      </c>
      <c r="I2405">
        <v>285.4545</v>
      </c>
      <c r="J2405">
        <v>-412.63650000000001</v>
      </c>
      <c r="K2405">
        <v>1.109424</v>
      </c>
      <c r="L2405">
        <v>285.37819999999999</v>
      </c>
      <c r="M2405">
        <v>-0.99970239999999999</v>
      </c>
      <c r="N2405">
        <v>0</v>
      </c>
      <c r="O2405">
        <v>1.91898E-2</v>
      </c>
      <c r="P2405">
        <v>-0.99134739999999999</v>
      </c>
      <c r="Q2405">
        <v>0.13081329999999999</v>
      </c>
      <c r="R2405">
        <v>-1.0884410000000001E-2</v>
      </c>
      <c r="S2405">
        <v>-3.0397639999999999</v>
      </c>
      <c r="T2405">
        <v>-0.10627060000000001</v>
      </c>
      <c r="U2405">
        <v>8.3007810000000001E-3</v>
      </c>
      <c r="V2405">
        <v>-2.990307E-2</v>
      </c>
      <c r="W2405">
        <v>0.14572929999999901</v>
      </c>
      <c r="X2405">
        <v>0.98887250000000004</v>
      </c>
      <c r="Y2405">
        <v>-1.643992E-2</v>
      </c>
      <c r="Z2405">
        <v>-9.5799519999999997E-4</v>
      </c>
      <c r="AA2405">
        <v>0.99986439999999999</v>
      </c>
      <c r="AB2405">
        <v>51</v>
      </c>
      <c r="AC2405">
        <v>-31.194299999999998</v>
      </c>
      <c r="AD2405">
        <v>-1.1094235348468</v>
      </c>
      <c r="AE2405">
        <v>7.6300000000003296E-2</v>
      </c>
      <c r="AF2405">
        <v>-0.52173442456428398</v>
      </c>
      <c r="AG2405">
        <v>-1.1094235348468</v>
      </c>
      <c r="AH2405">
        <v>31.1506177913908</v>
      </c>
      <c r="AI2405">
        <v>92.039430769468595</v>
      </c>
      <c r="AJ2405">
        <v>90.959543916635496</v>
      </c>
      <c r="AK2405">
        <v>31.174733618344799</v>
      </c>
      <c r="AL2405">
        <v>81.620486574831602</v>
      </c>
      <c r="AM2405">
        <v>91.732071378523003</v>
      </c>
      <c r="AN2405">
        <v>1.00000002186508</v>
      </c>
    </row>
    <row r="2406" spans="1:40" x14ac:dyDescent="0.25">
      <c r="A2406" t="str">
        <f>"20190312172937729"</f>
        <v>20190312172937729</v>
      </c>
      <c r="B2406" t="str">
        <f>"1552382977720071"</f>
        <v>1552382977720071</v>
      </c>
      <c r="C2406" t="s">
        <v>40</v>
      </c>
      <c r="D2406">
        <v>3.7021519999999999</v>
      </c>
      <c r="E2406">
        <v>0.50621490000000002</v>
      </c>
      <c r="F2406" t="s">
        <v>47</v>
      </c>
      <c r="G2406">
        <v>-444.6114</v>
      </c>
      <c r="H2406" s="1">
        <v>8.8129119999999998E-7</v>
      </c>
      <c r="I2406">
        <v>285.43720000000002</v>
      </c>
      <c r="J2406">
        <v>-413.1318</v>
      </c>
      <c r="K2406">
        <v>1.1094379999999999</v>
      </c>
      <c r="L2406">
        <v>285.3877</v>
      </c>
      <c r="M2406">
        <v>-0.99970239999999999</v>
      </c>
      <c r="N2406">
        <v>0</v>
      </c>
      <c r="O2406">
        <v>1.918953E-2</v>
      </c>
      <c r="P2406">
        <v>-0.99117770000000005</v>
      </c>
      <c r="Q2406">
        <v>0.1320441</v>
      </c>
      <c r="R2406">
        <v>-1.145583E-2</v>
      </c>
      <c r="S2406">
        <v>-3.0401609999999999</v>
      </c>
      <c r="T2406">
        <v>-0.1054837</v>
      </c>
      <c r="U2406">
        <v>5.6152340000000002E-3</v>
      </c>
      <c r="V2406">
        <v>-3.0470400000000002E-2</v>
      </c>
      <c r="W2406">
        <v>0.14695429999999901</v>
      </c>
      <c r="X2406">
        <v>0.98867389999999999</v>
      </c>
      <c r="Y2406">
        <v>-1.732303E-2</v>
      </c>
      <c r="Z2406">
        <v>-9.6609050000000002E-4</v>
      </c>
      <c r="AA2406">
        <v>0.99984949999999995</v>
      </c>
      <c r="AB2406">
        <v>51</v>
      </c>
      <c r="AC2406">
        <v>-31.479600000000001</v>
      </c>
      <c r="AD2406">
        <v>-1.1094371187087999</v>
      </c>
      <c r="AE2406">
        <v>4.9500000000023102E-2</v>
      </c>
      <c r="AF2406">
        <v>-0.55396831458787998</v>
      </c>
      <c r="AG2406">
        <v>-1.1094371187087999</v>
      </c>
      <c r="AH2406">
        <v>31.435706814041801</v>
      </c>
      <c r="AI2406">
        <v>92.020945090250507</v>
      </c>
      <c r="AJ2406">
        <v>91.009576837175899</v>
      </c>
      <c r="AK2406">
        <v>31.460155665735801</v>
      </c>
      <c r="AL2406">
        <v>81.549535593252301</v>
      </c>
      <c r="AM2406">
        <v>91.765266468207997</v>
      </c>
      <c r="AN2406">
        <v>1.0000000460529199</v>
      </c>
    </row>
    <row r="2407" spans="1:40" x14ac:dyDescent="0.25">
      <c r="A2407" t="str">
        <f>"20190312172937751"</f>
        <v>20190312172937751</v>
      </c>
      <c r="B2407" t="str">
        <f>"1552382977739591"</f>
        <v>1552382977739591</v>
      </c>
      <c r="C2407" t="s">
        <v>40</v>
      </c>
      <c r="D2407">
        <v>3.7102759999999999</v>
      </c>
      <c r="E2407">
        <v>0.50625229999999999</v>
      </c>
      <c r="F2407" t="s">
        <v>47</v>
      </c>
      <c r="G2407">
        <v>-445.59969999999998</v>
      </c>
      <c r="H2407" s="1">
        <v>1.4072460000000001E-6</v>
      </c>
      <c r="I2407">
        <v>285.4359</v>
      </c>
      <c r="J2407">
        <v>-413.63159999999999</v>
      </c>
      <c r="K2407">
        <v>1.1094539999999999</v>
      </c>
      <c r="L2407">
        <v>285.39729999999997</v>
      </c>
      <c r="M2407">
        <v>-0.99970250000000005</v>
      </c>
      <c r="N2407">
        <v>0</v>
      </c>
      <c r="O2407">
        <v>1.9189189999999998E-2</v>
      </c>
      <c r="P2407">
        <v>-0.9910542</v>
      </c>
      <c r="Q2407">
        <v>0.1329592</v>
      </c>
      <c r="R2407">
        <v>-1.154875E-2</v>
      </c>
      <c r="S2407">
        <v>-3.040619</v>
      </c>
      <c r="T2407">
        <v>-0.1038988</v>
      </c>
      <c r="U2407">
        <v>4.5166019999999998E-3</v>
      </c>
      <c r="V2407">
        <v>-3.0560960000000002E-2</v>
      </c>
      <c r="W2407">
        <v>0.1478641</v>
      </c>
      <c r="X2407">
        <v>0.98853539999999995</v>
      </c>
      <c r="Y2407">
        <v>-1.7684680000000001E-2</v>
      </c>
      <c r="Z2407">
        <v>-9.5760660000000005E-4</v>
      </c>
      <c r="AA2407">
        <v>0.99984320000000004</v>
      </c>
      <c r="AB2407">
        <v>51</v>
      </c>
      <c r="AC2407">
        <v>-31.9681</v>
      </c>
      <c r="AD2407">
        <v>-1.109452592754</v>
      </c>
      <c r="AE2407">
        <v>3.8600000000030797E-2</v>
      </c>
      <c r="AF2407">
        <v>-0.57422697634229702</v>
      </c>
      <c r="AG2407">
        <v>-1.109452592754</v>
      </c>
      <c r="AH2407">
        <v>31.924502208623601</v>
      </c>
      <c r="AI2407">
        <v>91.990042337869298</v>
      </c>
      <c r="AJ2407">
        <v>91.030469779449803</v>
      </c>
      <c r="AK2407">
        <v>31.9489352396029</v>
      </c>
      <c r="AL2407">
        <v>81.496831751033895</v>
      </c>
      <c r="AM2407">
        <v>91.770757521638302</v>
      </c>
      <c r="AN2407">
        <v>1.0000000006990399</v>
      </c>
    </row>
    <row r="2408" spans="1:40" x14ac:dyDescent="0.25">
      <c r="A2408" t="str">
        <f>"20190312172937772"</f>
        <v>20190312172937772</v>
      </c>
      <c r="B2408" t="str">
        <f>"1552382977760087"</f>
        <v>1552382977760087</v>
      </c>
      <c r="C2408" t="s">
        <v>40</v>
      </c>
      <c r="D2408">
        <v>3.7015859999999998</v>
      </c>
      <c r="E2408">
        <v>0.50628620000000002</v>
      </c>
      <c r="F2408" t="s">
        <v>47</v>
      </c>
      <c r="G2408">
        <v>-446.22750000000002</v>
      </c>
      <c r="H2408" s="1">
        <v>1.741355E-6</v>
      </c>
      <c r="I2408">
        <v>285.43560000000002</v>
      </c>
      <c r="J2408">
        <v>-414.11970000000002</v>
      </c>
      <c r="K2408">
        <v>1.109453</v>
      </c>
      <c r="L2408">
        <v>285.40660000000003</v>
      </c>
      <c r="M2408">
        <v>-0.9997026</v>
      </c>
      <c r="N2408">
        <v>0</v>
      </c>
      <c r="O2408">
        <v>1.9188739999999999E-2</v>
      </c>
      <c r="P2408">
        <v>-0.99097710000000006</v>
      </c>
      <c r="Q2408">
        <v>0.13355</v>
      </c>
      <c r="R2408">
        <v>-1.1363369999999999E-2</v>
      </c>
      <c r="S2408">
        <v>-3.0410159999999999</v>
      </c>
      <c r="T2408">
        <v>-0.1035056</v>
      </c>
      <c r="U2408">
        <v>3.5705569999999998E-3</v>
      </c>
      <c r="V2408">
        <v>-3.037349E-2</v>
      </c>
      <c r="W2408">
        <v>0.14845120000000001</v>
      </c>
      <c r="X2408">
        <v>0.98845320000000003</v>
      </c>
      <c r="Y2408">
        <v>-1.799545E-2</v>
      </c>
      <c r="Z2408">
        <v>-9.5913330000000003E-4</v>
      </c>
      <c r="AA2408">
        <v>0.99983759999999999</v>
      </c>
      <c r="AB2408">
        <v>51</v>
      </c>
      <c r="AC2408">
        <v>-32.107799999999997</v>
      </c>
      <c r="AD2408">
        <v>-1.109451258645</v>
      </c>
      <c r="AE2408">
        <v>2.89999999999963E-2</v>
      </c>
      <c r="AF2408">
        <v>-0.58648310837556294</v>
      </c>
      <c r="AG2408">
        <v>-1.109451258645</v>
      </c>
      <c r="AH2408">
        <v>32.064159697855303</v>
      </c>
      <c r="AI2408">
        <v>91.981368215257802</v>
      </c>
      <c r="AJ2408">
        <v>91.047875901020902</v>
      </c>
      <c r="AK2408">
        <v>32.0887080086016</v>
      </c>
      <c r="AL2408">
        <v>81.462818164433997</v>
      </c>
      <c r="AM2408">
        <v>91.760048283235705</v>
      </c>
      <c r="AN2408">
        <v>1.00000001813322</v>
      </c>
    </row>
    <row r="2409" spans="1:40" x14ac:dyDescent="0.25">
      <c r="A2409" t="str">
        <f>"20190312172937797"</f>
        <v>20190312172937797</v>
      </c>
      <c r="B2409" t="str">
        <f>"1552382977790343"</f>
        <v>1552382977790343</v>
      </c>
      <c r="C2409" t="s">
        <v>40</v>
      </c>
      <c r="D2409">
        <v>3.6735009999999999</v>
      </c>
      <c r="E2409">
        <v>0.50634409999999996</v>
      </c>
      <c r="F2409" t="s">
        <v>47</v>
      </c>
      <c r="G2409">
        <v>-446.58280000000002</v>
      </c>
      <c r="H2409" s="1">
        <v>1.9300409999999998E-6</v>
      </c>
      <c r="I2409">
        <v>285.44510000000002</v>
      </c>
      <c r="J2409">
        <v>-414.65570000000002</v>
      </c>
      <c r="K2409">
        <v>1.1094469999999901</v>
      </c>
      <c r="L2409">
        <v>285.4169</v>
      </c>
      <c r="M2409">
        <v>-0.99970270000000006</v>
      </c>
      <c r="N2409">
        <v>0</v>
      </c>
      <c r="O2409">
        <v>1.9188409999999999E-2</v>
      </c>
      <c r="P2409">
        <v>-0.99110520000000002</v>
      </c>
      <c r="Q2409">
        <v>0.1326358</v>
      </c>
      <c r="R2409">
        <v>-1.090552E-2</v>
      </c>
      <c r="S2409">
        <v>-3.041382</v>
      </c>
      <c r="T2409">
        <v>-0.1039413</v>
      </c>
      <c r="U2409">
        <v>3.6010740000000001E-3</v>
      </c>
      <c r="V2409">
        <v>-2.9917610000000001E-2</v>
      </c>
      <c r="W2409">
        <v>0.14753529999999901</v>
      </c>
      <c r="X2409">
        <v>0.98860420000000004</v>
      </c>
      <c r="Y2409">
        <v>-1.7985049999999999E-2</v>
      </c>
      <c r="Z2409">
        <v>-9.6286359999999999E-4</v>
      </c>
      <c r="AA2409">
        <v>0.9998378</v>
      </c>
      <c r="AB2409">
        <v>51</v>
      </c>
      <c r="AC2409">
        <v>-31.927099999999999</v>
      </c>
      <c r="AD2409">
        <v>-1.1094450699589999</v>
      </c>
      <c r="AE2409">
        <v>2.82000000000266E-2</v>
      </c>
      <c r="AF2409">
        <v>-0.58379986730797695</v>
      </c>
      <c r="AG2409">
        <v>-1.1094450699589999</v>
      </c>
      <c r="AH2409">
        <v>31.883262103245499</v>
      </c>
      <c r="AI2409">
        <v>91.992589141819295</v>
      </c>
      <c r="AJ2409">
        <v>91.048999656144304</v>
      </c>
      <c r="AK2409">
        <v>31.90790016583</v>
      </c>
      <c r="AL2409">
        <v>81.5158794759692</v>
      </c>
      <c r="AM2409">
        <v>91.733383076685797</v>
      </c>
      <c r="AN2409">
        <v>0.99999999619592095</v>
      </c>
    </row>
    <row r="2410" spans="1:40" x14ac:dyDescent="0.25">
      <c r="A2410" t="str">
        <f>"20190312172937817"</f>
        <v>20190312172937817</v>
      </c>
      <c r="B2410" t="str">
        <f>"1552382977809863"</f>
        <v>1552382977809863</v>
      </c>
      <c r="C2410" t="s">
        <v>40</v>
      </c>
      <c r="D2410">
        <v>3.7123279999999999</v>
      </c>
      <c r="E2410">
        <v>0.50636729999999996</v>
      </c>
      <c r="F2410" t="s">
        <v>47</v>
      </c>
      <c r="G2410">
        <v>-445.29500000000002</v>
      </c>
      <c r="H2410" s="1">
        <v>1.2437639999999999E-6</v>
      </c>
      <c r="I2410">
        <v>285.46730000000002</v>
      </c>
      <c r="J2410">
        <v>-415.13650000000001</v>
      </c>
      <c r="K2410">
        <v>1.10944</v>
      </c>
      <c r="L2410">
        <v>285.42619999999999</v>
      </c>
      <c r="M2410">
        <v>-0.9997026</v>
      </c>
      <c r="N2410">
        <v>0</v>
      </c>
      <c r="O2410">
        <v>1.9188070000000002E-2</v>
      </c>
      <c r="P2410">
        <v>-0.99116570000000004</v>
      </c>
      <c r="Q2410">
        <v>0.132193899999999</v>
      </c>
      <c r="R2410">
        <v>-1.074109E-2</v>
      </c>
      <c r="S2410">
        <v>-3.0417179999999999</v>
      </c>
      <c r="T2410">
        <v>-0.1101401</v>
      </c>
      <c r="U2410">
        <v>5.0048829999999999E-3</v>
      </c>
      <c r="V2410">
        <v>-2.975413E-2</v>
      </c>
      <c r="W2410">
        <v>0.14709149999999999</v>
      </c>
      <c r="X2410">
        <v>0.98867519999999998</v>
      </c>
      <c r="Y2410">
        <v>-1.752105E-2</v>
      </c>
      <c r="Z2410">
        <v>-1.0117259999999999E-3</v>
      </c>
      <c r="AA2410">
        <v>0.99984600000000001</v>
      </c>
      <c r="AB2410">
        <v>51</v>
      </c>
      <c r="AC2410">
        <v>-30.1585</v>
      </c>
      <c r="AD2410">
        <v>-1.109438756236</v>
      </c>
      <c r="AE2410">
        <v>4.1100000000028503E-2</v>
      </c>
      <c r="AF2410">
        <v>-0.53692991884095498</v>
      </c>
      <c r="AG2410">
        <v>-1.109438756236</v>
      </c>
      <c r="AH2410">
        <v>30.112983861954099</v>
      </c>
      <c r="AI2410">
        <v>92.109632591103505</v>
      </c>
      <c r="AJ2410">
        <v>91.021504836216593</v>
      </c>
      <c r="AK2410">
        <v>30.138197443806899</v>
      </c>
      <c r="AL2410">
        <v>81.541587297915399</v>
      </c>
      <c r="AM2410">
        <v>91.723793287504407</v>
      </c>
      <c r="AN2410">
        <v>0.99999993435967105</v>
      </c>
    </row>
    <row r="2411" spans="1:40" x14ac:dyDescent="0.25">
      <c r="A2411" t="str">
        <f>"20190312172937841"</f>
        <v>20190312172937841</v>
      </c>
      <c r="B2411" t="str">
        <f>"1552382977829385"</f>
        <v>1552382977829385</v>
      </c>
      <c r="C2411" t="s">
        <v>40</v>
      </c>
      <c r="D2411">
        <v>3.66188</v>
      </c>
      <c r="E2411">
        <v>0.50639579999999995</v>
      </c>
      <c r="F2411" t="s">
        <v>47</v>
      </c>
      <c r="G2411">
        <v>-444.76350000000002</v>
      </c>
      <c r="H2411" s="1">
        <v>9.603362999999999E-7</v>
      </c>
      <c r="I2411">
        <v>285.48</v>
      </c>
      <c r="J2411">
        <v>-415.6497</v>
      </c>
      <c r="K2411">
        <v>1.1094360000000001</v>
      </c>
      <c r="L2411">
        <v>285.43599999999998</v>
      </c>
      <c r="M2411">
        <v>-0.9997028</v>
      </c>
      <c r="N2411">
        <v>0</v>
      </c>
      <c r="O2411">
        <v>1.9187619999999999E-2</v>
      </c>
      <c r="P2411">
        <v>-0.9912128</v>
      </c>
      <c r="Q2411">
        <v>0.1318336</v>
      </c>
      <c r="R2411">
        <v>-1.0829510000000001E-2</v>
      </c>
      <c r="S2411">
        <v>-3.041992</v>
      </c>
      <c r="T2411">
        <v>-0.1139134</v>
      </c>
      <c r="U2411">
        <v>5.5236819999999898E-3</v>
      </c>
      <c r="V2411">
        <v>-2.9842980000000002E-2</v>
      </c>
      <c r="W2411">
        <v>0.14672839999999901</v>
      </c>
      <c r="X2411">
        <v>0.98872660000000001</v>
      </c>
      <c r="Y2411">
        <v>-1.7348679999999998E-2</v>
      </c>
      <c r="Z2411">
        <v>-1.0430249999999999E-3</v>
      </c>
      <c r="AA2411">
        <v>0.99984899999999999</v>
      </c>
      <c r="AB2411">
        <v>51</v>
      </c>
      <c r="AC2411">
        <v>-29.113800000000001</v>
      </c>
      <c r="AD2411">
        <v>-1.1094350396637001</v>
      </c>
      <c r="AE2411">
        <v>4.4000000000039501E-2</v>
      </c>
      <c r="AF2411">
        <v>-0.51394948910535698</v>
      </c>
      <c r="AG2411">
        <v>-1.1094350396637001</v>
      </c>
      <c r="AH2411">
        <v>29.0670741875476</v>
      </c>
      <c r="AI2411">
        <v>92.185468841686401</v>
      </c>
      <c r="AJ2411">
        <v>91.012969804062294</v>
      </c>
      <c r="AK2411">
        <v>29.092779035509501</v>
      </c>
      <c r="AL2411">
        <v>81.562620652554003</v>
      </c>
      <c r="AM2411">
        <v>91.728847830062605</v>
      </c>
      <c r="AN2411">
        <v>1.00000005818469</v>
      </c>
    </row>
    <row r="2412" spans="1:40" x14ac:dyDescent="0.25">
      <c r="A2412" t="str">
        <f>"20190312172937862"</f>
        <v>20190312172937862</v>
      </c>
      <c r="B2412" t="str">
        <f>"1552382977849879"</f>
        <v>1552382977849879</v>
      </c>
      <c r="C2412" t="s">
        <v>40</v>
      </c>
      <c r="D2412">
        <v>3.6861190000000001</v>
      </c>
      <c r="E2412">
        <v>0.50641780000000003</v>
      </c>
      <c r="F2412" t="s">
        <v>47</v>
      </c>
      <c r="G2412">
        <v>-444.46789999999999</v>
      </c>
      <c r="H2412" s="1">
        <v>8.0250829999999998E-7</v>
      </c>
      <c r="I2412">
        <v>285.49270000000001</v>
      </c>
      <c r="J2412">
        <v>-416.14440000000002</v>
      </c>
      <c r="K2412">
        <v>1.1094329999999999</v>
      </c>
      <c r="L2412">
        <v>285.44560000000001</v>
      </c>
      <c r="M2412">
        <v>-0.9997028</v>
      </c>
      <c r="N2412">
        <v>0</v>
      </c>
      <c r="O2412">
        <v>1.9187470000000002E-2</v>
      </c>
      <c r="P2412">
        <v>-0.99123139999999998</v>
      </c>
      <c r="Q2412">
        <v>0.13164049999999999</v>
      </c>
      <c r="R2412">
        <v>-1.1440870000000001E-2</v>
      </c>
      <c r="S2412">
        <v>-3.0422359999999999</v>
      </c>
      <c r="T2412">
        <v>-0.117119</v>
      </c>
      <c r="U2412">
        <v>5.9814450000000002E-3</v>
      </c>
      <c r="V2412">
        <v>-3.0454869999999998E-2</v>
      </c>
      <c r="W2412">
        <v>0.14653260000000001</v>
      </c>
      <c r="X2412">
        <v>0.98873690000000003</v>
      </c>
      <c r="Y2412">
        <v>-1.7196880000000001E-2</v>
      </c>
      <c r="Z2412">
        <v>-1.0693409999999999E-3</v>
      </c>
      <c r="AA2412">
        <v>0.9998515</v>
      </c>
      <c r="AB2412">
        <v>51</v>
      </c>
      <c r="AC2412">
        <v>-28.3234999999999</v>
      </c>
      <c r="AD2412">
        <v>-1.1094321974917001</v>
      </c>
      <c r="AE2412">
        <v>4.7100000000000301E-2</v>
      </c>
      <c r="AF2412">
        <v>-0.49566594829836802</v>
      </c>
      <c r="AG2412">
        <v>-1.1094321974917001</v>
      </c>
      <c r="AH2412">
        <v>28.275805207659399</v>
      </c>
      <c r="AI2412">
        <v>92.246565346907801</v>
      </c>
      <c r="AJ2412">
        <v>91.004274086886696</v>
      </c>
      <c r="AK2412">
        <v>28.301902492140499</v>
      </c>
      <c r="AL2412">
        <v>81.573961081475005</v>
      </c>
      <c r="AM2412">
        <v>91.764254974599595</v>
      </c>
      <c r="AN2412">
        <v>0.999999979695543</v>
      </c>
    </row>
    <row r="2413" spans="1:40" x14ac:dyDescent="0.25">
      <c r="A2413" t="str">
        <f>"20190312172937885"</f>
        <v>20190312172937885</v>
      </c>
      <c r="B2413" t="str">
        <f>"1552382977880135"</f>
        <v>1552382977880135</v>
      </c>
      <c r="C2413" t="s">
        <v>40</v>
      </c>
      <c r="D2413">
        <v>3.6813560000000001</v>
      </c>
      <c r="E2413">
        <v>0.50643490000000002</v>
      </c>
      <c r="F2413" t="s">
        <v>47</v>
      </c>
      <c r="G2413">
        <v>-444.38459999999998</v>
      </c>
      <c r="H2413" s="1">
        <v>7.5843019999999998E-7</v>
      </c>
      <c r="I2413">
        <v>285.48610000000002</v>
      </c>
      <c r="J2413">
        <v>-416.6662</v>
      </c>
      <c r="K2413">
        <v>1.109434</v>
      </c>
      <c r="L2413">
        <v>285.45549999999997</v>
      </c>
      <c r="M2413">
        <v>-0.9997028</v>
      </c>
      <c r="N2413">
        <v>0</v>
      </c>
      <c r="O2413">
        <v>1.9187019999999999E-2</v>
      </c>
      <c r="P2413">
        <v>-0.99117489999999997</v>
      </c>
      <c r="Q2413">
        <v>0.1320094</v>
      </c>
      <c r="R2413">
        <v>-1.20877E-2</v>
      </c>
      <c r="S2413">
        <v>-3.0424500000000001</v>
      </c>
      <c r="T2413">
        <v>-0.11952450000000001</v>
      </c>
      <c r="U2413">
        <v>4.3640140000000003E-3</v>
      </c>
      <c r="V2413">
        <v>-3.1100019999999999E-2</v>
      </c>
      <c r="W2413">
        <v>0.14689720000000001</v>
      </c>
      <c r="X2413">
        <v>0.98866270000000001</v>
      </c>
      <c r="Y2413">
        <v>-1.772659E-2</v>
      </c>
      <c r="Z2413">
        <v>-1.101596E-3</v>
      </c>
      <c r="AA2413">
        <v>0.99984229999999996</v>
      </c>
      <c r="AB2413">
        <v>51</v>
      </c>
      <c r="AC2413">
        <v>-27.7183999999999</v>
      </c>
      <c r="AD2413">
        <v>-1.1094332415698001</v>
      </c>
      <c r="AE2413">
        <v>3.06000000000494E-2</v>
      </c>
      <c r="AF2413">
        <v>-0.50049747962018998</v>
      </c>
      <c r="AG2413">
        <v>-1.1094332415698001</v>
      </c>
      <c r="AH2413">
        <v>27.669556480283301</v>
      </c>
      <c r="AI2413">
        <v>92.295715548430195</v>
      </c>
      <c r="AJ2413">
        <v>91.036274879755396</v>
      </c>
      <c r="AK2413">
        <v>27.6963119505142</v>
      </c>
      <c r="AL2413">
        <v>81.5528423995125</v>
      </c>
      <c r="AM2413">
        <v>91.801739354577407</v>
      </c>
      <c r="AN2413">
        <v>0.99999996649156397</v>
      </c>
    </row>
    <row r="2414" spans="1:40" x14ac:dyDescent="0.25">
      <c r="A2414" t="str">
        <f>"20190312172937907"</f>
        <v>20190312172937907</v>
      </c>
      <c r="B2414" t="str">
        <f>"1552382977899655"</f>
        <v>1552382977899655</v>
      </c>
      <c r="C2414" t="s">
        <v>40</v>
      </c>
      <c r="D2414">
        <v>3.7074470000000002</v>
      </c>
      <c r="E2414">
        <v>0.50644849999999997</v>
      </c>
      <c r="F2414" t="s">
        <v>47</v>
      </c>
      <c r="G2414">
        <v>-444.49689999999998</v>
      </c>
      <c r="H2414" s="1">
        <v>8.1851499999999997E-7</v>
      </c>
      <c r="I2414">
        <v>285.47919999999999</v>
      </c>
      <c r="J2414">
        <v>-417.16849999999999</v>
      </c>
      <c r="K2414">
        <v>1.1094349999999999</v>
      </c>
      <c r="L2414">
        <v>285.46510000000001</v>
      </c>
      <c r="M2414">
        <v>-0.99970300000000001</v>
      </c>
      <c r="N2414">
        <v>0</v>
      </c>
      <c r="O2414">
        <v>1.9186689999999999E-2</v>
      </c>
      <c r="P2414">
        <v>-0.99111320000000003</v>
      </c>
      <c r="Q2414">
        <v>0.1323656</v>
      </c>
      <c r="R2414">
        <v>-1.319963E-2</v>
      </c>
      <c r="S2414">
        <v>-3.0429379999999999</v>
      </c>
      <c r="T2414">
        <v>-0.12130249999999999</v>
      </c>
      <c r="U2414">
        <v>2.5939940000000001E-3</v>
      </c>
      <c r="V2414">
        <v>-3.2209939999999999E-2</v>
      </c>
      <c r="W2414">
        <v>0.14724860000000001</v>
      </c>
      <c r="X2414">
        <v>0.98857490000000003</v>
      </c>
      <c r="Y2414">
        <v>-1.8306759999999998E-2</v>
      </c>
      <c r="Z2414">
        <v>-1.1293379999999999E-3</v>
      </c>
      <c r="AA2414">
        <v>0.99983180000000005</v>
      </c>
      <c r="AB2414">
        <v>51</v>
      </c>
      <c r="AC2414">
        <v>-27.328399999999899</v>
      </c>
      <c r="AD2414">
        <v>-1.1094341814849999</v>
      </c>
      <c r="AE2414">
        <v>1.4099999999984901E-2</v>
      </c>
      <c r="AF2414">
        <v>-0.50946370905031702</v>
      </c>
      <c r="AG2414">
        <v>-1.1094341814849999</v>
      </c>
      <c r="AH2414">
        <v>27.278681710906099</v>
      </c>
      <c r="AI2414">
        <v>92.328551621599601</v>
      </c>
      <c r="AJ2414">
        <v>91.069946396218995</v>
      </c>
      <c r="AK2414">
        <v>27.305986035278199</v>
      </c>
      <c r="AL2414">
        <v>81.532487443065804</v>
      </c>
      <c r="AM2414">
        <v>91.866162065926503</v>
      </c>
      <c r="AN2414">
        <v>0.999999981673386</v>
      </c>
    </row>
    <row r="2415" spans="1:40" x14ac:dyDescent="0.25">
      <c r="A2415" t="str">
        <f>"20190312172937930"</f>
        <v>20190312172937930</v>
      </c>
      <c r="B2415" t="str">
        <f>"1552382977920151"</f>
        <v>1552382977920151</v>
      </c>
      <c r="C2415" t="s">
        <v>40</v>
      </c>
      <c r="D2415">
        <v>3.7033239999999998</v>
      </c>
      <c r="E2415">
        <v>0.50649449999999996</v>
      </c>
      <c r="F2415" t="s">
        <v>47</v>
      </c>
      <c r="G2415">
        <v>-444.8297</v>
      </c>
      <c r="H2415" s="1">
        <v>9.9652149999999997E-7</v>
      </c>
      <c r="I2415">
        <v>285.459</v>
      </c>
      <c r="J2415">
        <v>-417.68439999999998</v>
      </c>
      <c r="K2415">
        <v>1.109437</v>
      </c>
      <c r="L2415">
        <v>285.47500000000002</v>
      </c>
      <c r="M2415">
        <v>-0.99970289999999995</v>
      </c>
      <c r="N2415">
        <v>0</v>
      </c>
      <c r="O2415">
        <v>1.9186410000000001E-2</v>
      </c>
      <c r="P2415">
        <v>-0.99096569999999995</v>
      </c>
      <c r="Q2415">
        <v>0.1333964</v>
      </c>
      <c r="R2415">
        <v>-1.38721E-2</v>
      </c>
      <c r="S2415">
        <v>-3.0431520000000001</v>
      </c>
      <c r="T2415">
        <v>-0.1220543</v>
      </c>
      <c r="U2415">
        <v>-6.7138669999999997E-4</v>
      </c>
      <c r="V2415">
        <v>-3.2879390000000001E-2</v>
      </c>
      <c r="W2415">
        <v>0.1482734</v>
      </c>
      <c r="X2415">
        <v>0.98839969999999999</v>
      </c>
      <c r="Y2415">
        <v>-1.9378159999999998E-2</v>
      </c>
      <c r="Z2415">
        <v>-1.157721E-3</v>
      </c>
      <c r="AA2415">
        <v>0.99981149999999996</v>
      </c>
      <c r="AB2415">
        <v>51</v>
      </c>
      <c r="AC2415">
        <v>-27.145299999999999</v>
      </c>
      <c r="AD2415">
        <v>-1.1094360034785</v>
      </c>
      <c r="AE2415">
        <v>-1.6000000000019499E-2</v>
      </c>
      <c r="AF2415">
        <v>-0.53598147820178799</v>
      </c>
      <c r="AG2415">
        <v>-1.1094360034785</v>
      </c>
      <c r="AH2415">
        <v>27.094736568100998</v>
      </c>
      <c r="AI2415">
        <v>92.344296576989393</v>
      </c>
      <c r="AJ2415">
        <v>91.133263345769194</v>
      </c>
      <c r="AK2415">
        <v>27.122737215951901</v>
      </c>
      <c r="AL2415">
        <v>81.473119296786805</v>
      </c>
      <c r="AM2415">
        <v>91.905257422462</v>
      </c>
      <c r="AN2415">
        <v>1.00000001119721</v>
      </c>
    </row>
    <row r="2416" spans="1:40" x14ac:dyDescent="0.25">
      <c r="A2416" t="str">
        <f>"20190312172937953"</f>
        <v>20190312172937953</v>
      </c>
      <c r="B2416" t="str">
        <f>"1552382977939671"</f>
        <v>1552382977939671</v>
      </c>
      <c r="C2416" t="s">
        <v>40</v>
      </c>
      <c r="D2416">
        <v>3.7154729999999998</v>
      </c>
      <c r="E2416">
        <v>0.50653579999999998</v>
      </c>
      <c r="F2416" t="s">
        <v>47</v>
      </c>
      <c r="G2416">
        <v>-445.65649999999999</v>
      </c>
      <c r="H2416" s="1">
        <v>1.4368069999999999E-6</v>
      </c>
      <c r="I2416">
        <v>285.45150000000001</v>
      </c>
      <c r="J2416">
        <v>-418.18490000000003</v>
      </c>
      <c r="K2416">
        <v>1.109442</v>
      </c>
      <c r="L2416">
        <v>285.4846</v>
      </c>
      <c r="M2416">
        <v>-0.99970309999999996</v>
      </c>
      <c r="N2416">
        <v>0</v>
      </c>
      <c r="O2416">
        <v>1.9185899999999999E-2</v>
      </c>
      <c r="P2416">
        <v>-0.99073540000000004</v>
      </c>
      <c r="Q2416">
        <v>0.135033399999999</v>
      </c>
      <c r="R2416">
        <v>-1.448852E-2</v>
      </c>
      <c r="S2416">
        <v>-3.0435490000000001</v>
      </c>
      <c r="T2416">
        <v>-0.12071419999999999</v>
      </c>
      <c r="U2416">
        <v>-2.5634770000000002E-3</v>
      </c>
      <c r="V2416">
        <v>-3.3490359999999997E-2</v>
      </c>
      <c r="W2416">
        <v>0.14990339999999999</v>
      </c>
      <c r="X2416">
        <v>0.98813329999999999</v>
      </c>
      <c r="Y2416">
        <v>-1.9999360000000001E-2</v>
      </c>
      <c r="Z2416">
        <v>-1.1571649999999999E-3</v>
      </c>
      <c r="AA2416">
        <v>0.99979929999999995</v>
      </c>
      <c r="AB2416">
        <v>51</v>
      </c>
      <c r="AC2416">
        <v>-27.471599999999899</v>
      </c>
      <c r="AD2416">
        <v>-1.109440563193</v>
      </c>
      <c r="AE2416">
        <v>-3.3099999999990297E-2</v>
      </c>
      <c r="AF2416">
        <v>-0.559308541238137</v>
      </c>
      <c r="AG2416">
        <v>-1.109440563193</v>
      </c>
      <c r="AH2416">
        <v>27.421184670243299</v>
      </c>
      <c r="AI2416">
        <v>92.316399329277701</v>
      </c>
      <c r="AJ2416">
        <v>91.168497140374896</v>
      </c>
      <c r="AK2416">
        <v>27.4493178991235</v>
      </c>
      <c r="AL2416">
        <v>81.378671735521706</v>
      </c>
      <c r="AM2416">
        <v>91.941157184967395</v>
      </c>
      <c r="AN2416">
        <v>1.0000000260566799</v>
      </c>
    </row>
    <row r="2417" spans="1:40" x14ac:dyDescent="0.25">
      <c r="A2417" t="str">
        <f>"20190312172937974"</f>
        <v>20190312172937974</v>
      </c>
      <c r="B2417" t="str">
        <f>"1552382977969927"</f>
        <v>1552382977969927</v>
      </c>
      <c r="C2417" t="s">
        <v>40</v>
      </c>
      <c r="D2417">
        <v>3.713622</v>
      </c>
      <c r="E2417">
        <v>0.50660749999999999</v>
      </c>
      <c r="F2417" t="s">
        <v>47</v>
      </c>
      <c r="G2417">
        <v>-446.96589999999998</v>
      </c>
      <c r="H2417" s="1">
        <v>2.133746E-6</v>
      </c>
      <c r="I2417">
        <v>285.4477</v>
      </c>
      <c r="J2417">
        <v>-418.67099999999999</v>
      </c>
      <c r="K2417">
        <v>1.109448</v>
      </c>
      <c r="L2417">
        <v>285.49400000000003</v>
      </c>
      <c r="M2417">
        <v>-0.99970300000000001</v>
      </c>
      <c r="N2417">
        <v>0</v>
      </c>
      <c r="O2417">
        <v>1.9185629999999999E-2</v>
      </c>
      <c r="P2417">
        <v>-0.99050050000000001</v>
      </c>
      <c r="Q2417">
        <v>0.13669200000000001</v>
      </c>
      <c r="R2417">
        <v>-1.497209E-2</v>
      </c>
      <c r="S2417">
        <v>-3.0439759999999998</v>
      </c>
      <c r="T2417">
        <v>-0.1173382</v>
      </c>
      <c r="U2417">
        <v>-3.90625E-3</v>
      </c>
      <c r="V2417">
        <v>-3.3969369999999999E-2</v>
      </c>
      <c r="W2417">
        <v>0.15155469999999999</v>
      </c>
      <c r="X2417">
        <v>0.98786499999999999</v>
      </c>
      <c r="Y2417">
        <v>-2.0441379999999999E-2</v>
      </c>
      <c r="Z2417">
        <v>-1.1331760000000001E-3</v>
      </c>
      <c r="AA2417">
        <v>0.99979039999999997</v>
      </c>
      <c r="AB2417">
        <v>50</v>
      </c>
      <c r="AC2417">
        <v>-28.294899999999899</v>
      </c>
      <c r="AD2417">
        <v>-1.1094458662540001</v>
      </c>
      <c r="AE2417">
        <v>-4.6300000000030601E-2</v>
      </c>
      <c r="AF2417">
        <v>-0.58830378882047196</v>
      </c>
      <c r="AG2417">
        <v>-1.1094458662540001</v>
      </c>
      <c r="AH2417">
        <v>28.245377207581601</v>
      </c>
      <c r="AI2417">
        <v>92.248868629442697</v>
      </c>
      <c r="AJ2417">
        <v>91.1932023743027</v>
      </c>
      <c r="AK2417">
        <v>28.273278994072498</v>
      </c>
      <c r="AL2417">
        <v>81.282965561861005</v>
      </c>
      <c r="AM2417">
        <v>91.969434030011001</v>
      </c>
      <c r="AN2417">
        <v>1.00000000170764</v>
      </c>
    </row>
    <row r="2418" spans="1:40" x14ac:dyDescent="0.25">
      <c r="A2418" t="str">
        <f>"20190312172937997"</f>
        <v>20190312172937997</v>
      </c>
      <c r="B2418" t="str">
        <f>"1552382977989449"</f>
        <v>1552382977989449</v>
      </c>
      <c r="C2418" t="s">
        <v>40</v>
      </c>
      <c r="D2418">
        <v>3.7129259999999999</v>
      </c>
      <c r="E2418">
        <v>0.50662980000000002</v>
      </c>
      <c r="F2418" t="s">
        <v>47</v>
      </c>
      <c r="G2418">
        <v>-448.07709999999997</v>
      </c>
      <c r="H2418" s="1">
        <v>2.7251040000000001E-6</v>
      </c>
      <c r="I2418">
        <v>285.44709999999998</v>
      </c>
      <c r="J2418">
        <v>-419.18439999999998</v>
      </c>
      <c r="K2418">
        <v>1.1094520000000001</v>
      </c>
      <c r="L2418">
        <v>285.50380000000001</v>
      </c>
      <c r="M2418">
        <v>-0.99970300000000001</v>
      </c>
      <c r="N2418">
        <v>0</v>
      </c>
      <c r="O2418">
        <v>1.9185299999999999E-2</v>
      </c>
      <c r="P2418">
        <v>-0.99039710000000003</v>
      </c>
      <c r="Q2418">
        <v>0.13732249999999999</v>
      </c>
      <c r="R2418">
        <v>-1.600561E-2</v>
      </c>
      <c r="S2418">
        <v>-3.044556</v>
      </c>
      <c r="T2418">
        <v>-0.1148665</v>
      </c>
      <c r="U2418">
        <v>-4.8522950000000004E-3</v>
      </c>
      <c r="V2418">
        <v>-3.5000370000000003E-2</v>
      </c>
      <c r="W2418">
        <v>0.15218010000000001</v>
      </c>
      <c r="X2418">
        <v>0.98773279999999997</v>
      </c>
      <c r="Y2418">
        <v>-2.0752489999999998E-2</v>
      </c>
      <c r="Z2418">
        <v>-1.114966E-3</v>
      </c>
      <c r="AA2418">
        <v>0.99978400000000001</v>
      </c>
      <c r="AB2418">
        <v>50</v>
      </c>
      <c r="AC2418">
        <v>-28.892699999999898</v>
      </c>
      <c r="AD2418">
        <v>-1.1094492748960001</v>
      </c>
      <c r="AE2418">
        <v>-5.6700000000034799E-2</v>
      </c>
      <c r="AF2418">
        <v>-0.61016760585133301</v>
      </c>
      <c r="AG2418">
        <v>-1.1094492748960001</v>
      </c>
      <c r="AH2418">
        <v>28.8437636637608</v>
      </c>
      <c r="AI2418">
        <v>92.202252227329794</v>
      </c>
      <c r="AJ2418">
        <v>91.2118673391725</v>
      </c>
      <c r="AK2418">
        <v>28.871541082728601</v>
      </c>
      <c r="AL2418">
        <v>81.246711787077004</v>
      </c>
      <c r="AM2418">
        <v>92.029430195614495</v>
      </c>
      <c r="AN2418">
        <v>0.999999946465992</v>
      </c>
    </row>
    <row r="2419" spans="1:40" x14ac:dyDescent="0.25">
      <c r="A2419" t="str">
        <f>"20190312172938018"</f>
        <v>20190312172938018</v>
      </c>
      <c r="B2419" t="str">
        <f>"1552382978009943"</f>
        <v>1552382978009943</v>
      </c>
      <c r="C2419" t="s">
        <v>40</v>
      </c>
      <c r="D2419">
        <v>3.6772610000000001</v>
      </c>
      <c r="E2419">
        <v>0.50809020000000005</v>
      </c>
      <c r="F2419" t="s">
        <v>47</v>
      </c>
      <c r="G2419">
        <v>-448.88799999999998</v>
      </c>
      <c r="H2419" s="1">
        <v>3.1572450000000002E-6</v>
      </c>
      <c r="I2419">
        <v>285.43329999999997</v>
      </c>
      <c r="J2419">
        <v>-419.67340000000002</v>
      </c>
      <c r="K2419">
        <v>1.109453</v>
      </c>
      <c r="L2419">
        <v>285.51319999999998</v>
      </c>
      <c r="M2419">
        <v>-0.99970309999999996</v>
      </c>
      <c r="N2419">
        <v>0</v>
      </c>
      <c r="O2419">
        <v>1.9184960000000001E-2</v>
      </c>
      <c r="P2419">
        <v>-0.99038789999999999</v>
      </c>
      <c r="Q2419">
        <v>0.13728989999999999</v>
      </c>
      <c r="R2419">
        <v>-1.6834060000000001E-2</v>
      </c>
      <c r="S2419">
        <v>-3.0447389999999999</v>
      </c>
      <c r="T2419">
        <v>-0.113723</v>
      </c>
      <c r="U2419">
        <v>-7.2326659999999996E-3</v>
      </c>
      <c r="V2419">
        <v>-3.582809E-2</v>
      </c>
      <c r="W2419">
        <v>0.1521438</v>
      </c>
      <c r="X2419">
        <v>0.9877087</v>
      </c>
      <c r="Y2419">
        <v>-2.1533699999999999E-2</v>
      </c>
      <c r="Z2419">
        <v>-1.1183810000000001E-3</v>
      </c>
      <c r="AA2419">
        <v>0.99976750000000003</v>
      </c>
      <c r="AB2419">
        <v>50</v>
      </c>
      <c r="AC2419">
        <v>-29.214600000000001</v>
      </c>
      <c r="AD2419">
        <v>-1.1094498427549999</v>
      </c>
      <c r="AE2419">
        <v>-7.9900000000009103E-2</v>
      </c>
      <c r="AF2419">
        <v>-0.63950720129044802</v>
      </c>
      <c r="AG2419">
        <v>-1.1094498427549999</v>
      </c>
      <c r="AH2419">
        <v>29.165627456627</v>
      </c>
      <c r="AI2419">
        <v>92.177937240291996</v>
      </c>
      <c r="AJ2419">
        <v>91.256108521179499</v>
      </c>
      <c r="AK2419">
        <v>29.1937266095448</v>
      </c>
      <c r="AL2419">
        <v>81.248816000094294</v>
      </c>
      <c r="AM2419">
        <v>92.077433051349203</v>
      </c>
      <c r="AN2419">
        <v>0.99999993198358605</v>
      </c>
    </row>
    <row r="2420" spans="1:40" x14ac:dyDescent="0.25">
      <c r="A2420" t="str">
        <f>"20190312172938041"</f>
        <v>20190312172938041</v>
      </c>
      <c r="B2420" t="str">
        <f>"1552382978029463"</f>
        <v>1552382978029463</v>
      </c>
      <c r="C2420" t="s">
        <v>40</v>
      </c>
      <c r="D2420">
        <v>3.6988430000000001</v>
      </c>
      <c r="E2420">
        <v>0.50822959999999995</v>
      </c>
      <c r="F2420" t="s">
        <v>47</v>
      </c>
      <c r="G2420">
        <v>-440.51240000000001</v>
      </c>
      <c r="H2420" s="1">
        <v>-1.3037450000000001E-6</v>
      </c>
      <c r="I2420">
        <v>285.52260000000001</v>
      </c>
      <c r="J2420">
        <v>-420.16770000000002</v>
      </c>
      <c r="K2420">
        <v>1.109451</v>
      </c>
      <c r="L2420">
        <v>285.52269999999999</v>
      </c>
      <c r="M2420">
        <v>-0.99970320000000001</v>
      </c>
      <c r="N2420">
        <v>0</v>
      </c>
      <c r="O2420">
        <v>1.9184509999999998E-2</v>
      </c>
      <c r="P2420">
        <v>-0.99045749999999999</v>
      </c>
      <c r="Q2420">
        <v>0.13673009999999999</v>
      </c>
      <c r="R2420">
        <v>-1.728319E-2</v>
      </c>
      <c r="S2420">
        <v>-3.051666</v>
      </c>
      <c r="T2420">
        <v>-0.16246910000000001</v>
      </c>
      <c r="U2420">
        <v>1.373291E-3</v>
      </c>
      <c r="V2420">
        <v>-3.6277740000000003E-2</v>
      </c>
      <c r="W2420">
        <v>0.15158199999999999</v>
      </c>
      <c r="X2420">
        <v>0.98777870000000001</v>
      </c>
      <c r="Y2420">
        <v>-1.8683120000000001E-2</v>
      </c>
      <c r="Z2420">
        <v>-1.517706E-3</v>
      </c>
      <c r="AA2420">
        <v>0.9998243</v>
      </c>
      <c r="AB2420">
        <v>50</v>
      </c>
      <c r="AC2420">
        <v>-20.3446999999999</v>
      </c>
      <c r="AD2420">
        <v>-1.1094523037449999</v>
      </c>
      <c r="AE2420" s="1">
        <v>-9.9999999974897906E-5</v>
      </c>
      <c r="AF2420">
        <v>-0.38928941308442799</v>
      </c>
      <c r="AG2420">
        <v>-1.1094523037449999</v>
      </c>
      <c r="AH2420">
        <v>20.280642024604902</v>
      </c>
      <c r="AI2420">
        <v>93.130668381917005</v>
      </c>
      <c r="AJ2420">
        <v>91.099664475873894</v>
      </c>
      <c r="AK2420">
        <v>20.314695951246598</v>
      </c>
      <c r="AL2420">
        <v>81.281382814218105</v>
      </c>
      <c r="AM2420">
        <v>92.103333061813203</v>
      </c>
      <c r="AN2420">
        <v>0.99999996865859797</v>
      </c>
    </row>
    <row r="2421" spans="1:40" x14ac:dyDescent="0.25">
      <c r="A2421" t="str">
        <f>"20190312172938063"</f>
        <v>20190312172938063</v>
      </c>
      <c r="B2421" t="str">
        <f>"1552382978049960"</f>
        <v>1552382978049960</v>
      </c>
      <c r="C2421" t="s">
        <v>40</v>
      </c>
      <c r="D2421">
        <v>3.6864400000000002</v>
      </c>
      <c r="E2421">
        <v>0.50839639999999997</v>
      </c>
      <c r="F2421" t="s">
        <v>47</v>
      </c>
      <c r="G2421">
        <v>-440.80220000000003</v>
      </c>
      <c r="H2421" s="1">
        <v>-1.1497289999999999E-6</v>
      </c>
      <c r="I2421">
        <v>285.52699999999999</v>
      </c>
      <c r="J2421">
        <v>-420.67160000000001</v>
      </c>
      <c r="K2421">
        <v>1.1094520000000001</v>
      </c>
      <c r="L2421">
        <v>285.53230000000002</v>
      </c>
      <c r="M2421">
        <v>-0.99970329999999996</v>
      </c>
      <c r="N2421">
        <v>0</v>
      </c>
      <c r="O2421">
        <v>1.9184179999999999E-2</v>
      </c>
      <c r="P2421">
        <v>-0.99042390000000002</v>
      </c>
      <c r="Q2421">
        <v>0.13693429999999901</v>
      </c>
      <c r="R2421">
        <v>-1.760343E-2</v>
      </c>
      <c r="S2421">
        <v>-3.0515750000000001</v>
      </c>
      <c r="T2421">
        <v>-0.16407379999999999</v>
      </c>
      <c r="U2421">
        <v>6.408691E-4</v>
      </c>
      <c r="V2421">
        <v>-3.659689E-2</v>
      </c>
      <c r="W2421">
        <v>0.15178229999999901</v>
      </c>
      <c r="X2421">
        <v>0.98773619999999995</v>
      </c>
      <c r="Y2421">
        <v>-1.892133E-2</v>
      </c>
      <c r="Z2421">
        <v>-1.5391020000000001E-3</v>
      </c>
      <c r="AA2421">
        <v>0.99981980000000004</v>
      </c>
      <c r="AB2421">
        <v>50</v>
      </c>
      <c r="AC2421">
        <v>-20.130600000000001</v>
      </c>
      <c r="AD2421">
        <v>-1.1094531497290001</v>
      </c>
      <c r="AE2421">
        <v>-5.3000000000338297E-3</v>
      </c>
      <c r="AF2421">
        <v>-0.39034594231604203</v>
      </c>
      <c r="AG2421">
        <v>-1.1094531497290001</v>
      </c>
      <c r="AH2421">
        <v>20.065844432920301</v>
      </c>
      <c r="AI2421">
        <v>93.164099979929205</v>
      </c>
      <c r="AJ2421">
        <v>91.114448711557998</v>
      </c>
      <c r="AK2421">
        <v>20.100282810256299</v>
      </c>
      <c r="AL2421">
        <v>81.269772400275698</v>
      </c>
      <c r="AM2421">
        <v>92.121911310326496</v>
      </c>
      <c r="AN2421">
        <v>0.99999999987070098</v>
      </c>
    </row>
    <row r="2422" spans="1:40" x14ac:dyDescent="0.25">
      <c r="A2422" t="str">
        <f>"20190312172938086"</f>
        <v>20190312172938086</v>
      </c>
      <c r="B2422" t="str">
        <f>"1552382978080215"</f>
        <v>1552382978080215</v>
      </c>
      <c r="C2422" t="s">
        <v>40</v>
      </c>
      <c r="D2422">
        <v>3.647837</v>
      </c>
      <c r="E2422">
        <v>0.50847109999999995</v>
      </c>
      <c r="F2422" t="s">
        <v>47</v>
      </c>
      <c r="G2422">
        <v>-441.0256</v>
      </c>
      <c r="H2422" s="1">
        <v>-1.0312730000000001E-6</v>
      </c>
      <c r="I2422">
        <v>285.5376</v>
      </c>
      <c r="J2422">
        <v>-421.18099999999998</v>
      </c>
      <c r="K2422">
        <v>1.1094520000000001</v>
      </c>
      <c r="L2422">
        <v>285.5421</v>
      </c>
      <c r="M2422">
        <v>-0.99970329999999996</v>
      </c>
      <c r="N2422">
        <v>0</v>
      </c>
      <c r="O2422">
        <v>1.9183370000000002E-2</v>
      </c>
      <c r="P2422">
        <v>-0.9903073</v>
      </c>
      <c r="Q2422">
        <v>0.13780770000000001</v>
      </c>
      <c r="R2422">
        <v>-1.733053E-2</v>
      </c>
      <c r="S2422">
        <v>-3.052063</v>
      </c>
      <c r="T2422">
        <v>-0.16636099999999901</v>
      </c>
      <c r="U2422">
        <v>7.9345700000000002E-4</v>
      </c>
      <c r="V2422">
        <v>-3.6321150000000003E-2</v>
      </c>
      <c r="W2422">
        <v>0.15265090000000001</v>
      </c>
      <c r="X2422">
        <v>0.9876125</v>
      </c>
      <c r="Y2422">
        <v>-1.886912E-2</v>
      </c>
      <c r="Z2422">
        <v>-1.5588100000000001E-3</v>
      </c>
      <c r="AA2422">
        <v>0.99982079999999995</v>
      </c>
      <c r="AB2422">
        <v>50</v>
      </c>
      <c r="AC2422">
        <v>-19.8446</v>
      </c>
      <c r="AD2422">
        <v>-1.109453031273</v>
      </c>
      <c r="AE2422">
        <v>-4.5000000000072699E-3</v>
      </c>
      <c r="AF2422">
        <v>-0.38402805223967901</v>
      </c>
      <c r="AG2422">
        <v>-1.109453031273</v>
      </c>
      <c r="AH2422">
        <v>19.779039755760898</v>
      </c>
      <c r="AI2422">
        <v>93.2098875303775</v>
      </c>
      <c r="AJ2422">
        <v>91.112309930226999</v>
      </c>
      <c r="AK2422">
        <v>19.813853164729899</v>
      </c>
      <c r="AL2422">
        <v>81.219418401974195</v>
      </c>
      <c r="AM2422">
        <v>92.1062017114279</v>
      </c>
      <c r="AN2422">
        <v>0.99999998668219103</v>
      </c>
    </row>
    <row r="2423" spans="1:40" x14ac:dyDescent="0.25">
      <c r="A2423" t="str">
        <f>"20190312172938108"</f>
        <v>20190312172938108</v>
      </c>
      <c r="B2423" t="str">
        <f>"1552382978099735"</f>
        <v>1552382978099735</v>
      </c>
      <c r="C2423" t="s">
        <v>40</v>
      </c>
      <c r="D2423">
        <v>3.6521659999999998</v>
      </c>
      <c r="E2423">
        <v>0.50848190000000004</v>
      </c>
      <c r="F2423" t="s">
        <v>47</v>
      </c>
      <c r="G2423">
        <v>-441.65629999999999</v>
      </c>
      <c r="H2423" s="1">
        <v>-6.9643519999999895E-7</v>
      </c>
      <c r="I2423">
        <v>285.55560000000003</v>
      </c>
      <c r="J2423">
        <v>-421.68900000000002</v>
      </c>
      <c r="K2423">
        <v>1.109451</v>
      </c>
      <c r="L2423">
        <v>285.55189999999999</v>
      </c>
      <c r="M2423">
        <v>-0.99970329999999996</v>
      </c>
      <c r="N2423">
        <v>0</v>
      </c>
      <c r="O2423">
        <v>1.9182859999999999E-2</v>
      </c>
      <c r="P2423">
        <v>-0.99018390000000001</v>
      </c>
      <c r="Q2423">
        <v>0.13871159999999999</v>
      </c>
      <c r="R2423">
        <v>-1.7174999999999999E-2</v>
      </c>
      <c r="S2423">
        <v>-3.0523989999999999</v>
      </c>
      <c r="T2423">
        <v>-0.16539379999999901</v>
      </c>
      <c r="U2423">
        <v>2.0141600000000001E-3</v>
      </c>
      <c r="V2423">
        <v>-3.6162489999999999E-2</v>
      </c>
      <c r="W2423">
        <v>0.15355750000000001</v>
      </c>
      <c r="X2423">
        <v>0.98747779999999996</v>
      </c>
      <c r="Y2423">
        <v>-1.8470049999999998E-2</v>
      </c>
      <c r="Z2423">
        <v>-1.538759E-3</v>
      </c>
      <c r="AA2423">
        <v>0.99982819999999994</v>
      </c>
      <c r="AB2423">
        <v>50</v>
      </c>
      <c r="AC2423">
        <v>-19.967299999999899</v>
      </c>
      <c r="AD2423">
        <v>-1.1094516964351999</v>
      </c>
      <c r="AE2423">
        <v>3.70000000003756E-3</v>
      </c>
      <c r="AF2423">
        <v>-0.37820612899180001</v>
      </c>
      <c r="AG2423">
        <v>-1.1094516964351999</v>
      </c>
      <c r="AH2423">
        <v>19.902251895687801</v>
      </c>
      <c r="AI2423">
        <v>93.190078122205705</v>
      </c>
      <c r="AJ2423">
        <v>91.088671131545098</v>
      </c>
      <c r="AK2423">
        <v>19.936738787026801</v>
      </c>
      <c r="AL2423">
        <v>81.166854600928005</v>
      </c>
      <c r="AM2423">
        <v>92.097295313612804</v>
      </c>
      <c r="AN2423">
        <v>1.00000001849104</v>
      </c>
    </row>
    <row r="2424" spans="1:40" x14ac:dyDescent="0.25">
      <c r="A2424" t="str">
        <f>"20190312172938130"</f>
        <v>20190312172938130</v>
      </c>
      <c r="B2424" t="str">
        <f>"1552382978120231"</f>
        <v>1552382978120231</v>
      </c>
      <c r="C2424" t="s">
        <v>40</v>
      </c>
      <c r="D2424">
        <v>3.606195</v>
      </c>
      <c r="E2424">
        <v>0.50859430000000005</v>
      </c>
      <c r="F2424" t="s">
        <v>47</v>
      </c>
      <c r="G2424">
        <v>-442.19400000000002</v>
      </c>
      <c r="H2424" s="1">
        <v>-4.1105119999999998E-7</v>
      </c>
      <c r="I2424">
        <v>285.57299999999998</v>
      </c>
      <c r="J2424">
        <v>-422.1866</v>
      </c>
      <c r="K2424">
        <v>1.109461</v>
      </c>
      <c r="L2424">
        <v>285.56139999999999</v>
      </c>
      <c r="M2424">
        <v>-0.9997026</v>
      </c>
      <c r="N2424">
        <v>0</v>
      </c>
      <c r="O2424">
        <v>1.9182540000000001E-2</v>
      </c>
      <c r="P2424">
        <v>-0.99009780000000003</v>
      </c>
      <c r="Q2424">
        <v>0.1392999</v>
      </c>
      <c r="R2424">
        <v>-1.7372829999999999E-2</v>
      </c>
      <c r="S2424">
        <v>-3.0529169999999999</v>
      </c>
      <c r="T2424">
        <v>-0.165182</v>
      </c>
      <c r="U2424">
        <v>3.1433110000000002E-3</v>
      </c>
      <c r="V2424">
        <v>-3.635853E-2</v>
      </c>
      <c r="W2424">
        <v>0.15418560000000001</v>
      </c>
      <c r="X2424">
        <v>0.98737269999999999</v>
      </c>
      <c r="Y2424">
        <v>-1.8100749999999999E-2</v>
      </c>
      <c r="Z2424">
        <v>-1.526529E-3</v>
      </c>
      <c r="AA2424">
        <v>0.99983500000000003</v>
      </c>
      <c r="AB2424">
        <v>50</v>
      </c>
      <c r="AC2424">
        <v>-20.007400000000001</v>
      </c>
      <c r="AD2424">
        <v>-1.10946141105119</v>
      </c>
      <c r="AE2424">
        <v>1.15999999999871E-2</v>
      </c>
      <c r="AF2424">
        <v>-0.37109728557215199</v>
      </c>
      <c r="AG2424">
        <v>-1.10946141105119</v>
      </c>
      <c r="AH2424">
        <v>19.9426170684944</v>
      </c>
      <c r="AI2424">
        <v>93.183685896346901</v>
      </c>
      <c r="AJ2424">
        <v>91.066051388475799</v>
      </c>
      <c r="AK2424">
        <v>19.976901495441499</v>
      </c>
      <c r="AL2424">
        <v>81.130433169255795</v>
      </c>
      <c r="AM2424">
        <v>92.108878948877205</v>
      </c>
      <c r="AN2424">
        <v>0.99999999532820505</v>
      </c>
    </row>
    <row r="2425" spans="1:40" x14ac:dyDescent="0.25">
      <c r="A2425" t="str">
        <f>"20190312172938152"</f>
        <v>20190312172938152</v>
      </c>
      <c r="B2425" t="str">
        <f>"1552382978139752"</f>
        <v>1552382978139752</v>
      </c>
      <c r="C2425" t="s">
        <v>40</v>
      </c>
      <c r="D2425">
        <v>3.618528</v>
      </c>
      <c r="E2425">
        <v>0.50868279999999999</v>
      </c>
      <c r="F2425" t="s">
        <v>47</v>
      </c>
      <c r="G2425">
        <v>-442.74169999999998</v>
      </c>
      <c r="H2425" s="1">
        <v>-1.20239499999999E-7</v>
      </c>
      <c r="I2425">
        <v>285.58710000000002</v>
      </c>
      <c r="J2425">
        <v>-422.6712</v>
      </c>
      <c r="K2425">
        <v>1.1094889999999999</v>
      </c>
      <c r="L2425">
        <v>285.57069999999999</v>
      </c>
      <c r="M2425">
        <v>-0.99970110000000001</v>
      </c>
      <c r="N2425">
        <v>0</v>
      </c>
      <c r="O2425">
        <v>1.91822E-2</v>
      </c>
      <c r="P2425">
        <v>-0.99002789999999996</v>
      </c>
      <c r="Q2425">
        <v>0.139761</v>
      </c>
      <c r="R2425">
        <v>-1.7656189999999999E-2</v>
      </c>
      <c r="S2425">
        <v>-3.0532530000000002</v>
      </c>
      <c r="T2425">
        <v>-0.16479929999999901</v>
      </c>
      <c r="U2425">
        <v>3.8146970000000001E-3</v>
      </c>
      <c r="V2425">
        <v>-3.6640569999999997E-2</v>
      </c>
      <c r="W2425">
        <v>0.1547509</v>
      </c>
      <c r="X2425">
        <v>0.98727379999999998</v>
      </c>
      <c r="Y2425">
        <v>-1.7881279999999999E-2</v>
      </c>
      <c r="Z2425">
        <v>-1.516894E-3</v>
      </c>
      <c r="AA2425">
        <v>0.99983889999999997</v>
      </c>
      <c r="AB2425">
        <v>50</v>
      </c>
      <c r="AC2425">
        <v>-20.0704999999999</v>
      </c>
      <c r="AD2425">
        <v>-1.1094891202395001</v>
      </c>
      <c r="AE2425">
        <v>1.6400000000032802E-2</v>
      </c>
      <c r="AF2425">
        <v>-0.36752051731583901</v>
      </c>
      <c r="AG2425">
        <v>-1.1094891202395001</v>
      </c>
      <c r="AH2425">
        <v>20.0059859725637</v>
      </c>
      <c r="AI2425">
        <v>93.173715243308294</v>
      </c>
      <c r="AJ2425">
        <v>91.052435318454101</v>
      </c>
      <c r="AK2425">
        <v>20.040097608868901</v>
      </c>
      <c r="AL2425">
        <v>81.097650119015199</v>
      </c>
      <c r="AM2425">
        <v>92.125435677774405</v>
      </c>
      <c r="AN2425">
        <v>0.99999996429358595</v>
      </c>
    </row>
    <row r="2426" spans="1:40" x14ac:dyDescent="0.25">
      <c r="A2426" t="str">
        <f>"20190312172938168"</f>
        <v>20190312172938168</v>
      </c>
      <c r="B2426" t="str">
        <f>"1552382978160248"</f>
        <v>1552382978160248</v>
      </c>
      <c r="C2426" t="s">
        <v>40</v>
      </c>
      <c r="D2426">
        <v>3.592098</v>
      </c>
      <c r="E2426">
        <v>0.50870919999999997</v>
      </c>
      <c r="F2426" t="s">
        <v>47</v>
      </c>
      <c r="G2426">
        <v>-443.28059999999999</v>
      </c>
      <c r="H2426" s="1">
        <v>1.661931E-7</v>
      </c>
      <c r="I2426">
        <v>285.59539999999998</v>
      </c>
      <c r="J2426">
        <v>-423.01549999999997</v>
      </c>
      <c r="K2426">
        <v>1.109526</v>
      </c>
      <c r="L2426">
        <v>285.57729999999998</v>
      </c>
      <c r="M2426">
        <v>-0.99969870000000005</v>
      </c>
      <c r="N2426">
        <v>0</v>
      </c>
      <c r="O2426">
        <v>1.918218E-2</v>
      </c>
      <c r="P2426">
        <v>-0.98999459999999995</v>
      </c>
      <c r="Q2426">
        <v>0.13997899999999999</v>
      </c>
      <c r="R2426">
        <v>-1.7800130000000001E-2</v>
      </c>
      <c r="S2426">
        <v>-3.053528</v>
      </c>
      <c r="T2426">
        <v>-0.16438359999999999</v>
      </c>
      <c r="U2426">
        <v>3.6621090000000002E-3</v>
      </c>
      <c r="V2426">
        <v>-3.6783389999999999E-2</v>
      </c>
      <c r="W2426">
        <v>0.1551226</v>
      </c>
      <c r="X2426">
        <v>0.98721020000000004</v>
      </c>
      <c r="Y2426">
        <v>-1.7931590000000001E-2</v>
      </c>
      <c r="Z2426">
        <v>-1.514292E-3</v>
      </c>
      <c r="AA2426">
        <v>0.99983809999999995</v>
      </c>
      <c r="AB2426">
        <v>50</v>
      </c>
      <c r="AC2426">
        <v>-20.2651</v>
      </c>
      <c r="AD2426">
        <v>-1.1095258338068901</v>
      </c>
      <c r="AE2426">
        <v>1.8100000000003998E-2</v>
      </c>
      <c r="AF2426">
        <v>-0.36956989266878598</v>
      </c>
      <c r="AG2426">
        <v>-1.1095258338068901</v>
      </c>
      <c r="AH2426">
        <v>20.201162222241901</v>
      </c>
      <c r="AI2426">
        <v>93.143221916106995</v>
      </c>
      <c r="AJ2426">
        <v>91.048079957383294</v>
      </c>
      <c r="AK2426">
        <v>20.234984176193102</v>
      </c>
      <c r="AL2426">
        <v>81.076093362348203</v>
      </c>
      <c r="AM2426">
        <v>92.1338500318505</v>
      </c>
      <c r="AN2426">
        <v>1.00000000889734</v>
      </c>
    </row>
    <row r="2427" spans="1:40" x14ac:dyDescent="0.25">
      <c r="A2427" t="str">
        <f>"20190312172938186"</f>
        <v>20190312172938186</v>
      </c>
      <c r="B2427" t="str">
        <f>"1552382978179767"</f>
        <v>1552382978179767</v>
      </c>
      <c r="C2427" t="s">
        <v>40</v>
      </c>
      <c r="D2427">
        <v>3.5786190000000002</v>
      </c>
      <c r="E2427">
        <v>0.50872410000000001</v>
      </c>
      <c r="F2427" t="s">
        <v>47</v>
      </c>
      <c r="G2427">
        <v>-443.59480000000002</v>
      </c>
      <c r="H2427" s="1">
        <v>3.33207299999999E-7</v>
      </c>
      <c r="I2427">
        <v>285.59949999999998</v>
      </c>
      <c r="J2427">
        <v>-423.42899999999997</v>
      </c>
      <c r="K2427">
        <v>1.109612</v>
      </c>
      <c r="L2427">
        <v>285.58519999999999</v>
      </c>
      <c r="M2427">
        <v>-0.99969379999999997</v>
      </c>
      <c r="N2427">
        <v>0</v>
      </c>
      <c r="O2427">
        <v>1.918197E-2</v>
      </c>
      <c r="P2427">
        <v>-0.98987259999999999</v>
      </c>
      <c r="Q2427">
        <v>0.14088310000000001</v>
      </c>
      <c r="R2427">
        <v>-1.7441499999999999E-2</v>
      </c>
      <c r="S2427">
        <v>-3.0536799999999999</v>
      </c>
      <c r="T2427">
        <v>-0.1646379</v>
      </c>
      <c r="U2427">
        <v>3.2958979999999998E-3</v>
      </c>
      <c r="V2427">
        <v>-3.6422309999999999E-2</v>
      </c>
      <c r="W2427">
        <v>0.15634200000000001</v>
      </c>
      <c r="X2427">
        <v>0.9870312</v>
      </c>
      <c r="Y2427">
        <v>-1.8051109999999999E-2</v>
      </c>
      <c r="Z2427">
        <v>-1.519769E-3</v>
      </c>
      <c r="AA2427">
        <v>0.9998359</v>
      </c>
      <c r="AB2427">
        <v>50</v>
      </c>
      <c r="AC2427">
        <v>-20.165799999999901</v>
      </c>
      <c r="AD2427">
        <v>-1.1096116667927001</v>
      </c>
      <c r="AE2427">
        <v>1.42999999999915E-2</v>
      </c>
      <c r="AF2427">
        <v>-0.371445053147894</v>
      </c>
      <c r="AG2427">
        <v>-1.1096116667927001</v>
      </c>
      <c r="AH2427">
        <v>20.1015020591108</v>
      </c>
      <c r="AI2427">
        <v>93.159007254877196</v>
      </c>
      <c r="AJ2427">
        <v>91.058618007701099</v>
      </c>
      <c r="AK2427">
        <v>20.1355306488562</v>
      </c>
      <c r="AL2427">
        <v>81.0053638344028</v>
      </c>
      <c r="AM2427">
        <v>92.113305248497795</v>
      </c>
      <c r="AN2427">
        <v>0.99999999770158798</v>
      </c>
    </row>
    <row r="2428" spans="1:40" x14ac:dyDescent="0.25">
      <c r="A2428" t="str">
        <f>"20190312172938208"</f>
        <v>20190312172938208</v>
      </c>
      <c r="B2428" t="str">
        <f>"1552382978200267"</f>
        <v>1552382978200267</v>
      </c>
      <c r="C2428" t="s">
        <v>40</v>
      </c>
      <c r="D2428">
        <v>3.5761340000000001</v>
      </c>
      <c r="E2428">
        <v>0.50875590000000004</v>
      </c>
      <c r="F2428" t="s">
        <v>47</v>
      </c>
      <c r="G2428">
        <v>-444.27539999999999</v>
      </c>
      <c r="H2428" s="1">
        <v>6.9489180000000002E-7</v>
      </c>
      <c r="I2428">
        <v>285.61090000000002</v>
      </c>
      <c r="J2428">
        <v>-423.91309999999999</v>
      </c>
      <c r="K2428">
        <v>1.1097360000000001</v>
      </c>
      <c r="L2428">
        <v>285.59449999999998</v>
      </c>
      <c r="M2428">
        <v>-0.99968500000000005</v>
      </c>
      <c r="N2428">
        <v>0</v>
      </c>
      <c r="O2428">
        <v>1.9181940000000001E-2</v>
      </c>
      <c r="P2428">
        <v>-0.98979530000000004</v>
      </c>
      <c r="Q2428">
        <v>0.14140559999999999</v>
      </c>
      <c r="R2428">
        <v>-1.7599210000000001E-2</v>
      </c>
      <c r="S2428">
        <v>-3.053925</v>
      </c>
      <c r="T2428">
        <v>-0.16255429999999901</v>
      </c>
      <c r="U2428">
        <v>3.7536620000000001E-3</v>
      </c>
      <c r="V2428">
        <v>-3.6578470000000002E-2</v>
      </c>
      <c r="W2428">
        <v>0.15739839999999999</v>
      </c>
      <c r="X2428">
        <v>0.98685750000000005</v>
      </c>
      <c r="Y2428">
        <v>-1.7903039999999999E-2</v>
      </c>
      <c r="Z2428">
        <v>-1.4965110000000001E-3</v>
      </c>
      <c r="AA2428">
        <v>0.99983860000000002</v>
      </c>
      <c r="AB2428">
        <v>50</v>
      </c>
      <c r="AC2428">
        <v>-20.362300000000001</v>
      </c>
      <c r="AD2428">
        <v>-1.1097353051082</v>
      </c>
      <c r="AE2428">
        <v>1.6400000000032802E-2</v>
      </c>
      <c r="AF2428">
        <v>-0.37313432180023298</v>
      </c>
      <c r="AG2428">
        <v>-1.1097353051082</v>
      </c>
      <c r="AH2428">
        <v>20.298576460671999</v>
      </c>
      <c r="AI2428">
        <v>93.128751790642099</v>
      </c>
      <c r="AJ2428">
        <v>91.053109034933399</v>
      </c>
      <c r="AK2428">
        <v>20.332312903338298</v>
      </c>
      <c r="AL2428">
        <v>80.944077667485701</v>
      </c>
      <c r="AM2428">
        <v>92.1227309598179</v>
      </c>
      <c r="AN2428">
        <v>0.99999998304817495</v>
      </c>
    </row>
    <row r="2429" spans="1:40" x14ac:dyDescent="0.25">
      <c r="A2429" t="str">
        <f>"20190312172938224"</f>
        <v>20190312172938224</v>
      </c>
      <c r="B2429" t="str">
        <f>"1552382978219784"</f>
        <v>1552382978219784</v>
      </c>
      <c r="C2429" t="s">
        <v>40</v>
      </c>
      <c r="D2429">
        <v>3.5476930000000002</v>
      </c>
      <c r="E2429">
        <v>0.50876960000000004</v>
      </c>
      <c r="F2429" t="s">
        <v>47</v>
      </c>
      <c r="G2429">
        <v>-444.892</v>
      </c>
      <c r="H2429" s="1">
        <v>1.022809E-6</v>
      </c>
      <c r="I2429">
        <v>285.61610000000002</v>
      </c>
      <c r="J2429">
        <v>-424.25990000000002</v>
      </c>
      <c r="K2429">
        <v>1.1098250000000001</v>
      </c>
      <c r="L2429">
        <v>285.60120000000001</v>
      </c>
      <c r="M2429">
        <v>-0.99967779999999995</v>
      </c>
      <c r="N2429">
        <v>0</v>
      </c>
      <c r="O2429">
        <v>1.9182049999999999E-2</v>
      </c>
      <c r="P2429">
        <v>-0.98979499999999998</v>
      </c>
      <c r="Q2429">
        <v>0.14143789999999901</v>
      </c>
      <c r="R2429">
        <v>-1.7357819999999999E-2</v>
      </c>
      <c r="S2429">
        <v>-3.0541079999999998</v>
      </c>
      <c r="T2429">
        <v>-0.161554799999999</v>
      </c>
      <c r="U2429">
        <v>3.1433110000000002E-3</v>
      </c>
      <c r="V2429">
        <v>-3.6337590000000003E-2</v>
      </c>
      <c r="W2429">
        <v>0.157868799999999</v>
      </c>
      <c r="X2429">
        <v>0.98679130000000004</v>
      </c>
      <c r="Y2429">
        <v>-1.8103540000000001E-2</v>
      </c>
      <c r="Z2429">
        <v>-1.4925470000000001E-3</v>
      </c>
      <c r="AA2429">
        <v>0.99983500000000003</v>
      </c>
      <c r="AB2429">
        <v>50</v>
      </c>
      <c r="AC2429">
        <v>-20.632099999999902</v>
      </c>
      <c r="AD2429">
        <v>-1.1098239771909999</v>
      </c>
      <c r="AE2429">
        <v>1.4900000000011401E-2</v>
      </c>
      <c r="AF2429">
        <v>-0.37982439551054398</v>
      </c>
      <c r="AG2429">
        <v>-1.1098239771909999</v>
      </c>
      <c r="AH2429">
        <v>20.569072366579999</v>
      </c>
      <c r="AI2429">
        <v>93.087928431358705</v>
      </c>
      <c r="AJ2429">
        <v>91.057892227122693</v>
      </c>
      <c r="AK2429">
        <v>20.6024929038546</v>
      </c>
      <c r="AL2429">
        <v>80.916784880032907</v>
      </c>
      <c r="AM2429">
        <v>92.108906154407705</v>
      </c>
      <c r="AN2429">
        <v>1.00000002410806</v>
      </c>
    </row>
    <row r="2430" spans="1:40" x14ac:dyDescent="0.25">
      <c r="A2430" t="str">
        <f>"20190312172938241"</f>
        <v>20190312172938241</v>
      </c>
      <c r="B2430" t="str">
        <f>"1552382978229543"</f>
        <v>1552382978229543</v>
      </c>
      <c r="C2430" t="s">
        <v>40</v>
      </c>
      <c r="D2430">
        <v>3.5437799999999999</v>
      </c>
      <c r="E2430">
        <v>0.50879169999999996</v>
      </c>
      <c r="F2430" t="s">
        <v>47</v>
      </c>
      <c r="G2430">
        <v>-445.2097</v>
      </c>
      <c r="H2430" s="1">
        <v>1.191326E-6</v>
      </c>
      <c r="I2430">
        <v>285.62819999999999</v>
      </c>
      <c r="J2430">
        <v>-424.65859999999998</v>
      </c>
      <c r="K2430">
        <v>1.109926</v>
      </c>
      <c r="L2430">
        <v>285.60879999999997</v>
      </c>
      <c r="M2430">
        <v>-0.99966869999999997</v>
      </c>
      <c r="N2430">
        <v>0</v>
      </c>
      <c r="O2430">
        <v>1.9182149999999999E-2</v>
      </c>
      <c r="P2430">
        <v>-0.98984749999999999</v>
      </c>
      <c r="Q2430">
        <v>0.14099879999999901</v>
      </c>
      <c r="R2430">
        <v>-1.7927950000000002E-2</v>
      </c>
      <c r="S2430">
        <v>-3.0541079999999998</v>
      </c>
      <c r="T2430">
        <v>-0.16179250000000001</v>
      </c>
      <c r="U2430">
        <v>3.9367680000000002E-3</v>
      </c>
      <c r="V2430">
        <v>-3.690922E-2</v>
      </c>
      <c r="W2430">
        <v>0.15796009999999999</v>
      </c>
      <c r="X2430">
        <v>0.98675539999999995</v>
      </c>
      <c r="Y2430">
        <v>-1.7844269999999999E-2</v>
      </c>
      <c r="Z2430">
        <v>-1.4878910000000001E-3</v>
      </c>
      <c r="AA2430">
        <v>0.9998397</v>
      </c>
      <c r="AB2430">
        <v>49</v>
      </c>
      <c r="AC2430">
        <v>-20.551100000000002</v>
      </c>
      <c r="AD2430">
        <v>-1.1099248086739999</v>
      </c>
      <c r="AE2430">
        <v>1.9400000000018701E-2</v>
      </c>
      <c r="AF2430">
        <v>-0.37378563836922701</v>
      </c>
      <c r="AG2430">
        <v>-1.1099248086739999</v>
      </c>
      <c r="AH2430">
        <v>20.487929228820999</v>
      </c>
      <c r="AI2430">
        <v>93.100428159355701</v>
      </c>
      <c r="AJ2430">
        <v>91.0451990345464</v>
      </c>
      <c r="AK2430">
        <v>20.521376485741399</v>
      </c>
      <c r="AL2430">
        <v>80.911486640912401</v>
      </c>
      <c r="AM2430">
        <v>92.142128746749506</v>
      </c>
      <c r="AN2430">
        <v>0.99999995157108701</v>
      </c>
    </row>
    <row r="2431" spans="1:40" x14ac:dyDescent="0.25">
      <c r="A2431" t="str">
        <f>"20190312172938265"</f>
        <v>20190312172938265</v>
      </c>
      <c r="B2431" t="str">
        <f>"1552382978259799"</f>
        <v>1552382978259799</v>
      </c>
      <c r="C2431" t="s">
        <v>40</v>
      </c>
      <c r="D2431">
        <v>3.5222500000000001</v>
      </c>
      <c r="E2431">
        <v>0.50893559999999904</v>
      </c>
      <c r="F2431" t="s">
        <v>47</v>
      </c>
      <c r="G2431">
        <v>-445.40089999999998</v>
      </c>
      <c r="H2431" s="1">
        <v>1.2931420000000001E-6</v>
      </c>
      <c r="I2431">
        <v>285.62720000000002</v>
      </c>
      <c r="J2431">
        <v>-425.16559999999998</v>
      </c>
      <c r="K2431">
        <v>1.110036</v>
      </c>
      <c r="L2431">
        <v>285.61849999999998</v>
      </c>
      <c r="M2431">
        <v>-0.99965680000000001</v>
      </c>
      <c r="N2431">
        <v>0</v>
      </c>
      <c r="O2431">
        <v>1.9182100000000001E-2</v>
      </c>
      <c r="P2431">
        <v>-0.99002579999999996</v>
      </c>
      <c r="Q2431">
        <v>0.1397079</v>
      </c>
      <c r="R2431">
        <v>-1.8191079999999998E-2</v>
      </c>
      <c r="S2431">
        <v>-3.0541079999999998</v>
      </c>
      <c r="T2431">
        <v>-0.16342519999999999</v>
      </c>
      <c r="U2431">
        <v>2.7160639999999998E-3</v>
      </c>
      <c r="V2431">
        <v>-3.7175470000000002E-2</v>
      </c>
      <c r="W2431">
        <v>0.15734519999999999</v>
      </c>
      <c r="X2431">
        <v>0.98684369999999999</v>
      </c>
      <c r="Y2431">
        <v>-1.824245E-2</v>
      </c>
      <c r="Z2431">
        <v>-1.513541E-3</v>
      </c>
      <c r="AA2431">
        <v>0.99983250000000001</v>
      </c>
      <c r="AB2431">
        <v>49</v>
      </c>
      <c r="AC2431">
        <v>-20.235299999999899</v>
      </c>
      <c r="AD2431">
        <v>-1.1100347068580001</v>
      </c>
      <c r="AE2431">
        <v>8.7000000000330095E-3</v>
      </c>
      <c r="AF2431">
        <v>-0.37838031567744701</v>
      </c>
      <c r="AG2431">
        <v>-1.1100347068580001</v>
      </c>
      <c r="AH2431">
        <v>20.171043483719199</v>
      </c>
      <c r="AI2431">
        <v>93.149319675058393</v>
      </c>
      <c r="AJ2431">
        <v>91.074661942388403</v>
      </c>
      <c r="AK2431">
        <v>20.205106877614199</v>
      </c>
      <c r="AL2431">
        <v>80.947164490471906</v>
      </c>
      <c r="AM2431">
        <v>92.157373880202798</v>
      </c>
      <c r="AN2431">
        <v>1.0000000078812199</v>
      </c>
    </row>
    <row r="2432" spans="1:40" x14ac:dyDescent="0.25">
      <c r="A2432" t="str">
        <f>"20190312172938288"</f>
        <v>20190312172938288</v>
      </c>
      <c r="B2432" t="str">
        <f>"1552382978280295"</f>
        <v>1552382978280295</v>
      </c>
      <c r="C2432" t="s">
        <v>40</v>
      </c>
      <c r="D2432">
        <v>3.5020259999999999</v>
      </c>
      <c r="E2432">
        <v>0.50905500000000004</v>
      </c>
      <c r="F2432" t="s">
        <v>47</v>
      </c>
      <c r="G2432">
        <v>-445.31970000000001</v>
      </c>
      <c r="H2432" s="1">
        <v>1.249313E-6</v>
      </c>
      <c r="I2432">
        <v>285.64109999999999</v>
      </c>
      <c r="J2432">
        <v>-425.64710000000002</v>
      </c>
      <c r="K2432">
        <v>1.1101270000000001</v>
      </c>
      <c r="L2432">
        <v>285.6277</v>
      </c>
      <c r="M2432">
        <v>-0.99964509999999995</v>
      </c>
      <c r="N2432">
        <v>0</v>
      </c>
      <c r="O2432">
        <v>1.9181989999999999E-2</v>
      </c>
      <c r="P2432">
        <v>-0.99010730000000002</v>
      </c>
      <c r="Q2432">
        <v>0.13904359999999999</v>
      </c>
      <c r="R2432">
        <v>-1.8835830000000001E-2</v>
      </c>
      <c r="S2432">
        <v>-3.0540159999999998</v>
      </c>
      <c r="T2432">
        <v>-0.16820679999999999</v>
      </c>
      <c r="U2432">
        <v>3.4179689999999999E-3</v>
      </c>
      <c r="V2432">
        <v>-3.78217E-2</v>
      </c>
      <c r="W2432">
        <v>0.15731829999999999</v>
      </c>
      <c r="X2432">
        <v>0.98682340000000002</v>
      </c>
      <c r="Y2432">
        <v>-1.800993E-2</v>
      </c>
      <c r="Z2432">
        <v>-1.551413E-3</v>
      </c>
      <c r="AA2432">
        <v>0.99983659999999996</v>
      </c>
      <c r="AB2432">
        <v>49</v>
      </c>
      <c r="AC2432">
        <v>-19.6725999999999</v>
      </c>
      <c r="AD2432">
        <v>-1.1101257506869999</v>
      </c>
      <c r="AE2432">
        <v>1.339999999999E-2</v>
      </c>
      <c r="AF2432">
        <v>-0.36287106795497698</v>
      </c>
      <c r="AG2432">
        <v>-1.1101257506869999</v>
      </c>
      <c r="AH2432">
        <v>19.606801364100701</v>
      </c>
      <c r="AI2432">
        <v>93.240040325287495</v>
      </c>
      <c r="AJ2432">
        <v>91.0602753095026</v>
      </c>
      <c r="AK2432">
        <v>19.6415558020642</v>
      </c>
      <c r="AL2432">
        <v>80.948724889893199</v>
      </c>
      <c r="AM2432">
        <v>92.194884762877194</v>
      </c>
      <c r="AN2432">
        <v>0.99999997564666898</v>
      </c>
    </row>
    <row r="2433" spans="1:40" x14ac:dyDescent="0.25">
      <c r="A2433" t="str">
        <f>"20190312172938309"</f>
        <v>20190312172938309</v>
      </c>
      <c r="B2433" t="str">
        <f>"1552382978299815"</f>
        <v>1552382978299815</v>
      </c>
      <c r="C2433" t="s">
        <v>40</v>
      </c>
      <c r="D2433">
        <v>3.4563519999999999</v>
      </c>
      <c r="E2433">
        <v>0.50905469999999997</v>
      </c>
      <c r="F2433" t="s">
        <v>47</v>
      </c>
      <c r="G2433">
        <v>-445.49090000000001</v>
      </c>
      <c r="H2433" s="1">
        <v>1.340295E-6</v>
      </c>
      <c r="I2433">
        <v>285.64339999999999</v>
      </c>
      <c r="J2433">
        <v>-426.13069999999999</v>
      </c>
      <c r="K2433">
        <v>1.1102160000000001</v>
      </c>
      <c r="L2433">
        <v>285.637</v>
      </c>
      <c r="M2433">
        <v>-0.99963299999999999</v>
      </c>
      <c r="N2433">
        <v>0</v>
      </c>
      <c r="O2433">
        <v>1.9181989999999999E-2</v>
      </c>
      <c r="P2433">
        <v>-0.99005670000000001</v>
      </c>
      <c r="Q2433">
        <v>0.13938220000000001</v>
      </c>
      <c r="R2433">
        <v>-1.89842E-2</v>
      </c>
      <c r="S2433">
        <v>-3.0540159999999998</v>
      </c>
      <c r="T2433">
        <v>-0.17085120000000001</v>
      </c>
      <c r="U2433">
        <v>2.4108889999999998E-3</v>
      </c>
      <c r="V2433">
        <v>-3.7969610000000001E-2</v>
      </c>
      <c r="W2433">
        <v>0.15828919999999999</v>
      </c>
      <c r="X2433">
        <v>0.98666240000000005</v>
      </c>
      <c r="Y2433">
        <v>-1.8337559999999999E-2</v>
      </c>
      <c r="Z2433">
        <v>-1.584937E-3</v>
      </c>
      <c r="AA2433">
        <v>0.99983060000000001</v>
      </c>
      <c r="AB2433">
        <v>49</v>
      </c>
      <c r="AC2433">
        <v>-19.360199999999999</v>
      </c>
      <c r="AD2433">
        <v>-1.110214659705</v>
      </c>
      <c r="AE2433">
        <v>6.39999999998508E-3</v>
      </c>
      <c r="AF2433">
        <v>-0.363839826930063</v>
      </c>
      <c r="AG2433">
        <v>-1.110214659705</v>
      </c>
      <c r="AH2433">
        <v>19.293313846583299</v>
      </c>
      <c r="AI2433">
        <v>93.292812819036797</v>
      </c>
      <c r="AJ2433">
        <v>91.080375094442601</v>
      </c>
      <c r="AK2433">
        <v>19.328655286725201</v>
      </c>
      <c r="AL2433">
        <v>80.892390124364397</v>
      </c>
      <c r="AM2433">
        <v>92.203819091780801</v>
      </c>
      <c r="AN2433">
        <v>0.99999992684697303</v>
      </c>
    </row>
    <row r="2434" spans="1:40" x14ac:dyDescent="0.25">
      <c r="A2434" t="str">
        <f>"20190312172938332"</f>
        <v>20190312172938332</v>
      </c>
      <c r="B2434" t="str">
        <f>"1552382978320312"</f>
        <v>1552382978320312</v>
      </c>
      <c r="C2434" t="s">
        <v>40</v>
      </c>
      <c r="D2434">
        <v>3.4846119999999998</v>
      </c>
      <c r="E2434">
        <v>0.50911099999999998</v>
      </c>
      <c r="F2434" t="s">
        <v>47</v>
      </c>
      <c r="G2434">
        <v>-446.05829999999997</v>
      </c>
      <c r="H2434" s="1">
        <v>1.641972E-6</v>
      </c>
      <c r="I2434">
        <v>285.64920000000001</v>
      </c>
      <c r="J2434">
        <v>-426.62090000000001</v>
      </c>
      <c r="K2434">
        <v>1.1102909999999999</v>
      </c>
      <c r="L2434">
        <v>285.6465</v>
      </c>
      <c r="M2434">
        <v>-0.99962070000000003</v>
      </c>
      <c r="N2434">
        <v>0</v>
      </c>
      <c r="O2434">
        <v>1.918195E-2</v>
      </c>
      <c r="P2434">
        <v>-0.99004479999999995</v>
      </c>
      <c r="Q2434">
        <v>0.13947089999999901</v>
      </c>
      <c r="R2434">
        <v>-1.8953749999999998E-2</v>
      </c>
      <c r="S2434">
        <v>-3.0540769999999999</v>
      </c>
      <c r="T2434">
        <v>-0.17015050000000001</v>
      </c>
      <c r="U2434">
        <v>1.8615719999999999E-3</v>
      </c>
      <c r="V2434">
        <v>-3.7938399999999997E-2</v>
      </c>
      <c r="W2434">
        <v>0.15900010000000001</v>
      </c>
      <c r="X2434">
        <v>0.98654940000000002</v>
      </c>
      <c r="Y2434">
        <v>-1.8517809999999999E-2</v>
      </c>
      <c r="Z2434">
        <v>-1.583444E-3</v>
      </c>
      <c r="AA2434">
        <v>0.99982729999999997</v>
      </c>
      <c r="AB2434">
        <v>49</v>
      </c>
      <c r="AC2434">
        <v>-19.437399999999901</v>
      </c>
      <c r="AD2434">
        <v>-1.110289358028</v>
      </c>
      <c r="AE2434">
        <v>2.7000000000043599E-3</v>
      </c>
      <c r="AF2434">
        <v>-0.36901651086030801</v>
      </c>
      <c r="AG2434">
        <v>-1.110289358028</v>
      </c>
      <c r="AH2434">
        <v>19.3706706749029</v>
      </c>
      <c r="AI2434">
        <v>93.279900007803704</v>
      </c>
      <c r="AJ2434">
        <v>91.091368071627002</v>
      </c>
      <c r="AK2434">
        <v>19.405973256690299</v>
      </c>
      <c r="AL2434">
        <v>80.851137109375301</v>
      </c>
      <c r="AM2434">
        <v>92.202261366854998</v>
      </c>
      <c r="AN2434">
        <v>1.0000000363174599</v>
      </c>
    </row>
    <row r="2435" spans="1:40" x14ac:dyDescent="0.25">
      <c r="A2435" t="str">
        <f>"20190312172938354"</f>
        <v>20190312172938354</v>
      </c>
      <c r="B2435" t="str">
        <f>"1552382978349591"</f>
        <v>1552382978349591</v>
      </c>
      <c r="C2435" t="s">
        <v>40</v>
      </c>
      <c r="D2435">
        <v>3.4581970000000002</v>
      </c>
      <c r="E2435">
        <v>0.50916669999999997</v>
      </c>
      <c r="F2435" t="s">
        <v>47</v>
      </c>
      <c r="G2435">
        <v>-446.49860000000001</v>
      </c>
      <c r="H2435" s="1">
        <v>1.8757539999999999E-6</v>
      </c>
      <c r="I2435">
        <v>285.66180000000003</v>
      </c>
      <c r="J2435">
        <v>-427.09899999999999</v>
      </c>
      <c r="K2435">
        <v>1.1103510000000001</v>
      </c>
      <c r="L2435">
        <v>285.65570000000002</v>
      </c>
      <c r="M2435">
        <v>-0.99960890000000002</v>
      </c>
      <c r="N2435">
        <v>0</v>
      </c>
      <c r="O2435">
        <v>1.9181960000000001E-2</v>
      </c>
      <c r="P2435">
        <v>-0.99006050000000001</v>
      </c>
      <c r="Q2435">
        <v>0.1393925</v>
      </c>
      <c r="R2435">
        <v>-1.8707229999999998E-2</v>
      </c>
      <c r="S2435">
        <v>-3.05423</v>
      </c>
      <c r="T2435">
        <v>-0.1705971</v>
      </c>
      <c r="U2435">
        <v>2.3498540000000002E-3</v>
      </c>
      <c r="V2435">
        <v>-3.769256E-2</v>
      </c>
      <c r="W2435">
        <v>0.159503799999999</v>
      </c>
      <c r="X2435">
        <v>0.98647750000000001</v>
      </c>
      <c r="Y2435">
        <v>-1.835817E-2</v>
      </c>
      <c r="Z2435">
        <v>-1.5830709999999999E-3</v>
      </c>
      <c r="AA2435">
        <v>0.9998302</v>
      </c>
      <c r="AB2435">
        <v>49</v>
      </c>
      <c r="AC2435">
        <v>-19.3996</v>
      </c>
      <c r="AD2435">
        <v>-1.110349124246</v>
      </c>
      <c r="AE2435">
        <v>6.1000000000035401E-3</v>
      </c>
      <c r="AF2435">
        <v>-0.36490514510281802</v>
      </c>
      <c r="AG2435">
        <v>-1.110349124246</v>
      </c>
      <c r="AH2435">
        <v>19.332813425624799</v>
      </c>
      <c r="AI2435">
        <v>93.286496012446406</v>
      </c>
      <c r="AJ2435">
        <v>91.081324375979094</v>
      </c>
      <c r="AK2435">
        <v>19.368110540077399</v>
      </c>
      <c r="AL2435">
        <v>80.821904046215394</v>
      </c>
      <c r="AM2435">
        <v>92.188163995640295</v>
      </c>
      <c r="AN2435">
        <v>1.00000002465002</v>
      </c>
    </row>
    <row r="2436" spans="1:40" x14ac:dyDescent="0.25">
      <c r="A2436" t="str">
        <f>"20190312172938376"</f>
        <v>20190312172938376</v>
      </c>
      <c r="B2436" t="str">
        <f>"1552382978370091"</f>
        <v>1552382978370091</v>
      </c>
      <c r="C2436" t="s">
        <v>40</v>
      </c>
      <c r="D2436">
        <v>3.4363570000000001</v>
      </c>
      <c r="E2436">
        <v>0.50922409999999996</v>
      </c>
      <c r="F2436" t="s">
        <v>47</v>
      </c>
      <c r="G2436">
        <v>-446.88679999999999</v>
      </c>
      <c r="H2436" s="1">
        <v>2.0815759999999999E-6</v>
      </c>
      <c r="I2436">
        <v>285.67899999999997</v>
      </c>
      <c r="J2436">
        <v>-427.5822</v>
      </c>
      <c r="K2436">
        <v>1.1104080000000001</v>
      </c>
      <c r="L2436">
        <v>285.66489999999999</v>
      </c>
      <c r="M2436">
        <v>-0.99959730000000002</v>
      </c>
      <c r="N2436">
        <v>0</v>
      </c>
      <c r="O2436">
        <v>1.918255E-2</v>
      </c>
      <c r="P2436">
        <v>-0.99008790000000002</v>
      </c>
      <c r="Q2436">
        <v>0.13920469999999999</v>
      </c>
      <c r="R2436">
        <v>-1.8654469999999999E-2</v>
      </c>
      <c r="S2436">
        <v>-3.0543520000000002</v>
      </c>
      <c r="T2436">
        <v>-0.1713885</v>
      </c>
      <c r="U2436">
        <v>3.6010740000000001E-3</v>
      </c>
      <c r="V2436">
        <v>-3.764137E-2</v>
      </c>
      <c r="W2436">
        <v>0.1598715</v>
      </c>
      <c r="X2436">
        <v>0.98641990000000002</v>
      </c>
      <c r="Y2436">
        <v>-1.794954E-2</v>
      </c>
      <c r="Z2436">
        <v>-1.578929E-3</v>
      </c>
      <c r="AA2436">
        <v>0.99983759999999999</v>
      </c>
      <c r="AB2436">
        <v>48</v>
      </c>
      <c r="AC2436">
        <v>-19.304599999999901</v>
      </c>
      <c r="AD2436">
        <v>-1.110405918424</v>
      </c>
      <c r="AE2436">
        <v>1.4100000000041701E-2</v>
      </c>
      <c r="AF2436">
        <v>-0.35512009607617201</v>
      </c>
      <c r="AG2436">
        <v>-1.110405918424</v>
      </c>
      <c r="AH2436">
        <v>19.237667524026101</v>
      </c>
      <c r="AI2436">
        <v>93.302908611168505</v>
      </c>
      <c r="AJ2436">
        <v>91.057538397183507</v>
      </c>
      <c r="AK2436">
        <v>19.2729593822868</v>
      </c>
      <c r="AL2436">
        <v>80.800562242661002</v>
      </c>
      <c r="AM2436">
        <v>92.185322624743904</v>
      </c>
      <c r="AN2436">
        <v>0.99999999418186802</v>
      </c>
    </row>
    <row r="2437" spans="1:40" x14ac:dyDescent="0.25">
      <c r="A2437" t="str">
        <f>"20190312172938398"</f>
        <v>20190312172938398</v>
      </c>
      <c r="B2437" t="str">
        <f>"1552382978389614"</f>
        <v>1552382978389614</v>
      </c>
      <c r="C2437" t="s">
        <v>40</v>
      </c>
      <c r="D2437">
        <v>3.4684309999999998</v>
      </c>
      <c r="E2437">
        <v>0.5092605</v>
      </c>
      <c r="F2437" t="s">
        <v>47</v>
      </c>
      <c r="G2437">
        <v>-447.26130000000001</v>
      </c>
      <c r="H2437" s="1">
        <v>2.2801859999999998E-6</v>
      </c>
      <c r="I2437">
        <v>285.69380000000001</v>
      </c>
      <c r="J2437">
        <v>-428.04430000000002</v>
      </c>
      <c r="K2437">
        <v>1.1104480000000001</v>
      </c>
      <c r="L2437">
        <v>285.67380000000003</v>
      </c>
      <c r="M2437">
        <v>-0.99958659999999999</v>
      </c>
      <c r="N2437">
        <v>0</v>
      </c>
      <c r="O2437">
        <v>1.9182810000000002E-2</v>
      </c>
      <c r="P2437">
        <v>-0.99000529999999998</v>
      </c>
      <c r="Q2437">
        <v>0.1397969</v>
      </c>
      <c r="R2437">
        <v>-1.8615659999999999E-2</v>
      </c>
      <c r="S2437">
        <v>-3.0543520000000002</v>
      </c>
      <c r="T2437">
        <v>-0.17234389999999999</v>
      </c>
      <c r="U2437">
        <v>4.4860840000000004E-3</v>
      </c>
      <c r="V2437">
        <v>-3.760173E-2</v>
      </c>
      <c r="W2437">
        <v>0.16095590000000001</v>
      </c>
      <c r="X2437">
        <v>0.98624500000000004</v>
      </c>
      <c r="Y2437">
        <v>-1.7660100000000001E-2</v>
      </c>
      <c r="Z2437">
        <v>-1.5795819999999999E-3</v>
      </c>
      <c r="AA2437">
        <v>0.99984280000000003</v>
      </c>
      <c r="AB2437">
        <v>48</v>
      </c>
      <c r="AC2437">
        <v>-19.216999999999899</v>
      </c>
      <c r="AD2437">
        <v>-1.1104457198140001</v>
      </c>
      <c r="AE2437">
        <v>1.99999999999818E-2</v>
      </c>
      <c r="AF2437">
        <v>-0.34756377487338103</v>
      </c>
      <c r="AG2437">
        <v>-1.1104457198140001</v>
      </c>
      <c r="AH2437">
        <v>19.1499035588363</v>
      </c>
      <c r="AI2437">
        <v>93.318149535309004</v>
      </c>
      <c r="AJ2437">
        <v>91.039783368665695</v>
      </c>
      <c r="AK2437">
        <v>19.185220785463699</v>
      </c>
      <c r="AL2437">
        <v>80.737615076615398</v>
      </c>
      <c r="AM2437">
        <v>92.183410257803601</v>
      </c>
      <c r="AN2437">
        <v>0.9999999459344</v>
      </c>
    </row>
    <row r="2438" spans="1:40" x14ac:dyDescent="0.25">
      <c r="A2438" t="str">
        <f>"20190312172938413"</f>
        <v>20190312172938413</v>
      </c>
      <c r="B2438" t="str">
        <f>"1552382978410104"</f>
        <v>1552382978410104</v>
      </c>
      <c r="C2438" t="s">
        <v>40</v>
      </c>
      <c r="D2438">
        <v>3.451279</v>
      </c>
      <c r="E2438">
        <v>0.50927449999999996</v>
      </c>
      <c r="F2438" t="s">
        <v>47</v>
      </c>
      <c r="G2438">
        <v>-447.88780000000003</v>
      </c>
      <c r="H2438" s="1">
        <v>2.6131450000000002E-6</v>
      </c>
      <c r="I2438">
        <v>285.70490000000001</v>
      </c>
      <c r="J2438">
        <v>-428.36790000000002</v>
      </c>
      <c r="K2438">
        <v>1.1104750000000001</v>
      </c>
      <c r="L2438">
        <v>285.68</v>
      </c>
      <c r="M2438">
        <v>-0.99957949999999995</v>
      </c>
      <c r="N2438">
        <v>0</v>
      </c>
      <c r="O2438">
        <v>1.918313E-2</v>
      </c>
      <c r="P2438">
        <v>-0.99002129999999999</v>
      </c>
      <c r="Q2438">
        <v>0.13966439999999999</v>
      </c>
      <c r="R2438">
        <v>-1.8749140000000001E-2</v>
      </c>
      <c r="S2438">
        <v>-3.0545040000000001</v>
      </c>
      <c r="T2438">
        <v>-0.17093059999999999</v>
      </c>
      <c r="U2438">
        <v>4.7912600000000003E-3</v>
      </c>
      <c r="V2438">
        <v>-3.7735530000000003E-2</v>
      </c>
      <c r="W2438">
        <v>0.16114410000000001</v>
      </c>
      <c r="X2438">
        <v>0.98620920000000001</v>
      </c>
      <c r="Y2438">
        <v>-1.756185E-2</v>
      </c>
      <c r="Z2438">
        <v>-1.5638500000000001E-3</v>
      </c>
      <c r="AA2438">
        <v>0.99984459999999997</v>
      </c>
      <c r="AB2438">
        <v>48</v>
      </c>
      <c r="AC2438">
        <v>-19.5199</v>
      </c>
      <c r="AD2438">
        <v>-1.1104723868549999</v>
      </c>
      <c r="AE2438">
        <v>2.4900000000002299E-2</v>
      </c>
      <c r="AF2438">
        <v>-0.34851798418882302</v>
      </c>
      <c r="AG2438">
        <v>-1.1104723868549999</v>
      </c>
      <c r="AH2438">
        <v>19.453824167844498</v>
      </c>
      <c r="AI2438">
        <v>93.266516377200801</v>
      </c>
      <c r="AJ2438">
        <v>91.026352119465997</v>
      </c>
      <c r="AK2438">
        <v>19.4886091977001</v>
      </c>
      <c r="AL2438">
        <v>80.726689788947596</v>
      </c>
      <c r="AM2438">
        <v>92.191251492633796</v>
      </c>
      <c r="AN2438">
        <v>0.99999998867691497</v>
      </c>
    </row>
    <row r="2439" spans="1:40" x14ac:dyDescent="0.25">
      <c r="A2439" t="str">
        <f>"20190312172938431"</f>
        <v>20190312172938431</v>
      </c>
      <c r="B2439" t="str">
        <f>"1552382978419864"</f>
        <v>1552382978419864</v>
      </c>
      <c r="C2439" t="s">
        <v>40</v>
      </c>
      <c r="D2439">
        <v>3.4597699999999998</v>
      </c>
      <c r="E2439">
        <v>0.50928770000000001</v>
      </c>
      <c r="F2439" t="s">
        <v>47</v>
      </c>
      <c r="G2439">
        <v>-448.11079999999998</v>
      </c>
      <c r="H2439" s="1">
        <v>2.7315929999999998E-6</v>
      </c>
      <c r="I2439">
        <v>285.70920000000001</v>
      </c>
      <c r="J2439">
        <v>-428.7543</v>
      </c>
      <c r="K2439">
        <v>1.110498</v>
      </c>
      <c r="L2439">
        <v>285.68740000000003</v>
      </c>
      <c r="M2439">
        <v>-0.99957169999999895</v>
      </c>
      <c r="N2439">
        <v>0</v>
      </c>
      <c r="O2439">
        <v>1.918307E-2</v>
      </c>
      <c r="P2439">
        <v>-0.99003699999999994</v>
      </c>
      <c r="Q2439">
        <v>0.13951659999999999</v>
      </c>
      <c r="R2439">
        <v>-1.902496E-2</v>
      </c>
      <c r="S2439">
        <v>-3.0545650000000002</v>
      </c>
      <c r="T2439">
        <v>-0.17180899999999999</v>
      </c>
      <c r="U2439">
        <v>4.5166019999999998E-3</v>
      </c>
      <c r="V2439">
        <v>-3.8011660000000003E-2</v>
      </c>
      <c r="W2439">
        <v>0.1613549</v>
      </c>
      <c r="X2439">
        <v>0.98616420000000005</v>
      </c>
      <c r="Y2439">
        <v>-1.7651150000000001E-2</v>
      </c>
      <c r="Z2439">
        <v>-1.5743560000000001E-3</v>
      </c>
      <c r="AA2439">
        <v>0.99984289999999998</v>
      </c>
      <c r="AB2439">
        <v>48</v>
      </c>
      <c r="AC2439">
        <v>-19.356499999999901</v>
      </c>
      <c r="AD2439">
        <v>-1.110495268407</v>
      </c>
      <c r="AE2439">
        <v>2.17999999999847E-2</v>
      </c>
      <c r="AF2439">
        <v>-0.34846488815050602</v>
      </c>
      <c r="AG2439">
        <v>-1.110495268407</v>
      </c>
      <c r="AH2439">
        <v>19.2898642771355</v>
      </c>
      <c r="AI2439">
        <v>93.294279096190195</v>
      </c>
      <c r="AJ2439">
        <v>91.034916354851205</v>
      </c>
      <c r="AK2439">
        <v>19.324944795515801</v>
      </c>
      <c r="AL2439">
        <v>80.714452352035096</v>
      </c>
      <c r="AM2439">
        <v>92.207370809161105</v>
      </c>
      <c r="AN2439">
        <v>1.0000000597058001</v>
      </c>
    </row>
    <row r="2440" spans="1:40" x14ac:dyDescent="0.25">
      <c r="A2440" t="str">
        <f>"20190312172938455"</f>
        <v>20190312172938455</v>
      </c>
      <c r="B2440" t="str">
        <f>"1552382978450120"</f>
        <v>1552382978450120</v>
      </c>
      <c r="C2440" t="s">
        <v>40</v>
      </c>
      <c r="D2440">
        <v>3.4268559999999999</v>
      </c>
      <c r="E2440">
        <v>0.5092892</v>
      </c>
      <c r="F2440" t="s">
        <v>47</v>
      </c>
      <c r="G2440">
        <v>-448.41359999999997</v>
      </c>
      <c r="H2440" s="1">
        <v>2.8927050000000002E-6</v>
      </c>
      <c r="I2440">
        <v>285.71019999999999</v>
      </c>
      <c r="J2440">
        <v>-429.23590000000002</v>
      </c>
      <c r="K2440">
        <v>1.1105229999999999</v>
      </c>
      <c r="L2440">
        <v>285.69659999999999</v>
      </c>
      <c r="M2440">
        <v>-0.99956250000000002</v>
      </c>
      <c r="N2440">
        <v>0</v>
      </c>
      <c r="O2440">
        <v>1.9183160000000001E-2</v>
      </c>
      <c r="P2440">
        <v>-0.99017999999999995</v>
      </c>
      <c r="Q2440">
        <v>0.13848929999999901</v>
      </c>
      <c r="R2440">
        <v>-1.9086789999999999E-2</v>
      </c>
      <c r="S2440">
        <v>-3.054535</v>
      </c>
      <c r="T2440">
        <v>-0.1725411</v>
      </c>
      <c r="U2440">
        <v>3.540039E-3</v>
      </c>
      <c r="V2440">
        <v>-3.8077109999999997E-2</v>
      </c>
      <c r="W2440">
        <v>0.16074269999999999</v>
      </c>
      <c r="X2440">
        <v>0.98626159999999996</v>
      </c>
      <c r="Y2440">
        <v>-1.7970050000000001E-2</v>
      </c>
      <c r="Z2440">
        <v>-1.590087E-3</v>
      </c>
      <c r="AA2440">
        <v>0.99983730000000004</v>
      </c>
      <c r="AB2440">
        <v>47</v>
      </c>
      <c r="AC2440">
        <v>-19.177699999999898</v>
      </c>
      <c r="AD2440">
        <v>-1.1105201072949999</v>
      </c>
      <c r="AE2440">
        <v>1.35999999999967E-2</v>
      </c>
      <c r="AF2440">
        <v>-0.35320030101691702</v>
      </c>
      <c r="AG2440">
        <v>-1.1105201072949999</v>
      </c>
      <c r="AH2440">
        <v>19.110349363624799</v>
      </c>
      <c r="AI2440">
        <v>93.325204016672501</v>
      </c>
      <c r="AJ2440">
        <v>91.058828513295495</v>
      </c>
      <c r="AK2440">
        <v>19.145847021250798</v>
      </c>
      <c r="AL2440">
        <v>80.749992317392199</v>
      </c>
      <c r="AM2440">
        <v>92.210949628260494</v>
      </c>
      <c r="AN2440">
        <v>1.0000000127719</v>
      </c>
    </row>
    <row r="2441" spans="1:40" x14ac:dyDescent="0.25">
      <c r="A2441" t="str">
        <f>"20190312172938476"</f>
        <v>20190312172938476</v>
      </c>
      <c r="B2441" t="str">
        <f>"1552382978469643"</f>
        <v>1552382978469643</v>
      </c>
      <c r="C2441" t="s">
        <v>40</v>
      </c>
      <c r="D2441">
        <v>3.4496980000000002</v>
      </c>
      <c r="E2441">
        <v>0.50929449999999998</v>
      </c>
      <c r="F2441" t="s">
        <v>47</v>
      </c>
      <c r="G2441">
        <v>-448.49979999999999</v>
      </c>
      <c r="H2441" s="1">
        <v>2.9381950000000002E-6</v>
      </c>
      <c r="I2441">
        <v>285.71879999999999</v>
      </c>
      <c r="J2441">
        <v>-429.70159999999998</v>
      </c>
      <c r="K2441">
        <v>1.110547</v>
      </c>
      <c r="L2441">
        <v>285.7056</v>
      </c>
      <c r="M2441">
        <v>-0.9995541</v>
      </c>
      <c r="N2441">
        <v>0</v>
      </c>
      <c r="O2441">
        <v>1.9183470000000001E-2</v>
      </c>
      <c r="P2441">
        <v>-0.99030779999999996</v>
      </c>
      <c r="Q2441">
        <v>0.13749690000000001</v>
      </c>
      <c r="R2441">
        <v>-1.9626850000000001E-2</v>
      </c>
      <c r="S2441">
        <v>-3.0544129999999998</v>
      </c>
      <c r="T2441">
        <v>-0.17607999999999999</v>
      </c>
      <c r="U2441">
        <v>3.5095209999999998E-3</v>
      </c>
      <c r="V2441">
        <v>-3.8619580000000001E-2</v>
      </c>
      <c r="W2441">
        <v>0.1601139</v>
      </c>
      <c r="X2441">
        <v>0.98634279999999996</v>
      </c>
      <c r="Y2441">
        <v>-1.7978000000000001E-2</v>
      </c>
      <c r="Z2441">
        <v>-1.6229669999999999E-3</v>
      </c>
      <c r="AA2441">
        <v>0.99983699999999998</v>
      </c>
      <c r="AB2441">
        <v>47</v>
      </c>
      <c r="AC2441">
        <v>-18.798200000000001</v>
      </c>
      <c r="AD2441">
        <v>-1.110544061805</v>
      </c>
      <c r="AE2441">
        <v>1.31999999999834E-2</v>
      </c>
      <c r="AF2441">
        <v>-0.346302946703684</v>
      </c>
      <c r="AG2441">
        <v>-1.110544061805</v>
      </c>
      <c r="AH2441">
        <v>18.729623830381598</v>
      </c>
      <c r="AI2441">
        <v>93.392713171173497</v>
      </c>
      <c r="AJ2441">
        <v>91.059254412355003</v>
      </c>
      <c r="AK2441">
        <v>18.765714552654401</v>
      </c>
      <c r="AL2441">
        <v>80.786492797882701</v>
      </c>
      <c r="AM2441">
        <v>92.242231833809996</v>
      </c>
      <c r="AN2441">
        <v>1.0000000260222099</v>
      </c>
    </row>
    <row r="2442" spans="1:40" x14ac:dyDescent="0.25">
      <c r="A2442" t="str">
        <f>"20190312172938498"</f>
        <v>20190312172938498</v>
      </c>
      <c r="B2442" t="str">
        <f>"1552382978490139"</f>
        <v>1552382978490139</v>
      </c>
      <c r="C2442" t="s">
        <v>40</v>
      </c>
      <c r="D2442">
        <v>3.4553050000000001</v>
      </c>
      <c r="E2442">
        <v>0.50930980000000003</v>
      </c>
      <c r="F2442" t="s">
        <v>47</v>
      </c>
      <c r="G2442">
        <v>-448.60730000000001</v>
      </c>
      <c r="H2442" s="1">
        <v>2.9954219999999999E-6</v>
      </c>
      <c r="I2442">
        <v>285.71820000000002</v>
      </c>
      <c r="J2442">
        <v>-430.16770000000002</v>
      </c>
      <c r="K2442">
        <v>1.1105640000000001</v>
      </c>
      <c r="L2442">
        <v>285.71449999999999</v>
      </c>
      <c r="M2442">
        <v>-0.9995465</v>
      </c>
      <c r="N2442">
        <v>0</v>
      </c>
      <c r="O2442">
        <v>1.918363E-2</v>
      </c>
      <c r="P2442">
        <v>-0.99041279999999998</v>
      </c>
      <c r="Q2442">
        <v>0.13667860000000001</v>
      </c>
      <c r="R2442">
        <v>-2.0036809999999999E-2</v>
      </c>
      <c r="S2442">
        <v>-3.0543209999999998</v>
      </c>
      <c r="T2442">
        <v>-0.179414299999999</v>
      </c>
      <c r="U2442">
        <v>2.0446779999999999E-3</v>
      </c>
      <c r="V2442">
        <v>-3.9031919999999998E-2</v>
      </c>
      <c r="W2442">
        <v>0.1596206</v>
      </c>
      <c r="X2442">
        <v>0.98640649999999996</v>
      </c>
      <c r="Y2442">
        <v>-1.8454600000000002E-2</v>
      </c>
      <c r="Z2442">
        <v>-1.6677020000000001E-3</v>
      </c>
      <c r="AA2442">
        <v>0.9998283</v>
      </c>
      <c r="AB2442">
        <v>47</v>
      </c>
      <c r="AC2442">
        <v>-18.439599999999899</v>
      </c>
      <c r="AD2442">
        <v>-1.1105610045780001</v>
      </c>
      <c r="AE2442">
        <v>3.70000000003756E-3</v>
      </c>
      <c r="AF2442">
        <v>-0.34886902976467998</v>
      </c>
      <c r="AG2442">
        <v>-1.1105610045780001</v>
      </c>
      <c r="AH2442">
        <v>18.3696439061295</v>
      </c>
      <c r="AI2442">
        <v>93.459058633445395</v>
      </c>
      <c r="AJ2442">
        <v>91.088008044450007</v>
      </c>
      <c r="AK2442">
        <v>18.406489958240801</v>
      </c>
      <c r="AL2442">
        <v>80.815124863742597</v>
      </c>
      <c r="AM2442">
        <v>92.266001052189196</v>
      </c>
      <c r="AN2442">
        <v>1.00000000498274</v>
      </c>
    </row>
    <row r="2443" spans="1:40" x14ac:dyDescent="0.25">
      <c r="A2443" t="str">
        <f>"20190312172938521"</f>
        <v>20190312172938521</v>
      </c>
      <c r="B2443" t="str">
        <f>"1552382978509462"</f>
        <v>1552382978509462</v>
      </c>
      <c r="C2443" t="s">
        <v>40</v>
      </c>
      <c r="D2443">
        <v>3.4369640000000001</v>
      </c>
      <c r="E2443">
        <v>0.50932820000000001</v>
      </c>
      <c r="F2443" t="s">
        <v>47</v>
      </c>
      <c r="G2443">
        <v>-448.77940000000001</v>
      </c>
      <c r="H2443" s="1">
        <v>3.0868400000000001E-6</v>
      </c>
      <c r="I2443">
        <v>285.72230000000002</v>
      </c>
      <c r="J2443">
        <v>-430.63240000000002</v>
      </c>
      <c r="K2443">
        <v>1.110579</v>
      </c>
      <c r="L2443">
        <v>285.72340000000003</v>
      </c>
      <c r="M2443">
        <v>-0.99953970000000003</v>
      </c>
      <c r="N2443">
        <v>0</v>
      </c>
      <c r="O2443">
        <v>1.9183639999999998E-2</v>
      </c>
      <c r="P2443">
        <v>-0.99049929999999997</v>
      </c>
      <c r="Q2443">
        <v>0.13591639999999999</v>
      </c>
      <c r="R2443">
        <v>-2.0930819999999999E-2</v>
      </c>
      <c r="S2443">
        <v>-3.05423</v>
      </c>
      <c r="T2443">
        <v>-0.18224570000000001</v>
      </c>
      <c r="U2443">
        <v>1.2817379999999999E-3</v>
      </c>
      <c r="V2443">
        <v>-3.9927709999999998E-2</v>
      </c>
      <c r="W2443">
        <v>0.1591513</v>
      </c>
      <c r="X2443">
        <v>0.9864465</v>
      </c>
      <c r="Y2443">
        <v>-1.870196E-2</v>
      </c>
      <c r="Z2443">
        <v>-1.7014090000000001E-3</v>
      </c>
      <c r="AA2443">
        <v>0.99982360000000003</v>
      </c>
      <c r="AB2443">
        <v>47</v>
      </c>
      <c r="AC2443">
        <v>-18.146999999999899</v>
      </c>
      <c r="AD2443">
        <v>-1.1105759131599999</v>
      </c>
      <c r="AE2443">
        <v>-1.1000000000080899E-3</v>
      </c>
      <c r="AF2443">
        <v>-0.34801806779970601</v>
      </c>
      <c r="AG2443">
        <v>-1.1105759131599999</v>
      </c>
      <c r="AH2443">
        <v>18.075937739536698</v>
      </c>
      <c r="AI2443">
        <v>93.515152751879896</v>
      </c>
      <c r="AJ2443">
        <v>91.102985832129207</v>
      </c>
      <c r="AK2443">
        <v>18.113365799817899</v>
      </c>
      <c r="AL2443">
        <v>80.842362173901094</v>
      </c>
      <c r="AM2443">
        <v>92.317856228683496</v>
      </c>
      <c r="AN2443">
        <v>1.0000000278398899</v>
      </c>
    </row>
    <row r="2444" spans="1:40" x14ac:dyDescent="0.25">
      <c r="A2444" t="str">
        <f>"20190312172938544"</f>
        <v>20190312172938544</v>
      </c>
      <c r="B2444" t="str">
        <f>"1552382978539704"</f>
        <v>1552382978539704</v>
      </c>
      <c r="C2444" t="s">
        <v>40</v>
      </c>
      <c r="D2444">
        <v>3.4290389999999999</v>
      </c>
      <c r="E2444">
        <v>0.50935269999999999</v>
      </c>
      <c r="F2444" t="s">
        <v>47</v>
      </c>
      <c r="G2444">
        <v>-448.98860000000002</v>
      </c>
      <c r="H2444" s="1">
        <v>3.1984129999999999E-6</v>
      </c>
      <c r="I2444">
        <v>285.71609999999998</v>
      </c>
      <c r="J2444">
        <v>-431.09820000000002</v>
      </c>
      <c r="K2444">
        <v>1.110603</v>
      </c>
      <c r="L2444">
        <v>285.73239999999998</v>
      </c>
      <c r="M2444">
        <v>-0.999533</v>
      </c>
      <c r="N2444">
        <v>0</v>
      </c>
      <c r="O2444">
        <v>1.918392E-2</v>
      </c>
      <c r="P2444">
        <v>-0.99054120000000001</v>
      </c>
      <c r="Q2444">
        <v>0.135430299999999</v>
      </c>
      <c r="R2444">
        <v>-2.2072809999999998E-2</v>
      </c>
      <c r="S2444">
        <v>-3.0540769999999999</v>
      </c>
      <c r="T2444">
        <v>-0.1847761</v>
      </c>
      <c r="U2444">
        <v>-1.2207030000000001E-3</v>
      </c>
      <c r="V2444">
        <v>-4.1070179999999998E-2</v>
      </c>
      <c r="W2444">
        <v>0.15894549999999999</v>
      </c>
      <c r="X2444">
        <v>0.98643270000000005</v>
      </c>
      <c r="Y2444">
        <v>-1.9518190000000001E-2</v>
      </c>
      <c r="Z2444">
        <v>-1.7497700000000001E-3</v>
      </c>
      <c r="AA2444">
        <v>0.99980800000000003</v>
      </c>
      <c r="AB2444">
        <v>47</v>
      </c>
      <c r="AC2444">
        <v>-17.8904</v>
      </c>
      <c r="AD2444">
        <v>-1.110599801587</v>
      </c>
      <c r="AE2444">
        <v>-1.6300000000001001E-2</v>
      </c>
      <c r="AF2444">
        <v>-0.358221660055761</v>
      </c>
      <c r="AG2444">
        <v>-1.110599801587</v>
      </c>
      <c r="AH2444">
        <v>17.818127793361601</v>
      </c>
      <c r="AI2444">
        <v>93.565900036881601</v>
      </c>
      <c r="AJ2444">
        <v>91.151738550771398</v>
      </c>
      <c r="AK2444">
        <v>17.85629952531</v>
      </c>
      <c r="AL2444">
        <v>80.854304973542099</v>
      </c>
      <c r="AM2444">
        <v>92.384135968283502</v>
      </c>
      <c r="AN2444">
        <v>0.99999995164238498</v>
      </c>
    </row>
    <row r="2445" spans="1:40" x14ac:dyDescent="0.25">
      <c r="A2445" t="str">
        <f>"20190312172938566"</f>
        <v>20190312172938566</v>
      </c>
      <c r="B2445" t="str">
        <f>"1552382978560200"</f>
        <v>1552382978560200</v>
      </c>
      <c r="C2445" t="s">
        <v>40</v>
      </c>
      <c r="D2445">
        <v>3.451962</v>
      </c>
      <c r="E2445">
        <v>0.50931800000000005</v>
      </c>
      <c r="F2445" t="s">
        <v>47</v>
      </c>
      <c r="G2445">
        <v>-449.31020000000001</v>
      </c>
      <c r="H2445" s="1">
        <v>3.3700330000000002E-6</v>
      </c>
      <c r="I2445">
        <v>285.70490000000001</v>
      </c>
      <c r="J2445">
        <v>-431.55439999999999</v>
      </c>
      <c r="K2445">
        <v>1.110644</v>
      </c>
      <c r="L2445">
        <v>285.74110000000002</v>
      </c>
      <c r="M2445">
        <v>-0.99952549999999996</v>
      </c>
      <c r="N2445">
        <v>0</v>
      </c>
      <c r="O2445">
        <v>1.9184400000000001E-2</v>
      </c>
      <c r="P2445">
        <v>-0.99054980000000004</v>
      </c>
      <c r="Q2445">
        <v>0.13520019999999999</v>
      </c>
      <c r="R2445">
        <v>-2.307319E-2</v>
      </c>
      <c r="S2445">
        <v>-3.0539860000000001</v>
      </c>
      <c r="T2445">
        <v>-0.1862376</v>
      </c>
      <c r="U2445">
        <v>-4.6081539999999997E-3</v>
      </c>
      <c r="V2445">
        <v>-4.2071509999999999E-2</v>
      </c>
      <c r="W2445">
        <v>0.1590232</v>
      </c>
      <c r="X2445">
        <v>0.98637799999999998</v>
      </c>
      <c r="Y2445">
        <v>-2.062462E-2</v>
      </c>
      <c r="Z2445">
        <v>-1.7973829999999901E-3</v>
      </c>
      <c r="AA2445">
        <v>0.9997857</v>
      </c>
      <c r="AB2445">
        <v>46</v>
      </c>
      <c r="AC2445">
        <v>-17.755800000000001</v>
      </c>
      <c r="AD2445">
        <v>-1.110640629967</v>
      </c>
      <c r="AE2445">
        <v>-3.6200000000007997E-2</v>
      </c>
      <c r="AF2445">
        <v>-0.37545764207348897</v>
      </c>
      <c r="AG2445">
        <v>-1.110640629967</v>
      </c>
      <c r="AH2445">
        <v>17.682650651881101</v>
      </c>
      <c r="AI2445">
        <v>93.593197352505896</v>
      </c>
      <c r="AJ2445">
        <v>91.216384731855797</v>
      </c>
      <c r="AK2445">
        <v>17.721473559678898</v>
      </c>
      <c r="AL2445">
        <v>80.849795949596498</v>
      </c>
      <c r="AM2445">
        <v>92.442329192933897</v>
      </c>
      <c r="AN2445">
        <v>0.99999997448795896</v>
      </c>
    </row>
    <row r="2446" spans="1:40" x14ac:dyDescent="0.25">
      <c r="A2446" t="str">
        <f>"20190312172938588"</f>
        <v>20190312172938588</v>
      </c>
      <c r="B2446" t="str">
        <f>"1552382978579720"</f>
        <v>1552382978579720</v>
      </c>
      <c r="C2446" t="s">
        <v>40</v>
      </c>
      <c r="D2446">
        <v>3.4439690000000001</v>
      </c>
      <c r="E2446">
        <v>0.49885400000000002</v>
      </c>
      <c r="F2446" t="s">
        <v>47</v>
      </c>
      <c r="G2446">
        <v>-449.71230000000003</v>
      </c>
      <c r="H2446" s="1">
        <v>3.584503E-6</v>
      </c>
      <c r="I2446">
        <v>285.69450000000001</v>
      </c>
      <c r="J2446">
        <v>-432.01150000000001</v>
      </c>
      <c r="K2446">
        <v>1.1107049999999901</v>
      </c>
      <c r="L2446">
        <v>285.74990000000003</v>
      </c>
      <c r="M2446">
        <v>-0.99951679999999998</v>
      </c>
      <c r="N2446">
        <v>0</v>
      </c>
      <c r="O2446">
        <v>1.9184719999999999E-2</v>
      </c>
      <c r="P2446">
        <v>-0.99036800000000003</v>
      </c>
      <c r="Q2446">
        <v>0.13633390000000001</v>
      </c>
      <c r="R2446">
        <v>-2.417478E-2</v>
      </c>
      <c r="S2446">
        <v>-3.0538940000000001</v>
      </c>
      <c r="T2446">
        <v>-0.18679270000000001</v>
      </c>
      <c r="U2446">
        <v>-7.8430180000000002E-3</v>
      </c>
      <c r="V2446">
        <v>-4.317008E-2</v>
      </c>
      <c r="W2446">
        <v>0.16050220000000001</v>
      </c>
      <c r="X2446">
        <v>0.98609100000000005</v>
      </c>
      <c r="Y2446">
        <v>-2.168173E-2</v>
      </c>
      <c r="Z2446">
        <v>-1.8351140000000001E-3</v>
      </c>
      <c r="AA2446">
        <v>0.99976330000000002</v>
      </c>
      <c r="AB2446">
        <v>46</v>
      </c>
      <c r="AC2446">
        <v>-17.700800000000001</v>
      </c>
      <c r="AD2446">
        <v>-1.1107014154970001</v>
      </c>
      <c r="AE2446">
        <v>-5.54000000000201E-2</v>
      </c>
      <c r="AF2446">
        <v>-0.393526835337495</v>
      </c>
      <c r="AG2446">
        <v>-1.1107014154970001</v>
      </c>
      <c r="AH2446">
        <v>17.627073128590599</v>
      </c>
      <c r="AI2446">
        <v>93.604608042329104</v>
      </c>
      <c r="AJ2446">
        <v>91.278923720215801</v>
      </c>
      <c r="AK2446">
        <v>17.666415258484001</v>
      </c>
      <c r="AL2446">
        <v>80.763953439482705</v>
      </c>
      <c r="AM2446">
        <v>92.506751390881902</v>
      </c>
      <c r="AN2446">
        <v>1.00000003614652</v>
      </c>
    </row>
    <row r="2447" spans="1:40" x14ac:dyDescent="0.25">
      <c r="A2447" t="str">
        <f>"20190312172938610"</f>
        <v>20190312172938610</v>
      </c>
      <c r="B2447" t="str">
        <f>"1552382978600216"</f>
        <v>1552382978600216</v>
      </c>
      <c r="C2447" t="s">
        <v>40</v>
      </c>
      <c r="D2447">
        <v>3.4462540000000002</v>
      </c>
      <c r="E2447">
        <v>0.49856299999999998</v>
      </c>
      <c r="F2447" t="s">
        <v>47</v>
      </c>
      <c r="G2447">
        <v>-454.50889999999998</v>
      </c>
      <c r="H2447" s="1">
        <v>8.4323159999999999E-7</v>
      </c>
      <c r="I2447">
        <v>285.0598</v>
      </c>
      <c r="J2447">
        <v>-432.4581</v>
      </c>
      <c r="K2447">
        <v>1.1107769999999999</v>
      </c>
      <c r="L2447">
        <v>285.75839999999999</v>
      </c>
      <c r="M2447">
        <v>-0.99950779999999995</v>
      </c>
      <c r="N2447">
        <v>0</v>
      </c>
      <c r="O2447">
        <v>1.9185319999999999E-2</v>
      </c>
      <c r="P2447">
        <v>-0.99010949999999998</v>
      </c>
      <c r="Q2447">
        <v>0.13802710000000001</v>
      </c>
      <c r="R2447">
        <v>-2.513835E-2</v>
      </c>
      <c r="S2447">
        <v>-3.0476070000000002</v>
      </c>
      <c r="T2447">
        <v>-0.1504617</v>
      </c>
      <c r="U2447">
        <v>-9.3475340000000004E-2</v>
      </c>
      <c r="V2447">
        <v>-4.4128880000000002E-2</v>
      </c>
      <c r="W2447">
        <v>0.1625482</v>
      </c>
      <c r="X2447">
        <v>0.98571330000000001</v>
      </c>
      <c r="Y2447">
        <v>-4.9749969999999998E-2</v>
      </c>
      <c r="Z2447">
        <v>-2.1737599999999998E-3</v>
      </c>
      <c r="AA2447">
        <v>0.99875930000000002</v>
      </c>
      <c r="AB2447">
        <v>46</v>
      </c>
      <c r="AC2447">
        <v>-22.050799999999899</v>
      </c>
      <c r="AD2447">
        <v>-1.1107761567684</v>
      </c>
      <c r="AE2447">
        <v>-0.698599999999999</v>
      </c>
      <c r="AF2447">
        <v>-1.11881723011926</v>
      </c>
      <c r="AG2447">
        <v>-1.1107761567684</v>
      </c>
      <c r="AH2447">
        <v>21.977619859302401</v>
      </c>
      <c r="AI2447">
        <v>92.889602338700797</v>
      </c>
      <c r="AJ2447">
        <v>92.914247139048996</v>
      </c>
      <c r="AK2447">
        <v>22.034095178719301</v>
      </c>
      <c r="AL2447">
        <v>80.645166003724498</v>
      </c>
      <c r="AM2447">
        <v>92.563333024412401</v>
      </c>
      <c r="AN2447">
        <v>0.99999999258509198</v>
      </c>
    </row>
    <row r="2448" spans="1:40" x14ac:dyDescent="0.25">
      <c r="A2448" t="str">
        <f>"20190312172938631"</f>
        <v>20190312172938631</v>
      </c>
      <c r="B2448" t="str">
        <f>"1552382978620270"</f>
        <v>1552382978620270</v>
      </c>
      <c r="C2448" t="s">
        <v>40</v>
      </c>
      <c r="D2448">
        <v>3.4265300000000001</v>
      </c>
      <c r="E2448">
        <v>0.49861899999999998</v>
      </c>
      <c r="F2448" t="s">
        <v>47</v>
      </c>
      <c r="G2448">
        <v>-456.17160000000001</v>
      </c>
      <c r="H2448" s="1">
        <v>1.731123E-6</v>
      </c>
      <c r="I2448">
        <v>284.98950000000002</v>
      </c>
      <c r="J2448">
        <v>-432.90260000000001</v>
      </c>
      <c r="K2448">
        <v>1.110854</v>
      </c>
      <c r="L2448">
        <v>285.767</v>
      </c>
      <c r="M2448">
        <v>-0.99949840000000001</v>
      </c>
      <c r="N2448">
        <v>0</v>
      </c>
      <c r="O2448">
        <v>1.9185540000000001E-2</v>
      </c>
      <c r="P2448">
        <v>-0.98987590000000003</v>
      </c>
      <c r="Q2448">
        <v>0.139492899999999</v>
      </c>
      <c r="R2448">
        <v>-2.6228609999999999E-2</v>
      </c>
      <c r="S2448">
        <v>-3.0473629999999998</v>
      </c>
      <c r="T2448">
        <v>-0.14274310000000001</v>
      </c>
      <c r="U2448">
        <v>-9.8815920000000002E-2</v>
      </c>
      <c r="V2448">
        <v>-4.5214810000000001E-2</v>
      </c>
      <c r="W2448">
        <v>0.16437769999999999</v>
      </c>
      <c r="X2448">
        <v>0.98536060000000003</v>
      </c>
      <c r="Y2448">
        <v>-5.1507799999999999E-2</v>
      </c>
      <c r="Z2448">
        <v>-2.1036399999999999E-3</v>
      </c>
      <c r="AA2448">
        <v>0.99867039999999996</v>
      </c>
      <c r="AB2448">
        <v>45</v>
      </c>
      <c r="AC2448">
        <v>-23.268999999999998</v>
      </c>
      <c r="AD2448">
        <v>-1.1108522688769999</v>
      </c>
      <c r="AE2448">
        <v>-0.77749999999997499</v>
      </c>
      <c r="AF2448">
        <v>-1.2211469387104901</v>
      </c>
      <c r="AG2448">
        <v>-1.1108522688769999</v>
      </c>
      <c r="AH2448">
        <v>23.196984373363399</v>
      </c>
      <c r="AI2448">
        <v>92.737888391912307</v>
      </c>
      <c r="AJ2448">
        <v>93.013410739071205</v>
      </c>
      <c r="AK2448">
        <v>23.255650423655201</v>
      </c>
      <c r="AL2448">
        <v>80.538913901266696</v>
      </c>
      <c r="AM2448">
        <v>92.627263389764195</v>
      </c>
      <c r="AN2448">
        <v>0.99999995966649202</v>
      </c>
    </row>
    <row r="2449" spans="1:40" x14ac:dyDescent="0.25">
      <c r="A2449" t="str">
        <f>"20190312172938655"</f>
        <v>20190312172938655</v>
      </c>
      <c r="B2449" t="str">
        <f>"1552382978649550"</f>
        <v>1552382978649550</v>
      </c>
      <c r="C2449" t="s">
        <v>40</v>
      </c>
      <c r="D2449">
        <v>3.4331200000000002</v>
      </c>
      <c r="E2449">
        <v>0.49881579999999898</v>
      </c>
      <c r="F2449" t="s">
        <v>47</v>
      </c>
      <c r="G2449">
        <v>-457.51299999999998</v>
      </c>
      <c r="H2449" s="1">
        <v>2.4468629999999999E-6</v>
      </c>
      <c r="I2449">
        <v>284.94529999999997</v>
      </c>
      <c r="J2449">
        <v>-433.35289999999998</v>
      </c>
      <c r="K2449">
        <v>1.1109260000000001</v>
      </c>
      <c r="L2449">
        <v>285.7756</v>
      </c>
      <c r="M2449">
        <v>-0.9994885</v>
      </c>
      <c r="N2449">
        <v>0</v>
      </c>
      <c r="O2449">
        <v>1.9185460000000001E-2</v>
      </c>
      <c r="P2449">
        <v>-0.989672</v>
      </c>
      <c r="Q2449">
        <v>0.14075509999999999</v>
      </c>
      <c r="R2449">
        <v>-2.7165410000000001E-2</v>
      </c>
      <c r="S2449">
        <v>-3.0473330000000001</v>
      </c>
      <c r="T2449">
        <v>-0.13754939999999999</v>
      </c>
      <c r="U2449">
        <v>-0.10174560000000001</v>
      </c>
      <c r="V2449">
        <v>-4.6147250000000001E-2</v>
      </c>
      <c r="W2449">
        <v>0.166022799999999</v>
      </c>
      <c r="X2449">
        <v>0.98504159999999996</v>
      </c>
      <c r="Y2449">
        <v>-5.2471839999999999E-2</v>
      </c>
      <c r="Z2449">
        <v>-2.0489140000000002E-3</v>
      </c>
      <c r="AA2449">
        <v>0.99862030000000002</v>
      </c>
      <c r="AB2449">
        <v>45</v>
      </c>
      <c r="AC2449">
        <v>-24.1601</v>
      </c>
      <c r="AD2449">
        <v>-1.1109235531370001</v>
      </c>
      <c r="AE2449">
        <v>-0.83030000000002202</v>
      </c>
      <c r="AF2449">
        <v>-1.29109493864488</v>
      </c>
      <c r="AG2449">
        <v>-1.1109235531370001</v>
      </c>
      <c r="AH2449">
        <v>24.088843863063801</v>
      </c>
      <c r="AI2449">
        <v>92.636703070630801</v>
      </c>
      <c r="AJ2449">
        <v>93.067958712791807</v>
      </c>
      <c r="AK2449">
        <v>24.148984987791401</v>
      </c>
      <c r="AL2449">
        <v>80.443344300561293</v>
      </c>
      <c r="AM2449">
        <v>92.682232789118103</v>
      </c>
      <c r="AN2449">
        <v>1.00000004626648</v>
      </c>
    </row>
    <row r="2450" spans="1:40" x14ac:dyDescent="0.25">
      <c r="A2450" t="str">
        <f>"20190312172938676"</f>
        <v>20190312172938676</v>
      </c>
      <c r="B2450" t="str">
        <f>"1552382978670049"</f>
        <v>1552382978670049</v>
      </c>
      <c r="C2450" t="s">
        <v>40</v>
      </c>
      <c r="D2450">
        <v>3.4558460000000002</v>
      </c>
      <c r="E2450">
        <v>0.49892500000000001</v>
      </c>
      <c r="F2450" t="s">
        <v>47</v>
      </c>
      <c r="G2450">
        <v>-458.46140000000003</v>
      </c>
      <c r="H2450" s="1">
        <v>2.9523500000000002E-6</v>
      </c>
      <c r="I2450">
        <v>284.92759999999998</v>
      </c>
      <c r="J2450">
        <v>-433.79419999999999</v>
      </c>
      <c r="K2450">
        <v>1.110989</v>
      </c>
      <c r="L2450">
        <v>285.78410000000002</v>
      </c>
      <c r="M2450">
        <v>-0.99947810000000004</v>
      </c>
      <c r="N2450">
        <v>0</v>
      </c>
      <c r="O2450">
        <v>1.9185730000000002E-2</v>
      </c>
      <c r="P2450">
        <v>-0.9895062</v>
      </c>
      <c r="Q2450">
        <v>0.14170369999999999</v>
      </c>
      <c r="R2450">
        <v>-2.824542E-2</v>
      </c>
      <c r="S2450">
        <v>-3.0476679999999998</v>
      </c>
      <c r="T2450">
        <v>-0.13484389999999999</v>
      </c>
      <c r="U2450">
        <v>-0.10293579999999999</v>
      </c>
      <c r="V2450">
        <v>-4.7224250000000002E-2</v>
      </c>
      <c r="W2450">
        <v>0.16735710000000001</v>
      </c>
      <c r="X2450">
        <v>0.98476470000000005</v>
      </c>
      <c r="Y2450">
        <v>-5.2860650000000002E-2</v>
      </c>
      <c r="Z2450">
        <v>-2.0170359999999998E-3</v>
      </c>
      <c r="AA2450">
        <v>0.99859989999999998</v>
      </c>
      <c r="AB2450">
        <v>45</v>
      </c>
      <c r="AC2450">
        <v>-24.667200000000001</v>
      </c>
      <c r="AD2450">
        <v>-1.11098604765</v>
      </c>
      <c r="AE2450">
        <v>-0.85650000000003901</v>
      </c>
      <c r="AF2450">
        <v>-1.3270716525388999</v>
      </c>
      <c r="AG2450">
        <v>-1.11098604765</v>
      </c>
      <c r="AH2450">
        <v>24.596384510270799</v>
      </c>
      <c r="AI2450">
        <v>92.582465489151303</v>
      </c>
      <c r="AJ2450">
        <v>93.088338158364095</v>
      </c>
      <c r="AK2450">
        <v>24.6572005739933</v>
      </c>
      <c r="AL2450">
        <v>80.365809541306305</v>
      </c>
      <c r="AM2450">
        <v>92.745507595394699</v>
      </c>
      <c r="AN2450">
        <v>1.00000002153728</v>
      </c>
    </row>
    <row r="2451" spans="1:40" x14ac:dyDescent="0.25">
      <c r="A2451" t="str">
        <f>"20190312172938700"</f>
        <v>20190312172938700</v>
      </c>
      <c r="B2451" t="str">
        <f>"1552382978689566"</f>
        <v>1552382978689566</v>
      </c>
      <c r="C2451" t="s">
        <v>40</v>
      </c>
      <c r="D2451">
        <v>3.4633690000000001</v>
      </c>
      <c r="E2451">
        <v>0.49909189999999998</v>
      </c>
      <c r="F2451" t="s">
        <v>47</v>
      </c>
      <c r="G2451">
        <v>-459.2235</v>
      </c>
      <c r="H2451" s="1">
        <v>3.3591269999999998E-6</v>
      </c>
      <c r="I2451">
        <v>284.899</v>
      </c>
      <c r="J2451">
        <v>-434.2441</v>
      </c>
      <c r="K2451">
        <v>1.111056</v>
      </c>
      <c r="L2451">
        <v>285.79270000000002</v>
      </c>
      <c r="M2451">
        <v>-0.99946780000000002</v>
      </c>
      <c r="N2451">
        <v>0</v>
      </c>
      <c r="O2451">
        <v>1.9186129999999999E-2</v>
      </c>
      <c r="P2451">
        <v>-0.98955190000000004</v>
      </c>
      <c r="Q2451">
        <v>0.1411346</v>
      </c>
      <c r="R2451">
        <v>-2.946435E-2</v>
      </c>
      <c r="S2451">
        <v>-3.0478519999999998</v>
      </c>
      <c r="T2451">
        <v>-0.13315829999999901</v>
      </c>
      <c r="U2451">
        <v>-0.1060791</v>
      </c>
      <c r="V2451">
        <v>-4.8444710000000002E-2</v>
      </c>
      <c r="W2451">
        <v>0.16717839999999901</v>
      </c>
      <c r="X2451">
        <v>0.98473569999999999</v>
      </c>
      <c r="Y2451">
        <v>-5.3888640000000002E-2</v>
      </c>
      <c r="Z2451">
        <v>-2.0141579999999998E-3</v>
      </c>
      <c r="AA2451">
        <v>0.99854489999999996</v>
      </c>
      <c r="AB2451">
        <v>45</v>
      </c>
      <c r="AC2451">
        <v>-24.979399999999998</v>
      </c>
      <c r="AD2451">
        <v>-1.1110526408729999</v>
      </c>
      <c r="AE2451">
        <v>-0.89370000000002303</v>
      </c>
      <c r="AF2451">
        <v>-1.3702528806132801</v>
      </c>
      <c r="AG2451">
        <v>-1.1110526408729999</v>
      </c>
      <c r="AH2451">
        <v>24.908431364572401</v>
      </c>
      <c r="AI2451">
        <v>92.5501622883842</v>
      </c>
      <c r="AJ2451">
        <v>93.148759225126</v>
      </c>
      <c r="AK2451">
        <v>24.970822653073199</v>
      </c>
      <c r="AL2451">
        <v>80.376193941962796</v>
      </c>
      <c r="AM2451">
        <v>92.816432293932905</v>
      </c>
      <c r="AN2451">
        <v>0.99999995310401502</v>
      </c>
    </row>
    <row r="2452" spans="1:40" x14ac:dyDescent="0.25">
      <c r="A2452" t="str">
        <f>"20190312172938722"</f>
        <v>20190312172938722</v>
      </c>
      <c r="B2452" t="str">
        <f>"1552382978709714"</f>
        <v>1552382978709714</v>
      </c>
      <c r="C2452" t="s">
        <v>40</v>
      </c>
      <c r="D2452">
        <v>3.4734370000000001</v>
      </c>
      <c r="E2452">
        <v>0.49916769999999999</v>
      </c>
      <c r="F2452" t="s">
        <v>47</v>
      </c>
      <c r="G2452">
        <v>-459.11900000000003</v>
      </c>
      <c r="H2452" s="1">
        <v>3.303138E-6</v>
      </c>
      <c r="I2452">
        <v>284.90780000000001</v>
      </c>
      <c r="J2452">
        <v>-434.68029999999999</v>
      </c>
      <c r="K2452">
        <v>1.111103</v>
      </c>
      <c r="L2452">
        <v>285.80110000000002</v>
      </c>
      <c r="M2452">
        <v>-0.99945810000000002</v>
      </c>
      <c r="N2452">
        <v>0</v>
      </c>
      <c r="O2452">
        <v>1.918657E-2</v>
      </c>
      <c r="P2452">
        <v>-0.9896431</v>
      </c>
      <c r="Q2452">
        <v>0.14021339999999999</v>
      </c>
      <c r="R2452">
        <v>-3.077013E-2</v>
      </c>
      <c r="S2452">
        <v>-3.047882</v>
      </c>
      <c r="T2452">
        <v>-0.1361358</v>
      </c>
      <c r="U2452">
        <v>-0.108429</v>
      </c>
      <c r="V2452">
        <v>-4.975247E-2</v>
      </c>
      <c r="W2452">
        <v>0.1666185</v>
      </c>
      <c r="X2452">
        <v>0.98476540000000001</v>
      </c>
      <c r="Y2452">
        <v>-5.4653899999999998E-2</v>
      </c>
      <c r="Z2452">
        <v>-2.0762089999999999E-3</v>
      </c>
      <c r="AA2452">
        <v>0.99850320000000004</v>
      </c>
      <c r="AB2452">
        <v>44</v>
      </c>
      <c r="AC2452">
        <v>-24.438700000000001</v>
      </c>
      <c r="AD2452">
        <v>-1.1110996968619999</v>
      </c>
      <c r="AE2452">
        <v>-0.89330000000000997</v>
      </c>
      <c r="AF2452">
        <v>-1.35939190762734</v>
      </c>
      <c r="AG2452">
        <v>-1.1110996968619999</v>
      </c>
      <c r="AH2452">
        <v>24.3667526664651</v>
      </c>
      <c r="AI2452">
        <v>92.606774158853199</v>
      </c>
      <c r="AJ2452">
        <v>93.193152788624701</v>
      </c>
      <c r="AK2452">
        <v>24.4299227261073</v>
      </c>
      <c r="AL2452">
        <v>80.408730296644194</v>
      </c>
      <c r="AM2452">
        <v>92.892247107028098</v>
      </c>
      <c r="AN2452">
        <v>0.99999996292525395</v>
      </c>
    </row>
    <row r="2453" spans="1:40" x14ac:dyDescent="0.25">
      <c r="A2453" t="str">
        <f>"20190312172938745"</f>
        <v>20190312172938745</v>
      </c>
      <c r="B2453" t="str">
        <f>"1552382978739961"</f>
        <v>1552382978739961</v>
      </c>
      <c r="C2453" t="s">
        <v>40</v>
      </c>
      <c r="D2453">
        <v>3.5004759999999999</v>
      </c>
      <c r="E2453">
        <v>0.49925580000000003</v>
      </c>
      <c r="F2453" t="s">
        <v>47</v>
      </c>
      <c r="G2453">
        <v>-458.8279</v>
      </c>
      <c r="H2453" s="1">
        <v>3.1479789999999998E-6</v>
      </c>
      <c r="I2453">
        <v>284.9144</v>
      </c>
      <c r="J2453">
        <v>-435.12450000000001</v>
      </c>
      <c r="K2453">
        <v>1.1111489999999999</v>
      </c>
      <c r="L2453">
        <v>285.80959999999999</v>
      </c>
      <c r="M2453">
        <v>-0.99944869999999997</v>
      </c>
      <c r="N2453">
        <v>0</v>
      </c>
      <c r="O2453">
        <v>1.9187180000000002E-2</v>
      </c>
      <c r="P2453">
        <v>-0.98983109999999996</v>
      </c>
      <c r="Q2453">
        <v>0.13855919999999999</v>
      </c>
      <c r="R2453">
        <v>-3.2184249999999998E-2</v>
      </c>
      <c r="S2453">
        <v>-3.0477599999999998</v>
      </c>
      <c r="T2453">
        <v>-0.14023579999999999</v>
      </c>
      <c r="U2453">
        <v>-0.11190799999999999</v>
      </c>
      <c r="V2453">
        <v>-5.1170680000000003E-2</v>
      </c>
      <c r="W2453">
        <v>0.16531129999999999</v>
      </c>
      <c r="X2453">
        <v>0.98491309999999999</v>
      </c>
      <c r="Y2453">
        <v>-5.578868E-2</v>
      </c>
      <c r="Z2453">
        <v>-2.1648380000000001E-3</v>
      </c>
      <c r="AA2453">
        <v>0.99844029999999995</v>
      </c>
      <c r="AB2453">
        <v>44</v>
      </c>
      <c r="AC2453">
        <v>-23.703399999999899</v>
      </c>
      <c r="AD2453">
        <v>-1.111145852021</v>
      </c>
      <c r="AE2453">
        <v>-0.89519999999998801</v>
      </c>
      <c r="AF2453">
        <v>-1.3470476545396399</v>
      </c>
      <c r="AG2453">
        <v>-1.111145852021</v>
      </c>
      <c r="AH2453">
        <v>23.629998538878802</v>
      </c>
      <c r="AI2453">
        <v>92.687860606766804</v>
      </c>
      <c r="AJ2453">
        <v>93.262662277338606</v>
      </c>
      <c r="AK2453">
        <v>23.694430008664099</v>
      </c>
      <c r="AL2453">
        <v>80.484681388932501</v>
      </c>
      <c r="AM2453">
        <v>92.974100250494203</v>
      </c>
      <c r="AN2453">
        <v>1.00000003947548</v>
      </c>
    </row>
    <row r="2454" spans="1:40" x14ac:dyDescent="0.25">
      <c r="A2454" t="str">
        <f>"20190312172938767"</f>
        <v>20190312172938767</v>
      </c>
      <c r="B2454" t="str">
        <f>"1552382978759488"</f>
        <v>1552382978759488</v>
      </c>
      <c r="C2454" t="s">
        <v>40</v>
      </c>
      <c r="D2454">
        <v>3.4985490000000001</v>
      </c>
      <c r="E2454">
        <v>0.49937670000000001</v>
      </c>
      <c r="F2454" t="s">
        <v>47</v>
      </c>
      <c r="G2454">
        <v>-457.97820000000002</v>
      </c>
      <c r="H2454" s="1">
        <v>2.6943319999999998E-6</v>
      </c>
      <c r="I2454">
        <v>284.94760000000002</v>
      </c>
      <c r="J2454">
        <v>-435.54390000000001</v>
      </c>
      <c r="K2454">
        <v>1.111181</v>
      </c>
      <c r="L2454">
        <v>285.8177</v>
      </c>
      <c r="M2454">
        <v>-0.99944049999999995</v>
      </c>
      <c r="N2454">
        <v>0</v>
      </c>
      <c r="O2454">
        <v>1.9187300000000001E-2</v>
      </c>
      <c r="P2454">
        <v>-0.98986249999999998</v>
      </c>
      <c r="Q2454">
        <v>0.13794809999999999</v>
      </c>
      <c r="R2454">
        <v>-3.380756E-2</v>
      </c>
      <c r="S2454">
        <v>-3.0478209999999999</v>
      </c>
      <c r="T2454">
        <v>-0.1481847</v>
      </c>
      <c r="U2454">
        <v>-0.1149597</v>
      </c>
      <c r="V2454">
        <v>-5.2794630000000002E-2</v>
      </c>
      <c r="W2454">
        <v>0.16499759999999999</v>
      </c>
      <c r="X2454">
        <v>0.98487999999999998</v>
      </c>
      <c r="Y2454">
        <v>-5.6776159999999999E-2</v>
      </c>
      <c r="Z2454">
        <v>-2.311315E-3</v>
      </c>
      <c r="AA2454">
        <v>0.99838419999999894</v>
      </c>
      <c r="AB2454">
        <v>43</v>
      </c>
      <c r="AC2454">
        <v>-22.4343</v>
      </c>
      <c r="AD2454">
        <v>-1.111178305668</v>
      </c>
      <c r="AE2454">
        <v>-0.870099999999979</v>
      </c>
      <c r="AF2454">
        <v>-1.29737695636793</v>
      </c>
      <c r="AG2454">
        <v>-1.111178305668</v>
      </c>
      <c r="AH2454">
        <v>22.358696587894599</v>
      </c>
      <c r="AI2454">
        <v>92.840364211670106</v>
      </c>
      <c r="AJ2454">
        <v>93.320898640788499</v>
      </c>
      <c r="AK2454">
        <v>22.4238537567349</v>
      </c>
      <c r="AL2454">
        <v>80.502905409314806</v>
      </c>
      <c r="AM2454">
        <v>93.0684114763976</v>
      </c>
      <c r="AN2454">
        <v>1.00000004768129</v>
      </c>
    </row>
    <row r="2455" spans="1:40" x14ac:dyDescent="0.25">
      <c r="A2455" t="str">
        <f>"20190312172938788"</f>
        <v>20190312172938788</v>
      </c>
      <c r="B2455" t="str">
        <f>"1552382978779978"</f>
        <v>1552382978779978</v>
      </c>
      <c r="C2455" t="s">
        <v>40</v>
      </c>
      <c r="D2455">
        <v>3.4782269999999902</v>
      </c>
      <c r="E2455">
        <v>0.49944090000000002</v>
      </c>
      <c r="F2455" t="s">
        <v>47</v>
      </c>
      <c r="G2455">
        <v>-457.94200000000001</v>
      </c>
      <c r="H2455" s="1">
        <v>2.6751119999999999E-6</v>
      </c>
      <c r="I2455">
        <v>284.94639999999998</v>
      </c>
      <c r="J2455">
        <v>-435.97239999999999</v>
      </c>
      <c r="K2455">
        <v>1.111218</v>
      </c>
      <c r="L2455">
        <v>285.82589999999999</v>
      </c>
      <c r="M2455">
        <v>-0.99943269999999995</v>
      </c>
      <c r="N2455">
        <v>0</v>
      </c>
      <c r="O2455">
        <v>1.9187929999999999E-2</v>
      </c>
      <c r="P2455">
        <v>-0.9898766</v>
      </c>
      <c r="Q2455">
        <v>0.13761099999999901</v>
      </c>
      <c r="R2455">
        <v>-3.4753390000000002E-2</v>
      </c>
      <c r="S2455">
        <v>-3.0477599999999998</v>
      </c>
      <c r="T2455">
        <v>-0.151201</v>
      </c>
      <c r="U2455">
        <v>-0.11856079999999999</v>
      </c>
      <c r="V2455">
        <v>-5.3741009999999999E-2</v>
      </c>
      <c r="W2455">
        <v>0.16493459999999999</v>
      </c>
      <c r="X2455">
        <v>0.98483929999999997</v>
      </c>
      <c r="Y2455">
        <v>-5.7950429999999997E-2</v>
      </c>
      <c r="Z2455">
        <v>-2.3874389999999999E-3</v>
      </c>
      <c r="AA2455">
        <v>0.9983166</v>
      </c>
      <c r="AB2455">
        <v>43</v>
      </c>
      <c r="AC2455">
        <v>-21.9695999999999</v>
      </c>
      <c r="AD2455">
        <v>-1.1112153248879999</v>
      </c>
      <c r="AE2455">
        <v>-0.87950000000000705</v>
      </c>
      <c r="AF2455">
        <v>-1.2977359795514201</v>
      </c>
      <c r="AG2455">
        <v>-1.1112153248879999</v>
      </c>
      <c r="AH2455">
        <v>21.892751230348299</v>
      </c>
      <c r="AI2455">
        <v>92.9005984350093</v>
      </c>
      <c r="AJ2455">
        <v>93.392350674914596</v>
      </c>
      <c r="AK2455">
        <v>21.959314074096302</v>
      </c>
      <c r="AL2455">
        <v>80.506564561678303</v>
      </c>
      <c r="AM2455">
        <v>93.123435736096994</v>
      </c>
      <c r="AN2455">
        <v>0.99999998262873402</v>
      </c>
    </row>
    <row r="2456" spans="1:40" x14ac:dyDescent="0.25">
      <c r="A2456" t="str">
        <f>"20190312172938810"</f>
        <v>20190312172938810</v>
      </c>
      <c r="B2456" t="str">
        <f>"1552382978799498"</f>
        <v>1552382978799498</v>
      </c>
      <c r="C2456" t="s">
        <v>40</v>
      </c>
      <c r="D2456">
        <v>3.5147550000000001</v>
      </c>
      <c r="E2456">
        <v>0.49955110000000003</v>
      </c>
      <c r="F2456" t="s">
        <v>47</v>
      </c>
      <c r="G2456">
        <v>-458.03739999999999</v>
      </c>
      <c r="H2456" s="1">
        <v>2.7257419999999999E-6</v>
      </c>
      <c r="I2456">
        <v>284.95030000000003</v>
      </c>
      <c r="J2456">
        <v>-436.39319999999998</v>
      </c>
      <c r="K2456">
        <v>1.1112489999999999</v>
      </c>
      <c r="L2456">
        <v>285.834</v>
      </c>
      <c r="M2456">
        <v>-0.99942589999999998</v>
      </c>
      <c r="N2456">
        <v>0</v>
      </c>
      <c r="O2456">
        <v>1.918829E-2</v>
      </c>
      <c r="P2456">
        <v>-0.98984269999999996</v>
      </c>
      <c r="Q2456">
        <v>0.1374512</v>
      </c>
      <c r="R2456">
        <v>-3.631007E-2</v>
      </c>
      <c r="S2456">
        <v>-3.0477289999999999</v>
      </c>
      <c r="T2456">
        <v>-0.1534865</v>
      </c>
      <c r="U2456">
        <v>-0.1209412</v>
      </c>
      <c r="V2456">
        <v>-5.5297890000000002E-2</v>
      </c>
      <c r="W2456">
        <v>0.1650141</v>
      </c>
      <c r="X2456">
        <v>0.98473980000000005</v>
      </c>
      <c r="Y2456">
        <v>-5.8725939999999997E-2</v>
      </c>
      <c r="Z2456">
        <v>-2.443003E-3</v>
      </c>
      <c r="AA2456">
        <v>0.99827120000000003</v>
      </c>
      <c r="AB2456">
        <v>43</v>
      </c>
      <c r="AC2456">
        <v>-21.644200000000001</v>
      </c>
      <c r="AD2456">
        <v>-1.1112462742579901</v>
      </c>
      <c r="AE2456">
        <v>-0.88369999999997595</v>
      </c>
      <c r="AF2456">
        <v>-1.2956048913915501</v>
      </c>
      <c r="AG2456">
        <v>-1.1112462742579901</v>
      </c>
      <c r="AH2456">
        <v>21.5664949759522</v>
      </c>
      <c r="AI2456">
        <v>92.944344224395195</v>
      </c>
      <c r="AJ2456">
        <v>93.437906039012404</v>
      </c>
      <c r="AK2456">
        <v>21.633935514936201</v>
      </c>
      <c r="AL2456">
        <v>80.501946354221801</v>
      </c>
      <c r="AM2456">
        <v>93.214058875560198</v>
      </c>
      <c r="AN2456">
        <v>0.99999999177065102</v>
      </c>
    </row>
    <row r="2457" spans="1:40" x14ac:dyDescent="0.25">
      <c r="A2457" t="str">
        <f>"20190312172938833"</f>
        <v>20190312172938833</v>
      </c>
      <c r="B2457" t="str">
        <f>"1552382978830325"</f>
        <v>1552382978830325</v>
      </c>
      <c r="C2457" t="s">
        <v>40</v>
      </c>
      <c r="D2457">
        <v>3.4911219999999998</v>
      </c>
      <c r="E2457">
        <v>0.4997511</v>
      </c>
      <c r="F2457" t="s">
        <v>47</v>
      </c>
      <c r="G2457">
        <v>-458.25409999999999</v>
      </c>
      <c r="H2457" s="1">
        <v>2.8414800000000001E-6</v>
      </c>
      <c r="I2457">
        <v>284.94040000000001</v>
      </c>
      <c r="J2457">
        <v>-436.81139999999999</v>
      </c>
      <c r="K2457">
        <v>1.111281</v>
      </c>
      <c r="L2457">
        <v>285.84199999999998</v>
      </c>
      <c r="M2457">
        <v>-0.99941999999999998</v>
      </c>
      <c r="N2457">
        <v>0</v>
      </c>
      <c r="O2457">
        <v>1.9188739999999999E-2</v>
      </c>
      <c r="P2457">
        <v>-0.98985900000000004</v>
      </c>
      <c r="Q2457">
        <v>0.13680309999999901</v>
      </c>
      <c r="R2457">
        <v>-3.8268360000000001E-2</v>
      </c>
      <c r="S2457">
        <v>-3.0477289999999999</v>
      </c>
      <c r="T2457">
        <v>-0.15492420000000001</v>
      </c>
      <c r="U2457">
        <v>-0.1245728</v>
      </c>
      <c r="V2457">
        <v>-5.7256330000000001E-2</v>
      </c>
      <c r="W2457">
        <v>0.16457759999999999</v>
      </c>
      <c r="X2457">
        <v>0.98470089999999999</v>
      </c>
      <c r="Y2457">
        <v>-5.9910680000000001E-2</v>
      </c>
      <c r="Z2457">
        <v>-2.4959090000000001E-3</v>
      </c>
      <c r="AA2457">
        <v>0.99820059999999999</v>
      </c>
      <c r="AB2457">
        <v>43</v>
      </c>
      <c r="AC2457">
        <v>-21.442699999999999</v>
      </c>
      <c r="AD2457">
        <v>-1.11127815852</v>
      </c>
      <c r="AE2457">
        <v>-0.90159999999997298</v>
      </c>
      <c r="AF2457">
        <v>-1.30954411159776</v>
      </c>
      <c r="AG2457">
        <v>-1.11127815852</v>
      </c>
      <c r="AH2457">
        <v>21.364161100352501</v>
      </c>
      <c r="AI2457">
        <v>92.972045530435693</v>
      </c>
      <c r="AJ2457">
        <v>93.507630906593207</v>
      </c>
      <c r="AK2457">
        <v>21.433087142258302</v>
      </c>
      <c r="AL2457">
        <v>80.5273024149718</v>
      </c>
      <c r="AM2457">
        <v>93.327768283646293</v>
      </c>
      <c r="AN2457">
        <v>0.99999996810381797</v>
      </c>
    </row>
    <row r="2458" spans="1:40" x14ac:dyDescent="0.25">
      <c r="A2458" t="str">
        <f>"20190312172938856"</f>
        <v>20190312172938856</v>
      </c>
      <c r="B2458" t="str">
        <f>"1552382978849844"</f>
        <v>1552382978849844</v>
      </c>
      <c r="C2458" t="s">
        <v>40</v>
      </c>
      <c r="D2458">
        <v>3.5049959999999998</v>
      </c>
      <c r="E2458">
        <v>0.4996872</v>
      </c>
      <c r="F2458" t="s">
        <v>47</v>
      </c>
      <c r="G2458">
        <v>-458.2296</v>
      </c>
      <c r="H2458" s="1">
        <v>2.8286750000000001E-6</v>
      </c>
      <c r="I2458">
        <v>284.93520000000001</v>
      </c>
      <c r="J2458">
        <v>-437.2448</v>
      </c>
      <c r="K2458">
        <v>1.111307</v>
      </c>
      <c r="L2458">
        <v>285.8503</v>
      </c>
      <c r="M2458">
        <v>-0.99941440000000004</v>
      </c>
      <c r="N2458">
        <v>0</v>
      </c>
      <c r="O2458">
        <v>1.9189270000000001E-2</v>
      </c>
      <c r="P2458">
        <v>-0.98982230000000004</v>
      </c>
      <c r="Q2458">
        <v>0.13653979999999999</v>
      </c>
      <c r="R2458">
        <v>-4.0112460000000003E-2</v>
      </c>
      <c r="S2458">
        <v>-3.0476070000000002</v>
      </c>
      <c r="T2458">
        <v>-0.15812399999999999</v>
      </c>
      <c r="U2458">
        <v>-0.12902830000000001</v>
      </c>
      <c r="V2458">
        <v>-5.9099890000000002E-2</v>
      </c>
      <c r="W2458">
        <v>0.1645057</v>
      </c>
      <c r="X2458">
        <v>0.98460400000000003</v>
      </c>
      <c r="Y2458">
        <v>-6.136349E-2</v>
      </c>
      <c r="Z2458">
        <v>-2.585099E-3</v>
      </c>
      <c r="AA2458">
        <v>0.99811209999999995</v>
      </c>
      <c r="AB2458">
        <v>42</v>
      </c>
      <c r="AC2458">
        <v>-20.9848</v>
      </c>
      <c r="AD2458">
        <v>-1.111304171325</v>
      </c>
      <c r="AE2458">
        <v>-0.91509999999999503</v>
      </c>
      <c r="AF2458">
        <v>-1.31409766083103</v>
      </c>
      <c r="AG2458">
        <v>-1.111304171325</v>
      </c>
      <c r="AH2458">
        <v>20.9048493139085</v>
      </c>
      <c r="AI2458">
        <v>93.037002657166198</v>
      </c>
      <c r="AJ2458">
        <v>93.596931549586699</v>
      </c>
      <c r="AK2458">
        <v>20.9755708971324</v>
      </c>
      <c r="AL2458">
        <v>80.531479016266303</v>
      </c>
      <c r="AM2458">
        <v>93.435001657491</v>
      </c>
      <c r="AN2458">
        <v>0.99999997957325004</v>
      </c>
    </row>
    <row r="2459" spans="1:40" x14ac:dyDescent="0.25">
      <c r="A2459" t="str">
        <f>"20190312172938878"</f>
        <v>20190312172938878</v>
      </c>
      <c r="B2459" t="str">
        <f>"1552382978870341"</f>
        <v>1552382978870341</v>
      </c>
      <c r="C2459" t="s">
        <v>40</v>
      </c>
      <c r="D2459">
        <v>3.3865340000000002</v>
      </c>
      <c r="E2459">
        <v>0.47288190000000002</v>
      </c>
      <c r="F2459" t="s">
        <v>47</v>
      </c>
      <c r="G2459">
        <v>-458.47609999999997</v>
      </c>
      <c r="H2459" s="1">
        <v>2.9609019999999999E-6</v>
      </c>
      <c r="I2459">
        <v>284.91120000000001</v>
      </c>
      <c r="J2459">
        <v>-437.65230000000003</v>
      </c>
      <c r="K2459">
        <v>1.1113299999999999</v>
      </c>
      <c r="L2459">
        <v>285.85809999999998</v>
      </c>
      <c r="M2459">
        <v>-0.99941000000000002</v>
      </c>
      <c r="N2459">
        <v>0</v>
      </c>
      <c r="O2459">
        <v>1.9189709999999999E-2</v>
      </c>
      <c r="P2459">
        <v>-0.98969209999999996</v>
      </c>
      <c r="Q2459">
        <v>0.13681289999999999</v>
      </c>
      <c r="R2459">
        <v>-4.2334240000000002E-2</v>
      </c>
      <c r="S2459">
        <v>-3.0473629999999998</v>
      </c>
      <c r="T2459">
        <v>-0.1595067</v>
      </c>
      <c r="U2459">
        <v>-0.1347961</v>
      </c>
      <c r="V2459">
        <v>-6.1318890000000001E-2</v>
      </c>
      <c r="W2459">
        <v>0.16492609999999999</v>
      </c>
      <c r="X2459">
        <v>0.98439790000000005</v>
      </c>
      <c r="Y2459">
        <v>-6.3248429999999994E-2</v>
      </c>
      <c r="Z2459">
        <v>-2.6570809999999999E-3</v>
      </c>
      <c r="AA2459">
        <v>0.9979943</v>
      </c>
      <c r="AB2459">
        <v>42</v>
      </c>
      <c r="AC2459">
        <v>-20.823799999999899</v>
      </c>
      <c r="AD2459">
        <v>-1.1113270390979999</v>
      </c>
      <c r="AE2459">
        <v>-0.94689999999997099</v>
      </c>
      <c r="AF2459">
        <v>-1.3426741440532699</v>
      </c>
      <c r="AG2459">
        <v>-1.1113270390979999</v>
      </c>
      <c r="AH2459">
        <v>20.742827384440101</v>
      </c>
      <c r="AI2459">
        <v>93.060379889704095</v>
      </c>
      <c r="AJ2459">
        <v>93.703563973428999</v>
      </c>
      <c r="AK2459">
        <v>20.8159244220769</v>
      </c>
      <c r="AL2459">
        <v>80.507057787073194</v>
      </c>
      <c r="AM2459">
        <v>93.564392105560998</v>
      </c>
      <c r="AN2459">
        <v>0.999999925128223</v>
      </c>
    </row>
    <row r="2460" spans="1:40" x14ac:dyDescent="0.25">
      <c r="A2460" t="str">
        <f>"20190312172938900"</f>
        <v>20190312172938900</v>
      </c>
      <c r="B2460" t="str">
        <f>"1552382978889860"</f>
        <v>1552382978889860</v>
      </c>
      <c r="C2460" t="s">
        <v>40</v>
      </c>
      <c r="D2460">
        <v>3.358114</v>
      </c>
      <c r="E2460">
        <v>0.46348640000000002</v>
      </c>
      <c r="F2460" t="s">
        <v>47</v>
      </c>
      <c r="G2460">
        <v>-463.6551</v>
      </c>
      <c r="H2460" s="1">
        <v>4.8694109999999996E-7</v>
      </c>
      <c r="I2460">
        <v>282.81650000000002</v>
      </c>
      <c r="J2460">
        <v>-438.06229999999999</v>
      </c>
      <c r="K2460">
        <v>1.1113440000000001</v>
      </c>
      <c r="L2460">
        <v>285.86599999999999</v>
      </c>
      <c r="M2460">
        <v>-0.99940680000000004</v>
      </c>
      <c r="N2460">
        <v>0</v>
      </c>
      <c r="O2460">
        <v>1.9190390000000002E-2</v>
      </c>
      <c r="P2460">
        <v>-0.98959830000000004</v>
      </c>
      <c r="Q2460">
        <v>0.13710629999999999</v>
      </c>
      <c r="R2460">
        <v>-4.3559529999999999E-2</v>
      </c>
      <c r="S2460">
        <v>-3.0339969999999998</v>
      </c>
      <c r="T2460">
        <v>-0.1296698</v>
      </c>
      <c r="U2460">
        <v>-0.35488890000000001</v>
      </c>
      <c r="V2460">
        <v>-6.2543020000000005E-2</v>
      </c>
      <c r="W2460">
        <v>0.16532729999999901</v>
      </c>
      <c r="X2460">
        <v>0.98425359999999995</v>
      </c>
      <c r="Y2460">
        <v>-0.1350865</v>
      </c>
      <c r="Z2460">
        <v>-3.6931659999999999E-3</v>
      </c>
      <c r="AA2460">
        <v>0.99082689999999995</v>
      </c>
      <c r="AB2460">
        <v>42</v>
      </c>
      <c r="AC2460">
        <v>-25.5928</v>
      </c>
      <c r="AD2460">
        <v>-1.1113435130589</v>
      </c>
      <c r="AE2460">
        <v>-3.0494999999999601</v>
      </c>
      <c r="AF2460">
        <v>-3.5337046745369598</v>
      </c>
      <c r="AG2460">
        <v>-1.1113435130589</v>
      </c>
      <c r="AH2460">
        <v>25.4821603581393</v>
      </c>
      <c r="AI2460">
        <v>92.473594960942407</v>
      </c>
      <c r="AJ2460">
        <v>97.895064533544797</v>
      </c>
      <c r="AK2460">
        <v>25.750002905801502</v>
      </c>
      <c r="AL2460">
        <v>80.483750980983501</v>
      </c>
      <c r="AM2460">
        <v>93.635891869172397</v>
      </c>
      <c r="AN2460">
        <v>0.99999994729448305</v>
      </c>
    </row>
    <row r="2461" spans="1:40" x14ac:dyDescent="0.25">
      <c r="A2461" t="str">
        <f>"20190312172938923"</f>
        <v>20190312172938923</v>
      </c>
      <c r="B2461" t="str">
        <f>"1552382978919533"</f>
        <v>1552382978919533</v>
      </c>
      <c r="C2461" t="s">
        <v>40</v>
      </c>
      <c r="D2461">
        <v>3.349761</v>
      </c>
      <c r="E2461">
        <v>0.4583023</v>
      </c>
      <c r="F2461" t="s">
        <v>47</v>
      </c>
      <c r="G2461">
        <v>-464.4076</v>
      </c>
      <c r="H2461" s="1">
        <v>9.1901469999999997E-7</v>
      </c>
      <c r="I2461">
        <v>282.09339999999997</v>
      </c>
      <c r="J2461">
        <v>-438.4744</v>
      </c>
      <c r="K2461">
        <v>1.11134</v>
      </c>
      <c r="L2461">
        <v>285.87389999999999</v>
      </c>
      <c r="M2461">
        <v>-0.99940560000000001</v>
      </c>
      <c r="N2461">
        <v>0</v>
      </c>
      <c r="O2461">
        <v>1.919117E-2</v>
      </c>
      <c r="P2461">
        <v>-0.98962340000000004</v>
      </c>
      <c r="Q2461">
        <v>0.13613449999999999</v>
      </c>
      <c r="R2461">
        <v>-4.5969070000000001E-2</v>
      </c>
      <c r="S2461">
        <v>-3.0301209999999998</v>
      </c>
      <c r="T2461">
        <v>-0.12782169999999901</v>
      </c>
      <c r="U2461">
        <v>-0.43389889999999998</v>
      </c>
      <c r="V2461">
        <v>-6.495368E-2</v>
      </c>
      <c r="W2461">
        <v>0.1643956</v>
      </c>
      <c r="X2461">
        <v>0.98425359999999995</v>
      </c>
      <c r="Y2461">
        <v>-0.16057160000000001</v>
      </c>
      <c r="Z2461">
        <v>-4.1737550000000003E-3</v>
      </c>
      <c r="AA2461">
        <v>0.98701539999999999</v>
      </c>
      <c r="AB2461">
        <v>41</v>
      </c>
      <c r="AC2461">
        <v>-25.933199999999999</v>
      </c>
      <c r="AD2461">
        <v>-1.1113390809853001</v>
      </c>
      <c r="AE2461">
        <v>-3.7805000000000102</v>
      </c>
      <c r="AF2461">
        <v>-4.2700173196860796</v>
      </c>
      <c r="AG2461">
        <v>-1.1113390809853001</v>
      </c>
      <c r="AH2461">
        <v>25.8094264257421</v>
      </c>
      <c r="AI2461">
        <v>92.432573666419003</v>
      </c>
      <c r="AJ2461">
        <v>99.394153987375205</v>
      </c>
      <c r="AK2461">
        <v>26.183861726054399</v>
      </c>
      <c r="AL2461">
        <v>80.537874752391801</v>
      </c>
      <c r="AM2461">
        <v>93.775635926615706</v>
      </c>
      <c r="AN2461">
        <v>1.00000002147893</v>
      </c>
    </row>
    <row r="2462" spans="1:40" x14ac:dyDescent="0.25">
      <c r="A2462" t="str">
        <f>"20190312172938946"</f>
        <v>20190312172938946</v>
      </c>
      <c r="B2462" t="str">
        <f>"1552382978940029"</f>
        <v>1552382978940029</v>
      </c>
      <c r="C2462" t="s">
        <v>40</v>
      </c>
      <c r="D2462">
        <v>3.3205909999999998</v>
      </c>
      <c r="E2462">
        <v>0.4562562</v>
      </c>
      <c r="F2462" t="s">
        <v>47</v>
      </c>
      <c r="G2462">
        <v>-464.42259999999999</v>
      </c>
      <c r="H2462" s="1">
        <v>9.4251129999999999E-7</v>
      </c>
      <c r="I2462">
        <v>281.73849999999999</v>
      </c>
      <c r="J2462">
        <v>-438.88479999999998</v>
      </c>
      <c r="K2462">
        <v>1.11131</v>
      </c>
      <c r="L2462">
        <v>285.88170000000002</v>
      </c>
      <c r="M2462">
        <v>-0.99940739999999995</v>
      </c>
      <c r="N2462">
        <v>0</v>
      </c>
      <c r="O2462">
        <v>1.9191940000000001E-2</v>
      </c>
      <c r="P2462">
        <v>-0.98978290000000002</v>
      </c>
      <c r="Q2462">
        <v>0.1340894</v>
      </c>
      <c r="R2462">
        <v>-4.8478970000000003E-2</v>
      </c>
      <c r="S2462">
        <v>-3.0268549999999999</v>
      </c>
      <c r="T2462">
        <v>-0.12963720000000001</v>
      </c>
      <c r="U2462">
        <v>-0.48239140000000003</v>
      </c>
      <c r="V2462">
        <v>-6.746663E-2</v>
      </c>
      <c r="W2462">
        <v>0.16228989999999999</v>
      </c>
      <c r="X2462">
        <v>0.98443389999999997</v>
      </c>
      <c r="Y2462">
        <v>-0.17614099999999999</v>
      </c>
      <c r="Z2462">
        <v>-4.5636929999999997E-3</v>
      </c>
      <c r="AA2462">
        <v>0.98435439999999996</v>
      </c>
      <c r="AB2462">
        <v>41</v>
      </c>
      <c r="AC2462">
        <v>-25.537800000000001</v>
      </c>
      <c r="AD2462">
        <v>-1.1113090574886999</v>
      </c>
      <c r="AE2462">
        <v>-4.1432000000000304</v>
      </c>
      <c r="AF2462">
        <v>-4.6242242688494004</v>
      </c>
      <c r="AG2462">
        <v>-1.1113090574886999</v>
      </c>
      <c r="AH2462">
        <v>25.406666225650898</v>
      </c>
      <c r="AI2462">
        <v>92.464138229128295</v>
      </c>
      <c r="AJ2462">
        <v>100.315390816822</v>
      </c>
      <c r="AK2462">
        <v>25.847962136530299</v>
      </c>
      <c r="AL2462">
        <v>80.660164074022006</v>
      </c>
      <c r="AM2462">
        <v>93.920545813454794</v>
      </c>
      <c r="AN2462">
        <v>0.99999993063738601</v>
      </c>
    </row>
    <row r="2463" spans="1:40" x14ac:dyDescent="0.25">
      <c r="A2463" t="str">
        <f>"20190312172938967"</f>
        <v>20190312172938967</v>
      </c>
      <c r="B2463" t="str">
        <f>"1552382978959551"</f>
        <v>1552382978959551</v>
      </c>
      <c r="C2463" t="s">
        <v>40</v>
      </c>
      <c r="D2463">
        <v>3.3379539999999999</v>
      </c>
      <c r="E2463">
        <v>0.45496829999999999</v>
      </c>
      <c r="F2463" t="s">
        <v>47</v>
      </c>
      <c r="G2463">
        <v>-462.86489999999998</v>
      </c>
      <c r="H2463" s="1">
        <v>1.078564E-7</v>
      </c>
      <c r="I2463">
        <v>281.86919999999998</v>
      </c>
      <c r="J2463">
        <v>-439.28059999999999</v>
      </c>
      <c r="K2463">
        <v>1.111275</v>
      </c>
      <c r="L2463">
        <v>285.88929999999999</v>
      </c>
      <c r="M2463">
        <v>-0.99941170000000001</v>
      </c>
      <c r="N2463">
        <v>0</v>
      </c>
      <c r="O2463">
        <v>1.9192609999999999E-2</v>
      </c>
      <c r="P2463">
        <v>-0.98992650000000004</v>
      </c>
      <c r="Q2463">
        <v>0.13223370000000001</v>
      </c>
      <c r="R2463">
        <v>-5.0600350000000002E-2</v>
      </c>
      <c r="S2463">
        <v>-3.0251769999999998</v>
      </c>
      <c r="T2463">
        <v>-0.14019579999999901</v>
      </c>
      <c r="U2463">
        <v>-0.50619510000000001</v>
      </c>
      <c r="V2463">
        <v>-6.9591070000000005E-2</v>
      </c>
      <c r="W2463">
        <v>0.160292299999999</v>
      </c>
      <c r="X2463">
        <v>0.98461339999999997</v>
      </c>
      <c r="Y2463">
        <v>-0.18372769999999999</v>
      </c>
      <c r="Z2463">
        <v>-5.1091460000000002E-3</v>
      </c>
      <c r="AA2463">
        <v>0.9829639</v>
      </c>
      <c r="AB2463">
        <v>41</v>
      </c>
      <c r="AC2463">
        <v>-23.584299999999899</v>
      </c>
      <c r="AD2463">
        <v>-1.1112748921436</v>
      </c>
      <c r="AE2463">
        <v>-4.02010000000001</v>
      </c>
      <c r="AF2463">
        <v>-4.4625580126860802</v>
      </c>
      <c r="AG2463">
        <v>-1.1112748921436</v>
      </c>
      <c r="AH2463">
        <v>23.452166062279002</v>
      </c>
      <c r="AI2463">
        <v>92.665166588484297</v>
      </c>
      <c r="AJ2463">
        <v>100.773638418836</v>
      </c>
      <c r="AK2463">
        <v>23.898816893629</v>
      </c>
      <c r="AL2463">
        <v>80.776137640184402</v>
      </c>
      <c r="AM2463">
        <v>94.042860891156593</v>
      </c>
      <c r="AN2463">
        <v>1.0000000429612901</v>
      </c>
    </row>
    <row r="2464" spans="1:40" x14ac:dyDescent="0.25">
      <c r="A2464" t="str">
        <f>"20190312172938990"</f>
        <v>20190312172938990</v>
      </c>
      <c r="B2464" t="str">
        <f>"1552382978980046"</f>
        <v>1552382978980046</v>
      </c>
      <c r="C2464" t="s">
        <v>40</v>
      </c>
      <c r="D2464">
        <v>3.3311259999999998</v>
      </c>
      <c r="E2464">
        <v>0.45418910000000001</v>
      </c>
      <c r="F2464" t="s">
        <v>47</v>
      </c>
      <c r="G2464">
        <v>-462.13290000000001</v>
      </c>
      <c r="H2464" s="1">
        <v>-2.8465349999999999E-7</v>
      </c>
      <c r="I2464">
        <v>281.93689999999998</v>
      </c>
      <c r="J2464">
        <v>-439.6977</v>
      </c>
      <c r="K2464">
        <v>1.1112310000000001</v>
      </c>
      <c r="L2464">
        <v>285.89729999999997</v>
      </c>
      <c r="M2464">
        <v>-0.99941789999999997</v>
      </c>
      <c r="N2464">
        <v>0</v>
      </c>
      <c r="O2464">
        <v>1.9192899999999999E-2</v>
      </c>
      <c r="P2464">
        <v>-0.98991739999999995</v>
      </c>
      <c r="Q2464">
        <v>0.13141559999999999</v>
      </c>
      <c r="R2464">
        <v>-5.2857210000000002E-2</v>
      </c>
      <c r="S2464">
        <v>-3.0234380000000001</v>
      </c>
      <c r="T2464">
        <v>-0.14702579999999901</v>
      </c>
      <c r="U2464">
        <v>-0.52291869999999996</v>
      </c>
      <c r="V2464">
        <v>-7.1847279999999999E-2</v>
      </c>
      <c r="W2464">
        <v>0.1592576</v>
      </c>
      <c r="X2464">
        <v>0.98461920000000003</v>
      </c>
      <c r="Y2464">
        <v>-0.18907389999999999</v>
      </c>
      <c r="Z2464">
        <v>-5.4873190000000001E-3</v>
      </c>
      <c r="AA2464">
        <v>0.98194749999999997</v>
      </c>
      <c r="AB2464">
        <v>40</v>
      </c>
      <c r="AC2464">
        <v>-22.435199999999998</v>
      </c>
      <c r="AD2464">
        <v>-1.1112312846535</v>
      </c>
      <c r="AE2464">
        <v>-3.9603999999999902</v>
      </c>
      <c r="AF2464">
        <v>-4.3800171014537996</v>
      </c>
      <c r="AG2464">
        <v>-1.1112312846535</v>
      </c>
      <c r="AH2464">
        <v>22.301962540610301</v>
      </c>
      <c r="AI2464">
        <v>92.7991110535052</v>
      </c>
      <c r="AJ2464">
        <v>101.11124579344001</v>
      </c>
      <c r="AK2464">
        <v>22.7551514593906</v>
      </c>
      <c r="AL2464">
        <v>80.836192616012198</v>
      </c>
      <c r="AM2464">
        <v>94.173453956422804</v>
      </c>
      <c r="AN2464">
        <v>0.99999999190489897</v>
      </c>
    </row>
    <row r="2465" spans="1:40" x14ac:dyDescent="0.25">
      <c r="A2465" t="str">
        <f>"20190312172939011"</f>
        <v>20190312172939011</v>
      </c>
      <c r="B2465" t="str">
        <f>"1552382978999566"</f>
        <v>1552382978999566</v>
      </c>
      <c r="C2465" t="s">
        <v>40</v>
      </c>
      <c r="D2465">
        <v>3.3379880000000002</v>
      </c>
      <c r="E2465">
        <v>0.45360470000000003</v>
      </c>
      <c r="F2465" t="s">
        <v>47</v>
      </c>
      <c r="G2465">
        <v>-462.04079999999999</v>
      </c>
      <c r="H2465" s="1">
        <v>-3.336821E-7</v>
      </c>
      <c r="I2465">
        <v>281.93740000000003</v>
      </c>
      <c r="J2465">
        <v>-440.0804</v>
      </c>
      <c r="K2465">
        <v>1.1111979999999999</v>
      </c>
      <c r="L2465">
        <v>285.90469999999999</v>
      </c>
      <c r="M2465">
        <v>-0.99942419999999998</v>
      </c>
      <c r="N2465">
        <v>0</v>
      </c>
      <c r="O2465">
        <v>1.9193169999999999E-2</v>
      </c>
      <c r="P2465">
        <v>-0.98990690000000003</v>
      </c>
      <c r="Q2465">
        <v>0.13064529999999999</v>
      </c>
      <c r="R2465">
        <v>-5.4924340000000002E-2</v>
      </c>
      <c r="S2465">
        <v>-3.0219119999999999</v>
      </c>
      <c r="T2465">
        <v>-0.1502947</v>
      </c>
      <c r="U2465">
        <v>-0.53558349999999999</v>
      </c>
      <c r="V2465">
        <v>-7.391412E-2</v>
      </c>
      <c r="W2465">
        <v>0.15826289999999901</v>
      </c>
      <c r="X2465">
        <v>0.98462660000000002</v>
      </c>
      <c r="Y2465">
        <v>-0.19313279999999999</v>
      </c>
      <c r="Z2465">
        <v>-5.7100639999999999E-3</v>
      </c>
      <c r="AA2465">
        <v>0.98115600000000003</v>
      </c>
      <c r="AB2465">
        <v>40</v>
      </c>
      <c r="AC2465">
        <v>-21.9604</v>
      </c>
      <c r="AD2465">
        <v>-1.1111983336821001</v>
      </c>
      <c r="AE2465">
        <v>-3.9672999999999599</v>
      </c>
      <c r="AF2465">
        <v>-4.3773699438138696</v>
      </c>
      <c r="AG2465">
        <v>-1.1111983336821001</v>
      </c>
      <c r="AH2465">
        <v>21.826060126928802</v>
      </c>
      <c r="AI2465">
        <v>92.857691113963</v>
      </c>
      <c r="AJ2465">
        <v>101.340617508055</v>
      </c>
      <c r="AK2465">
        <v>22.288405730919699</v>
      </c>
      <c r="AL2465">
        <v>80.893916839019795</v>
      </c>
      <c r="AM2465">
        <v>94.293037488686807</v>
      </c>
      <c r="AN2465">
        <v>0.99999999203967205</v>
      </c>
    </row>
    <row r="2466" spans="1:40" x14ac:dyDescent="0.25">
      <c r="A2466" t="str">
        <f>"20190312172939035"</f>
        <v>20190312172939035</v>
      </c>
      <c r="B2466" t="str">
        <f>"1552382979029473"</f>
        <v>1552382979029473</v>
      </c>
      <c r="C2466" t="s">
        <v>40</v>
      </c>
      <c r="D2466">
        <v>3.3434569999999999</v>
      </c>
      <c r="E2466">
        <v>0.45291179999999998</v>
      </c>
      <c r="F2466" t="s">
        <v>47</v>
      </c>
      <c r="G2466">
        <v>-462.03199999999998</v>
      </c>
      <c r="H2466" s="1">
        <v>-3.3827399999999998E-7</v>
      </c>
      <c r="I2466">
        <v>281.9357</v>
      </c>
      <c r="J2466">
        <v>-440.48540000000003</v>
      </c>
      <c r="K2466">
        <v>1.1111679999999999</v>
      </c>
      <c r="L2466">
        <v>285.91239999999999</v>
      </c>
      <c r="M2466">
        <v>-0.99943130000000002</v>
      </c>
      <c r="N2466">
        <v>0</v>
      </c>
      <c r="O2466">
        <v>1.91938E-2</v>
      </c>
      <c r="P2466">
        <v>-0.98992599999999997</v>
      </c>
      <c r="Q2466">
        <v>0.12974579999999999</v>
      </c>
      <c r="R2466">
        <v>-5.667838E-2</v>
      </c>
      <c r="S2466">
        <v>-3.0204770000000001</v>
      </c>
      <c r="T2466">
        <v>-0.15289759999999999</v>
      </c>
      <c r="U2466">
        <v>-0.54611209999999999</v>
      </c>
      <c r="V2466">
        <v>-7.5669070000000005E-2</v>
      </c>
      <c r="W2466">
        <v>0.15710829999999901</v>
      </c>
      <c r="X2466">
        <v>0.98467819999999995</v>
      </c>
      <c r="Y2466">
        <v>-0.19651289999999999</v>
      </c>
      <c r="Z2466">
        <v>-5.8946199999999997E-3</v>
      </c>
      <c r="AA2466">
        <v>0.98048349999999995</v>
      </c>
      <c r="AB2466">
        <v>40</v>
      </c>
      <c r="AC2466">
        <v>-21.546599999999899</v>
      </c>
      <c r="AD2466">
        <v>-1.1111683382740001</v>
      </c>
      <c r="AE2466">
        <v>-3.9766999999999899</v>
      </c>
      <c r="AF2466">
        <v>-4.3784261274083498</v>
      </c>
      <c r="AG2466">
        <v>-1.1111683382740001</v>
      </c>
      <c r="AH2466">
        <v>21.411202743867999</v>
      </c>
      <c r="AI2466">
        <v>92.910662596832495</v>
      </c>
      <c r="AJ2466">
        <v>101.55720762062199</v>
      </c>
      <c r="AK2466">
        <v>21.882525296870401</v>
      </c>
      <c r="AL2466">
        <v>80.960908658674498</v>
      </c>
      <c r="AM2466">
        <v>94.394343413311304</v>
      </c>
      <c r="AN2466">
        <v>0.99999999181939703</v>
      </c>
    </row>
    <row r="2467" spans="1:40" x14ac:dyDescent="0.25">
      <c r="A2467" t="str">
        <f>"20190312172939057"</f>
        <v>20190312172939057</v>
      </c>
      <c r="B2467" t="str">
        <f>"1552382979049969"</f>
        <v>1552382979049969</v>
      </c>
      <c r="C2467" t="s">
        <v>40</v>
      </c>
      <c r="D2467">
        <v>3.3593130000000002</v>
      </c>
      <c r="E2467">
        <v>0.45255040000000002</v>
      </c>
      <c r="F2467" t="s">
        <v>47</v>
      </c>
      <c r="G2467">
        <v>-462.13220000000001</v>
      </c>
      <c r="H2467" s="1">
        <v>-2.8445570000000001E-7</v>
      </c>
      <c r="I2467">
        <v>281.92360000000002</v>
      </c>
      <c r="J2467">
        <v>-440.875</v>
      </c>
      <c r="K2467">
        <v>1.1111420000000001</v>
      </c>
      <c r="L2467">
        <v>285.91989999999998</v>
      </c>
      <c r="M2467">
        <v>-0.99943890000000002</v>
      </c>
      <c r="N2467">
        <v>0</v>
      </c>
      <c r="O2467">
        <v>1.9194449999999998E-2</v>
      </c>
      <c r="P2467">
        <v>-0.98986929999999995</v>
      </c>
      <c r="Q2467">
        <v>0.12948370000000001</v>
      </c>
      <c r="R2467">
        <v>-5.8247279999999999E-2</v>
      </c>
      <c r="S2467">
        <v>-3.0189509999999999</v>
      </c>
      <c r="T2467">
        <v>-0.15496840000000001</v>
      </c>
      <c r="U2467">
        <v>-0.55630489999999999</v>
      </c>
      <c r="V2467">
        <v>-7.7237230000000004E-2</v>
      </c>
      <c r="W2467">
        <v>0.1565771</v>
      </c>
      <c r="X2467">
        <v>0.98464110000000005</v>
      </c>
      <c r="Y2467">
        <v>-0.1997911</v>
      </c>
      <c r="Z2467">
        <v>-6.0589429999999998E-3</v>
      </c>
      <c r="AA2467">
        <v>0.97981980000000002</v>
      </c>
      <c r="AB2467">
        <v>40</v>
      </c>
      <c r="AC2467">
        <v>-21.257200000000001</v>
      </c>
      <c r="AD2467">
        <v>-1.1111422844557</v>
      </c>
      <c r="AE2467">
        <v>-3.9962999999999602</v>
      </c>
      <c r="AF2467">
        <v>-4.3921462979930102</v>
      </c>
      <c r="AG2467">
        <v>-1.1111422844557</v>
      </c>
      <c r="AH2467">
        <v>21.1208068618641</v>
      </c>
      <c r="AI2467">
        <v>92.948526933102997</v>
      </c>
      <c r="AJ2467">
        <v>101.74743131017399</v>
      </c>
      <c r="AK2467">
        <v>21.601251555765099</v>
      </c>
      <c r="AL2467">
        <v>80.991725989328302</v>
      </c>
      <c r="AM2467">
        <v>94.485211936571403</v>
      </c>
      <c r="AN2467">
        <v>1.0000000368758399</v>
      </c>
    </row>
    <row r="2468" spans="1:40" x14ac:dyDescent="0.25">
      <c r="A2468" t="str">
        <f>"20190312172939079"</f>
        <v>20190312172939079</v>
      </c>
      <c r="B2468" t="str">
        <f>"1552382979069489"</f>
        <v>1552382979069489</v>
      </c>
      <c r="C2468" t="s">
        <v>40</v>
      </c>
      <c r="D2468">
        <v>3.3367170000000002</v>
      </c>
      <c r="E2468">
        <v>0.45229849999999999</v>
      </c>
      <c r="F2468" t="s">
        <v>47</v>
      </c>
      <c r="G2468">
        <v>-462.41739999999999</v>
      </c>
      <c r="H2468" s="1">
        <v>-1.3133649999999999E-7</v>
      </c>
      <c r="I2468">
        <v>281.8938</v>
      </c>
      <c r="J2468">
        <v>-441.2672</v>
      </c>
      <c r="K2468">
        <v>1.1111150000000001</v>
      </c>
      <c r="L2468">
        <v>285.92739999999998</v>
      </c>
      <c r="M2468">
        <v>-0.99944690000000003</v>
      </c>
      <c r="N2468">
        <v>0</v>
      </c>
      <c r="O2468">
        <v>1.9195190000000001E-2</v>
      </c>
      <c r="P2468">
        <v>-0.98971370000000003</v>
      </c>
      <c r="Q2468">
        <v>0.1299949</v>
      </c>
      <c r="R2468">
        <v>-5.9733500000000002E-2</v>
      </c>
      <c r="S2468">
        <v>-3.0179140000000002</v>
      </c>
      <c r="T2468">
        <v>-0.15566169999999999</v>
      </c>
      <c r="U2468">
        <v>-0.56402589999999997</v>
      </c>
      <c r="V2468">
        <v>-7.8720879999999993E-2</v>
      </c>
      <c r="W2468">
        <v>0.1567933</v>
      </c>
      <c r="X2468">
        <v>0.98448910000000001</v>
      </c>
      <c r="Y2468">
        <v>-0.20226859999999999</v>
      </c>
      <c r="Z2468">
        <v>-6.1500039999999997E-3</v>
      </c>
      <c r="AA2468">
        <v>0.97931080000000004</v>
      </c>
      <c r="AB2468">
        <v>40</v>
      </c>
      <c r="AC2468">
        <v>-21.150199999999899</v>
      </c>
      <c r="AD2468">
        <v>-1.11111513133649</v>
      </c>
      <c r="AE2468">
        <v>-4.0335999999999697</v>
      </c>
      <c r="AF2468">
        <v>-4.4271984634741797</v>
      </c>
      <c r="AG2468">
        <v>-1.11111513133649</v>
      </c>
      <c r="AH2468">
        <v>21.0128883613332</v>
      </c>
      <c r="AI2468">
        <v>92.961948085106997</v>
      </c>
      <c r="AJ2468">
        <v>101.897619897339</v>
      </c>
      <c r="AK2468">
        <v>21.502933296551099</v>
      </c>
      <c r="AL2468">
        <v>80.979182955159999</v>
      </c>
      <c r="AM2468">
        <v>94.571709432856693</v>
      </c>
      <c r="AN2468">
        <v>0.99999995194583602</v>
      </c>
    </row>
    <row r="2469" spans="1:40" x14ac:dyDescent="0.25">
      <c r="A2469" t="str">
        <f>"20190312172939101"</f>
        <v>20190312172939101</v>
      </c>
      <c r="B2469" t="str">
        <f>"1552382979089985"</f>
        <v>1552382979089985</v>
      </c>
      <c r="C2469" t="s">
        <v>40</v>
      </c>
      <c r="D2469">
        <v>3.3312379999999999</v>
      </c>
      <c r="E2469">
        <v>0.4521481</v>
      </c>
      <c r="F2469" t="s">
        <v>47</v>
      </c>
      <c r="G2469">
        <v>-463.02409999999998</v>
      </c>
      <c r="H2469" s="1">
        <v>1.949447E-7</v>
      </c>
      <c r="I2469">
        <v>281.81439999999998</v>
      </c>
      <c r="J2469">
        <v>-441.65550000000002</v>
      </c>
      <c r="K2469">
        <v>1.1110979999999999</v>
      </c>
      <c r="L2469">
        <v>285.93490000000003</v>
      </c>
      <c r="M2469">
        <v>-0.99945519999999999</v>
      </c>
      <c r="N2469">
        <v>0</v>
      </c>
      <c r="O2469">
        <v>1.919585E-2</v>
      </c>
      <c r="P2469">
        <v>-0.98953139999999995</v>
      </c>
      <c r="Q2469">
        <v>0.130917899999999</v>
      </c>
      <c r="R2469">
        <v>-6.0732910000000001E-2</v>
      </c>
      <c r="S2469">
        <v>-3.0169679999999999</v>
      </c>
      <c r="T2469">
        <v>-0.1540754</v>
      </c>
      <c r="U2469">
        <v>-0.57034300000000004</v>
      </c>
      <c r="V2469">
        <v>-7.9716560000000006E-2</v>
      </c>
      <c r="W2469">
        <v>0.157412</v>
      </c>
      <c r="X2469">
        <v>0.98431029999999997</v>
      </c>
      <c r="Y2469">
        <v>-0.20430780000000001</v>
      </c>
      <c r="Z2469">
        <v>-6.1397300000000004E-3</v>
      </c>
      <c r="AA2469">
        <v>0.97888739999999996</v>
      </c>
      <c r="AB2469">
        <v>39</v>
      </c>
      <c r="AC2469">
        <v>-21.368599999999901</v>
      </c>
      <c r="AD2469">
        <v>-1.1110978050553</v>
      </c>
      <c r="AE2469">
        <v>-4.1205000000000496</v>
      </c>
      <c r="AF2469">
        <v>-4.5182985685052799</v>
      </c>
      <c r="AG2469">
        <v>-1.1110978050553</v>
      </c>
      <c r="AH2469">
        <v>21.230193321985901</v>
      </c>
      <c r="AI2469">
        <v>92.930372386664601</v>
      </c>
      <c r="AJ2469">
        <v>102.01466999664299</v>
      </c>
      <c r="AK2469">
        <v>21.734090014892502</v>
      </c>
      <c r="AL2469">
        <v>80.943288920303303</v>
      </c>
      <c r="AM2469">
        <v>94.630120966399303</v>
      </c>
      <c r="AN2469">
        <v>1.0000000171841601</v>
      </c>
    </row>
    <row r="2470" spans="1:40" x14ac:dyDescent="0.25">
      <c r="A2470" t="str">
        <f>"20190312172939125"</f>
        <v>20190312172939125</v>
      </c>
      <c r="B2470" t="str">
        <f>"1552382979120241"</f>
        <v>1552382979120241</v>
      </c>
      <c r="C2470" t="s">
        <v>40</v>
      </c>
      <c r="D2470">
        <v>3.305787</v>
      </c>
      <c r="E2470">
        <v>0.45198519999999998</v>
      </c>
      <c r="F2470" t="s">
        <v>47</v>
      </c>
      <c r="G2470">
        <v>-463.92</v>
      </c>
      <c r="H2470" s="1">
        <v>6.7692149999999999E-7</v>
      </c>
      <c r="I2470">
        <v>281.69510000000002</v>
      </c>
      <c r="J2470">
        <v>-442.0487</v>
      </c>
      <c r="K2470">
        <v>1.111078</v>
      </c>
      <c r="L2470">
        <v>285.94240000000002</v>
      </c>
      <c r="M2470">
        <v>-0.9994634</v>
      </c>
      <c r="N2470">
        <v>0</v>
      </c>
      <c r="O2470">
        <v>1.919676E-2</v>
      </c>
      <c r="P2470">
        <v>-0.98938530000000002</v>
      </c>
      <c r="Q2470">
        <v>0.13169410000000001</v>
      </c>
      <c r="R2470">
        <v>-6.1428709999999997E-2</v>
      </c>
      <c r="S2470">
        <v>-3.0163570000000002</v>
      </c>
      <c r="T2470">
        <v>-0.15052939999999901</v>
      </c>
      <c r="U2470">
        <v>-0.57440190000000002</v>
      </c>
      <c r="V2470">
        <v>-8.0410780000000001E-2</v>
      </c>
      <c r="W2470">
        <v>0.15787579999999901</v>
      </c>
      <c r="X2470">
        <v>0.98417949999999998</v>
      </c>
      <c r="Y2470">
        <v>-0.20562710000000001</v>
      </c>
      <c r="Z2470">
        <v>-6.0316930000000003E-3</v>
      </c>
      <c r="AA2470">
        <v>0.97861180000000003</v>
      </c>
      <c r="AB2470">
        <v>39</v>
      </c>
      <c r="AC2470">
        <v>-21.871300000000002</v>
      </c>
      <c r="AD2470">
        <v>-1.1110773230785</v>
      </c>
      <c r="AE2470">
        <v>-4.2472999999999903</v>
      </c>
      <c r="AF2470">
        <v>-4.6549463253703198</v>
      </c>
      <c r="AG2470">
        <v>-1.1110773230785</v>
      </c>
      <c r="AH2470">
        <v>21.731658700582798</v>
      </c>
      <c r="AI2470">
        <v>92.862010663305497</v>
      </c>
      <c r="AJ2470">
        <v>102.090124636751</v>
      </c>
      <c r="AK2470">
        <v>22.252370839723</v>
      </c>
      <c r="AL2470">
        <v>80.916378266184296</v>
      </c>
      <c r="AM2470">
        <v>94.670883202475906</v>
      </c>
      <c r="AN2470">
        <v>0.99999997499304805</v>
      </c>
    </row>
    <row r="2471" spans="1:40" x14ac:dyDescent="0.25">
      <c r="A2471" t="str">
        <f>"20190312172939146"</f>
        <v>20190312172939146</v>
      </c>
      <c r="B2471" t="str">
        <f>"1552382979139761"</f>
        <v>1552382979139761</v>
      </c>
      <c r="C2471" t="s">
        <v>40</v>
      </c>
      <c r="D2471">
        <v>3.329307</v>
      </c>
      <c r="E2471">
        <v>0.4518858</v>
      </c>
      <c r="F2471" t="s">
        <v>47</v>
      </c>
      <c r="G2471">
        <v>-464.7276</v>
      </c>
      <c r="H2471" s="1">
        <v>1.1108039999999999E-6</v>
      </c>
      <c r="I2471">
        <v>281.60120000000001</v>
      </c>
      <c r="J2471">
        <v>-442.4314</v>
      </c>
      <c r="K2471">
        <v>1.1110530000000001</v>
      </c>
      <c r="L2471">
        <v>285.94979999999998</v>
      </c>
      <c r="M2471">
        <v>-0.99947140000000001</v>
      </c>
      <c r="N2471">
        <v>0</v>
      </c>
      <c r="O2471">
        <v>1.9197410000000002E-2</v>
      </c>
      <c r="P2471">
        <v>-0.98929129999999998</v>
      </c>
      <c r="Q2471">
        <v>0.13209170000000001</v>
      </c>
      <c r="R2471">
        <v>-6.2087799999999999E-2</v>
      </c>
      <c r="S2471">
        <v>-3.0160520000000002</v>
      </c>
      <c r="T2471">
        <v>-0.14776110000000001</v>
      </c>
      <c r="U2471">
        <v>-0.5773315</v>
      </c>
      <c r="V2471">
        <v>-8.1068310000000005E-2</v>
      </c>
      <c r="W2471">
        <v>0.15797749999999999</v>
      </c>
      <c r="X2471">
        <v>0.98410929999999996</v>
      </c>
      <c r="Y2471">
        <v>-0.20657159999999999</v>
      </c>
      <c r="Z2471">
        <v>-5.9438950000000003E-3</v>
      </c>
      <c r="AA2471">
        <v>0.97841339999999999</v>
      </c>
      <c r="AB2471">
        <v>39</v>
      </c>
      <c r="AC2471">
        <v>-22.296199999999999</v>
      </c>
      <c r="AD2471">
        <v>-1.111051889196</v>
      </c>
      <c r="AE2471">
        <v>-4.34859999999997</v>
      </c>
      <c r="AF2471">
        <v>-4.7645770448850602</v>
      </c>
      <c r="AG2471">
        <v>-1.111051889196</v>
      </c>
      <c r="AH2471">
        <v>22.155577631257501</v>
      </c>
      <c r="AI2471">
        <v>92.806785388696696</v>
      </c>
      <c r="AJ2471">
        <v>102.136667978669</v>
      </c>
      <c r="AK2471">
        <v>22.689320194572002</v>
      </c>
      <c r="AL2471">
        <v>80.910477808632294</v>
      </c>
      <c r="AM2471">
        <v>94.709240982170499</v>
      </c>
      <c r="AN2471">
        <v>1.00000003786949</v>
      </c>
    </row>
    <row r="2472" spans="1:40" x14ac:dyDescent="0.25">
      <c r="A2472" t="str">
        <f>"20190312172939169"</f>
        <v>20190312172939169</v>
      </c>
      <c r="B2472" t="str">
        <f>"1552382979160258"</f>
        <v>1552382979160258</v>
      </c>
      <c r="C2472" t="s">
        <v>40</v>
      </c>
      <c r="D2472">
        <v>3.2883119999999999</v>
      </c>
      <c r="E2472">
        <v>0.4518047</v>
      </c>
      <c r="F2472" t="s">
        <v>47</v>
      </c>
      <c r="G2472">
        <v>-465.37110000000001</v>
      </c>
      <c r="H2472" s="1">
        <v>1.4558370000000001E-6</v>
      </c>
      <c r="I2472">
        <v>281.54149999999998</v>
      </c>
      <c r="J2472">
        <v>-442.81330000000003</v>
      </c>
      <c r="K2472">
        <v>1.111043</v>
      </c>
      <c r="L2472">
        <v>285.95710000000003</v>
      </c>
      <c r="M2472">
        <v>-0.9994788</v>
      </c>
      <c r="N2472">
        <v>0</v>
      </c>
      <c r="O2472">
        <v>1.9197909999999999E-2</v>
      </c>
      <c r="P2472">
        <v>-0.9892223</v>
      </c>
      <c r="Q2472">
        <v>0.13248219999999999</v>
      </c>
      <c r="R2472">
        <v>-6.2353720000000001E-2</v>
      </c>
      <c r="S2472">
        <v>-3.0155639999999999</v>
      </c>
      <c r="T2472">
        <v>-0.14605460000000001</v>
      </c>
      <c r="U2472">
        <v>-0.57949830000000002</v>
      </c>
      <c r="V2472">
        <v>-8.1333000000000003E-2</v>
      </c>
      <c r="W2472">
        <v>0.1580821</v>
      </c>
      <c r="X2472">
        <v>0.98407069999999996</v>
      </c>
      <c r="Y2472">
        <v>-0.20728440000000001</v>
      </c>
      <c r="Z2472">
        <v>-5.8929819999999997E-3</v>
      </c>
      <c r="AA2472">
        <v>0.97826299999999999</v>
      </c>
      <c r="AB2472">
        <v>39</v>
      </c>
      <c r="AC2472">
        <v>-22.557799999999901</v>
      </c>
      <c r="AD2472">
        <v>-1.1110415441629999</v>
      </c>
      <c r="AE2472">
        <v>-4.4156000000000297</v>
      </c>
      <c r="AF2472">
        <v>-4.8366940111241901</v>
      </c>
      <c r="AG2472">
        <v>-1.1110415441629999</v>
      </c>
      <c r="AH2472">
        <v>22.416468361383899</v>
      </c>
      <c r="AI2472">
        <v>92.773737320458807</v>
      </c>
      <c r="AJ2472">
        <v>102.175779782954</v>
      </c>
      <c r="AK2472">
        <v>22.9592263821547</v>
      </c>
      <c r="AL2472">
        <v>80.904408744073805</v>
      </c>
      <c r="AM2472">
        <v>94.724731757887596</v>
      </c>
      <c r="AN2472">
        <v>1.0000000749139399</v>
      </c>
    </row>
    <row r="2473" spans="1:40" x14ac:dyDescent="0.25">
      <c r="A2473" t="str">
        <f>"20190312172939190"</f>
        <v>20190312172939190</v>
      </c>
      <c r="B2473" t="str">
        <f>"1552382979179777"</f>
        <v>1552382979179777</v>
      </c>
      <c r="C2473" t="s">
        <v>40</v>
      </c>
      <c r="D2473">
        <v>3.3115169999999998</v>
      </c>
      <c r="E2473">
        <v>0.4517157</v>
      </c>
      <c r="F2473" t="s">
        <v>47</v>
      </c>
      <c r="G2473">
        <v>-466.06380000000001</v>
      </c>
      <c r="H2473" s="1">
        <v>1.8272029999999999E-6</v>
      </c>
      <c r="I2473">
        <v>281.4785</v>
      </c>
      <c r="J2473">
        <v>-443.18650000000002</v>
      </c>
      <c r="K2473">
        <v>1.11103</v>
      </c>
      <c r="L2473">
        <v>285.96420000000001</v>
      </c>
      <c r="M2473">
        <v>-0.99948579999999998</v>
      </c>
      <c r="N2473">
        <v>0</v>
      </c>
      <c r="O2473">
        <v>1.9198090000000001E-2</v>
      </c>
      <c r="P2473">
        <v>-0.98925030000000003</v>
      </c>
      <c r="Q2473">
        <v>0.13227700000000001</v>
      </c>
      <c r="R2473">
        <v>-6.2345070000000002E-2</v>
      </c>
      <c r="S2473">
        <v>-3.0154109999999998</v>
      </c>
      <c r="T2473">
        <v>-0.14409350000000001</v>
      </c>
      <c r="U2473">
        <v>-0.5808411</v>
      </c>
      <c r="V2473">
        <v>-8.1325079999999994E-2</v>
      </c>
      <c r="W2473">
        <v>0.157614</v>
      </c>
      <c r="X2473">
        <v>0.98414639999999998</v>
      </c>
      <c r="Y2473">
        <v>-0.20771999999999999</v>
      </c>
      <c r="Z2473">
        <v>-5.8242989999999998E-3</v>
      </c>
      <c r="AA2473">
        <v>0.97817100000000001</v>
      </c>
      <c r="AB2473">
        <v>38</v>
      </c>
      <c r="AC2473">
        <v>-22.877299999999899</v>
      </c>
      <c r="AD2473">
        <v>-1.1110281727969999</v>
      </c>
      <c r="AE2473">
        <v>-4.4856999999999996</v>
      </c>
      <c r="AF2473">
        <v>-4.9130595411790301</v>
      </c>
      <c r="AG2473">
        <v>-1.1110281727969999</v>
      </c>
      <c r="AH2473">
        <v>22.735299068792401</v>
      </c>
      <c r="AI2473">
        <v>92.734678502437106</v>
      </c>
      <c r="AJ2473">
        <v>102.19401435692301</v>
      </c>
      <c r="AK2473">
        <v>23.286613351952901</v>
      </c>
      <c r="AL2473">
        <v>80.931569071352598</v>
      </c>
      <c r="AM2473">
        <v>94.723912014210796</v>
      </c>
      <c r="AN2473">
        <v>1.00000003913298</v>
      </c>
    </row>
    <row r="2474" spans="1:40" x14ac:dyDescent="0.25">
      <c r="A2474" t="str">
        <f>"20190312172939213"</f>
        <v>20190312172939213</v>
      </c>
      <c r="B2474" t="str">
        <f>"1552382979210033"</f>
        <v>1552382979210033</v>
      </c>
      <c r="C2474" t="s">
        <v>40</v>
      </c>
      <c r="D2474">
        <v>3.246896</v>
      </c>
      <c r="E2474">
        <v>0.4515729</v>
      </c>
      <c r="F2474" t="s">
        <v>47</v>
      </c>
      <c r="G2474">
        <v>-466.34649999999999</v>
      </c>
      <c r="H2474" s="1">
        <v>1.9768190000000002E-6</v>
      </c>
      <c r="I2474">
        <v>281.49720000000002</v>
      </c>
      <c r="J2474">
        <v>-443.57159999999999</v>
      </c>
      <c r="K2474">
        <v>1.11102099999999</v>
      </c>
      <c r="L2474">
        <v>285.97160000000002</v>
      </c>
      <c r="M2474">
        <v>-0.99949219999999905</v>
      </c>
      <c r="N2474">
        <v>0</v>
      </c>
      <c r="O2474">
        <v>1.9198730000000001E-2</v>
      </c>
      <c r="P2474">
        <v>-0.9892744</v>
      </c>
      <c r="Q2474">
        <v>0.1320305</v>
      </c>
      <c r="R2474">
        <v>-6.2485060000000002E-2</v>
      </c>
      <c r="S2474">
        <v>-3.0152589999999999</v>
      </c>
      <c r="T2474">
        <v>-0.14464759999999999</v>
      </c>
      <c r="U2474">
        <v>-0.58157349999999997</v>
      </c>
      <c r="V2474">
        <v>-8.1466330000000003E-2</v>
      </c>
      <c r="W2474">
        <v>0.15711530000000001</v>
      </c>
      <c r="X2474">
        <v>0.98421440000000004</v>
      </c>
      <c r="Y2474">
        <v>-0.20795659999999999</v>
      </c>
      <c r="Z2474">
        <v>-5.8524739999999999E-3</v>
      </c>
      <c r="AA2474">
        <v>0.97812060000000001</v>
      </c>
      <c r="AB2474">
        <v>38</v>
      </c>
      <c r="AC2474">
        <v>-22.774899999999999</v>
      </c>
      <c r="AD2474">
        <v>-1.11101902318099</v>
      </c>
      <c r="AE2474">
        <v>-4.4744000000000002</v>
      </c>
      <c r="AF2474">
        <v>-4.8997386037852602</v>
      </c>
      <c r="AG2474">
        <v>-1.11101902318099</v>
      </c>
      <c r="AH2474">
        <v>22.632910097998799</v>
      </c>
      <c r="AI2474">
        <v>92.746787938344497</v>
      </c>
      <c r="AJ2474">
        <v>102.21530860324</v>
      </c>
      <c r="AK2474">
        <v>23.183839655229502</v>
      </c>
      <c r="AL2474">
        <v>80.960502462330297</v>
      </c>
      <c r="AM2474">
        <v>94.731754086282294</v>
      </c>
      <c r="AN2474">
        <v>0.99999998279255897</v>
      </c>
    </row>
    <row r="2475" spans="1:40" x14ac:dyDescent="0.25">
      <c r="A2475" t="str">
        <f>"20190312172939236"</f>
        <v>20190312172939236</v>
      </c>
      <c r="B2475" t="str">
        <f>"1552382979229557"</f>
        <v>1552382979229557</v>
      </c>
      <c r="C2475" t="s">
        <v>40</v>
      </c>
      <c r="D2475">
        <v>3.2738489999999998</v>
      </c>
      <c r="E2475">
        <v>0.45141320000000001</v>
      </c>
      <c r="F2475" t="s">
        <v>47</v>
      </c>
      <c r="G2475">
        <v>-466.65350000000001</v>
      </c>
      <c r="H2475" s="1">
        <v>2.139647E-6</v>
      </c>
      <c r="I2475">
        <v>281.51</v>
      </c>
      <c r="J2475">
        <v>-443.95209999999997</v>
      </c>
      <c r="K2475">
        <v>1.111024</v>
      </c>
      <c r="L2475">
        <v>285.97890000000001</v>
      </c>
      <c r="M2475">
        <v>-0.99949809999999994</v>
      </c>
      <c r="N2475">
        <v>0</v>
      </c>
      <c r="O2475">
        <v>1.9199379999999999E-2</v>
      </c>
      <c r="P2475">
        <v>-0.9893187</v>
      </c>
      <c r="Q2475">
        <v>0.13161619999999999</v>
      </c>
      <c r="R2475">
        <v>-6.2657900000000002E-2</v>
      </c>
      <c r="S2475">
        <v>-3.0150450000000002</v>
      </c>
      <c r="T2475">
        <v>-0.1451257</v>
      </c>
      <c r="U2475">
        <v>-0.58279419999999904</v>
      </c>
      <c r="V2475">
        <v>-8.1640409999999997E-2</v>
      </c>
      <c r="W2475">
        <v>0.15647440000000001</v>
      </c>
      <c r="X2475">
        <v>0.98430209999999996</v>
      </c>
      <c r="Y2475">
        <v>-0.2083497</v>
      </c>
      <c r="Z2475">
        <v>-5.8813779999999996E-3</v>
      </c>
      <c r="AA2475">
        <v>0.97803669999999998</v>
      </c>
      <c r="AB2475">
        <v>38</v>
      </c>
      <c r="AC2475">
        <v>-22.7014</v>
      </c>
      <c r="AD2475">
        <v>-1.111021860353</v>
      </c>
      <c r="AE2475">
        <v>-4.4689000000000103</v>
      </c>
      <c r="AF2475">
        <v>-4.8927850370620396</v>
      </c>
      <c r="AG2475">
        <v>-1.111021860353</v>
      </c>
      <c r="AH2475">
        <v>22.559367393151401</v>
      </c>
      <c r="AI2475">
        <v>92.755509252197598</v>
      </c>
      <c r="AJ2475">
        <v>102.23706264094901</v>
      </c>
      <c r="AK2475">
        <v>23.110577062727401</v>
      </c>
      <c r="AL2475">
        <v>80.997683450222894</v>
      </c>
      <c r="AM2475">
        <v>94.741398437894105</v>
      </c>
      <c r="AN2475">
        <v>1.00000000923236</v>
      </c>
    </row>
    <row r="2476" spans="1:40" x14ac:dyDescent="0.25">
      <c r="A2476" t="str">
        <f>"20190312172939257"</f>
        <v>20190312172939257</v>
      </c>
      <c r="B2476" t="str">
        <f>"1552382979250049"</f>
        <v>1552382979250049</v>
      </c>
      <c r="C2476" t="s">
        <v>40</v>
      </c>
      <c r="D2476">
        <v>3.2796569999999998</v>
      </c>
      <c r="E2476">
        <v>0.45125530000000003</v>
      </c>
      <c r="F2476" t="s">
        <v>47</v>
      </c>
      <c r="G2476">
        <v>-466.8657</v>
      </c>
      <c r="H2476" s="1">
        <v>2.2512819999999999E-6</v>
      </c>
      <c r="I2476">
        <v>281.53910000000002</v>
      </c>
      <c r="J2476">
        <v>-444.31819999999999</v>
      </c>
      <c r="K2476">
        <v>1.111024</v>
      </c>
      <c r="L2476">
        <v>285.98599999999999</v>
      </c>
      <c r="M2476">
        <v>-0.99950320000000004</v>
      </c>
      <c r="N2476">
        <v>0</v>
      </c>
      <c r="O2476">
        <v>1.919999E-2</v>
      </c>
      <c r="P2476">
        <v>-0.9892685</v>
      </c>
      <c r="Q2476">
        <v>0.13189089999999901</v>
      </c>
      <c r="R2476">
        <v>-6.2872479999999994E-2</v>
      </c>
      <c r="S2476">
        <v>-3.0148320000000002</v>
      </c>
      <c r="T2476">
        <v>-0.1461817</v>
      </c>
      <c r="U2476">
        <v>-0.58416749999999995</v>
      </c>
      <c r="V2476">
        <v>-8.1854380000000004E-2</v>
      </c>
      <c r="W2476">
        <v>0.15654879999999999</v>
      </c>
      <c r="X2476">
        <v>0.98427249999999999</v>
      </c>
      <c r="Y2476">
        <v>-0.20878830000000001</v>
      </c>
      <c r="Z2476">
        <v>-5.9348350000000003E-3</v>
      </c>
      <c r="AA2476">
        <v>0.97794289999999995</v>
      </c>
      <c r="AB2476">
        <v>38</v>
      </c>
      <c r="AC2476">
        <v>-22.547499999999999</v>
      </c>
      <c r="AD2476">
        <v>-1.1110217487180001</v>
      </c>
      <c r="AE2476">
        <v>-4.4468999999999701</v>
      </c>
      <c r="AF2476">
        <v>-4.8677504414983703</v>
      </c>
      <c r="AG2476">
        <v>-1.1110217487180001</v>
      </c>
      <c r="AH2476">
        <v>22.405570076665299</v>
      </c>
      <c r="AI2476">
        <v>92.774180740015396</v>
      </c>
      <c r="AJ2476">
        <v>102.25738541733701</v>
      </c>
      <c r="AK2476">
        <v>22.955150492802002</v>
      </c>
      <c r="AL2476">
        <v>80.993367463981997</v>
      </c>
      <c r="AM2476">
        <v>94.753910518995397</v>
      </c>
      <c r="AN2476">
        <v>1.0000000102814299</v>
      </c>
    </row>
    <row r="2477" spans="1:40" x14ac:dyDescent="0.25">
      <c r="A2477" t="str">
        <f>"20190312172939281"</f>
        <v>20190312172939281</v>
      </c>
      <c r="B2477" t="str">
        <f>"1552382979269570"</f>
        <v>1552382979269570</v>
      </c>
      <c r="C2477" t="s">
        <v>40</v>
      </c>
      <c r="D2477">
        <v>3.2303500000000001</v>
      </c>
      <c r="E2477">
        <v>0.45113969999999998</v>
      </c>
      <c r="F2477" t="s">
        <v>47</v>
      </c>
      <c r="G2477">
        <v>-467.43470000000002</v>
      </c>
      <c r="H2477" s="1">
        <v>2.5561380000000002E-6</v>
      </c>
      <c r="I2477">
        <v>281.49250000000001</v>
      </c>
      <c r="J2477">
        <v>-444.69740000000002</v>
      </c>
      <c r="K2477">
        <v>1.111029</v>
      </c>
      <c r="L2477">
        <v>285.99329999999998</v>
      </c>
      <c r="M2477">
        <v>-0.9995077</v>
      </c>
      <c r="N2477">
        <v>0</v>
      </c>
      <c r="O2477">
        <v>1.9200439999999999E-2</v>
      </c>
      <c r="P2477">
        <v>-0.98914650000000004</v>
      </c>
      <c r="Q2477">
        <v>0.13283349999999999</v>
      </c>
      <c r="R2477">
        <v>-6.2805780000000005E-2</v>
      </c>
      <c r="S2477">
        <v>-3.014618</v>
      </c>
      <c r="T2477">
        <v>-0.14488819999999999</v>
      </c>
      <c r="U2477">
        <v>-0.58599849999999998</v>
      </c>
      <c r="V2477">
        <v>-8.1786170000000005E-2</v>
      </c>
      <c r="W2477">
        <v>0.15730939999999999</v>
      </c>
      <c r="X2477">
        <v>0.9841569</v>
      </c>
      <c r="Y2477">
        <v>-0.20937790000000001</v>
      </c>
      <c r="Z2477">
        <v>-5.896498E-3</v>
      </c>
      <c r="AA2477">
        <v>0.97781709999999999</v>
      </c>
      <c r="AB2477">
        <v>38</v>
      </c>
      <c r="AC2477">
        <v>-22.737300000000001</v>
      </c>
      <c r="AD2477">
        <v>-1.1110264438619999</v>
      </c>
      <c r="AE2477">
        <v>-4.5007999999999697</v>
      </c>
      <c r="AF2477">
        <v>-4.9253538027876402</v>
      </c>
      <c r="AG2477">
        <v>-1.1110264438619999</v>
      </c>
      <c r="AH2477">
        <v>22.594747725027201</v>
      </c>
      <c r="AI2477">
        <v>92.750584135959798</v>
      </c>
      <c r="AJ2477">
        <v>102.29734225889401</v>
      </c>
      <c r="AK2477">
        <v>23.152021825301102</v>
      </c>
      <c r="AL2477">
        <v>80.949241605203596</v>
      </c>
      <c r="AM2477">
        <v>94.750522558006196</v>
      </c>
      <c r="AN2477">
        <v>1.0000000143746099</v>
      </c>
    </row>
    <row r="2478" spans="1:40" x14ac:dyDescent="0.25">
      <c r="A2478" t="str">
        <f>"20190312172939302"</f>
        <v>20190312172939302</v>
      </c>
      <c r="B2478" t="str">
        <f>"1552382979299827"</f>
        <v>1552382979299827</v>
      </c>
      <c r="C2478" t="s">
        <v>40</v>
      </c>
      <c r="D2478">
        <v>3.2647729999999999</v>
      </c>
      <c r="E2478">
        <v>0.44717689999999999</v>
      </c>
      <c r="F2478" t="s">
        <v>47</v>
      </c>
      <c r="G2478">
        <v>-468.40170000000001</v>
      </c>
      <c r="H2478" s="1">
        <v>3.075806E-6</v>
      </c>
      <c r="I2478">
        <v>281.37639999999999</v>
      </c>
      <c r="J2478">
        <v>-445.06420000000003</v>
      </c>
      <c r="K2478">
        <v>1.111046</v>
      </c>
      <c r="L2478">
        <v>286.00029999999998</v>
      </c>
      <c r="M2478">
        <v>-0.99951129999999999</v>
      </c>
      <c r="N2478">
        <v>0</v>
      </c>
      <c r="O2478">
        <v>1.9200930000000001E-2</v>
      </c>
      <c r="P2478">
        <v>-0.9890196</v>
      </c>
      <c r="Q2478">
        <v>0.1337497</v>
      </c>
      <c r="R2478">
        <v>-6.2860509999999994E-2</v>
      </c>
      <c r="S2478">
        <v>-3.014618</v>
      </c>
      <c r="T2478">
        <v>-0.141296</v>
      </c>
      <c r="U2478">
        <v>-0.58715819999999996</v>
      </c>
      <c r="V2478">
        <v>-8.1838449999999993E-2</v>
      </c>
      <c r="W2478">
        <v>0.15807689999999999</v>
      </c>
      <c r="X2478">
        <v>0.9840295</v>
      </c>
      <c r="Y2478">
        <v>-0.20975279999999999</v>
      </c>
      <c r="Z2478">
        <v>-5.7589769999999898E-3</v>
      </c>
      <c r="AA2478">
        <v>0.97773750000000004</v>
      </c>
      <c r="AB2478">
        <v>37</v>
      </c>
      <c r="AC2478">
        <v>-23.337499999999899</v>
      </c>
      <c r="AD2478">
        <v>-1.1110429241940001</v>
      </c>
      <c r="AE2478">
        <v>-4.6238999999999901</v>
      </c>
      <c r="AF2478">
        <v>-5.0602493787112799</v>
      </c>
      <c r="AG2478">
        <v>-1.1110429241940001</v>
      </c>
      <c r="AH2478">
        <v>23.193802056197899</v>
      </c>
      <c r="AI2478">
        <v>92.679582583897499</v>
      </c>
      <c r="AJ2478">
        <v>102.30750523997401</v>
      </c>
      <c r="AK2478">
        <v>23.765373844655599</v>
      </c>
      <c r="AL2478">
        <v>80.904709307641198</v>
      </c>
      <c r="AM2478">
        <v>94.754157923066003</v>
      </c>
      <c r="AN2478">
        <v>0.99999994754112898</v>
      </c>
    </row>
    <row r="2479" spans="1:40" x14ac:dyDescent="0.25">
      <c r="A2479" t="str">
        <f>"20190312172939326"</f>
        <v>20190312172939326</v>
      </c>
      <c r="B2479" t="str">
        <f>"1552382979320321"</f>
        <v>1552382979320321</v>
      </c>
      <c r="C2479" t="s">
        <v>40</v>
      </c>
      <c r="D2479">
        <v>3.2441230000000001</v>
      </c>
      <c r="E2479">
        <v>0.44837949999999999</v>
      </c>
      <c r="F2479" t="s">
        <v>46</v>
      </c>
      <c r="G2479">
        <v>-473.19830000000002</v>
      </c>
      <c r="H2479" s="1">
        <v>4.8115179999999997E-6</v>
      </c>
      <c r="I2479">
        <v>280.22089999999997</v>
      </c>
      <c r="J2479">
        <v>-445.44740000000002</v>
      </c>
      <c r="K2479">
        <v>1.1110610000000001</v>
      </c>
      <c r="L2479">
        <v>286.0077</v>
      </c>
      <c r="M2479">
        <v>-0.99951449999999997</v>
      </c>
      <c r="N2479">
        <v>0</v>
      </c>
      <c r="O2479">
        <v>1.9201550000000001E-2</v>
      </c>
      <c r="P2479">
        <v>-0.98889059999999995</v>
      </c>
      <c r="Q2479">
        <v>0.1347554</v>
      </c>
      <c r="R2479">
        <v>-6.2740329999999997E-2</v>
      </c>
      <c r="S2479">
        <v>-3.0101010000000001</v>
      </c>
      <c r="T2479">
        <v>-0.11887159999999999</v>
      </c>
      <c r="U2479">
        <v>-0.61834719999999999</v>
      </c>
      <c r="V2479">
        <v>-8.1716570000000002E-2</v>
      </c>
      <c r="W2479">
        <v>0.15895020000000001</v>
      </c>
      <c r="X2479">
        <v>0.98389899999999997</v>
      </c>
      <c r="Y2479">
        <v>-0.2198206</v>
      </c>
      <c r="Z2479">
        <v>-5.0447089999999997E-3</v>
      </c>
      <c r="AA2479">
        <v>0.97552729999999999</v>
      </c>
      <c r="AB2479">
        <v>37</v>
      </c>
      <c r="AC2479">
        <v>-27.750900000000001</v>
      </c>
      <c r="AD2479">
        <v>-1.1110561884819901</v>
      </c>
      <c r="AE2479">
        <v>-5.7868000000000199</v>
      </c>
      <c r="AF2479">
        <v>-6.3090616009368201</v>
      </c>
      <c r="AG2479">
        <v>-1.1110561884819901</v>
      </c>
      <c r="AH2479">
        <v>27.592245872596799</v>
      </c>
      <c r="AI2479">
        <v>92.247928728816206</v>
      </c>
      <c r="AJ2479">
        <v>102.879466422386</v>
      </c>
      <c r="AK2479">
        <v>28.3261493400041</v>
      </c>
      <c r="AL2479">
        <v>80.854032689967795</v>
      </c>
      <c r="AM2479">
        <v>94.747736811037697</v>
      </c>
      <c r="AN2479">
        <v>1.0000000030467999</v>
      </c>
    </row>
    <row r="2480" spans="1:40" x14ac:dyDescent="0.25">
      <c r="A2480" t="str">
        <f>"20190312172939347"</f>
        <v>20190312172939347</v>
      </c>
      <c r="B2480" t="str">
        <f>"1552382979339841"</f>
        <v>1552382979339841</v>
      </c>
      <c r="C2480" t="s">
        <v>40</v>
      </c>
      <c r="D2480">
        <v>3.3633769999999998</v>
      </c>
      <c r="E2480">
        <v>0.47210550000000001</v>
      </c>
      <c r="F2480" t="s">
        <v>46</v>
      </c>
      <c r="G2480">
        <v>-473.0668</v>
      </c>
      <c r="H2480" s="1">
        <v>4.8878539999999901E-6</v>
      </c>
      <c r="I2480">
        <v>280.42689999999999</v>
      </c>
      <c r="J2480">
        <v>-445.80279999999999</v>
      </c>
      <c r="K2480">
        <v>1.1110789999999999</v>
      </c>
      <c r="L2480">
        <v>286.0145</v>
      </c>
      <c r="M2480">
        <v>-0.99951690000000004</v>
      </c>
      <c r="N2480">
        <v>0</v>
      </c>
      <c r="O2480">
        <v>1.9201920000000001E-2</v>
      </c>
      <c r="P2480">
        <v>-0.9887977</v>
      </c>
      <c r="Q2480">
        <v>0.1356434</v>
      </c>
      <c r="R2480">
        <v>-6.2294519999999999E-2</v>
      </c>
      <c r="S2480">
        <v>-3.0115970000000001</v>
      </c>
      <c r="T2480">
        <v>-0.1211487</v>
      </c>
      <c r="U2480">
        <v>-0.60852050000000002</v>
      </c>
      <c r="V2480">
        <v>-8.1269259999999996E-2</v>
      </c>
      <c r="W2480">
        <v>0.1597411</v>
      </c>
      <c r="X2480">
        <v>0.98380800000000002</v>
      </c>
      <c r="Y2480">
        <v>-0.21666360000000001</v>
      </c>
      <c r="Z2480">
        <v>-5.0775949999999999E-3</v>
      </c>
      <c r="AA2480">
        <v>0.97623309999999996</v>
      </c>
      <c r="AB2480">
        <v>37</v>
      </c>
      <c r="AC2480">
        <v>-27.263999999999999</v>
      </c>
      <c r="AD2480">
        <v>-1.1110741121459999</v>
      </c>
      <c r="AE2480">
        <v>-5.5876000000000001</v>
      </c>
      <c r="AF2480">
        <v>-6.1005236163439802</v>
      </c>
      <c r="AG2480">
        <v>-1.1110741121459999</v>
      </c>
      <c r="AH2480">
        <v>27.108439647332499</v>
      </c>
      <c r="AI2480">
        <v>92.289824046437104</v>
      </c>
      <c r="AJ2480">
        <v>102.682646059372</v>
      </c>
      <c r="AK2480">
        <v>27.808602521329998</v>
      </c>
      <c r="AL2480">
        <v>80.808131364362893</v>
      </c>
      <c r="AM2480">
        <v>94.722300698356605</v>
      </c>
      <c r="AN2480">
        <v>1.00000004625707</v>
      </c>
    </row>
    <row r="2481" spans="1:40" x14ac:dyDescent="0.25">
      <c r="A2481" t="str">
        <f>"20190312172939371"</f>
        <v>20190312172939371</v>
      </c>
      <c r="B2481" t="str">
        <f>"1552382979360337"</f>
        <v>1552382979360337</v>
      </c>
      <c r="C2481" t="s">
        <v>40</v>
      </c>
      <c r="D2481">
        <v>3.4022809999999999</v>
      </c>
      <c r="E2481">
        <v>0.47604020000000002</v>
      </c>
      <c r="F2481" t="s">
        <v>46</v>
      </c>
      <c r="G2481">
        <v>-470.98779999999999</v>
      </c>
      <c r="H2481" s="1">
        <v>5.9937080000000001E-6</v>
      </c>
      <c r="I2481">
        <v>282.53019999999998</v>
      </c>
      <c r="J2481">
        <v>-446.17290000000003</v>
      </c>
      <c r="K2481">
        <v>1.111097</v>
      </c>
      <c r="L2481">
        <v>286.02159999999998</v>
      </c>
      <c r="M2481">
        <v>-0.99951880000000004</v>
      </c>
      <c r="N2481">
        <v>0</v>
      </c>
      <c r="O2481">
        <v>1.92026E-2</v>
      </c>
      <c r="P2481">
        <v>-0.98875179999999996</v>
      </c>
      <c r="Q2481">
        <v>0.13623199999999999</v>
      </c>
      <c r="R2481">
        <v>-6.1730819999999999E-2</v>
      </c>
      <c r="S2481">
        <v>-3.0259399999999999</v>
      </c>
      <c r="T2481">
        <v>-0.133494</v>
      </c>
      <c r="U2481">
        <v>-0.41864010000000001</v>
      </c>
      <c r="V2481">
        <v>-8.0705200000000005E-2</v>
      </c>
      <c r="W2481">
        <v>0.1602499</v>
      </c>
      <c r="X2481">
        <v>0.98377159999999997</v>
      </c>
      <c r="Y2481">
        <v>-0.15587970000000001</v>
      </c>
      <c r="Z2481">
        <v>-4.2637220000000002E-3</v>
      </c>
      <c r="AA2481">
        <v>0.9877669</v>
      </c>
      <c r="AB2481">
        <v>37</v>
      </c>
      <c r="AC2481">
        <v>-24.814899999999898</v>
      </c>
      <c r="AD2481">
        <v>-1.1110910062919901</v>
      </c>
      <c r="AE2481">
        <v>-3.4913999999999898</v>
      </c>
      <c r="AF2481">
        <v>-3.9596236824135902</v>
      </c>
      <c r="AG2481">
        <v>-1.1110910062919901</v>
      </c>
      <c r="AH2481">
        <v>24.694710599992099</v>
      </c>
      <c r="AI2481">
        <v>92.543727509106404</v>
      </c>
      <c r="AJ2481">
        <v>99.109437125280095</v>
      </c>
      <c r="AK2481">
        <v>25.034813251709199</v>
      </c>
      <c r="AL2481">
        <v>80.778598028083096</v>
      </c>
      <c r="AM2481">
        <v>94.689844392236097</v>
      </c>
      <c r="AN2481">
        <v>0.99999996036180405</v>
      </c>
    </row>
    <row r="2482" spans="1:40" x14ac:dyDescent="0.25">
      <c r="A2482" t="str">
        <f>"20190312172939391"</f>
        <v>20190312172939391</v>
      </c>
      <c r="B2482" t="str">
        <f>"1552382979379858"</f>
        <v>1552382979379858</v>
      </c>
      <c r="C2482" t="s">
        <v>40</v>
      </c>
      <c r="D2482">
        <v>3.4286660000000002</v>
      </c>
      <c r="E2482">
        <v>0.47723670000000001</v>
      </c>
      <c r="F2482" t="s">
        <v>46</v>
      </c>
      <c r="G2482">
        <v>-470.2097</v>
      </c>
      <c r="H2482" s="1">
        <v>6.3763229999999998E-6</v>
      </c>
      <c r="I2482">
        <v>282.96019999999999</v>
      </c>
      <c r="J2482">
        <v>-446.52199999999999</v>
      </c>
      <c r="K2482">
        <v>1.111108</v>
      </c>
      <c r="L2482">
        <v>286.0283</v>
      </c>
      <c r="M2482">
        <v>-0.99952039999999998</v>
      </c>
      <c r="N2482">
        <v>0</v>
      </c>
      <c r="O2482">
        <v>1.920285E-2</v>
      </c>
      <c r="P2482">
        <v>-0.98870349999999996</v>
      </c>
      <c r="Q2482">
        <v>0.13679829999999901</v>
      </c>
      <c r="R2482">
        <v>-6.1254200000000002E-2</v>
      </c>
      <c r="S2482">
        <v>-3.0293580000000002</v>
      </c>
      <c r="T2482">
        <v>-0.14003060000000001</v>
      </c>
      <c r="U2482">
        <v>-0.3858337</v>
      </c>
      <c r="V2482">
        <v>-8.0228019999999997E-2</v>
      </c>
      <c r="W2482">
        <v>0.16075300000000001</v>
      </c>
      <c r="X2482">
        <v>0.98372859999999995</v>
      </c>
      <c r="Y2482">
        <v>-0.14520269999999999</v>
      </c>
      <c r="Z2482">
        <v>-4.2247939999999996E-3</v>
      </c>
      <c r="AA2482">
        <v>0.98939290000000002</v>
      </c>
      <c r="AB2482">
        <v>37</v>
      </c>
      <c r="AC2482">
        <v>-23.6877</v>
      </c>
      <c r="AD2482">
        <v>-1.1111016236769999</v>
      </c>
      <c r="AE2482">
        <v>-3.06810000000001</v>
      </c>
      <c r="AF2482">
        <v>-3.5149336289428899</v>
      </c>
      <c r="AG2482">
        <v>-1.1111016236769999</v>
      </c>
      <c r="AH2482">
        <v>23.573385588003202</v>
      </c>
      <c r="AI2482">
        <v>92.669102628491004</v>
      </c>
      <c r="AJ2482">
        <v>98.480664713908894</v>
      </c>
      <c r="AK2482">
        <v>23.859878736378601</v>
      </c>
      <c r="AL2482">
        <v>80.749394372408204</v>
      </c>
      <c r="AM2482">
        <v>94.6624405723595</v>
      </c>
      <c r="AN2482">
        <v>1.0000000103300399</v>
      </c>
    </row>
    <row r="2483" spans="1:40" x14ac:dyDescent="0.25">
      <c r="A2483" t="str">
        <f>"20190312172939414"</f>
        <v>20190312172939414</v>
      </c>
      <c r="B2483" t="str">
        <f>"1552382979410117"</f>
        <v>1552382979410117</v>
      </c>
      <c r="C2483" t="s">
        <v>40</v>
      </c>
      <c r="D2483">
        <v>3.4016920000000002</v>
      </c>
      <c r="E2483">
        <v>0.47824949999999999</v>
      </c>
      <c r="F2483" t="s">
        <v>46</v>
      </c>
      <c r="G2483">
        <v>-471.82040000000001</v>
      </c>
      <c r="H2483" s="1">
        <v>5.6568209999999997E-6</v>
      </c>
      <c r="I2483">
        <v>282.90010000000001</v>
      </c>
      <c r="J2483">
        <v>-446.88029999999998</v>
      </c>
      <c r="K2483">
        <v>1.1111249999999999</v>
      </c>
      <c r="L2483">
        <v>286.03519999999997</v>
      </c>
      <c r="M2483">
        <v>-0.99952160000000001</v>
      </c>
      <c r="N2483">
        <v>0</v>
      </c>
      <c r="O2483">
        <v>1.920353E-2</v>
      </c>
      <c r="P2483">
        <v>-0.98877329999999997</v>
      </c>
      <c r="Q2483">
        <v>0.1364042</v>
      </c>
      <c r="R2483">
        <v>-6.1001489999999998E-2</v>
      </c>
      <c r="S2483">
        <v>-3.0295100000000001</v>
      </c>
      <c r="T2483">
        <v>-0.1330557</v>
      </c>
      <c r="U2483">
        <v>-0.37460329999999997</v>
      </c>
      <c r="V2483">
        <v>-7.9977320000000005E-2</v>
      </c>
      <c r="W2483">
        <v>0.1603068</v>
      </c>
      <c r="X2483">
        <v>0.98382179999999997</v>
      </c>
      <c r="Y2483">
        <v>-0.14160539999999999</v>
      </c>
      <c r="Z2483">
        <v>-3.9366469999999997E-3</v>
      </c>
      <c r="AA2483">
        <v>0.9899154</v>
      </c>
      <c r="AB2483">
        <v>36</v>
      </c>
      <c r="AC2483">
        <v>-24.940100000000001</v>
      </c>
      <c r="AD2483">
        <v>-1.1111193431790001</v>
      </c>
      <c r="AE2483">
        <v>-3.13509999999996</v>
      </c>
      <c r="AF2483">
        <v>-3.6065532448315998</v>
      </c>
      <c r="AG2483">
        <v>-1.1111193431790001</v>
      </c>
      <c r="AH2483">
        <v>24.826764982912302</v>
      </c>
      <c r="AI2483">
        <v>92.535973427979798</v>
      </c>
      <c r="AJ2483">
        <v>98.265468104409507</v>
      </c>
      <c r="AK2483">
        <v>25.111950780840498</v>
      </c>
      <c r="AL2483">
        <v>80.775295455804795</v>
      </c>
      <c r="AM2483">
        <v>94.647496727113307</v>
      </c>
      <c r="AN2483">
        <v>0.99999998799793099</v>
      </c>
    </row>
    <row r="2484" spans="1:40" x14ac:dyDescent="0.25">
      <c r="A2484" t="str">
        <f>"20190312172939448"</f>
        <v>20190312172939448</v>
      </c>
      <c r="B2484" t="str">
        <f>"1552382979440369"</f>
        <v>1552382979440369</v>
      </c>
      <c r="C2484" t="s">
        <v>40</v>
      </c>
      <c r="D2484">
        <v>3.401475</v>
      </c>
      <c r="E2484">
        <v>0.47858099999999998</v>
      </c>
      <c r="F2484" t="s">
        <v>46</v>
      </c>
      <c r="G2484">
        <v>-471.6497</v>
      </c>
      <c r="H2484" s="1">
        <v>5.7452259999999999E-6</v>
      </c>
      <c r="I2484">
        <v>283.04570000000001</v>
      </c>
      <c r="J2484">
        <v>-447.41669999999999</v>
      </c>
      <c r="K2484">
        <v>1.111135</v>
      </c>
      <c r="L2484">
        <v>286.0455</v>
      </c>
      <c r="M2484">
        <v>-0.99952339999999995</v>
      </c>
      <c r="N2484">
        <v>0</v>
      </c>
      <c r="O2484">
        <v>1.9204120000000002E-2</v>
      </c>
      <c r="P2484">
        <v>-0.98877839999999995</v>
      </c>
      <c r="Q2484">
        <v>0.1361126</v>
      </c>
      <c r="R2484">
        <v>-6.1569640000000002E-2</v>
      </c>
      <c r="S2484">
        <v>-3.030243</v>
      </c>
      <c r="T2484">
        <v>-0.13593239999999901</v>
      </c>
      <c r="U2484">
        <v>-0.36572270000000001</v>
      </c>
      <c r="V2484">
        <v>-8.054646E-2</v>
      </c>
      <c r="W2484">
        <v>0.159944</v>
      </c>
      <c r="X2484">
        <v>0.9838344</v>
      </c>
      <c r="Y2484">
        <v>-0.1387139</v>
      </c>
      <c r="Z2484">
        <v>-3.9568549999999996E-3</v>
      </c>
      <c r="AA2484">
        <v>0.9903246</v>
      </c>
      <c r="AB2484">
        <v>36</v>
      </c>
      <c r="AC2484">
        <v>-24.233000000000001</v>
      </c>
      <c r="AD2484">
        <v>-1.1111292547739999</v>
      </c>
      <c r="AE2484">
        <v>-2.9997999999999898</v>
      </c>
      <c r="AF2484">
        <v>-3.4575963650832802</v>
      </c>
      <c r="AG2484">
        <v>-1.1111292547739999</v>
      </c>
      <c r="AH2484">
        <v>24.120956619522101</v>
      </c>
      <c r="AI2484">
        <v>92.610810426769902</v>
      </c>
      <c r="AJ2484">
        <v>98.157442011834604</v>
      </c>
      <c r="AK2484">
        <v>24.392829460427901</v>
      </c>
      <c r="AL2484">
        <v>80.796353933395295</v>
      </c>
      <c r="AM2484">
        <v>94.680363461221802</v>
      </c>
      <c r="AN2484">
        <v>0.999999970988945</v>
      </c>
    </row>
    <row r="2485" spans="1:40" x14ac:dyDescent="0.25">
      <c r="A2485" t="str">
        <f>"20190312172939470"</f>
        <v>20190312172939470</v>
      </c>
      <c r="B2485" t="str">
        <f>"1552382979459890"</f>
        <v>1552382979459890</v>
      </c>
      <c r="C2485" t="s">
        <v>40</v>
      </c>
      <c r="D2485">
        <v>3.423254</v>
      </c>
      <c r="E2485">
        <v>0.47872219999999999</v>
      </c>
      <c r="F2485" t="s">
        <v>46</v>
      </c>
      <c r="G2485">
        <v>-471.73700000000002</v>
      </c>
      <c r="H2485" s="1">
        <v>5.7129199999999904E-6</v>
      </c>
      <c r="I2485">
        <v>283.11900000000003</v>
      </c>
      <c r="J2485">
        <v>-447.77109999999999</v>
      </c>
      <c r="K2485">
        <v>1.111135</v>
      </c>
      <c r="L2485">
        <v>286.0523</v>
      </c>
      <c r="M2485">
        <v>-0.999525</v>
      </c>
      <c r="N2485">
        <v>0</v>
      </c>
      <c r="O2485">
        <v>1.9204539999999999E-2</v>
      </c>
      <c r="P2485">
        <v>-0.98879340000000004</v>
      </c>
      <c r="Q2485">
        <v>0.13597790000000001</v>
      </c>
      <c r="R2485">
        <v>-6.162633E-2</v>
      </c>
      <c r="S2485">
        <v>-3.0303960000000001</v>
      </c>
      <c r="T2485">
        <v>-0.1384505</v>
      </c>
      <c r="U2485">
        <v>-0.36465449999999999</v>
      </c>
      <c r="V2485">
        <v>-8.0603499999999995E-2</v>
      </c>
      <c r="W2485">
        <v>0.15974720000000001</v>
      </c>
      <c r="X2485">
        <v>0.98386169999999995</v>
      </c>
      <c r="Y2485">
        <v>-0.13835890000000001</v>
      </c>
      <c r="Z2485">
        <v>-4.0219000000000001E-3</v>
      </c>
      <c r="AA2485">
        <v>0.99037399999999998</v>
      </c>
      <c r="AB2485">
        <v>36</v>
      </c>
      <c r="AC2485">
        <v>-23.965899999999898</v>
      </c>
      <c r="AD2485">
        <v>-1.11112928707999</v>
      </c>
      <c r="AE2485">
        <v>-2.9332999999999698</v>
      </c>
      <c r="AF2485">
        <v>-3.3859757479790402</v>
      </c>
      <c r="AG2485">
        <v>-1.11112928707999</v>
      </c>
      <c r="AH2485">
        <v>23.8546093072556</v>
      </c>
      <c r="AI2485">
        <v>92.640437042096906</v>
      </c>
      <c r="AJ2485">
        <v>98.078721923175195</v>
      </c>
      <c r="AK2485">
        <v>24.119324726457702</v>
      </c>
      <c r="AL2485">
        <v>80.807776591897493</v>
      </c>
      <c r="AM2485">
        <v>94.683533796358901</v>
      </c>
      <c r="AN2485">
        <v>0.99999996842348904</v>
      </c>
    </row>
    <row r="2486" spans="1:40" x14ac:dyDescent="0.25">
      <c r="A2486" t="str">
        <f>"20190312172939493"</f>
        <v>20190312172939493</v>
      </c>
      <c r="B2486" t="str">
        <f>"1552382979480385"</f>
        <v>1552382979480385</v>
      </c>
      <c r="C2486" t="s">
        <v>40</v>
      </c>
      <c r="D2486">
        <v>3.4117839999999902</v>
      </c>
      <c r="E2486">
        <v>0.47886109999999998</v>
      </c>
      <c r="F2486" t="s">
        <v>46</v>
      </c>
      <c r="G2486">
        <v>-472.18700000000001</v>
      </c>
      <c r="H2486" s="1">
        <v>5.5135090000000003E-6</v>
      </c>
      <c r="I2486">
        <v>283.12079999999997</v>
      </c>
      <c r="J2486">
        <v>-448.13350000000003</v>
      </c>
      <c r="K2486">
        <v>1.11113</v>
      </c>
      <c r="L2486">
        <v>286.05930000000001</v>
      </c>
      <c r="M2486">
        <v>-0.99952660000000004</v>
      </c>
      <c r="N2486">
        <v>0</v>
      </c>
      <c r="O2486">
        <v>1.920494E-2</v>
      </c>
      <c r="P2486">
        <v>-0.98880919999999894</v>
      </c>
      <c r="Q2486">
        <v>0.13578129999999999</v>
      </c>
      <c r="R2486">
        <v>-6.1809030000000001E-2</v>
      </c>
      <c r="S2486">
        <v>-3.0303040000000001</v>
      </c>
      <c r="T2486">
        <v>-0.1379039</v>
      </c>
      <c r="U2486">
        <v>-0.3638306</v>
      </c>
      <c r="V2486">
        <v>-8.0786709999999998E-2</v>
      </c>
      <c r="W2486">
        <v>0.15948080000000001</v>
      </c>
      <c r="X2486">
        <v>0.98388989999999998</v>
      </c>
      <c r="Y2486">
        <v>-0.13809879999999999</v>
      </c>
      <c r="Z2486">
        <v>-4.0003469999999996E-3</v>
      </c>
      <c r="AA2486">
        <v>0.99041040000000002</v>
      </c>
      <c r="AB2486">
        <v>36</v>
      </c>
      <c r="AC2486">
        <v>-24.0534999999999</v>
      </c>
      <c r="AD2486">
        <v>-1.1111244864909999</v>
      </c>
      <c r="AE2486">
        <v>-2.9385000000000301</v>
      </c>
      <c r="AF2486">
        <v>-3.3929036924965001</v>
      </c>
      <c r="AG2486">
        <v>-1.1111244864909999</v>
      </c>
      <c r="AH2486">
        <v>23.942272641125101</v>
      </c>
      <c r="AI2486">
        <v>92.630855618484802</v>
      </c>
      <c r="AJ2486">
        <v>98.065783897250398</v>
      </c>
      <c r="AK2486">
        <v>24.2069992422234</v>
      </c>
      <c r="AL2486">
        <v>80.823238493002705</v>
      </c>
      <c r="AM2486">
        <v>94.693997906510205</v>
      </c>
      <c r="AN2486">
        <v>0.99999997670163598</v>
      </c>
    </row>
    <row r="2487" spans="1:40" x14ac:dyDescent="0.25">
      <c r="A2487" t="str">
        <f>"20190312172939515"</f>
        <v>20190312172939515</v>
      </c>
      <c r="B2487" t="str">
        <f>"1552382979509665"</f>
        <v>1552382979509665</v>
      </c>
      <c r="C2487" t="s">
        <v>40</v>
      </c>
      <c r="D2487">
        <v>3.3917299999999999</v>
      </c>
      <c r="E2487">
        <v>0.47900399999999999</v>
      </c>
      <c r="F2487" t="s">
        <v>46</v>
      </c>
      <c r="G2487">
        <v>-472.1422</v>
      </c>
      <c r="H2487" s="1">
        <v>5.5385899999999999E-6</v>
      </c>
      <c r="I2487">
        <v>283.18049999999999</v>
      </c>
      <c r="J2487">
        <v>-448.47989999999999</v>
      </c>
      <c r="K2487">
        <v>1.1111219999999999</v>
      </c>
      <c r="L2487">
        <v>286.0659</v>
      </c>
      <c r="M2487">
        <v>-0.99952830000000004</v>
      </c>
      <c r="N2487">
        <v>0</v>
      </c>
      <c r="O2487">
        <v>1.9205449999999999E-2</v>
      </c>
      <c r="P2487">
        <v>-0.9888943</v>
      </c>
      <c r="Q2487">
        <v>0.13518479999999999</v>
      </c>
      <c r="R2487">
        <v>-6.1750020000000003E-2</v>
      </c>
      <c r="S2487">
        <v>-3.0304869999999999</v>
      </c>
      <c r="T2487">
        <v>-0.14025099999999999</v>
      </c>
      <c r="U2487">
        <v>-0.3633728</v>
      </c>
      <c r="V2487">
        <v>-8.0730239999999995E-2</v>
      </c>
      <c r="W2487">
        <v>0.15881609999999999</v>
      </c>
      <c r="X2487">
        <v>0.98400209999999999</v>
      </c>
      <c r="Y2487">
        <v>-0.13793939999999999</v>
      </c>
      <c r="Z2487">
        <v>-4.0645020000000002E-3</v>
      </c>
      <c r="AA2487">
        <v>0.99043230000000004</v>
      </c>
      <c r="AB2487">
        <v>35</v>
      </c>
      <c r="AC2487">
        <v>-23.662299999999998</v>
      </c>
      <c r="AD2487">
        <v>-1.11111646141</v>
      </c>
      <c r="AE2487">
        <v>-2.8854000000000002</v>
      </c>
      <c r="AF2487">
        <v>-3.3322033829911</v>
      </c>
      <c r="AG2487">
        <v>-1.11111646141</v>
      </c>
      <c r="AH2487">
        <v>23.551332430696</v>
      </c>
      <c r="AI2487">
        <v>92.674527731329803</v>
      </c>
      <c r="AJ2487">
        <v>98.0531447921324</v>
      </c>
      <c r="AK2487">
        <v>23.811833579915401</v>
      </c>
      <c r="AL2487">
        <v>80.861815147974198</v>
      </c>
      <c r="AM2487">
        <v>94.690198972918495</v>
      </c>
      <c r="AN2487">
        <v>1.0000000290370299</v>
      </c>
    </row>
    <row r="2488" spans="1:40" x14ac:dyDescent="0.25">
      <c r="A2488" t="str">
        <f>"20190312172939537"</f>
        <v>20190312172939537</v>
      </c>
      <c r="B2488" t="str">
        <f>"1552382979530174"</f>
        <v>1552382979530174</v>
      </c>
      <c r="C2488" t="s">
        <v>40</v>
      </c>
      <c r="D2488">
        <v>3.3927499999999999</v>
      </c>
      <c r="E2488">
        <v>0.47893229999999998</v>
      </c>
      <c r="F2488" t="s">
        <v>46</v>
      </c>
      <c r="G2488">
        <v>-471.56610000000001</v>
      </c>
      <c r="H2488" s="1">
        <v>5.8053119999999996E-6</v>
      </c>
      <c r="I2488">
        <v>283.30889999999999</v>
      </c>
      <c r="J2488">
        <v>-448.8279</v>
      </c>
      <c r="K2488">
        <v>1.1111070000000001</v>
      </c>
      <c r="L2488">
        <v>286.07260000000002</v>
      </c>
      <c r="M2488">
        <v>-0.99953069999999999</v>
      </c>
      <c r="N2488">
        <v>0</v>
      </c>
      <c r="O2488">
        <v>1.920583E-2</v>
      </c>
      <c r="P2488">
        <v>-0.98897880000000005</v>
      </c>
      <c r="Q2488">
        <v>0.13448309999999999</v>
      </c>
      <c r="R2488">
        <v>-6.1930999999999903E-2</v>
      </c>
      <c r="S2488">
        <v>-3.0310359999999998</v>
      </c>
      <c r="T2488">
        <v>-0.1458808</v>
      </c>
      <c r="U2488">
        <v>-0.36196899999999999</v>
      </c>
      <c r="V2488">
        <v>-8.0912929999999994E-2</v>
      </c>
      <c r="W2488">
        <v>0.15801850000000001</v>
      </c>
      <c r="X2488">
        <v>0.98411550000000003</v>
      </c>
      <c r="Y2488">
        <v>-0.1374533</v>
      </c>
      <c r="Z2488">
        <v>-4.2151910000000001E-3</v>
      </c>
      <c r="AA2488">
        <v>0.99049929999999997</v>
      </c>
      <c r="AB2488">
        <v>35</v>
      </c>
      <c r="AC2488">
        <v>-22.738199999999999</v>
      </c>
      <c r="AD2488">
        <v>-1.1111011946879901</v>
      </c>
      <c r="AE2488">
        <v>-2.76370000000002</v>
      </c>
      <c r="AF2488">
        <v>-3.1925083151632099</v>
      </c>
      <c r="AG2488">
        <v>-1.1111011946879901</v>
      </c>
      <c r="AH2488">
        <v>22.627665883620399</v>
      </c>
      <c r="AI2488">
        <v>92.783649309562193</v>
      </c>
      <c r="AJ2488">
        <v>98.030780910354693</v>
      </c>
      <c r="AK2488">
        <v>22.878765669239801</v>
      </c>
      <c r="AL2488">
        <v>80.908098755066305</v>
      </c>
      <c r="AM2488">
        <v>94.700225990625498</v>
      </c>
      <c r="AN2488">
        <v>1.0000000329618399</v>
      </c>
    </row>
    <row r="2489" spans="1:40" x14ac:dyDescent="0.25">
      <c r="A2489" t="str">
        <f>"20190312172939560"</f>
        <v>20190312172939560</v>
      </c>
      <c r="B2489" t="str">
        <f>"1552382979549681"</f>
        <v>1552382979549681</v>
      </c>
      <c r="C2489" t="s">
        <v>40</v>
      </c>
      <c r="D2489">
        <v>3.436782</v>
      </c>
      <c r="E2489">
        <v>0.47894009999999998</v>
      </c>
      <c r="F2489" t="s">
        <v>46</v>
      </c>
      <c r="G2489">
        <v>-471.37599999999998</v>
      </c>
      <c r="H2489" s="1">
        <v>5.895317E-6</v>
      </c>
      <c r="I2489">
        <v>283.37400000000002</v>
      </c>
      <c r="J2489">
        <v>-449.17970000000003</v>
      </c>
      <c r="K2489">
        <v>1.1110869999999999</v>
      </c>
      <c r="L2489">
        <v>286.07929999999999</v>
      </c>
      <c r="M2489">
        <v>-0.99953400000000003</v>
      </c>
      <c r="N2489">
        <v>0</v>
      </c>
      <c r="O2489">
        <v>1.9206009999999999E-2</v>
      </c>
      <c r="P2489">
        <v>-0.98894550000000003</v>
      </c>
      <c r="Q2489">
        <v>0.13466359999999999</v>
      </c>
      <c r="R2489">
        <v>-6.2071460000000002E-2</v>
      </c>
      <c r="S2489">
        <v>-3.0310359999999998</v>
      </c>
      <c r="T2489">
        <v>-0.14936070000000001</v>
      </c>
      <c r="U2489">
        <v>-0.36276249999999999</v>
      </c>
      <c r="V2489">
        <v>-8.1052650000000004E-2</v>
      </c>
      <c r="W2489">
        <v>0.15806229999999999</v>
      </c>
      <c r="X2489">
        <v>0.98409690000000005</v>
      </c>
      <c r="Y2489">
        <v>-0.13770009999999999</v>
      </c>
      <c r="Z2489">
        <v>-4.3216169999999998E-3</v>
      </c>
      <c r="AA2489">
        <v>0.99046460000000003</v>
      </c>
      <c r="AB2489">
        <v>35</v>
      </c>
      <c r="AC2489">
        <v>-22.196299999999901</v>
      </c>
      <c r="AD2489">
        <v>-1.111081104683</v>
      </c>
      <c r="AE2489">
        <v>-2.7052999999999598</v>
      </c>
      <c r="AF2489">
        <v>-3.1235110724697002</v>
      </c>
      <c r="AG2489">
        <v>-1.111081104683</v>
      </c>
      <c r="AH2489">
        <v>22.085700622125</v>
      </c>
      <c r="AI2489">
        <v>92.851661593062502</v>
      </c>
      <c r="AJ2489">
        <v>98.049775581507802</v>
      </c>
      <c r="AK2489">
        <v>22.333136694408999</v>
      </c>
      <c r="AL2489">
        <v>80.905556642983697</v>
      </c>
      <c r="AM2489">
        <v>94.708394446395801</v>
      </c>
      <c r="AN2489">
        <v>0.99999996567145999</v>
      </c>
    </row>
    <row r="2490" spans="1:40" x14ac:dyDescent="0.25">
      <c r="A2490" t="str">
        <f>"20190312172939582"</f>
        <v>20190312172939582</v>
      </c>
      <c r="B2490" t="str">
        <f>"1552382979570177"</f>
        <v>1552382979570177</v>
      </c>
      <c r="C2490" t="s">
        <v>40</v>
      </c>
      <c r="D2490">
        <v>3.422955</v>
      </c>
      <c r="E2490">
        <v>0.47897040000000002</v>
      </c>
      <c r="F2490" t="s">
        <v>46</v>
      </c>
      <c r="G2490">
        <v>-471.4205</v>
      </c>
      <c r="H2490" s="1">
        <v>5.8791850000000002E-6</v>
      </c>
      <c r="I2490">
        <v>283.41520000000003</v>
      </c>
      <c r="J2490">
        <v>-449.524</v>
      </c>
      <c r="K2490">
        <v>1.111065</v>
      </c>
      <c r="L2490">
        <v>286.08589999999998</v>
      </c>
      <c r="M2490">
        <v>-0.99953789999999998</v>
      </c>
      <c r="N2490">
        <v>0</v>
      </c>
      <c r="O2490">
        <v>1.9206350000000001E-2</v>
      </c>
      <c r="P2490">
        <v>-0.9888844</v>
      </c>
      <c r="Q2490">
        <v>0.13514209999999999</v>
      </c>
      <c r="R2490">
        <v>-6.2003129999999997E-2</v>
      </c>
      <c r="S2490">
        <v>-3.0314030000000001</v>
      </c>
      <c r="T2490">
        <v>-0.1514394</v>
      </c>
      <c r="U2490">
        <v>-0.36312870000000003</v>
      </c>
      <c r="V2490">
        <v>-8.0983799999999995E-2</v>
      </c>
      <c r="W2490">
        <v>0.1583754</v>
      </c>
      <c r="X2490">
        <v>0.98405220000000004</v>
      </c>
      <c r="Y2490">
        <v>-0.1377989</v>
      </c>
      <c r="Z2490">
        <v>-4.3836049999999996E-3</v>
      </c>
      <c r="AA2490">
        <v>0.99045050000000001</v>
      </c>
      <c r="AB2490">
        <v>35</v>
      </c>
      <c r="AC2490">
        <v>-21.8965</v>
      </c>
      <c r="AD2490">
        <v>-1.111059120815</v>
      </c>
      <c r="AE2490">
        <v>-2.6706999999999499</v>
      </c>
      <c r="AF2490">
        <v>-3.08305415675534</v>
      </c>
      <c r="AG2490">
        <v>-1.111059120815</v>
      </c>
      <c r="AH2490">
        <v>21.785880441583</v>
      </c>
      <c r="AI2490">
        <v>92.890747571690795</v>
      </c>
      <c r="AJ2490">
        <v>98.054792291268996</v>
      </c>
      <c r="AK2490">
        <v>22.030984134132101</v>
      </c>
      <c r="AL2490">
        <v>80.887388232342801</v>
      </c>
      <c r="AM2490">
        <v>94.704625605805504</v>
      </c>
      <c r="AN2490">
        <v>0.99999993775621798</v>
      </c>
    </row>
    <row r="2491" spans="1:40" x14ac:dyDescent="0.25">
      <c r="A2491" t="str">
        <f>"20190312172939604"</f>
        <v>20190312172939604</v>
      </c>
      <c r="B2491" t="str">
        <f>"1552382979600433"</f>
        <v>1552382979600433</v>
      </c>
      <c r="C2491" t="s">
        <v>40</v>
      </c>
      <c r="D2491">
        <v>3.391591</v>
      </c>
      <c r="E2491">
        <v>0.47895480000000001</v>
      </c>
      <c r="F2491" t="s">
        <v>46</v>
      </c>
      <c r="G2491">
        <v>-471.73840000000001</v>
      </c>
      <c r="H2491" s="1">
        <v>5.7391809999999997E-6</v>
      </c>
      <c r="I2491">
        <v>283.42630000000003</v>
      </c>
      <c r="J2491">
        <v>-449.85579999999999</v>
      </c>
      <c r="K2491">
        <v>1.1110329999999999</v>
      </c>
      <c r="L2491">
        <v>286.09230000000002</v>
      </c>
      <c r="M2491">
        <v>-0.99954229999999999</v>
      </c>
      <c r="N2491">
        <v>0</v>
      </c>
      <c r="O2491">
        <v>1.92067E-2</v>
      </c>
      <c r="P2491">
        <v>-0.98892579999999997</v>
      </c>
      <c r="Q2491">
        <v>0.1349012</v>
      </c>
      <c r="R2491">
        <v>-6.1867890000000002E-2</v>
      </c>
      <c r="S2491">
        <v>-3.0317080000000001</v>
      </c>
      <c r="T2491">
        <v>-0.15163219999999999</v>
      </c>
      <c r="U2491">
        <v>-0.36297610000000002</v>
      </c>
      <c r="V2491">
        <v>-8.0849969999999993E-2</v>
      </c>
      <c r="W2491">
        <v>0.1579535</v>
      </c>
      <c r="X2491">
        <v>0.98413110000000004</v>
      </c>
      <c r="Y2491">
        <v>-0.1377379</v>
      </c>
      <c r="Z2491">
        <v>-4.387246E-3</v>
      </c>
      <c r="AA2491">
        <v>0.99045899999999998</v>
      </c>
      <c r="AB2491">
        <v>35</v>
      </c>
      <c r="AC2491">
        <v>-21.8826</v>
      </c>
      <c r="AD2491">
        <v>-1.1110272608189999</v>
      </c>
      <c r="AE2491">
        <v>-2.6659999999999902</v>
      </c>
      <c r="AF2491">
        <v>-3.0780966201843998</v>
      </c>
      <c r="AG2491">
        <v>-1.1110272608189999</v>
      </c>
      <c r="AH2491">
        <v>21.772038752731302</v>
      </c>
      <c r="AI2491">
        <v>92.8925546073596</v>
      </c>
      <c r="AJ2491">
        <v>98.047055599920498</v>
      </c>
      <c r="AK2491">
        <v>22.016601277851802</v>
      </c>
      <c r="AL2491">
        <v>80.911870263641006</v>
      </c>
      <c r="AM2491">
        <v>94.696510901200099</v>
      </c>
      <c r="AN2491">
        <v>1.0000000238992299</v>
      </c>
    </row>
    <row r="2492" spans="1:40" x14ac:dyDescent="0.25">
      <c r="A2492" t="str">
        <f>"20190312172939626"</f>
        <v>20190312172939626</v>
      </c>
      <c r="B2492" t="str">
        <f>"1552382979619953"</f>
        <v>1552382979619953</v>
      </c>
      <c r="C2492" t="s">
        <v>40</v>
      </c>
      <c r="D2492">
        <v>3.4222839999999901</v>
      </c>
      <c r="E2492">
        <v>0.47897590000000001</v>
      </c>
      <c r="F2492" t="s">
        <v>46</v>
      </c>
      <c r="G2492">
        <v>-471.65300000000002</v>
      </c>
      <c r="H2492" s="1">
        <v>5.7821960000000002E-6</v>
      </c>
      <c r="I2492">
        <v>283.4853</v>
      </c>
      <c r="J2492">
        <v>-450.19690000000003</v>
      </c>
      <c r="K2492">
        <v>1.1110040000000001</v>
      </c>
      <c r="L2492">
        <v>286.09890000000001</v>
      </c>
      <c r="M2492">
        <v>-0.99954710000000002</v>
      </c>
      <c r="N2492">
        <v>0</v>
      </c>
      <c r="O2492">
        <v>1.9207020000000002E-2</v>
      </c>
      <c r="P2492">
        <v>-0.98901969999999995</v>
      </c>
      <c r="Q2492">
        <v>0.1344273</v>
      </c>
      <c r="R2492">
        <v>-6.139791E-2</v>
      </c>
      <c r="S2492">
        <v>-3.0320130000000001</v>
      </c>
      <c r="T2492">
        <v>-0.1545453</v>
      </c>
      <c r="U2492">
        <v>-0.36264039999999997</v>
      </c>
      <c r="V2492">
        <v>-8.0381480000000005E-2</v>
      </c>
      <c r="W2492">
        <v>0.15727739999999901</v>
      </c>
      <c r="X2492">
        <v>0.98427770000000003</v>
      </c>
      <c r="Y2492">
        <v>-0.13761089999999901</v>
      </c>
      <c r="Z2492">
        <v>-4.4677969999999999E-3</v>
      </c>
      <c r="AA2492">
        <v>0.99047629999999998</v>
      </c>
      <c r="AB2492">
        <v>34</v>
      </c>
      <c r="AC2492">
        <v>-21.4560999999999</v>
      </c>
      <c r="AD2492">
        <v>-1.1109982178039901</v>
      </c>
      <c r="AE2492">
        <v>-2.6136000000000101</v>
      </c>
      <c r="AF2492">
        <v>-3.01736418251024</v>
      </c>
      <c r="AG2492">
        <v>-1.1109982178039901</v>
      </c>
      <c r="AH2492">
        <v>21.3455325590432</v>
      </c>
      <c r="AI2492">
        <v>92.950181089683994</v>
      </c>
      <c r="AJ2492">
        <v>98.045914368898494</v>
      </c>
      <c r="AK2492">
        <v>21.586351333169599</v>
      </c>
      <c r="AL2492">
        <v>80.951097838045001</v>
      </c>
      <c r="AM2492">
        <v>94.668724978340407</v>
      </c>
      <c r="AN2492">
        <v>0.99999997679751995</v>
      </c>
    </row>
    <row r="2493" spans="1:40" x14ac:dyDescent="0.25">
      <c r="A2493" t="str">
        <f>"20190312172939649"</f>
        <v>20190312172939649</v>
      </c>
      <c r="B2493" t="str">
        <f>"1552382979639474"</f>
        <v>1552382979639474</v>
      </c>
      <c r="C2493" t="s">
        <v>40</v>
      </c>
      <c r="D2493">
        <v>3.4171749999999999</v>
      </c>
      <c r="E2493">
        <v>0.47897289999999998</v>
      </c>
      <c r="F2493" t="s">
        <v>46</v>
      </c>
      <c r="G2493">
        <v>-471.60340000000002</v>
      </c>
      <c r="H2493" s="1">
        <v>5.8098690000000003E-6</v>
      </c>
      <c r="I2493">
        <v>283.55</v>
      </c>
      <c r="J2493">
        <v>-450.541</v>
      </c>
      <c r="K2493">
        <v>1.110978</v>
      </c>
      <c r="L2493">
        <v>286.10550000000001</v>
      </c>
      <c r="M2493">
        <v>-0.99955210000000005</v>
      </c>
      <c r="N2493">
        <v>0</v>
      </c>
      <c r="O2493">
        <v>1.920759E-2</v>
      </c>
      <c r="P2493">
        <v>-0.98910960000000003</v>
      </c>
      <c r="Q2493">
        <v>0.13407160000000001</v>
      </c>
      <c r="R2493">
        <v>-6.0721799999999999E-2</v>
      </c>
      <c r="S2493">
        <v>-3.0322879999999999</v>
      </c>
      <c r="T2493">
        <v>-0.15737609999999999</v>
      </c>
      <c r="U2493">
        <v>-0.36105350000000003</v>
      </c>
      <c r="V2493">
        <v>-7.9707790000000001E-2</v>
      </c>
      <c r="W2493">
        <v>0.1567056</v>
      </c>
      <c r="X2493">
        <v>0.98442370000000001</v>
      </c>
      <c r="Y2493">
        <v>-0.13708299999999901</v>
      </c>
      <c r="Z2493">
        <v>-4.5356370000000003E-3</v>
      </c>
      <c r="AA2493">
        <v>0.99054920000000002</v>
      </c>
      <c r="AB2493">
        <v>34</v>
      </c>
      <c r="AC2493">
        <v>-21.0624</v>
      </c>
      <c r="AD2493">
        <v>-1.1109721901309999</v>
      </c>
      <c r="AE2493">
        <v>-2.5554999999999901</v>
      </c>
      <c r="AF2493">
        <v>-2.9515999746283201</v>
      </c>
      <c r="AG2493">
        <v>-1.1109721901309999</v>
      </c>
      <c r="AH2493">
        <v>20.951967178893799</v>
      </c>
      <c r="AI2493">
        <v>93.005627552866102</v>
      </c>
      <c r="AJ2493">
        <v>98.018752020644499</v>
      </c>
      <c r="AK2493">
        <v>21.187994956647302</v>
      </c>
      <c r="AL2493">
        <v>80.9842711154581</v>
      </c>
      <c r="AM2493">
        <v>94.629082811766494</v>
      </c>
      <c r="AN2493">
        <v>0.99999999898986702</v>
      </c>
    </row>
    <row r="2494" spans="1:40" x14ac:dyDescent="0.25">
      <c r="A2494" t="str">
        <f>"20190312172939670"</f>
        <v>20190312172939670</v>
      </c>
      <c r="B2494" t="str">
        <f>"1552382979659969"</f>
        <v>1552382979659969</v>
      </c>
      <c r="C2494" t="s">
        <v>40</v>
      </c>
      <c r="D2494">
        <v>3.6500149999999998</v>
      </c>
      <c r="E2494">
        <v>0.47898600000000002</v>
      </c>
      <c r="F2494" t="s">
        <v>46</v>
      </c>
      <c r="G2494">
        <v>-471.64909999999998</v>
      </c>
      <c r="H2494" s="1">
        <v>5.7945280000000001E-6</v>
      </c>
      <c r="I2494">
        <v>283.60669999999999</v>
      </c>
      <c r="J2494">
        <v>-450.87119999999999</v>
      </c>
      <c r="K2494">
        <v>1.1109519999999999</v>
      </c>
      <c r="L2494">
        <v>286.11180000000002</v>
      </c>
      <c r="M2494">
        <v>-0.99955720000000003</v>
      </c>
      <c r="N2494">
        <v>0</v>
      </c>
      <c r="O2494">
        <v>1.9207970000000001E-2</v>
      </c>
      <c r="P2494">
        <v>-0.98919579999999996</v>
      </c>
      <c r="Q2494">
        <v>0.13403289999999901</v>
      </c>
      <c r="R2494">
        <v>-5.9388570000000002E-2</v>
      </c>
      <c r="S2494">
        <v>-3.0326230000000001</v>
      </c>
      <c r="T2494">
        <v>-0.1596146</v>
      </c>
      <c r="U2494">
        <v>-0.35900880000000002</v>
      </c>
      <c r="V2494">
        <v>-7.8377249999999996E-2</v>
      </c>
      <c r="W2494">
        <v>0.15645599999999901</v>
      </c>
      <c r="X2494">
        <v>0.98457019999999995</v>
      </c>
      <c r="Y2494">
        <v>-0.13640679999999999</v>
      </c>
      <c r="Z2494">
        <v>-4.5820349999999999E-3</v>
      </c>
      <c r="AA2494">
        <v>0.99064229999999998</v>
      </c>
      <c r="AB2494">
        <v>34</v>
      </c>
      <c r="AC2494">
        <v>-20.777899999999899</v>
      </c>
      <c r="AD2494">
        <v>-1.1109462054719901</v>
      </c>
      <c r="AE2494">
        <v>-2.5051000000000201</v>
      </c>
      <c r="AF2494">
        <v>-2.8956824245789701</v>
      </c>
      <c r="AG2494">
        <v>-1.1109462054719901</v>
      </c>
      <c r="AH2494">
        <v>20.667696268157702</v>
      </c>
      <c r="AI2494">
        <v>93.047141287522393</v>
      </c>
      <c r="AJ2494">
        <v>97.975605440513704</v>
      </c>
      <c r="AK2494">
        <v>20.899111158331301</v>
      </c>
      <c r="AL2494">
        <v>80.998750537378797</v>
      </c>
      <c r="AM2494">
        <v>94.551463826780406</v>
      </c>
      <c r="AN2494">
        <v>0.99999997599080004</v>
      </c>
    </row>
    <row r="2495" spans="1:40" x14ac:dyDescent="0.25">
      <c r="A2495" t="str">
        <f>"20190312172939694"</f>
        <v>20190312172939694</v>
      </c>
      <c r="B2495" t="str">
        <f>"1552382979690226"</f>
        <v>1552382979690226</v>
      </c>
      <c r="C2495" t="s">
        <v>40</v>
      </c>
      <c r="D2495">
        <v>3.5439470000000002</v>
      </c>
      <c r="E2495">
        <v>0.56465140000000003</v>
      </c>
      <c r="F2495" t="s">
        <v>46</v>
      </c>
      <c r="G2495">
        <v>-471.96019999999999</v>
      </c>
      <c r="H2495" s="1">
        <v>5.66002899999999E-6</v>
      </c>
      <c r="I2495">
        <v>283.64600000000002</v>
      </c>
      <c r="J2495">
        <v>-451.21379999999999</v>
      </c>
      <c r="K2495">
        <v>1.1109249999999999</v>
      </c>
      <c r="L2495">
        <v>286.11840000000001</v>
      </c>
      <c r="M2495">
        <v>-0.99956259999999997</v>
      </c>
      <c r="N2495">
        <v>0</v>
      </c>
      <c r="O2495">
        <v>1.92084E-2</v>
      </c>
      <c r="P2495">
        <v>-0.98934750000000005</v>
      </c>
      <c r="Q2495">
        <v>0.13345650000000001</v>
      </c>
      <c r="R2495">
        <v>-5.8148569999999997E-2</v>
      </c>
      <c r="S2495">
        <v>-3.033112</v>
      </c>
      <c r="T2495">
        <v>-0.15978100000000001</v>
      </c>
      <c r="U2495">
        <v>-0.35464479999999998</v>
      </c>
      <c r="V2495">
        <v>-7.7140699999999895E-2</v>
      </c>
      <c r="W2495">
        <v>0.15564729999999999</v>
      </c>
      <c r="X2495">
        <v>0.984796</v>
      </c>
      <c r="Y2495">
        <v>-0.13498399999999999</v>
      </c>
      <c r="Z2495">
        <v>-4.5491469999999999E-3</v>
      </c>
      <c r="AA2495">
        <v>0.99083730000000003</v>
      </c>
      <c r="AB2495">
        <v>34</v>
      </c>
      <c r="AC2495">
        <v>-20.746399999999898</v>
      </c>
      <c r="AD2495">
        <v>-1.110919339971</v>
      </c>
      <c r="AE2495">
        <v>-2.4724000000000399</v>
      </c>
      <c r="AF2495">
        <v>-2.8624568441627098</v>
      </c>
      <c r="AG2495">
        <v>-1.110919339971</v>
      </c>
      <c r="AH2495">
        <v>20.636723580015101</v>
      </c>
      <c r="AI2495">
        <v>93.052215377479499</v>
      </c>
      <c r="AJ2495">
        <v>97.8969350143486</v>
      </c>
      <c r="AK2495">
        <v>20.8638961146418</v>
      </c>
      <c r="AL2495">
        <v>81.045660239807106</v>
      </c>
      <c r="AM2495">
        <v>94.4789274717605</v>
      </c>
      <c r="AN2495">
        <v>0.99999996560488902</v>
      </c>
    </row>
    <row r="2496" spans="1:40" x14ac:dyDescent="0.25">
      <c r="A2496" t="str">
        <f>"20190312172939716"</f>
        <v>20190312172939716</v>
      </c>
      <c r="B2496" t="str">
        <f>"1552382979709746"</f>
        <v>1552382979709746</v>
      </c>
      <c r="C2496" t="s">
        <v>40</v>
      </c>
      <c r="D2496">
        <v>3.535676</v>
      </c>
      <c r="E2496">
        <v>0.58456430000000004</v>
      </c>
      <c r="F2496" t="s">
        <v>42</v>
      </c>
      <c r="G2496">
        <v>-452.05799999999999</v>
      </c>
      <c r="H2496">
        <v>0.97720490000000004</v>
      </c>
      <c r="I2496">
        <v>286.20699999999999</v>
      </c>
      <c r="J2496">
        <v>-451.54860000000002</v>
      </c>
      <c r="K2496">
        <v>1.1109</v>
      </c>
      <c r="L2496">
        <v>286.12490000000003</v>
      </c>
      <c r="M2496">
        <v>-0.99956800000000001</v>
      </c>
      <c r="N2496">
        <v>0</v>
      </c>
      <c r="O2496">
        <v>1.9208820000000001E-2</v>
      </c>
      <c r="P2496">
        <v>-0.9895526</v>
      </c>
      <c r="Q2496">
        <v>0.1329844</v>
      </c>
      <c r="R2496">
        <v>-5.568584E-2</v>
      </c>
      <c r="S2496">
        <v>-3.1181030000000001</v>
      </c>
      <c r="T2496">
        <v>-0.49403059999999899</v>
      </c>
      <c r="U2496">
        <v>0.32586670000000001</v>
      </c>
      <c r="V2496">
        <v>-7.4682150000000003E-2</v>
      </c>
      <c r="W2496">
        <v>0.154939299999999</v>
      </c>
      <c r="X2496">
        <v>0.98509720000000001</v>
      </c>
      <c r="Y2496">
        <v>8.4014000000000005E-2</v>
      </c>
      <c r="Z2496">
        <v>3.5803179999999999E-3</v>
      </c>
      <c r="AA2496">
        <v>0.99645810000000001</v>
      </c>
      <c r="AB2496">
        <v>34</v>
      </c>
      <c r="AC2496">
        <v>-0.50940000000002705</v>
      </c>
      <c r="AD2496">
        <v>-0.13369509999999901</v>
      </c>
      <c r="AE2496">
        <v>8.2099999999968504E-2</v>
      </c>
      <c r="AF2496">
        <v>6.7748848035946302E-2</v>
      </c>
      <c r="AG2496">
        <v>-0.13369509999999901</v>
      </c>
      <c r="AH2496">
        <v>0.47874111710284001</v>
      </c>
      <c r="AI2496">
        <v>105.45659359715999</v>
      </c>
      <c r="AJ2496">
        <v>81.945296505280695</v>
      </c>
      <c r="AK2496">
        <v>0.50165460565919495</v>
      </c>
      <c r="AL2496">
        <v>81.086724595498197</v>
      </c>
      <c r="AM2496">
        <v>94.335412204412293</v>
      </c>
      <c r="AN2496">
        <v>1.0000000518304699</v>
      </c>
    </row>
    <row r="2497" spans="1:40" x14ac:dyDescent="0.25">
      <c r="A2497" t="str">
        <f>"20190312172939738"</f>
        <v>20190312172939738</v>
      </c>
      <c r="B2497" t="str">
        <f>"1552382979730241"</f>
        <v>1552382979730241</v>
      </c>
      <c r="C2497" t="s">
        <v>40</v>
      </c>
      <c r="D2497">
        <v>3.5173909999999999</v>
      </c>
      <c r="E2497">
        <v>0.59265599999999996</v>
      </c>
      <c r="F2497" t="s">
        <v>42</v>
      </c>
      <c r="G2497">
        <v>-452.35219999999998</v>
      </c>
      <c r="H2497">
        <v>0.96740060000000005</v>
      </c>
      <c r="I2497">
        <v>286.25130000000001</v>
      </c>
      <c r="J2497">
        <v>-451.88170000000002</v>
      </c>
      <c r="K2497">
        <v>1.1108830000000001</v>
      </c>
      <c r="L2497">
        <v>286.13130000000001</v>
      </c>
      <c r="M2497">
        <v>-0.99957339999999995</v>
      </c>
      <c r="N2497">
        <v>0</v>
      </c>
      <c r="O2497">
        <v>1.9209230000000001E-2</v>
      </c>
      <c r="P2497">
        <v>-0.98965950000000003</v>
      </c>
      <c r="Q2497">
        <v>0.13305400000000001</v>
      </c>
      <c r="R2497">
        <v>-5.3579349999999998E-2</v>
      </c>
      <c r="S2497">
        <v>-3.1345830000000001</v>
      </c>
      <c r="T2497">
        <v>-0.55990740000000006</v>
      </c>
      <c r="U2497">
        <v>0.4915466</v>
      </c>
      <c r="V2497">
        <v>-7.2579030000000003E-2</v>
      </c>
      <c r="W2497">
        <v>0.15477260000000001</v>
      </c>
      <c r="X2497">
        <v>0.9852805</v>
      </c>
      <c r="Y2497">
        <v>0.13413599999999901</v>
      </c>
      <c r="Z2497">
        <v>8.4318080000000007E-3</v>
      </c>
      <c r="AA2497">
        <v>0.990927</v>
      </c>
      <c r="AB2497">
        <v>34</v>
      </c>
      <c r="AC2497">
        <v>-0.47049999999995801</v>
      </c>
      <c r="AD2497">
        <v>-0.14348240000000001</v>
      </c>
      <c r="AE2497">
        <v>0.12000000000000401</v>
      </c>
      <c r="AF2497">
        <v>0.102028684194717</v>
      </c>
      <c r="AG2497">
        <v>-0.14348240000000001</v>
      </c>
      <c r="AH2497">
        <v>0.43475636194074202</v>
      </c>
      <c r="AI2497">
        <v>107.812225038191</v>
      </c>
      <c r="AJ2497">
        <v>76.792817513379703</v>
      </c>
      <c r="AK2497">
        <v>0.469052391270117</v>
      </c>
      <c r="AL2497">
        <v>81.096391675848807</v>
      </c>
      <c r="AM2497">
        <v>94.212987885739693</v>
      </c>
      <c r="AN2497">
        <v>0.99999996849337502</v>
      </c>
    </row>
    <row r="2498" spans="1:40" x14ac:dyDescent="0.25">
      <c r="A2498" t="str">
        <f>"20190312172939761"</f>
        <v>20190312172939761</v>
      </c>
      <c r="B2498" t="str">
        <f>"1552382979749762"</f>
        <v>1552382979749762</v>
      </c>
      <c r="C2498" t="s">
        <v>40</v>
      </c>
      <c r="D2498">
        <v>3.491803</v>
      </c>
      <c r="E2498">
        <v>0.59694130000000001</v>
      </c>
      <c r="F2498" t="s">
        <v>42</v>
      </c>
      <c r="G2498">
        <v>-452.65019999999998</v>
      </c>
      <c r="H2498">
        <v>0.96686099999999997</v>
      </c>
      <c r="I2498">
        <v>286.26940000000002</v>
      </c>
      <c r="J2498">
        <v>-452.22030000000001</v>
      </c>
      <c r="K2498">
        <v>1.110857</v>
      </c>
      <c r="L2498">
        <v>286.13780000000003</v>
      </c>
      <c r="M2498">
        <v>-0.99957879999999999</v>
      </c>
      <c r="N2498">
        <v>0</v>
      </c>
      <c r="O2498">
        <v>1.9209259999999999E-2</v>
      </c>
      <c r="P2498">
        <v>-0.9897222</v>
      </c>
      <c r="Q2498">
        <v>0.13317989999999999</v>
      </c>
      <c r="R2498">
        <v>-5.208956E-2</v>
      </c>
      <c r="S2498">
        <v>-3.14093</v>
      </c>
      <c r="T2498">
        <v>-0.58887290000000003</v>
      </c>
      <c r="U2498">
        <v>0.56222530000000004</v>
      </c>
      <c r="V2498">
        <v>-7.1090420000000001E-2</v>
      </c>
      <c r="W2498">
        <v>0.15465999999999999</v>
      </c>
      <c r="X2498">
        <v>0.98540680000000003</v>
      </c>
      <c r="Y2498">
        <v>0.15496299999999999</v>
      </c>
      <c r="Z2498">
        <v>1.0748310000000001E-2</v>
      </c>
      <c r="AA2498">
        <v>0.98786180000000001</v>
      </c>
      <c r="AB2498">
        <v>33</v>
      </c>
      <c r="AC2498">
        <v>-0.42989999999997502</v>
      </c>
      <c r="AD2498">
        <v>-0.14399599999999901</v>
      </c>
      <c r="AE2498">
        <v>0.131599999999991</v>
      </c>
      <c r="AF2498">
        <v>0.11184280648499501</v>
      </c>
      <c r="AG2498">
        <v>-0.14399599999999901</v>
      </c>
      <c r="AH2498">
        <v>0.392124837971013</v>
      </c>
      <c r="AI2498">
        <v>109.449983916463</v>
      </c>
      <c r="AJ2498">
        <v>74.080660860877202</v>
      </c>
      <c r="AK2498">
        <v>0.43244138323272602</v>
      </c>
      <c r="AL2498">
        <v>81.102922653312902</v>
      </c>
      <c r="AM2498">
        <v>94.126353227063504</v>
      </c>
      <c r="AN2498">
        <v>1.0000000624509999</v>
      </c>
    </row>
    <row r="2499" spans="1:40" x14ac:dyDescent="0.25">
      <c r="A2499" t="str">
        <f>"20190312172939782"</f>
        <v>20190312172939782</v>
      </c>
      <c r="B2499" t="str">
        <f>"1552382979780018"</f>
        <v>1552382979780018</v>
      </c>
      <c r="C2499" t="s">
        <v>40</v>
      </c>
      <c r="D2499">
        <v>3.4813269999999998</v>
      </c>
      <c r="E2499">
        <v>0.60101719999999903</v>
      </c>
      <c r="F2499" t="s">
        <v>42</v>
      </c>
      <c r="G2499">
        <v>-452.94889999999998</v>
      </c>
      <c r="H2499">
        <v>0.97017739999999997</v>
      </c>
      <c r="I2499">
        <v>286.27710000000002</v>
      </c>
      <c r="J2499">
        <v>-452.54680000000002</v>
      </c>
      <c r="K2499">
        <v>1.1108359999999999</v>
      </c>
      <c r="L2499">
        <v>286.14409999999998</v>
      </c>
      <c r="M2499">
        <v>-0.99958400000000003</v>
      </c>
      <c r="N2499">
        <v>0</v>
      </c>
      <c r="O2499">
        <v>1.9204849999999999E-2</v>
      </c>
      <c r="P2499">
        <v>-0.98987119999999995</v>
      </c>
      <c r="Q2499">
        <v>0.13235620000000001</v>
      </c>
      <c r="R2499">
        <v>-5.1353059999999999E-2</v>
      </c>
      <c r="S2499">
        <v>-3.1444399999999999</v>
      </c>
      <c r="T2499">
        <v>-0.60716689999999995</v>
      </c>
      <c r="U2499">
        <v>0.60006709999999996</v>
      </c>
      <c r="V2499">
        <v>-7.0353120000000005E-2</v>
      </c>
      <c r="W2499">
        <v>0.15360560000000001</v>
      </c>
      <c r="X2499">
        <v>0.98562459999999996</v>
      </c>
      <c r="Y2499">
        <v>0.16593469999999999</v>
      </c>
      <c r="Z2499">
        <v>1.209415E-2</v>
      </c>
      <c r="AA2499">
        <v>0.98606260000000001</v>
      </c>
      <c r="AB2499">
        <v>33</v>
      </c>
      <c r="AC2499">
        <v>-0.40209999999996099</v>
      </c>
      <c r="AD2499">
        <v>-0.14065859999999999</v>
      </c>
      <c r="AE2499">
        <v>0.133000000000038</v>
      </c>
      <c r="AF2499">
        <v>0.112808636806961</v>
      </c>
      <c r="AG2499">
        <v>-0.14065859999999999</v>
      </c>
      <c r="AH2499">
        <v>0.36438866523934299</v>
      </c>
      <c r="AI2499">
        <v>110.241258483495</v>
      </c>
      <c r="AJ2499">
        <v>72.798349527594993</v>
      </c>
      <c r="AK2499">
        <v>0.40655839635544999</v>
      </c>
      <c r="AL2499">
        <v>81.164065838821301</v>
      </c>
      <c r="AM2499">
        <v>94.082803774867699</v>
      </c>
      <c r="AN2499">
        <v>1.00000004698512</v>
      </c>
    </row>
    <row r="2500" spans="1:40" x14ac:dyDescent="0.25">
      <c r="A2500" t="str">
        <f>"20190312172939805"</f>
        <v>20190312172939805</v>
      </c>
      <c r="B2500" t="str">
        <f>"1552382979799541"</f>
        <v>1552382979799541</v>
      </c>
      <c r="C2500" t="s">
        <v>40</v>
      </c>
      <c r="D2500">
        <v>3.5248710000000001</v>
      </c>
      <c r="E2500">
        <v>0.60250340000000002</v>
      </c>
      <c r="F2500" t="s">
        <v>42</v>
      </c>
      <c r="G2500">
        <v>-453.24549999999999</v>
      </c>
      <c r="H2500">
        <v>0.97154620000000003</v>
      </c>
      <c r="I2500">
        <v>286.28489999999999</v>
      </c>
      <c r="J2500">
        <v>-452.87540000000001</v>
      </c>
      <c r="K2500">
        <v>1.110819</v>
      </c>
      <c r="L2500">
        <v>286.15039999999999</v>
      </c>
      <c r="M2500">
        <v>-0.99958999999999998</v>
      </c>
      <c r="N2500">
        <v>0</v>
      </c>
      <c r="O2500">
        <v>1.9177960000000001E-2</v>
      </c>
      <c r="P2500">
        <v>-0.99000460000000001</v>
      </c>
      <c r="Q2500">
        <v>0.13155529999999999</v>
      </c>
      <c r="R2500">
        <v>-5.0838000000000001E-2</v>
      </c>
      <c r="S2500">
        <v>-3.1474609999999998</v>
      </c>
      <c r="T2500">
        <v>-0.6275501</v>
      </c>
      <c r="U2500">
        <v>0.63238530000000004</v>
      </c>
      <c r="V2500">
        <v>-6.9818019999999995E-2</v>
      </c>
      <c r="W2500">
        <v>0.15255469999999999</v>
      </c>
      <c r="X2500">
        <v>0.98582579999999997</v>
      </c>
      <c r="Y2500">
        <v>0.17519000000000001</v>
      </c>
      <c r="Z2500">
        <v>1.3379479999999999E-2</v>
      </c>
      <c r="AA2500">
        <v>0.98444370000000003</v>
      </c>
      <c r="AB2500">
        <v>33</v>
      </c>
      <c r="AC2500">
        <v>-0.370099999999979</v>
      </c>
      <c r="AD2500">
        <v>-0.1392728</v>
      </c>
      <c r="AE2500">
        <v>0.13450000000000201</v>
      </c>
      <c r="AF2500">
        <v>0.113214000399149</v>
      </c>
      <c r="AG2500">
        <v>-0.1392728</v>
      </c>
      <c r="AH2500">
        <v>0.33118424538563401</v>
      </c>
      <c r="AI2500">
        <v>111.698678374379</v>
      </c>
      <c r="AJ2500">
        <v>71.1272134074826</v>
      </c>
      <c r="AK2500">
        <v>0.376692616197704</v>
      </c>
      <c r="AL2500">
        <v>81.224995697498201</v>
      </c>
      <c r="AM2500">
        <v>94.051029931054899</v>
      </c>
      <c r="AN2500">
        <v>1.00000000017722</v>
      </c>
    </row>
    <row r="2501" spans="1:40" x14ac:dyDescent="0.25">
      <c r="A2501" t="str">
        <f>"20190312172939827"</f>
        <v>20190312172939827</v>
      </c>
      <c r="B2501" t="str">
        <f>"1552382979820037"</f>
        <v>1552382979820037</v>
      </c>
      <c r="C2501" t="s">
        <v>40</v>
      </c>
      <c r="D2501">
        <v>3.5173100000000002</v>
      </c>
      <c r="E2501">
        <v>0.60373279999999996</v>
      </c>
      <c r="F2501" t="s">
        <v>42</v>
      </c>
      <c r="G2501">
        <v>-453.8116</v>
      </c>
      <c r="H2501">
        <v>0.92088769999999998</v>
      </c>
      <c r="I2501">
        <v>286.34249999999997</v>
      </c>
      <c r="J2501">
        <v>-453.2038</v>
      </c>
      <c r="K2501">
        <v>1.1108150000000001</v>
      </c>
      <c r="L2501">
        <v>286.15660000000003</v>
      </c>
      <c r="M2501">
        <v>-0.99959679999999995</v>
      </c>
      <c r="N2501">
        <v>0</v>
      </c>
      <c r="O2501">
        <v>1.911326E-2</v>
      </c>
      <c r="P2501">
        <v>-0.99011850000000001</v>
      </c>
      <c r="Q2501">
        <v>0.13100110000000001</v>
      </c>
      <c r="R2501">
        <v>-5.0044430000000001E-2</v>
      </c>
      <c r="S2501">
        <v>-3.1482239999999999</v>
      </c>
      <c r="T2501">
        <v>-0.63881589999999999</v>
      </c>
      <c r="U2501">
        <v>0.64413450000000005</v>
      </c>
      <c r="V2501">
        <v>-6.8971690000000002E-2</v>
      </c>
      <c r="W2501">
        <v>0.15173900000000001</v>
      </c>
      <c r="X2501">
        <v>0.98601130000000003</v>
      </c>
      <c r="Y2501">
        <v>0.17856669999999999</v>
      </c>
      <c r="Z2501">
        <v>1.395568E-2</v>
      </c>
      <c r="AA2501">
        <v>0.98382879999999995</v>
      </c>
      <c r="AB2501">
        <v>33</v>
      </c>
      <c r="AC2501">
        <v>-0.60779999999999701</v>
      </c>
      <c r="AD2501">
        <v>-0.18992729999999899</v>
      </c>
      <c r="AE2501">
        <v>0.185899999999946</v>
      </c>
      <c r="AF2501">
        <v>0.159962924474606</v>
      </c>
      <c r="AG2501">
        <v>-0.18992729999999899</v>
      </c>
      <c r="AH2501">
        <v>0.56113745674344995</v>
      </c>
      <c r="AI2501">
        <v>108.03011529749099</v>
      </c>
      <c r="AJ2501">
        <v>74.088788809372303</v>
      </c>
      <c r="AK2501">
        <v>0.61362509877959304</v>
      </c>
      <c r="AL2501">
        <v>81.272282829093697</v>
      </c>
      <c r="AM2501">
        <v>94.001333650810807</v>
      </c>
      <c r="AN2501">
        <v>1.0000000509350699</v>
      </c>
    </row>
    <row r="2502" spans="1:40" x14ac:dyDescent="0.25">
      <c r="A2502" t="str">
        <f>"20190312172939850"</f>
        <v>20190312172939850</v>
      </c>
      <c r="B2502" t="str">
        <f>"1552382979839554"</f>
        <v>1552382979839554</v>
      </c>
      <c r="C2502" t="s">
        <v>40</v>
      </c>
      <c r="D2502">
        <v>3.4923799999999998</v>
      </c>
      <c r="E2502">
        <v>0.60468330000000003</v>
      </c>
      <c r="F2502" t="s">
        <v>42</v>
      </c>
      <c r="G2502">
        <v>-454.10640000000001</v>
      </c>
      <c r="H2502">
        <v>0.92527680000000001</v>
      </c>
      <c r="I2502">
        <v>286.34410000000003</v>
      </c>
      <c r="J2502">
        <v>-453.53039999999999</v>
      </c>
      <c r="K2502">
        <v>1.1108169999999999</v>
      </c>
      <c r="L2502">
        <v>286.1628</v>
      </c>
      <c r="M2502">
        <v>-0.99960439999999995</v>
      </c>
      <c r="N2502">
        <v>0</v>
      </c>
      <c r="O2502">
        <v>1.9007360000000001E-2</v>
      </c>
      <c r="P2502">
        <v>-0.99026369999999997</v>
      </c>
      <c r="Q2502">
        <v>0.13012969999999999</v>
      </c>
      <c r="R2502">
        <v>-4.9440930000000001E-2</v>
      </c>
      <c r="S2502">
        <v>-3.148682</v>
      </c>
      <c r="T2502">
        <v>-0.64715639999999997</v>
      </c>
      <c r="U2502">
        <v>0.65493769999999996</v>
      </c>
      <c r="V2502">
        <v>-6.8277909999999997E-2</v>
      </c>
      <c r="W2502">
        <v>0.1506072</v>
      </c>
      <c r="X2502">
        <v>0.98623309999999997</v>
      </c>
      <c r="Y2502">
        <v>0.1817366</v>
      </c>
      <c r="Z2502">
        <v>1.446804E-2</v>
      </c>
      <c r="AA2502">
        <v>0.98324080000000003</v>
      </c>
      <c r="AB2502">
        <v>33</v>
      </c>
      <c r="AC2502">
        <v>-0.57600000000002105</v>
      </c>
      <c r="AD2502">
        <v>-0.18554019999999999</v>
      </c>
      <c r="AE2502">
        <v>0.181300000000021</v>
      </c>
      <c r="AF2502">
        <v>0.155624566160522</v>
      </c>
      <c r="AG2502">
        <v>-0.18554019999999999</v>
      </c>
      <c r="AH2502">
        <v>0.52936666619860795</v>
      </c>
      <c r="AI2502">
        <v>108.585980159757</v>
      </c>
      <c r="AJ2502">
        <v>73.617583763378903</v>
      </c>
      <c r="AK2502">
        <v>0.58212819781463898</v>
      </c>
      <c r="AL2502">
        <v>81.3378842477929</v>
      </c>
      <c r="AM2502">
        <v>93.960325351082005</v>
      </c>
      <c r="AN2502">
        <v>1.0000000646106999</v>
      </c>
    </row>
    <row r="2503" spans="1:40" x14ac:dyDescent="0.25">
      <c r="A2503" t="str">
        <f>"20190312172939872"</f>
        <v>20190312172939872</v>
      </c>
      <c r="B2503" t="str">
        <f>"1552382979869811"</f>
        <v>1552382979869811</v>
      </c>
      <c r="C2503" t="s">
        <v>40</v>
      </c>
      <c r="D2503">
        <v>3.4818229999999999</v>
      </c>
      <c r="E2503">
        <v>0.60612999999999995</v>
      </c>
      <c r="F2503" t="s">
        <v>42</v>
      </c>
      <c r="G2503">
        <v>-454.40050000000002</v>
      </c>
      <c r="H2503">
        <v>0.9300214</v>
      </c>
      <c r="I2503">
        <v>286.34660000000002</v>
      </c>
      <c r="J2503">
        <v>-453.8519</v>
      </c>
      <c r="K2503">
        <v>1.110825</v>
      </c>
      <c r="L2503">
        <v>286.1687</v>
      </c>
      <c r="M2503">
        <v>-0.99961259999999996</v>
      </c>
      <c r="N2503">
        <v>0</v>
      </c>
      <c r="O2503">
        <v>1.884185E-2</v>
      </c>
      <c r="P2503">
        <v>-0.99047229999999997</v>
      </c>
      <c r="Q2503">
        <v>0.12841759999999999</v>
      </c>
      <c r="R2503">
        <v>-4.9736250000000003E-2</v>
      </c>
      <c r="S2503">
        <v>-3.1486510000000001</v>
      </c>
      <c r="T2503">
        <v>-0.65444309999999895</v>
      </c>
      <c r="U2503">
        <v>0.66458130000000004</v>
      </c>
      <c r="V2503">
        <v>-6.842877E-2</v>
      </c>
      <c r="W2503">
        <v>0.14863979999999999</v>
      </c>
      <c r="X2503">
        <v>0.98652099999999998</v>
      </c>
      <c r="Y2503">
        <v>0.1846517</v>
      </c>
      <c r="Z2503">
        <v>1.4953660000000001E-2</v>
      </c>
      <c r="AA2503">
        <v>0.98269030000000002</v>
      </c>
      <c r="AB2503">
        <v>33</v>
      </c>
      <c r="AC2503">
        <v>-0.54860000000002096</v>
      </c>
      <c r="AD2503">
        <v>-0.18080359999999901</v>
      </c>
      <c r="AE2503">
        <v>0.17790000000002201</v>
      </c>
      <c r="AF2503">
        <v>0.152537732446409</v>
      </c>
      <c r="AG2503">
        <v>-0.18080359999999901</v>
      </c>
      <c r="AH2503">
        <v>0.50247089618131702</v>
      </c>
      <c r="AI2503">
        <v>108.99925219285601</v>
      </c>
      <c r="AJ2503">
        <v>73.1130079276288</v>
      </c>
      <c r="AK2503">
        <v>0.55536897924002504</v>
      </c>
      <c r="AL2503">
        <v>81.451890664716899</v>
      </c>
      <c r="AM2503">
        <v>93.967893150119394</v>
      </c>
      <c r="AN2503">
        <v>0.99999998507437604</v>
      </c>
    </row>
    <row r="2504" spans="1:40" x14ac:dyDescent="0.25">
      <c r="A2504" t="str">
        <f>"20190312172939894"</f>
        <v>20190312172939894</v>
      </c>
      <c r="B2504" t="str">
        <f>"1552382979890306"</f>
        <v>1552382979890306</v>
      </c>
      <c r="C2504" t="s">
        <v>40</v>
      </c>
      <c r="D2504">
        <v>3.45533</v>
      </c>
      <c r="E2504">
        <v>0.60667409999999999</v>
      </c>
      <c r="F2504" t="s">
        <v>42</v>
      </c>
      <c r="G2504">
        <v>-454.6925</v>
      </c>
      <c r="H2504">
        <v>0.93194440000000001</v>
      </c>
      <c r="I2504">
        <v>286.34910000000002</v>
      </c>
      <c r="J2504">
        <v>-454.17860000000002</v>
      </c>
      <c r="K2504">
        <v>1.110849</v>
      </c>
      <c r="L2504">
        <v>286.17469999999997</v>
      </c>
      <c r="M2504">
        <v>-0.99962309999999999</v>
      </c>
      <c r="N2504">
        <v>0</v>
      </c>
      <c r="O2504">
        <v>1.858458E-2</v>
      </c>
      <c r="P2504">
        <v>-0.99046000000000001</v>
      </c>
      <c r="Q2504">
        <v>0.12813749999999999</v>
      </c>
      <c r="R2504">
        <v>-5.0692929999999997E-2</v>
      </c>
      <c r="S2504">
        <v>-3.149689</v>
      </c>
      <c r="T2504">
        <v>-0.67030310000000004</v>
      </c>
      <c r="U2504">
        <v>0.67587280000000005</v>
      </c>
      <c r="V2504">
        <v>-6.915201E-2</v>
      </c>
      <c r="W2504">
        <v>0.14807770000000001</v>
      </c>
      <c r="X2504">
        <v>0.98655510000000002</v>
      </c>
      <c r="Y2504">
        <v>0.18797259999999999</v>
      </c>
      <c r="Z2504">
        <v>1.5697349999999999E-2</v>
      </c>
      <c r="AA2504">
        <v>0.98204880000000006</v>
      </c>
      <c r="AB2504">
        <v>33</v>
      </c>
      <c r="AC2504">
        <v>-0.51389999999997804</v>
      </c>
      <c r="AD2504">
        <v>-0.1789046</v>
      </c>
      <c r="AE2504">
        <v>0.17440000000004799</v>
      </c>
      <c r="AF2504">
        <v>0.14866099401824701</v>
      </c>
      <c r="AG2504">
        <v>-0.1789046</v>
      </c>
      <c r="AH2504">
        <v>0.46636861207874702</v>
      </c>
      <c r="AI2504">
        <v>110.076971994044</v>
      </c>
      <c r="AJ2504">
        <v>72.319650001029203</v>
      </c>
      <c r="AK2504">
        <v>0.52115892909544403</v>
      </c>
      <c r="AL2504">
        <v>81.484457019243294</v>
      </c>
      <c r="AM2504">
        <v>94.009556536294994</v>
      </c>
      <c r="AN2504">
        <v>0.99999998553017</v>
      </c>
    </row>
    <row r="2505" spans="1:40" x14ac:dyDescent="0.25">
      <c r="A2505" t="str">
        <f>"20190312172939916"</f>
        <v>20190312172939916</v>
      </c>
      <c r="B2505" t="str">
        <f>"1552382979909826"</f>
        <v>1552382979909826</v>
      </c>
      <c r="C2505" t="s">
        <v>40</v>
      </c>
      <c r="D2505">
        <v>3.5531540000000001</v>
      </c>
      <c r="E2505">
        <v>0.60727449999999905</v>
      </c>
      <c r="F2505" t="s">
        <v>42</v>
      </c>
      <c r="G2505">
        <v>-454.98520000000002</v>
      </c>
      <c r="H2505">
        <v>0.93774880000000005</v>
      </c>
      <c r="I2505">
        <v>286.3485</v>
      </c>
      <c r="J2505">
        <v>-454.4984</v>
      </c>
      <c r="K2505">
        <v>1.110897</v>
      </c>
      <c r="L2505">
        <v>286.18020000000001</v>
      </c>
      <c r="M2505">
        <v>-0.99963579999999996</v>
      </c>
      <c r="N2505">
        <v>0</v>
      </c>
      <c r="O2505">
        <v>1.822472E-2</v>
      </c>
      <c r="P2505">
        <v>-0.99029</v>
      </c>
      <c r="Q2505">
        <v>0.12894449999999999</v>
      </c>
      <c r="R2505">
        <v>-5.1954720000000003E-2</v>
      </c>
      <c r="S2505">
        <v>-3.1510929999999999</v>
      </c>
      <c r="T2505">
        <v>-0.67646090000000003</v>
      </c>
      <c r="U2505">
        <v>0.67767330000000003</v>
      </c>
      <c r="V2505">
        <v>-7.0081930000000001E-2</v>
      </c>
      <c r="W2505">
        <v>0.14857379999999901</v>
      </c>
      <c r="X2505">
        <v>0.98641489999999998</v>
      </c>
      <c r="Y2505">
        <v>0.18868670000000001</v>
      </c>
      <c r="Z2505">
        <v>1.5981269999999999E-2</v>
      </c>
      <c r="AA2505">
        <v>0.98190730000000004</v>
      </c>
      <c r="AB2505">
        <v>33</v>
      </c>
      <c r="AC2505">
        <v>-0.486800000000016</v>
      </c>
      <c r="AD2505">
        <v>-0.173148199999999</v>
      </c>
      <c r="AE2505">
        <v>0.16829999999998699</v>
      </c>
      <c r="AF2505">
        <v>0.143214444940227</v>
      </c>
      <c r="AG2505">
        <v>-0.173148199999999</v>
      </c>
      <c r="AH2505">
        <v>0.44005791772929898</v>
      </c>
      <c r="AI2505">
        <v>110.513409143343</v>
      </c>
      <c r="AJ2505">
        <v>71.972804617336294</v>
      </c>
      <c r="AK2505">
        <v>0.49410691895481901</v>
      </c>
      <c r="AL2505">
        <v>81.455714800203594</v>
      </c>
      <c r="AM2505">
        <v>94.063871127454206</v>
      </c>
      <c r="AN2505">
        <v>1.0000000029504801</v>
      </c>
    </row>
    <row r="2506" spans="1:40" x14ac:dyDescent="0.25">
      <c r="A2506" t="str">
        <f>"20190312172939939"</f>
        <v>20190312172939939</v>
      </c>
      <c r="B2506" t="str">
        <f>"1552382979930395"</f>
        <v>1552382979930395</v>
      </c>
      <c r="C2506" t="s">
        <v>40</v>
      </c>
      <c r="D2506">
        <v>3.4618709999999999</v>
      </c>
      <c r="E2506">
        <v>0.60758199999999996</v>
      </c>
      <c r="F2506" t="s">
        <v>42</v>
      </c>
      <c r="G2506">
        <v>-455.27719999999999</v>
      </c>
      <c r="H2506">
        <v>0.94312169999999895</v>
      </c>
      <c r="I2506">
        <v>286.34769999999997</v>
      </c>
      <c r="J2506">
        <v>-454.8279</v>
      </c>
      <c r="K2506">
        <v>1.110941</v>
      </c>
      <c r="L2506">
        <v>286.18579999999997</v>
      </c>
      <c r="M2506">
        <v>-0.99965170000000003</v>
      </c>
      <c r="N2506">
        <v>0</v>
      </c>
      <c r="O2506">
        <v>1.7726180000000001E-2</v>
      </c>
      <c r="P2506">
        <v>-0.99014440000000004</v>
      </c>
      <c r="Q2506">
        <v>0.12939289999999901</v>
      </c>
      <c r="R2506">
        <v>-5.3588919999999998E-2</v>
      </c>
      <c r="S2506">
        <v>-3.1534119999999999</v>
      </c>
      <c r="T2506">
        <v>-0.679427</v>
      </c>
      <c r="U2506">
        <v>0.67733759999999998</v>
      </c>
      <c r="V2506">
        <v>-7.1256E-2</v>
      </c>
      <c r="W2506">
        <v>0.1486507</v>
      </c>
      <c r="X2506">
        <v>0.98631919999999995</v>
      </c>
      <c r="Y2506">
        <v>0.18888540000000001</v>
      </c>
      <c r="Z2506">
        <v>1.6164600000000001E-2</v>
      </c>
      <c r="AA2506">
        <v>0.98186609999999996</v>
      </c>
      <c r="AB2506">
        <v>33</v>
      </c>
      <c r="AC2506">
        <v>-0.44929999999999298</v>
      </c>
      <c r="AD2506">
        <v>-0.1678193</v>
      </c>
      <c r="AE2506">
        <v>0.16190000000000199</v>
      </c>
      <c r="AF2506">
        <v>0.13699292674657201</v>
      </c>
      <c r="AG2506">
        <v>-0.1678193</v>
      </c>
      <c r="AH2506">
        <v>0.40241059466853901</v>
      </c>
      <c r="AI2506">
        <v>111.543388611347</v>
      </c>
      <c r="AJ2506">
        <v>71.199848678537094</v>
      </c>
      <c r="AK2506">
        <v>0.45701713986738901</v>
      </c>
      <c r="AL2506">
        <v>81.451259306771405</v>
      </c>
      <c r="AM2506">
        <v>94.132118087792307</v>
      </c>
      <c r="AN2506">
        <v>1.00000000621756</v>
      </c>
    </row>
    <row r="2507" spans="1:40" x14ac:dyDescent="0.25">
      <c r="A2507" t="str">
        <f>"20190312172939962"</f>
        <v>20190312172939962</v>
      </c>
      <c r="B2507" t="str">
        <f>"1552382979949914"</f>
        <v>1552382979949914</v>
      </c>
      <c r="C2507" t="s">
        <v>40</v>
      </c>
      <c r="D2507">
        <v>3.4439839999999902</v>
      </c>
      <c r="E2507">
        <v>0.60789850000000001</v>
      </c>
      <c r="F2507" t="s">
        <v>42</v>
      </c>
      <c r="G2507">
        <v>-455.56979999999999</v>
      </c>
      <c r="H2507">
        <v>0.95075699999999996</v>
      </c>
      <c r="I2507">
        <v>286.34480000000002</v>
      </c>
      <c r="J2507">
        <v>-455.15140000000002</v>
      </c>
      <c r="K2507">
        <v>1.110997</v>
      </c>
      <c r="L2507">
        <v>286.1909</v>
      </c>
      <c r="M2507">
        <v>-0.99967010000000001</v>
      </c>
      <c r="N2507">
        <v>0</v>
      </c>
      <c r="O2507">
        <v>1.7098499999999999E-2</v>
      </c>
      <c r="P2507">
        <v>-0.99005339999999997</v>
      </c>
      <c r="Q2507">
        <v>0.12908989999999901</v>
      </c>
      <c r="R2507">
        <v>-5.5946290000000003E-2</v>
      </c>
      <c r="S2507">
        <v>-3.1554259999999998</v>
      </c>
      <c r="T2507">
        <v>-0.68162060000000002</v>
      </c>
      <c r="U2507">
        <v>0.67413330000000005</v>
      </c>
      <c r="V2507">
        <v>-7.3029789999999997E-2</v>
      </c>
      <c r="W2507">
        <v>0.14793999999999999</v>
      </c>
      <c r="X2507">
        <v>0.98629630000000001</v>
      </c>
      <c r="Y2507">
        <v>0.18839610000000001</v>
      </c>
      <c r="Z2507">
        <v>1.6288219999999999E-2</v>
      </c>
      <c r="AA2507">
        <v>0.981958</v>
      </c>
      <c r="AB2507">
        <v>32</v>
      </c>
      <c r="AC2507">
        <v>-0.41839999999996202</v>
      </c>
      <c r="AD2507">
        <v>-0.16023999999999999</v>
      </c>
      <c r="AE2507">
        <v>0.15390000000002099</v>
      </c>
      <c r="AF2507">
        <v>0.12993509910075901</v>
      </c>
      <c r="AG2507">
        <v>-0.16023999999999999</v>
      </c>
      <c r="AH2507">
        <v>0.37280581399729501</v>
      </c>
      <c r="AI2507">
        <v>112.091055265357</v>
      </c>
      <c r="AJ2507">
        <v>70.784872167774694</v>
      </c>
      <c r="AK2507">
        <v>0.42607999545685099</v>
      </c>
      <c r="AL2507">
        <v>81.4924345727039</v>
      </c>
      <c r="AM2507">
        <v>94.2347080481088</v>
      </c>
      <c r="AN2507">
        <v>0.99999999261056705</v>
      </c>
    </row>
    <row r="2508" spans="1:40" x14ac:dyDescent="0.25">
      <c r="A2508" t="str">
        <f>"20190312172939985"</f>
        <v>20190312172939985</v>
      </c>
      <c r="B2508" t="str">
        <f>"1552382979980169"</f>
        <v>1552382979980169</v>
      </c>
      <c r="C2508" t="s">
        <v>40</v>
      </c>
      <c r="D2508">
        <v>3.532511</v>
      </c>
      <c r="E2508">
        <v>0.6081685</v>
      </c>
      <c r="F2508" t="s">
        <v>42</v>
      </c>
      <c r="G2508">
        <v>-455.86130000000003</v>
      </c>
      <c r="H2508">
        <v>0.95714069999999996</v>
      </c>
      <c r="I2508">
        <v>286.34199999999998</v>
      </c>
      <c r="J2508">
        <v>-455.47559999999999</v>
      </c>
      <c r="K2508">
        <v>1.1110599999999999</v>
      </c>
      <c r="L2508">
        <v>286.19560000000001</v>
      </c>
      <c r="M2508">
        <v>-0.99969140000000001</v>
      </c>
      <c r="N2508">
        <v>0</v>
      </c>
      <c r="O2508">
        <v>1.6309870000000001E-2</v>
      </c>
      <c r="P2508">
        <v>-0.98983220000000005</v>
      </c>
      <c r="Q2508">
        <v>0.12967020000000001</v>
      </c>
      <c r="R2508">
        <v>-5.8462279999999998E-2</v>
      </c>
      <c r="S2508">
        <v>-3.157257</v>
      </c>
      <c r="T2508">
        <v>-0.68445109999999998</v>
      </c>
      <c r="U2508">
        <v>0.67056269999999996</v>
      </c>
      <c r="V2508">
        <v>-7.4804510000000005E-2</v>
      </c>
      <c r="W2508">
        <v>0.14807110000000001</v>
      </c>
      <c r="X2508">
        <v>0.98614360000000001</v>
      </c>
      <c r="Y2508">
        <v>0.18795580000000001</v>
      </c>
      <c r="Z2508">
        <v>1.6467550000000001E-2</v>
      </c>
      <c r="AA2508">
        <v>0.98203949999999995</v>
      </c>
      <c r="AB2508">
        <v>32</v>
      </c>
      <c r="AC2508">
        <v>-0.38570000000004201</v>
      </c>
      <c r="AD2508">
        <v>-0.15391929999999901</v>
      </c>
      <c r="AE2508">
        <v>0.146399999999971</v>
      </c>
      <c r="AF2508">
        <v>0.122971330537531</v>
      </c>
      <c r="AG2508">
        <v>-0.15391929999999901</v>
      </c>
      <c r="AH2508">
        <v>0.340622832799792</v>
      </c>
      <c r="AI2508">
        <v>113.026767321142</v>
      </c>
      <c r="AJ2508">
        <v>70.149452142837106</v>
      </c>
      <c r="AK2508">
        <v>0.39349334590462398</v>
      </c>
      <c r="AL2508">
        <v>81.484839361356507</v>
      </c>
      <c r="AM2508">
        <v>94.337898009811596</v>
      </c>
      <c r="AN2508">
        <v>0.999999982596254</v>
      </c>
    </row>
    <row r="2509" spans="1:40" x14ac:dyDescent="0.25">
      <c r="A2509" t="str">
        <f>"20190312172940007"</f>
        <v>20190312172940007</v>
      </c>
      <c r="B2509" t="str">
        <f>"1552382979999691"</f>
        <v>1552382979999691</v>
      </c>
      <c r="C2509" t="s">
        <v>40</v>
      </c>
      <c r="D2509">
        <v>3.438253</v>
      </c>
      <c r="E2509">
        <v>0.60844169999999997</v>
      </c>
      <c r="F2509" t="s">
        <v>42</v>
      </c>
      <c r="G2509">
        <v>-456.41609999999997</v>
      </c>
      <c r="H2509">
        <v>0.90733649999999999</v>
      </c>
      <c r="I2509">
        <v>286.39400000000001</v>
      </c>
      <c r="J2509">
        <v>-455.80059999999997</v>
      </c>
      <c r="K2509">
        <v>1.11112099999999</v>
      </c>
      <c r="L2509">
        <v>286.2</v>
      </c>
      <c r="M2509">
        <v>-0.99971509999999997</v>
      </c>
      <c r="N2509">
        <v>0</v>
      </c>
      <c r="O2509">
        <v>1.5350920000000001E-2</v>
      </c>
      <c r="P2509">
        <v>-0.98956509999999998</v>
      </c>
      <c r="Q2509">
        <v>0.13053589999999901</v>
      </c>
      <c r="R2509">
        <v>-6.1002760000000003E-2</v>
      </c>
      <c r="S2509">
        <v>-3.1598510000000002</v>
      </c>
      <c r="T2509">
        <v>-0.68458769999999902</v>
      </c>
      <c r="U2509">
        <v>0.66571040000000004</v>
      </c>
      <c r="V2509">
        <v>-7.6435359999999994E-2</v>
      </c>
      <c r="W2509">
        <v>0.1484596</v>
      </c>
      <c r="X2509">
        <v>0.98596010000000001</v>
      </c>
      <c r="Y2509">
        <v>0.18728639999999999</v>
      </c>
      <c r="Z2509">
        <v>1.6592490000000001E-2</v>
      </c>
      <c r="AA2509">
        <v>0.98216519999999996</v>
      </c>
      <c r="AB2509">
        <v>32</v>
      </c>
      <c r="AC2509">
        <v>-0.61549999999999705</v>
      </c>
      <c r="AD2509">
        <v>-0.20378449999999901</v>
      </c>
      <c r="AE2509">
        <v>0.19400000000001599</v>
      </c>
      <c r="AF2509">
        <v>0.16779564531011601</v>
      </c>
      <c r="AG2509">
        <v>-0.20378449999999901</v>
      </c>
      <c r="AH2509">
        <v>0.56233398236112697</v>
      </c>
      <c r="AI2509">
        <v>109.150095668585</v>
      </c>
      <c r="AJ2509">
        <v>73.385347142865001</v>
      </c>
      <c r="AK2509">
        <v>0.62121092130081901</v>
      </c>
      <c r="AL2509">
        <v>81.4623310553512</v>
      </c>
      <c r="AM2509">
        <v>94.432919426423098</v>
      </c>
      <c r="AN2509">
        <v>0.99999996794124901</v>
      </c>
    </row>
    <row r="2510" spans="1:40" x14ac:dyDescent="0.25">
      <c r="A2510" t="str">
        <f>"20190312172940028"</f>
        <v>20190312172940028</v>
      </c>
      <c r="B2510" t="str">
        <f>"1552382980020186"</f>
        <v>1552382980020186</v>
      </c>
      <c r="C2510" t="s">
        <v>40</v>
      </c>
      <c r="D2510">
        <v>3.3974410000000002</v>
      </c>
      <c r="E2510">
        <v>0.60867629999999995</v>
      </c>
      <c r="F2510" t="s">
        <v>42</v>
      </c>
      <c r="G2510">
        <v>-456.70690000000002</v>
      </c>
      <c r="H2510">
        <v>0.9154215</v>
      </c>
      <c r="I2510">
        <v>286.38979999999998</v>
      </c>
      <c r="J2510">
        <v>-456.11700000000002</v>
      </c>
      <c r="K2510">
        <v>1.1111679999999999</v>
      </c>
      <c r="L2510">
        <v>286.2038</v>
      </c>
      <c r="M2510">
        <v>-0.99973880000000004</v>
      </c>
      <c r="N2510">
        <v>0</v>
      </c>
      <c r="O2510">
        <v>1.4296440000000001E-2</v>
      </c>
      <c r="P2510">
        <v>-0.9892242</v>
      </c>
      <c r="Q2510">
        <v>0.131681399999999</v>
      </c>
      <c r="R2510">
        <v>-6.4001020000000006E-2</v>
      </c>
      <c r="S2510">
        <v>-3.1624759999999998</v>
      </c>
      <c r="T2510">
        <v>-0.68302609999999997</v>
      </c>
      <c r="U2510">
        <v>0.66098020000000002</v>
      </c>
      <c r="V2510">
        <v>-7.8424250000000001E-2</v>
      </c>
      <c r="W2510">
        <v>0.14914059999999901</v>
      </c>
      <c r="X2510">
        <v>0.9857011</v>
      </c>
      <c r="Y2510">
        <v>0.18676019999999999</v>
      </c>
      <c r="Z2510">
        <v>1.671183E-2</v>
      </c>
      <c r="AA2510">
        <v>0.98226340000000001</v>
      </c>
      <c r="AB2510">
        <v>32</v>
      </c>
      <c r="AC2510">
        <v>-0.58990000000005605</v>
      </c>
      <c r="AD2510">
        <v>-0.19574649999999999</v>
      </c>
      <c r="AE2510">
        <v>0.18599999999997799</v>
      </c>
      <c r="AF2510">
        <v>0.16138302890629599</v>
      </c>
      <c r="AG2510">
        <v>-0.19574649999999999</v>
      </c>
      <c r="AH2510">
        <v>0.538560320068739</v>
      </c>
      <c r="AI2510">
        <v>109.196424968065</v>
      </c>
      <c r="AJ2510">
        <v>73.318820521905593</v>
      </c>
      <c r="AK2510">
        <v>0.59532209150489501</v>
      </c>
      <c r="AL2510">
        <v>81.422873374754701</v>
      </c>
      <c r="AM2510">
        <v>94.548978602804993</v>
      </c>
      <c r="AN2510">
        <v>0.99999997004881502</v>
      </c>
    </row>
    <row r="2511" spans="1:40" x14ac:dyDescent="0.25">
      <c r="A2511" t="str">
        <f>"20190312172940050"</f>
        <v>20190312172940050</v>
      </c>
      <c r="B2511" t="str">
        <f>"1552382980039706"</f>
        <v>1552382980039706</v>
      </c>
      <c r="C2511" t="s">
        <v>40</v>
      </c>
      <c r="D2511">
        <v>3.378117</v>
      </c>
      <c r="E2511">
        <v>0.60886600000000002</v>
      </c>
      <c r="F2511" t="s">
        <v>42</v>
      </c>
      <c r="G2511">
        <v>-456.99680000000001</v>
      </c>
      <c r="H2511">
        <v>0.92209110000000005</v>
      </c>
      <c r="I2511">
        <v>286.38569999999999</v>
      </c>
      <c r="J2511">
        <v>-456.42930000000001</v>
      </c>
      <c r="K2511">
        <v>1.111218</v>
      </c>
      <c r="L2511">
        <v>286.20710000000003</v>
      </c>
      <c r="M2511">
        <v>-0.99976180000000003</v>
      </c>
      <c r="N2511">
        <v>0</v>
      </c>
      <c r="O2511">
        <v>1.3146929999999999E-2</v>
      </c>
      <c r="P2511">
        <v>-0.98886030000000003</v>
      </c>
      <c r="Q2511">
        <v>0.13292309999999999</v>
      </c>
      <c r="R2511">
        <v>-6.6984989999999994E-2</v>
      </c>
      <c r="S2511">
        <v>-3.1655579999999999</v>
      </c>
      <c r="T2511">
        <v>-0.68027850000000001</v>
      </c>
      <c r="U2511">
        <v>0.6540222</v>
      </c>
      <c r="V2511">
        <v>-8.0302750000000006E-2</v>
      </c>
      <c r="W2511">
        <v>0.14994540000000001</v>
      </c>
      <c r="X2511">
        <v>0.98542770000000002</v>
      </c>
      <c r="Y2511">
        <v>0.18566160000000001</v>
      </c>
      <c r="Z2511">
        <v>1.6760199999999999E-2</v>
      </c>
      <c r="AA2511">
        <v>0.98247079999999998</v>
      </c>
      <c r="AB2511">
        <v>32</v>
      </c>
      <c r="AC2511">
        <v>-0.56749999999999501</v>
      </c>
      <c r="AD2511">
        <v>-0.18912689999999999</v>
      </c>
      <c r="AE2511">
        <v>0.17859999999996001</v>
      </c>
      <c r="AF2511">
        <v>0.155416834281079</v>
      </c>
      <c r="AG2511">
        <v>-0.18912689999999999</v>
      </c>
      <c r="AH2511">
        <v>0.51750287695779795</v>
      </c>
      <c r="AI2511">
        <v>109.290905553977</v>
      </c>
      <c r="AJ2511">
        <v>73.2838988649588</v>
      </c>
      <c r="AK2511">
        <v>0.57247934839709302</v>
      </c>
      <c r="AL2511">
        <v>81.376237170872201</v>
      </c>
      <c r="AM2511">
        <v>94.658753216255604</v>
      </c>
      <c r="AN2511">
        <v>0.99999995328300495</v>
      </c>
    </row>
    <row r="2512" spans="1:40" x14ac:dyDescent="0.25">
      <c r="A2512" t="str">
        <f>"20190312172940072"</f>
        <v>20190312172940072</v>
      </c>
      <c r="B2512" t="str">
        <f>"1552382980069962"</f>
        <v>1552382980069962</v>
      </c>
      <c r="C2512" t="s">
        <v>40</v>
      </c>
      <c r="D2512">
        <v>3.344217</v>
      </c>
      <c r="E2512">
        <v>0.60920479999999999</v>
      </c>
      <c r="F2512" t="s">
        <v>42</v>
      </c>
      <c r="G2512">
        <v>-457.28609999999998</v>
      </c>
      <c r="H2512">
        <v>0.92782640000000005</v>
      </c>
      <c r="I2512">
        <v>286.38170000000002</v>
      </c>
      <c r="J2512">
        <v>-456.75139999999999</v>
      </c>
      <c r="K2512">
        <v>1.111283</v>
      </c>
      <c r="L2512">
        <v>286.21010000000001</v>
      </c>
      <c r="M2512">
        <v>-0.99978480000000003</v>
      </c>
      <c r="N2512">
        <v>0</v>
      </c>
      <c r="O2512">
        <v>1.184928E-2</v>
      </c>
      <c r="P2512">
        <v>-0.98844219999999905</v>
      </c>
      <c r="Q2512">
        <v>0.1339842</v>
      </c>
      <c r="R2512">
        <v>-7.0926329999999996E-2</v>
      </c>
      <c r="S2512">
        <v>-3.1687319999999999</v>
      </c>
      <c r="T2512">
        <v>-0.67829110000000004</v>
      </c>
      <c r="U2512">
        <v>0.64538569999999995</v>
      </c>
      <c r="V2512">
        <v>-8.2990999999999995E-2</v>
      </c>
      <c r="W2512">
        <v>0.15058369999999999</v>
      </c>
      <c r="X2512">
        <v>0.98510770000000003</v>
      </c>
      <c r="Y2512">
        <v>0.184201</v>
      </c>
      <c r="Z2512">
        <v>1.681939E-2</v>
      </c>
      <c r="AA2512">
        <v>0.98274470000000003</v>
      </c>
      <c r="AB2512">
        <v>32</v>
      </c>
      <c r="AC2512">
        <v>-0.53469999999998596</v>
      </c>
      <c r="AD2512">
        <v>-0.1834566</v>
      </c>
      <c r="AE2512">
        <v>0.17160000000001199</v>
      </c>
      <c r="AF2512">
        <v>0.14931529649587499</v>
      </c>
      <c r="AG2512">
        <v>-0.1834566</v>
      </c>
      <c r="AH2512">
        <v>0.484940046425055</v>
      </c>
      <c r="AI2512">
        <v>109.877814779977</v>
      </c>
      <c r="AJ2512">
        <v>72.886157465672994</v>
      </c>
      <c r="AK2512">
        <v>0.53955373270689699</v>
      </c>
      <c r="AL2512">
        <v>81.339246266926693</v>
      </c>
      <c r="AM2512">
        <v>94.815546932327706</v>
      </c>
      <c r="AN2512">
        <v>1.00000006869298</v>
      </c>
    </row>
    <row r="2513" spans="1:40" x14ac:dyDescent="0.25">
      <c r="A2513" t="str">
        <f>"20190312172940089"</f>
        <v>20190312172940089</v>
      </c>
      <c r="B2513" t="str">
        <f>"1552382980079722"</f>
        <v>1552382980079722</v>
      </c>
      <c r="C2513" t="s">
        <v>40</v>
      </c>
      <c r="D2513">
        <v>3.4318719999999998</v>
      </c>
      <c r="E2513">
        <v>0.609375</v>
      </c>
      <c r="F2513" t="s">
        <v>42</v>
      </c>
      <c r="G2513">
        <v>-457.57569999999998</v>
      </c>
      <c r="H2513">
        <v>0.93525409999999998</v>
      </c>
      <c r="I2513">
        <v>286.37540000000001</v>
      </c>
      <c r="J2513">
        <v>-456.99160000000001</v>
      </c>
      <c r="K2513">
        <v>1.1113299999999999</v>
      </c>
      <c r="L2513">
        <v>286.21190000000001</v>
      </c>
      <c r="M2513">
        <v>-0.9998013</v>
      </c>
      <c r="N2513">
        <v>0</v>
      </c>
      <c r="O2513">
        <v>1.08104E-2</v>
      </c>
      <c r="P2513">
        <v>-0.98820799999999998</v>
      </c>
      <c r="Q2513">
        <v>0.13436789999999901</v>
      </c>
      <c r="R2513">
        <v>-7.3421330000000007E-2</v>
      </c>
      <c r="S2513">
        <v>-3.1725159999999999</v>
      </c>
      <c r="T2513">
        <v>-0.67771320000000002</v>
      </c>
      <c r="U2513">
        <v>0.63497919999999997</v>
      </c>
      <c r="V2513">
        <v>-8.4482509999999997E-2</v>
      </c>
      <c r="W2513">
        <v>0.15067510000000001</v>
      </c>
      <c r="X2513">
        <v>0.98496689999999998</v>
      </c>
      <c r="Y2513">
        <v>0.18193280000000001</v>
      </c>
      <c r="Z2513">
        <v>1.6771339999999999E-2</v>
      </c>
      <c r="AA2513">
        <v>0.98316789999999998</v>
      </c>
      <c r="AB2513">
        <v>32</v>
      </c>
      <c r="AC2513">
        <v>-0.58409999999997797</v>
      </c>
      <c r="AD2513">
        <v>-0.17607589999999901</v>
      </c>
      <c r="AE2513">
        <v>0.16349999999999901</v>
      </c>
      <c r="AF2513">
        <v>0.14495969995638799</v>
      </c>
      <c r="AG2513">
        <v>-0.17607589999999901</v>
      </c>
      <c r="AH2513">
        <v>0.54030319264031601</v>
      </c>
      <c r="AI2513">
        <v>107.471510525638</v>
      </c>
      <c r="AJ2513">
        <v>74.981609018336002</v>
      </c>
      <c r="AK2513">
        <v>0.58646702989134403</v>
      </c>
      <c r="AL2513">
        <v>81.333948717511106</v>
      </c>
      <c r="AM2513">
        <v>94.902371008242</v>
      </c>
      <c r="AN2513">
        <v>1.00000003717575</v>
      </c>
    </row>
    <row r="2514" spans="1:40" x14ac:dyDescent="0.25">
      <c r="A2514" t="str">
        <f>"20190312172940107"</f>
        <v>20190312172940107</v>
      </c>
      <c r="B2514" t="str">
        <f>"1552382980100218"</f>
        <v>1552382980100218</v>
      </c>
      <c r="C2514" t="s">
        <v>40</v>
      </c>
      <c r="D2514">
        <v>3.3500220000000001</v>
      </c>
      <c r="E2514">
        <v>0.60960700000000001</v>
      </c>
      <c r="F2514" t="s">
        <v>42</v>
      </c>
      <c r="G2514">
        <v>-457.85849999999999</v>
      </c>
      <c r="H2514">
        <v>0.9264251</v>
      </c>
      <c r="I2514">
        <v>286.38380000000001</v>
      </c>
      <c r="J2514">
        <v>-457.2346</v>
      </c>
      <c r="K2514">
        <v>1.1113869999999999</v>
      </c>
      <c r="L2514">
        <v>286.21350000000001</v>
      </c>
      <c r="M2514">
        <v>-0.99981710000000001</v>
      </c>
      <c r="N2514">
        <v>0</v>
      </c>
      <c r="O2514">
        <v>9.6976890000000007E-3</v>
      </c>
      <c r="P2514">
        <v>-0.98788319999999996</v>
      </c>
      <c r="Q2514">
        <v>0.1343065</v>
      </c>
      <c r="R2514">
        <v>-7.7774029999999994E-2</v>
      </c>
      <c r="S2514">
        <v>-3.1745610000000002</v>
      </c>
      <c r="T2514">
        <v>-0.67725230000000003</v>
      </c>
      <c r="U2514">
        <v>0.62792969999999904</v>
      </c>
      <c r="V2514">
        <v>-8.7758459999999996E-2</v>
      </c>
      <c r="W2514">
        <v>0.1503282</v>
      </c>
      <c r="X2514">
        <v>0.98473339999999998</v>
      </c>
      <c r="Y2514">
        <v>0.1808119</v>
      </c>
      <c r="Z2514">
        <v>1.6868629999999999E-2</v>
      </c>
      <c r="AA2514">
        <v>0.98337300000000005</v>
      </c>
      <c r="AB2514">
        <v>32</v>
      </c>
      <c r="AC2514">
        <v>-0.62389999999999102</v>
      </c>
      <c r="AD2514">
        <v>-0.18496190000000001</v>
      </c>
      <c r="AE2514">
        <v>0.17029999999999701</v>
      </c>
      <c r="AF2514">
        <v>0.151822502817692</v>
      </c>
      <c r="AG2514">
        <v>-0.18496190000000001</v>
      </c>
      <c r="AH2514">
        <v>0.57822652770391703</v>
      </c>
      <c r="AI2514">
        <v>107.191588037961</v>
      </c>
      <c r="AJ2514">
        <v>75.288169871818695</v>
      </c>
      <c r="AK2514">
        <v>0.62578502231514499</v>
      </c>
      <c r="AL2514">
        <v>81.3540532293365</v>
      </c>
      <c r="AM2514">
        <v>95.092688871594703</v>
      </c>
      <c r="AN2514">
        <v>0.99999999204618495</v>
      </c>
    </row>
    <row r="2515" spans="1:40" x14ac:dyDescent="0.25">
      <c r="A2515" t="str">
        <f>"20190312172940129"</f>
        <v>20190312172940129</v>
      </c>
      <c r="B2515" t="str">
        <f>"1552382980119739"</f>
        <v>1552382980119739</v>
      </c>
      <c r="C2515" t="s">
        <v>40</v>
      </c>
      <c r="D2515">
        <v>3.398136</v>
      </c>
      <c r="E2515">
        <v>0.60978239999999995</v>
      </c>
      <c r="F2515" t="s">
        <v>42</v>
      </c>
      <c r="G2515">
        <v>-458.14109999999999</v>
      </c>
      <c r="H2515">
        <v>0.91792989999999997</v>
      </c>
      <c r="I2515">
        <v>286.38929999999999</v>
      </c>
      <c r="J2515">
        <v>-457.5566</v>
      </c>
      <c r="K2515">
        <v>1.111459</v>
      </c>
      <c r="L2515">
        <v>286.21499999999997</v>
      </c>
      <c r="M2515">
        <v>-0.99983639999999996</v>
      </c>
      <c r="N2515">
        <v>0</v>
      </c>
      <c r="O2515">
        <v>8.1158740000000004E-3</v>
      </c>
      <c r="P2515">
        <v>-0.98742110000000005</v>
      </c>
      <c r="Q2515">
        <v>0.1346019</v>
      </c>
      <c r="R2515">
        <v>-8.2959169999999999E-2</v>
      </c>
      <c r="S2515">
        <v>-3.1774900000000001</v>
      </c>
      <c r="T2515">
        <v>-0.67808990000000002</v>
      </c>
      <c r="U2515">
        <v>0.616394</v>
      </c>
      <c r="V2515">
        <v>-9.1413739999999993E-2</v>
      </c>
      <c r="W2515">
        <v>0.15026689999999901</v>
      </c>
      <c r="X2515">
        <v>0.98441020000000001</v>
      </c>
      <c r="Y2515">
        <v>0.1787599</v>
      </c>
      <c r="Z2515">
        <v>1.6995880000000001E-2</v>
      </c>
      <c r="AA2515">
        <v>0.98374589999999995</v>
      </c>
      <c r="AB2515">
        <v>32</v>
      </c>
      <c r="AC2515">
        <v>-0.58449999999999103</v>
      </c>
      <c r="AD2515">
        <v>-0.19352909999999901</v>
      </c>
      <c r="AE2515">
        <v>0.174300000000016</v>
      </c>
      <c r="AF2515">
        <v>0.15404163392405401</v>
      </c>
      <c r="AG2515">
        <v>-0.19352909999999901</v>
      </c>
      <c r="AH2515">
        <v>0.53230523289646003</v>
      </c>
      <c r="AI2515">
        <v>109.251169100604</v>
      </c>
      <c r="AJ2515">
        <v>73.860301618910796</v>
      </c>
      <c r="AK2515">
        <v>0.58696780022225803</v>
      </c>
      <c r="AL2515">
        <v>81.357606123734399</v>
      </c>
      <c r="AM2515">
        <v>95.305353206147004</v>
      </c>
      <c r="AN2515">
        <v>1.0000000274802101</v>
      </c>
    </row>
    <row r="2516" spans="1:40" x14ac:dyDescent="0.25">
      <c r="A2516" t="str">
        <f>"20190312172940150"</f>
        <v>20190312172940150</v>
      </c>
      <c r="B2516" t="str">
        <f>"1552382980140234"</f>
        <v>1552382980140234</v>
      </c>
      <c r="C2516" t="s">
        <v>40</v>
      </c>
      <c r="D2516">
        <v>3.591539</v>
      </c>
      <c r="E2516">
        <v>0.60847680000000004</v>
      </c>
      <c r="F2516" t="s">
        <v>42</v>
      </c>
      <c r="G2516">
        <v>-458.42989999999998</v>
      </c>
      <c r="H2516">
        <v>0.92550109999999997</v>
      </c>
      <c r="I2516">
        <v>286.38049999999998</v>
      </c>
      <c r="J2516">
        <v>-457.86739999999998</v>
      </c>
      <c r="K2516">
        <v>1.1115360000000001</v>
      </c>
      <c r="L2516">
        <v>286.21589999999998</v>
      </c>
      <c r="M2516">
        <v>-0.99985299999999999</v>
      </c>
      <c r="N2516">
        <v>0</v>
      </c>
      <c r="O2516">
        <v>6.4883959999999996E-3</v>
      </c>
      <c r="P2516">
        <v>-0.98694459999999995</v>
      </c>
      <c r="Q2516">
        <v>0.13511429999999999</v>
      </c>
      <c r="R2516">
        <v>-8.7664560000000002E-2</v>
      </c>
      <c r="S2516">
        <v>-3.1811829999999999</v>
      </c>
      <c r="T2516">
        <v>-0.67759419999999904</v>
      </c>
      <c r="U2516">
        <v>0.60150150000000002</v>
      </c>
      <c r="V2516">
        <v>-9.4545560000000001E-2</v>
      </c>
      <c r="W2516">
        <v>0.15046300000000001</v>
      </c>
      <c r="X2516">
        <v>0.98408439999999997</v>
      </c>
      <c r="Y2516">
        <v>0.17574289999999901</v>
      </c>
      <c r="Z2516">
        <v>1.6996710000000002E-2</v>
      </c>
      <c r="AA2516">
        <v>0.98428930000000003</v>
      </c>
      <c r="AB2516">
        <v>32</v>
      </c>
      <c r="AC2516">
        <v>-0.5625</v>
      </c>
      <c r="AD2516">
        <v>-0.1860349</v>
      </c>
      <c r="AE2516">
        <v>0.16460000000000699</v>
      </c>
      <c r="AF2516">
        <v>0.14621462462292101</v>
      </c>
      <c r="AG2516">
        <v>-0.1860349</v>
      </c>
      <c r="AH2516">
        <v>0.51197289740299001</v>
      </c>
      <c r="AI2516">
        <v>109.259367449268</v>
      </c>
      <c r="AJ2516">
        <v>74.061158450106205</v>
      </c>
      <c r="AK2516">
        <v>0.56400704618545705</v>
      </c>
      <c r="AL2516">
        <v>81.346241333843693</v>
      </c>
      <c r="AM2516">
        <v>95.487828238139599</v>
      </c>
      <c r="AN2516">
        <v>1.00000004180403</v>
      </c>
    </row>
    <row r="2517" spans="1:40" x14ac:dyDescent="0.25">
      <c r="A2517" t="str">
        <f>"20190312172940174"</f>
        <v>20190312172940174</v>
      </c>
      <c r="B2517" t="str">
        <f>"1552382980169514"</f>
        <v>1552382980169514</v>
      </c>
      <c r="C2517" t="s">
        <v>40</v>
      </c>
      <c r="D2517">
        <v>3.375254</v>
      </c>
      <c r="E2517">
        <v>0.50441689999999995</v>
      </c>
      <c r="F2517" t="s">
        <v>42</v>
      </c>
      <c r="G2517">
        <v>-458.71769999999998</v>
      </c>
      <c r="H2517">
        <v>0.93147429999999998</v>
      </c>
      <c r="I2517">
        <v>286.37009999999998</v>
      </c>
      <c r="J2517">
        <v>-458.19619999999998</v>
      </c>
      <c r="K2517">
        <v>1.111621</v>
      </c>
      <c r="L2517">
        <v>286.21609999999998</v>
      </c>
      <c r="M2517">
        <v>-0.99986739999999996</v>
      </c>
      <c r="N2517">
        <v>0</v>
      </c>
      <c r="O2517">
        <v>4.6581390000000004E-3</v>
      </c>
      <c r="P2517">
        <v>-0.98634339999999998</v>
      </c>
      <c r="Q2517">
        <v>0.13616320000000001</v>
      </c>
      <c r="R2517">
        <v>-9.2664330000000003E-2</v>
      </c>
      <c r="S2517">
        <v>-3.1831360000000002</v>
      </c>
      <c r="T2517">
        <v>-0.67432569999999903</v>
      </c>
      <c r="U2517">
        <v>0.57571410000000001</v>
      </c>
      <c r="V2517">
        <v>-9.7774449999999999E-2</v>
      </c>
      <c r="W2517">
        <v>0.1512068</v>
      </c>
      <c r="X2517">
        <v>0.98365469999999999</v>
      </c>
      <c r="Y2517">
        <v>0.16983989999999999</v>
      </c>
      <c r="Z2517">
        <v>1.66852999999999E-2</v>
      </c>
      <c r="AA2517">
        <v>0.98533040000000005</v>
      </c>
      <c r="AB2517">
        <v>32</v>
      </c>
      <c r="AC2517">
        <v>-0.52150000000000296</v>
      </c>
      <c r="AD2517">
        <v>-0.18014669999999899</v>
      </c>
      <c r="AE2517">
        <v>0.153999999999996</v>
      </c>
      <c r="AF2517">
        <v>0.13657834869046501</v>
      </c>
      <c r="AG2517">
        <v>-0.18014669999999899</v>
      </c>
      <c r="AH2517">
        <v>0.47056397106215098</v>
      </c>
      <c r="AI2517">
        <v>110.18638064884399</v>
      </c>
      <c r="AJ2517">
        <v>73.814948484860594</v>
      </c>
      <c r="AK2517">
        <v>0.52205069649765401</v>
      </c>
      <c r="AL2517">
        <v>81.303130744591897</v>
      </c>
      <c r="AM2517">
        <v>95.676506312563305</v>
      </c>
      <c r="AN2517">
        <v>0.99999995413556497</v>
      </c>
    </row>
    <row r="2518" spans="1:40" x14ac:dyDescent="0.25">
      <c r="A2518" t="str">
        <f>"20190312172940195"</f>
        <v>20190312172940195</v>
      </c>
      <c r="B2518" t="str">
        <f>"1552382980190010"</f>
        <v>1552382980190010</v>
      </c>
      <c r="C2518" t="s">
        <v>40</v>
      </c>
      <c r="D2518">
        <v>3.291687</v>
      </c>
      <c r="E2518">
        <v>0.48486679999999999</v>
      </c>
      <c r="F2518" t="s">
        <v>47</v>
      </c>
      <c r="G2518">
        <v>-466.97030000000001</v>
      </c>
      <c r="H2518" s="1">
        <v>2.135105E-6</v>
      </c>
      <c r="I2518">
        <v>285.47050000000002</v>
      </c>
      <c r="J2518">
        <v>-458.51119999999997</v>
      </c>
      <c r="K2518">
        <v>1.111704</v>
      </c>
      <c r="L2518">
        <v>286.2158</v>
      </c>
      <c r="M2518">
        <v>-0.99987780000000004</v>
      </c>
      <c r="N2518">
        <v>0</v>
      </c>
      <c r="O2518">
        <v>2.7957920000000001E-3</v>
      </c>
      <c r="P2518">
        <v>-0.98585500000000004</v>
      </c>
      <c r="Q2518">
        <v>0.13649919999999999</v>
      </c>
      <c r="R2518">
        <v>-9.7251340000000006E-2</v>
      </c>
      <c r="S2518">
        <v>-3.07077</v>
      </c>
      <c r="T2518">
        <v>-0.38904830000000001</v>
      </c>
      <c r="U2518">
        <v>-0.26095580000000002</v>
      </c>
      <c r="V2518">
        <v>-0.1005576</v>
      </c>
      <c r="W2518">
        <v>0.15128129999999901</v>
      </c>
      <c r="X2518">
        <v>0.98336270000000003</v>
      </c>
      <c r="Y2518">
        <v>-8.6750369999999993E-2</v>
      </c>
      <c r="Z2518">
        <v>-5.8159960000000004E-3</v>
      </c>
      <c r="AA2518">
        <v>0.99621309999999996</v>
      </c>
      <c r="AB2518">
        <v>32</v>
      </c>
      <c r="AC2518">
        <v>-8.4591000000000296</v>
      </c>
      <c r="AD2518">
        <v>-1.1117018648949999</v>
      </c>
      <c r="AE2518">
        <v>-0.74529999999998597</v>
      </c>
      <c r="AF2518">
        <v>-0.75599325998612998</v>
      </c>
      <c r="AG2518">
        <v>-1.1117018648949999</v>
      </c>
      <c r="AH2518">
        <v>8.31448606368693</v>
      </c>
      <c r="AI2518">
        <v>97.584735027309307</v>
      </c>
      <c r="AJ2518">
        <v>95.1953234903865</v>
      </c>
      <c r="AK2518">
        <v>8.4224750132487607</v>
      </c>
      <c r="AL2518">
        <v>81.298813209828097</v>
      </c>
      <c r="AM2518">
        <v>95.838708958690503</v>
      </c>
      <c r="AN2518">
        <v>1.00000003119936</v>
      </c>
    </row>
    <row r="2519" spans="1:40" x14ac:dyDescent="0.25">
      <c r="A2519" t="str">
        <f>"20190312172940218"</f>
        <v>20190312172940218</v>
      </c>
      <c r="B2519" t="str">
        <f>"1552382980209530"</f>
        <v>1552382980209530</v>
      </c>
      <c r="C2519" t="s">
        <v>40</v>
      </c>
      <c r="D2519">
        <v>3.3670420000000001</v>
      </c>
      <c r="E2519">
        <v>0.4748021</v>
      </c>
      <c r="F2519" t="s">
        <v>47</v>
      </c>
      <c r="G2519">
        <v>-468.83339999999998</v>
      </c>
      <c r="H2519" s="1">
        <v>3.157446E-6</v>
      </c>
      <c r="I2519">
        <v>284.76369999999997</v>
      </c>
      <c r="J2519">
        <v>-458.82159999999999</v>
      </c>
      <c r="K2519">
        <v>1.1117859999999999</v>
      </c>
      <c r="L2519">
        <v>286.21469999999999</v>
      </c>
      <c r="M2519">
        <v>-0.99988440000000001</v>
      </c>
      <c r="N2519">
        <v>0</v>
      </c>
      <c r="O2519">
        <v>8.5121199999999995E-4</v>
      </c>
      <c r="P2519">
        <v>-0.98535950000000005</v>
      </c>
      <c r="Q2519">
        <v>0.13671079999999999</v>
      </c>
      <c r="R2519">
        <v>-0.1018676</v>
      </c>
      <c r="S2519">
        <v>-3.046173</v>
      </c>
      <c r="T2519">
        <v>-0.32807309999999901</v>
      </c>
      <c r="U2519">
        <v>-0.42852780000000001</v>
      </c>
      <c r="V2519">
        <v>-0.1032903</v>
      </c>
      <c r="W2519">
        <v>0.15125910000000001</v>
      </c>
      <c r="X2519">
        <v>0.98308280000000003</v>
      </c>
      <c r="Y2519">
        <v>-0.13935359999999999</v>
      </c>
      <c r="Z2519">
        <v>-7.537195E-3</v>
      </c>
      <c r="AA2519">
        <v>0.99021400000000004</v>
      </c>
      <c r="AB2519">
        <v>32</v>
      </c>
      <c r="AC2519">
        <v>-10.0117999999999</v>
      </c>
      <c r="AD2519">
        <v>-1.111782842554</v>
      </c>
      <c r="AE2519">
        <v>-1.4510000000000201</v>
      </c>
      <c r="AF2519">
        <v>-1.44210515691455</v>
      </c>
      <c r="AG2519">
        <v>-1.111782842554</v>
      </c>
      <c r="AH2519">
        <v>9.8910983712384599</v>
      </c>
      <c r="AI2519">
        <v>96.3467168593602</v>
      </c>
      <c r="AJ2519">
        <v>98.295178529572397</v>
      </c>
      <c r="AK2519">
        <v>10.057313526092001</v>
      </c>
      <c r="AL2519">
        <v>81.300099679757906</v>
      </c>
      <c r="AM2519">
        <v>95.997932504492397</v>
      </c>
      <c r="AN2519">
        <v>0.99999999653136995</v>
      </c>
    </row>
    <row r="2520" spans="1:40" x14ac:dyDescent="0.25">
      <c r="A2520" t="str">
        <f>"20190312172940240"</f>
        <v>20190312172940240</v>
      </c>
      <c r="B2520" t="str">
        <f>"1552382980230026"</f>
        <v>1552382980230026</v>
      </c>
      <c r="C2520" t="s">
        <v>40</v>
      </c>
      <c r="D2520">
        <v>3.233482</v>
      </c>
      <c r="E2520">
        <v>0.46996949999999998</v>
      </c>
      <c r="F2520" t="s">
        <v>46</v>
      </c>
      <c r="G2520">
        <v>-470.12939999999998</v>
      </c>
      <c r="H2520" s="1">
        <v>6.526273E-6</v>
      </c>
      <c r="I2520">
        <v>284.2679</v>
      </c>
      <c r="J2520">
        <v>-459.14299999999997</v>
      </c>
      <c r="K2520">
        <v>1.1118729999999999</v>
      </c>
      <c r="L2520">
        <v>286.21280000000002</v>
      </c>
      <c r="M2520">
        <v>-0.99988659999999996</v>
      </c>
      <c r="N2520">
        <v>0</v>
      </c>
      <c r="O2520">
        <v>-1.2746719999999999E-3</v>
      </c>
      <c r="P2520">
        <v>-0.98477769999999998</v>
      </c>
      <c r="Q2520">
        <v>0.13792099999999999</v>
      </c>
      <c r="R2520">
        <v>-0.1057877</v>
      </c>
      <c r="S2520">
        <v>-3.031952</v>
      </c>
      <c r="T2520">
        <v>-0.29809989999999997</v>
      </c>
      <c r="U2520">
        <v>-0.52197269999999996</v>
      </c>
      <c r="V2520">
        <v>-0.1051551</v>
      </c>
      <c r="W2520">
        <v>0.1522531</v>
      </c>
      <c r="X2520">
        <v>0.98273160000000004</v>
      </c>
      <c r="Y2520">
        <v>-0.16762589999999999</v>
      </c>
      <c r="Z2520">
        <v>-8.0368980000000007E-3</v>
      </c>
      <c r="AA2520">
        <v>0.98581790000000002</v>
      </c>
      <c r="AB2520">
        <v>32</v>
      </c>
      <c r="AC2520">
        <v>-10.9863999999999</v>
      </c>
      <c r="AD2520">
        <v>-1.1118664737270001</v>
      </c>
      <c r="AE2520">
        <v>-1.9449000000000101</v>
      </c>
      <c r="AF2520">
        <v>-1.91190564799677</v>
      </c>
      <c r="AG2520">
        <v>-1.1118664737270001</v>
      </c>
      <c r="AH2520">
        <v>10.880813087802601</v>
      </c>
      <c r="AI2520">
        <v>95.747128470679698</v>
      </c>
      <c r="AJ2520">
        <v>99.965905946036003</v>
      </c>
      <c r="AK2520">
        <v>11.1033203913936</v>
      </c>
      <c r="AL2520">
        <v>81.242480349993997</v>
      </c>
      <c r="AM2520">
        <v>96.107573710832099</v>
      </c>
      <c r="AN2520">
        <v>0.99999999957708996</v>
      </c>
    </row>
    <row r="2521" spans="1:40" x14ac:dyDescent="0.25">
      <c r="A2521" t="str">
        <f>"20190312172940263"</f>
        <v>20190312172940263</v>
      </c>
      <c r="B2521" t="str">
        <f>"1552382980260283"</f>
        <v>1552382980260283</v>
      </c>
      <c r="C2521" t="s">
        <v>40</v>
      </c>
      <c r="D2521">
        <v>3.286699</v>
      </c>
      <c r="E2521">
        <v>0.46562959999999898</v>
      </c>
      <c r="F2521" t="s">
        <v>46</v>
      </c>
      <c r="G2521">
        <v>-470.73360000000002</v>
      </c>
      <c r="H2521" s="1">
        <v>6.2364820000000003E-6</v>
      </c>
      <c r="I2521">
        <v>284.0179</v>
      </c>
      <c r="J2521">
        <v>-459.45740000000001</v>
      </c>
      <c r="K2521">
        <v>1.111964</v>
      </c>
      <c r="L2521">
        <v>286.21019999999999</v>
      </c>
      <c r="M2521">
        <v>-0.99988379999999999</v>
      </c>
      <c r="N2521">
        <v>0</v>
      </c>
      <c r="O2521">
        <v>-3.4674609999999998E-3</v>
      </c>
      <c r="P2521">
        <v>-0.98421709999999996</v>
      </c>
      <c r="Q2521">
        <v>0.13886950000000001</v>
      </c>
      <c r="R2521">
        <v>-0.1096917</v>
      </c>
      <c r="S2521">
        <v>-3.025452</v>
      </c>
      <c r="T2521">
        <v>-0.29022629999999999</v>
      </c>
      <c r="U2521">
        <v>-0.57293700000000003</v>
      </c>
      <c r="V2521">
        <v>-0.1069403</v>
      </c>
      <c r="W2521">
        <v>0.15301139999999999</v>
      </c>
      <c r="X2521">
        <v>0.98242119999999999</v>
      </c>
      <c r="Y2521">
        <v>-0.18186649999999999</v>
      </c>
      <c r="Z2521">
        <v>-8.2979790000000005E-3</v>
      </c>
      <c r="AA2521">
        <v>0.98328819999999995</v>
      </c>
      <c r="AB2521">
        <v>32</v>
      </c>
      <c r="AC2521">
        <v>-11.276199999999999</v>
      </c>
      <c r="AD2521">
        <v>-1.111957763518</v>
      </c>
      <c r="AE2521">
        <v>-2.1922999999999799</v>
      </c>
      <c r="AF2521">
        <v>-2.1331947630938299</v>
      </c>
      <c r="AG2521">
        <v>-1.111957763518</v>
      </c>
      <c r="AH2521">
        <v>11.178988012709</v>
      </c>
      <c r="AI2521">
        <v>95.580404989646098</v>
      </c>
      <c r="AJ2521">
        <v>100.803406068144</v>
      </c>
      <c r="AK2521">
        <v>11.4348914709949</v>
      </c>
      <c r="AL2521">
        <v>81.198518435682004</v>
      </c>
      <c r="AM2521">
        <v>96.212404252181997</v>
      </c>
      <c r="AN2521">
        <v>1.00000006525174</v>
      </c>
    </row>
    <row r="2522" spans="1:40" x14ac:dyDescent="0.25">
      <c r="A2522" t="str">
        <f>"20190312172940286"</f>
        <v>20190312172940286</v>
      </c>
      <c r="B2522" t="str">
        <f>"1552382980279803"</f>
        <v>1552382980279803</v>
      </c>
      <c r="C2522" t="s">
        <v>40</v>
      </c>
      <c r="D2522">
        <v>3.3064170000000002</v>
      </c>
      <c r="E2522">
        <v>0.46412890000000001</v>
      </c>
      <c r="F2522" t="s">
        <v>46</v>
      </c>
      <c r="G2522">
        <v>-471.7869</v>
      </c>
      <c r="H2522" s="1">
        <v>5.7394929999999999E-6</v>
      </c>
      <c r="I2522">
        <v>283.67619999999999</v>
      </c>
      <c r="J2522">
        <v>-459.78640000000001</v>
      </c>
      <c r="K2522">
        <v>1.1120589999999999</v>
      </c>
      <c r="L2522">
        <v>286.20659999999998</v>
      </c>
      <c r="M2522">
        <v>-0.9998745</v>
      </c>
      <c r="N2522">
        <v>0</v>
      </c>
      <c r="O2522">
        <v>-5.8950299999999999E-3</v>
      </c>
      <c r="P2522">
        <v>-0.98368120000000003</v>
      </c>
      <c r="Q2522">
        <v>0.13920550000000001</v>
      </c>
      <c r="R2522">
        <v>-0.1139887</v>
      </c>
      <c r="S2522">
        <v>-3.0174259999999999</v>
      </c>
      <c r="T2522">
        <v>-0.27213100000000001</v>
      </c>
      <c r="U2522">
        <v>-0.62014769999999997</v>
      </c>
      <c r="V2522">
        <v>-0.1088884</v>
      </c>
      <c r="W2522">
        <v>0.1531711</v>
      </c>
      <c r="X2522">
        <v>0.98218220000000001</v>
      </c>
      <c r="Y2522">
        <v>-0.19480049999999999</v>
      </c>
      <c r="Z2522">
        <v>-8.1511699999999992E-3</v>
      </c>
      <c r="AA2522">
        <v>0.98080900000000004</v>
      </c>
      <c r="AB2522">
        <v>32</v>
      </c>
      <c r="AC2522">
        <v>-12.000499999999899</v>
      </c>
      <c r="AD2522">
        <v>-1.1120532605069999</v>
      </c>
      <c r="AE2522">
        <v>-2.5303999999999802</v>
      </c>
      <c r="AF2522">
        <v>-2.4395478981768099</v>
      </c>
      <c r="AG2522">
        <v>-1.1120532605069999</v>
      </c>
      <c r="AH2522">
        <v>11.917230252441801</v>
      </c>
      <c r="AI2522">
        <v>95.223399981262304</v>
      </c>
      <c r="AJ2522">
        <v>101.569049035769</v>
      </c>
      <c r="AK2522">
        <v>12.2150903922737</v>
      </c>
      <c r="AL2522">
        <v>81.189258322131593</v>
      </c>
      <c r="AM2522">
        <v>96.3261913487284</v>
      </c>
      <c r="AN2522">
        <v>0.99999997176330402</v>
      </c>
    </row>
    <row r="2523" spans="1:40" x14ac:dyDescent="0.25">
      <c r="A2523" t="str">
        <f>"20190312172940308"</f>
        <v>20190312172940308</v>
      </c>
      <c r="B2523" t="str">
        <f>"1552382980300299"</f>
        <v>1552382980300299</v>
      </c>
      <c r="C2523" t="s">
        <v>40</v>
      </c>
      <c r="D2523">
        <v>3.3335349999999999</v>
      </c>
      <c r="E2523">
        <v>0.46288410000000002</v>
      </c>
      <c r="F2523" t="s">
        <v>46</v>
      </c>
      <c r="G2523">
        <v>-472.21140000000003</v>
      </c>
      <c r="H2523" s="1">
        <v>5.5397119999999898E-6</v>
      </c>
      <c r="I2523">
        <v>283.54430000000002</v>
      </c>
      <c r="J2523">
        <v>-460.09429999999998</v>
      </c>
      <c r="K2523">
        <v>1.1121460000000001</v>
      </c>
      <c r="L2523">
        <v>286.20229999999998</v>
      </c>
      <c r="M2523">
        <v>-0.99985930000000001</v>
      </c>
      <c r="N2523">
        <v>0</v>
      </c>
      <c r="O2523">
        <v>-8.2787039999999996E-3</v>
      </c>
      <c r="P2523">
        <v>-0.98322909999999997</v>
      </c>
      <c r="Q2523">
        <v>0.13874520000000001</v>
      </c>
      <c r="R2523">
        <v>-0.11836679999999999</v>
      </c>
      <c r="S2523">
        <v>-3.0130919999999999</v>
      </c>
      <c r="T2523">
        <v>-0.26967529999999901</v>
      </c>
      <c r="U2523">
        <v>-0.64562989999999998</v>
      </c>
      <c r="V2523">
        <v>-0.1109562</v>
      </c>
      <c r="W2523">
        <v>0.1525618</v>
      </c>
      <c r="X2523">
        <v>0.98204570000000002</v>
      </c>
      <c r="Y2523">
        <v>-0.2006809</v>
      </c>
      <c r="Z2523">
        <v>-8.1315409999999904E-3</v>
      </c>
      <c r="AA2523">
        <v>0.97962289999999996</v>
      </c>
      <c r="AB2523">
        <v>32</v>
      </c>
      <c r="AC2523">
        <v>-12.117100000000001</v>
      </c>
      <c r="AD2523">
        <v>-1.1121404602879901</v>
      </c>
      <c r="AE2523">
        <v>-2.6579999999999502</v>
      </c>
      <c r="AF2523">
        <v>-2.5371920964175301</v>
      </c>
      <c r="AG2523">
        <v>-1.1121404602879901</v>
      </c>
      <c r="AH2523">
        <v>12.0419070956565</v>
      </c>
      <c r="AI2523">
        <v>95.163888458188893</v>
      </c>
      <c r="AJ2523">
        <v>101.898014855238</v>
      </c>
      <c r="AK2523">
        <v>12.356444741022999</v>
      </c>
      <c r="AL2523">
        <v>81.224584688089806</v>
      </c>
      <c r="AM2523">
        <v>96.446212954154305</v>
      </c>
      <c r="AN2523">
        <v>1.0000000690130799</v>
      </c>
    </row>
    <row r="2524" spans="1:40" x14ac:dyDescent="0.25">
      <c r="A2524" t="str">
        <f>"20190312172940330"</f>
        <v>20190312172940330</v>
      </c>
      <c r="B2524" t="str">
        <f>"1552382980319818"</f>
        <v>1552382980319818</v>
      </c>
      <c r="C2524" t="s">
        <v>40</v>
      </c>
      <c r="D2524">
        <v>3.3487089999999902</v>
      </c>
      <c r="E2524">
        <v>0.46192090000000002</v>
      </c>
      <c r="F2524" t="s">
        <v>46</v>
      </c>
      <c r="G2524">
        <v>-472.43079999999998</v>
      </c>
      <c r="H2524" s="1">
        <v>5.4351879999999997E-6</v>
      </c>
      <c r="I2524">
        <v>283.46170000000001</v>
      </c>
      <c r="J2524">
        <v>-460.41559999999998</v>
      </c>
      <c r="K2524">
        <v>1.1122289999999999</v>
      </c>
      <c r="L2524">
        <v>286.197</v>
      </c>
      <c r="M2524">
        <v>-0.99983599999999995</v>
      </c>
      <c r="N2524">
        <v>0</v>
      </c>
      <c r="O2524">
        <v>-1.0865379999999999E-2</v>
      </c>
      <c r="P2524">
        <v>-0.98265029999999998</v>
      </c>
      <c r="Q2524">
        <v>0.13883280000000001</v>
      </c>
      <c r="R2524">
        <v>-0.12297859999999999</v>
      </c>
      <c r="S2524">
        <v>-3.008972</v>
      </c>
      <c r="T2524">
        <v>-0.27125899999999997</v>
      </c>
      <c r="U2524">
        <v>-0.66845699999999997</v>
      </c>
      <c r="V2524">
        <v>-0.1130608</v>
      </c>
      <c r="W2524">
        <v>0.15250999999999901</v>
      </c>
      <c r="X2524">
        <v>0.98181359999999995</v>
      </c>
      <c r="Y2524">
        <v>-0.20549510000000001</v>
      </c>
      <c r="Z2524">
        <v>-8.1676549999999994E-3</v>
      </c>
      <c r="AA2524">
        <v>0.97862400000000005</v>
      </c>
      <c r="AB2524">
        <v>32</v>
      </c>
      <c r="AC2524">
        <v>-12.015199999999901</v>
      </c>
      <c r="AD2524">
        <v>-1.112223564812</v>
      </c>
      <c r="AE2524">
        <v>-2.7352999999999899</v>
      </c>
      <c r="AF2524">
        <v>-2.5835280231630899</v>
      </c>
      <c r="AG2524">
        <v>-1.112223564812</v>
      </c>
      <c r="AH2524">
        <v>11.9468868602674</v>
      </c>
      <c r="AI2524">
        <v>95.1992548753758</v>
      </c>
      <c r="AJ2524">
        <v>102.202380882512</v>
      </c>
      <c r="AK2524">
        <v>12.2735391781109</v>
      </c>
      <c r="AL2524">
        <v>81.227587095777096</v>
      </c>
      <c r="AM2524">
        <v>96.5689643373547</v>
      </c>
      <c r="AN2524">
        <v>0.99999999487079905</v>
      </c>
    </row>
    <row r="2525" spans="1:40" x14ac:dyDescent="0.25">
      <c r="A2525" t="str">
        <f>"20190312172940352"</f>
        <v>20190312172940352</v>
      </c>
      <c r="B2525" t="str">
        <f>"1552382980340314"</f>
        <v>1552382980340314</v>
      </c>
      <c r="C2525" t="s">
        <v>40</v>
      </c>
      <c r="D2525">
        <v>3.478872</v>
      </c>
      <c r="E2525">
        <v>0.46133760000000001</v>
      </c>
      <c r="F2525" t="s">
        <v>46</v>
      </c>
      <c r="G2525">
        <v>-472.92700000000002</v>
      </c>
      <c r="H2525" s="1">
        <v>5.203191E-6</v>
      </c>
      <c r="I2525">
        <v>283.32479999999998</v>
      </c>
      <c r="J2525">
        <v>-460.7217</v>
      </c>
      <c r="K2525">
        <v>1.1123000000000001</v>
      </c>
      <c r="L2525">
        <v>286.19110000000001</v>
      </c>
      <c r="M2525">
        <v>-0.99980610000000003</v>
      </c>
      <c r="N2525">
        <v>0</v>
      </c>
      <c r="O2525">
        <v>-1.342518E-2</v>
      </c>
      <c r="P2525">
        <v>-0.98201700000000003</v>
      </c>
      <c r="Q2525">
        <v>0.13964860000000001</v>
      </c>
      <c r="R2525">
        <v>-0.1270472</v>
      </c>
      <c r="S2525">
        <v>-3.0043639999999998</v>
      </c>
      <c r="T2525">
        <v>-0.26707700000000001</v>
      </c>
      <c r="U2525">
        <v>-0.68969729999999996</v>
      </c>
      <c r="V2525">
        <v>-0.11465210000000001</v>
      </c>
      <c r="W2525">
        <v>0.15320739999999999</v>
      </c>
      <c r="X2525">
        <v>0.98152050000000002</v>
      </c>
      <c r="Y2525">
        <v>-0.20990329999999999</v>
      </c>
      <c r="Z2525">
        <v>-8.0170469999999994E-3</v>
      </c>
      <c r="AA2525">
        <v>0.97768929999999998</v>
      </c>
      <c r="AB2525">
        <v>32</v>
      </c>
      <c r="AC2525">
        <v>-12.2052999999999</v>
      </c>
      <c r="AD2525">
        <v>-1.112294796809</v>
      </c>
      <c r="AE2525">
        <v>-2.8663000000000198</v>
      </c>
      <c r="AF2525">
        <v>-2.6810636849424299</v>
      </c>
      <c r="AG2525">
        <v>-1.112294796809</v>
      </c>
      <c r="AH2525">
        <v>12.147075046191301</v>
      </c>
      <c r="AI2525">
        <v>95.109618048375594</v>
      </c>
      <c r="AJ2525">
        <v>102.446586922688</v>
      </c>
      <c r="AK2525">
        <v>12.489064591695</v>
      </c>
      <c r="AL2525">
        <v>81.187154353421604</v>
      </c>
      <c r="AM2525">
        <v>96.662566787520703</v>
      </c>
      <c r="AN2525">
        <v>1.0000000516847001</v>
      </c>
    </row>
    <row r="2526" spans="1:40" x14ac:dyDescent="0.25">
      <c r="A2526" t="str">
        <f>"20190312172940375"</f>
        <v>20190312172940375</v>
      </c>
      <c r="B2526" t="str">
        <f>"1552382980369595"</f>
        <v>1552382980369595</v>
      </c>
      <c r="C2526" t="s">
        <v>40</v>
      </c>
      <c r="D2526">
        <v>3.324265</v>
      </c>
      <c r="E2526">
        <v>0.46046310000000001</v>
      </c>
      <c r="F2526" t="s">
        <v>46</v>
      </c>
      <c r="G2526">
        <v>-473.39269999999999</v>
      </c>
      <c r="H2526" s="1">
        <v>4.986176E-6</v>
      </c>
      <c r="I2526">
        <v>283.20479999999998</v>
      </c>
      <c r="J2526">
        <v>-461.04880000000003</v>
      </c>
      <c r="K2526">
        <v>1.112379</v>
      </c>
      <c r="L2526">
        <v>286.18380000000002</v>
      </c>
      <c r="M2526">
        <v>-0.99976520000000002</v>
      </c>
      <c r="N2526">
        <v>0</v>
      </c>
      <c r="O2526">
        <v>-1.6265640000000001E-2</v>
      </c>
      <c r="P2526">
        <v>-0.98135779999999995</v>
      </c>
      <c r="Q2526">
        <v>0.13994589999999901</v>
      </c>
      <c r="R2526">
        <v>-0.1317286</v>
      </c>
      <c r="S2526">
        <v>-3.0009160000000001</v>
      </c>
      <c r="T2526">
        <v>-0.26342789999999999</v>
      </c>
      <c r="U2526">
        <v>-0.70724489999999995</v>
      </c>
      <c r="V2526">
        <v>-0.116581</v>
      </c>
      <c r="W2526">
        <v>0.15338929999999901</v>
      </c>
      <c r="X2526">
        <v>0.98126480000000005</v>
      </c>
      <c r="Y2526">
        <v>-0.21281259999999999</v>
      </c>
      <c r="Z2526">
        <v>-7.7920269999999896E-3</v>
      </c>
      <c r="AA2526">
        <v>0.97706199999999999</v>
      </c>
      <c r="AB2526">
        <v>32</v>
      </c>
      <c r="AC2526">
        <v>-12.3438999999999</v>
      </c>
      <c r="AD2526">
        <v>-1.1123740138239999</v>
      </c>
      <c r="AE2526">
        <v>-2.9790000000000401</v>
      </c>
      <c r="AF2526">
        <v>-2.7566497526166098</v>
      </c>
      <c r="AG2526">
        <v>-1.1123740138239999</v>
      </c>
      <c r="AH2526">
        <v>12.296366779801099</v>
      </c>
      <c r="AI2526">
        <v>95.044572062361297</v>
      </c>
      <c r="AJ2526">
        <v>102.63587991909399</v>
      </c>
      <c r="AK2526">
        <v>12.650578239299101</v>
      </c>
      <c r="AL2526">
        <v>81.176607193790701</v>
      </c>
      <c r="AM2526">
        <v>96.775373073054695</v>
      </c>
      <c r="AN2526">
        <v>1.0000000073172599</v>
      </c>
    </row>
    <row r="2527" spans="1:40" x14ac:dyDescent="0.25">
      <c r="A2527" t="str">
        <f>"20190312172940397"</f>
        <v>20190312172940397</v>
      </c>
      <c r="B2527" t="str">
        <f>"1552382980390090"</f>
        <v>1552382980390090</v>
      </c>
      <c r="C2527" t="s">
        <v>40</v>
      </c>
      <c r="D2527">
        <v>3.1797140000000002</v>
      </c>
      <c r="E2527">
        <v>0.46028160000000001</v>
      </c>
      <c r="F2527" t="s">
        <v>46</v>
      </c>
      <c r="G2527">
        <v>-473.93029999999999</v>
      </c>
      <c r="H2527" s="1">
        <v>4.7343419999999996E-6</v>
      </c>
      <c r="I2527">
        <v>283.05110000000002</v>
      </c>
      <c r="J2527">
        <v>-461.3603</v>
      </c>
      <c r="K2527">
        <v>1.112457</v>
      </c>
      <c r="L2527">
        <v>286.17590000000001</v>
      </c>
      <c r="M2527">
        <v>-0.99971650000000001</v>
      </c>
      <c r="N2527">
        <v>0</v>
      </c>
      <c r="O2527">
        <v>-1.9069949999999999E-2</v>
      </c>
      <c r="P2527">
        <v>-0.98065910000000001</v>
      </c>
      <c r="Q2527">
        <v>0.1403374</v>
      </c>
      <c r="R2527">
        <v>-0.13642969999999999</v>
      </c>
      <c r="S2527">
        <v>-2.9960939999999998</v>
      </c>
      <c r="T2527">
        <v>-0.2587255</v>
      </c>
      <c r="U2527">
        <v>-0.72863769999999894</v>
      </c>
      <c r="V2527">
        <v>-0.1185682</v>
      </c>
      <c r="W2527">
        <v>0.15367910000000001</v>
      </c>
      <c r="X2527">
        <v>0.98098129999999994</v>
      </c>
      <c r="Y2527">
        <v>-0.2170386</v>
      </c>
      <c r="Z2527">
        <v>-7.6006650000000004E-3</v>
      </c>
      <c r="AA2527">
        <v>0.97613349999999999</v>
      </c>
      <c r="AB2527">
        <v>32</v>
      </c>
      <c r="AC2527">
        <v>-12.569999999999901</v>
      </c>
      <c r="AD2527">
        <v>-1.112452265658</v>
      </c>
      <c r="AE2527">
        <v>-3.1247999999999898</v>
      </c>
      <c r="AF2527">
        <v>-2.8633763141337898</v>
      </c>
      <c r="AG2527">
        <v>-1.112452265658</v>
      </c>
      <c r="AH2527">
        <v>12.5348462498789</v>
      </c>
      <c r="AI2527">
        <v>94.944922027926097</v>
      </c>
      <c r="AJ2527">
        <v>102.867480184215</v>
      </c>
      <c r="AK2527">
        <v>12.9057678759465</v>
      </c>
      <c r="AL2527">
        <v>81.159803554392994</v>
      </c>
      <c r="AM2527">
        <v>96.891734803006401</v>
      </c>
      <c r="AN2527">
        <v>0.99999999738886902</v>
      </c>
    </row>
    <row r="2528" spans="1:40" x14ac:dyDescent="0.25">
      <c r="A2528" t="str">
        <f>"20190312172940419"</f>
        <v>20190312172940419</v>
      </c>
      <c r="B2528" t="str">
        <f>"1552382980409610"</f>
        <v>1552382980409610</v>
      </c>
      <c r="C2528" t="s">
        <v>40</v>
      </c>
      <c r="D2528">
        <v>3.1897720000000001</v>
      </c>
      <c r="E2528">
        <v>0.46012720000000001</v>
      </c>
      <c r="F2528" t="s">
        <v>46</v>
      </c>
      <c r="G2528">
        <v>-474.21699999999998</v>
      </c>
      <c r="H2528" s="1">
        <v>4.6006719999999999E-6</v>
      </c>
      <c r="I2528">
        <v>282.97649999999999</v>
      </c>
      <c r="J2528">
        <v>-461.6712</v>
      </c>
      <c r="K2528">
        <v>1.112536</v>
      </c>
      <c r="L2528">
        <v>286.16699999999997</v>
      </c>
      <c r="M2528">
        <v>-0.99965789999999999</v>
      </c>
      <c r="N2528">
        <v>0</v>
      </c>
      <c r="O2528">
        <v>-2.196766E-2</v>
      </c>
      <c r="P2528">
        <v>-0.97994049999999999</v>
      </c>
      <c r="Q2528">
        <v>0.1403237</v>
      </c>
      <c r="R2528">
        <v>-0.1415141</v>
      </c>
      <c r="S2528">
        <v>-2.9926149999999998</v>
      </c>
      <c r="T2528">
        <v>-0.25894129999999999</v>
      </c>
      <c r="U2528">
        <v>-0.74472050000000001</v>
      </c>
      <c r="V2528">
        <v>-0.120848</v>
      </c>
      <c r="W2528">
        <v>0.15356979999999901</v>
      </c>
      <c r="X2528">
        <v>0.98072020000000004</v>
      </c>
      <c r="Y2528">
        <v>-0.2194159</v>
      </c>
      <c r="Z2528">
        <v>-7.4657009999999999E-3</v>
      </c>
      <c r="AA2528">
        <v>0.97560290000000005</v>
      </c>
      <c r="AB2528">
        <v>32</v>
      </c>
      <c r="AC2528">
        <v>-12.5457999999999</v>
      </c>
      <c r="AD2528">
        <v>-1.1125313993279999</v>
      </c>
      <c r="AE2528">
        <v>-3.1905000000000401</v>
      </c>
      <c r="AF2528">
        <v>-2.89273442284028</v>
      </c>
      <c r="AG2528">
        <v>-1.1125313993279999</v>
      </c>
      <c r="AH2528">
        <v>12.5203906205191</v>
      </c>
      <c r="AI2528">
        <v>94.948149833879199</v>
      </c>
      <c r="AJ2528">
        <v>103.009446982654</v>
      </c>
      <c r="AK2528">
        <v>12.898287477256799</v>
      </c>
      <c r="AL2528">
        <v>81.166141386891894</v>
      </c>
      <c r="AM2528">
        <v>97.024787434965901</v>
      </c>
      <c r="AN2528">
        <v>1.00000001663204</v>
      </c>
    </row>
    <row r="2529" spans="1:40" x14ac:dyDescent="0.25">
      <c r="A2529" t="str">
        <f>"20190312172940441"</f>
        <v>20190312172940441</v>
      </c>
      <c r="B2529" t="str">
        <f>"1552382980430107"</f>
        <v>1552382980430107</v>
      </c>
      <c r="C2529" t="s">
        <v>40</v>
      </c>
      <c r="D2529">
        <v>3.3212280000000001</v>
      </c>
      <c r="E2529">
        <v>0.45995180000000002</v>
      </c>
      <c r="F2529" t="s">
        <v>46</v>
      </c>
      <c r="G2529">
        <v>-474.42779999999999</v>
      </c>
      <c r="H2529" s="1">
        <v>4.5019629999999999E-6</v>
      </c>
      <c r="I2529">
        <v>282.91649999999998</v>
      </c>
      <c r="J2529">
        <v>-461.98020000000002</v>
      </c>
      <c r="K2529">
        <v>1.1126119999999999</v>
      </c>
      <c r="L2529">
        <v>286.15730000000002</v>
      </c>
      <c r="M2529">
        <v>-0.99958860000000005</v>
      </c>
      <c r="N2529">
        <v>0</v>
      </c>
      <c r="O2529">
        <v>-2.4947400000000002E-2</v>
      </c>
      <c r="P2529">
        <v>-0.97903890000000005</v>
      </c>
      <c r="Q2529">
        <v>0.14052600000000001</v>
      </c>
      <c r="R2529">
        <v>-0.14743029999999999</v>
      </c>
      <c r="S2529">
        <v>-2.9887700000000001</v>
      </c>
      <c r="T2529">
        <v>-0.2606579</v>
      </c>
      <c r="U2529">
        <v>-0.76156619999999997</v>
      </c>
      <c r="V2529">
        <v>-0.12388830000000001</v>
      </c>
      <c r="W2529">
        <v>0.1536767</v>
      </c>
      <c r="X2529">
        <v>0.98032399999999997</v>
      </c>
      <c r="Y2529">
        <v>-0.22196389999999999</v>
      </c>
      <c r="Z2529">
        <v>-7.3735669999999897E-3</v>
      </c>
      <c r="AA2529">
        <v>0.97502699999999998</v>
      </c>
      <c r="AB2529">
        <v>32</v>
      </c>
      <c r="AC2529">
        <v>-12.4475999999999</v>
      </c>
      <c r="AD2529">
        <v>-1.112607498037</v>
      </c>
      <c r="AE2529">
        <v>-3.2408000000000299</v>
      </c>
      <c r="AF2529">
        <v>-2.9074705369799099</v>
      </c>
      <c r="AG2529">
        <v>-1.112607498037</v>
      </c>
      <c r="AH2529">
        <v>12.4315673376459</v>
      </c>
      <c r="AI2529">
        <v>94.9805654077132</v>
      </c>
      <c r="AJ2529">
        <v>103.16361639701</v>
      </c>
      <c r="AK2529">
        <v>12.8154261278554</v>
      </c>
      <c r="AL2529">
        <v>81.159942669254406</v>
      </c>
      <c r="AM2529">
        <v>97.202564477124099</v>
      </c>
      <c r="AN2529">
        <v>0.99999999198789002</v>
      </c>
    </row>
    <row r="2530" spans="1:40" x14ac:dyDescent="0.25">
      <c r="A2530" t="str">
        <f>"20190312172940475"</f>
        <v>20190312172940475</v>
      </c>
      <c r="B2530" t="str">
        <f>"1552382980470122"</f>
        <v>1552382980470122</v>
      </c>
      <c r="C2530" t="s">
        <v>40</v>
      </c>
      <c r="D2530">
        <v>3.244831</v>
      </c>
      <c r="E2530">
        <v>0.45951189999999997</v>
      </c>
      <c r="F2530" t="s">
        <v>46</v>
      </c>
      <c r="G2530">
        <v>-474.75049999999999</v>
      </c>
      <c r="H2530" s="1">
        <v>4.3497029999999999E-6</v>
      </c>
      <c r="I2530">
        <v>282.81200000000001</v>
      </c>
      <c r="J2530">
        <v>-462.46129999999999</v>
      </c>
      <c r="K2530">
        <v>1.112738</v>
      </c>
      <c r="L2530">
        <v>286.13979999999998</v>
      </c>
      <c r="M2530">
        <v>-0.99945629999999996</v>
      </c>
      <c r="N2530">
        <v>0</v>
      </c>
      <c r="O2530">
        <v>-2.9809499999999999E-2</v>
      </c>
      <c r="P2530">
        <v>-0.97784380000000004</v>
      </c>
      <c r="Q2530">
        <v>0.1412582</v>
      </c>
      <c r="R2530">
        <v>-0.15449309999999999</v>
      </c>
      <c r="S2530">
        <v>-2.9838870000000002</v>
      </c>
      <c r="T2530">
        <v>-0.25996910000000001</v>
      </c>
      <c r="U2530">
        <v>-0.78164669999999903</v>
      </c>
      <c r="V2530">
        <v>-0.12625799999999901</v>
      </c>
      <c r="W2530">
        <v>0.1542808</v>
      </c>
      <c r="X2530">
        <v>0.97992670000000004</v>
      </c>
      <c r="Y2530">
        <v>-0.22376740000000001</v>
      </c>
      <c r="Z2530">
        <v>-7.0218429999999998E-3</v>
      </c>
      <c r="AA2530">
        <v>0.97461730000000002</v>
      </c>
      <c r="AB2530">
        <v>32</v>
      </c>
      <c r="AC2530">
        <v>-12.2891999999999</v>
      </c>
      <c r="AD2530">
        <v>-1.112733650297</v>
      </c>
      <c r="AE2530">
        <v>-3.3277999999999599</v>
      </c>
      <c r="AF2530">
        <v>-2.9375116375783099</v>
      </c>
      <c r="AG2530">
        <v>-1.112733650297</v>
      </c>
      <c r="AH2530">
        <v>12.289078458663999</v>
      </c>
      <c r="AI2530">
        <v>95.032801958679002</v>
      </c>
      <c r="AJ2530">
        <v>103.44340639113101</v>
      </c>
      <c r="AK2530">
        <v>12.6841870122058</v>
      </c>
      <c r="AL2530">
        <v>81.124912529473406</v>
      </c>
      <c r="AM2530">
        <v>97.341788009069504</v>
      </c>
      <c r="AN2530">
        <v>0.99999999259276495</v>
      </c>
    </row>
    <row r="2531" spans="1:40" x14ac:dyDescent="0.25">
      <c r="A2531" t="str">
        <f>"20190312172940497"</f>
        <v>20190312172940497</v>
      </c>
      <c r="B2531" t="str">
        <f>"1552382980489642"</f>
        <v>1552382980489642</v>
      </c>
      <c r="C2531" t="s">
        <v>40</v>
      </c>
      <c r="D2531">
        <v>3.144765</v>
      </c>
      <c r="E2531">
        <v>0.45946340000000002</v>
      </c>
      <c r="F2531" t="s">
        <v>46</v>
      </c>
      <c r="G2531">
        <v>-475.07150000000001</v>
      </c>
      <c r="H2531" s="1">
        <v>4.1992810000000003E-6</v>
      </c>
      <c r="I2531">
        <v>282.71940000000001</v>
      </c>
      <c r="J2531">
        <v>-462.76949999999999</v>
      </c>
      <c r="K2531">
        <v>1.1128180000000001</v>
      </c>
      <c r="L2531">
        <v>286.12729999999999</v>
      </c>
      <c r="M2531">
        <v>-0.99935510000000005</v>
      </c>
      <c r="N2531">
        <v>0</v>
      </c>
      <c r="O2531">
        <v>-3.3041859999999999E-2</v>
      </c>
      <c r="P2531">
        <v>-0.97706870000000001</v>
      </c>
      <c r="Q2531">
        <v>0.14178270000000001</v>
      </c>
      <c r="R2531">
        <v>-0.15885379999999999</v>
      </c>
      <c r="S2531">
        <v>-2.9783019999999998</v>
      </c>
      <c r="T2531">
        <v>-0.2628084</v>
      </c>
      <c r="U2531">
        <v>-0.80783079999999996</v>
      </c>
      <c r="V2531">
        <v>-0.12749920000000001</v>
      </c>
      <c r="W2531">
        <v>0.15473199999999901</v>
      </c>
      <c r="X2531">
        <v>0.97969479999999998</v>
      </c>
      <c r="Y2531">
        <v>-0.2290363</v>
      </c>
      <c r="Z2531">
        <v>-7.0522279999999998E-3</v>
      </c>
      <c r="AA2531">
        <v>0.97339229999999999</v>
      </c>
      <c r="AB2531">
        <v>32</v>
      </c>
      <c r="AC2531">
        <v>-12.302</v>
      </c>
      <c r="AD2531">
        <v>-1.112813800719</v>
      </c>
      <c r="AE2531">
        <v>-3.4078999999999802</v>
      </c>
      <c r="AF2531">
        <v>-2.9768948889967</v>
      </c>
      <c r="AG2531">
        <v>-1.112813800719</v>
      </c>
      <c r="AH2531">
        <v>12.314313753444599</v>
      </c>
      <c r="AI2531">
        <v>95.019826384658899</v>
      </c>
      <c r="AJ2531">
        <v>103.59010464964901</v>
      </c>
      <c r="AK2531">
        <v>12.717805665816799</v>
      </c>
      <c r="AL2531">
        <v>81.098746258316396</v>
      </c>
      <c r="AM2531">
        <v>97.414898930318103</v>
      </c>
      <c r="AN2531">
        <v>0.99999996948583902</v>
      </c>
    </row>
    <row r="2532" spans="1:40" x14ac:dyDescent="0.25">
      <c r="A2532" t="str">
        <f>"20190312172940519"</f>
        <v>20190312172940519</v>
      </c>
      <c r="B2532" t="str">
        <f>"1552382980510138"</f>
        <v>1552382980510138</v>
      </c>
      <c r="C2532" t="s">
        <v>40</v>
      </c>
      <c r="D2532">
        <v>3.159176</v>
      </c>
      <c r="E2532">
        <v>0.45942739999999999</v>
      </c>
      <c r="F2532" t="s">
        <v>46</v>
      </c>
      <c r="G2532">
        <v>-475.3365</v>
      </c>
      <c r="H2532" s="1">
        <v>4.0761889999999999E-6</v>
      </c>
      <c r="I2532">
        <v>282.65589999999997</v>
      </c>
      <c r="J2532">
        <v>-463.08109999999999</v>
      </c>
      <c r="K2532">
        <v>1.1128849999999999</v>
      </c>
      <c r="L2532">
        <v>286.11360000000002</v>
      </c>
      <c r="M2532">
        <v>-0.99923879999999998</v>
      </c>
      <c r="N2532">
        <v>0</v>
      </c>
      <c r="O2532">
        <v>-3.6404579999999999E-2</v>
      </c>
      <c r="P2532">
        <v>-0.97632759999999996</v>
      </c>
      <c r="Q2532">
        <v>0.1415727</v>
      </c>
      <c r="R2532">
        <v>-0.16352920000000001</v>
      </c>
      <c r="S2532">
        <v>-2.975006</v>
      </c>
      <c r="T2532">
        <v>-0.26343810000000001</v>
      </c>
      <c r="U2532">
        <v>-0.82180789999999904</v>
      </c>
      <c r="V2532">
        <v>-0.1289217</v>
      </c>
      <c r="W2532">
        <v>0.15445320000000001</v>
      </c>
      <c r="X2532">
        <v>0.97955270000000005</v>
      </c>
      <c r="Y2532">
        <v>-0.23029160000000001</v>
      </c>
      <c r="Z2532">
        <v>-6.8358439999999998E-3</v>
      </c>
      <c r="AA2532">
        <v>0.97309769999999896</v>
      </c>
      <c r="AB2532">
        <v>32</v>
      </c>
      <c r="AC2532">
        <v>-12.2554</v>
      </c>
      <c r="AD2532">
        <v>-1.112880923811</v>
      </c>
      <c r="AE2532">
        <v>-3.45770000000004</v>
      </c>
      <c r="AF2532">
        <v>-2.9864009206095701</v>
      </c>
      <c r="AG2532">
        <v>-1.112880923811</v>
      </c>
      <c r="AH2532">
        <v>12.279373471521</v>
      </c>
      <c r="AI2532">
        <v>95.032662187562707</v>
      </c>
      <c r="AJ2532">
        <v>103.669220258965</v>
      </c>
      <c r="AK2532">
        <v>12.686217216424</v>
      </c>
      <c r="AL2532">
        <v>81.114915360752207</v>
      </c>
      <c r="AM2532">
        <v>97.497765753429604</v>
      </c>
      <c r="AN2532">
        <v>1.0000000438992001</v>
      </c>
    </row>
    <row r="2533" spans="1:40" x14ac:dyDescent="0.25">
      <c r="A2533" t="str">
        <f>"20190312172940542"</f>
        <v>20190312172940542</v>
      </c>
      <c r="B2533" t="str">
        <f>"1552382980529658"</f>
        <v>1552382980529658</v>
      </c>
      <c r="C2533" t="s">
        <v>40</v>
      </c>
      <c r="D2533">
        <v>3.0953849999999998</v>
      </c>
      <c r="E2533">
        <v>0.45941189999999998</v>
      </c>
      <c r="F2533" t="s">
        <v>46</v>
      </c>
      <c r="G2533">
        <v>-475.48719999999997</v>
      </c>
      <c r="H2533" s="1">
        <v>4.0064439999999998E-6</v>
      </c>
      <c r="I2533">
        <v>282.62220000000002</v>
      </c>
      <c r="J2533">
        <v>-463.38909999999998</v>
      </c>
      <c r="K2533">
        <v>1.112959</v>
      </c>
      <c r="L2533">
        <v>286.09890000000001</v>
      </c>
      <c r="M2533">
        <v>-0.99910860000000001</v>
      </c>
      <c r="N2533">
        <v>0</v>
      </c>
      <c r="O2533">
        <v>-3.9831949999999998E-2</v>
      </c>
      <c r="P2533">
        <v>-0.97557479999999996</v>
      </c>
      <c r="Q2533">
        <v>0.141342</v>
      </c>
      <c r="R2533">
        <v>-0.1681569</v>
      </c>
      <c r="S2533">
        <v>-2.9712830000000001</v>
      </c>
      <c r="T2533">
        <v>-0.26653739999999998</v>
      </c>
      <c r="U2533">
        <v>-0.83621219999999996</v>
      </c>
      <c r="V2533">
        <v>-0.13023499999999999</v>
      </c>
      <c r="W2533">
        <v>0.1541582</v>
      </c>
      <c r="X2533">
        <v>0.9794254</v>
      </c>
      <c r="Y2533">
        <v>-0.23163429999999999</v>
      </c>
      <c r="Z2533">
        <v>-6.6788289999999998E-3</v>
      </c>
      <c r="AA2533">
        <v>0.97277999999999998</v>
      </c>
      <c r="AB2533">
        <v>32</v>
      </c>
      <c r="AC2533">
        <v>-12.098099999999899</v>
      </c>
      <c r="AD2533">
        <v>-1.1129549935559999</v>
      </c>
      <c r="AE2533">
        <v>-3.4766999999999899</v>
      </c>
      <c r="AF2533">
        <v>-2.9687942490391599</v>
      </c>
      <c r="AG2533">
        <v>-1.1129549935559999</v>
      </c>
      <c r="AH2533">
        <v>12.1321531065394</v>
      </c>
      <c r="AI2533">
        <v>95.092000370845298</v>
      </c>
      <c r="AJ2533">
        <v>103.750335394055</v>
      </c>
      <c r="AK2533">
        <v>12.539599160711701</v>
      </c>
      <c r="AL2533">
        <v>81.132022201696898</v>
      </c>
      <c r="AM2533">
        <v>97.574234801810903</v>
      </c>
      <c r="AN2533">
        <v>1.0000000100086901</v>
      </c>
    </row>
    <row r="2534" spans="1:40" x14ac:dyDescent="0.25">
      <c r="A2534" t="str">
        <f>"20190312172940565"</f>
        <v>20190312172940565</v>
      </c>
      <c r="B2534" t="str">
        <f>"1552382980559925"</f>
        <v>1552382980559925</v>
      </c>
      <c r="C2534" t="s">
        <v>40</v>
      </c>
      <c r="D2534">
        <v>3.2491680000000001</v>
      </c>
      <c r="E2534">
        <v>0.4591904</v>
      </c>
      <c r="F2534" t="s">
        <v>46</v>
      </c>
      <c r="G2534">
        <v>-475.64839999999998</v>
      </c>
      <c r="H2534" s="1">
        <v>3.931661E-6</v>
      </c>
      <c r="I2534">
        <v>282.58440000000002</v>
      </c>
      <c r="J2534">
        <v>-463.70960000000002</v>
      </c>
      <c r="K2534">
        <v>1.1130310000000001</v>
      </c>
      <c r="L2534">
        <v>286.08229999999998</v>
      </c>
      <c r="M2534">
        <v>-0.9989555</v>
      </c>
      <c r="N2534">
        <v>0</v>
      </c>
      <c r="O2534">
        <v>-4.3509649999999997E-2</v>
      </c>
      <c r="P2534">
        <v>-0.97479249999999995</v>
      </c>
      <c r="Q2534">
        <v>0.1412795</v>
      </c>
      <c r="R2534">
        <v>-0.1726839</v>
      </c>
      <c r="S2534">
        <v>-2.9674680000000002</v>
      </c>
      <c r="T2534">
        <v>-0.2694011</v>
      </c>
      <c r="U2534">
        <v>-0.85070800000000002</v>
      </c>
      <c r="V2534">
        <v>-0.131208399999999</v>
      </c>
      <c r="W2534">
        <v>0.15403529999999999</v>
      </c>
      <c r="X2534">
        <v>0.97931480000000004</v>
      </c>
      <c r="Y2534">
        <v>-0.23277039999999999</v>
      </c>
      <c r="Z2534">
        <v>-6.4792519999999996E-3</v>
      </c>
      <c r="AA2534">
        <v>0.97251019999999999</v>
      </c>
      <c r="AB2534">
        <v>32</v>
      </c>
      <c r="AC2534">
        <v>-11.938799999999899</v>
      </c>
      <c r="AD2534">
        <v>-1.11302706833899</v>
      </c>
      <c r="AE2534">
        <v>-3.4978999999999498</v>
      </c>
      <c r="AF2534">
        <v>-2.9514588547098302</v>
      </c>
      <c r="AG2534">
        <v>-1.11302706833899</v>
      </c>
      <c r="AH2534">
        <v>11.983777182434499</v>
      </c>
      <c r="AI2534">
        <v>95.153161677835101</v>
      </c>
      <c r="AJ2534">
        <v>103.83589058539</v>
      </c>
      <c r="AK2534">
        <v>12.391967325010899</v>
      </c>
      <c r="AL2534">
        <v>81.139148866767798</v>
      </c>
      <c r="AM2534">
        <v>97.631033050006593</v>
      </c>
      <c r="AN2534">
        <v>0.99999999768784498</v>
      </c>
    </row>
    <row r="2535" spans="1:40" x14ac:dyDescent="0.25">
      <c r="A2535" t="str">
        <f>"20190312172940587"</f>
        <v>20190312172940587</v>
      </c>
      <c r="B2535" t="str">
        <f>"1552382980580411"</f>
        <v>1552382980580411</v>
      </c>
      <c r="C2535" t="s">
        <v>40</v>
      </c>
      <c r="D2535">
        <v>3.2764579999999999</v>
      </c>
      <c r="E2535">
        <v>0.45340069999999999</v>
      </c>
      <c r="F2535" t="s">
        <v>46</v>
      </c>
      <c r="G2535">
        <v>-475.96129999999999</v>
      </c>
      <c r="H2535" s="1">
        <v>3.7853879999999999E-6</v>
      </c>
      <c r="I2535">
        <v>282.49869999999999</v>
      </c>
      <c r="J2535">
        <v>-464.02289999999999</v>
      </c>
      <c r="K2535">
        <v>1.1131139999999999</v>
      </c>
      <c r="L2535">
        <v>286.06479999999999</v>
      </c>
      <c r="M2535">
        <v>-0.9987876</v>
      </c>
      <c r="N2535">
        <v>0</v>
      </c>
      <c r="O2535">
        <v>-4.7213919999999999E-2</v>
      </c>
      <c r="P2535">
        <v>-0.97401369999999998</v>
      </c>
      <c r="Q2535">
        <v>0.1409697</v>
      </c>
      <c r="R2535">
        <v>-0.17727129999999999</v>
      </c>
      <c r="S2535">
        <v>-2.9630429999999999</v>
      </c>
      <c r="T2535">
        <v>-0.26918259999999899</v>
      </c>
      <c r="U2535">
        <v>-0.8666992</v>
      </c>
      <c r="V2535">
        <v>-0.13221669999999999</v>
      </c>
      <c r="W2535">
        <v>0.15366869999999999</v>
      </c>
      <c r="X2535">
        <v>0.97923680000000002</v>
      </c>
      <c r="Y2535">
        <v>-0.2343992</v>
      </c>
      <c r="Z2535">
        <v>-6.2232800000000003E-3</v>
      </c>
      <c r="AA2535">
        <v>0.97212050000000005</v>
      </c>
      <c r="AB2535">
        <v>31</v>
      </c>
      <c r="AC2535">
        <v>-11.9384</v>
      </c>
      <c r="AD2535">
        <v>-1.113110214612</v>
      </c>
      <c r="AE2535">
        <v>-3.5661</v>
      </c>
      <c r="AF2535">
        <v>-2.9746676342699399</v>
      </c>
      <c r="AG2535">
        <v>-1.113110214612</v>
      </c>
      <c r="AH2535">
        <v>11.9977140014861</v>
      </c>
      <c r="AI2535">
        <v>95.145625181914596</v>
      </c>
      <c r="AJ2535">
        <v>103.92489828887599</v>
      </c>
      <c r="AK2535">
        <v>12.4109952520216</v>
      </c>
      <c r="AL2535">
        <v>81.160406775471202</v>
      </c>
      <c r="AM2535">
        <v>97.689581634242899</v>
      </c>
      <c r="AN2535">
        <v>1.0000000177964099</v>
      </c>
    </row>
    <row r="2536" spans="1:40" x14ac:dyDescent="0.25">
      <c r="A2536" t="str">
        <f>"20190312172940609"</f>
        <v>20190312172940609</v>
      </c>
      <c r="B2536" t="str">
        <f>"1552382980599930"</f>
        <v>1552382980599930</v>
      </c>
      <c r="C2536" t="s">
        <v>40</v>
      </c>
      <c r="D2536">
        <v>3.254766</v>
      </c>
      <c r="E2536">
        <v>0.45337670000000002</v>
      </c>
      <c r="F2536" t="s">
        <v>46</v>
      </c>
      <c r="G2536">
        <v>-482.90649999999999</v>
      </c>
      <c r="H2536" s="1">
        <v>2.3292059999999998E-6</v>
      </c>
      <c r="I2536">
        <v>280.13119999999998</v>
      </c>
      <c r="J2536">
        <v>-464.33170000000001</v>
      </c>
      <c r="K2536">
        <v>1.113194</v>
      </c>
      <c r="L2536">
        <v>286.04640000000001</v>
      </c>
      <c r="M2536">
        <v>-0.99860420000000005</v>
      </c>
      <c r="N2536">
        <v>0</v>
      </c>
      <c r="O2536">
        <v>-5.0949759999999997E-2</v>
      </c>
      <c r="P2536">
        <v>-0.97315560000000001</v>
      </c>
      <c r="Q2536">
        <v>0.1410477</v>
      </c>
      <c r="R2536">
        <v>-0.18186240000000001</v>
      </c>
      <c r="S2536">
        <v>-2.937103</v>
      </c>
      <c r="T2536">
        <v>-0.1731308</v>
      </c>
      <c r="U2536">
        <v>-0.92291259999999997</v>
      </c>
      <c r="V2536">
        <v>-0.13320270000000001</v>
      </c>
      <c r="W2536">
        <v>0.1536942</v>
      </c>
      <c r="X2536">
        <v>0.97909919999999995</v>
      </c>
      <c r="Y2536">
        <v>-0.2504595</v>
      </c>
      <c r="Z2536">
        <v>-4.2783789999999997E-3</v>
      </c>
      <c r="AA2536">
        <v>0.96811760000000002</v>
      </c>
      <c r="AB2536">
        <v>31</v>
      </c>
      <c r="AC2536">
        <v>-18.5747999999999</v>
      </c>
      <c r="AD2536">
        <v>-1.1131916707939999</v>
      </c>
      <c r="AE2536">
        <v>-5.91520000000002</v>
      </c>
      <c r="AF2536">
        <v>-4.9449176068717797</v>
      </c>
      <c r="AG2536">
        <v>-1.1131916707939999</v>
      </c>
      <c r="AH2536">
        <v>18.790802400422901</v>
      </c>
      <c r="AI2536">
        <v>93.278935690015601</v>
      </c>
      <c r="AJ2536">
        <v>104.743476165358</v>
      </c>
      <c r="AK2536">
        <v>19.462416619896299</v>
      </c>
      <c r="AL2536">
        <v>81.158928498768304</v>
      </c>
      <c r="AM2536">
        <v>97.747308054522705</v>
      </c>
      <c r="AN2536">
        <v>1.0000000549207799</v>
      </c>
    </row>
    <row r="2537" spans="1:40" x14ac:dyDescent="0.25">
      <c r="A2537" t="str">
        <f>"20190312172940631"</f>
        <v>20190312172940631</v>
      </c>
      <c r="B2537" t="str">
        <f>"1552382980620427"</f>
        <v>1552382980620427</v>
      </c>
      <c r="C2537" t="s">
        <v>40</v>
      </c>
      <c r="D2537">
        <v>3.2033290000000001</v>
      </c>
      <c r="E2537">
        <v>0.45291779999999998</v>
      </c>
      <c r="F2537" t="s">
        <v>46</v>
      </c>
      <c r="G2537">
        <v>-482.56900000000002</v>
      </c>
      <c r="H2537" s="1">
        <v>2.277131E-6</v>
      </c>
      <c r="I2537">
        <v>280.22019999999998</v>
      </c>
      <c r="J2537">
        <v>-464.63799999999998</v>
      </c>
      <c r="K2537">
        <v>1.1132690000000001</v>
      </c>
      <c r="L2537">
        <v>286.02690000000001</v>
      </c>
      <c r="M2537">
        <v>-0.99840329999999999</v>
      </c>
      <c r="N2537">
        <v>0</v>
      </c>
      <c r="O2537">
        <v>-5.4749939999999997E-2</v>
      </c>
      <c r="P2537">
        <v>-0.97228740000000002</v>
      </c>
      <c r="Q2537">
        <v>0.1413885</v>
      </c>
      <c r="R2537">
        <v>-0.1861903</v>
      </c>
      <c r="S2537">
        <v>-2.9335629999999999</v>
      </c>
      <c r="T2537">
        <v>-0.17906259999999999</v>
      </c>
      <c r="U2537">
        <v>-0.93716429999999995</v>
      </c>
      <c r="V2537">
        <v>-0.1338674</v>
      </c>
      <c r="W2537">
        <v>0.1539886</v>
      </c>
      <c r="X2537">
        <v>0.9789622</v>
      </c>
      <c r="Y2537">
        <v>-0.25136599999999998</v>
      </c>
      <c r="Z2537">
        <v>-4.2287100000000001E-3</v>
      </c>
      <c r="AA2537">
        <v>0.96788289999999999</v>
      </c>
      <c r="AB2537">
        <v>31</v>
      </c>
      <c r="AC2537">
        <v>-17.930999999999901</v>
      </c>
      <c r="AD2537">
        <v>-1.1132667228690001</v>
      </c>
      <c r="AE2537">
        <v>-5.8067000000000304</v>
      </c>
      <c r="AF2537">
        <v>-4.7994284251799799</v>
      </c>
      <c r="AG2537">
        <v>-1.1132667228690001</v>
      </c>
      <c r="AH2537">
        <v>18.158694852490999</v>
      </c>
      <c r="AI2537">
        <v>93.392083639478599</v>
      </c>
      <c r="AJ2537">
        <v>104.804997021568</v>
      </c>
      <c r="AK2537">
        <v>18.815208602366202</v>
      </c>
      <c r="AL2537">
        <v>81.141856725572495</v>
      </c>
      <c r="AM2537">
        <v>97.786571394996301</v>
      </c>
      <c r="AN2537">
        <v>0.999999979370779</v>
      </c>
    </row>
    <row r="2538" spans="1:40" x14ac:dyDescent="0.25">
      <c r="A2538" t="str">
        <f>"20190312172940654"</f>
        <v>20190312172940654</v>
      </c>
      <c r="B2538" t="str">
        <f>"1552382980649706"</f>
        <v>1552382980649706</v>
      </c>
      <c r="C2538" t="s">
        <v>40</v>
      </c>
      <c r="D2538">
        <v>3.184043</v>
      </c>
      <c r="E2538">
        <v>0.45261059999999997</v>
      </c>
      <c r="F2538" t="s">
        <v>46</v>
      </c>
      <c r="G2538">
        <v>-482.49689999999998</v>
      </c>
      <c r="H2538" s="1">
        <v>2.2630600000000001E-6</v>
      </c>
      <c r="I2538">
        <v>280.2056</v>
      </c>
      <c r="J2538">
        <v>-464.95479999999998</v>
      </c>
      <c r="K2538">
        <v>1.113343</v>
      </c>
      <c r="L2538">
        <v>286.00529999999998</v>
      </c>
      <c r="M2538">
        <v>-0.99817370000000005</v>
      </c>
      <c r="N2538">
        <v>0</v>
      </c>
      <c r="O2538">
        <v>-5.8791280000000001E-2</v>
      </c>
      <c r="P2538">
        <v>-0.97152450000000001</v>
      </c>
      <c r="Q2538">
        <v>0.14118720000000001</v>
      </c>
      <c r="R2538">
        <v>-0.19028030000000001</v>
      </c>
      <c r="S2538">
        <v>-2.9291990000000001</v>
      </c>
      <c r="T2538">
        <v>-0.18259700000000001</v>
      </c>
      <c r="U2538">
        <v>-0.95480350000000003</v>
      </c>
      <c r="V2538">
        <v>-0.1340517</v>
      </c>
      <c r="W2538">
        <v>0.15374689999999999</v>
      </c>
      <c r="X2538">
        <v>0.97897500000000004</v>
      </c>
      <c r="Y2538">
        <v>-0.25313429999999998</v>
      </c>
      <c r="Z2538">
        <v>-4.1240920000000002E-3</v>
      </c>
      <c r="AA2538">
        <v>0.96742240000000002</v>
      </c>
      <c r="AB2538">
        <v>31</v>
      </c>
      <c r="AC2538">
        <v>-17.542100000000001</v>
      </c>
      <c r="AD2538">
        <v>-1.1133407369399999</v>
      </c>
      <c r="AE2538">
        <v>-5.7996999999999703</v>
      </c>
      <c r="AF2538">
        <v>-4.7410290581735302</v>
      </c>
      <c r="AG2538">
        <v>-1.1133407369399999</v>
      </c>
      <c r="AH2538">
        <v>17.788165120118801</v>
      </c>
      <c r="AI2538">
        <v>93.460897623570503</v>
      </c>
      <c r="AJ2538">
        <v>104.92395422163401</v>
      </c>
      <c r="AK2538">
        <v>18.4427682972917</v>
      </c>
      <c r="AL2538">
        <v>81.155872282450503</v>
      </c>
      <c r="AM2538">
        <v>97.797058976492096</v>
      </c>
      <c r="AN2538">
        <v>1.00000000907875</v>
      </c>
    </row>
    <row r="2539" spans="1:40" x14ac:dyDescent="0.25">
      <c r="A2539" t="str">
        <f>"20190312172940676"</f>
        <v>20190312172940676</v>
      </c>
      <c r="B2539" t="str">
        <f>"1552382980670202"</f>
        <v>1552382980670202</v>
      </c>
      <c r="C2539" t="s">
        <v>40</v>
      </c>
      <c r="D2539">
        <v>3.1943190000000001</v>
      </c>
      <c r="E2539">
        <v>0.4523585</v>
      </c>
      <c r="F2539" t="s">
        <v>46</v>
      </c>
      <c r="G2539">
        <v>-482.67290000000003</v>
      </c>
      <c r="H2539" s="1">
        <v>2.287372E-6</v>
      </c>
      <c r="I2539">
        <v>280.12650000000002</v>
      </c>
      <c r="J2539">
        <v>-465.25920000000002</v>
      </c>
      <c r="K2539">
        <v>1.113424</v>
      </c>
      <c r="L2539">
        <v>285.98329999999999</v>
      </c>
      <c r="M2539">
        <v>-0.99792979999999998</v>
      </c>
      <c r="N2539">
        <v>0</v>
      </c>
      <c r="O2539">
        <v>-6.2796749999999998E-2</v>
      </c>
      <c r="P2539">
        <v>-0.97076899999999999</v>
      </c>
      <c r="Q2539">
        <v>0.14115510000000001</v>
      </c>
      <c r="R2539">
        <v>-0.19412170000000001</v>
      </c>
      <c r="S2539">
        <v>-2.9245909999999999</v>
      </c>
      <c r="T2539">
        <v>-0.18376990000000001</v>
      </c>
      <c r="U2539">
        <v>-0.97036739999999999</v>
      </c>
      <c r="V2539">
        <v>-0.13402749999999999</v>
      </c>
      <c r="W2539">
        <v>0.15367629999999999</v>
      </c>
      <c r="X2539">
        <v>0.97898940000000001</v>
      </c>
      <c r="Y2539">
        <v>-0.25434649999999998</v>
      </c>
      <c r="Z2539">
        <v>-3.947196E-3</v>
      </c>
      <c r="AA2539">
        <v>0.96710510000000005</v>
      </c>
      <c r="AB2539">
        <v>31</v>
      </c>
      <c r="AC2539">
        <v>-17.413699999999999</v>
      </c>
      <c r="AD2539">
        <v>-1.1134217126279999</v>
      </c>
      <c r="AE2539">
        <v>-5.8567999999999598</v>
      </c>
      <c r="AF2539">
        <v>-4.73422151385045</v>
      </c>
      <c r="AG2539">
        <v>-1.1134217126279999</v>
      </c>
      <c r="AH2539">
        <v>17.6822051147082</v>
      </c>
      <c r="AI2539">
        <v>93.480789065024695</v>
      </c>
      <c r="AJ2539">
        <v>104.98877993569199</v>
      </c>
      <c r="AK2539">
        <v>18.338836903439901</v>
      </c>
      <c r="AL2539">
        <v>81.159966029154802</v>
      </c>
      <c r="AM2539">
        <v>97.795555446146494</v>
      </c>
      <c r="AN2539">
        <v>1.0000000106251401</v>
      </c>
    </row>
    <row r="2540" spans="1:40" x14ac:dyDescent="0.25">
      <c r="A2540" t="str">
        <f>"20190312172940698"</f>
        <v>20190312172940698</v>
      </c>
      <c r="B2540" t="str">
        <f>"1552382980689722"</f>
        <v>1552382980689722</v>
      </c>
      <c r="C2540" t="s">
        <v>40</v>
      </c>
      <c r="D2540">
        <v>3.1667719999999999</v>
      </c>
      <c r="E2540">
        <v>0.45196459999999999</v>
      </c>
      <c r="F2540" t="s">
        <v>46</v>
      </c>
      <c r="G2540">
        <v>-483.29790000000003</v>
      </c>
      <c r="H2540" s="1">
        <v>2.3787300000000002E-6</v>
      </c>
      <c r="I2540">
        <v>279.90339999999998</v>
      </c>
      <c r="J2540">
        <v>-465.572</v>
      </c>
      <c r="K2540">
        <v>1.1135250000000001</v>
      </c>
      <c r="L2540">
        <v>285.95929999999998</v>
      </c>
      <c r="M2540">
        <v>-0.99765360000000003</v>
      </c>
      <c r="N2540">
        <v>0</v>
      </c>
      <c r="O2540">
        <v>-6.7042870000000004E-2</v>
      </c>
      <c r="P2540">
        <v>-0.97010459999999998</v>
      </c>
      <c r="Q2540">
        <v>0.14017479999999999</v>
      </c>
      <c r="R2540">
        <v>-0.19811139999999999</v>
      </c>
      <c r="S2540">
        <v>-2.9197690000000001</v>
      </c>
      <c r="T2540">
        <v>-0.18022009999999999</v>
      </c>
      <c r="U2540">
        <v>-0.98410030000000004</v>
      </c>
      <c r="V2540">
        <v>-0.1339079</v>
      </c>
      <c r="W2540">
        <v>0.15265889999999999</v>
      </c>
      <c r="X2540">
        <v>0.9791649</v>
      </c>
      <c r="Y2540">
        <v>-0.25481809999999999</v>
      </c>
      <c r="Z2540">
        <v>-3.6355340000000002E-3</v>
      </c>
      <c r="AA2540">
        <v>0.96698220000000001</v>
      </c>
      <c r="AB2540">
        <v>31</v>
      </c>
      <c r="AC2540">
        <v>-17.725899999999999</v>
      </c>
      <c r="AD2540">
        <v>-1.11352262127</v>
      </c>
      <c r="AE2540">
        <v>-6.0559000000000003</v>
      </c>
      <c r="AF2540">
        <v>-4.8366708819423403</v>
      </c>
      <c r="AG2540">
        <v>-1.11352262127</v>
      </c>
      <c r="AH2540">
        <v>18.028346800891502</v>
      </c>
      <c r="AI2540">
        <v>93.413964996642306</v>
      </c>
      <c r="AJ2540">
        <v>105.017759834511</v>
      </c>
      <c r="AK2540">
        <v>18.6990536183392</v>
      </c>
      <c r="AL2540">
        <v>81.218954570819903</v>
      </c>
      <c r="AM2540">
        <v>97.787305599969599</v>
      </c>
      <c r="AN2540">
        <v>0.99999998341181395</v>
      </c>
    </row>
    <row r="2541" spans="1:40" x14ac:dyDescent="0.25">
      <c r="A2541" t="str">
        <f>"20190312172940720"</f>
        <v>20190312172940720</v>
      </c>
      <c r="B2541" t="str">
        <f>"1552382980710218"</f>
        <v>1552382980710218</v>
      </c>
      <c r="C2541" t="s">
        <v>40</v>
      </c>
      <c r="D2541">
        <v>3.1992389999999999</v>
      </c>
      <c r="E2541">
        <v>0.45172390000000001</v>
      </c>
      <c r="F2541" t="s">
        <v>46</v>
      </c>
      <c r="G2541">
        <v>-483.57130000000001</v>
      </c>
      <c r="H2541" s="1">
        <v>2.4172879999999998E-6</v>
      </c>
      <c r="I2541">
        <v>279.78969999999998</v>
      </c>
      <c r="J2541">
        <v>-465.87729999999999</v>
      </c>
      <c r="K2541">
        <v>1.1136299999999999</v>
      </c>
      <c r="L2541">
        <v>285.93439999999998</v>
      </c>
      <c r="M2541">
        <v>-0.99735609999999997</v>
      </c>
      <c r="N2541">
        <v>0</v>
      </c>
      <c r="O2541">
        <v>-7.1333779999999999E-2</v>
      </c>
      <c r="P2541">
        <v>-0.96937220000000002</v>
      </c>
      <c r="Q2541">
        <v>0.13959349999999901</v>
      </c>
      <c r="R2541">
        <v>-0.20206859999999999</v>
      </c>
      <c r="S2541">
        <v>-2.9144899999999998</v>
      </c>
      <c r="T2541">
        <v>-0.18030370000000001</v>
      </c>
      <c r="U2541">
        <v>-0.99899289999999996</v>
      </c>
      <c r="V2541">
        <v>-0.1337219</v>
      </c>
      <c r="W2541">
        <v>0.1520397</v>
      </c>
      <c r="X2541">
        <v>0.97928669999999995</v>
      </c>
      <c r="Y2541">
        <v>-0.25562259999999998</v>
      </c>
      <c r="Z2541">
        <v>-3.4089459999999999E-3</v>
      </c>
      <c r="AA2541">
        <v>0.96677060000000004</v>
      </c>
      <c r="AB2541">
        <v>31</v>
      </c>
      <c r="AC2541">
        <v>-17.693999999999999</v>
      </c>
      <c r="AD2541">
        <v>-1.1136275827119999</v>
      </c>
      <c r="AE2541">
        <v>-6.1447000000000003</v>
      </c>
      <c r="AF2541">
        <v>-4.8495992418606999</v>
      </c>
      <c r="AG2541">
        <v>-1.1136275827119999</v>
      </c>
      <c r="AH2541">
        <v>18.023571188167399</v>
      </c>
      <c r="AI2541">
        <v>93.414515523048806</v>
      </c>
      <c r="AJ2541">
        <v>105.05988991386</v>
      </c>
      <c r="AK2541">
        <v>18.697804619114301</v>
      </c>
      <c r="AL2541">
        <v>81.254851550336397</v>
      </c>
      <c r="AM2541">
        <v>97.775665971323903</v>
      </c>
      <c r="AN2541">
        <v>1.00000002885629</v>
      </c>
    </row>
    <row r="2542" spans="1:40" x14ac:dyDescent="0.25">
      <c r="A2542" t="str">
        <f>"20190312172940744"</f>
        <v>20190312172940744</v>
      </c>
      <c r="B2542" t="str">
        <f>"1552382980740475"</f>
        <v>1552382980740475</v>
      </c>
      <c r="C2542" t="s">
        <v>40</v>
      </c>
      <c r="D2542">
        <v>3.164218</v>
      </c>
      <c r="E2542">
        <v>0.45132660000000002</v>
      </c>
      <c r="F2542" t="s">
        <v>46</v>
      </c>
      <c r="G2542">
        <v>-483.72059999999999</v>
      </c>
      <c r="H2542" s="1">
        <v>2.437656E-6</v>
      </c>
      <c r="I2542">
        <v>279.7199</v>
      </c>
      <c r="J2542">
        <v>-466.19060000000002</v>
      </c>
      <c r="K2542">
        <v>1.1137490000000001</v>
      </c>
      <c r="L2542">
        <v>285.9074</v>
      </c>
      <c r="M2542">
        <v>-0.99701910000000005</v>
      </c>
      <c r="N2542">
        <v>0</v>
      </c>
      <c r="O2542">
        <v>-7.5897980000000004E-2</v>
      </c>
      <c r="P2542">
        <v>-0.96851480000000001</v>
      </c>
      <c r="Q2542">
        <v>0.1390052</v>
      </c>
      <c r="R2542">
        <v>-0.20653489999999999</v>
      </c>
      <c r="S2542">
        <v>-2.9096980000000001</v>
      </c>
      <c r="T2542">
        <v>-0.1815988</v>
      </c>
      <c r="U2542">
        <v>-1.0133970000000001</v>
      </c>
      <c r="V2542">
        <v>-0.133788299999999</v>
      </c>
      <c r="W2542">
        <v>0.1514095</v>
      </c>
      <c r="X2542">
        <v>0.9793752</v>
      </c>
      <c r="Y2542">
        <v>-0.25596360000000001</v>
      </c>
      <c r="Z2542">
        <v>-3.1723319999999999E-3</v>
      </c>
      <c r="AA2542">
        <v>0.96668120000000002</v>
      </c>
      <c r="AB2542">
        <v>31</v>
      </c>
      <c r="AC2542">
        <v>-17.529999999999902</v>
      </c>
      <c r="AD2542">
        <v>-1.1137465623439999</v>
      </c>
      <c r="AE2542">
        <v>-6.1875</v>
      </c>
      <c r="AF2542">
        <v>-4.82172277533029</v>
      </c>
      <c r="AG2542">
        <v>-1.1137465623439999</v>
      </c>
      <c r="AH2542">
        <v>17.884895200387302</v>
      </c>
      <c r="AI2542">
        <v>93.440839527776902</v>
      </c>
      <c r="AJ2542">
        <v>105.088077578778</v>
      </c>
      <c r="AK2542">
        <v>18.556910256185098</v>
      </c>
      <c r="AL2542">
        <v>81.291381705438198</v>
      </c>
      <c r="AM2542">
        <v>97.7787853578171</v>
      </c>
      <c r="AN2542">
        <v>0.99999996414108905</v>
      </c>
    </row>
    <row r="2543" spans="1:40" x14ac:dyDescent="0.25">
      <c r="A2543" t="str">
        <f>"20190312172940765"</f>
        <v>20190312172940765</v>
      </c>
      <c r="B2543" t="str">
        <f>"1552382980759998"</f>
        <v>1552382980759998</v>
      </c>
      <c r="C2543" t="s">
        <v>40</v>
      </c>
      <c r="D2543">
        <v>3.1447989999999999</v>
      </c>
      <c r="E2543">
        <v>0.45106309999999999</v>
      </c>
      <c r="F2543" t="s">
        <v>46</v>
      </c>
      <c r="G2543">
        <v>-483.68220000000002</v>
      </c>
      <c r="H2543" s="1">
        <v>2.4294840000000002E-6</v>
      </c>
      <c r="I2543">
        <v>279.70420000000001</v>
      </c>
      <c r="J2543">
        <v>-466.49990000000003</v>
      </c>
      <c r="K2543">
        <v>1.113877</v>
      </c>
      <c r="L2543">
        <v>285.87900000000002</v>
      </c>
      <c r="M2543">
        <v>-0.99665090000000001</v>
      </c>
      <c r="N2543">
        <v>0</v>
      </c>
      <c r="O2543">
        <v>-8.0589330000000001E-2</v>
      </c>
      <c r="P2543">
        <v>-0.9675279</v>
      </c>
      <c r="Q2543">
        <v>0.13835799999999901</v>
      </c>
      <c r="R2543">
        <v>-0.21153440000000001</v>
      </c>
      <c r="S2543">
        <v>-2.9044490000000001</v>
      </c>
      <c r="T2543">
        <v>-0.18493589999999999</v>
      </c>
      <c r="U2543">
        <v>-1.0300290000000001</v>
      </c>
      <c r="V2543">
        <v>-0.13427239999999999</v>
      </c>
      <c r="W2543">
        <v>0.15071660000000001</v>
      </c>
      <c r="X2543">
        <v>0.97941579999999995</v>
      </c>
      <c r="Y2543">
        <v>-0.25687789999999999</v>
      </c>
      <c r="Z2543">
        <v>-2.9744950000000002E-3</v>
      </c>
      <c r="AA2543">
        <v>0.9664393</v>
      </c>
      <c r="AB2543">
        <v>31</v>
      </c>
      <c r="AC2543">
        <v>-17.182299999999898</v>
      </c>
      <c r="AD2543">
        <v>-1.113874570516</v>
      </c>
      <c r="AE2543">
        <v>-6.1748000000000003</v>
      </c>
      <c r="AF2543">
        <v>-4.7521817423238799</v>
      </c>
      <c r="AG2543">
        <v>-1.113874570516</v>
      </c>
      <c r="AH2543">
        <v>17.558721729642201</v>
      </c>
      <c r="AI2543">
        <v>93.5040790515922</v>
      </c>
      <c r="AJ2543">
        <v>105.14401884325601</v>
      </c>
      <c r="AK2543">
        <v>18.224507034483199</v>
      </c>
      <c r="AL2543">
        <v>81.331542627358004</v>
      </c>
      <c r="AM2543">
        <v>97.806266075770594</v>
      </c>
      <c r="AN2543">
        <v>0.99999994010347804</v>
      </c>
    </row>
    <row r="2544" spans="1:40" x14ac:dyDescent="0.25">
      <c r="A2544" t="str">
        <f>"20190312172940788"</f>
        <v>20190312172940788</v>
      </c>
      <c r="B2544" t="str">
        <f>"1552382980780492"</f>
        <v>1552382980780492</v>
      </c>
      <c r="C2544" t="s">
        <v>40</v>
      </c>
      <c r="D2544">
        <v>3.1885180000000002</v>
      </c>
      <c r="E2544">
        <v>0.45099299999999998</v>
      </c>
      <c r="F2544" t="s">
        <v>46</v>
      </c>
      <c r="G2544">
        <v>-483.67680000000001</v>
      </c>
      <c r="H2544" s="1">
        <v>2.4258390000000002E-6</v>
      </c>
      <c r="I2544">
        <v>279.67340000000002</v>
      </c>
      <c r="J2544">
        <v>-466.80959999999999</v>
      </c>
      <c r="K2544">
        <v>1.1139969999999999</v>
      </c>
      <c r="L2544">
        <v>285.84890000000001</v>
      </c>
      <c r="M2544">
        <v>-0.99624749999999995</v>
      </c>
      <c r="N2544">
        <v>0</v>
      </c>
      <c r="O2544">
        <v>-8.5431729999999997E-2</v>
      </c>
      <c r="P2544">
        <v>-0.96630660000000002</v>
      </c>
      <c r="Q2544">
        <v>0.13835799999999901</v>
      </c>
      <c r="R2544">
        <v>-0.21704499999999999</v>
      </c>
      <c r="S2544">
        <v>-2.89859</v>
      </c>
      <c r="T2544">
        <v>-0.18796470000000001</v>
      </c>
      <c r="U2544">
        <v>-1.04718</v>
      </c>
      <c r="V2544">
        <v>-0.13514010000000001</v>
      </c>
      <c r="W2544">
        <v>0.1506699</v>
      </c>
      <c r="X2544">
        <v>0.9793037</v>
      </c>
      <c r="Y2544">
        <v>-0.25786110000000001</v>
      </c>
      <c r="Z2544">
        <v>-2.7559680000000001E-3</v>
      </c>
      <c r="AA2544">
        <v>0.96617810000000004</v>
      </c>
      <c r="AB2544">
        <v>31</v>
      </c>
      <c r="AC2544">
        <v>-16.8672</v>
      </c>
      <c r="AD2544">
        <v>-1.113994574161</v>
      </c>
      <c r="AE2544">
        <v>-6.1755000000000004</v>
      </c>
      <c r="AF2544">
        <v>-4.69373176783263</v>
      </c>
      <c r="AG2544">
        <v>-1.113994574161</v>
      </c>
      <c r="AH2544">
        <v>17.266742514239301</v>
      </c>
      <c r="AI2544">
        <v>93.562494435142099</v>
      </c>
      <c r="AJ2544">
        <v>105.20760665025701</v>
      </c>
      <c r="AK2544">
        <v>17.927980892243799</v>
      </c>
      <c r="AL2544">
        <v>81.334249781264106</v>
      </c>
      <c r="AM2544">
        <v>97.856972147334702</v>
      </c>
      <c r="AN2544">
        <v>1.0000000011138499</v>
      </c>
    </row>
    <row r="2545" spans="1:40" x14ac:dyDescent="0.25">
      <c r="A2545" t="str">
        <f>"20190312172940811"</f>
        <v>20190312172940811</v>
      </c>
      <c r="B2545" t="str">
        <f>"1552382980800011"</f>
        <v>1552382980800011</v>
      </c>
      <c r="C2545" t="s">
        <v>40</v>
      </c>
      <c r="D2545">
        <v>3.1271629999999999</v>
      </c>
      <c r="E2545">
        <v>0.45088810000000001</v>
      </c>
      <c r="F2545" t="s">
        <v>46</v>
      </c>
      <c r="G2545">
        <v>-483.91739999999999</v>
      </c>
      <c r="H2545" s="1">
        <v>2.4420480000000001E-6</v>
      </c>
      <c r="I2545">
        <v>279.55560000000003</v>
      </c>
      <c r="J2545">
        <v>-467.12400000000002</v>
      </c>
      <c r="K2545">
        <v>1.114107</v>
      </c>
      <c r="L2545">
        <v>285.81670000000003</v>
      </c>
      <c r="M2545">
        <v>-0.99579969999999995</v>
      </c>
      <c r="N2545">
        <v>0</v>
      </c>
      <c r="O2545">
        <v>-9.0502440000000003E-2</v>
      </c>
      <c r="P2545">
        <v>-0.9648795</v>
      </c>
      <c r="Q2545">
        <v>0.13862529999999901</v>
      </c>
      <c r="R2545">
        <v>-0.2231388</v>
      </c>
      <c r="S2545">
        <v>-2.8925480000000001</v>
      </c>
      <c r="T2545">
        <v>-0.18835160000000001</v>
      </c>
      <c r="U2545">
        <v>-1.0640559999999999</v>
      </c>
      <c r="V2545">
        <v>-0.13638420000000001</v>
      </c>
      <c r="W2545">
        <v>0.150886299999999</v>
      </c>
      <c r="X2545">
        <v>0.97909789999999997</v>
      </c>
      <c r="Y2545">
        <v>-0.25856849999999998</v>
      </c>
      <c r="Z2545">
        <v>-2.4709620000000002E-3</v>
      </c>
      <c r="AA2545">
        <v>0.96598980000000001</v>
      </c>
      <c r="AB2545">
        <v>31</v>
      </c>
      <c r="AC2545">
        <v>-16.793399999999899</v>
      </c>
      <c r="AD2545">
        <v>-1.1141045579519999</v>
      </c>
      <c r="AE2545">
        <v>-6.2610999999999901</v>
      </c>
      <c r="AF2545">
        <v>-4.6972604100298403</v>
      </c>
      <c r="AG2545">
        <v>-1.1141045579519999</v>
      </c>
      <c r="AH2545">
        <v>17.224611997013501</v>
      </c>
      <c r="AI2545">
        <v>93.570751977090495</v>
      </c>
      <c r="AJ2545">
        <v>105.254000869132</v>
      </c>
      <c r="AK2545">
        <v>17.888340973196598</v>
      </c>
      <c r="AL2545">
        <v>81.3217076798378</v>
      </c>
      <c r="AM2545">
        <v>97.930033048666601</v>
      </c>
      <c r="AN2545">
        <v>1.0000000116608601</v>
      </c>
    </row>
    <row r="2546" spans="1:40" x14ac:dyDescent="0.25">
      <c r="A2546" t="str">
        <f>"20190312172940833"</f>
        <v>20190312172940833</v>
      </c>
      <c r="B2546" t="str">
        <f>"1552382980820507"</f>
        <v>1552382980820507</v>
      </c>
      <c r="C2546" t="s">
        <v>40</v>
      </c>
      <c r="D2546">
        <v>3.2497319999999998</v>
      </c>
      <c r="E2546">
        <v>0.45094849999999997</v>
      </c>
      <c r="F2546" t="s">
        <v>46</v>
      </c>
      <c r="G2546">
        <v>-484.19220000000001</v>
      </c>
      <c r="H2546" s="1">
        <v>2.4387980000000002E-6</v>
      </c>
      <c r="I2546">
        <v>279.4085</v>
      </c>
      <c r="J2546">
        <v>-467.42079999999999</v>
      </c>
      <c r="K2546">
        <v>1.114215</v>
      </c>
      <c r="L2546">
        <v>285.78460000000001</v>
      </c>
      <c r="M2546">
        <v>-0.99533890000000003</v>
      </c>
      <c r="N2546">
        <v>0</v>
      </c>
      <c r="O2546">
        <v>-9.5437229999999998E-2</v>
      </c>
      <c r="P2546">
        <v>-0.96342890000000003</v>
      </c>
      <c r="Q2546">
        <v>0.1396636</v>
      </c>
      <c r="R2546">
        <v>-0.22869049999999999</v>
      </c>
      <c r="S2546">
        <v>-2.885742</v>
      </c>
      <c r="T2546">
        <v>-0.18836259999999999</v>
      </c>
      <c r="U2546">
        <v>-1.0834349999999999</v>
      </c>
      <c r="V2546">
        <v>-0.1372342</v>
      </c>
      <c r="W2546">
        <v>0.15187989999999901</v>
      </c>
      <c r="X2546">
        <v>0.97882539999999996</v>
      </c>
      <c r="Y2546">
        <v>-0.26022199999999901</v>
      </c>
      <c r="Z2546">
        <v>-2.2187230000000001E-3</v>
      </c>
      <c r="AA2546">
        <v>0.96554629999999997</v>
      </c>
      <c r="AB2546">
        <v>31</v>
      </c>
      <c r="AC2546">
        <v>-16.7714</v>
      </c>
      <c r="AD2546">
        <v>-1.114212561202</v>
      </c>
      <c r="AE2546">
        <v>-6.3761000000000001</v>
      </c>
      <c r="AF2546">
        <v>-4.7279881104771997</v>
      </c>
      <c r="AG2546">
        <v>-1.114212561202</v>
      </c>
      <c r="AH2546">
        <v>17.2369367117584</v>
      </c>
      <c r="AI2546">
        <v>93.5671127277583</v>
      </c>
      <c r="AJ2546">
        <v>105.33863701650399</v>
      </c>
      <c r="AK2546">
        <v>17.9083033369864</v>
      </c>
      <c r="AL2546">
        <v>81.264114271534396</v>
      </c>
      <c r="AM2546">
        <v>97.981014229176694</v>
      </c>
      <c r="AN2546">
        <v>0.99999994667940295</v>
      </c>
    </row>
    <row r="2547" spans="1:40" x14ac:dyDescent="0.25">
      <c r="A2547" t="str">
        <f>"20190312172940856"</f>
        <v>20190312172940856</v>
      </c>
      <c r="B2547" t="str">
        <f>"1552382980849787"</f>
        <v>1552382980849787</v>
      </c>
      <c r="C2547" t="s">
        <v>40</v>
      </c>
      <c r="D2547">
        <v>3.2667619999999999</v>
      </c>
      <c r="E2547">
        <v>0.45099080000000002</v>
      </c>
      <c r="F2547" t="s">
        <v>46</v>
      </c>
      <c r="G2547">
        <v>-484.76139999999998</v>
      </c>
      <c r="H2547" s="1">
        <v>2.4516299999999999E-6</v>
      </c>
      <c r="I2547">
        <v>279.15910000000002</v>
      </c>
      <c r="J2547">
        <v>-467.73250000000002</v>
      </c>
      <c r="K2547">
        <v>1.114331</v>
      </c>
      <c r="L2547">
        <v>285.74930000000001</v>
      </c>
      <c r="M2547">
        <v>-0.99481299999999995</v>
      </c>
      <c r="N2547">
        <v>0</v>
      </c>
      <c r="O2547">
        <v>-0.1007696</v>
      </c>
      <c r="P2547">
        <v>-0.96189899999999995</v>
      </c>
      <c r="Q2547">
        <v>0.14092779999999999</v>
      </c>
      <c r="R2547">
        <v>-0.23428560000000001</v>
      </c>
      <c r="S2547">
        <v>-2.879578</v>
      </c>
      <c r="T2547">
        <v>-0.18502579999999999</v>
      </c>
      <c r="U2547">
        <v>-1.10022</v>
      </c>
      <c r="V2547">
        <v>-0.1377535</v>
      </c>
      <c r="W2547">
        <v>0.15310090000000001</v>
      </c>
      <c r="X2547">
        <v>0.97856220000000005</v>
      </c>
      <c r="Y2547">
        <v>-0.26066800000000001</v>
      </c>
      <c r="Z2547">
        <v>-1.869391E-3</v>
      </c>
      <c r="AA2547">
        <v>0.96542669999999997</v>
      </c>
      <c r="AB2547">
        <v>31</v>
      </c>
      <c r="AC2547">
        <v>-17.028899999999901</v>
      </c>
      <c r="AD2547">
        <v>-1.1143285483700001</v>
      </c>
      <c r="AE2547">
        <v>-6.5901999999999799</v>
      </c>
      <c r="AF2547">
        <v>-4.8225268648672603</v>
      </c>
      <c r="AG2547">
        <v>-1.1143285483700001</v>
      </c>
      <c r="AH2547">
        <v>17.541030606008</v>
      </c>
      <c r="AI2547">
        <v>93.505225844496593</v>
      </c>
      <c r="AJ2547">
        <v>105.372435366414</v>
      </c>
      <c r="AK2547">
        <v>18.225977290586801</v>
      </c>
      <c r="AL2547">
        <v>81.193328262720897</v>
      </c>
      <c r="AM2547">
        <v>98.012950062484606</v>
      </c>
      <c r="AN2547">
        <v>0.99999994580594798</v>
      </c>
    </row>
    <row r="2548" spans="1:40" x14ac:dyDescent="0.25">
      <c r="A2548" t="str">
        <f>"20190312172940877"</f>
        <v>20190312172940877</v>
      </c>
      <c r="B2548" t="str">
        <f>"1552382980870283"</f>
        <v>1552382980870283</v>
      </c>
      <c r="C2548" t="s">
        <v>40</v>
      </c>
      <c r="D2548">
        <v>3.1510349999999998</v>
      </c>
      <c r="E2548">
        <v>0.45107459999999999</v>
      </c>
      <c r="F2548" t="s">
        <v>46</v>
      </c>
      <c r="G2548">
        <v>-485.31</v>
      </c>
      <c r="H2548" s="1">
        <v>2.4632980000000001E-6</v>
      </c>
      <c r="I2548">
        <v>278.9169</v>
      </c>
      <c r="J2548">
        <v>-468.02960000000002</v>
      </c>
      <c r="K2548">
        <v>1.1144430000000001</v>
      </c>
      <c r="L2548">
        <v>285.71379999999999</v>
      </c>
      <c r="M2548">
        <v>-0.99426939999999997</v>
      </c>
      <c r="N2548">
        <v>0</v>
      </c>
      <c r="O2548">
        <v>-0.1059978</v>
      </c>
      <c r="P2548">
        <v>-0.96050290000000005</v>
      </c>
      <c r="Q2548">
        <v>0.14113609999999999</v>
      </c>
      <c r="R2548">
        <v>-0.23982249999999999</v>
      </c>
      <c r="S2548">
        <v>-2.8734739999999999</v>
      </c>
      <c r="T2548">
        <v>-0.1821644</v>
      </c>
      <c r="U2548">
        <v>-1.1169129999999901</v>
      </c>
      <c r="V2548">
        <v>-0.13829530000000001</v>
      </c>
      <c r="W2548">
        <v>0.15326960000000001</v>
      </c>
      <c r="X2548">
        <v>0.97845939999999998</v>
      </c>
      <c r="Y2548">
        <v>-0.2611754</v>
      </c>
      <c r="Z2548">
        <v>-1.5430939999999901E-3</v>
      </c>
      <c r="AA2548">
        <v>0.96529010000000004</v>
      </c>
      <c r="AB2548">
        <v>31</v>
      </c>
      <c r="AC2548">
        <v>-17.280399999999901</v>
      </c>
      <c r="AD2548">
        <v>-1.1144405367020001</v>
      </c>
      <c r="AE2548">
        <v>-6.7968999999999902</v>
      </c>
      <c r="AF2548">
        <v>-4.9090583011191704</v>
      </c>
      <c r="AG2548">
        <v>-1.1144405367020001</v>
      </c>
      <c r="AH2548">
        <v>17.839299910292901</v>
      </c>
      <c r="AI2548">
        <v>93.446884037957503</v>
      </c>
      <c r="AJ2548">
        <v>105.385957631224</v>
      </c>
      <c r="AK2548">
        <v>18.535950269759802</v>
      </c>
      <c r="AL2548">
        <v>81.183547314770493</v>
      </c>
      <c r="AM2548">
        <v>98.044888251182002</v>
      </c>
      <c r="AN2548">
        <v>0.99999997886730396</v>
      </c>
    </row>
    <row r="2549" spans="1:40" x14ac:dyDescent="0.25">
      <c r="A2549" t="str">
        <f>"20190312172940899"</f>
        <v>20190312172940899</v>
      </c>
      <c r="B2549" t="str">
        <f>"1552382980889803"</f>
        <v>1552382980889803</v>
      </c>
      <c r="C2549" t="s">
        <v>40</v>
      </c>
      <c r="D2549">
        <v>3.1181779999999999</v>
      </c>
      <c r="E2549">
        <v>0.45114029999999999</v>
      </c>
      <c r="F2549" t="s">
        <v>46</v>
      </c>
      <c r="G2549">
        <v>-485.5444</v>
      </c>
      <c r="H2549" s="1">
        <v>2.4613320000000001E-6</v>
      </c>
      <c r="I2549">
        <v>278.7937</v>
      </c>
      <c r="J2549">
        <v>-468.3347</v>
      </c>
      <c r="K2549">
        <v>1.1145590000000001</v>
      </c>
      <c r="L2549">
        <v>285.67570000000001</v>
      </c>
      <c r="M2549">
        <v>-0.99366620000000005</v>
      </c>
      <c r="N2549">
        <v>0</v>
      </c>
      <c r="O2549">
        <v>-0.1115104</v>
      </c>
      <c r="P2549">
        <v>-0.95891309999999996</v>
      </c>
      <c r="Q2549">
        <v>0.14106669999999999</v>
      </c>
      <c r="R2549">
        <v>-0.24614230000000001</v>
      </c>
      <c r="S2549">
        <v>-2.8673099999999998</v>
      </c>
      <c r="T2549">
        <v>-0.18244250000000001</v>
      </c>
      <c r="U2549">
        <v>-1.1328739999999999</v>
      </c>
      <c r="V2549">
        <v>-0.13935690000000001</v>
      </c>
      <c r="W2549">
        <v>0.1531527</v>
      </c>
      <c r="X2549">
        <v>0.97832710000000001</v>
      </c>
      <c r="Y2549">
        <v>-0.26118780000000003</v>
      </c>
      <c r="Z2549">
        <v>-1.215074E-3</v>
      </c>
      <c r="AA2549">
        <v>0.96528729999999996</v>
      </c>
      <c r="AB2549">
        <v>31</v>
      </c>
      <c r="AC2549">
        <v>-17.209699999999899</v>
      </c>
      <c r="AD2549">
        <v>-1.1145565386679901</v>
      </c>
      <c r="AE2549">
        <v>-6.8819999999999997</v>
      </c>
      <c r="AF2549">
        <v>-4.9020986825758204</v>
      </c>
      <c r="AG2549">
        <v>-1.1145565386679901</v>
      </c>
      <c r="AH2549">
        <v>17.805450436905499</v>
      </c>
      <c r="AI2549">
        <v>93.453662967578495</v>
      </c>
      <c r="AJ2549">
        <v>105.39300250301299</v>
      </c>
      <c r="AK2549">
        <v>18.501537045140299</v>
      </c>
      <c r="AL2549">
        <v>81.190325445667696</v>
      </c>
      <c r="AM2549">
        <v>98.1069073785782</v>
      </c>
      <c r="AN2549">
        <v>1.00000000484465</v>
      </c>
    </row>
    <row r="2550" spans="1:40" x14ac:dyDescent="0.25">
      <c r="A2550" t="str">
        <f>"20190312172940922"</f>
        <v>20190312172940922</v>
      </c>
      <c r="B2550" t="str">
        <f>"1552382980910299"</f>
        <v>1552382980910299</v>
      </c>
      <c r="C2550" t="s">
        <v>40</v>
      </c>
      <c r="D2550">
        <v>3.1853630000000002</v>
      </c>
      <c r="E2550">
        <v>0.45133630000000002</v>
      </c>
      <c r="F2550" t="s">
        <v>46</v>
      </c>
      <c r="G2550">
        <v>-485.69690000000003</v>
      </c>
      <c r="H2550" s="1">
        <v>2.4513230000000001E-6</v>
      </c>
      <c r="I2550">
        <v>278.68889999999999</v>
      </c>
      <c r="J2550">
        <v>-468.63679999999999</v>
      </c>
      <c r="K2550">
        <v>1.114684</v>
      </c>
      <c r="L2550">
        <v>285.63600000000002</v>
      </c>
      <c r="M2550">
        <v>-0.99302060000000003</v>
      </c>
      <c r="N2550">
        <v>0</v>
      </c>
      <c r="O2550">
        <v>-0.1171194</v>
      </c>
      <c r="P2550">
        <v>-0.95728610000000003</v>
      </c>
      <c r="Q2550">
        <v>0.14055419999999999</v>
      </c>
      <c r="R2550">
        <v>-0.25268180000000001</v>
      </c>
      <c r="S2550">
        <v>-2.8601070000000002</v>
      </c>
      <c r="T2550">
        <v>-0.18360270000000001</v>
      </c>
      <c r="U2550">
        <v>-1.1509400000000001</v>
      </c>
      <c r="V2550">
        <v>-0.1405428</v>
      </c>
      <c r="W2550">
        <v>0.15259249999999999</v>
      </c>
      <c r="X2550">
        <v>0.97824500000000003</v>
      </c>
      <c r="Y2550">
        <v>-0.26183200000000001</v>
      </c>
      <c r="Z2550">
        <v>-9.0396360000000002E-4</v>
      </c>
      <c r="AA2550">
        <v>0.965113</v>
      </c>
      <c r="AB2550">
        <v>31</v>
      </c>
      <c r="AC2550">
        <v>-17.060099999999998</v>
      </c>
      <c r="AD2550">
        <v>-1.1146815486769901</v>
      </c>
      <c r="AE2550">
        <v>-6.9470999999999696</v>
      </c>
      <c r="AF2550">
        <v>-4.8831364972971301</v>
      </c>
      <c r="AG2550">
        <v>-1.1146815486769901</v>
      </c>
      <c r="AH2550">
        <v>17.6916008884821</v>
      </c>
      <c r="AI2550">
        <v>93.475600933659393</v>
      </c>
      <c r="AJ2550">
        <v>105.430271381954</v>
      </c>
      <c r="AK2550">
        <v>18.3869594822945</v>
      </c>
      <c r="AL2550">
        <v>81.222804389785594</v>
      </c>
      <c r="AM2550">
        <v>98.175643757889006</v>
      </c>
      <c r="AN2550">
        <v>1.00000001485654</v>
      </c>
    </row>
    <row r="2551" spans="1:40" x14ac:dyDescent="0.25">
      <c r="A2551" t="str">
        <f>"20190312172940944"</f>
        <v>20190312172940944</v>
      </c>
      <c r="B2551" t="str">
        <f>"1552382980939582"</f>
        <v>1552382980939582</v>
      </c>
      <c r="C2551" t="s">
        <v>40</v>
      </c>
      <c r="D2551">
        <v>3.1483910000000002</v>
      </c>
      <c r="E2551">
        <v>0.45155410000000001</v>
      </c>
      <c r="F2551" t="s">
        <v>46</v>
      </c>
      <c r="G2551">
        <v>-485.702</v>
      </c>
      <c r="H2551" s="1">
        <v>2.4360820000000002E-6</v>
      </c>
      <c r="I2551">
        <v>278.64319999999998</v>
      </c>
      <c r="J2551">
        <v>-468.94569999999999</v>
      </c>
      <c r="K2551">
        <v>1.1148100000000001</v>
      </c>
      <c r="L2551">
        <v>285.59339999999997</v>
      </c>
      <c r="M2551">
        <v>-0.99230640000000003</v>
      </c>
      <c r="N2551">
        <v>0</v>
      </c>
      <c r="O2551">
        <v>-0.1230233</v>
      </c>
      <c r="P2551">
        <v>-0.95529710000000001</v>
      </c>
      <c r="Q2551">
        <v>0.1416924</v>
      </c>
      <c r="R2551">
        <v>-0.25948169999999998</v>
      </c>
      <c r="S2551">
        <v>-2.8526310000000001</v>
      </c>
      <c r="T2551">
        <v>-0.18633089999999999</v>
      </c>
      <c r="U2551">
        <v>-1.1689149999999999</v>
      </c>
      <c r="V2551">
        <v>-0.14176259999999999</v>
      </c>
      <c r="W2551">
        <v>0.15367809999999901</v>
      </c>
      <c r="X2551">
        <v>0.97789899999999996</v>
      </c>
      <c r="Y2551">
        <v>-0.26218849999999999</v>
      </c>
      <c r="Z2551">
        <v>-5.6638519999999896E-4</v>
      </c>
      <c r="AA2551">
        <v>0.96501650000000005</v>
      </c>
      <c r="AB2551">
        <v>31</v>
      </c>
      <c r="AC2551">
        <v>-16.7563</v>
      </c>
      <c r="AD2551">
        <v>-1.114807563918</v>
      </c>
      <c r="AE2551">
        <v>-6.9501999999999899</v>
      </c>
      <c r="AF2551">
        <v>-4.8175859167431598</v>
      </c>
      <c r="AG2551">
        <v>-1.114807563918</v>
      </c>
      <c r="AH2551">
        <v>17.4183281022529</v>
      </c>
      <c r="AI2551">
        <v>93.529877670712295</v>
      </c>
      <c r="AJ2551">
        <v>105.460455310976</v>
      </c>
      <c r="AK2551">
        <v>18.106630935861698</v>
      </c>
      <c r="AL2551">
        <v>81.159861773343593</v>
      </c>
      <c r="AM2551">
        <v>98.248507600827693</v>
      </c>
      <c r="AN2551">
        <v>1.00000002368968</v>
      </c>
    </row>
    <row r="2552" spans="1:40" x14ac:dyDescent="0.25">
      <c r="A2552" t="str">
        <f>"20190312172940966"</f>
        <v>20190312172940966</v>
      </c>
      <c r="B2552" t="str">
        <f>"1552382980960078"</f>
        <v>1552382980960078</v>
      </c>
      <c r="C2552" t="s">
        <v>40</v>
      </c>
      <c r="D2552">
        <v>3.148736</v>
      </c>
      <c r="E2552">
        <v>0.45167180000000001</v>
      </c>
      <c r="F2552" t="s">
        <v>46</v>
      </c>
      <c r="G2552">
        <v>-486.10520000000002</v>
      </c>
      <c r="H2552" s="1">
        <v>2.4320140000000001E-6</v>
      </c>
      <c r="I2552">
        <v>278.42939999999999</v>
      </c>
      <c r="J2552">
        <v>-469.24680000000001</v>
      </c>
      <c r="K2552">
        <v>1.114932</v>
      </c>
      <c r="L2552">
        <v>285.55</v>
      </c>
      <c r="M2552">
        <v>-0.99155400000000005</v>
      </c>
      <c r="N2552">
        <v>0</v>
      </c>
      <c r="O2552">
        <v>-0.12894610000000001</v>
      </c>
      <c r="P2552">
        <v>-0.95349870000000003</v>
      </c>
      <c r="Q2552">
        <v>0.1420689</v>
      </c>
      <c r="R2552">
        <v>-0.26581310000000002</v>
      </c>
      <c r="S2552">
        <v>-2.8451230000000001</v>
      </c>
      <c r="T2552">
        <v>-0.18484100000000001</v>
      </c>
      <c r="U2552">
        <v>-1.1878359999999999</v>
      </c>
      <c r="V2552">
        <v>-0.14246900000000001</v>
      </c>
      <c r="W2552">
        <v>0.15401129999999999</v>
      </c>
      <c r="X2552">
        <v>0.9777439</v>
      </c>
      <c r="Y2552">
        <v>-0.26281100000000002</v>
      </c>
      <c r="Z2552">
        <v>-2.2049339999999999E-4</v>
      </c>
      <c r="AA2552">
        <v>0.96484729999999996</v>
      </c>
      <c r="AB2552">
        <v>31</v>
      </c>
      <c r="AC2552">
        <v>-16.8584</v>
      </c>
      <c r="AD2552">
        <v>-1.1149295679860001</v>
      </c>
      <c r="AE2552">
        <v>-7.12060000000002</v>
      </c>
      <c r="AF2552">
        <v>-4.8690352782266801</v>
      </c>
      <c r="AG2552">
        <v>-1.1149295679860001</v>
      </c>
      <c r="AH2552">
        <v>17.570678070621099</v>
      </c>
      <c r="AI2552">
        <v>93.499253860611702</v>
      </c>
      <c r="AJ2552">
        <v>105.48865951691501</v>
      </c>
      <c r="AK2552">
        <v>18.2668908231147</v>
      </c>
      <c r="AL2552">
        <v>81.140540729137896</v>
      </c>
      <c r="AM2552">
        <v>98.290336634210206</v>
      </c>
      <c r="AN2552">
        <v>1.00000001523794</v>
      </c>
    </row>
    <row r="2553" spans="1:40" x14ac:dyDescent="0.25">
      <c r="A2553" t="str">
        <f>"20190312172940989"</f>
        <v>20190312172940989</v>
      </c>
      <c r="B2553" t="str">
        <f>"1552382980979594"</f>
        <v>1552382980979594</v>
      </c>
      <c r="C2553" t="s">
        <v>40</v>
      </c>
      <c r="D2553">
        <v>3.148514</v>
      </c>
      <c r="E2553">
        <v>0.45178560000000001</v>
      </c>
      <c r="F2553" t="s">
        <v>46</v>
      </c>
      <c r="G2553">
        <v>-486.39530000000002</v>
      </c>
      <c r="H2553" s="1">
        <v>2.4232430000000001E-6</v>
      </c>
      <c r="I2553">
        <v>278.25900000000001</v>
      </c>
      <c r="J2553">
        <v>-469.55529999999999</v>
      </c>
      <c r="K2553">
        <v>1.115043</v>
      </c>
      <c r="L2553">
        <v>285.50330000000002</v>
      </c>
      <c r="M2553">
        <v>-0.9907262</v>
      </c>
      <c r="N2553">
        <v>0</v>
      </c>
      <c r="O2553">
        <v>-0.13515820000000001</v>
      </c>
      <c r="P2553">
        <v>-0.95158960000000004</v>
      </c>
      <c r="Q2553">
        <v>0.1424282</v>
      </c>
      <c r="R2553">
        <v>-0.2723814</v>
      </c>
      <c r="S2553">
        <v>-2.8374630000000001</v>
      </c>
      <c r="T2553">
        <v>-0.18448020000000001</v>
      </c>
      <c r="U2553">
        <v>-1.2063900000000001</v>
      </c>
      <c r="V2553">
        <v>-0.14313970000000001</v>
      </c>
      <c r="W2553">
        <v>0.1543302</v>
      </c>
      <c r="X2553">
        <v>0.97759560000000001</v>
      </c>
      <c r="Y2553">
        <v>-0.26305679999999998</v>
      </c>
      <c r="Z2553">
        <v>1.5028749999999999E-4</v>
      </c>
      <c r="AA2553">
        <v>0.96478030000000004</v>
      </c>
      <c r="AB2553">
        <v>31</v>
      </c>
      <c r="AC2553">
        <v>-16.84</v>
      </c>
      <c r="AD2553">
        <v>-1.115040576757</v>
      </c>
      <c r="AE2553">
        <v>-7.2443000000000097</v>
      </c>
      <c r="AF2553">
        <v>-4.8834618785900501</v>
      </c>
      <c r="AG2553">
        <v>-1.115040576757</v>
      </c>
      <c r="AH2553">
        <v>17.599556336245101</v>
      </c>
      <c r="AI2553">
        <v>93.493545750786197</v>
      </c>
      <c r="AJ2553">
        <v>105.508080058216</v>
      </c>
      <c r="AK2553">
        <v>18.2985217610637</v>
      </c>
      <c r="AL2553">
        <v>81.122047612156805</v>
      </c>
      <c r="AM2553">
        <v>98.330064484795002</v>
      </c>
      <c r="AN2553">
        <v>0.99999997074374403</v>
      </c>
    </row>
    <row r="2554" spans="1:40" x14ac:dyDescent="0.25">
      <c r="A2554" t="str">
        <f>"20190312172941011"</f>
        <v>20190312172941011</v>
      </c>
      <c r="B2554" t="str">
        <f>"1552382981000090"</f>
        <v>1552382981000090</v>
      </c>
      <c r="C2554" t="s">
        <v>40</v>
      </c>
      <c r="D2554">
        <v>3.16195</v>
      </c>
      <c r="E2554">
        <v>0.45535160000000002</v>
      </c>
      <c r="F2554" t="s">
        <v>46</v>
      </c>
      <c r="G2554">
        <v>-486.70280000000002</v>
      </c>
      <c r="H2554" s="1">
        <v>2.4132559999999999E-6</v>
      </c>
      <c r="I2554">
        <v>278.07639999999998</v>
      </c>
      <c r="J2554">
        <v>-469.85629999999998</v>
      </c>
      <c r="K2554">
        <v>1.1151500000000001</v>
      </c>
      <c r="L2554">
        <v>285.45569999999998</v>
      </c>
      <c r="M2554">
        <v>-0.98985889999999999</v>
      </c>
      <c r="N2554">
        <v>0</v>
      </c>
      <c r="O2554">
        <v>-0.14136949999999901</v>
      </c>
      <c r="P2554">
        <v>-0.94966139999999999</v>
      </c>
      <c r="Q2554">
        <v>0.14227860000000001</v>
      </c>
      <c r="R2554">
        <v>-0.27910600000000002</v>
      </c>
      <c r="S2554">
        <v>-2.8293460000000001</v>
      </c>
      <c r="T2554">
        <v>-0.18398200000000001</v>
      </c>
      <c r="U2554">
        <v>-1.225433</v>
      </c>
      <c r="V2554">
        <v>-0.14396249999999999</v>
      </c>
      <c r="W2554">
        <v>0.1541399</v>
      </c>
      <c r="X2554">
        <v>0.97750479999999995</v>
      </c>
      <c r="Y2554">
        <v>-0.26349430000000001</v>
      </c>
      <c r="Z2554">
        <v>5.135173E-4</v>
      </c>
      <c r="AA2554">
        <v>0.96466079999999998</v>
      </c>
      <c r="AB2554">
        <v>31</v>
      </c>
      <c r="AC2554">
        <v>-16.846499999999999</v>
      </c>
      <c r="AD2554">
        <v>-1.1151475867439999</v>
      </c>
      <c r="AE2554">
        <v>-7.3792999999999997</v>
      </c>
      <c r="AF2554">
        <v>-4.9053284826573096</v>
      </c>
      <c r="AG2554">
        <v>-1.1151475867439999</v>
      </c>
      <c r="AH2554">
        <v>17.655676798225201</v>
      </c>
      <c r="AI2554">
        <v>93.482482624672301</v>
      </c>
      <c r="AJ2554">
        <v>105.52704478517001</v>
      </c>
      <c r="AK2554">
        <v>18.358342105603601</v>
      </c>
      <c r="AL2554">
        <v>81.133083059454904</v>
      </c>
      <c r="AM2554">
        <v>98.378037123807502</v>
      </c>
      <c r="AN2554">
        <v>0.99999997210064895</v>
      </c>
    </row>
    <row r="2555" spans="1:40" x14ac:dyDescent="0.25">
      <c r="A2555" t="str">
        <f>"20190312172941034"</f>
        <v>20190312172941034</v>
      </c>
      <c r="B2555" t="str">
        <f>"1552382981030347"</f>
        <v>1552382981030347</v>
      </c>
      <c r="C2555" t="s">
        <v>40</v>
      </c>
      <c r="D2555">
        <v>3.1592009999999999</v>
      </c>
      <c r="E2555">
        <v>0.45586989999999999</v>
      </c>
      <c r="F2555" t="s">
        <v>46</v>
      </c>
      <c r="G2555">
        <v>-484.98989999999998</v>
      </c>
      <c r="H2555" s="1">
        <v>2.4144210000000001E-6</v>
      </c>
      <c r="I2555">
        <v>278.9393</v>
      </c>
      <c r="J2555">
        <v>-470.15690000000001</v>
      </c>
      <c r="K2555">
        <v>1.1152740000000001</v>
      </c>
      <c r="L2555">
        <v>285.40620000000001</v>
      </c>
      <c r="M2555">
        <v>-0.98892650000000004</v>
      </c>
      <c r="N2555">
        <v>0</v>
      </c>
      <c r="O2555">
        <v>-0.1477492</v>
      </c>
      <c r="P2555">
        <v>-0.94768869999999905</v>
      </c>
      <c r="Q2555">
        <v>0.14163979999999901</v>
      </c>
      <c r="R2555">
        <v>-0.28605019999999998</v>
      </c>
      <c r="S2555">
        <v>-2.8319399999999999</v>
      </c>
      <c r="T2555">
        <v>-0.2086768</v>
      </c>
      <c r="U2555">
        <v>-1.2194210000000001</v>
      </c>
      <c r="V2555">
        <v>-0.14484129999999901</v>
      </c>
      <c r="W2555">
        <v>0.15345719999999999</v>
      </c>
      <c r="X2555">
        <v>0.97748239999999997</v>
      </c>
      <c r="Y2555">
        <v>-0.25518790000000002</v>
      </c>
      <c r="Z2555">
        <v>1.314602E-3</v>
      </c>
      <c r="AA2555">
        <v>0.96689060000000004</v>
      </c>
      <c r="AB2555">
        <v>31</v>
      </c>
      <c r="AC2555">
        <v>-14.832999999999901</v>
      </c>
      <c r="AD2555">
        <v>-1.1152715855790001</v>
      </c>
      <c r="AE2555">
        <v>-6.4669000000000096</v>
      </c>
      <c r="AF2555">
        <v>-4.1842571087347302</v>
      </c>
      <c r="AG2555">
        <v>-1.1152715855790001</v>
      </c>
      <c r="AH2555">
        <v>15.5518690194406</v>
      </c>
      <c r="AI2555">
        <v>93.961427777269805</v>
      </c>
      <c r="AJ2555">
        <v>105.058922314851</v>
      </c>
      <c r="AK2555">
        <v>16.143496159736699</v>
      </c>
      <c r="AL2555">
        <v>81.172669940974899</v>
      </c>
      <c r="AM2555">
        <v>98.4286376724028</v>
      </c>
      <c r="AN2555">
        <v>0.99999997836364396</v>
      </c>
    </row>
    <row r="2556" spans="1:40" x14ac:dyDescent="0.25">
      <c r="A2556" t="str">
        <f>"20190312172941047"</f>
        <v>20190312172941047</v>
      </c>
      <c r="B2556" t="str">
        <f>"1552382981040107"</f>
        <v>1552382981040107</v>
      </c>
      <c r="C2556" t="s">
        <v>40</v>
      </c>
      <c r="D2556">
        <v>3.1597559999999998</v>
      </c>
      <c r="E2556">
        <v>0.45849129999999999</v>
      </c>
      <c r="F2556" t="s">
        <v>46</v>
      </c>
      <c r="G2556">
        <v>-484.69229999999999</v>
      </c>
      <c r="H2556" s="1">
        <v>2.3975419999999998E-6</v>
      </c>
      <c r="I2556">
        <v>279.04090000000002</v>
      </c>
      <c r="J2556">
        <v>-470.34269999999998</v>
      </c>
      <c r="K2556">
        <v>1.115359</v>
      </c>
      <c r="L2556">
        <v>285.37450000000001</v>
      </c>
      <c r="M2556">
        <v>-0.98831480000000005</v>
      </c>
      <c r="N2556">
        <v>0</v>
      </c>
      <c r="O2556">
        <v>-0.15178599999999901</v>
      </c>
      <c r="P2556">
        <v>-0.94642780000000004</v>
      </c>
      <c r="Q2556">
        <v>0.1415602</v>
      </c>
      <c r="R2556">
        <v>-0.29023310000000002</v>
      </c>
      <c r="S2556">
        <v>-2.824646</v>
      </c>
      <c r="T2556">
        <v>-0.21673020000000001</v>
      </c>
      <c r="U2556">
        <v>-1.236969</v>
      </c>
      <c r="V2556">
        <v>-0.14519699999999999</v>
      </c>
      <c r="W2556">
        <v>0.15335070000000001</v>
      </c>
      <c r="X2556">
        <v>0.97744640000000005</v>
      </c>
      <c r="Y2556">
        <v>-0.25718299999999999</v>
      </c>
      <c r="Z2556">
        <v>1.581236E-3</v>
      </c>
      <c r="AA2556">
        <v>0.96636140000000004</v>
      </c>
      <c r="AB2556">
        <v>31</v>
      </c>
      <c r="AC2556">
        <v>-14.349600000000001</v>
      </c>
      <c r="AD2556">
        <v>-1.1153566024579999</v>
      </c>
      <c r="AE2556">
        <v>-6.3335999999999899</v>
      </c>
      <c r="AF2556">
        <v>-4.0613837047430499</v>
      </c>
      <c r="AG2556">
        <v>-1.1153566024579999</v>
      </c>
      <c r="AH2556">
        <v>15.0685558513046</v>
      </c>
      <c r="AI2556">
        <v>94.087887917855596</v>
      </c>
      <c r="AJ2556">
        <v>105.084316358298</v>
      </c>
      <c r="AK2556">
        <v>15.6460932309533</v>
      </c>
      <c r="AL2556">
        <v>81.178845540174905</v>
      </c>
      <c r="AM2556">
        <v>98.449344925955103</v>
      </c>
      <c r="AN2556">
        <v>1.00000003543622</v>
      </c>
    </row>
    <row r="2557" spans="1:40" x14ac:dyDescent="0.25">
      <c r="A2557" t="str">
        <f>"20190312172941067"</f>
        <v>20190312172941067</v>
      </c>
      <c r="B2557" t="str">
        <f>"1552382981059631"</f>
        <v>1552382981059631</v>
      </c>
      <c r="C2557" t="s">
        <v>40</v>
      </c>
      <c r="D2557">
        <v>3.1056180000000002</v>
      </c>
      <c r="E2557">
        <v>0.45083190000000001</v>
      </c>
      <c r="F2557" t="s">
        <v>46</v>
      </c>
      <c r="G2557">
        <v>-484.23009999999999</v>
      </c>
      <c r="H2557" s="1">
        <v>2.4176470000000002E-6</v>
      </c>
      <c r="I2557">
        <v>279.3297</v>
      </c>
      <c r="J2557">
        <v>-470.60149999999999</v>
      </c>
      <c r="K2557">
        <v>1.1155010000000001</v>
      </c>
      <c r="L2557">
        <v>285.32889999999998</v>
      </c>
      <c r="M2557">
        <v>-0.98741109999999999</v>
      </c>
      <c r="N2557">
        <v>0</v>
      </c>
      <c r="O2557">
        <v>-0.15755729999999901</v>
      </c>
      <c r="P2557">
        <v>-0.94450339999999999</v>
      </c>
      <c r="Q2557">
        <v>0.14210889999999901</v>
      </c>
      <c r="R2557">
        <v>-0.29617389999999999</v>
      </c>
      <c r="S2557">
        <v>-2.8264469999999999</v>
      </c>
      <c r="T2557">
        <v>-0.22700480000000001</v>
      </c>
      <c r="U2557">
        <v>-1.230286</v>
      </c>
      <c r="V2557">
        <v>-0.14569989999999999</v>
      </c>
      <c r="W2557">
        <v>0.1538562</v>
      </c>
      <c r="X2557">
        <v>0.9772921</v>
      </c>
      <c r="Y2557">
        <v>-0.2493947</v>
      </c>
      <c r="Z2557">
        <v>2.3868919999999998E-3</v>
      </c>
      <c r="AA2557">
        <v>0.96839900000000001</v>
      </c>
      <c r="AB2557">
        <v>31</v>
      </c>
      <c r="AC2557">
        <v>-13.6286</v>
      </c>
      <c r="AD2557">
        <v>-1.1154985823529999</v>
      </c>
      <c r="AE2557">
        <v>-5.9991999999999699</v>
      </c>
      <c r="AF2557">
        <v>-3.75568276028369</v>
      </c>
      <c r="AG2557">
        <v>-1.1154985823529999</v>
      </c>
      <c r="AH2557">
        <v>14.3232714597053</v>
      </c>
      <c r="AI2557">
        <v>94.308153388286101</v>
      </c>
      <c r="AJ2557">
        <v>104.692674865214</v>
      </c>
      <c r="AK2557">
        <v>14.8494308103554</v>
      </c>
      <c r="AL2557">
        <v>81.149534541487498</v>
      </c>
      <c r="AM2557">
        <v>98.479504345368895</v>
      </c>
      <c r="AN2557">
        <v>1.00000001993042</v>
      </c>
    </row>
    <row r="2558" spans="1:40" x14ac:dyDescent="0.25">
      <c r="A2558" t="str">
        <f>"20190312172941081"</f>
        <v>20190312172941081</v>
      </c>
      <c r="B2558" t="str">
        <f>"1552382981070363"</f>
        <v>1552382981070363</v>
      </c>
      <c r="C2558" t="s">
        <v>40</v>
      </c>
      <c r="D2558">
        <v>3.1557909999999998</v>
      </c>
      <c r="E2558">
        <v>0.44672830000000002</v>
      </c>
      <c r="F2558" t="s">
        <v>46</v>
      </c>
      <c r="G2558">
        <v>-483.82850000000002</v>
      </c>
      <c r="H2558" s="1">
        <v>2.2846690000000001E-6</v>
      </c>
      <c r="I2558">
        <v>279.15499999999997</v>
      </c>
      <c r="J2558">
        <v>-470.79259999999999</v>
      </c>
      <c r="K2558">
        <v>1.115613</v>
      </c>
      <c r="L2558">
        <v>285.29419999999999</v>
      </c>
      <c r="M2558">
        <v>-0.98670409999999997</v>
      </c>
      <c r="N2558">
        <v>0</v>
      </c>
      <c r="O2558">
        <v>-0.1619247</v>
      </c>
      <c r="P2558">
        <v>-0.94301520000000005</v>
      </c>
      <c r="Q2558">
        <v>0.14270649999999999</v>
      </c>
      <c r="R2558">
        <v>-0.30059419999999998</v>
      </c>
      <c r="S2558">
        <v>-2.801758</v>
      </c>
      <c r="T2558">
        <v>-0.23628689999999999</v>
      </c>
      <c r="U2558">
        <v>-1.3077700000000001</v>
      </c>
      <c r="V2558">
        <v>-0.14601829999999999</v>
      </c>
      <c r="W2558">
        <v>0.15441969999999999</v>
      </c>
      <c r="X2558">
        <v>0.97715569999999896</v>
      </c>
      <c r="Y2558">
        <v>-0.27032230000000002</v>
      </c>
      <c r="Z2558">
        <v>1.9866110000000001E-3</v>
      </c>
      <c r="AA2558">
        <v>0.96276779999999995</v>
      </c>
      <c r="AB2558">
        <v>31</v>
      </c>
      <c r="AC2558">
        <v>-13.0359</v>
      </c>
      <c r="AD2558">
        <v>-1.115610715331</v>
      </c>
      <c r="AE2558">
        <v>-6.1392000000000104</v>
      </c>
      <c r="AF2558">
        <v>-3.9236055666784599</v>
      </c>
      <c r="AG2558">
        <v>-1.115610715331</v>
      </c>
      <c r="AH2558">
        <v>13.775442440566399</v>
      </c>
      <c r="AI2558">
        <v>94.453646064282694</v>
      </c>
      <c r="AJ2558">
        <v>105.898336358187</v>
      </c>
      <c r="AK2558">
        <v>14.3667004682491</v>
      </c>
      <c r="AL2558">
        <v>81.116857906105494</v>
      </c>
      <c r="AM2558">
        <v>98.498933332482594</v>
      </c>
      <c r="AN2558">
        <v>1.0000000248627301</v>
      </c>
    </row>
    <row r="2559" spans="1:40" x14ac:dyDescent="0.25">
      <c r="A2559" t="str">
        <f>"20190312172941100"</f>
        <v>20190312172941100</v>
      </c>
      <c r="B2559" t="str">
        <f>"1552382981089883"</f>
        <v>1552382981089883</v>
      </c>
      <c r="C2559" t="s">
        <v>40</v>
      </c>
      <c r="D2559">
        <v>3.1449859999999998</v>
      </c>
      <c r="E2559">
        <v>0.44147239999999999</v>
      </c>
      <c r="F2559" t="s">
        <v>46</v>
      </c>
      <c r="G2559">
        <v>-484.12079999999997</v>
      </c>
      <c r="H2559" s="1">
        <v>2.2193219999999998E-6</v>
      </c>
      <c r="I2559">
        <v>278.82350000000002</v>
      </c>
      <c r="J2559">
        <v>-471.0496</v>
      </c>
      <c r="K2559">
        <v>1.115772</v>
      </c>
      <c r="L2559">
        <v>285.24579999999997</v>
      </c>
      <c r="M2559">
        <v>-0.98569379999999995</v>
      </c>
      <c r="N2559">
        <v>0</v>
      </c>
      <c r="O2559">
        <v>-0.1679638</v>
      </c>
      <c r="P2559">
        <v>-0.94093439999999995</v>
      </c>
      <c r="Q2559">
        <v>0.14346639999999999</v>
      </c>
      <c r="R2559">
        <v>-0.30669170000000001</v>
      </c>
      <c r="S2559">
        <v>-2.7854920000000001</v>
      </c>
      <c r="T2559">
        <v>-0.23315449999999999</v>
      </c>
      <c r="U2559">
        <v>-1.352325</v>
      </c>
      <c r="V2559">
        <v>-0.14644989999999999</v>
      </c>
      <c r="W2559">
        <v>0.15513289999999999</v>
      </c>
      <c r="X2559">
        <v>0.97697809999999896</v>
      </c>
      <c r="Y2559">
        <v>-0.2791092</v>
      </c>
      <c r="Z2559">
        <v>2.0767979999999999E-3</v>
      </c>
      <c r="AA2559">
        <v>0.96025709999999997</v>
      </c>
      <c r="AB2559">
        <v>31</v>
      </c>
      <c r="AC2559">
        <v>-13.0711999999999</v>
      </c>
      <c r="AD2559">
        <v>-1.115769780678</v>
      </c>
      <c r="AE2559">
        <v>-6.4222999999999502</v>
      </c>
      <c r="AF2559">
        <v>-4.1112070434190198</v>
      </c>
      <c r="AG2559">
        <v>-1.115769780678</v>
      </c>
      <c r="AH2559">
        <v>13.8827969217164</v>
      </c>
      <c r="AI2559">
        <v>94.406652334060794</v>
      </c>
      <c r="AJ2559">
        <v>106.495960037126</v>
      </c>
      <c r="AK2559">
        <v>14.521674005669899</v>
      </c>
      <c r="AL2559">
        <v>81.0754958940488</v>
      </c>
      <c r="AM2559">
        <v>98.525212663962407</v>
      </c>
      <c r="AN2559">
        <v>0.99999999887601398</v>
      </c>
    </row>
    <row r="2560" spans="1:40" x14ac:dyDescent="0.25">
      <c r="A2560" t="str">
        <f>"20190312172941123"</f>
        <v>20190312172941123</v>
      </c>
      <c r="B2560" t="str">
        <f>"1552382981120140"</f>
        <v>1552382981120140</v>
      </c>
      <c r="C2560" t="s">
        <v>40</v>
      </c>
      <c r="D2560">
        <v>3.1411129999999998</v>
      </c>
      <c r="E2560">
        <v>0.43818459999999998</v>
      </c>
      <c r="F2560" t="s">
        <v>46</v>
      </c>
      <c r="G2560">
        <v>-484.56970000000001</v>
      </c>
      <c r="H2560" s="1">
        <v>2.1293979999999998E-6</v>
      </c>
      <c r="I2560">
        <v>278.34379999999999</v>
      </c>
      <c r="J2560">
        <v>-471.35129999999998</v>
      </c>
      <c r="K2560">
        <v>1.1159749999999999</v>
      </c>
      <c r="L2560">
        <v>285.18680000000001</v>
      </c>
      <c r="M2560">
        <v>-0.98441469999999998</v>
      </c>
      <c r="N2560">
        <v>0</v>
      </c>
      <c r="O2560">
        <v>-0.1753036</v>
      </c>
      <c r="P2560">
        <v>-0.93863260000000004</v>
      </c>
      <c r="Q2560">
        <v>0.1435226</v>
      </c>
      <c r="R2560">
        <v>-0.31364130000000001</v>
      </c>
      <c r="S2560">
        <v>-2.7633359999999998</v>
      </c>
      <c r="T2560">
        <v>-0.2280498</v>
      </c>
      <c r="U2560">
        <v>-1.4106749999999999</v>
      </c>
      <c r="V2560">
        <v>-0.14647309999999999</v>
      </c>
      <c r="W2560">
        <v>0.1551381</v>
      </c>
      <c r="X2560">
        <v>0.9769738</v>
      </c>
      <c r="Y2560">
        <v>-0.29117490000000001</v>
      </c>
      <c r="Z2560">
        <v>2.1151059999999998E-3</v>
      </c>
      <c r="AA2560">
        <v>0.9566675</v>
      </c>
      <c r="AB2560">
        <v>31</v>
      </c>
      <c r="AC2560">
        <v>-13.218400000000001</v>
      </c>
      <c r="AD2560">
        <v>-1.115972870602</v>
      </c>
      <c r="AE2560">
        <v>-6.8430000000000097</v>
      </c>
      <c r="AF2560">
        <v>-4.39484621634994</v>
      </c>
      <c r="AG2560">
        <v>-1.115972870602</v>
      </c>
      <c r="AH2560">
        <v>14.1339353682134</v>
      </c>
      <c r="AI2560">
        <v>94.311726623524706</v>
      </c>
      <c r="AJ2560">
        <v>107.272708337544</v>
      </c>
      <c r="AK2560">
        <v>14.8434563935129</v>
      </c>
      <c r="AL2560">
        <v>81.075194337238599</v>
      </c>
      <c r="AM2560">
        <v>98.526580320460496</v>
      </c>
      <c r="AN2560">
        <v>1.00000000249083</v>
      </c>
    </row>
    <row r="2561" spans="1:40" x14ac:dyDescent="0.25">
      <c r="A2561" t="str">
        <f>"20190312172941135"</f>
        <v>20190312172941135</v>
      </c>
      <c r="B2561" t="str">
        <f>"1552382981129899"</f>
        <v>1552382981129899</v>
      </c>
      <c r="C2561" t="s">
        <v>40</v>
      </c>
      <c r="D2561">
        <v>3.2888739999999999</v>
      </c>
      <c r="E2561">
        <v>0.43774619999999997</v>
      </c>
      <c r="F2561" t="s">
        <v>46</v>
      </c>
      <c r="G2561">
        <v>-484.77850000000001</v>
      </c>
      <c r="H2561" s="1">
        <v>2.0666179999999999E-6</v>
      </c>
      <c r="I2561">
        <v>278.06150000000002</v>
      </c>
      <c r="J2561">
        <v>-471.51920000000001</v>
      </c>
      <c r="K2561">
        <v>1.116099</v>
      </c>
      <c r="L2561">
        <v>285.15249999999997</v>
      </c>
      <c r="M2561">
        <v>-0.98364759999999996</v>
      </c>
      <c r="N2561">
        <v>0</v>
      </c>
      <c r="O2561">
        <v>-0.179556299999999</v>
      </c>
      <c r="P2561">
        <v>-0.93719750000000002</v>
      </c>
      <c r="Q2561">
        <v>0.14387649999999999</v>
      </c>
      <c r="R2561">
        <v>-0.31774269999999999</v>
      </c>
      <c r="S2561">
        <v>-2.744415</v>
      </c>
      <c r="T2561">
        <v>-0.2280961</v>
      </c>
      <c r="U2561">
        <v>-1.4563600000000001</v>
      </c>
      <c r="V2561">
        <v>-0.14658479999999999</v>
      </c>
      <c r="W2561">
        <v>0.15546079999999901</v>
      </c>
      <c r="X2561">
        <v>0.97690580000000005</v>
      </c>
      <c r="Y2561">
        <v>-0.30218149999999999</v>
      </c>
      <c r="Z2561">
        <v>2.007595E-3</v>
      </c>
      <c r="AA2561">
        <v>0.95324830000000005</v>
      </c>
      <c r="AB2561">
        <v>31</v>
      </c>
      <c r="AC2561">
        <v>-13.2592999999999</v>
      </c>
      <c r="AD2561">
        <v>-1.1160969333819999</v>
      </c>
      <c r="AE2561">
        <v>-7.0909999999999496</v>
      </c>
      <c r="AF2561">
        <v>-4.5695304548509403</v>
      </c>
      <c r="AG2561">
        <v>-1.1160969333819999</v>
      </c>
      <c r="AH2561">
        <v>14.2386728113324</v>
      </c>
      <c r="AI2561">
        <v>94.268392581469598</v>
      </c>
      <c r="AJ2561">
        <v>107.792677383578</v>
      </c>
      <c r="AK2561">
        <v>14.9955354812921</v>
      </c>
      <c r="AL2561">
        <v>81.056478366442207</v>
      </c>
      <c r="AM2561">
        <v>98.533572197870797</v>
      </c>
      <c r="AN2561">
        <v>1.0000000530006501</v>
      </c>
    </row>
    <row r="2562" spans="1:40" x14ac:dyDescent="0.25">
      <c r="A2562" t="str">
        <f>"20190312172941148"</f>
        <v>20190312172941148</v>
      </c>
      <c r="B2562" t="str">
        <f>"1552382981139659"</f>
        <v>1552382981139659</v>
      </c>
      <c r="C2562" t="s">
        <v>40</v>
      </c>
      <c r="D2562">
        <v>3.1056010000000001</v>
      </c>
      <c r="E2562">
        <v>0.43733359999999899</v>
      </c>
      <c r="F2562" t="s">
        <v>46</v>
      </c>
      <c r="G2562">
        <v>-484.99209999999999</v>
      </c>
      <c r="H2562" s="1">
        <v>2.0494889999999999E-6</v>
      </c>
      <c r="I2562">
        <v>277.9058</v>
      </c>
      <c r="J2562">
        <v>-471.68900000000002</v>
      </c>
      <c r="K2562">
        <v>1.116225</v>
      </c>
      <c r="L2562">
        <v>285.1173</v>
      </c>
      <c r="M2562">
        <v>-0.98284050000000001</v>
      </c>
      <c r="N2562">
        <v>0</v>
      </c>
      <c r="O2562">
        <v>-0.18392240000000001</v>
      </c>
      <c r="P2562">
        <v>-0.93578039999999996</v>
      </c>
      <c r="Q2562">
        <v>0.1437514</v>
      </c>
      <c r="R2562">
        <v>-0.32194830000000002</v>
      </c>
      <c r="S2562">
        <v>-2.7367859999999999</v>
      </c>
      <c r="T2562">
        <v>-0.22671659999999999</v>
      </c>
      <c r="U2562">
        <v>-1.472046</v>
      </c>
      <c r="V2562">
        <v>-0.14667649999999999</v>
      </c>
      <c r="W2562">
        <v>0.1553049</v>
      </c>
      <c r="X2562">
        <v>0.97691680000000003</v>
      </c>
      <c r="Y2562">
        <v>-0.30330810000000002</v>
      </c>
      <c r="Z2562">
        <v>2.2789540000000001E-3</v>
      </c>
      <c r="AA2562">
        <v>0.95288980000000001</v>
      </c>
      <c r="AB2562">
        <v>31</v>
      </c>
      <c r="AC2562">
        <v>-13.303099999999899</v>
      </c>
      <c r="AD2562">
        <v>-1.116222950511</v>
      </c>
      <c r="AE2562">
        <v>-7.2115</v>
      </c>
      <c r="AF2562">
        <v>-4.61635436842651</v>
      </c>
      <c r="AG2562">
        <v>-1.116222950511</v>
      </c>
      <c r="AH2562">
        <v>14.324655645079201</v>
      </c>
      <c r="AI2562">
        <v>94.241689125283997</v>
      </c>
      <c r="AJ2562">
        <v>107.86238411906901</v>
      </c>
      <c r="AK2562">
        <v>15.091469135913799</v>
      </c>
      <c r="AL2562">
        <v>81.065520312609394</v>
      </c>
      <c r="AM2562">
        <v>98.538737200402096</v>
      </c>
      <c r="AN2562">
        <v>1.0000000208692399</v>
      </c>
    </row>
    <row r="2563" spans="1:40" x14ac:dyDescent="0.25">
      <c r="A2563" t="str">
        <f>"20190312172941162"</f>
        <v>20190312172941162</v>
      </c>
      <c r="B2563" t="str">
        <f>"1552382981150395"</f>
        <v>1552382981150395</v>
      </c>
      <c r="C2563" t="s">
        <v>40</v>
      </c>
      <c r="D2563">
        <v>3.1670259999999999</v>
      </c>
      <c r="E2563">
        <v>0.43669459999999999</v>
      </c>
      <c r="F2563" t="s">
        <v>46</v>
      </c>
      <c r="G2563">
        <v>-485.11450000000002</v>
      </c>
      <c r="H2563" s="1">
        <v>2.0333309999999999E-6</v>
      </c>
      <c r="I2563">
        <v>277.7987</v>
      </c>
      <c r="J2563">
        <v>-471.86649999999997</v>
      </c>
      <c r="K2563">
        <v>1.1163590000000001</v>
      </c>
      <c r="L2563">
        <v>285.0797</v>
      </c>
      <c r="M2563">
        <v>-0.9819563</v>
      </c>
      <c r="N2563">
        <v>0</v>
      </c>
      <c r="O2563">
        <v>-0.18858440000000001</v>
      </c>
      <c r="P2563">
        <v>-0.93425349999999996</v>
      </c>
      <c r="Q2563">
        <v>0.14348469999999999</v>
      </c>
      <c r="R2563">
        <v>-0.3264705</v>
      </c>
      <c r="S2563">
        <v>-2.7289119999999998</v>
      </c>
      <c r="T2563">
        <v>-0.22688729999999999</v>
      </c>
      <c r="U2563">
        <v>-1.4876100000000001</v>
      </c>
      <c r="V2563">
        <v>-0.1468042</v>
      </c>
      <c r="W2563">
        <v>0.1550058</v>
      </c>
      <c r="X2563">
        <v>0.97694510000000001</v>
      </c>
      <c r="Y2563">
        <v>-0.3041412</v>
      </c>
      <c r="Z2563">
        <v>2.5981659999999998E-3</v>
      </c>
      <c r="AA2563">
        <v>0.95262340000000001</v>
      </c>
      <c r="AB2563">
        <v>31</v>
      </c>
      <c r="AC2563">
        <v>-13.247999999999999</v>
      </c>
      <c r="AD2563">
        <v>-1.1163569666689901</v>
      </c>
      <c r="AE2563">
        <v>-7.2809999999999997</v>
      </c>
      <c r="AF2563">
        <v>-4.6264869875734602</v>
      </c>
      <c r="AG2563">
        <v>-1.1163569666689901</v>
      </c>
      <c r="AH2563">
        <v>14.3054471987776</v>
      </c>
      <c r="AI2563">
        <v>94.246460196087895</v>
      </c>
      <c r="AJ2563">
        <v>107.92158937297999</v>
      </c>
      <c r="AK2563">
        <v>15.0763541441633</v>
      </c>
      <c r="AL2563">
        <v>81.082867364127793</v>
      </c>
      <c r="AM2563">
        <v>98.545817595315597</v>
      </c>
      <c r="AN2563">
        <v>0.99999999979264498</v>
      </c>
    </row>
    <row r="2564" spans="1:40" x14ac:dyDescent="0.25">
      <c r="A2564" t="str">
        <f>"20190312172941179"</f>
        <v>20190312172941179</v>
      </c>
      <c r="B2564" t="str">
        <f>"1552382981169915"</f>
        <v>1552382981169915</v>
      </c>
      <c r="C2564" t="s">
        <v>40</v>
      </c>
      <c r="D2564">
        <v>3.142334</v>
      </c>
      <c r="E2564">
        <v>0.43642259999999999</v>
      </c>
      <c r="F2564" t="s">
        <v>46</v>
      </c>
      <c r="G2564">
        <v>-485.47890000000001</v>
      </c>
      <c r="H2564" s="1">
        <v>2.0078289999999998E-6</v>
      </c>
      <c r="I2564">
        <v>277.5437</v>
      </c>
      <c r="J2564">
        <v>-472.09199999999998</v>
      </c>
      <c r="K2564">
        <v>1.1165210000000001</v>
      </c>
      <c r="L2564">
        <v>285.0301</v>
      </c>
      <c r="M2564">
        <v>-0.98076439999999998</v>
      </c>
      <c r="N2564">
        <v>0</v>
      </c>
      <c r="O2564">
        <v>-0.19468630000000001</v>
      </c>
      <c r="P2564">
        <v>-0.93203000000000003</v>
      </c>
      <c r="Q2564">
        <v>0.143590299999999</v>
      </c>
      <c r="R2564">
        <v>-0.33271970000000001</v>
      </c>
      <c r="S2564">
        <v>-2.7192989999999999</v>
      </c>
      <c r="T2564">
        <v>-0.22301009999999999</v>
      </c>
      <c r="U2564">
        <v>-1.5054320000000001</v>
      </c>
      <c r="V2564">
        <v>-0.14734169999999999</v>
      </c>
      <c r="W2564">
        <v>0.1550647</v>
      </c>
      <c r="X2564">
        <v>0.97685489999999997</v>
      </c>
      <c r="Y2564">
        <v>-0.30444890000000002</v>
      </c>
      <c r="Z2564">
        <v>2.9927059999999999E-3</v>
      </c>
      <c r="AA2564">
        <v>0.95252389999999998</v>
      </c>
      <c r="AB2564">
        <v>31</v>
      </c>
      <c r="AC2564">
        <v>-13.386900000000001</v>
      </c>
      <c r="AD2564">
        <v>-1.1165189921709999</v>
      </c>
      <c r="AE2564">
        <v>-7.4863999999999997</v>
      </c>
      <c r="AF2564">
        <v>-4.71165157589882</v>
      </c>
      <c r="AG2564">
        <v>-1.1165189921709999</v>
      </c>
      <c r="AH2564">
        <v>14.511445998514599</v>
      </c>
      <c r="AI2564">
        <v>94.185437302911495</v>
      </c>
      <c r="AJ2564">
        <v>107.98784589933101</v>
      </c>
      <c r="AK2564">
        <v>15.297984841159799</v>
      </c>
      <c r="AL2564">
        <v>81.079451941063894</v>
      </c>
      <c r="AM2564">
        <v>98.577422413398594</v>
      </c>
      <c r="AN2564">
        <v>1.0000000666994899</v>
      </c>
    </row>
    <row r="2565" spans="1:40" x14ac:dyDescent="0.25">
      <c r="A2565" t="str">
        <f>"20190312172941201"</f>
        <v>20190312172941201</v>
      </c>
      <c r="B2565" t="str">
        <f>"1552382981190411"</f>
        <v>1552382981190411</v>
      </c>
      <c r="C2565" t="s">
        <v>40</v>
      </c>
      <c r="D2565">
        <v>3.1472980000000002</v>
      </c>
      <c r="E2565">
        <v>0.4363573</v>
      </c>
      <c r="F2565" t="s">
        <v>46</v>
      </c>
      <c r="G2565">
        <v>-485.54</v>
      </c>
      <c r="H2565" s="1">
        <v>1.9871949999999999E-6</v>
      </c>
      <c r="I2565">
        <v>277.4547</v>
      </c>
      <c r="J2565">
        <v>-472.38420000000002</v>
      </c>
      <c r="K2565">
        <v>1.1167320000000001</v>
      </c>
      <c r="L2565">
        <v>284.96359999999999</v>
      </c>
      <c r="M2565">
        <v>-0.97911420000000005</v>
      </c>
      <c r="N2565">
        <v>0</v>
      </c>
      <c r="O2565">
        <v>-0.20282</v>
      </c>
      <c r="P2565">
        <v>-0.92907229999999996</v>
      </c>
      <c r="Q2565">
        <v>0.14369379999999901</v>
      </c>
      <c r="R2565">
        <v>-0.34084740000000002</v>
      </c>
      <c r="S2565">
        <v>-2.70871</v>
      </c>
      <c r="T2565">
        <v>-0.2248907</v>
      </c>
      <c r="U2565">
        <v>-1.5258480000000001</v>
      </c>
      <c r="V2565">
        <v>-0.14785209999999999</v>
      </c>
      <c r="W2565">
        <v>0.15511129999999901</v>
      </c>
      <c r="X2565">
        <v>0.97677029999999998</v>
      </c>
      <c r="Y2565">
        <v>-0.30360479999999901</v>
      </c>
      <c r="Z2565">
        <v>3.655527E-3</v>
      </c>
      <c r="AA2565">
        <v>0.95279100000000005</v>
      </c>
      <c r="AB2565">
        <v>31</v>
      </c>
      <c r="AC2565">
        <v>-13.155799999999999</v>
      </c>
      <c r="AD2565">
        <v>-1.1167300128049999</v>
      </c>
      <c r="AE2565">
        <v>-7.5088999999999801</v>
      </c>
      <c r="AF2565">
        <v>-4.6589573891059697</v>
      </c>
      <c r="AG2565">
        <v>-1.1167300128049999</v>
      </c>
      <c r="AH2565">
        <v>14.3275533180291</v>
      </c>
      <c r="AI2565">
        <v>94.239152964212494</v>
      </c>
      <c r="AJ2565">
        <v>108.01321278328599</v>
      </c>
      <c r="AK2565">
        <v>15.1073410617478</v>
      </c>
      <c r="AL2565">
        <v>81.076748557444404</v>
      </c>
      <c r="AM2565">
        <v>98.6074251618723</v>
      </c>
      <c r="AN2565">
        <v>0.99999998891209396</v>
      </c>
    </row>
    <row r="2566" spans="1:40" x14ac:dyDescent="0.25">
      <c r="A2566" t="str">
        <f>"20190312172941224"</f>
        <v>20190312172941224</v>
      </c>
      <c r="B2566" t="str">
        <f>"1552382981219691"</f>
        <v>1552382981219691</v>
      </c>
      <c r="C2566" t="s">
        <v>40</v>
      </c>
      <c r="D2566">
        <v>3.143999</v>
      </c>
      <c r="E2566">
        <v>0.43610460000000001</v>
      </c>
      <c r="F2566" t="s">
        <v>46</v>
      </c>
      <c r="G2566">
        <v>-485.69929999999999</v>
      </c>
      <c r="H2566" s="1">
        <v>1.9630009999999999E-6</v>
      </c>
      <c r="I2566">
        <v>277.30630000000002</v>
      </c>
      <c r="J2566">
        <v>-472.67959999999999</v>
      </c>
      <c r="K2566">
        <v>1.1169359999999999</v>
      </c>
      <c r="L2566">
        <v>284.89350000000002</v>
      </c>
      <c r="M2566">
        <v>-0.97731469999999998</v>
      </c>
      <c r="N2566">
        <v>0</v>
      </c>
      <c r="O2566">
        <v>-0.21132049999999999</v>
      </c>
      <c r="P2566">
        <v>-0.92585260000000003</v>
      </c>
      <c r="Q2566">
        <v>0.14357929999999999</v>
      </c>
      <c r="R2566">
        <v>-0.34954629999999998</v>
      </c>
      <c r="S2566">
        <v>-2.6953429999999998</v>
      </c>
      <c r="T2566">
        <v>-0.22605710000000001</v>
      </c>
      <c r="U2566">
        <v>-1.550049</v>
      </c>
      <c r="V2566">
        <v>-0.14859939999999999</v>
      </c>
      <c r="W2566">
        <v>0.15493889999999999</v>
      </c>
      <c r="X2566">
        <v>0.97668429999999995</v>
      </c>
      <c r="Y2566">
        <v>-0.30381520000000001</v>
      </c>
      <c r="Z2566">
        <v>4.3035460000000001E-3</v>
      </c>
      <c r="AA2566">
        <v>0.95272120000000005</v>
      </c>
      <c r="AB2566">
        <v>31</v>
      </c>
      <c r="AC2566">
        <v>-13.0197</v>
      </c>
      <c r="AD2566">
        <v>-1.116934036999</v>
      </c>
      <c r="AE2566">
        <v>-7.5871999999999904</v>
      </c>
      <c r="AF2566">
        <v>-4.6387334731389398</v>
      </c>
      <c r="AG2566">
        <v>-1.116934036999</v>
      </c>
      <c r="AH2566">
        <v>14.250813042538899</v>
      </c>
      <c r="AI2566">
        <v>94.26225788539</v>
      </c>
      <c r="AJ2566">
        <v>108.030409930061</v>
      </c>
      <c r="AK2566">
        <v>15.028341966139299</v>
      </c>
      <c r="AL2566">
        <v>81.086747626003103</v>
      </c>
      <c r="AM2566">
        <v>98.651024005566001</v>
      </c>
      <c r="AN2566">
        <v>1.0000000331400201</v>
      </c>
    </row>
    <row r="2567" spans="1:40" x14ac:dyDescent="0.25">
      <c r="A2567" t="str">
        <f>"20190312172941246"</f>
        <v>20190312172941246</v>
      </c>
      <c r="B2567" t="str">
        <f>"1552382981240189"</f>
        <v>1552382981240189</v>
      </c>
      <c r="C2567" t="s">
        <v>40</v>
      </c>
      <c r="D2567">
        <v>3.1501790000000001</v>
      </c>
      <c r="E2567">
        <v>0.43602150000000001</v>
      </c>
      <c r="F2567" t="s">
        <v>46</v>
      </c>
      <c r="G2567">
        <v>-485.66129999999998</v>
      </c>
      <c r="H2567" s="1">
        <v>1.9378520000000001E-6</v>
      </c>
      <c r="I2567">
        <v>277.25420000000003</v>
      </c>
      <c r="J2567">
        <v>-472.971</v>
      </c>
      <c r="K2567">
        <v>1.11713</v>
      </c>
      <c r="L2567">
        <v>284.82130000000001</v>
      </c>
      <c r="M2567">
        <v>-0.97540059999999995</v>
      </c>
      <c r="N2567">
        <v>0</v>
      </c>
      <c r="O2567">
        <v>-0.21998470000000001</v>
      </c>
      <c r="P2567">
        <v>-0.92246249999999996</v>
      </c>
      <c r="Q2567">
        <v>0.14391319999999999</v>
      </c>
      <c r="R2567">
        <v>-0.35826340000000001</v>
      </c>
      <c r="S2567">
        <v>-2.6805110000000001</v>
      </c>
      <c r="T2567">
        <v>-0.2306299</v>
      </c>
      <c r="U2567">
        <v>-1.577393</v>
      </c>
      <c r="V2567">
        <v>-0.1492368</v>
      </c>
      <c r="W2567">
        <v>0.15521960000000001</v>
      </c>
      <c r="X2567">
        <v>0.97654249999999998</v>
      </c>
      <c r="Y2567">
        <v>-0.30489640000000001</v>
      </c>
      <c r="Z2567">
        <v>5.0107370000000004E-3</v>
      </c>
      <c r="AA2567">
        <v>0.95237240000000001</v>
      </c>
      <c r="AB2567">
        <v>31</v>
      </c>
      <c r="AC2567">
        <v>-12.690299999999899</v>
      </c>
      <c r="AD2567">
        <v>-1.117128062148</v>
      </c>
      <c r="AE2567">
        <v>-7.5670999999999804</v>
      </c>
      <c r="AF2567">
        <v>-4.5636530804901501</v>
      </c>
      <c r="AG2567">
        <v>-1.117128062148</v>
      </c>
      <c r="AH2567">
        <v>13.964350240432401</v>
      </c>
      <c r="AI2567">
        <v>94.348452296988697</v>
      </c>
      <c r="AJ2567">
        <v>108.09777531953399</v>
      </c>
      <c r="AK2567">
        <v>14.733566512687</v>
      </c>
      <c r="AL2567">
        <v>81.070467453924905</v>
      </c>
      <c r="AM2567">
        <v>98.688808852004996</v>
      </c>
      <c r="AN2567">
        <v>1.00000000050232</v>
      </c>
    </row>
    <row r="2568" spans="1:40" x14ac:dyDescent="0.25">
      <c r="A2568" t="str">
        <f>"20190312172941258"</f>
        <v>20190312172941258</v>
      </c>
      <c r="B2568" t="str">
        <f>"1552382981249947"</f>
        <v>1552382981249947</v>
      </c>
      <c r="C2568" t="s">
        <v>40</v>
      </c>
      <c r="D2568">
        <v>3.1272760000000002</v>
      </c>
      <c r="E2568">
        <v>0.43603910000000001</v>
      </c>
      <c r="F2568" t="s">
        <v>46</v>
      </c>
      <c r="G2568">
        <v>-485.82470000000001</v>
      </c>
      <c r="H2568" s="1">
        <v>1.907948E-6</v>
      </c>
      <c r="I2568">
        <v>277.08760000000001</v>
      </c>
      <c r="J2568">
        <v>-473.1463</v>
      </c>
      <c r="K2568">
        <v>1.1172390000000001</v>
      </c>
      <c r="L2568">
        <v>284.77640000000002</v>
      </c>
      <c r="M2568">
        <v>-0.97418579999999999</v>
      </c>
      <c r="N2568">
        <v>0</v>
      </c>
      <c r="O2568">
        <v>-0.22530169999999999</v>
      </c>
      <c r="P2568">
        <v>-0.92046589999999995</v>
      </c>
      <c r="Q2568">
        <v>0.143836299999999</v>
      </c>
      <c r="R2568">
        <v>-0.36339250000000001</v>
      </c>
      <c r="S2568">
        <v>-2.6654360000000001</v>
      </c>
      <c r="T2568">
        <v>-0.23165479999999999</v>
      </c>
      <c r="U2568">
        <v>-1.603699</v>
      </c>
      <c r="V2568">
        <v>-0.14938270000000001</v>
      </c>
      <c r="W2568">
        <v>0.1551197</v>
      </c>
      <c r="X2568">
        <v>0.97653610000000002</v>
      </c>
      <c r="Y2568">
        <v>-0.30898199999999998</v>
      </c>
      <c r="Z2568">
        <v>5.2823230000000002E-3</v>
      </c>
      <c r="AA2568">
        <v>0.95105329999999999</v>
      </c>
      <c r="AB2568">
        <v>31</v>
      </c>
      <c r="AC2568">
        <v>-12.6784</v>
      </c>
      <c r="AD2568">
        <v>-1.1172370920519901</v>
      </c>
      <c r="AE2568">
        <v>-7.6888000000000103</v>
      </c>
      <c r="AF2568">
        <v>-4.6081587542189499</v>
      </c>
      <c r="AG2568">
        <v>-1.1172370920519901</v>
      </c>
      <c r="AH2568">
        <v>14.0053206808961</v>
      </c>
      <c r="AI2568">
        <v>94.333361076007293</v>
      </c>
      <c r="AJ2568">
        <v>108.212712568943</v>
      </c>
      <c r="AK2568">
        <v>14.7862217350708</v>
      </c>
      <c r="AL2568">
        <v>81.076261777313107</v>
      </c>
      <c r="AM2568">
        <v>98.697229691979302</v>
      </c>
      <c r="AN2568">
        <v>1.0000000334952901</v>
      </c>
    </row>
    <row r="2569" spans="1:40" x14ac:dyDescent="0.25">
      <c r="A2569" t="str">
        <f>"20190312172941280"</f>
        <v>20190312172941280</v>
      </c>
      <c r="B2569" t="str">
        <f>"1552382981270444"</f>
        <v>1552382981270444</v>
      </c>
      <c r="C2569" t="s">
        <v>40</v>
      </c>
      <c r="D2569">
        <v>3.1107589999999998</v>
      </c>
      <c r="E2569">
        <v>0.43610280000000001</v>
      </c>
      <c r="F2569" t="s">
        <v>46</v>
      </c>
      <c r="G2569">
        <v>-485.91590000000002</v>
      </c>
      <c r="H2569" s="1">
        <v>1.891921E-6</v>
      </c>
      <c r="I2569">
        <v>276.99650000000003</v>
      </c>
      <c r="J2569">
        <v>-473.41289999999998</v>
      </c>
      <c r="K2569">
        <v>1.1173959999999901</v>
      </c>
      <c r="L2569">
        <v>284.70609999999999</v>
      </c>
      <c r="M2569">
        <v>-0.97224739999999998</v>
      </c>
      <c r="N2569">
        <v>0</v>
      </c>
      <c r="O2569">
        <v>-0.23352300000000001</v>
      </c>
      <c r="P2569">
        <v>-0.91698369999999996</v>
      </c>
      <c r="Q2569">
        <v>0.1437398</v>
      </c>
      <c r="R2569">
        <v>-0.37212899999999999</v>
      </c>
      <c r="S2569">
        <v>-2.656555</v>
      </c>
      <c r="T2569">
        <v>-0.2324271</v>
      </c>
      <c r="U2569">
        <v>-1.6185</v>
      </c>
      <c r="V2569">
        <v>-0.15047430000000001</v>
      </c>
      <c r="W2569">
        <v>0.15497230000000001</v>
      </c>
      <c r="X2569">
        <v>0.97639189999999998</v>
      </c>
      <c r="Y2569">
        <v>-0.3062512</v>
      </c>
      <c r="Z2569">
        <v>6.0427780000000004E-3</v>
      </c>
      <c r="AA2569">
        <v>0.95193150000000004</v>
      </c>
      <c r="AB2569">
        <v>31</v>
      </c>
      <c r="AC2569">
        <v>-12.503</v>
      </c>
      <c r="AD2569">
        <v>-1.11739410807899</v>
      </c>
      <c r="AE2569">
        <v>-7.70959999999996</v>
      </c>
      <c r="AF2569">
        <v>-4.5500327522465502</v>
      </c>
      <c r="AG2569">
        <v>-1.11739410807899</v>
      </c>
      <c r="AH2569">
        <v>13.8774822437941</v>
      </c>
      <c r="AI2569">
        <v>94.375233120099793</v>
      </c>
      <c r="AJ2569">
        <v>108.152849687947</v>
      </c>
      <c r="AK2569">
        <v>14.6470434240535</v>
      </c>
      <c r="AL2569">
        <v>81.084810571653904</v>
      </c>
      <c r="AM2569">
        <v>98.761075253611295</v>
      </c>
      <c r="AN2569">
        <v>1.00000003555669</v>
      </c>
    </row>
    <row r="2570" spans="1:40" x14ac:dyDescent="0.25">
      <c r="A2570" t="str">
        <f>"20190312172941294"</f>
        <v>20190312172941294</v>
      </c>
      <c r="B2570" t="str">
        <f>"1552382981289963"</f>
        <v>1552382981289963</v>
      </c>
      <c r="C2570" t="s">
        <v>40</v>
      </c>
      <c r="D2570">
        <v>3.151548</v>
      </c>
      <c r="E2570">
        <v>0.43618990000000002</v>
      </c>
      <c r="F2570" t="s">
        <v>46</v>
      </c>
      <c r="G2570">
        <v>-485.96850000000001</v>
      </c>
      <c r="H2570" s="1">
        <v>1.866137E-6</v>
      </c>
      <c r="I2570">
        <v>276.8972</v>
      </c>
      <c r="J2570">
        <v>-473.59949999999998</v>
      </c>
      <c r="K2570">
        <v>1.1175010000000001</v>
      </c>
      <c r="L2570">
        <v>284.65519999999998</v>
      </c>
      <c r="M2570">
        <v>-0.97081609999999996</v>
      </c>
      <c r="N2570">
        <v>0</v>
      </c>
      <c r="O2570">
        <v>-0.23940210000000001</v>
      </c>
      <c r="P2570">
        <v>-0.91456499999999996</v>
      </c>
      <c r="Q2570">
        <v>0.14375599999999999</v>
      </c>
      <c r="R2570">
        <v>-0.37802819999999998</v>
      </c>
      <c r="S2570">
        <v>-2.641724</v>
      </c>
      <c r="T2570">
        <v>-0.23510220000000001</v>
      </c>
      <c r="U2570">
        <v>-1.6430049999999901</v>
      </c>
      <c r="V2570">
        <v>-0.15089640000000001</v>
      </c>
      <c r="W2570">
        <v>0.15495909999999999</v>
      </c>
      <c r="X2570">
        <v>0.9763288</v>
      </c>
      <c r="Y2570">
        <v>-0.3092567</v>
      </c>
      <c r="Z2570">
        <v>6.4537219999999899E-3</v>
      </c>
      <c r="AA2570">
        <v>0.95095669999999999</v>
      </c>
      <c r="AB2570">
        <v>30</v>
      </c>
      <c r="AC2570">
        <v>-12.369</v>
      </c>
      <c r="AD2570">
        <v>-1.117499133863</v>
      </c>
      <c r="AE2570">
        <v>-7.7579999999999796</v>
      </c>
      <c r="AF2570">
        <v>-4.5442696878403197</v>
      </c>
      <c r="AG2570">
        <v>-1.117499133863</v>
      </c>
      <c r="AH2570">
        <v>13.785953204273101</v>
      </c>
      <c r="AI2570">
        <v>94.402291283651195</v>
      </c>
      <c r="AJ2570">
        <v>108.24379254107301</v>
      </c>
      <c r="AK2570">
        <v>14.558560954312</v>
      </c>
      <c r="AL2570">
        <v>81.0855756781514</v>
      </c>
      <c r="AM2570">
        <v>98.785827274588499</v>
      </c>
      <c r="AN2570">
        <v>0.99999998595760398</v>
      </c>
    </row>
    <row r="2571" spans="1:40" x14ac:dyDescent="0.25">
      <c r="A2571" t="str">
        <f>"20190312172941313"</f>
        <v>20190312172941313</v>
      </c>
      <c r="B2571" t="str">
        <f>"1552382981310460"</f>
        <v>1552382981310460</v>
      </c>
      <c r="C2571" t="s">
        <v>40</v>
      </c>
      <c r="D2571">
        <v>3.108727</v>
      </c>
      <c r="E2571">
        <v>0.43632890000000002</v>
      </c>
      <c r="F2571" t="s">
        <v>46</v>
      </c>
      <c r="G2571">
        <v>-485.9751</v>
      </c>
      <c r="H2571" s="1">
        <v>1.8511289999999999E-6</v>
      </c>
      <c r="I2571">
        <v>276.85140000000001</v>
      </c>
      <c r="J2571">
        <v>-473.84370000000001</v>
      </c>
      <c r="K2571">
        <v>1.1176330000000001</v>
      </c>
      <c r="L2571">
        <v>284.58679999999998</v>
      </c>
      <c r="M2571">
        <v>-0.96885509999999997</v>
      </c>
      <c r="N2571">
        <v>0</v>
      </c>
      <c r="O2571">
        <v>-0.24721750000000001</v>
      </c>
      <c r="P2571">
        <v>-0.91099050000000004</v>
      </c>
      <c r="Q2571">
        <v>0.1438846</v>
      </c>
      <c r="R2571">
        <v>-0.38651439999999998</v>
      </c>
      <c r="S2571">
        <v>-2.6316830000000002</v>
      </c>
      <c r="T2571">
        <v>-0.23763870000000001</v>
      </c>
      <c r="U2571">
        <v>-1.6594850000000001</v>
      </c>
      <c r="V2571">
        <v>-0.1521682</v>
      </c>
      <c r="W2571">
        <v>0.15503499999999901</v>
      </c>
      <c r="X2571">
        <v>0.97611930000000002</v>
      </c>
      <c r="Y2571">
        <v>-0.30751279999999998</v>
      </c>
      <c r="Z2571">
        <v>7.2118540000000002E-3</v>
      </c>
      <c r="AA2571">
        <v>0.95151660000000005</v>
      </c>
      <c r="AB2571">
        <v>30</v>
      </c>
      <c r="AC2571">
        <v>-12.1313999999999</v>
      </c>
      <c r="AD2571">
        <v>-1.117631148871</v>
      </c>
      <c r="AE2571">
        <v>-7.7353999999999701</v>
      </c>
      <c r="AF2571">
        <v>-4.4688788016916199</v>
      </c>
      <c r="AG2571">
        <v>-1.117631148871</v>
      </c>
      <c r="AH2571">
        <v>13.5853094761104</v>
      </c>
      <c r="AI2571">
        <v>94.468474152259503</v>
      </c>
      <c r="AJ2571">
        <v>108.20858722521599</v>
      </c>
      <c r="AK2571">
        <v>14.3450552697029</v>
      </c>
      <c r="AL2571">
        <v>81.081173407943993</v>
      </c>
      <c r="AM2571">
        <v>98.860578285741099</v>
      </c>
      <c r="AN2571">
        <v>0.99999995007436304</v>
      </c>
    </row>
    <row r="2572" spans="1:40" x14ac:dyDescent="0.25">
      <c r="A2572" t="str">
        <f>"20190312172941335"</f>
        <v>20190312172941335</v>
      </c>
      <c r="B2572" t="str">
        <f>"1552382981329980"</f>
        <v>1552382981329980</v>
      </c>
      <c r="C2572" t="s">
        <v>40</v>
      </c>
      <c r="D2572">
        <v>3.1386250000000002</v>
      </c>
      <c r="E2572">
        <v>0.43659249999999999</v>
      </c>
      <c r="F2572" t="s">
        <v>46</v>
      </c>
      <c r="G2572">
        <v>-486.10329999999999</v>
      </c>
      <c r="H2572" s="1">
        <v>1.821599E-6</v>
      </c>
      <c r="I2572">
        <v>276.70359999999999</v>
      </c>
      <c r="J2572">
        <v>-474.13400000000001</v>
      </c>
      <c r="K2572">
        <v>1.117801</v>
      </c>
      <c r="L2572">
        <v>284.5025</v>
      </c>
      <c r="M2572">
        <v>-0.96638520000000006</v>
      </c>
      <c r="N2572">
        <v>0</v>
      </c>
      <c r="O2572">
        <v>-0.25670189999999998</v>
      </c>
      <c r="P2572">
        <v>-0.90679379999999998</v>
      </c>
      <c r="Q2572">
        <v>0.1440739</v>
      </c>
      <c r="R2572">
        <v>-0.39619199999999999</v>
      </c>
      <c r="S2572">
        <v>-2.6168520000000002</v>
      </c>
      <c r="T2572">
        <v>-0.2385621</v>
      </c>
      <c r="U2572">
        <v>-1.682709</v>
      </c>
      <c r="V2572">
        <v>-0.1530686</v>
      </c>
      <c r="W2572">
        <v>0.15517529999999999</v>
      </c>
      <c r="X2572">
        <v>0.9759563</v>
      </c>
      <c r="Y2572">
        <v>-0.30664039999999998</v>
      </c>
      <c r="Z2572">
        <v>8.0305889999999994E-3</v>
      </c>
      <c r="AA2572">
        <v>0.95179150000000001</v>
      </c>
      <c r="AB2572">
        <v>30</v>
      </c>
      <c r="AC2572">
        <v>-11.969299999999899</v>
      </c>
      <c r="AD2572">
        <v>-1.117799178401</v>
      </c>
      <c r="AE2572">
        <v>-7.7988999999999997</v>
      </c>
      <c r="AF2572">
        <v>-4.4374869311301204</v>
      </c>
      <c r="AG2572">
        <v>-1.117799178401</v>
      </c>
      <c r="AH2572">
        <v>13.4877539412382</v>
      </c>
      <c r="AI2572">
        <v>94.501266761720302</v>
      </c>
      <c r="AJ2572">
        <v>108.211266438941</v>
      </c>
      <c r="AK2572">
        <v>14.2429025007746</v>
      </c>
      <c r="AL2572">
        <v>81.073037096804299</v>
      </c>
      <c r="AM2572">
        <v>98.9136329286641</v>
      </c>
      <c r="AN2572">
        <v>1.0000000347728599</v>
      </c>
    </row>
    <row r="2573" spans="1:40" x14ac:dyDescent="0.25">
      <c r="A2573" t="str">
        <f>"20190312172941350"</f>
        <v>20190312172941350</v>
      </c>
      <c r="B2573" t="str">
        <f>"1552382981339740"</f>
        <v>1552382981339740</v>
      </c>
      <c r="C2573" t="s">
        <v>40</v>
      </c>
      <c r="D2573">
        <v>3.150649</v>
      </c>
      <c r="E2573">
        <v>0.43668669999999998</v>
      </c>
      <c r="F2573" t="s">
        <v>46</v>
      </c>
      <c r="G2573">
        <v>-486.25869999999998</v>
      </c>
      <c r="H2573" s="1">
        <v>1.78880999999999E-6</v>
      </c>
      <c r="I2573">
        <v>276.53280000000001</v>
      </c>
      <c r="J2573">
        <v>-474.31950000000001</v>
      </c>
      <c r="K2573">
        <v>1.117904</v>
      </c>
      <c r="L2573">
        <v>284.447</v>
      </c>
      <c r="M2573">
        <v>-0.96472610000000003</v>
      </c>
      <c r="N2573">
        <v>0</v>
      </c>
      <c r="O2573">
        <v>-0.26286670000000001</v>
      </c>
      <c r="P2573">
        <v>-0.90403929999999999</v>
      </c>
      <c r="Q2573">
        <v>0.1441306</v>
      </c>
      <c r="R2573">
        <v>-0.40241660000000001</v>
      </c>
      <c r="S2573">
        <v>-2.5998230000000002</v>
      </c>
      <c r="T2573">
        <v>-0.2396827</v>
      </c>
      <c r="U2573">
        <v>-1.708893</v>
      </c>
      <c r="V2573">
        <v>-0.15359049999999999</v>
      </c>
      <c r="W2573">
        <v>0.1552027</v>
      </c>
      <c r="X2573">
        <v>0.97586989999999996</v>
      </c>
      <c r="Y2573">
        <v>-0.31012230000000002</v>
      </c>
      <c r="Z2573">
        <v>8.4232600000000001E-3</v>
      </c>
      <c r="AA2573">
        <v>0.95065940000000004</v>
      </c>
      <c r="AB2573">
        <v>30</v>
      </c>
      <c r="AC2573">
        <v>-11.9391999999999</v>
      </c>
      <c r="AD2573">
        <v>-1.1179022111900001</v>
      </c>
      <c r="AE2573">
        <v>-7.9141999999999904</v>
      </c>
      <c r="AF2573">
        <v>-4.46985238981188</v>
      </c>
      <c r="AG2573">
        <v>-1.1179022111900001</v>
      </c>
      <c r="AH2573">
        <v>13.5174967457506</v>
      </c>
      <c r="AI2573">
        <v>94.489593064249306</v>
      </c>
      <c r="AJ2573">
        <v>108.29758435107701</v>
      </c>
      <c r="AK2573">
        <v>14.28117656259</v>
      </c>
      <c r="AL2573">
        <v>81.071447543283</v>
      </c>
      <c r="AM2573">
        <v>98.944313263548594</v>
      </c>
      <c r="AN2573">
        <v>0.99999999075177404</v>
      </c>
    </row>
    <row r="2574" spans="1:40" x14ac:dyDescent="0.25">
      <c r="A2574" t="str">
        <f>"20190312172941364"</f>
        <v>20190312172941364</v>
      </c>
      <c r="B2574" t="str">
        <f>"1552382981360236"</f>
        <v>1552382981360236</v>
      </c>
      <c r="C2574" t="s">
        <v>40</v>
      </c>
      <c r="D2574">
        <v>3.11571</v>
      </c>
      <c r="E2574">
        <v>0.43697629999999998</v>
      </c>
      <c r="F2574" t="s">
        <v>46</v>
      </c>
      <c r="G2574">
        <v>-486.3818</v>
      </c>
      <c r="H2574" s="1">
        <v>1.764714E-6</v>
      </c>
      <c r="I2574">
        <v>276.40140000000002</v>
      </c>
      <c r="J2574">
        <v>-474.50259999999997</v>
      </c>
      <c r="K2574">
        <v>1.1180030000000001</v>
      </c>
      <c r="L2574">
        <v>284.39100000000002</v>
      </c>
      <c r="M2574">
        <v>-0.96302989999999999</v>
      </c>
      <c r="N2574">
        <v>0</v>
      </c>
      <c r="O2574">
        <v>-0.26901360000000002</v>
      </c>
      <c r="P2574">
        <v>-0.90119760000000004</v>
      </c>
      <c r="Q2574">
        <v>0.1443315</v>
      </c>
      <c r="R2574">
        <v>-0.40867110000000001</v>
      </c>
      <c r="S2574">
        <v>-2.5882260000000001</v>
      </c>
      <c r="T2574">
        <v>-0.23987020000000001</v>
      </c>
      <c r="U2574">
        <v>-1.7263489999999999</v>
      </c>
      <c r="V2574">
        <v>-0.15417919999999999</v>
      </c>
      <c r="W2574">
        <v>0.15537219999999999</v>
      </c>
      <c r="X2574">
        <v>0.97575009999999995</v>
      </c>
      <c r="Y2574">
        <v>-0.3104787</v>
      </c>
      <c r="Z2574">
        <v>8.9096179999999994E-3</v>
      </c>
      <c r="AA2574">
        <v>0.95053860000000001</v>
      </c>
      <c r="AB2574">
        <v>30</v>
      </c>
      <c r="AC2574">
        <v>-11.879200000000001</v>
      </c>
      <c r="AD2574">
        <v>-1.118001235286</v>
      </c>
      <c r="AE2574">
        <v>-7.9895999999999301</v>
      </c>
      <c r="AF2574">
        <v>-4.4717467955741901</v>
      </c>
      <c r="AG2574">
        <v>-1.118001235286</v>
      </c>
      <c r="AH2574">
        <v>13.508346019068901</v>
      </c>
      <c r="AI2574">
        <v>94.492532245008604</v>
      </c>
      <c r="AJ2574">
        <v>108.316394748744</v>
      </c>
      <c r="AK2574">
        <v>14.27311663011</v>
      </c>
      <c r="AL2574">
        <v>81.061616754135201</v>
      </c>
      <c r="AM2574">
        <v>98.979123042847604</v>
      </c>
      <c r="AN2574">
        <v>1.00000000194774</v>
      </c>
    </row>
    <row r="2575" spans="1:40" x14ac:dyDescent="0.25">
      <c r="A2575" t="str">
        <f>"20190312172941377"</f>
        <v>20190312172941377</v>
      </c>
      <c r="B2575" t="str">
        <f>"1552382981369996"</f>
        <v>1552382981369996</v>
      </c>
      <c r="C2575" t="s">
        <v>40</v>
      </c>
      <c r="D2575">
        <v>3.104031</v>
      </c>
      <c r="E2575">
        <v>0.43713970000000002</v>
      </c>
      <c r="F2575" t="s">
        <v>46</v>
      </c>
      <c r="G2575">
        <v>-486.47579999999999</v>
      </c>
      <c r="H2575" s="1">
        <v>1.7548009999999999E-6</v>
      </c>
      <c r="I2575">
        <v>276.2978</v>
      </c>
      <c r="J2575">
        <v>-474.67349999999999</v>
      </c>
      <c r="K2575">
        <v>1.1180920000000001</v>
      </c>
      <c r="L2575">
        <v>284.33710000000002</v>
      </c>
      <c r="M2575">
        <v>-0.96138080000000004</v>
      </c>
      <c r="N2575">
        <v>0</v>
      </c>
      <c r="O2575">
        <v>-0.27484819999999999</v>
      </c>
      <c r="P2575">
        <v>-0.89851899999999996</v>
      </c>
      <c r="Q2575">
        <v>0.14434669999999999</v>
      </c>
      <c r="R2575">
        <v>-0.41452129999999998</v>
      </c>
      <c r="S2575">
        <v>-2.577423</v>
      </c>
      <c r="T2575">
        <v>-0.2406673</v>
      </c>
      <c r="U2575">
        <v>-1.7421880000000001</v>
      </c>
      <c r="V2575">
        <v>-0.1546419</v>
      </c>
      <c r="W2575">
        <v>0.1553619</v>
      </c>
      <c r="X2575">
        <v>0.9756785</v>
      </c>
      <c r="Y2575">
        <v>-0.31058709999999901</v>
      </c>
      <c r="Z2575">
        <v>9.4061219999999994E-3</v>
      </c>
      <c r="AA2575">
        <v>0.95049839999999997</v>
      </c>
      <c r="AB2575">
        <v>30</v>
      </c>
      <c r="AC2575">
        <v>-11.802300000000001</v>
      </c>
      <c r="AD2575">
        <v>-1.118090245199</v>
      </c>
      <c r="AE2575">
        <v>-8.0393000000000203</v>
      </c>
      <c r="AF2575">
        <v>-4.4581187379816001</v>
      </c>
      <c r="AG2575">
        <v>-1.118090245199</v>
      </c>
      <c r="AH2575">
        <v>13.474878851832599</v>
      </c>
      <c r="AI2575">
        <v>94.504254569743793</v>
      </c>
      <c r="AJ2575">
        <v>108.30662530025199</v>
      </c>
      <c r="AK2575">
        <v>14.237180498607</v>
      </c>
      <c r="AL2575">
        <v>81.062214013875206</v>
      </c>
      <c r="AM2575">
        <v>99.006278933333704</v>
      </c>
      <c r="AN2575">
        <v>0.99999998628473397</v>
      </c>
    </row>
    <row r="2576" spans="1:40" x14ac:dyDescent="0.25">
      <c r="A2576" t="str">
        <f>"20190312172941392"</f>
        <v>20190312172941392</v>
      </c>
      <c r="B2576" t="str">
        <f>"1552382981380731"</f>
        <v>1552382981380731</v>
      </c>
      <c r="C2576" t="s">
        <v>40</v>
      </c>
      <c r="D2576">
        <v>3.1430229999999999</v>
      </c>
      <c r="E2576">
        <v>0.43732310000000002</v>
      </c>
      <c r="F2576" t="s">
        <v>46</v>
      </c>
      <c r="G2576">
        <v>-486.57600000000002</v>
      </c>
      <c r="H2576" s="1">
        <v>1.743242E-6</v>
      </c>
      <c r="I2576">
        <v>276.18169999999998</v>
      </c>
      <c r="J2576">
        <v>-474.84890000000001</v>
      </c>
      <c r="K2576">
        <v>1.1181829999999999</v>
      </c>
      <c r="L2576">
        <v>284.28070000000002</v>
      </c>
      <c r="M2576">
        <v>-0.95963120000000002</v>
      </c>
      <c r="N2576">
        <v>0</v>
      </c>
      <c r="O2576">
        <v>-0.2808948</v>
      </c>
      <c r="P2576">
        <v>-0.89540059999999999</v>
      </c>
      <c r="Q2576">
        <v>0.14416199999999901</v>
      </c>
      <c r="R2576">
        <v>-0.42127769999999998</v>
      </c>
      <c r="S2576">
        <v>-2.5663149999999999</v>
      </c>
      <c r="T2576">
        <v>-0.24107129999999999</v>
      </c>
      <c r="U2576">
        <v>-1.75839199999999</v>
      </c>
      <c r="V2576">
        <v>-0.15587329999999999</v>
      </c>
      <c r="W2576">
        <v>0.15513479999999999</v>
      </c>
      <c r="X2576">
        <v>0.97551869999999996</v>
      </c>
      <c r="Y2576">
        <v>-0.31062190000000001</v>
      </c>
      <c r="Z2576">
        <v>9.9100290000000008E-3</v>
      </c>
      <c r="AA2576">
        <v>0.95048189999999999</v>
      </c>
      <c r="AB2576">
        <v>30</v>
      </c>
      <c r="AC2576">
        <v>-11.727099999999901</v>
      </c>
      <c r="AD2576">
        <v>-1.1181812567579901</v>
      </c>
      <c r="AE2576">
        <v>-8.0990000000000393</v>
      </c>
      <c r="AF2576">
        <v>-4.4510340932810299</v>
      </c>
      <c r="AG2576">
        <v>-1.1181812567579901</v>
      </c>
      <c r="AH2576">
        <v>13.4472753375785</v>
      </c>
      <c r="AI2576">
        <v>94.513624084933198</v>
      </c>
      <c r="AJ2576">
        <v>108.31448965176401</v>
      </c>
      <c r="AK2576">
        <v>14.208844000380999</v>
      </c>
      <c r="AL2576">
        <v>81.075385824486403</v>
      </c>
      <c r="AM2576">
        <v>99.078267959644606</v>
      </c>
      <c r="AN2576">
        <v>1.0000000129368001</v>
      </c>
    </row>
    <row r="2577" spans="1:40" x14ac:dyDescent="0.25">
      <c r="A2577" t="str">
        <f>"20190312172941425"</f>
        <v>20190312172941425</v>
      </c>
      <c r="B2577" t="str">
        <f>"1552382981419771"</f>
        <v>1552382981419771</v>
      </c>
      <c r="C2577" t="s">
        <v>40</v>
      </c>
      <c r="D2577">
        <v>3.117991</v>
      </c>
      <c r="E2577">
        <v>0.44741809999999999</v>
      </c>
      <c r="F2577" t="s">
        <v>46</v>
      </c>
      <c r="G2577">
        <v>-486.65839999999997</v>
      </c>
      <c r="H2577" s="1">
        <v>1.730154E-6</v>
      </c>
      <c r="I2577">
        <v>276.0659</v>
      </c>
      <c r="J2577">
        <v>-475.27010000000001</v>
      </c>
      <c r="K2577">
        <v>1.118379</v>
      </c>
      <c r="L2577">
        <v>284.14030000000002</v>
      </c>
      <c r="M2577">
        <v>-0.95517759999999996</v>
      </c>
      <c r="N2577">
        <v>0</v>
      </c>
      <c r="O2577">
        <v>-0.29568250000000001</v>
      </c>
      <c r="P2577">
        <v>-0.88853090000000001</v>
      </c>
      <c r="Q2577">
        <v>0.14366609999999999</v>
      </c>
      <c r="R2577">
        <v>-0.43574410000000002</v>
      </c>
      <c r="S2577">
        <v>-2.5536500000000002</v>
      </c>
      <c r="T2577">
        <v>-0.24179110000000001</v>
      </c>
      <c r="U2577">
        <v>-1.7763369999999901</v>
      </c>
      <c r="V2577">
        <v>-0.1566739</v>
      </c>
      <c r="W2577">
        <v>0.1545879</v>
      </c>
      <c r="X2577">
        <v>0.97547729999999999</v>
      </c>
      <c r="Y2577">
        <v>-0.30270259999999999</v>
      </c>
      <c r="Z2577">
        <v>1.145882E-2</v>
      </c>
      <c r="AA2577">
        <v>0.95301619999999998</v>
      </c>
      <c r="AB2577">
        <v>30</v>
      </c>
      <c r="AC2577">
        <v>-11.3882999999999</v>
      </c>
      <c r="AD2577">
        <v>-1.1183772698459999</v>
      </c>
      <c r="AE2577">
        <v>-8.0744000000000202</v>
      </c>
      <c r="AF2577">
        <v>-4.3179045176895201</v>
      </c>
      <c r="AG2577">
        <v>-1.1183772698459999</v>
      </c>
      <c r="AH2577">
        <v>13.1820846086377</v>
      </c>
      <c r="AI2577">
        <v>94.609532458089802</v>
      </c>
      <c r="AJ2577">
        <v>108.136651080088</v>
      </c>
      <c r="AK2577">
        <v>13.916264648636</v>
      </c>
      <c r="AL2577">
        <v>81.107103820864694</v>
      </c>
      <c r="AM2577">
        <v>99.124494325747506</v>
      </c>
      <c r="AN2577">
        <v>1.00000004629145</v>
      </c>
    </row>
    <row r="2578" spans="1:40" x14ac:dyDescent="0.25">
      <c r="A2578" t="str">
        <f>"20190312172941447"</f>
        <v>20190312172941447</v>
      </c>
      <c r="B2578" t="str">
        <f>"1552382981440267"</f>
        <v>1552382981440267</v>
      </c>
      <c r="C2578" t="s">
        <v>40</v>
      </c>
      <c r="D2578">
        <v>3.1252439999999999</v>
      </c>
      <c r="E2578">
        <v>0.4467139</v>
      </c>
      <c r="F2578" t="s">
        <v>46</v>
      </c>
      <c r="G2578">
        <v>-486.00540000000001</v>
      </c>
      <c r="H2578" s="1">
        <v>1.8459120000000001E-6</v>
      </c>
      <c r="I2578">
        <v>276.82150000000001</v>
      </c>
      <c r="J2578">
        <v>-475.54649999999998</v>
      </c>
      <c r="K2578">
        <v>1.118503</v>
      </c>
      <c r="L2578">
        <v>284.04360000000003</v>
      </c>
      <c r="M2578">
        <v>-0.95204409999999895</v>
      </c>
      <c r="N2578">
        <v>0</v>
      </c>
      <c r="O2578">
        <v>-0.30562070000000002</v>
      </c>
      <c r="P2578">
        <v>-0.88405979999999995</v>
      </c>
      <c r="Q2578">
        <v>0.1433035</v>
      </c>
      <c r="R2578">
        <v>-0.4448626</v>
      </c>
      <c r="S2578">
        <v>-2.5627140000000002</v>
      </c>
      <c r="T2578">
        <v>-0.26697769999999998</v>
      </c>
      <c r="U2578">
        <v>-1.747131</v>
      </c>
      <c r="V2578">
        <v>-0.1565675</v>
      </c>
      <c r="W2578">
        <v>0.15420819999999999</v>
      </c>
      <c r="X2578">
        <v>0.97555449999999999</v>
      </c>
      <c r="Y2578">
        <v>-0.28384359999999997</v>
      </c>
      <c r="Z2578">
        <v>1.440513E-2</v>
      </c>
      <c r="AA2578">
        <v>0.95876229999999996</v>
      </c>
      <c r="AB2578">
        <v>30</v>
      </c>
      <c r="AC2578">
        <v>-10.4589</v>
      </c>
      <c r="AD2578">
        <v>-1.1185011540880001</v>
      </c>
      <c r="AE2578">
        <v>-7.22210000000001</v>
      </c>
      <c r="AF2578">
        <v>-3.6514070951630702</v>
      </c>
      <c r="AG2578">
        <v>-1.1185011540880001</v>
      </c>
      <c r="AH2578">
        <v>12.072332904013299</v>
      </c>
      <c r="AI2578">
        <v>95.067862531223895</v>
      </c>
      <c r="AJ2578">
        <v>106.82850663763899</v>
      </c>
      <c r="AK2578">
        <v>12.6619524699639</v>
      </c>
      <c r="AL2578">
        <v>81.129123249100203</v>
      </c>
      <c r="AM2578">
        <v>99.117692397455997</v>
      </c>
      <c r="AN2578">
        <v>1.00000006673686</v>
      </c>
    </row>
    <row r="2579" spans="1:40" x14ac:dyDescent="0.25">
      <c r="A2579" t="str">
        <f>"20190312172941469"</f>
        <v>20190312172941469</v>
      </c>
      <c r="B2579" t="str">
        <f>"1552382981459788"</f>
        <v>1552382981459788</v>
      </c>
      <c r="C2579" t="s">
        <v>40</v>
      </c>
      <c r="D2579">
        <v>3.1247389999999999</v>
      </c>
      <c r="E2579">
        <v>0.43432690000000002</v>
      </c>
      <c r="F2579" t="s">
        <v>46</v>
      </c>
      <c r="G2579">
        <v>-486.08260000000001</v>
      </c>
      <c r="H2579" s="1">
        <v>1.8073E-6</v>
      </c>
      <c r="I2579">
        <v>276.67349999999999</v>
      </c>
      <c r="J2579">
        <v>-475.82749999999999</v>
      </c>
      <c r="K2579">
        <v>1.1186130000000001</v>
      </c>
      <c r="L2579">
        <v>283.94189999999998</v>
      </c>
      <c r="M2579">
        <v>-0.94869119999999996</v>
      </c>
      <c r="N2579">
        <v>0</v>
      </c>
      <c r="O2579">
        <v>-0.31587300000000001</v>
      </c>
      <c r="P2579">
        <v>-0.87942219999999904</v>
      </c>
      <c r="Q2579">
        <v>0.14259079999999999</v>
      </c>
      <c r="R2579">
        <v>-0.45418579999999997</v>
      </c>
      <c r="S2579">
        <v>-2.5422669999999998</v>
      </c>
      <c r="T2579">
        <v>-0.2698836</v>
      </c>
      <c r="U2579">
        <v>-1.77835099999999</v>
      </c>
      <c r="V2579">
        <v>-0.1563522</v>
      </c>
      <c r="W2579">
        <v>0.15348489999999901</v>
      </c>
      <c r="X2579">
        <v>0.97570299999999999</v>
      </c>
      <c r="Y2579">
        <v>-0.28506179999999998</v>
      </c>
      <c r="Z2579">
        <v>1.543565E-2</v>
      </c>
      <c r="AA2579">
        <v>0.95838489999999998</v>
      </c>
      <c r="AB2579">
        <v>30</v>
      </c>
      <c r="AC2579">
        <v>-10.255100000000001</v>
      </c>
      <c r="AD2579">
        <v>-1.11861119269999</v>
      </c>
      <c r="AE2579">
        <v>-7.2683999999999802</v>
      </c>
      <c r="AF2579">
        <v>-3.6278092479391102</v>
      </c>
      <c r="AG2579">
        <v>-1.11861119269999</v>
      </c>
      <c r="AH2579">
        <v>11.931577910190599</v>
      </c>
      <c r="AI2579">
        <v>95.125580060989407</v>
      </c>
      <c r="AJ2579">
        <v>106.911951282975</v>
      </c>
      <c r="AK2579">
        <v>12.5209760948105</v>
      </c>
      <c r="AL2579">
        <v>81.171063875787894</v>
      </c>
      <c r="AM2579">
        <v>99.104001991667303</v>
      </c>
      <c r="AN2579">
        <v>0.99999998459092398</v>
      </c>
    </row>
    <row r="2580" spans="1:40" x14ac:dyDescent="0.25">
      <c r="A2580" t="str">
        <f>"20190312172941491"</f>
        <v>20190312172941491</v>
      </c>
      <c r="B2580" t="str">
        <f>"1552382981480283"</f>
        <v>1552382981480283</v>
      </c>
      <c r="C2580" t="s">
        <v>40</v>
      </c>
      <c r="D2580">
        <v>3.1592609999999999</v>
      </c>
      <c r="E2580">
        <v>0.43074649999999998</v>
      </c>
      <c r="F2580" t="s">
        <v>46</v>
      </c>
      <c r="G2580">
        <v>-487.9821</v>
      </c>
      <c r="H2580" s="1">
        <v>1.599579E-6</v>
      </c>
      <c r="I2580">
        <v>274.65789999999998</v>
      </c>
      <c r="J2580">
        <v>-476.09829999999999</v>
      </c>
      <c r="K2580">
        <v>1.118722</v>
      </c>
      <c r="L2580">
        <v>283.84050000000002</v>
      </c>
      <c r="M2580">
        <v>-0.94528959999999995</v>
      </c>
      <c r="N2580">
        <v>0</v>
      </c>
      <c r="O2580">
        <v>-0.3259107</v>
      </c>
      <c r="P2580">
        <v>-0.87456499999999904</v>
      </c>
      <c r="Q2580">
        <v>0.14236840000000001</v>
      </c>
      <c r="R2580">
        <v>-0.46353810000000001</v>
      </c>
      <c r="S2580">
        <v>-2.4727480000000002</v>
      </c>
      <c r="T2580">
        <v>-0.22757359999999999</v>
      </c>
      <c r="U2580">
        <v>-1.888763</v>
      </c>
      <c r="V2580">
        <v>-0.15644189999999999</v>
      </c>
      <c r="W2580">
        <v>0.15324370000000001</v>
      </c>
      <c r="X2580">
        <v>0.97572650000000005</v>
      </c>
      <c r="Y2580">
        <v>-0.3148396</v>
      </c>
      <c r="Z2580">
        <v>1.265193E-2</v>
      </c>
      <c r="AA2580">
        <v>0.94906060000000003</v>
      </c>
      <c r="AB2580">
        <v>30</v>
      </c>
      <c r="AC2580">
        <v>-11.883800000000001</v>
      </c>
      <c r="AD2580">
        <v>-1.1187204004210001</v>
      </c>
      <c r="AE2580">
        <v>-9.1826000000000292</v>
      </c>
      <c r="AF2580">
        <v>-4.7811327951173297</v>
      </c>
      <c r="AG2580">
        <v>-1.1187204004210001</v>
      </c>
      <c r="AH2580">
        <v>14.149318878946501</v>
      </c>
      <c r="AI2580">
        <v>94.283716168581407</v>
      </c>
      <c r="AJ2580">
        <v>108.670394268706</v>
      </c>
      <c r="AK2580">
        <v>14.977115572665401</v>
      </c>
      <c r="AL2580">
        <v>81.185048770431806</v>
      </c>
      <c r="AM2580">
        <v>99.108921745783803</v>
      </c>
      <c r="AN2580">
        <v>0.99999995123377305</v>
      </c>
    </row>
    <row r="2581" spans="1:40" x14ac:dyDescent="0.25">
      <c r="A2581" t="str">
        <f>"20190312172941514"</f>
        <v>20190312172941514</v>
      </c>
      <c r="B2581" t="str">
        <f>"1552382981510539"</f>
        <v>1552382981510539</v>
      </c>
      <c r="C2581" t="s">
        <v>40</v>
      </c>
      <c r="D2581">
        <v>3.1507010000000002</v>
      </c>
      <c r="E2581">
        <v>0.43020399999999998</v>
      </c>
      <c r="F2581" t="s">
        <v>46</v>
      </c>
      <c r="G2581">
        <v>-488.25639999999999</v>
      </c>
      <c r="H2581" s="1">
        <v>1.4578860000000001E-6</v>
      </c>
      <c r="I2581">
        <v>274.16739999999999</v>
      </c>
      <c r="J2581">
        <v>-476.38240000000002</v>
      </c>
      <c r="K2581">
        <v>1.1188530000000001</v>
      </c>
      <c r="L2581">
        <v>283.73039999999997</v>
      </c>
      <c r="M2581">
        <v>-0.94152760000000002</v>
      </c>
      <c r="N2581">
        <v>0</v>
      </c>
      <c r="O2581">
        <v>-0.33662309999999901</v>
      </c>
      <c r="P2581">
        <v>-0.86942399999999997</v>
      </c>
      <c r="Q2581">
        <v>0.1421492</v>
      </c>
      <c r="R2581">
        <v>-0.47317629999999999</v>
      </c>
      <c r="S2581">
        <v>-2.438507</v>
      </c>
      <c r="T2581">
        <v>-0.22437799999999999</v>
      </c>
      <c r="U2581">
        <v>-1.940094</v>
      </c>
      <c r="V2581">
        <v>-0.1561777</v>
      </c>
      <c r="W2581">
        <v>0.15301329999999999</v>
      </c>
      <c r="X2581">
        <v>0.97580500000000003</v>
      </c>
      <c r="Y2581">
        <v>-0.32281159999999998</v>
      </c>
      <c r="Z2581">
        <v>1.2978160000000001E-2</v>
      </c>
      <c r="AA2581">
        <v>0.94637420000000005</v>
      </c>
      <c r="AB2581">
        <v>30</v>
      </c>
      <c r="AC2581">
        <v>-11.873999999999899</v>
      </c>
      <c r="AD2581">
        <v>-1.118851542114</v>
      </c>
      <c r="AE2581">
        <v>-9.5629999999999793</v>
      </c>
      <c r="AF2581">
        <v>-4.9804707199961502</v>
      </c>
      <c r="AG2581">
        <v>-1.118851542114</v>
      </c>
      <c r="AH2581">
        <v>14.3232042468912</v>
      </c>
      <c r="AI2581">
        <v>94.219718061894497</v>
      </c>
      <c r="AJ2581">
        <v>109.173607430921</v>
      </c>
      <c r="AK2581">
        <v>15.2056271578713</v>
      </c>
      <c r="AL2581">
        <v>81.198407440258805</v>
      </c>
      <c r="AM2581">
        <v>99.093076463191693</v>
      </c>
      <c r="AN2581">
        <v>0.99999997098958904</v>
      </c>
    </row>
    <row r="2582" spans="1:40" x14ac:dyDescent="0.25">
      <c r="A2582" t="str">
        <f>"20190312172941536"</f>
        <v>20190312172941536</v>
      </c>
      <c r="B2582" t="str">
        <f>"1552382981530062"</f>
        <v>1552382981530062</v>
      </c>
      <c r="C2582" t="s">
        <v>40</v>
      </c>
      <c r="D2582">
        <v>3.1973539999999998</v>
      </c>
      <c r="E2582">
        <v>0.43052020000000002</v>
      </c>
      <c r="F2582" t="s">
        <v>46</v>
      </c>
      <c r="G2582">
        <v>-488.54230000000001</v>
      </c>
      <c r="H2582" s="1">
        <v>1.356874E-6</v>
      </c>
      <c r="I2582">
        <v>273.80990000000003</v>
      </c>
      <c r="J2582">
        <v>-476.65469999999999</v>
      </c>
      <c r="K2582">
        <v>1.1189789999999999</v>
      </c>
      <c r="L2582">
        <v>283.62119999999999</v>
      </c>
      <c r="M2582">
        <v>-0.93772659999999997</v>
      </c>
      <c r="N2582">
        <v>0</v>
      </c>
      <c r="O2582">
        <v>-0.34706969999999998</v>
      </c>
      <c r="P2582">
        <v>-0.86419330000000005</v>
      </c>
      <c r="Q2582">
        <v>0.1424482</v>
      </c>
      <c r="R2582">
        <v>-0.48257509999999998</v>
      </c>
      <c r="S2582">
        <v>-2.4147340000000002</v>
      </c>
      <c r="T2582">
        <v>-0.22218389999999999</v>
      </c>
      <c r="U2582">
        <v>-1.970032</v>
      </c>
      <c r="V2582">
        <v>-0.15598000000000001</v>
      </c>
      <c r="W2582">
        <v>0.1532984</v>
      </c>
      <c r="X2582">
        <v>0.97579190000000005</v>
      </c>
      <c r="Y2582">
        <v>-0.323918599999999</v>
      </c>
      <c r="Z2582">
        <v>1.359892E-2</v>
      </c>
      <c r="AA2582">
        <v>0.94598720000000003</v>
      </c>
      <c r="AB2582">
        <v>30</v>
      </c>
      <c r="AC2582">
        <v>-11.887600000000001</v>
      </c>
      <c r="AD2582">
        <v>-1.1189776431259999</v>
      </c>
      <c r="AE2582">
        <v>-9.8112999999999602</v>
      </c>
      <c r="AF2582">
        <v>-5.0484208810099496</v>
      </c>
      <c r="AG2582">
        <v>-1.1189776431259999</v>
      </c>
      <c r="AH2582">
        <v>14.4777596710246</v>
      </c>
      <c r="AI2582">
        <v>94.174032188376202</v>
      </c>
      <c r="AJ2582">
        <v>109.22375546261701</v>
      </c>
      <c r="AK2582">
        <v>15.373489826632699</v>
      </c>
      <c r="AL2582">
        <v>81.181877614315894</v>
      </c>
      <c r="AM2582">
        <v>99.081877689349398</v>
      </c>
      <c r="AN2582">
        <v>0.99999999597408495</v>
      </c>
    </row>
    <row r="2583" spans="1:40" x14ac:dyDescent="0.25">
      <c r="A2583" t="str">
        <f>"20190312172941559"</f>
        <v>20190312172941559</v>
      </c>
      <c r="B2583" t="str">
        <f>"1552382981549579"</f>
        <v>1552382981549579</v>
      </c>
      <c r="C2583" t="s">
        <v>40</v>
      </c>
      <c r="D2583">
        <v>3.1350709999999999</v>
      </c>
      <c r="E2583">
        <v>0.4315119</v>
      </c>
      <c r="F2583" t="s">
        <v>46</v>
      </c>
      <c r="G2583">
        <v>-488.66059999999999</v>
      </c>
      <c r="H2583" s="1">
        <v>1.3017599999999999E-6</v>
      </c>
      <c r="I2583">
        <v>273.62430000000001</v>
      </c>
      <c r="J2583">
        <v>-476.9264</v>
      </c>
      <c r="K2583">
        <v>1.1191120000000001</v>
      </c>
      <c r="L2583">
        <v>283.5086</v>
      </c>
      <c r="M2583">
        <v>-0.93373379999999995</v>
      </c>
      <c r="N2583">
        <v>0</v>
      </c>
      <c r="O2583">
        <v>-0.35767149999999998</v>
      </c>
      <c r="P2583">
        <v>-0.85870999999999997</v>
      </c>
      <c r="Q2583">
        <v>0.14313499999999901</v>
      </c>
      <c r="R2583">
        <v>-0.49206680000000003</v>
      </c>
      <c r="S2583">
        <v>-2.3947449999999999</v>
      </c>
      <c r="T2583">
        <v>-0.22319539999999999</v>
      </c>
      <c r="U2583">
        <v>-1.994019</v>
      </c>
      <c r="V2583">
        <v>-0.15578110000000001</v>
      </c>
      <c r="W2583">
        <v>0.1539693</v>
      </c>
      <c r="X2583">
        <v>0.97571799999999997</v>
      </c>
      <c r="Y2583">
        <v>-0.32270399999999999</v>
      </c>
      <c r="Z2583">
        <v>1.451115E-2</v>
      </c>
      <c r="AA2583">
        <v>0.94638869999999997</v>
      </c>
      <c r="AB2583">
        <v>30</v>
      </c>
      <c r="AC2583">
        <v>-11.7341999999999</v>
      </c>
      <c r="AD2583">
        <v>-1.1191106982400001</v>
      </c>
      <c r="AE2583">
        <v>-9.8842999999999908</v>
      </c>
      <c r="AF2583">
        <v>-5.0062145058590497</v>
      </c>
      <c r="AG2583">
        <v>-1.1191106982400001</v>
      </c>
      <c r="AH2583">
        <v>14.4167848210174</v>
      </c>
      <c r="AI2583">
        <v>94.194003860160606</v>
      </c>
      <c r="AJ2583">
        <v>109.149508023064</v>
      </c>
      <c r="AK2583">
        <v>15.302231112132199</v>
      </c>
      <c r="AL2583">
        <v>81.142975672312005</v>
      </c>
      <c r="AM2583">
        <v>99.071165024736203</v>
      </c>
      <c r="AN2583">
        <v>0.99999995599184899</v>
      </c>
    </row>
    <row r="2584" spans="1:40" x14ac:dyDescent="0.25">
      <c r="A2584" t="str">
        <f>"20190312172941581"</f>
        <v>20190312172941581</v>
      </c>
      <c r="B2584" t="str">
        <f>"1552382981570079"</f>
        <v>1552382981570079</v>
      </c>
      <c r="C2584" t="s">
        <v>40</v>
      </c>
      <c r="D2584">
        <v>3.1375220000000001</v>
      </c>
      <c r="E2584">
        <v>0.43183739999999998</v>
      </c>
      <c r="F2584" t="s">
        <v>46</v>
      </c>
      <c r="G2584">
        <v>-488.96339999999998</v>
      </c>
      <c r="H2584" s="1">
        <v>1.217878E-6</v>
      </c>
      <c r="I2584">
        <v>273.31099999999998</v>
      </c>
      <c r="J2584">
        <v>-477.19959999999998</v>
      </c>
      <c r="K2584">
        <v>1.119256</v>
      </c>
      <c r="L2584">
        <v>283.39150000000001</v>
      </c>
      <c r="M2584">
        <v>-0.92950500000000003</v>
      </c>
      <c r="N2584">
        <v>0</v>
      </c>
      <c r="O2584">
        <v>-0.36852020000000002</v>
      </c>
      <c r="P2584">
        <v>-0.85274609999999995</v>
      </c>
      <c r="Q2584">
        <v>0.1439617</v>
      </c>
      <c r="R2584">
        <v>-0.50209519999999996</v>
      </c>
      <c r="S2584">
        <v>-2.3766780000000001</v>
      </c>
      <c r="T2584">
        <v>-0.2209663</v>
      </c>
      <c r="U2584">
        <v>-2.0134889999999999</v>
      </c>
      <c r="V2584">
        <v>-0.155974</v>
      </c>
      <c r="W2584">
        <v>0.15477070000000001</v>
      </c>
      <c r="X2584">
        <v>0.97556039999999999</v>
      </c>
      <c r="Y2584">
        <v>-0.31976759999999999</v>
      </c>
      <c r="Z2584">
        <v>1.5295609999999999E-2</v>
      </c>
      <c r="AA2584">
        <v>0.94737260000000001</v>
      </c>
      <c r="AB2584">
        <v>30</v>
      </c>
      <c r="AC2584">
        <v>-11.7638</v>
      </c>
      <c r="AD2584">
        <v>-1.119254782122</v>
      </c>
      <c r="AE2584">
        <v>-10.080500000000001</v>
      </c>
      <c r="AF2584">
        <v>-5.0090687748280498</v>
      </c>
      <c r="AG2584">
        <v>-1.119254782122</v>
      </c>
      <c r="AH2584">
        <v>14.574866000774801</v>
      </c>
      <c r="AI2584">
        <v>94.153765789485306</v>
      </c>
      <c r="AJ2584">
        <v>108.966746426504</v>
      </c>
      <c r="AK2584">
        <v>15.4521914367769</v>
      </c>
      <c r="AL2584">
        <v>81.096501934326696</v>
      </c>
      <c r="AM2584">
        <v>99.083653281197897</v>
      </c>
      <c r="AN2584">
        <v>0.99999997615132397</v>
      </c>
    </row>
    <row r="2585" spans="1:40" x14ac:dyDescent="0.25">
      <c r="A2585" t="str">
        <f>"20190312172941605"</f>
        <v>20190312172941605</v>
      </c>
      <c r="B2585" t="str">
        <f>"1552382981600333"</f>
        <v>1552382981600333</v>
      </c>
      <c r="C2585" t="s">
        <v>40</v>
      </c>
      <c r="D2585">
        <v>3.1621869999999999</v>
      </c>
      <c r="E2585">
        <v>0.4323593</v>
      </c>
      <c r="F2585" t="s">
        <v>46</v>
      </c>
      <c r="G2585">
        <v>-489.17290000000003</v>
      </c>
      <c r="H2585" s="1">
        <v>1.1340399999999999E-6</v>
      </c>
      <c r="I2585">
        <v>273.0213</v>
      </c>
      <c r="J2585">
        <v>-477.4742</v>
      </c>
      <c r="K2585">
        <v>1.1193959999999901</v>
      </c>
      <c r="L2585">
        <v>283.2697</v>
      </c>
      <c r="M2585">
        <v>-0.92502779999999996</v>
      </c>
      <c r="N2585">
        <v>0</v>
      </c>
      <c r="O2585">
        <v>-0.37961709999999999</v>
      </c>
      <c r="P2585">
        <v>-0.84656129999999996</v>
      </c>
      <c r="Q2585">
        <v>0.1442638</v>
      </c>
      <c r="R2585">
        <v>-0.51236899999999996</v>
      </c>
      <c r="S2585">
        <v>-2.354492</v>
      </c>
      <c r="T2585">
        <v>-0.2200965</v>
      </c>
      <c r="U2585">
        <v>-2.0392459999999999</v>
      </c>
      <c r="V2585">
        <v>-0.1561736</v>
      </c>
      <c r="W2585">
        <v>0.1550491</v>
      </c>
      <c r="X2585">
        <v>0.97548429999999997</v>
      </c>
      <c r="Y2585">
        <v>-0.31879279999999999</v>
      </c>
      <c r="Z2585">
        <v>1.610526E-2</v>
      </c>
      <c r="AA2585">
        <v>0.94768759999999996</v>
      </c>
      <c r="AB2585">
        <v>30</v>
      </c>
      <c r="AC2585">
        <v>-11.698700000000001</v>
      </c>
      <c r="AD2585">
        <v>-1.1193948659599999</v>
      </c>
      <c r="AE2585">
        <v>-10.2484</v>
      </c>
      <c r="AF2585">
        <v>-5.0135970330138502</v>
      </c>
      <c r="AG2585">
        <v>-1.1193948659599999</v>
      </c>
      <c r="AH2585">
        <v>14.637840650085</v>
      </c>
      <c r="AI2585">
        <v>94.137953235384899</v>
      </c>
      <c r="AJ2585">
        <v>108.90681061644899</v>
      </c>
      <c r="AK2585">
        <v>15.513077675711701</v>
      </c>
      <c r="AL2585">
        <v>81.080356261102907</v>
      </c>
      <c r="AM2585">
        <v>99.095781134358802</v>
      </c>
      <c r="AN2585">
        <v>1.00000001814712</v>
      </c>
    </row>
    <row r="2586" spans="1:40" x14ac:dyDescent="0.25">
      <c r="A2586" t="str">
        <f>"20190312172941625"</f>
        <v>20190312172941625</v>
      </c>
      <c r="B2586" t="str">
        <f>"1552382981619851"</f>
        <v>1552382981619851</v>
      </c>
      <c r="C2586" t="s">
        <v>40</v>
      </c>
      <c r="D2586">
        <v>3.1288680000000002</v>
      </c>
      <c r="E2586">
        <v>0.43298950000000003</v>
      </c>
      <c r="F2586" t="s">
        <v>46</v>
      </c>
      <c r="G2586">
        <v>-489.34039999999999</v>
      </c>
      <c r="H2586" s="1">
        <v>1.0589219999999999E-6</v>
      </c>
      <c r="I2586">
        <v>272.76679999999999</v>
      </c>
      <c r="J2586">
        <v>-477.73309999999998</v>
      </c>
      <c r="K2586">
        <v>1.1195200000000001</v>
      </c>
      <c r="L2586">
        <v>283.15089999999998</v>
      </c>
      <c r="M2586">
        <v>-0.92059020000000003</v>
      </c>
      <c r="N2586">
        <v>0</v>
      </c>
      <c r="O2586">
        <v>-0.3902542</v>
      </c>
      <c r="P2586">
        <v>-0.84033469999999999</v>
      </c>
      <c r="Q2586">
        <v>0.1451839</v>
      </c>
      <c r="R2586">
        <v>-0.5222637</v>
      </c>
      <c r="S2586">
        <v>-2.3319700000000001</v>
      </c>
      <c r="T2586">
        <v>-0.21998619999999999</v>
      </c>
      <c r="U2586">
        <v>-2.0640559999999999</v>
      </c>
      <c r="V2586">
        <v>-0.156501</v>
      </c>
      <c r="W2586">
        <v>0.15594459999999999</v>
      </c>
      <c r="X2586">
        <v>0.97528899999999996</v>
      </c>
      <c r="Y2586">
        <v>-0.31808530000000002</v>
      </c>
      <c r="Z2586">
        <v>1.692664E-2</v>
      </c>
      <c r="AA2586">
        <v>0.94791099999999995</v>
      </c>
      <c r="AB2586">
        <v>30</v>
      </c>
      <c r="AC2586">
        <v>-11.6073</v>
      </c>
      <c r="AD2586">
        <v>-1.119518941078</v>
      </c>
      <c r="AE2586">
        <v>-10.384099999999901</v>
      </c>
      <c r="AF2586">
        <v>-5.0043866727977804</v>
      </c>
      <c r="AG2586">
        <v>-1.119518941078</v>
      </c>
      <c r="AH2586">
        <v>14.6638231677282</v>
      </c>
      <c r="AI2586">
        <v>94.132659560853796</v>
      </c>
      <c r="AJ2586">
        <v>108.843456594297</v>
      </c>
      <c r="AK2586">
        <v>15.534636092445499</v>
      </c>
      <c r="AL2586">
        <v>81.028415560236198</v>
      </c>
      <c r="AM2586">
        <v>99.116324174004802</v>
      </c>
      <c r="AN2586">
        <v>0.99999995739557901</v>
      </c>
    </row>
    <row r="2587" spans="1:40" x14ac:dyDescent="0.25">
      <c r="A2587" t="str">
        <f>"20190312172941648"</f>
        <v>20190312172941648</v>
      </c>
      <c r="B2587" t="str">
        <f>"1552382981640347"</f>
        <v>1552382981640347</v>
      </c>
      <c r="C2587" t="s">
        <v>40</v>
      </c>
      <c r="D2587">
        <v>3.1432929999999999</v>
      </c>
      <c r="E2587">
        <v>0.43346829999999997</v>
      </c>
      <c r="F2587" t="s">
        <v>46</v>
      </c>
      <c r="G2587">
        <v>-489.5514</v>
      </c>
      <c r="H2587" s="1">
        <v>9.7366800000000006E-7</v>
      </c>
      <c r="I2587">
        <v>272.47269999999997</v>
      </c>
      <c r="J2587">
        <v>-477.9975</v>
      </c>
      <c r="K2587">
        <v>1.119637</v>
      </c>
      <c r="L2587">
        <v>283.0256</v>
      </c>
      <c r="M2587">
        <v>-0.91584239999999995</v>
      </c>
      <c r="N2587">
        <v>0</v>
      </c>
      <c r="O2587">
        <v>-0.40126859999999998</v>
      </c>
      <c r="P2587">
        <v>-0.83419539999999903</v>
      </c>
      <c r="Q2587">
        <v>0.14589479999999999</v>
      </c>
      <c r="R2587">
        <v>-0.53182030000000002</v>
      </c>
      <c r="S2587">
        <v>-2.310425</v>
      </c>
      <c r="T2587">
        <v>-0.21886120000000001</v>
      </c>
      <c r="U2587">
        <v>-2.087555</v>
      </c>
      <c r="V2587">
        <v>-0.1560396</v>
      </c>
      <c r="W2587">
        <v>0.1566562</v>
      </c>
      <c r="X2587">
        <v>0.97524889999999997</v>
      </c>
      <c r="Y2587">
        <v>-0.31644099999999997</v>
      </c>
      <c r="Z2587">
        <v>1.7727E-2</v>
      </c>
      <c r="AA2587">
        <v>0.94844649999999997</v>
      </c>
      <c r="AB2587">
        <v>30</v>
      </c>
      <c r="AC2587">
        <v>-11.553900000000001</v>
      </c>
      <c r="AD2587">
        <v>-1.119636026332</v>
      </c>
      <c r="AE2587">
        <v>-10.552899999999999</v>
      </c>
      <c r="AF2587">
        <v>-5.0035033714333803</v>
      </c>
      <c r="AG2587">
        <v>-1.119636026332</v>
      </c>
      <c r="AH2587">
        <v>14.742225449934899</v>
      </c>
      <c r="AI2587">
        <v>94.113528800103495</v>
      </c>
      <c r="AJ2587">
        <v>108.74718466884001</v>
      </c>
      <c r="AK2587">
        <v>15.608390116732499</v>
      </c>
      <c r="AL2587">
        <v>80.987136652462596</v>
      </c>
      <c r="AM2587">
        <v>99.090264089329494</v>
      </c>
      <c r="AN2587">
        <v>0.99999996935890401</v>
      </c>
    </row>
    <row r="2588" spans="1:40" x14ac:dyDescent="0.25">
      <c r="A2588" t="str">
        <f>"20190312172941670"</f>
        <v>20190312172941670</v>
      </c>
      <c r="B2588" t="str">
        <f>"1552382981659867"</f>
        <v>1552382981659867</v>
      </c>
      <c r="C2588" t="s">
        <v>40</v>
      </c>
      <c r="D2588">
        <v>3.1361620000000001</v>
      </c>
      <c r="E2588">
        <v>0.43416070000000001</v>
      </c>
      <c r="F2588" t="s">
        <v>46</v>
      </c>
      <c r="G2588">
        <v>-489.74099999999999</v>
      </c>
      <c r="H2588" s="1">
        <v>8.9073790000000005E-7</v>
      </c>
      <c r="I2588">
        <v>272.19049999999999</v>
      </c>
      <c r="J2588">
        <v>-478.26</v>
      </c>
      <c r="K2588">
        <v>1.1197299999999999</v>
      </c>
      <c r="L2588">
        <v>282.8972</v>
      </c>
      <c r="M2588">
        <v>-0.91091469999999997</v>
      </c>
      <c r="N2588">
        <v>0</v>
      </c>
      <c r="O2588">
        <v>-0.41233150000000002</v>
      </c>
      <c r="P2588">
        <v>-0.82798930000000004</v>
      </c>
      <c r="Q2588">
        <v>0.145787</v>
      </c>
      <c r="R2588">
        <v>-0.54146079999999996</v>
      </c>
      <c r="S2588">
        <v>-2.2883909999999998</v>
      </c>
      <c r="T2588">
        <v>-0.21817819999999999</v>
      </c>
      <c r="U2588">
        <v>-2.111389</v>
      </c>
      <c r="V2588">
        <v>-0.15556449999999999</v>
      </c>
      <c r="W2588">
        <v>0.15655350000000001</v>
      </c>
      <c r="X2588">
        <v>0.97534129999999997</v>
      </c>
      <c r="Y2588">
        <v>-0.31486229999999998</v>
      </c>
      <c r="Z2588">
        <v>1.8557319999999999E-2</v>
      </c>
      <c r="AA2588">
        <v>0.94895589999999996</v>
      </c>
      <c r="AB2588">
        <v>30</v>
      </c>
      <c r="AC2588">
        <v>-11.4809999999999</v>
      </c>
      <c r="AD2588">
        <v>-1.11972910926209</v>
      </c>
      <c r="AE2588">
        <v>-10.7067</v>
      </c>
      <c r="AF2588">
        <v>-4.9940503327746999</v>
      </c>
      <c r="AG2588">
        <v>-1.11972910926209</v>
      </c>
      <c r="AH2588">
        <v>14.799245506794801</v>
      </c>
      <c r="AI2588">
        <v>94.100487911236101</v>
      </c>
      <c r="AJ2588">
        <v>108.64712306237401</v>
      </c>
      <c r="AK2588">
        <v>15.6592464561614</v>
      </c>
      <c r="AL2588">
        <v>80.993094552900899</v>
      </c>
      <c r="AM2588">
        <v>99.062202305806395</v>
      </c>
      <c r="AN2588">
        <v>0.99999998175409399</v>
      </c>
    </row>
    <row r="2589" spans="1:40" x14ac:dyDescent="0.25">
      <c r="A2589" t="str">
        <f>"20190312172941692"</f>
        <v>20190312172941692</v>
      </c>
      <c r="B2589" t="str">
        <f>"1552382981680363"</f>
        <v>1552382981680363</v>
      </c>
      <c r="C2589" t="s">
        <v>40</v>
      </c>
      <c r="D2589">
        <v>3.2213859999999999</v>
      </c>
      <c r="E2589">
        <v>0.44542870000000001</v>
      </c>
      <c r="F2589" t="s">
        <v>46</v>
      </c>
      <c r="G2589">
        <v>-489.7663</v>
      </c>
      <c r="H2589" s="1">
        <v>8.4978849999999905E-7</v>
      </c>
      <c r="I2589">
        <v>272.06830000000002</v>
      </c>
      <c r="J2589">
        <v>-478.52089999999998</v>
      </c>
      <c r="K2589">
        <v>1.1198049999999999</v>
      </c>
      <c r="L2589">
        <v>282.76560000000001</v>
      </c>
      <c r="M2589">
        <v>-0.90580380000000005</v>
      </c>
      <c r="N2589">
        <v>0</v>
      </c>
      <c r="O2589">
        <v>-0.4234407</v>
      </c>
      <c r="P2589">
        <v>-0.82151319999999906</v>
      </c>
      <c r="Q2589">
        <v>0.14529819999999999</v>
      </c>
      <c r="R2589">
        <v>-0.55136619999999903</v>
      </c>
      <c r="S2589">
        <v>-2.266937</v>
      </c>
      <c r="T2589">
        <v>-0.22060589999999999</v>
      </c>
      <c r="U2589">
        <v>-2.1334840000000002</v>
      </c>
      <c r="V2589">
        <v>-0.155332</v>
      </c>
      <c r="W2589">
        <v>0.15606800000000001</v>
      </c>
      <c r="X2589">
        <v>0.9754562</v>
      </c>
      <c r="Y2589">
        <v>-0.31267</v>
      </c>
      <c r="Z2589">
        <v>1.9687280000000001E-2</v>
      </c>
      <c r="AA2589">
        <v>0.9496578</v>
      </c>
      <c r="AB2589">
        <v>30</v>
      </c>
      <c r="AC2589">
        <v>-11.2454</v>
      </c>
      <c r="AD2589">
        <v>-1.1198041502114999</v>
      </c>
      <c r="AE2589">
        <v>-10.697299999999901</v>
      </c>
      <c r="AF2589">
        <v>-4.9029086828194801</v>
      </c>
      <c r="AG2589">
        <v>-1.1198041502114999</v>
      </c>
      <c r="AH2589">
        <v>14.6411836853695</v>
      </c>
      <c r="AI2589">
        <v>94.148101199796898</v>
      </c>
      <c r="AJ2589">
        <v>108.51420687062</v>
      </c>
      <c r="AK2589">
        <v>15.4808505772657</v>
      </c>
      <c r="AL2589">
        <v>81.021258226675101</v>
      </c>
      <c r="AM2589">
        <v>99.047834342673198</v>
      </c>
      <c r="AN2589">
        <v>1.0000000244832099</v>
      </c>
    </row>
    <row r="2590" spans="1:40" x14ac:dyDescent="0.25">
      <c r="A2590" t="str">
        <f>"20190312172941714"</f>
        <v>20190312172941714</v>
      </c>
      <c r="B2590" t="str">
        <f>"1552382981709647"</f>
        <v>1552382981709647</v>
      </c>
      <c r="C2590" t="s">
        <v>40</v>
      </c>
      <c r="D2590">
        <v>3.211598</v>
      </c>
      <c r="E2590">
        <v>0.44764660000000001</v>
      </c>
      <c r="F2590" t="s">
        <v>46</v>
      </c>
      <c r="G2590">
        <v>-489.24540000000002</v>
      </c>
      <c r="H2590" s="1">
        <v>1.1359180000000001E-6</v>
      </c>
      <c r="I2590">
        <v>273.00850000000003</v>
      </c>
      <c r="J2590">
        <v>-478.78250000000003</v>
      </c>
      <c r="K2590">
        <v>1.1198709999999901</v>
      </c>
      <c r="L2590">
        <v>282.62950000000001</v>
      </c>
      <c r="M2590">
        <v>-0.90046949999999903</v>
      </c>
      <c r="N2590">
        <v>0</v>
      </c>
      <c r="O2590">
        <v>-0.434668</v>
      </c>
      <c r="P2590">
        <v>-0.81457550000000001</v>
      </c>
      <c r="Q2590">
        <v>0.14521389999999901</v>
      </c>
      <c r="R2590">
        <v>-0.56158719999999995</v>
      </c>
      <c r="S2590">
        <v>-2.2936100000000001</v>
      </c>
      <c r="T2590">
        <v>-0.23948900000000001</v>
      </c>
      <c r="U2590">
        <v>-2.0867309999999999</v>
      </c>
      <c r="V2590">
        <v>-0.15540809999999999</v>
      </c>
      <c r="W2590">
        <v>0.1559817</v>
      </c>
      <c r="X2590">
        <v>0.97545780000000004</v>
      </c>
      <c r="Y2590">
        <v>-0.28483950000000002</v>
      </c>
      <c r="Z2590">
        <v>2.341766E-2</v>
      </c>
      <c r="AA2590">
        <v>0.9582891</v>
      </c>
      <c r="AB2590">
        <v>30</v>
      </c>
      <c r="AC2590">
        <v>-10.4628999999999</v>
      </c>
      <c r="AD2590">
        <v>-1.11986986408199</v>
      </c>
      <c r="AE2590">
        <v>-9.6209999999999791</v>
      </c>
      <c r="AF2590">
        <v>-4.0905870281461496</v>
      </c>
      <c r="AG2590">
        <v>-1.11986986408199</v>
      </c>
      <c r="AH2590">
        <v>13.521019208509101</v>
      </c>
      <c r="AI2590">
        <v>94.532690404347093</v>
      </c>
      <c r="AJ2590">
        <v>106.832424481148</v>
      </c>
      <c r="AK2590">
        <v>14.170567073486801</v>
      </c>
      <c r="AL2590">
        <v>81.026263430503704</v>
      </c>
      <c r="AM2590">
        <v>99.052179062552995</v>
      </c>
      <c r="AN2590">
        <v>0.99999994393066804</v>
      </c>
    </row>
    <row r="2591" spans="1:40" x14ac:dyDescent="0.25">
      <c r="A2591" t="str">
        <f>"20190312172941737"</f>
        <v>20190312172941737</v>
      </c>
      <c r="B2591" t="str">
        <f>"1552382981730143"</f>
        <v>1552382981730143</v>
      </c>
      <c r="C2591" t="s">
        <v>40</v>
      </c>
      <c r="D2591">
        <v>3.2187190000000001</v>
      </c>
      <c r="E2591">
        <v>0.44859510000000002</v>
      </c>
      <c r="F2591" t="s">
        <v>46</v>
      </c>
      <c r="G2591">
        <v>-489.55590000000001</v>
      </c>
      <c r="H2591" s="1">
        <v>1.0532769999999999E-6</v>
      </c>
      <c r="I2591">
        <v>272.69670000000002</v>
      </c>
      <c r="J2591">
        <v>-479.0401</v>
      </c>
      <c r="K2591">
        <v>1.1199110000000001</v>
      </c>
      <c r="L2591">
        <v>282.4914</v>
      </c>
      <c r="M2591">
        <v>-0.89501699999999995</v>
      </c>
      <c r="N2591">
        <v>0</v>
      </c>
      <c r="O2591">
        <v>-0.44578640000000003</v>
      </c>
      <c r="P2591">
        <v>-0.80701369999999994</v>
      </c>
      <c r="Q2591">
        <v>0.14517550000000001</v>
      </c>
      <c r="R2591">
        <v>-0.57240999999999997</v>
      </c>
      <c r="S2591">
        <v>-2.2774960000000002</v>
      </c>
      <c r="T2591">
        <v>-0.2367409</v>
      </c>
      <c r="U2591">
        <v>-2.0997919999999999</v>
      </c>
      <c r="V2591">
        <v>-0.156363</v>
      </c>
      <c r="W2591">
        <v>0.155921</v>
      </c>
      <c r="X2591">
        <v>0.97531500000000004</v>
      </c>
      <c r="Y2591">
        <v>-0.27933799999999998</v>
      </c>
      <c r="Z2591">
        <v>2.4280929999999999E-2</v>
      </c>
      <c r="AA2591">
        <v>0.95988580000000001</v>
      </c>
      <c r="AB2591">
        <v>30</v>
      </c>
      <c r="AC2591">
        <v>-10.5158</v>
      </c>
      <c r="AD2591">
        <v>-1.119909946723</v>
      </c>
      <c r="AE2591">
        <v>-9.7946999999999704</v>
      </c>
      <c r="AF2591">
        <v>-4.0544462673017296</v>
      </c>
      <c r="AG2591">
        <v>-1.119909946723</v>
      </c>
      <c r="AH2591">
        <v>13.6964934732591</v>
      </c>
      <c r="AI2591">
        <v>94.482998333489704</v>
      </c>
      <c r="AJ2591">
        <v>106.489846801309</v>
      </c>
      <c r="AK2591">
        <v>14.3278283869621</v>
      </c>
      <c r="AL2591">
        <v>81.029785301835005</v>
      </c>
      <c r="AM2591">
        <v>99.108181617218804</v>
      </c>
      <c r="AN2591">
        <v>1.00000004761749</v>
      </c>
    </row>
    <row r="2592" spans="1:40" x14ac:dyDescent="0.25">
      <c r="A2592" t="str">
        <f>"20190312172941759"</f>
        <v>20190312172941759</v>
      </c>
      <c r="B2592" t="str">
        <f>"1552382981749660"</f>
        <v>1552382981749660</v>
      </c>
      <c r="C2592" t="s">
        <v>40</v>
      </c>
      <c r="D2592">
        <v>3.190598</v>
      </c>
      <c r="E2592">
        <v>0.44949869999999997</v>
      </c>
      <c r="F2592" t="s">
        <v>46</v>
      </c>
      <c r="G2592">
        <v>-489.48390000000001</v>
      </c>
      <c r="H2592" s="1">
        <v>1.0301389999999999E-6</v>
      </c>
      <c r="I2592">
        <v>272.64940000000001</v>
      </c>
      <c r="J2592">
        <v>-479.29759999999999</v>
      </c>
      <c r="K2592">
        <v>1.1199319999999999</v>
      </c>
      <c r="L2592">
        <v>282.3492</v>
      </c>
      <c r="M2592">
        <v>-0.88936809999999999</v>
      </c>
      <c r="N2592">
        <v>0</v>
      </c>
      <c r="O2592">
        <v>-0.45695190000000002</v>
      </c>
      <c r="P2592">
        <v>-0.79931770000000002</v>
      </c>
      <c r="Q2592">
        <v>0.14477660000000001</v>
      </c>
      <c r="R2592">
        <v>-0.58320780000000005</v>
      </c>
      <c r="S2592">
        <v>-2.2541500000000001</v>
      </c>
      <c r="T2592">
        <v>-0.24171609999999999</v>
      </c>
      <c r="U2592">
        <v>-2.1242679999999998</v>
      </c>
      <c r="V2592">
        <v>-0.157240299999999</v>
      </c>
      <c r="W2592">
        <v>0.15550510000000001</v>
      </c>
      <c r="X2592">
        <v>0.97524029999999995</v>
      </c>
      <c r="Y2592">
        <v>-0.2778485</v>
      </c>
      <c r="Z2592">
        <v>2.5779369999999999E-2</v>
      </c>
      <c r="AA2592">
        <v>0.96027899999999999</v>
      </c>
      <c r="AB2592">
        <v>30</v>
      </c>
      <c r="AC2592">
        <v>-10.186299999999999</v>
      </c>
      <c r="AD2592">
        <v>-1.1199309698609901</v>
      </c>
      <c r="AE2592">
        <v>-9.6997999999999802</v>
      </c>
      <c r="AF2592">
        <v>-3.9474544546355799</v>
      </c>
      <c r="AG2592">
        <v>-1.1199309698609901</v>
      </c>
      <c r="AH2592">
        <v>13.408191303861001</v>
      </c>
      <c r="AI2592">
        <v>94.581070974915093</v>
      </c>
      <c r="AJ2592">
        <v>106.404754929145</v>
      </c>
      <c r="AK2592">
        <v>14.0219911599462</v>
      </c>
      <c r="AL2592">
        <v>81.053908395897906</v>
      </c>
      <c r="AM2592">
        <v>99.159110487645606</v>
      </c>
      <c r="AN2592">
        <v>0.99999999540709394</v>
      </c>
    </row>
    <row r="2593" spans="1:40" x14ac:dyDescent="0.25">
      <c r="A2593" t="str">
        <f>"20190312172941781"</f>
        <v>20190312172941781</v>
      </c>
      <c r="B2593" t="str">
        <f>"1552382981770159"</f>
        <v>1552382981770159</v>
      </c>
      <c r="C2593" t="s">
        <v>40</v>
      </c>
      <c r="D2593">
        <v>3.2009560000000001</v>
      </c>
      <c r="E2593">
        <v>0.44993569999999999</v>
      </c>
      <c r="F2593" t="s">
        <v>46</v>
      </c>
      <c r="G2593">
        <v>-489.52379999999999</v>
      </c>
      <c r="H2593" s="1">
        <v>9.7751480000000007E-7</v>
      </c>
      <c r="I2593">
        <v>272.4905</v>
      </c>
      <c r="J2593">
        <v>-479.54680000000002</v>
      </c>
      <c r="K2593">
        <v>1.1199440000000001</v>
      </c>
      <c r="L2593">
        <v>282.20749999999998</v>
      </c>
      <c r="M2593">
        <v>-0.88371789999999995</v>
      </c>
      <c r="N2593">
        <v>0</v>
      </c>
      <c r="O2593">
        <v>-0.46778530000000001</v>
      </c>
      <c r="P2593">
        <v>-0.79211049999999905</v>
      </c>
      <c r="Q2593">
        <v>0.14405290000000001</v>
      </c>
      <c r="R2593">
        <v>-0.593136199999999</v>
      </c>
      <c r="S2593">
        <v>-2.229279</v>
      </c>
      <c r="T2593">
        <v>-0.24414269999999999</v>
      </c>
      <c r="U2593">
        <v>-2.1491699999999998</v>
      </c>
      <c r="V2593">
        <v>-0.15742020000000001</v>
      </c>
      <c r="W2593">
        <v>0.15478439999999999</v>
      </c>
      <c r="X2593">
        <v>0.97532589999999997</v>
      </c>
      <c r="Y2593">
        <v>-0.27705689999999999</v>
      </c>
      <c r="Z2593">
        <v>2.6988439999999999E-2</v>
      </c>
      <c r="AA2593">
        <v>0.96047439999999995</v>
      </c>
      <c r="AB2593">
        <v>30</v>
      </c>
      <c r="AC2593">
        <v>-9.9769999999999701</v>
      </c>
      <c r="AD2593">
        <v>-1.1199430224852001</v>
      </c>
      <c r="AE2593">
        <v>-9.7169999999999792</v>
      </c>
      <c r="AF2593">
        <v>-3.89523430000951</v>
      </c>
      <c r="AG2593">
        <v>-1.1199430224852001</v>
      </c>
      <c r="AH2593">
        <v>13.2779270838572</v>
      </c>
      <c r="AI2593">
        <v>94.627171075093898</v>
      </c>
      <c r="AJ2593">
        <v>106.349664237339</v>
      </c>
      <c r="AK2593">
        <v>13.882740013045501</v>
      </c>
      <c r="AL2593">
        <v>81.095707357110001</v>
      </c>
      <c r="AM2593">
        <v>99.168620506308898</v>
      </c>
      <c r="AN2593">
        <v>0.99999997053110401</v>
      </c>
    </row>
    <row r="2594" spans="1:40" x14ac:dyDescent="0.25">
      <c r="A2594" t="str">
        <f>"20190312172941805"</f>
        <v>20190312172941805</v>
      </c>
      <c r="B2594" t="str">
        <f>"1552382981800412"</f>
        <v>1552382981800412</v>
      </c>
      <c r="C2594" t="s">
        <v>40</v>
      </c>
      <c r="D2594">
        <v>3.1875830000000001</v>
      </c>
      <c r="E2594">
        <v>0.45051730000000001</v>
      </c>
      <c r="F2594" t="s">
        <v>46</v>
      </c>
      <c r="G2594">
        <v>-489.52859999999998</v>
      </c>
      <c r="H2594" s="1">
        <v>9.3159390000000001E-7</v>
      </c>
      <c r="I2594">
        <v>272.35939999999999</v>
      </c>
      <c r="J2594">
        <v>-479.80650000000003</v>
      </c>
      <c r="K2594">
        <v>1.119936</v>
      </c>
      <c r="L2594">
        <v>282.05520000000001</v>
      </c>
      <c r="M2594">
        <v>-0.87763019999999903</v>
      </c>
      <c r="N2594">
        <v>0</v>
      </c>
      <c r="O2594">
        <v>-0.47910839999999999</v>
      </c>
      <c r="P2594">
        <v>-0.78466190000000002</v>
      </c>
      <c r="Q2594">
        <v>0.1429927</v>
      </c>
      <c r="R2594">
        <v>-0.60320719999999906</v>
      </c>
      <c r="S2594">
        <v>-2.2040410000000001</v>
      </c>
      <c r="T2594">
        <v>-0.2472879</v>
      </c>
      <c r="U2594">
        <v>-2.1745000000000001</v>
      </c>
      <c r="V2594">
        <v>-0.15722520000000001</v>
      </c>
      <c r="W2594">
        <v>0.15373989999999901</v>
      </c>
      <c r="X2594">
        <v>0.97552260000000002</v>
      </c>
      <c r="Y2594">
        <v>-0.27583629999999998</v>
      </c>
      <c r="Z2594">
        <v>2.835418E-2</v>
      </c>
      <c r="AA2594">
        <v>0.96078629999999998</v>
      </c>
      <c r="AB2594">
        <v>30</v>
      </c>
      <c r="AC2594">
        <v>-9.7220999999999496</v>
      </c>
      <c r="AD2594">
        <v>-1.1199350684061</v>
      </c>
      <c r="AE2594">
        <v>-9.6958000000000197</v>
      </c>
      <c r="AF2594">
        <v>-3.82635523685585</v>
      </c>
      <c r="AG2594">
        <v>-1.1199350684061</v>
      </c>
      <c r="AH2594">
        <v>13.0920997385711</v>
      </c>
      <c r="AI2594">
        <v>94.693906537038202</v>
      </c>
      <c r="AJ2594">
        <v>106.29176448645001</v>
      </c>
      <c r="AK2594">
        <v>13.6856978090543</v>
      </c>
      <c r="AL2594">
        <v>81.156278380688903</v>
      </c>
      <c r="AM2594">
        <v>99.155640479804205</v>
      </c>
      <c r="AN2594">
        <v>1.0000000317389</v>
      </c>
    </row>
    <row r="2595" spans="1:40" x14ac:dyDescent="0.25">
      <c r="A2595" t="str">
        <f>"20190312172941826"</f>
        <v>20190312172941826</v>
      </c>
      <c r="B2595" t="str">
        <f>"1552382981819931"</f>
        <v>1552382981819931</v>
      </c>
      <c r="C2595" t="s">
        <v>40</v>
      </c>
      <c r="D2595">
        <v>3.306521</v>
      </c>
      <c r="E2595">
        <v>0.45079239999999998</v>
      </c>
      <c r="F2595" t="s">
        <v>46</v>
      </c>
      <c r="G2595">
        <v>-489.67849999999999</v>
      </c>
      <c r="H2595" s="1">
        <v>8.5244300000000001E-7</v>
      </c>
      <c r="I2595">
        <v>272.09780000000001</v>
      </c>
      <c r="J2595">
        <v>-480.04590000000002</v>
      </c>
      <c r="K2595">
        <v>1.1199349999999999</v>
      </c>
      <c r="L2595">
        <v>281.91070000000002</v>
      </c>
      <c r="M2595">
        <v>-0.87184259999999902</v>
      </c>
      <c r="N2595">
        <v>0</v>
      </c>
      <c r="O2595">
        <v>-0.48956110000000003</v>
      </c>
      <c r="P2595">
        <v>-0.77794980000000002</v>
      </c>
      <c r="Q2595">
        <v>0.14232330000000001</v>
      </c>
      <c r="R2595">
        <v>-0.61199539999999997</v>
      </c>
      <c r="S2595">
        <v>-2.1788639999999999</v>
      </c>
      <c r="T2595">
        <v>-0.24718209999999999</v>
      </c>
      <c r="U2595">
        <v>-2.1976930000000001</v>
      </c>
      <c r="V2595">
        <v>-0.15646450000000001</v>
      </c>
      <c r="W2595">
        <v>0.15310000000000001</v>
      </c>
      <c r="X2595">
        <v>0.97574550000000004</v>
      </c>
      <c r="Y2595">
        <v>-0.27499359999999901</v>
      </c>
      <c r="Z2595">
        <v>2.9284009999999999E-2</v>
      </c>
      <c r="AA2595">
        <v>0.96099999999999997</v>
      </c>
      <c r="AB2595">
        <v>30</v>
      </c>
      <c r="AC2595">
        <v>-9.6325999999999592</v>
      </c>
      <c r="AD2595">
        <v>-1.1199341475569999</v>
      </c>
      <c r="AE2595">
        <v>-9.8129000000000097</v>
      </c>
      <c r="AF2595">
        <v>-3.81467674227647</v>
      </c>
      <c r="AG2595">
        <v>-1.1199341475569999</v>
      </c>
      <c r="AH2595">
        <v>13.1165722140734</v>
      </c>
      <c r="AI2595">
        <v>94.686983691961203</v>
      </c>
      <c r="AJ2595">
        <v>106.215951349436</v>
      </c>
      <c r="AK2595">
        <v>13.7058556022575</v>
      </c>
      <c r="AL2595">
        <v>81.193381060675705</v>
      </c>
      <c r="AM2595">
        <v>99.110041156495001</v>
      </c>
      <c r="AN2595">
        <v>1.00000001526524</v>
      </c>
    </row>
    <row r="2596" spans="1:40" x14ac:dyDescent="0.25">
      <c r="A2596" t="str">
        <f>"20190312172941848"</f>
        <v>20190312172941848</v>
      </c>
      <c r="B2596" t="str">
        <f>"1552382981840000"</f>
        <v>1552382981840000</v>
      </c>
      <c r="C2596" t="s">
        <v>40</v>
      </c>
      <c r="D2596">
        <v>3.2314880000000001</v>
      </c>
      <c r="E2596">
        <v>0.45931240000000001</v>
      </c>
      <c r="F2596" t="s">
        <v>46</v>
      </c>
      <c r="G2596">
        <v>-489.74360000000001</v>
      </c>
      <c r="H2596" s="1">
        <v>7.9876669999999904E-7</v>
      </c>
      <c r="I2596">
        <v>271.92970000000003</v>
      </c>
      <c r="J2596">
        <v>-480.29750000000001</v>
      </c>
      <c r="K2596">
        <v>1.119936</v>
      </c>
      <c r="L2596">
        <v>281.75450000000001</v>
      </c>
      <c r="M2596">
        <v>-0.86557329999999999</v>
      </c>
      <c r="N2596">
        <v>0</v>
      </c>
      <c r="O2596">
        <v>-0.50056210000000001</v>
      </c>
      <c r="P2596">
        <v>-0.77033509999999905</v>
      </c>
      <c r="Q2596">
        <v>0.1426144</v>
      </c>
      <c r="R2596">
        <v>-0.62148649999999905</v>
      </c>
      <c r="S2596">
        <v>-2.1561279999999998</v>
      </c>
      <c r="T2596">
        <v>-0.24899850000000001</v>
      </c>
      <c r="U2596">
        <v>-2.2191160000000001</v>
      </c>
      <c r="V2596">
        <v>-0.1561024</v>
      </c>
      <c r="W2596">
        <v>0.15340909999999999</v>
      </c>
      <c r="X2596">
        <v>0.97575489999999998</v>
      </c>
      <c r="Y2596">
        <v>-0.27255760000000001</v>
      </c>
      <c r="Z2596">
        <v>3.0547709999999999E-2</v>
      </c>
      <c r="AA2596">
        <v>0.96165440000000002</v>
      </c>
      <c r="AB2596">
        <v>30</v>
      </c>
      <c r="AC2596">
        <v>-9.4460999999999995</v>
      </c>
      <c r="AD2596">
        <v>-1.1199352012332999</v>
      </c>
      <c r="AE2596">
        <v>-9.8247999999999802</v>
      </c>
      <c r="AF2596">
        <v>-3.7508149628210399</v>
      </c>
      <c r="AG2596">
        <v>-1.1199352012332999</v>
      </c>
      <c r="AH2596">
        <v>13.0078267863401</v>
      </c>
      <c r="AI2596">
        <v>94.729110574878902</v>
      </c>
      <c r="AJ2596">
        <v>106.084949386129</v>
      </c>
      <c r="AK2596">
        <v>13.584050406403501</v>
      </c>
      <c r="AL2596">
        <v>81.175458800276104</v>
      </c>
      <c r="AM2596">
        <v>99.089224364929095</v>
      </c>
      <c r="AN2596">
        <v>0.99999996806128899</v>
      </c>
    </row>
    <row r="2597" spans="1:40" x14ac:dyDescent="0.25">
      <c r="A2597" t="str">
        <f>"20190312172941871"</f>
        <v>20190312172941871</v>
      </c>
      <c r="B2597" t="str">
        <f>"1552382981860496"</f>
        <v>1552382981860496</v>
      </c>
      <c r="C2597" t="s">
        <v>40</v>
      </c>
      <c r="D2597">
        <v>3.2117969999999998</v>
      </c>
      <c r="E2597">
        <v>0.4598563</v>
      </c>
      <c r="F2597" t="s">
        <v>46</v>
      </c>
      <c r="G2597">
        <v>-490.56610000000001</v>
      </c>
      <c r="H2597" s="1">
        <v>6.2676260000000004E-7</v>
      </c>
      <c r="I2597">
        <v>271.38940000000002</v>
      </c>
      <c r="J2597">
        <v>-480.53710000000001</v>
      </c>
      <c r="K2597">
        <v>1.1199440000000001</v>
      </c>
      <c r="L2597">
        <v>281.60180000000003</v>
      </c>
      <c r="M2597">
        <v>-0.85942850000000004</v>
      </c>
      <c r="N2597">
        <v>0</v>
      </c>
      <c r="O2597">
        <v>-0.5110401</v>
      </c>
      <c r="P2597">
        <v>-0.7630053</v>
      </c>
      <c r="Q2597">
        <v>0.1428866</v>
      </c>
      <c r="R2597">
        <v>-0.63040189999999996</v>
      </c>
      <c r="S2597">
        <v>-2.170563</v>
      </c>
      <c r="T2597">
        <v>-0.23673050000000001</v>
      </c>
      <c r="U2597">
        <v>-2.190979</v>
      </c>
      <c r="V2597">
        <v>-0.15562390000000001</v>
      </c>
      <c r="W2597">
        <v>0.1537007</v>
      </c>
      <c r="X2597">
        <v>0.97578549999999997</v>
      </c>
      <c r="Y2597">
        <v>-0.2514825</v>
      </c>
      <c r="Z2597">
        <v>3.074149E-2</v>
      </c>
      <c r="AA2597">
        <v>0.9673735</v>
      </c>
      <c r="AB2597">
        <v>30</v>
      </c>
      <c r="AC2597">
        <v>-10.0289999999999</v>
      </c>
      <c r="AD2597">
        <v>-1.1199433732374</v>
      </c>
      <c r="AE2597">
        <v>-10.212400000000001</v>
      </c>
      <c r="AF2597">
        <v>-3.6297872422232702</v>
      </c>
      <c r="AG2597">
        <v>-1.1199433732374</v>
      </c>
      <c r="AH2597">
        <v>13.7554681134781</v>
      </c>
      <c r="AI2597">
        <v>94.501230784527706</v>
      </c>
      <c r="AJ2597">
        <v>104.782227770155</v>
      </c>
      <c r="AK2597">
        <v>14.2703374733739</v>
      </c>
      <c r="AL2597">
        <v>81.158551310894794</v>
      </c>
      <c r="AM2597">
        <v>99.061546736472707</v>
      </c>
      <c r="AN2597">
        <v>1.00000002272097</v>
      </c>
    </row>
    <row r="2598" spans="1:40" x14ac:dyDescent="0.25">
      <c r="A2598" t="str">
        <f>"20190312172941893"</f>
        <v>20190312172941893</v>
      </c>
      <c r="B2598" t="str">
        <f>"1552382981889776"</f>
        <v>1552382981889776</v>
      </c>
      <c r="C2598" t="s">
        <v>40</v>
      </c>
      <c r="D2598">
        <v>3.1323569999999998</v>
      </c>
      <c r="E2598">
        <v>0.45367220000000003</v>
      </c>
      <c r="F2598" t="s">
        <v>46</v>
      </c>
      <c r="G2598">
        <v>-490.76780000000002</v>
      </c>
      <c r="H2598" s="1">
        <v>5.1262959999999998E-7</v>
      </c>
      <c r="I2598">
        <v>271.06650000000002</v>
      </c>
      <c r="J2598">
        <v>-480.78440000000001</v>
      </c>
      <c r="K2598">
        <v>1.1199440000000001</v>
      </c>
      <c r="L2598">
        <v>281.43979999999999</v>
      </c>
      <c r="M2598">
        <v>-0.85290100000000002</v>
      </c>
      <c r="N2598">
        <v>0</v>
      </c>
      <c r="O2598">
        <v>-0.52186129999999997</v>
      </c>
      <c r="P2598">
        <v>-0.75504150000000003</v>
      </c>
      <c r="Q2598">
        <v>0.14365710000000001</v>
      </c>
      <c r="R2598">
        <v>-0.63974609999999998</v>
      </c>
      <c r="S2598">
        <v>-2.1481629999999998</v>
      </c>
      <c r="T2598">
        <v>-0.23515829999999999</v>
      </c>
      <c r="U2598">
        <v>-2.2121279999999999</v>
      </c>
      <c r="V2598">
        <v>-0.155393899999999</v>
      </c>
      <c r="W2598">
        <v>0.15448419999999999</v>
      </c>
      <c r="X2598">
        <v>0.97569839999999997</v>
      </c>
      <c r="Y2598">
        <v>-0.24893219999999999</v>
      </c>
      <c r="Z2598">
        <v>3.151752E-2</v>
      </c>
      <c r="AA2598">
        <v>0.96800790000000003</v>
      </c>
      <c r="AB2598">
        <v>30</v>
      </c>
      <c r="AC2598">
        <v>-9.9834000000000103</v>
      </c>
      <c r="AD2598">
        <v>-1.11994348737039</v>
      </c>
      <c r="AE2598">
        <v>-10.373299999999899</v>
      </c>
      <c r="AF2598">
        <v>-3.6159679601766301</v>
      </c>
      <c r="AG2598">
        <v>-1.11994348737039</v>
      </c>
      <c r="AH2598">
        <v>13.8460263224214</v>
      </c>
      <c r="AI2598">
        <v>94.474891764951906</v>
      </c>
      <c r="AJ2598">
        <v>104.636219785226</v>
      </c>
      <c r="AK2598">
        <v>14.3541611606221</v>
      </c>
      <c r="AL2598">
        <v>81.113117221123304</v>
      </c>
      <c r="AM2598">
        <v>99.049170574419705</v>
      </c>
      <c r="AN2598">
        <v>0.99999999998470501</v>
      </c>
    </row>
    <row r="2599" spans="1:40" x14ac:dyDescent="0.25">
      <c r="A2599" t="str">
        <f>"20190312172941916"</f>
        <v>20190312172941916</v>
      </c>
      <c r="B2599" t="str">
        <f>"1552382981910276"</f>
        <v>1552382981910276</v>
      </c>
      <c r="C2599" t="s">
        <v>40</v>
      </c>
      <c r="D2599">
        <v>3.1420780000000001</v>
      </c>
      <c r="E2599">
        <v>0.43089539999999998</v>
      </c>
      <c r="F2599" t="s">
        <v>46</v>
      </c>
      <c r="G2599">
        <v>-490.38740000000001</v>
      </c>
      <c r="H2599" s="1">
        <v>4.7993809999999998E-7</v>
      </c>
      <c r="I2599">
        <v>270.97399999999999</v>
      </c>
      <c r="J2599">
        <v>-481.02539999999999</v>
      </c>
      <c r="K2599">
        <v>1.1199380000000001</v>
      </c>
      <c r="L2599">
        <v>281.27760000000001</v>
      </c>
      <c r="M2599">
        <v>-0.84635110000000002</v>
      </c>
      <c r="N2599">
        <v>0</v>
      </c>
      <c r="O2599">
        <v>-0.5324179</v>
      </c>
      <c r="P2599">
        <v>-0.74667419999999995</v>
      </c>
      <c r="Q2599">
        <v>0.14440310000000001</v>
      </c>
      <c r="R2599">
        <v>-0.64932719999999999</v>
      </c>
      <c r="S2599">
        <v>-2.0898439999999998</v>
      </c>
      <c r="T2599">
        <v>-0.2437251</v>
      </c>
      <c r="U2599">
        <v>-2.2775880000000002</v>
      </c>
      <c r="V2599">
        <v>-0.15581010000000001</v>
      </c>
      <c r="W2599">
        <v>0.15522529999999901</v>
      </c>
      <c r="X2599">
        <v>0.9755144</v>
      </c>
      <c r="Y2599">
        <v>-0.26428359999999901</v>
      </c>
      <c r="Z2599">
        <v>3.2938879999999997E-2</v>
      </c>
      <c r="AA2599">
        <v>0.96388240000000003</v>
      </c>
      <c r="AB2599">
        <v>30</v>
      </c>
      <c r="AC2599">
        <v>-9.3620000000000196</v>
      </c>
      <c r="AD2599">
        <v>-1.1199375200618999</v>
      </c>
      <c r="AE2599">
        <v>-10.303599999999999</v>
      </c>
      <c r="AF2599">
        <v>-3.7123549867607601</v>
      </c>
      <c r="AG2599">
        <v>-1.1199375200618999</v>
      </c>
      <c r="AH2599">
        <v>13.3246110608529</v>
      </c>
      <c r="AI2599">
        <v>94.6289463231074</v>
      </c>
      <c r="AJ2599">
        <v>105.568309177301</v>
      </c>
      <c r="AK2599">
        <v>13.877359241569399</v>
      </c>
      <c r="AL2599">
        <v>81.070136971892097</v>
      </c>
      <c r="AM2599">
        <v>99.074687702702803</v>
      </c>
      <c r="AN2599">
        <v>1.0000000128147299</v>
      </c>
    </row>
    <row r="2600" spans="1:40" x14ac:dyDescent="0.25">
      <c r="A2600" t="str">
        <f>"20190312172941938"</f>
        <v>20190312172941938</v>
      </c>
      <c r="B2600" t="str">
        <f>"1552382981930103"</f>
        <v>1552382981930103</v>
      </c>
      <c r="C2600" t="s">
        <v>40</v>
      </c>
      <c r="D2600">
        <v>3.1451739999999999</v>
      </c>
      <c r="E2600">
        <v>0.4325756</v>
      </c>
      <c r="F2600" t="s">
        <v>41</v>
      </c>
      <c r="G2600">
        <v>-490.33550000000002</v>
      </c>
      <c r="H2600" s="1">
        <v>-4.3417960000000004E-6</v>
      </c>
      <c r="I2600">
        <v>269.57049999999998</v>
      </c>
      <c r="J2600">
        <v>-481.26229999999998</v>
      </c>
      <c r="K2600">
        <v>1.1199250000000001</v>
      </c>
      <c r="L2600">
        <v>281.1139</v>
      </c>
      <c r="M2600">
        <v>-0.83973059999999999</v>
      </c>
      <c r="N2600">
        <v>0</v>
      </c>
      <c r="O2600">
        <v>-0.542799699999999</v>
      </c>
      <c r="P2600">
        <v>-0.73855579999999998</v>
      </c>
      <c r="Q2600">
        <v>0.14506949999999999</v>
      </c>
      <c r="R2600">
        <v>-0.65839979999999998</v>
      </c>
      <c r="S2600">
        <v>-1.9407650000000001</v>
      </c>
      <c r="T2600">
        <v>-0.23345949999999999</v>
      </c>
      <c r="U2600">
        <v>-2.4404300000000001</v>
      </c>
      <c r="V2600">
        <v>-0.1557953</v>
      </c>
      <c r="W2600">
        <v>0.15589839999999999</v>
      </c>
      <c r="X2600">
        <v>0.97540939999999998</v>
      </c>
      <c r="Y2600">
        <v>-0.31983430000000002</v>
      </c>
      <c r="Z2600">
        <v>3.0263129999999999E-2</v>
      </c>
      <c r="AA2600">
        <v>0.94699009999999995</v>
      </c>
      <c r="AB2600">
        <v>29</v>
      </c>
      <c r="AC2600">
        <v>-9.0732000000000408</v>
      </c>
      <c r="AD2600">
        <v>-1.1199293417959999</v>
      </c>
      <c r="AE2600">
        <v>-11.5434</v>
      </c>
      <c r="AF2600">
        <v>-4.7413569340494597</v>
      </c>
      <c r="AG2600">
        <v>-1.1199293417959999</v>
      </c>
      <c r="AH2600">
        <v>13.806006531708899</v>
      </c>
      <c r="AI2600">
        <v>94.387181267991394</v>
      </c>
      <c r="AJ2600">
        <v>108.953861016735</v>
      </c>
      <c r="AK2600">
        <v>14.640373071075199</v>
      </c>
      <c r="AL2600">
        <v>81.031095715273693</v>
      </c>
      <c r="AM2600">
        <v>99.074800582469607</v>
      </c>
      <c r="AN2600">
        <v>0.99999999211650403</v>
      </c>
    </row>
    <row r="2601" spans="1:40" x14ac:dyDescent="0.25">
      <c r="A2601" t="str">
        <f>"20190312172941949"</f>
        <v>20190312172941949</v>
      </c>
      <c r="B2601" t="str">
        <f>"1552382981939851"</f>
        <v>1552382981939851</v>
      </c>
      <c r="C2601" t="s">
        <v>40</v>
      </c>
      <c r="D2601">
        <v>3.071145</v>
      </c>
      <c r="E2601">
        <v>0.43303249999999999</v>
      </c>
      <c r="F2601" t="s">
        <v>41</v>
      </c>
      <c r="G2601">
        <v>-490.53190000000001</v>
      </c>
      <c r="H2601" s="1">
        <v>-4.2716080000000001E-6</v>
      </c>
      <c r="I2601">
        <v>269.26179999999999</v>
      </c>
      <c r="J2601">
        <v>-481.37950000000001</v>
      </c>
      <c r="K2601">
        <v>1.1199159999999999</v>
      </c>
      <c r="L2601">
        <v>281.03120000000001</v>
      </c>
      <c r="M2601">
        <v>-0.83638369999999995</v>
      </c>
      <c r="N2601">
        <v>0</v>
      </c>
      <c r="O2601">
        <v>-0.54794279999999995</v>
      </c>
      <c r="P2601">
        <v>-0.73440850000000002</v>
      </c>
      <c r="Q2601">
        <v>0.14500279999999999</v>
      </c>
      <c r="R2601">
        <v>-0.6630376</v>
      </c>
      <c r="S2601">
        <v>-1.919556</v>
      </c>
      <c r="T2601">
        <v>-0.23191439999999999</v>
      </c>
      <c r="U2601">
        <v>-2.4543149999999998</v>
      </c>
      <c r="V2601">
        <v>-0.1559402</v>
      </c>
      <c r="W2601">
        <v>0.155832</v>
      </c>
      <c r="X2601">
        <v>0.97539690000000001</v>
      </c>
      <c r="Y2601">
        <v>-0.32169300000000001</v>
      </c>
      <c r="Z2601">
        <v>3.0445110000000001E-2</v>
      </c>
      <c r="AA2601">
        <v>0.94635440000000004</v>
      </c>
      <c r="AB2601">
        <v>29</v>
      </c>
      <c r="AC2601">
        <v>-9.1524000000000001</v>
      </c>
      <c r="AD2601">
        <v>-1.1199202716079999</v>
      </c>
      <c r="AE2601">
        <v>-11.769399999999999</v>
      </c>
      <c r="AF2601">
        <v>-4.8021804768660497</v>
      </c>
      <c r="AG2601">
        <v>-1.1199202716079999</v>
      </c>
      <c r="AH2601">
        <v>14.0262929458434</v>
      </c>
      <c r="AI2601">
        <v>94.319903128435101</v>
      </c>
      <c r="AJ2601">
        <v>108.899660071366</v>
      </c>
      <c r="AK2601">
        <v>14.8678193609476</v>
      </c>
      <c r="AL2601">
        <v>81.034947617868596</v>
      </c>
      <c r="AM2601">
        <v>99.083214575039705</v>
      </c>
      <c r="AN2601">
        <v>1.00000003536482</v>
      </c>
    </row>
    <row r="2602" spans="1:40" x14ac:dyDescent="0.25">
      <c r="A2602" t="str">
        <f>"20190312172941960"</f>
        <v>20190312172941960</v>
      </c>
      <c r="B2602" t="str">
        <f>"1552382981950587"</f>
        <v>1552382981950587</v>
      </c>
      <c r="C2602" t="s">
        <v>40</v>
      </c>
      <c r="D2602">
        <v>3.1293359999999999</v>
      </c>
      <c r="E2602">
        <v>0.43364580000000003</v>
      </c>
      <c r="F2602" t="s">
        <v>41</v>
      </c>
      <c r="G2602">
        <v>-490.5009</v>
      </c>
      <c r="H2602" s="1">
        <v>-4.2613329999999996E-6</v>
      </c>
      <c r="I2602">
        <v>269.24779999999998</v>
      </c>
      <c r="J2602">
        <v>-481.49869999999999</v>
      </c>
      <c r="K2602">
        <v>1.1199079999999999</v>
      </c>
      <c r="L2602">
        <v>280.94619999999998</v>
      </c>
      <c r="M2602">
        <v>-0.8329356</v>
      </c>
      <c r="N2602">
        <v>0</v>
      </c>
      <c r="O2602">
        <v>-0.55317019999999995</v>
      </c>
      <c r="P2602">
        <v>-0.73017030000000005</v>
      </c>
      <c r="Q2602">
        <v>0.14492550000000001</v>
      </c>
      <c r="R2602">
        <v>-0.66771849999999999</v>
      </c>
      <c r="S2602">
        <v>-1.9070130000000001</v>
      </c>
      <c r="T2602">
        <v>-0.23414080000000001</v>
      </c>
      <c r="U2602">
        <v>-2.4635310000000001</v>
      </c>
      <c r="V2602">
        <v>-0.1560532</v>
      </c>
      <c r="W2602">
        <v>0.1557557</v>
      </c>
      <c r="X2602">
        <v>0.97539100000000001</v>
      </c>
      <c r="Y2602">
        <v>-0.32050919999999999</v>
      </c>
      <c r="Z2602">
        <v>3.121527E-2</v>
      </c>
      <c r="AA2602">
        <v>0.94673090000000004</v>
      </c>
      <c r="AB2602">
        <v>29</v>
      </c>
      <c r="AC2602">
        <v>-9.0022000000000109</v>
      </c>
      <c r="AD2602">
        <v>-1.1199122613329999</v>
      </c>
      <c r="AE2602">
        <v>-11.6983999999999</v>
      </c>
      <c r="AF2602">
        <v>-4.7375220969960603</v>
      </c>
      <c r="AG2602">
        <v>-1.1199122613329999</v>
      </c>
      <c r="AH2602">
        <v>13.891045233085</v>
      </c>
      <c r="AI2602">
        <v>94.363527408993207</v>
      </c>
      <c r="AJ2602">
        <v>108.831872844603</v>
      </c>
      <c r="AK2602">
        <v>14.719356533497701</v>
      </c>
      <c r="AL2602">
        <v>81.039373196484107</v>
      </c>
      <c r="AM2602">
        <v>99.089740825058897</v>
      </c>
      <c r="AN2602">
        <v>1.00000002109686</v>
      </c>
    </row>
    <row r="2603" spans="1:40" x14ac:dyDescent="0.25">
      <c r="A2603" t="str">
        <f>"20190312172941972"</f>
        <v>20190312172941972</v>
      </c>
      <c r="B2603" t="str">
        <f>"1552382981960347"</f>
        <v>1552382981960347</v>
      </c>
      <c r="C2603" t="s">
        <v>40</v>
      </c>
      <c r="D2603">
        <v>3.0535580000000002</v>
      </c>
      <c r="E2603">
        <v>0.43414269999999999</v>
      </c>
      <c r="F2603" t="s">
        <v>41</v>
      </c>
      <c r="G2603">
        <v>-490.50560000000002</v>
      </c>
      <c r="H2603" s="1">
        <v>-4.2453370000000002E-6</v>
      </c>
      <c r="I2603">
        <v>269.19839999999999</v>
      </c>
      <c r="J2603">
        <v>-481.61079999999998</v>
      </c>
      <c r="K2603">
        <v>1.1198969999999999</v>
      </c>
      <c r="L2603">
        <v>280.86470000000003</v>
      </c>
      <c r="M2603">
        <v>-0.82964099999999996</v>
      </c>
      <c r="N2603">
        <v>0</v>
      </c>
      <c r="O2603">
        <v>-0.55809909999999996</v>
      </c>
      <c r="P2603">
        <v>-0.72594329999999996</v>
      </c>
      <c r="Q2603">
        <v>0.14488119999999999</v>
      </c>
      <c r="R2603">
        <v>-0.67232130000000001</v>
      </c>
      <c r="S2603">
        <v>-1.895081</v>
      </c>
      <c r="T2603">
        <v>-0.23563290000000001</v>
      </c>
      <c r="U2603">
        <v>-2.4717709999999999</v>
      </c>
      <c r="V2603">
        <v>-0.1564284</v>
      </c>
      <c r="W2603">
        <v>0.15570529999999999</v>
      </c>
      <c r="X2603">
        <v>0.97533890000000001</v>
      </c>
      <c r="Y2603">
        <v>-0.31931150000000003</v>
      </c>
      <c r="Z2603">
        <v>3.1874569999999998E-2</v>
      </c>
      <c r="AA2603">
        <v>0.9471136</v>
      </c>
      <c r="AB2603">
        <v>29</v>
      </c>
      <c r="AC2603">
        <v>-8.8948000000000302</v>
      </c>
      <c r="AD2603">
        <v>-1.1199012453370001</v>
      </c>
      <c r="AE2603">
        <v>-11.6663</v>
      </c>
      <c r="AF2603">
        <v>-4.6878642819377401</v>
      </c>
      <c r="AG2603">
        <v>-1.1199012453370001</v>
      </c>
      <c r="AH2603">
        <v>13.811493415953899</v>
      </c>
      <c r="AI2603">
        <v>94.390694318579804</v>
      </c>
      <c r="AJ2603">
        <v>108.748117844436</v>
      </c>
      <c r="AK2603">
        <v>14.628315032980201</v>
      </c>
      <c r="AL2603">
        <v>81.042296174672202</v>
      </c>
      <c r="AM2603">
        <v>99.111707750787701</v>
      </c>
      <c r="AN2603">
        <v>0.99999997731392898</v>
      </c>
    </row>
    <row r="2604" spans="1:40" x14ac:dyDescent="0.25">
      <c r="A2604" t="str">
        <f>"20190312172941983"</f>
        <v>20190312172941983</v>
      </c>
      <c r="B2604" t="str">
        <f>"1552382981979867"</f>
        <v>1552382981979867</v>
      </c>
      <c r="C2604" t="s">
        <v>40</v>
      </c>
      <c r="D2604">
        <v>3.1020430000000001</v>
      </c>
      <c r="E2604">
        <v>0.4348921</v>
      </c>
      <c r="F2604" t="s">
        <v>41</v>
      </c>
      <c r="G2604">
        <v>-490.5489</v>
      </c>
      <c r="H2604" s="1">
        <v>-4.2124760000000001E-6</v>
      </c>
      <c r="I2604">
        <v>269.07929999999999</v>
      </c>
      <c r="J2604">
        <v>-481.73309999999998</v>
      </c>
      <c r="K2604">
        <v>1.119885</v>
      </c>
      <c r="L2604">
        <v>280.77550000000002</v>
      </c>
      <c r="M2604">
        <v>-0.82600769999999901</v>
      </c>
      <c r="N2604">
        <v>0</v>
      </c>
      <c r="O2604">
        <v>-0.56346260000000004</v>
      </c>
      <c r="P2604">
        <v>-0.72147779999999995</v>
      </c>
      <c r="Q2604">
        <v>0.14488389999999901</v>
      </c>
      <c r="R2604">
        <v>-0.67711049999999995</v>
      </c>
      <c r="S2604">
        <v>-1.881683</v>
      </c>
      <c r="T2604">
        <v>-0.23576710000000001</v>
      </c>
      <c r="U2604">
        <v>-2.4811399999999999</v>
      </c>
      <c r="V2604">
        <v>-0.15656049999999999</v>
      </c>
      <c r="W2604">
        <v>0.1557086</v>
      </c>
      <c r="X2604">
        <v>0.9753172</v>
      </c>
      <c r="Y2604">
        <v>-0.3181524</v>
      </c>
      <c r="Z2604">
        <v>3.2388779999999999E-2</v>
      </c>
      <c r="AA2604">
        <v>0.94748619999999995</v>
      </c>
      <c r="AB2604">
        <v>29</v>
      </c>
      <c r="AC2604">
        <v>-8.8158000000000207</v>
      </c>
      <c r="AD2604">
        <v>-1.119889212476</v>
      </c>
      <c r="AE2604">
        <v>-11.696199999999999</v>
      </c>
      <c r="AF2604">
        <v>-4.6670119349825301</v>
      </c>
      <c r="AG2604">
        <v>-1.119889212476</v>
      </c>
      <c r="AH2604">
        <v>13.793184778234799</v>
      </c>
      <c r="AI2604">
        <v>94.397865444657398</v>
      </c>
      <c r="AJ2604">
        <v>108.693576266392</v>
      </c>
      <c r="AK2604">
        <v>14.6043520423201</v>
      </c>
      <c r="AL2604">
        <v>81.042104963895</v>
      </c>
      <c r="AM2604">
        <v>99.119472615993004</v>
      </c>
      <c r="AN2604">
        <v>0.99999999944502405</v>
      </c>
    </row>
    <row r="2605" spans="1:40" x14ac:dyDescent="0.25">
      <c r="A2605" t="str">
        <f>"20190312172941996"</f>
        <v>20190312172941996</v>
      </c>
      <c r="B2605" t="str">
        <f>"1552382981990604"</f>
        <v>1552382981990604</v>
      </c>
      <c r="C2605" t="s">
        <v>40</v>
      </c>
      <c r="D2605">
        <v>3.116641</v>
      </c>
      <c r="E2605">
        <v>0.43541580000000002</v>
      </c>
      <c r="F2605" t="s">
        <v>41</v>
      </c>
      <c r="G2605">
        <v>-490.5419</v>
      </c>
      <c r="H2605" s="1">
        <v>-4.2015640000000004E-6</v>
      </c>
      <c r="I2605">
        <v>269.05079999999998</v>
      </c>
      <c r="J2605">
        <v>-481.87130000000002</v>
      </c>
      <c r="K2605">
        <v>1.119872</v>
      </c>
      <c r="L2605">
        <v>280.67219999999998</v>
      </c>
      <c r="M2605">
        <v>-0.82182469999999996</v>
      </c>
      <c r="N2605">
        <v>0</v>
      </c>
      <c r="O2605">
        <v>-0.56954629999999995</v>
      </c>
      <c r="P2605">
        <v>-0.71628400000000003</v>
      </c>
      <c r="Q2605">
        <v>0.14509949999999999</v>
      </c>
      <c r="R2605">
        <v>-0.68255690000000002</v>
      </c>
      <c r="S2605">
        <v>-1.8699650000000001</v>
      </c>
      <c r="T2605">
        <v>-0.23773520000000001</v>
      </c>
      <c r="U2605">
        <v>-2.488953</v>
      </c>
      <c r="V2605">
        <v>-0.1567741</v>
      </c>
      <c r="W2605">
        <v>0.1559219</v>
      </c>
      <c r="X2605">
        <v>0.97524880000000003</v>
      </c>
      <c r="Y2605">
        <v>-0.31545459999999997</v>
      </c>
      <c r="Z2605">
        <v>3.3273560000000001E-2</v>
      </c>
      <c r="AA2605">
        <v>0.94835720000000001</v>
      </c>
      <c r="AB2605">
        <v>29</v>
      </c>
      <c r="AC2605">
        <v>-8.6705999999999701</v>
      </c>
      <c r="AD2605">
        <v>-1.119876201564</v>
      </c>
      <c r="AE2605">
        <v>-11.6213999999999</v>
      </c>
      <c r="AF2605">
        <v>-4.5856010863865002</v>
      </c>
      <c r="AG2605">
        <v>-1.119876201564</v>
      </c>
      <c r="AH2605">
        <v>13.664645112703701</v>
      </c>
      <c r="AI2605">
        <v>94.442733212854193</v>
      </c>
      <c r="AJ2605">
        <v>108.55079611006801</v>
      </c>
      <c r="AK2605">
        <v>14.4569839899765</v>
      </c>
      <c r="AL2605">
        <v>81.029732572561599</v>
      </c>
      <c r="AM2605">
        <v>99.132334755005104</v>
      </c>
      <c r="AN2605">
        <v>0.99999998961592995</v>
      </c>
    </row>
    <row r="2606" spans="1:40" x14ac:dyDescent="0.25">
      <c r="A2606" t="str">
        <f>"20190312172942009"</f>
        <v>20190312172942009</v>
      </c>
      <c r="B2606" t="str">
        <f>"1552382982000363"</f>
        <v>1552382982000363</v>
      </c>
      <c r="C2606" t="s">
        <v>40</v>
      </c>
      <c r="D2606">
        <v>3.1160510000000001</v>
      </c>
      <c r="E2606">
        <v>0.43582700000000002</v>
      </c>
      <c r="F2606" t="s">
        <v>41</v>
      </c>
      <c r="G2606">
        <v>-490.60570000000001</v>
      </c>
      <c r="H2606" s="1">
        <v>-4.1509009999999997E-6</v>
      </c>
      <c r="I2606">
        <v>268.88929999999999</v>
      </c>
      <c r="J2606">
        <v>-482.00130000000001</v>
      </c>
      <c r="K2606">
        <v>1.1198600000000001</v>
      </c>
      <c r="L2606">
        <v>280.57400000000001</v>
      </c>
      <c r="M2606">
        <v>-0.81783339999999904</v>
      </c>
      <c r="N2606">
        <v>0</v>
      </c>
      <c r="O2606">
        <v>-0.57526269999999902</v>
      </c>
      <c r="P2606">
        <v>-0.71145159999999996</v>
      </c>
      <c r="Q2606">
        <v>0.14516419999999999</v>
      </c>
      <c r="R2606">
        <v>-0.68757860000000004</v>
      </c>
      <c r="S2606">
        <v>-1.853577</v>
      </c>
      <c r="T2606">
        <v>-0.23765559999999999</v>
      </c>
      <c r="U2606">
        <v>-2.5005190000000002</v>
      </c>
      <c r="V2606">
        <v>-0.15683939999999999</v>
      </c>
      <c r="W2606">
        <v>0.15598879999999901</v>
      </c>
      <c r="X2606">
        <v>0.97522759999999997</v>
      </c>
      <c r="Y2606">
        <v>-0.31495859999999998</v>
      </c>
      <c r="Z2606">
        <v>3.3769380000000002E-2</v>
      </c>
      <c r="AA2606">
        <v>0.94850440000000003</v>
      </c>
      <c r="AB2606">
        <v>29</v>
      </c>
      <c r="AC2606">
        <v>-8.6043999999999894</v>
      </c>
      <c r="AD2606">
        <v>-1.1198641509010001</v>
      </c>
      <c r="AE2606">
        <v>-11.684699999999999</v>
      </c>
      <c r="AF2606">
        <v>-4.5795824827562699</v>
      </c>
      <c r="AG2606">
        <v>-1.1198641509010001</v>
      </c>
      <c r="AH2606">
        <v>13.678792966665799</v>
      </c>
      <c r="AI2606">
        <v>94.439157457326104</v>
      </c>
      <c r="AJ2606">
        <v>108.51025441062799</v>
      </c>
      <c r="AK2606">
        <v>14.4684501055831</v>
      </c>
      <c r="AL2606">
        <v>81.025851983118201</v>
      </c>
      <c r="AM2606">
        <v>99.136269699897298</v>
      </c>
      <c r="AN2606">
        <v>0.99999998745977903</v>
      </c>
    </row>
    <row r="2607" spans="1:40" x14ac:dyDescent="0.25">
      <c r="A2607" t="str">
        <f>"20190312172942024"</f>
        <v>20190312172942024</v>
      </c>
      <c r="B2607" t="str">
        <f>"1552382982020270"</f>
        <v>1552382982020270</v>
      </c>
      <c r="C2607" t="s">
        <v>40</v>
      </c>
      <c r="D2607">
        <v>3.1078000000000001</v>
      </c>
      <c r="E2607">
        <v>0.43629099999999998</v>
      </c>
      <c r="F2607" t="s">
        <v>41</v>
      </c>
      <c r="G2607">
        <v>-490.5958</v>
      </c>
      <c r="H2607" s="1">
        <v>-4.1252699999999997E-6</v>
      </c>
      <c r="I2607">
        <v>268.83569999999997</v>
      </c>
      <c r="J2607">
        <v>-482.14359999999999</v>
      </c>
      <c r="K2607">
        <v>1.1198459999999999</v>
      </c>
      <c r="L2607">
        <v>280.46519999999998</v>
      </c>
      <c r="M2607">
        <v>-0.81339899999999998</v>
      </c>
      <c r="N2607">
        <v>0</v>
      </c>
      <c r="O2607">
        <v>-0.58151629999999999</v>
      </c>
      <c r="P2607">
        <v>-0.70625380000000004</v>
      </c>
      <c r="Q2607">
        <v>0.14529439999999999</v>
      </c>
      <c r="R2607">
        <v>-0.69288930000000004</v>
      </c>
      <c r="S2607">
        <v>-1.838654</v>
      </c>
      <c r="T2607">
        <v>-0.23957870000000001</v>
      </c>
      <c r="U2607">
        <v>-2.5112299999999999</v>
      </c>
      <c r="V2607">
        <v>-0.1566825</v>
      </c>
      <c r="W2607">
        <v>0.1561273</v>
      </c>
      <c r="X2607">
        <v>0.97523070000000001</v>
      </c>
      <c r="Y2607">
        <v>-0.31330209999999997</v>
      </c>
      <c r="Z2607">
        <v>3.4635039999999999E-2</v>
      </c>
      <c r="AA2607">
        <v>0.94902169999999997</v>
      </c>
      <c r="AB2607">
        <v>29</v>
      </c>
      <c r="AC2607">
        <v>-8.4521999999999995</v>
      </c>
      <c r="AD2607">
        <v>-1.1198501252699999</v>
      </c>
      <c r="AE2607">
        <v>-11.6295</v>
      </c>
      <c r="AF2607">
        <v>-4.5174239695920999</v>
      </c>
      <c r="AG2607">
        <v>-1.1198501252699999</v>
      </c>
      <c r="AH2607">
        <v>13.557003763637899</v>
      </c>
      <c r="AI2607">
        <v>94.480933849035097</v>
      </c>
      <c r="AJ2607">
        <v>108.428949161497</v>
      </c>
      <c r="AK2607">
        <v>14.3336504307662</v>
      </c>
      <c r="AL2607">
        <v>81.017818460767003</v>
      </c>
      <c r="AM2607">
        <v>99.127255293576795</v>
      </c>
      <c r="AN2607">
        <v>1.0000000289170099</v>
      </c>
    </row>
    <row r="2608" spans="1:40" x14ac:dyDescent="0.25">
      <c r="A2608" t="str">
        <f>"20190312172942038"</f>
        <v>20190312172942038</v>
      </c>
      <c r="B2608" t="str">
        <f>"1552382982030031"</f>
        <v>1552382982030031</v>
      </c>
      <c r="C2608" t="s">
        <v>40</v>
      </c>
      <c r="D2608">
        <v>3.1039279999999998</v>
      </c>
      <c r="E2608">
        <v>0.44390030000000003</v>
      </c>
      <c r="F2608" t="s">
        <v>41</v>
      </c>
      <c r="G2608">
        <v>-490.66849999999999</v>
      </c>
      <c r="H2608" s="1">
        <v>-4.0717229999999999E-6</v>
      </c>
      <c r="I2608">
        <v>268.66579999999999</v>
      </c>
      <c r="J2608">
        <v>-482.29969999999997</v>
      </c>
      <c r="K2608">
        <v>1.1198319999999999</v>
      </c>
      <c r="L2608">
        <v>280.34320000000002</v>
      </c>
      <c r="M2608">
        <v>-0.80843730000000003</v>
      </c>
      <c r="N2608">
        <v>0</v>
      </c>
      <c r="O2608">
        <v>-0.58839459999999999</v>
      </c>
      <c r="P2608">
        <v>-0.70044849999999903</v>
      </c>
      <c r="Q2608">
        <v>0.14522009999999999</v>
      </c>
      <c r="R2608">
        <v>-0.69877279999999997</v>
      </c>
      <c r="S2608">
        <v>-1.8223879999999999</v>
      </c>
      <c r="T2608">
        <v>-0.2393942</v>
      </c>
      <c r="U2608">
        <v>-2.5224000000000002</v>
      </c>
      <c r="V2608">
        <v>-0.15655250000000001</v>
      </c>
      <c r="W2608">
        <v>0.1560609</v>
      </c>
      <c r="X2608">
        <v>0.97526219999999997</v>
      </c>
      <c r="Y2608">
        <v>-0.3112779</v>
      </c>
      <c r="Z2608">
        <v>3.52711E-2</v>
      </c>
      <c r="AA2608">
        <v>0.94966419999999996</v>
      </c>
      <c r="AB2608">
        <v>29</v>
      </c>
      <c r="AC2608">
        <v>-8.3688000000000198</v>
      </c>
      <c r="AD2608">
        <v>-1.119836071723</v>
      </c>
      <c r="AE2608">
        <v>-11.6774</v>
      </c>
      <c r="AF2608">
        <v>-4.4895106637037303</v>
      </c>
      <c r="AG2608">
        <v>-1.119836071723</v>
      </c>
      <c r="AH2608">
        <v>13.555714163113301</v>
      </c>
      <c r="AI2608">
        <v>94.484010415920693</v>
      </c>
      <c r="AJ2608">
        <v>108.324330255129</v>
      </c>
      <c r="AK2608">
        <v>14.3236561428663</v>
      </c>
      <c r="AL2608">
        <v>81.021670071057301</v>
      </c>
      <c r="AM2608">
        <v>99.1195200809955</v>
      </c>
      <c r="AN2608">
        <v>1.00000002425694</v>
      </c>
    </row>
    <row r="2609" spans="1:40" x14ac:dyDescent="0.25">
      <c r="A2609" t="str">
        <f>"20190312172942051"</f>
        <v>20190312172942051</v>
      </c>
      <c r="B2609" t="str">
        <f>"1552382982039790"</f>
        <v>1552382982039790</v>
      </c>
      <c r="C2609" t="s">
        <v>40</v>
      </c>
      <c r="D2609">
        <v>3.0447340000000001</v>
      </c>
      <c r="E2609">
        <v>0.44426539999999998</v>
      </c>
      <c r="F2609" t="s">
        <v>41</v>
      </c>
      <c r="G2609">
        <v>-490.6771</v>
      </c>
      <c r="H2609" s="1">
        <v>-4.2117730000000004E-6</v>
      </c>
      <c r="I2609">
        <v>269.01029999999997</v>
      </c>
      <c r="J2609">
        <v>-482.4239</v>
      </c>
      <c r="K2609">
        <v>1.119828</v>
      </c>
      <c r="L2609">
        <v>280.24459999999999</v>
      </c>
      <c r="M2609">
        <v>-0.80442449999999999</v>
      </c>
      <c r="N2609">
        <v>0</v>
      </c>
      <c r="O2609">
        <v>-0.59386890000000003</v>
      </c>
      <c r="P2609">
        <v>-0.69583589999999995</v>
      </c>
      <c r="Q2609">
        <v>0.1454879</v>
      </c>
      <c r="R2609">
        <v>-0.70331069999999996</v>
      </c>
      <c r="S2609">
        <v>-1.844635</v>
      </c>
      <c r="T2609">
        <v>-0.24657850000000001</v>
      </c>
      <c r="U2609">
        <v>-2.4953919999999998</v>
      </c>
      <c r="V2609">
        <v>-0.1563061</v>
      </c>
      <c r="W2609">
        <v>0.15633830000000001</v>
      </c>
      <c r="X2609">
        <v>0.97525729999999999</v>
      </c>
      <c r="Y2609">
        <v>-0.29449969999999998</v>
      </c>
      <c r="Z2609">
        <v>3.748572E-2</v>
      </c>
      <c r="AA2609">
        <v>0.95491610000000005</v>
      </c>
      <c r="AB2609">
        <v>29</v>
      </c>
      <c r="AC2609">
        <v>-8.2531999999999908</v>
      </c>
      <c r="AD2609">
        <v>-1.119832211773</v>
      </c>
      <c r="AE2609">
        <v>-11.234299999999999</v>
      </c>
      <c r="AF2609">
        <v>-4.1097630649468302</v>
      </c>
      <c r="AG2609">
        <v>-1.119832211773</v>
      </c>
      <c r="AH2609">
        <v>13.226892161198201</v>
      </c>
      <c r="AI2609">
        <v>94.622335230220202</v>
      </c>
      <c r="AJ2609">
        <v>107.260681989991</v>
      </c>
      <c r="AK2609">
        <v>13.895857399833</v>
      </c>
      <c r="AL2609">
        <v>81.0055787707321</v>
      </c>
      <c r="AM2609">
        <v>99.1054523650687</v>
      </c>
      <c r="AN2609">
        <v>1.0000000310736901</v>
      </c>
    </row>
    <row r="2610" spans="1:40" x14ac:dyDescent="0.25">
      <c r="A2610" t="str">
        <f>"20190312172942063"</f>
        <v>20190312172942063</v>
      </c>
      <c r="B2610" t="str">
        <f>"1552382982060286"</f>
        <v>1552382982060286</v>
      </c>
      <c r="C2610" t="s">
        <v>40</v>
      </c>
      <c r="D2610">
        <v>3.0812919999999999</v>
      </c>
      <c r="E2610">
        <v>0.44453429999999999</v>
      </c>
      <c r="F2610" t="s">
        <v>41</v>
      </c>
      <c r="G2610">
        <v>-490.69729999999998</v>
      </c>
      <c r="H2610" s="1">
        <v>-4.1849560000000002E-6</v>
      </c>
      <c r="I2610">
        <v>268.92099999999999</v>
      </c>
      <c r="J2610">
        <v>-482.54680000000002</v>
      </c>
      <c r="K2610">
        <v>1.119821</v>
      </c>
      <c r="L2610">
        <v>280.1463</v>
      </c>
      <c r="M2610">
        <v>-0.8004019</v>
      </c>
      <c r="N2610">
        <v>0</v>
      </c>
      <c r="O2610">
        <v>-0.59927929999999996</v>
      </c>
      <c r="P2610">
        <v>-0.69109430000000005</v>
      </c>
      <c r="Q2610">
        <v>0.14536589999999999</v>
      </c>
      <c r="R2610">
        <v>-0.70799579999999995</v>
      </c>
      <c r="S2610">
        <v>-1.830719</v>
      </c>
      <c r="T2610">
        <v>-0.24779190000000001</v>
      </c>
      <c r="U2610">
        <v>-2.505646</v>
      </c>
      <c r="V2610">
        <v>-0.1562965</v>
      </c>
      <c r="W2610">
        <v>0.15622049999999901</v>
      </c>
      <c r="X2610">
        <v>0.97527770000000003</v>
      </c>
      <c r="Y2610">
        <v>-0.2933944</v>
      </c>
      <c r="Z2610">
        <v>3.8185780000000002E-2</v>
      </c>
      <c r="AA2610">
        <v>0.95522859999999998</v>
      </c>
      <c r="AB2610">
        <v>29</v>
      </c>
      <c r="AC2610">
        <v>-8.1504999999999601</v>
      </c>
      <c r="AD2610">
        <v>-1.1198251849559999</v>
      </c>
      <c r="AE2610">
        <v>-11.225300000000001</v>
      </c>
      <c r="AF2610">
        <v>-4.0742294954019496</v>
      </c>
      <c r="AG2610">
        <v>-1.1198251849559999</v>
      </c>
      <c r="AH2610">
        <v>13.166432742315701</v>
      </c>
      <c r="AI2610">
        <v>94.645102914521999</v>
      </c>
      <c r="AJ2610">
        <v>107.194192957678</v>
      </c>
      <c r="AK2610">
        <v>13.8278091389775</v>
      </c>
      <c r="AL2610">
        <v>81.012412042511698</v>
      </c>
      <c r="AM2610">
        <v>99.104715236125699</v>
      </c>
      <c r="AN2610">
        <v>1.0000000163248901</v>
      </c>
    </row>
    <row r="2611" spans="1:40" x14ac:dyDescent="0.25">
      <c r="A2611" t="str">
        <f>"20190312172942074"</f>
        <v>20190312172942074</v>
      </c>
      <c r="B2611" t="str">
        <f>"1552382982070046"</f>
        <v>1552382982070046</v>
      </c>
      <c r="C2611" t="s">
        <v>40</v>
      </c>
      <c r="D2611">
        <v>3.0724740000000001</v>
      </c>
      <c r="E2611">
        <v>0.44460159999999999</v>
      </c>
      <c r="F2611" t="s">
        <v>41</v>
      </c>
      <c r="G2611">
        <v>-490.59769999999997</v>
      </c>
      <c r="H2611" s="1">
        <v>-4.1886769999999998E-6</v>
      </c>
      <c r="I2611">
        <v>268.98390000000001</v>
      </c>
      <c r="J2611">
        <v>-482.65989999999999</v>
      </c>
      <c r="K2611">
        <v>1.119818</v>
      </c>
      <c r="L2611">
        <v>280.05369999999999</v>
      </c>
      <c r="M2611">
        <v>-0.79663519999999999</v>
      </c>
      <c r="N2611">
        <v>0</v>
      </c>
      <c r="O2611">
        <v>-0.60427739999999996</v>
      </c>
      <c r="P2611">
        <v>-0.68683179999999999</v>
      </c>
      <c r="Q2611">
        <v>0.14546329999999999</v>
      </c>
      <c r="R2611">
        <v>-0.71211150000000001</v>
      </c>
      <c r="S2611">
        <v>-1.8154300000000001</v>
      </c>
      <c r="T2611">
        <v>-0.2525133</v>
      </c>
      <c r="U2611">
        <v>-2.5170590000000002</v>
      </c>
      <c r="V2611">
        <v>-0.15602869999999999</v>
      </c>
      <c r="W2611">
        <v>0.15632789999999999</v>
      </c>
      <c r="X2611">
        <v>0.97530340000000004</v>
      </c>
      <c r="Y2611">
        <v>-0.29331780000000002</v>
      </c>
      <c r="Z2611">
        <v>3.936075E-2</v>
      </c>
      <c r="AA2611">
        <v>0.95520439999999995</v>
      </c>
      <c r="AB2611">
        <v>29</v>
      </c>
      <c r="AC2611">
        <v>-7.9377999999999798</v>
      </c>
      <c r="AD2611">
        <v>-1.1198221886769999</v>
      </c>
      <c r="AE2611">
        <v>-11.069799999999899</v>
      </c>
      <c r="AF2611">
        <v>-3.9954018261703399</v>
      </c>
      <c r="AG2611">
        <v>-1.1198221886769999</v>
      </c>
      <c r="AH2611">
        <v>12.926836400815001</v>
      </c>
      <c r="AI2611">
        <v>94.731281100049998</v>
      </c>
      <c r="AJ2611">
        <v>107.175232867476</v>
      </c>
      <c r="AK2611">
        <v>13.5764626033534</v>
      </c>
      <c r="AL2611">
        <v>81.006182189134407</v>
      </c>
      <c r="AM2611">
        <v>99.089140247993001</v>
      </c>
      <c r="AN2611">
        <v>1.00000004479682</v>
      </c>
    </row>
    <row r="2612" spans="1:40" x14ac:dyDescent="0.25">
      <c r="A2612" t="str">
        <f>"20190312172942085"</f>
        <v>20190312172942085</v>
      </c>
      <c r="B2612" t="str">
        <f>"1552382982079808"</f>
        <v>1552382982079808</v>
      </c>
      <c r="C2612" t="s">
        <v>40</v>
      </c>
      <c r="D2612">
        <v>3.1102310000000002</v>
      </c>
      <c r="E2612">
        <v>0.44460159999999999</v>
      </c>
      <c r="F2612" t="s">
        <v>41</v>
      </c>
      <c r="G2612">
        <v>-490.63929999999999</v>
      </c>
      <c r="H2612" s="1">
        <v>-4.1452050000000001E-6</v>
      </c>
      <c r="I2612">
        <v>268.85520000000002</v>
      </c>
      <c r="J2612">
        <v>-482.76440000000002</v>
      </c>
      <c r="K2612">
        <v>1.1198129999999999</v>
      </c>
      <c r="L2612">
        <v>279.96780000000001</v>
      </c>
      <c r="M2612">
        <v>-0.79311869999999995</v>
      </c>
      <c r="N2612">
        <v>0</v>
      </c>
      <c r="O2612">
        <v>-0.60888549999999997</v>
      </c>
      <c r="P2612">
        <v>-0.68298519999999996</v>
      </c>
      <c r="Q2612">
        <v>0.14557339999999999</v>
      </c>
      <c r="R2612">
        <v>-0.71577919999999995</v>
      </c>
      <c r="S2612">
        <v>-1.800934</v>
      </c>
      <c r="T2612">
        <v>-0.25273849999999998</v>
      </c>
      <c r="U2612">
        <v>-2.527466</v>
      </c>
      <c r="V2612">
        <v>-0.15560940000000001</v>
      </c>
      <c r="W2612">
        <v>0.15645129999999999</v>
      </c>
      <c r="X2612">
        <v>0.97535059999999996</v>
      </c>
      <c r="Y2612">
        <v>-0.29327890000000001</v>
      </c>
      <c r="Z2612">
        <v>3.981378E-2</v>
      </c>
      <c r="AA2612">
        <v>0.95519759999999998</v>
      </c>
      <c r="AB2612">
        <v>29</v>
      </c>
      <c r="AC2612">
        <v>-7.8748999999999603</v>
      </c>
      <c r="AD2612">
        <v>-1.1198171452050001</v>
      </c>
      <c r="AE2612">
        <v>-11.112599999999899</v>
      </c>
      <c r="AF2612">
        <v>-3.9921563047119699</v>
      </c>
      <c r="AG2612">
        <v>-1.1198171452050001</v>
      </c>
      <c r="AH2612">
        <v>12.926091413890401</v>
      </c>
      <c r="AI2612">
        <v>94.731841222178801</v>
      </c>
      <c r="AJ2612">
        <v>107.163032157465</v>
      </c>
      <c r="AK2612">
        <v>13.574798033127299</v>
      </c>
      <c r="AL2612">
        <v>80.999023800364199</v>
      </c>
      <c r="AM2612">
        <v>99.064689475345901</v>
      </c>
      <c r="AN2612">
        <v>1.0000000437801999</v>
      </c>
    </row>
    <row r="2613" spans="1:40" x14ac:dyDescent="0.25">
      <c r="A2613" t="str">
        <f>"20190312172942095"</f>
        <v>20190312172942095</v>
      </c>
      <c r="B2613" t="str">
        <f>"1552382982090542"</f>
        <v>1552382982090542</v>
      </c>
      <c r="C2613" t="s">
        <v>40</v>
      </c>
      <c r="D2613">
        <v>3.1076489999999999</v>
      </c>
      <c r="E2613">
        <v>0.44940210000000003</v>
      </c>
      <c r="F2613" t="s">
        <v>41</v>
      </c>
      <c r="G2613">
        <v>-490.69450000000001</v>
      </c>
      <c r="H2613" s="1">
        <v>-4.0984699999999901E-6</v>
      </c>
      <c r="I2613">
        <v>268.71199999999999</v>
      </c>
      <c r="J2613">
        <v>-482.87049999999999</v>
      </c>
      <c r="K2613">
        <v>1.119807</v>
      </c>
      <c r="L2613">
        <v>279.87900000000002</v>
      </c>
      <c r="M2613">
        <v>-0.78949499999999995</v>
      </c>
      <c r="N2613">
        <v>0</v>
      </c>
      <c r="O2613">
        <v>-0.61357689999999998</v>
      </c>
      <c r="P2613">
        <v>-0.67893419999999904</v>
      </c>
      <c r="Q2613">
        <v>0.14551889999999901</v>
      </c>
      <c r="R2613">
        <v>-0.71963359999999998</v>
      </c>
      <c r="S2613">
        <v>-1.7874759999999901</v>
      </c>
      <c r="T2613">
        <v>-0.25241150000000001</v>
      </c>
      <c r="U2613">
        <v>-2.5371090000000001</v>
      </c>
      <c r="V2613">
        <v>-0.15533559999999999</v>
      </c>
      <c r="W2613">
        <v>0.15640699999999999</v>
      </c>
      <c r="X2613">
        <v>0.97540130000000003</v>
      </c>
      <c r="Y2613">
        <v>-0.29271609999999998</v>
      </c>
      <c r="Z2613">
        <v>4.0205030000000003E-2</v>
      </c>
      <c r="AA2613">
        <v>0.95535380000000003</v>
      </c>
      <c r="AB2613">
        <v>29</v>
      </c>
      <c r="AC2613">
        <v>-7.8240000000000096</v>
      </c>
      <c r="AD2613">
        <v>-1.11981109847</v>
      </c>
      <c r="AE2613">
        <v>-11.167</v>
      </c>
      <c r="AF2613">
        <v>-3.9892023939051802</v>
      </c>
      <c r="AG2613">
        <v>-1.11981109847</v>
      </c>
      <c r="AH2613">
        <v>12.9429642183323</v>
      </c>
      <c r="AI2613">
        <v>94.726511319405603</v>
      </c>
      <c r="AJ2613">
        <v>107.13002904855099</v>
      </c>
      <c r="AK2613">
        <v>13.589997622988299</v>
      </c>
      <c r="AL2613">
        <v>81.001593217111505</v>
      </c>
      <c r="AM2613">
        <v>99.048541407275295</v>
      </c>
      <c r="AN2613">
        <v>0.99999999715902499</v>
      </c>
    </row>
    <row r="2614" spans="1:40" x14ac:dyDescent="0.25">
      <c r="A2614" t="str">
        <f>"20190312172942107"</f>
        <v>20190312172942107</v>
      </c>
      <c r="B2614" t="str">
        <f>"1552382982100302"</f>
        <v>1552382982100302</v>
      </c>
      <c r="C2614" t="s">
        <v>40</v>
      </c>
      <c r="D2614">
        <v>3.1055999999999999</v>
      </c>
      <c r="E2614">
        <v>0.44961210000000001</v>
      </c>
      <c r="F2614" t="s">
        <v>41</v>
      </c>
      <c r="G2614">
        <v>-490.35840000000002</v>
      </c>
      <c r="H2614" s="1">
        <v>-4.2870760000000002E-6</v>
      </c>
      <c r="I2614">
        <v>269.39780000000002</v>
      </c>
      <c r="J2614">
        <v>-482.97070000000002</v>
      </c>
      <c r="K2614">
        <v>1.119802</v>
      </c>
      <c r="L2614">
        <v>279.7946</v>
      </c>
      <c r="M2614">
        <v>-0.78603540000000005</v>
      </c>
      <c r="N2614">
        <v>0</v>
      </c>
      <c r="O2614">
        <v>-0.61800239999999995</v>
      </c>
      <c r="P2614">
        <v>-0.67529709999999998</v>
      </c>
      <c r="Q2614">
        <v>0.14559169999999999</v>
      </c>
      <c r="R2614">
        <v>-0.72303309999999998</v>
      </c>
      <c r="S2614">
        <v>-1.802368</v>
      </c>
      <c r="T2614">
        <v>-0.26954450000000002</v>
      </c>
      <c r="U2614">
        <v>-2.522888</v>
      </c>
      <c r="V2614">
        <v>-0.15475939999999999</v>
      </c>
      <c r="W2614">
        <v>0.156497</v>
      </c>
      <c r="X2614">
        <v>0.97547850000000003</v>
      </c>
      <c r="Y2614">
        <v>-0.2811804</v>
      </c>
      <c r="Z2614">
        <v>4.3808489999999999E-2</v>
      </c>
      <c r="AA2614">
        <v>0.95865449999999996</v>
      </c>
      <c r="AB2614">
        <v>29</v>
      </c>
      <c r="AC2614">
        <v>-7.3876999999999899</v>
      </c>
      <c r="AD2614">
        <v>-1.1198062870759999</v>
      </c>
      <c r="AE2614">
        <v>-10.396799999999899</v>
      </c>
      <c r="AF2614">
        <v>-3.5794433955075902</v>
      </c>
      <c r="AG2614">
        <v>-1.1198062870759999</v>
      </c>
      <c r="AH2614">
        <v>12.1400130946971</v>
      </c>
      <c r="AI2614">
        <v>95.056095808460398</v>
      </c>
      <c r="AJ2614">
        <v>106.427981220417</v>
      </c>
      <c r="AK2614">
        <v>12.7061520170992</v>
      </c>
      <c r="AL2614">
        <v>80.9963727244061</v>
      </c>
      <c r="AM2614">
        <v>99.014827363696597</v>
      </c>
      <c r="AN2614">
        <v>1.0000000434298</v>
      </c>
    </row>
    <row r="2615" spans="1:40" x14ac:dyDescent="0.25">
      <c r="A2615" t="str">
        <f>"20190312172942116"</f>
        <v>20190312172942116</v>
      </c>
      <c r="B2615" t="str">
        <f>"1552382982110062"</f>
        <v>1552382982110062</v>
      </c>
      <c r="C2615" t="s">
        <v>40</v>
      </c>
      <c r="D2615">
        <v>3.4310939999999999</v>
      </c>
      <c r="E2615">
        <v>0.44961210000000001</v>
      </c>
      <c r="F2615" t="s">
        <v>41</v>
      </c>
      <c r="G2615">
        <v>-490.40249999999997</v>
      </c>
      <c r="H2615" s="1">
        <v>-4.2591870000000001E-6</v>
      </c>
      <c r="I2615">
        <v>269.2928</v>
      </c>
      <c r="J2615">
        <v>-483.07900000000001</v>
      </c>
      <c r="K2615">
        <v>1.1197919999999999</v>
      </c>
      <c r="L2615">
        <v>279.70190000000002</v>
      </c>
      <c r="M2615">
        <v>-0.78224700000000003</v>
      </c>
      <c r="N2615">
        <v>0</v>
      </c>
      <c r="O2615">
        <v>-0.62279079999999998</v>
      </c>
      <c r="P2615">
        <v>-0.67102489999999904</v>
      </c>
      <c r="Q2615">
        <v>0.145787</v>
      </c>
      <c r="R2615">
        <v>-0.72696099999999997</v>
      </c>
      <c r="S2615">
        <v>-1.790924</v>
      </c>
      <c r="T2615">
        <v>-0.26985290000000001</v>
      </c>
      <c r="U2615">
        <v>-2.5307309999999998</v>
      </c>
      <c r="V2615">
        <v>-0.15452089999999999</v>
      </c>
      <c r="W2615">
        <v>0.1567009</v>
      </c>
      <c r="X2615">
        <v>0.97548349999999995</v>
      </c>
      <c r="Y2615">
        <v>-0.27962589999999998</v>
      </c>
      <c r="Z2615">
        <v>4.438019E-2</v>
      </c>
      <c r="AA2615">
        <v>0.95908280000000001</v>
      </c>
      <c r="AB2615">
        <v>29</v>
      </c>
      <c r="AC2615">
        <v>-7.3234999999999602</v>
      </c>
      <c r="AD2615">
        <v>-1.1197962591870001</v>
      </c>
      <c r="AE2615">
        <v>-10.4091</v>
      </c>
      <c r="AF2615">
        <v>-3.5543600630282302</v>
      </c>
      <c r="AG2615">
        <v>-1.1197962591870001</v>
      </c>
      <c r="AH2615">
        <v>12.119012983189601</v>
      </c>
      <c r="AI2615">
        <v>95.066892713835699</v>
      </c>
      <c r="AJ2615">
        <v>106.34577546888301</v>
      </c>
      <c r="AK2615">
        <v>12.6790336700577</v>
      </c>
      <c r="AL2615">
        <v>80.984543507720801</v>
      </c>
      <c r="AM2615">
        <v>99.001116846051701</v>
      </c>
      <c r="AN2615">
        <v>0.99999996968493399</v>
      </c>
    </row>
    <row r="2616" spans="1:40" x14ac:dyDescent="0.25">
      <c r="A2616" t="str">
        <f>"20190312172942129"</f>
        <v>20190312172942129</v>
      </c>
      <c r="B2616" t="str">
        <f>"1552382982119822"</f>
        <v>1552382982119822</v>
      </c>
      <c r="C2616" t="s">
        <v>40</v>
      </c>
      <c r="D2616">
        <v>3.169257</v>
      </c>
      <c r="E2616">
        <v>0.45206560000000001</v>
      </c>
      <c r="F2616" t="s">
        <v>41</v>
      </c>
      <c r="G2616">
        <v>-490.46660000000003</v>
      </c>
      <c r="H2616" s="1">
        <v>-4.2163709999999998E-6</v>
      </c>
      <c r="I2616">
        <v>269.1336</v>
      </c>
      <c r="J2616">
        <v>-483.19349999999997</v>
      </c>
      <c r="K2616">
        <v>1.1197790000000001</v>
      </c>
      <c r="L2616">
        <v>279.60270000000003</v>
      </c>
      <c r="M2616">
        <v>-0.77818669999999901</v>
      </c>
      <c r="N2616">
        <v>0</v>
      </c>
      <c r="O2616">
        <v>-0.627857</v>
      </c>
      <c r="P2616">
        <v>-0.66657559999999905</v>
      </c>
      <c r="Q2616">
        <v>0.14566899999999999</v>
      </c>
      <c r="R2616">
        <v>-0.731066199999999</v>
      </c>
      <c r="S2616">
        <v>-1.7763059999999999</v>
      </c>
      <c r="T2616">
        <v>-0.26924629999999999</v>
      </c>
      <c r="U2616">
        <v>-2.541077</v>
      </c>
      <c r="V2616">
        <v>-0.15415139999999999</v>
      </c>
      <c r="W2616">
        <v>0.1565954</v>
      </c>
      <c r="X2616">
        <v>0.97555890000000001</v>
      </c>
      <c r="Y2616">
        <v>-0.27894140000000001</v>
      </c>
      <c r="Z2616">
        <v>4.479317E-2</v>
      </c>
      <c r="AA2616">
        <v>0.95926279999999997</v>
      </c>
      <c r="AB2616">
        <v>29</v>
      </c>
      <c r="AC2616">
        <v>-7.2731000000000501</v>
      </c>
      <c r="AD2616">
        <v>-1.119783216371</v>
      </c>
      <c r="AE2616">
        <v>-10.469099999999999</v>
      </c>
      <c r="AF2616">
        <v>-3.5534238034129002</v>
      </c>
      <c r="AG2616">
        <v>-1.119783216371</v>
      </c>
      <c r="AH2616">
        <v>12.140598012247001</v>
      </c>
      <c r="AI2616">
        <v>95.058685051531796</v>
      </c>
      <c r="AJ2616">
        <v>106.314191680018</v>
      </c>
      <c r="AK2616">
        <v>12.6994037369202</v>
      </c>
      <c r="AL2616">
        <v>80.990663776983993</v>
      </c>
      <c r="AM2616">
        <v>98.979261234249407</v>
      </c>
      <c r="AN2616">
        <v>0.99999997039616395</v>
      </c>
    </row>
    <row r="2617" spans="1:40" x14ac:dyDescent="0.25">
      <c r="A2617" t="str">
        <f>"20190312172942139"</f>
        <v>20190312172942139</v>
      </c>
      <c r="B2617" t="str">
        <f>"1552382982130103"</f>
        <v>1552382982130103</v>
      </c>
      <c r="C2617" t="s">
        <v>40</v>
      </c>
      <c r="D2617">
        <v>3.1434039999999999</v>
      </c>
      <c r="E2617">
        <v>0.4520574</v>
      </c>
      <c r="F2617" t="s">
        <v>41</v>
      </c>
      <c r="G2617">
        <v>-491.57690000000002</v>
      </c>
      <c r="H2617" s="1">
        <v>-3.8629480000000004E-6</v>
      </c>
      <c r="I2617">
        <v>267.6157</v>
      </c>
      <c r="J2617">
        <v>-483.29829999999998</v>
      </c>
      <c r="K2617">
        <v>1.1197699999999999</v>
      </c>
      <c r="L2617">
        <v>279.51100000000002</v>
      </c>
      <c r="M2617">
        <v>-0.77442460000000002</v>
      </c>
      <c r="N2617">
        <v>0</v>
      </c>
      <c r="O2617">
        <v>-0.63249140000000004</v>
      </c>
      <c r="P2617">
        <v>-0.6623869</v>
      </c>
      <c r="Q2617">
        <v>0.14571889999999901</v>
      </c>
      <c r="R2617">
        <v>-0.73485339999999999</v>
      </c>
      <c r="S2617">
        <v>-1.7726139999999999</v>
      </c>
      <c r="T2617">
        <v>-0.23677110000000001</v>
      </c>
      <c r="U2617">
        <v>-2.5345759999999999</v>
      </c>
      <c r="V2617">
        <v>-0.15389169999999999</v>
      </c>
      <c r="W2617">
        <v>0.1566543</v>
      </c>
      <c r="X2617">
        <v>0.97559050000000003</v>
      </c>
      <c r="Y2617">
        <v>-0.27282149999999999</v>
      </c>
      <c r="Z2617">
        <v>4.0095529999999997E-2</v>
      </c>
      <c r="AA2617">
        <v>0.96122879999999999</v>
      </c>
      <c r="AB2617">
        <v>29</v>
      </c>
      <c r="AC2617">
        <v>-8.2786000000000399</v>
      </c>
      <c r="AD2617">
        <v>-1.1197738629480001</v>
      </c>
      <c r="AE2617">
        <v>-11.895299999999899</v>
      </c>
      <c r="AF2617">
        <v>-3.9527117997686698</v>
      </c>
      <c r="AG2617">
        <v>-1.1197738629480001</v>
      </c>
      <c r="AH2617">
        <v>13.8536616879971</v>
      </c>
      <c r="AI2617">
        <v>94.444485614057797</v>
      </c>
      <c r="AJ2617">
        <v>105.92445060595</v>
      </c>
      <c r="AK2617">
        <v>14.449974610415399</v>
      </c>
      <c r="AL2617">
        <v>80.987247375206096</v>
      </c>
      <c r="AM2617">
        <v>98.964094026332603</v>
      </c>
      <c r="AN2617">
        <v>1.0000000243638101</v>
      </c>
    </row>
    <row r="2618" spans="1:40" x14ac:dyDescent="0.25">
      <c r="A2618" t="str">
        <f>"20190312172942150"</f>
        <v>20190312172942150</v>
      </c>
      <c r="B2618" t="str">
        <f>"1552382982139852"</f>
        <v>1552382982139852</v>
      </c>
      <c r="C2618" t="s">
        <v>40</v>
      </c>
      <c r="D2618">
        <v>3.1503519999999998</v>
      </c>
      <c r="E2618">
        <v>0.45192880000000002</v>
      </c>
      <c r="F2618" t="s">
        <v>41</v>
      </c>
      <c r="G2618">
        <v>-491.39960000000002</v>
      </c>
      <c r="H2618" s="1">
        <v>-3.8859200000000001E-6</v>
      </c>
      <c r="I2618">
        <v>267.7792</v>
      </c>
      <c r="J2618">
        <v>-483.39940000000001</v>
      </c>
      <c r="K2618">
        <v>1.1197619999999999</v>
      </c>
      <c r="L2618">
        <v>279.42129999999997</v>
      </c>
      <c r="M2618">
        <v>-0.77074699999999996</v>
      </c>
      <c r="N2618">
        <v>0</v>
      </c>
      <c r="O2618">
        <v>-0.63696769999999903</v>
      </c>
      <c r="P2618">
        <v>-0.65823790000000004</v>
      </c>
      <c r="Q2618">
        <v>0.14567639999999901</v>
      </c>
      <c r="R2618">
        <v>-0.73858029999999997</v>
      </c>
      <c r="S2618">
        <v>-1.758057</v>
      </c>
      <c r="T2618">
        <v>-0.2430031</v>
      </c>
      <c r="U2618">
        <v>-2.5459290000000001</v>
      </c>
      <c r="V2618">
        <v>-0.15373439999999999</v>
      </c>
      <c r="W2618">
        <v>0.15661849999999999</v>
      </c>
      <c r="X2618">
        <v>0.97562099999999996</v>
      </c>
      <c r="Y2618">
        <v>-0.27301760000000003</v>
      </c>
      <c r="Z2618">
        <v>4.1517079999999998E-2</v>
      </c>
      <c r="AA2618">
        <v>0.96111270000000004</v>
      </c>
      <c r="AB2618">
        <v>29</v>
      </c>
      <c r="AC2618">
        <v>-8.0001999999999995</v>
      </c>
      <c r="AD2618">
        <v>-1.1197658859199999</v>
      </c>
      <c r="AE2618">
        <v>-11.6420999999999</v>
      </c>
      <c r="AF2618">
        <v>-3.8534592896009898</v>
      </c>
      <c r="AG2618">
        <v>-1.1197658859199999</v>
      </c>
      <c r="AH2618">
        <v>13.4984530004256</v>
      </c>
      <c r="AI2618">
        <v>94.560735671123595</v>
      </c>
      <c r="AJ2618">
        <v>105.93267430847401</v>
      </c>
      <c r="AK2618">
        <v>14.082302991363999</v>
      </c>
      <c r="AL2618">
        <v>80.989323778103596</v>
      </c>
      <c r="AM2618">
        <v>98.954804547872101</v>
      </c>
      <c r="AN2618">
        <v>0.99999997796330398</v>
      </c>
    </row>
    <row r="2619" spans="1:40" x14ac:dyDescent="0.25">
      <c r="A2619" t="str">
        <f>"20190312172942161"</f>
        <v>20190312172942161</v>
      </c>
      <c r="B2619" t="str">
        <f>"1552382982149611"</f>
        <v>1552382982149611</v>
      </c>
      <c r="C2619" t="s">
        <v>40</v>
      </c>
      <c r="D2619">
        <v>3.1164909999999999</v>
      </c>
      <c r="E2619">
        <v>0.4522061</v>
      </c>
      <c r="F2619" t="s">
        <v>41</v>
      </c>
      <c r="G2619">
        <v>-491.40960000000001</v>
      </c>
      <c r="H2619" s="1">
        <v>-3.8453789999999997E-6</v>
      </c>
      <c r="I2619">
        <v>267.67849999999999</v>
      </c>
      <c r="J2619">
        <v>-483.50479999999999</v>
      </c>
      <c r="K2619">
        <v>1.1197539999999999</v>
      </c>
      <c r="L2619">
        <v>279.32690000000002</v>
      </c>
      <c r="M2619">
        <v>-0.76686940000000003</v>
      </c>
      <c r="N2619">
        <v>0</v>
      </c>
      <c r="O2619">
        <v>-0.64163119999999996</v>
      </c>
      <c r="P2619">
        <v>-0.65401659999999995</v>
      </c>
      <c r="Q2619">
        <v>0.145249499999999</v>
      </c>
      <c r="R2619">
        <v>-0.74240519999999999</v>
      </c>
      <c r="S2619">
        <v>-1.7435609999999999</v>
      </c>
      <c r="T2619">
        <v>-0.24373539999999999</v>
      </c>
      <c r="U2619">
        <v>-2.556</v>
      </c>
      <c r="V2619">
        <v>-0.153428799999999</v>
      </c>
      <c r="W2619">
        <v>0.15620309999999901</v>
      </c>
      <c r="X2619">
        <v>0.97573569999999998</v>
      </c>
      <c r="Y2619">
        <v>-0.2726789</v>
      </c>
      <c r="Z2619">
        <v>4.2059689999999997E-2</v>
      </c>
      <c r="AA2619">
        <v>0.96118530000000002</v>
      </c>
      <c r="AB2619">
        <v>29</v>
      </c>
      <c r="AC2619">
        <v>-7.9048000000000203</v>
      </c>
      <c r="AD2619">
        <v>-1.119757845379</v>
      </c>
      <c r="AE2619">
        <v>-11.648400000000001</v>
      </c>
      <c r="AF2619">
        <v>-3.83698421017221</v>
      </c>
      <c r="AG2619">
        <v>-1.119757845379</v>
      </c>
      <c r="AH2619">
        <v>13.4523055022589</v>
      </c>
      <c r="AI2619">
        <v>94.576577070705497</v>
      </c>
      <c r="AJ2619">
        <v>105.91967272766099</v>
      </c>
      <c r="AK2619">
        <v>14.0335608021451</v>
      </c>
      <c r="AL2619">
        <v>81.013421057192105</v>
      </c>
      <c r="AM2619">
        <v>98.936257771709094</v>
      </c>
      <c r="AN2619">
        <v>0.99999998068676899</v>
      </c>
    </row>
    <row r="2620" spans="1:40" x14ac:dyDescent="0.25">
      <c r="A2620" t="str">
        <f>"20190312172942173"</f>
        <v>20190312172942173</v>
      </c>
      <c r="B2620" t="str">
        <f>"1552382982170108"</f>
        <v>1552382982170108</v>
      </c>
      <c r="C2620" t="s">
        <v>40</v>
      </c>
      <c r="D2620">
        <v>3.1854529999999999</v>
      </c>
      <c r="E2620">
        <v>0.45903189999999999</v>
      </c>
      <c r="F2620" t="s">
        <v>41</v>
      </c>
      <c r="G2620">
        <v>-491.37759999999997</v>
      </c>
      <c r="H2620" s="1">
        <v>-3.8294649999999996E-6</v>
      </c>
      <c r="I2620">
        <v>267.66129999999998</v>
      </c>
      <c r="J2620">
        <v>-483.61189999999999</v>
      </c>
      <c r="K2620">
        <v>1.119737</v>
      </c>
      <c r="L2620">
        <v>279.22919999999999</v>
      </c>
      <c r="M2620">
        <v>-0.76286189999999998</v>
      </c>
      <c r="N2620">
        <v>0</v>
      </c>
      <c r="O2620">
        <v>-0.64639069999999899</v>
      </c>
      <c r="P2620">
        <v>-0.64956979999999997</v>
      </c>
      <c r="Q2620">
        <v>0.14523239999999901</v>
      </c>
      <c r="R2620">
        <v>-0.74630209999999997</v>
      </c>
      <c r="S2620">
        <v>-1.7306820000000001</v>
      </c>
      <c r="T2620">
        <v>-0.24615529999999999</v>
      </c>
      <c r="U2620">
        <v>-2.5644529999999999</v>
      </c>
      <c r="V2620">
        <v>-0.15318419999999999</v>
      </c>
      <c r="W2620">
        <v>0.15619459999999999</v>
      </c>
      <c r="X2620">
        <v>0.97577550000000002</v>
      </c>
      <c r="Y2620">
        <v>-0.27150259999999998</v>
      </c>
      <c r="Z2620">
        <v>4.2937950000000003E-2</v>
      </c>
      <c r="AA2620">
        <v>0.96147939999999998</v>
      </c>
      <c r="AB2620">
        <v>29</v>
      </c>
      <c r="AC2620">
        <v>-7.7656999999999803</v>
      </c>
      <c r="AD2620">
        <v>-1.119740829465</v>
      </c>
      <c r="AE2620">
        <v>-11.5679</v>
      </c>
      <c r="AF2620">
        <v>-3.7810326728600798</v>
      </c>
      <c r="AG2620">
        <v>-1.119740829465</v>
      </c>
      <c r="AH2620">
        <v>13.3170059381654</v>
      </c>
      <c r="AI2620">
        <v>94.624384071262398</v>
      </c>
      <c r="AJ2620">
        <v>105.850576910613</v>
      </c>
      <c r="AK2620">
        <v>13.8885807322253</v>
      </c>
      <c r="AL2620">
        <v>81.013914201440798</v>
      </c>
      <c r="AM2620">
        <v>98.921882677190297</v>
      </c>
      <c r="AN2620">
        <v>0.99999998929952405</v>
      </c>
    </row>
    <row r="2621" spans="1:40" x14ac:dyDescent="0.25">
      <c r="A2621" t="str">
        <f>"20190312172942184"</f>
        <v>20190312172942184</v>
      </c>
      <c r="B2621" t="str">
        <f>"1552382982179867"</f>
        <v>1552382982179867</v>
      </c>
      <c r="C2621" t="s">
        <v>40</v>
      </c>
      <c r="D2621">
        <v>3.2079200000000001</v>
      </c>
      <c r="E2621">
        <v>0.45922459999999998</v>
      </c>
      <c r="F2621" t="s">
        <v>41</v>
      </c>
      <c r="G2621">
        <v>-491.41230000000002</v>
      </c>
      <c r="H2621" s="1">
        <v>-3.9638479999999997E-6</v>
      </c>
      <c r="I2621">
        <v>267.95299999999997</v>
      </c>
      <c r="J2621">
        <v>-483.71800000000002</v>
      </c>
      <c r="K2621">
        <v>1.1197269999999999</v>
      </c>
      <c r="L2621">
        <v>279.13200000000001</v>
      </c>
      <c r="M2621">
        <v>-0.75886089999999995</v>
      </c>
      <c r="N2621">
        <v>0</v>
      </c>
      <c r="O2621">
        <v>-0.65108319999999997</v>
      </c>
      <c r="P2621">
        <v>-0.6452194</v>
      </c>
      <c r="Q2621">
        <v>0.1451547</v>
      </c>
      <c r="R2621">
        <v>-0.75008140000000001</v>
      </c>
      <c r="S2621">
        <v>-1.7568969999999999</v>
      </c>
      <c r="T2621">
        <v>-0.25220320000000002</v>
      </c>
      <c r="U2621">
        <v>-2.5397639999999999</v>
      </c>
      <c r="V2621">
        <v>-0.152844799999999</v>
      </c>
      <c r="W2621">
        <v>0.15612779999999901</v>
      </c>
      <c r="X2621">
        <v>0.97583940000000002</v>
      </c>
      <c r="Y2621">
        <v>-0.25454060000000001</v>
      </c>
      <c r="Z2621">
        <v>4.5047499999999997E-2</v>
      </c>
      <c r="AA2621">
        <v>0.96601230000000005</v>
      </c>
      <c r="AB2621">
        <v>29</v>
      </c>
      <c r="AC2621">
        <v>-7.6942999999999904</v>
      </c>
      <c r="AD2621">
        <v>-1.119730963848</v>
      </c>
      <c r="AE2621">
        <v>-11.179</v>
      </c>
      <c r="AF2621">
        <v>-3.4505695082355099</v>
      </c>
      <c r="AG2621">
        <v>-1.119730963848</v>
      </c>
      <c r="AH2621">
        <v>13.030105326318701</v>
      </c>
      <c r="AI2621">
        <v>94.7486997136279</v>
      </c>
      <c r="AJ2621">
        <v>104.83233130849101</v>
      </c>
      <c r="AK2621">
        <v>13.5256745553604</v>
      </c>
      <c r="AL2621">
        <v>81.017789002468305</v>
      </c>
      <c r="AM2621">
        <v>98.901858406409005</v>
      </c>
      <c r="AN2621">
        <v>0.99999997870611901</v>
      </c>
    </row>
    <row r="2622" spans="1:40" x14ac:dyDescent="0.25">
      <c r="A2622" t="str">
        <f>"20190312172942196"</f>
        <v>20190312172942196</v>
      </c>
      <c r="B2622" t="str">
        <f>"1552382982189628"</f>
        <v>1552382982189628</v>
      </c>
      <c r="C2622" t="s">
        <v>40</v>
      </c>
      <c r="D2622">
        <v>3.2348249999999998</v>
      </c>
      <c r="E2622">
        <v>0.45950790000000002</v>
      </c>
      <c r="F2622" t="s">
        <v>41</v>
      </c>
      <c r="G2622">
        <v>-491.60050000000001</v>
      </c>
      <c r="H2622" s="1">
        <v>-3.8662419999999901E-6</v>
      </c>
      <c r="I2622">
        <v>267.6087</v>
      </c>
      <c r="J2622">
        <v>-483.8313</v>
      </c>
      <c r="K2622">
        <v>1.1197140000000001</v>
      </c>
      <c r="L2622">
        <v>279.02600000000001</v>
      </c>
      <c r="M2622">
        <v>-0.75451040000000003</v>
      </c>
      <c r="N2622">
        <v>0</v>
      </c>
      <c r="O2622">
        <v>-0.65611980000000003</v>
      </c>
      <c r="P2622">
        <v>-0.64021139999999999</v>
      </c>
      <c r="Q2622">
        <v>0.14529990000000001</v>
      </c>
      <c r="R2622">
        <v>-0.75433219999999901</v>
      </c>
      <c r="S2622">
        <v>-1.74304199999999</v>
      </c>
      <c r="T2622">
        <v>-0.2476013</v>
      </c>
      <c r="U2622">
        <v>-2.5480960000000001</v>
      </c>
      <c r="V2622">
        <v>-0.1528244</v>
      </c>
      <c r="W2622">
        <v>0.15627559999999999</v>
      </c>
      <c r="X2622">
        <v>0.97581890000000004</v>
      </c>
      <c r="Y2622">
        <v>-0.253135</v>
      </c>
      <c r="Z2622">
        <v>4.473568E-2</v>
      </c>
      <c r="AA2622">
        <v>0.96639609999999998</v>
      </c>
      <c r="AB2622">
        <v>29</v>
      </c>
      <c r="AC2622">
        <v>-7.7692000000000103</v>
      </c>
      <c r="AD2622">
        <v>-1.119717866242</v>
      </c>
      <c r="AE2622">
        <v>-11.417299999999999</v>
      </c>
      <c r="AF2622">
        <v>-3.4943620361661201</v>
      </c>
      <c r="AG2622">
        <v>-1.119717866242</v>
      </c>
      <c r="AH2622">
        <v>13.267313882455101</v>
      </c>
      <c r="AI2622">
        <v>94.665764657247493</v>
      </c>
      <c r="AJ2622">
        <v>104.755531949762</v>
      </c>
      <c r="AK2622">
        <v>13.7653896347094</v>
      </c>
      <c r="AL2622">
        <v>81.009215123463505</v>
      </c>
      <c r="AM2622">
        <v>98.900873302552199</v>
      </c>
      <c r="AN2622">
        <v>0.999999942993963</v>
      </c>
    </row>
    <row r="2623" spans="1:40" x14ac:dyDescent="0.25">
      <c r="A2623" t="str">
        <f>"20190312172942209"</f>
        <v>20190312172942209</v>
      </c>
      <c r="B2623" t="str">
        <f>"1552382982200363"</f>
        <v>1552382982200363</v>
      </c>
      <c r="C2623" t="s">
        <v>40</v>
      </c>
      <c r="D2623">
        <v>3.2490950000000001</v>
      </c>
      <c r="E2623">
        <v>0.4600458</v>
      </c>
      <c r="F2623" t="s">
        <v>41</v>
      </c>
      <c r="G2623">
        <v>-491.7038</v>
      </c>
      <c r="H2623" s="1">
        <v>-3.7908510000000001E-6</v>
      </c>
      <c r="I2623">
        <v>267.3689</v>
      </c>
      <c r="J2623">
        <v>-483.94099999999997</v>
      </c>
      <c r="K2623">
        <v>1.119705</v>
      </c>
      <c r="L2623">
        <v>278.92239999999998</v>
      </c>
      <c r="M2623">
        <v>-0.75024749999999996</v>
      </c>
      <c r="N2623">
        <v>0</v>
      </c>
      <c r="O2623">
        <v>-0.66099010000000002</v>
      </c>
      <c r="P2623">
        <v>-0.63588509999999998</v>
      </c>
      <c r="Q2623">
        <v>0.14519879999999999</v>
      </c>
      <c r="R2623">
        <v>-0.75800249999999902</v>
      </c>
      <c r="S2623">
        <v>-1.7276</v>
      </c>
      <c r="T2623">
        <v>-0.24571799999999999</v>
      </c>
      <c r="U2623">
        <v>-2.5581049999999999</v>
      </c>
      <c r="V2623">
        <v>-0.1520976</v>
      </c>
      <c r="W2623">
        <v>0.15619559999999999</v>
      </c>
      <c r="X2623">
        <v>0.97594530000000002</v>
      </c>
      <c r="Y2623">
        <v>-0.25263069999999999</v>
      </c>
      <c r="Z2623">
        <v>4.4848449999999998E-2</v>
      </c>
      <c r="AA2623">
        <v>0.96652280000000002</v>
      </c>
      <c r="AB2623">
        <v>29</v>
      </c>
      <c r="AC2623">
        <v>-7.7628000000000199</v>
      </c>
      <c r="AD2623">
        <v>-1.1197087908509999</v>
      </c>
      <c r="AE2623">
        <v>-11.5534999999999</v>
      </c>
      <c r="AF2623">
        <v>-3.5144982157503901</v>
      </c>
      <c r="AG2623">
        <v>-1.1197087908509999</v>
      </c>
      <c r="AH2623">
        <v>13.3757005068749</v>
      </c>
      <c r="AI2623">
        <v>94.628797338620203</v>
      </c>
      <c r="AJ2623">
        <v>104.721835497808</v>
      </c>
      <c r="AK2623">
        <v>13.8749706138224</v>
      </c>
      <c r="AL2623">
        <v>81.013856172748206</v>
      </c>
      <c r="AM2623">
        <v>98.858086496222398</v>
      </c>
      <c r="AN2623">
        <v>0.99999998698860404</v>
      </c>
    </row>
    <row r="2624" spans="1:40" x14ac:dyDescent="0.25">
      <c r="A2624" t="str">
        <f>"20190312172942220"</f>
        <v>20190312172942220</v>
      </c>
      <c r="B2624" t="str">
        <f>"1552382982210124"</f>
        <v>1552382982210124</v>
      </c>
      <c r="C2624" t="s">
        <v>40</v>
      </c>
      <c r="D2624">
        <v>3.234499</v>
      </c>
      <c r="E2624">
        <v>0.46041599999999999</v>
      </c>
      <c r="F2624" t="s">
        <v>41</v>
      </c>
      <c r="G2624">
        <v>-491.9502</v>
      </c>
      <c r="H2624" s="1">
        <v>-3.6754399999999998E-6</v>
      </c>
      <c r="I2624">
        <v>266.94709999999998</v>
      </c>
      <c r="J2624">
        <v>-484.05689999999998</v>
      </c>
      <c r="K2624">
        <v>1.1196919999999999</v>
      </c>
      <c r="L2624">
        <v>278.8116</v>
      </c>
      <c r="M2624">
        <v>-0.745679599999999</v>
      </c>
      <c r="N2624">
        <v>0</v>
      </c>
      <c r="O2624">
        <v>-0.66613889999999998</v>
      </c>
      <c r="P2624">
        <v>-0.63061179999999994</v>
      </c>
      <c r="Q2624">
        <v>0.145335299999999</v>
      </c>
      <c r="R2624">
        <v>-0.76236919999999897</v>
      </c>
      <c r="S2624">
        <v>-1.7153320000000001</v>
      </c>
      <c r="T2624">
        <v>-0.23980870000000001</v>
      </c>
      <c r="U2624">
        <v>-2.5647579999999999</v>
      </c>
      <c r="V2624">
        <v>-0.15212870000000001</v>
      </c>
      <c r="W2624">
        <v>0.15633359999999999</v>
      </c>
      <c r="X2624">
        <v>0.97591839999999996</v>
      </c>
      <c r="Y2624">
        <v>-0.25029669999999998</v>
      </c>
      <c r="Z2624">
        <v>4.4308590000000002E-2</v>
      </c>
      <c r="AA2624">
        <v>0.96715469999999903</v>
      </c>
      <c r="AB2624">
        <v>29</v>
      </c>
      <c r="AC2624">
        <v>-7.8933000000000098</v>
      </c>
      <c r="AD2624">
        <v>-1.11969567543999</v>
      </c>
      <c r="AE2624">
        <v>-11.8645</v>
      </c>
      <c r="AF2624">
        <v>-3.5674531465225301</v>
      </c>
      <c r="AG2624">
        <v>-1.11969567543999</v>
      </c>
      <c r="AH2624">
        <v>13.7061817199912</v>
      </c>
      <c r="AI2624">
        <v>94.520326397900803</v>
      </c>
      <c r="AJ2624">
        <v>104.589274146504</v>
      </c>
      <c r="AK2624">
        <v>14.207035500049001</v>
      </c>
      <c r="AL2624">
        <v>81.005851400456805</v>
      </c>
      <c r="AM2624">
        <v>98.860109348585993</v>
      </c>
      <c r="AN2624">
        <v>1.0000000296556</v>
      </c>
    </row>
    <row r="2625" spans="1:40" x14ac:dyDescent="0.25">
      <c r="A2625" t="str">
        <f>"20190312172942234"</f>
        <v>20190312172942234</v>
      </c>
      <c r="B2625" t="str">
        <f>"1552382982230177"</f>
        <v>1552382982230177</v>
      </c>
      <c r="C2625" t="s">
        <v>40</v>
      </c>
      <c r="D2625">
        <v>3.251128</v>
      </c>
      <c r="E2625">
        <v>0.460868</v>
      </c>
      <c r="F2625" t="s">
        <v>41</v>
      </c>
      <c r="G2625">
        <v>-492.13150000000002</v>
      </c>
      <c r="H2625" s="1">
        <v>-3.5670829999999999E-6</v>
      </c>
      <c r="I2625">
        <v>266.58210000000003</v>
      </c>
      <c r="J2625">
        <v>-484.16930000000002</v>
      </c>
      <c r="K2625">
        <v>1.1196790000000001</v>
      </c>
      <c r="L2625">
        <v>278.7022</v>
      </c>
      <c r="M2625">
        <v>-0.74118050000000002</v>
      </c>
      <c r="N2625">
        <v>0</v>
      </c>
      <c r="O2625">
        <v>-0.6711414</v>
      </c>
      <c r="P2625">
        <v>-0.6257781</v>
      </c>
      <c r="Q2625">
        <v>0.14504110000000001</v>
      </c>
      <c r="R2625">
        <v>-0.76639740000000001</v>
      </c>
      <c r="S2625">
        <v>-1.6996150000000001</v>
      </c>
      <c r="T2625">
        <v>-0.23568549999999999</v>
      </c>
      <c r="U2625">
        <v>-2.5741879999999999</v>
      </c>
      <c r="V2625">
        <v>-0.15176329999999999</v>
      </c>
      <c r="W2625">
        <v>0.15605150000000001</v>
      </c>
      <c r="X2625">
        <v>0.97602040000000001</v>
      </c>
      <c r="Y2625">
        <v>-0.24950610000000001</v>
      </c>
      <c r="Z2625">
        <v>4.4009989999999999E-2</v>
      </c>
      <c r="AA2625">
        <v>0.96737269999999997</v>
      </c>
      <c r="AB2625">
        <v>29</v>
      </c>
      <c r="AC2625">
        <v>-7.9621999999999904</v>
      </c>
      <c r="AD2625">
        <v>-1.119682567083</v>
      </c>
      <c r="AE2625">
        <v>-12.1200999999999</v>
      </c>
      <c r="AF2625">
        <v>-3.6182507512376798</v>
      </c>
      <c r="AG2625">
        <v>-1.119682567083</v>
      </c>
      <c r="AH2625">
        <v>13.9540883393135</v>
      </c>
      <c r="AI2625">
        <v>94.441350059249501</v>
      </c>
      <c r="AJ2625">
        <v>104.53647166479401</v>
      </c>
      <c r="AK2625">
        <v>14.4589767594815</v>
      </c>
      <c r="AL2625">
        <v>81.022215071932905</v>
      </c>
      <c r="AM2625">
        <v>98.838255423024293</v>
      </c>
      <c r="AN2625">
        <v>0.99999999554764996</v>
      </c>
    </row>
    <row r="2626" spans="1:40" x14ac:dyDescent="0.25">
      <c r="A2626" t="str">
        <f>"20190312172942246"</f>
        <v>20190312172942246</v>
      </c>
      <c r="B2626" t="str">
        <f>"1552382982239911"</f>
        <v>1552382982239911</v>
      </c>
      <c r="C2626" t="s">
        <v>40</v>
      </c>
      <c r="D2626">
        <v>3.2514980000000002</v>
      </c>
      <c r="E2626">
        <v>0.46733390000000002</v>
      </c>
      <c r="F2626" t="s">
        <v>41</v>
      </c>
      <c r="G2626">
        <v>-492.21109999999999</v>
      </c>
      <c r="H2626" s="1">
        <v>-3.5039329999999999E-6</v>
      </c>
      <c r="I2626">
        <v>266.38549999999998</v>
      </c>
      <c r="J2626">
        <v>-484.28800000000001</v>
      </c>
      <c r="K2626">
        <v>1.1196649999999999</v>
      </c>
      <c r="L2626">
        <v>278.58569999999997</v>
      </c>
      <c r="M2626">
        <v>-0.7363712</v>
      </c>
      <c r="N2626">
        <v>0</v>
      </c>
      <c r="O2626">
        <v>-0.67641470000000004</v>
      </c>
      <c r="P2626">
        <v>-0.62061659999999996</v>
      </c>
      <c r="Q2626">
        <v>0.14464170000000001</v>
      </c>
      <c r="R2626">
        <v>-0.77065819999999996</v>
      </c>
      <c r="S2626">
        <v>-1.6859740000000001</v>
      </c>
      <c r="T2626">
        <v>-0.23474310000000001</v>
      </c>
      <c r="U2626">
        <v>-2.582214</v>
      </c>
      <c r="V2626">
        <v>-0.1513929</v>
      </c>
      <c r="W2626">
        <v>0.15566479999999999</v>
      </c>
      <c r="X2626">
        <v>0.97613970000000005</v>
      </c>
      <c r="Y2626">
        <v>-0.2475581</v>
      </c>
      <c r="Z2626">
        <v>4.4349350000000003E-2</v>
      </c>
      <c r="AA2626">
        <v>0.96785750000000004</v>
      </c>
      <c r="AB2626">
        <v>29</v>
      </c>
      <c r="AC2626">
        <v>-7.9230999999999696</v>
      </c>
      <c r="AD2626">
        <v>-1.1196685039330001</v>
      </c>
      <c r="AE2626">
        <v>-12.200199999999899</v>
      </c>
      <c r="AF2626">
        <v>-3.6036262839824702</v>
      </c>
      <c r="AG2626">
        <v>-1.1196685039330001</v>
      </c>
      <c r="AH2626">
        <v>14.0053226229434</v>
      </c>
      <c r="AI2626">
        <v>94.427239310930602</v>
      </c>
      <c r="AJ2626">
        <v>104.429435849252</v>
      </c>
      <c r="AK2626">
        <v>14.504786855588</v>
      </c>
      <c r="AL2626">
        <v>81.044645746068596</v>
      </c>
      <c r="AM2626">
        <v>98.815963088070603</v>
      </c>
      <c r="AN2626">
        <v>1.00000002702276</v>
      </c>
    </row>
    <row r="2627" spans="1:40" x14ac:dyDescent="0.25">
      <c r="A2627" t="str">
        <f>"20190312172942257"</f>
        <v>20190312172942257</v>
      </c>
      <c r="B2627" t="str">
        <f>"1552382982249671"</f>
        <v>1552382982249671</v>
      </c>
      <c r="C2627" t="s">
        <v>40</v>
      </c>
      <c r="D2627">
        <v>3.2131099999999999</v>
      </c>
      <c r="E2627">
        <v>0.46748040000000002</v>
      </c>
      <c r="F2627" t="s">
        <v>41</v>
      </c>
      <c r="G2627">
        <v>-492.37889999999999</v>
      </c>
      <c r="H2627" s="1">
        <v>-3.5807849999999999E-6</v>
      </c>
      <c r="I2627">
        <v>266.46050000000002</v>
      </c>
      <c r="J2627">
        <v>-484.38659999999999</v>
      </c>
      <c r="K2627">
        <v>1.1196539999999999</v>
      </c>
      <c r="L2627">
        <v>278.4871</v>
      </c>
      <c r="M2627">
        <v>-0.73231040000000003</v>
      </c>
      <c r="N2627">
        <v>0</v>
      </c>
      <c r="O2627">
        <v>-0.680809</v>
      </c>
      <c r="P2627">
        <v>-0.61610369999999903</v>
      </c>
      <c r="Q2627">
        <v>0.1444251</v>
      </c>
      <c r="R2627">
        <v>-0.77431110000000003</v>
      </c>
      <c r="S2627">
        <v>-1.708923</v>
      </c>
      <c r="T2627">
        <v>-0.2364906</v>
      </c>
      <c r="U2627">
        <v>-2.5610050000000002</v>
      </c>
      <c r="V2627">
        <v>-0.15127460000000001</v>
      </c>
      <c r="W2627">
        <v>0.15545329999999999</v>
      </c>
      <c r="X2627">
        <v>0.9761917</v>
      </c>
      <c r="Y2627">
        <v>-0.23208799999999999</v>
      </c>
      <c r="Z2627">
        <v>4.558065E-2</v>
      </c>
      <c r="AA2627">
        <v>0.97162630000000005</v>
      </c>
      <c r="AB2627">
        <v>29</v>
      </c>
      <c r="AC2627">
        <v>-7.9923000000000002</v>
      </c>
      <c r="AD2627">
        <v>-1.119657580785</v>
      </c>
      <c r="AE2627">
        <v>-12.026599999999901</v>
      </c>
      <c r="AF2627">
        <v>-3.3462277023901801</v>
      </c>
      <c r="AG2627">
        <v>-1.119657580785</v>
      </c>
      <c r="AH2627">
        <v>13.9582911587831</v>
      </c>
      <c r="AI2627">
        <v>94.460287975898893</v>
      </c>
      <c r="AJ2627">
        <v>103.481130533563</v>
      </c>
      <c r="AK2627">
        <v>14.397387436886399</v>
      </c>
      <c r="AL2627">
        <v>81.056912752214501</v>
      </c>
      <c r="AM2627">
        <v>98.808720404619194</v>
      </c>
      <c r="AN2627">
        <v>0.99999998411746904</v>
      </c>
    </row>
    <row r="2628" spans="1:40" x14ac:dyDescent="0.25">
      <c r="A2628" t="str">
        <f>"20190312172942269"</f>
        <v>20190312172942269</v>
      </c>
      <c r="B2628" t="str">
        <f>"1552382982260407"</f>
        <v>1552382982260407</v>
      </c>
      <c r="C2628" t="s">
        <v>40</v>
      </c>
      <c r="D2628">
        <v>3.1875089999999999</v>
      </c>
      <c r="E2628">
        <v>0.46820070000000003</v>
      </c>
      <c r="F2628" t="s">
        <v>41</v>
      </c>
      <c r="G2628">
        <v>-492.51569999999998</v>
      </c>
      <c r="H2628" s="1">
        <v>-3.4871060000000002E-6</v>
      </c>
      <c r="I2628">
        <v>266.15730000000002</v>
      </c>
      <c r="J2628">
        <v>-484.49020000000002</v>
      </c>
      <c r="K2628">
        <v>1.119642</v>
      </c>
      <c r="L2628">
        <v>278.38260000000002</v>
      </c>
      <c r="M2628">
        <v>-0.72799250000000004</v>
      </c>
      <c r="N2628">
        <v>0</v>
      </c>
      <c r="O2628">
        <v>-0.68542409999999998</v>
      </c>
      <c r="P2628">
        <v>-0.61156299999999997</v>
      </c>
      <c r="Q2628">
        <v>0.144415299999999</v>
      </c>
      <c r="R2628">
        <v>-0.77790419999999905</v>
      </c>
      <c r="S2628">
        <v>-1.6943360000000001</v>
      </c>
      <c r="T2628">
        <v>-0.23336589999999999</v>
      </c>
      <c r="U2628">
        <v>-2.569855</v>
      </c>
      <c r="V2628">
        <v>-0.1508118</v>
      </c>
      <c r="W2628">
        <v>0.1554575</v>
      </c>
      <c r="X2628">
        <v>0.97626259999999998</v>
      </c>
      <c r="Y2628">
        <v>-0.23130880000000001</v>
      </c>
      <c r="Z2628">
        <v>4.5400570000000001E-2</v>
      </c>
      <c r="AA2628">
        <v>0.97182049999999998</v>
      </c>
      <c r="AB2628">
        <v>29</v>
      </c>
      <c r="AC2628">
        <v>-8.0254999999999601</v>
      </c>
      <c r="AD2628">
        <v>-1.119645487106</v>
      </c>
      <c r="AE2628">
        <v>-12.225300000000001</v>
      </c>
      <c r="AF2628">
        <v>-3.3796207112516301</v>
      </c>
      <c r="AG2628">
        <v>-1.119645487106</v>
      </c>
      <c r="AH2628">
        <v>14.140701383836999</v>
      </c>
      <c r="AI2628">
        <v>94.403657940243207</v>
      </c>
      <c r="AJ2628">
        <v>103.441519195355</v>
      </c>
      <c r="AK2628">
        <v>14.582005273472101</v>
      </c>
      <c r="AL2628">
        <v>81.056668829455802</v>
      </c>
      <c r="AM2628">
        <v>98.781564447924794</v>
      </c>
      <c r="AN2628">
        <v>0.99999994874212295</v>
      </c>
    </row>
    <row r="2629" spans="1:40" x14ac:dyDescent="0.25">
      <c r="A2629" t="str">
        <f>"20190312172942280"</f>
        <v>20190312172942280</v>
      </c>
      <c r="B2629" t="str">
        <f>"1552382982270167"</f>
        <v>1552382982270167</v>
      </c>
      <c r="C2629" t="s">
        <v>40</v>
      </c>
      <c r="D2629">
        <v>3.2027899999999998</v>
      </c>
      <c r="E2629">
        <v>0.46906369999999997</v>
      </c>
      <c r="F2629" t="s">
        <v>41</v>
      </c>
      <c r="G2629">
        <v>-492.53309999999999</v>
      </c>
      <c r="H2629" s="1">
        <v>-3.4575770000000002E-6</v>
      </c>
      <c r="I2629">
        <v>266.07769999999999</v>
      </c>
      <c r="J2629">
        <v>-484.59800000000001</v>
      </c>
      <c r="K2629">
        <v>1.119631</v>
      </c>
      <c r="L2629">
        <v>278.27249999999998</v>
      </c>
      <c r="M2629">
        <v>-0.72344149999999996</v>
      </c>
      <c r="N2629">
        <v>0</v>
      </c>
      <c r="O2629">
        <v>-0.69022609999999995</v>
      </c>
      <c r="P2629">
        <v>-0.60648519999999995</v>
      </c>
      <c r="Q2629">
        <v>0.14419889999999999</v>
      </c>
      <c r="R2629">
        <v>-0.78190959999999998</v>
      </c>
      <c r="S2629">
        <v>-1.6838679999999999</v>
      </c>
      <c r="T2629">
        <v>-0.23440859999999999</v>
      </c>
      <c r="U2629">
        <v>-2.5761409999999998</v>
      </c>
      <c r="V2629">
        <v>-0.15072839999999901</v>
      </c>
      <c r="W2629">
        <v>0.15524549999999901</v>
      </c>
      <c r="X2629">
        <v>0.97630919999999999</v>
      </c>
      <c r="Y2629">
        <v>-0.228742</v>
      </c>
      <c r="Z2629">
        <v>4.6088329999999997E-2</v>
      </c>
      <c r="AA2629">
        <v>0.97239549999999997</v>
      </c>
      <c r="AB2629">
        <v>29</v>
      </c>
      <c r="AC2629">
        <v>-7.9350999999999701</v>
      </c>
      <c r="AD2629">
        <v>-1.1196344575769901</v>
      </c>
      <c r="AE2629">
        <v>-12.194799999999899</v>
      </c>
      <c r="AF2629">
        <v>-3.32588368489185</v>
      </c>
      <c r="AG2629">
        <v>-1.1196344575769901</v>
      </c>
      <c r="AH2629">
        <v>14.0759508032952</v>
      </c>
      <c r="AI2629">
        <v>94.426486428815295</v>
      </c>
      <c r="AJ2629">
        <v>103.294101294833</v>
      </c>
      <c r="AK2629">
        <v>14.506807871506799</v>
      </c>
      <c r="AL2629">
        <v>81.068964693362304</v>
      </c>
      <c r="AM2629">
        <v>98.776371413503796</v>
      </c>
      <c r="AN2629">
        <v>0.99999993492072203</v>
      </c>
    </row>
    <row r="2630" spans="1:40" x14ac:dyDescent="0.25">
      <c r="A2630" t="str">
        <f>"20190312172942292"</f>
        <v>20190312172942292</v>
      </c>
      <c r="B2630" t="str">
        <f>"1552382982279927"</f>
        <v>1552382982279927</v>
      </c>
      <c r="C2630" t="s">
        <v>40</v>
      </c>
      <c r="D2630">
        <v>3.165235</v>
      </c>
      <c r="E2630">
        <v>0.46955360000000002</v>
      </c>
      <c r="F2630" t="s">
        <v>41</v>
      </c>
      <c r="G2630">
        <v>-492.43549999999999</v>
      </c>
      <c r="H2630" s="1">
        <v>-3.4715109999999998E-6</v>
      </c>
      <c r="I2630">
        <v>266.17070000000001</v>
      </c>
      <c r="J2630">
        <v>-484.69420000000002</v>
      </c>
      <c r="K2630">
        <v>1.119621</v>
      </c>
      <c r="L2630">
        <v>278.17250000000001</v>
      </c>
      <c r="M2630">
        <v>-0.71931579999999995</v>
      </c>
      <c r="N2630">
        <v>0</v>
      </c>
      <c r="O2630">
        <v>-0.69452460000000005</v>
      </c>
      <c r="P2630">
        <v>-0.60200140000000002</v>
      </c>
      <c r="Q2630">
        <v>0.1441568</v>
      </c>
      <c r="R2630">
        <v>-0.78537460000000003</v>
      </c>
      <c r="S2630">
        <v>-1.672974</v>
      </c>
      <c r="T2630">
        <v>-0.2389926</v>
      </c>
      <c r="U2630">
        <v>-2.5831909999999998</v>
      </c>
      <c r="V2630">
        <v>-0.1504974</v>
      </c>
      <c r="W2630">
        <v>0.15521119999999999</v>
      </c>
      <c r="X2630">
        <v>0.97635039999999995</v>
      </c>
      <c r="Y2630">
        <v>-0.22708220000000001</v>
      </c>
      <c r="Z2630">
        <v>4.7403889999999997E-2</v>
      </c>
      <c r="AA2630">
        <v>0.97272119999999995</v>
      </c>
      <c r="AB2630">
        <v>29</v>
      </c>
      <c r="AC2630">
        <v>-7.7412999999999599</v>
      </c>
      <c r="AD2630">
        <v>-1.119624471511</v>
      </c>
      <c r="AE2630">
        <v>-12.001799999999999</v>
      </c>
      <c r="AF2630">
        <v>-3.23702592404765</v>
      </c>
      <c r="AG2630">
        <v>-1.119624471511</v>
      </c>
      <c r="AH2630">
        <v>13.820578804872399</v>
      </c>
      <c r="AI2630">
        <v>94.509968853029903</v>
      </c>
      <c r="AJ2630">
        <v>103.182073939454</v>
      </c>
      <c r="AK2630">
        <v>14.2386900483103</v>
      </c>
      <c r="AL2630">
        <v>81.070955032618798</v>
      </c>
      <c r="AM2630">
        <v>98.762766002267497</v>
      </c>
      <c r="AN2630">
        <v>1.00000004379617</v>
      </c>
    </row>
    <row r="2631" spans="1:40" x14ac:dyDescent="0.25">
      <c r="A2631" t="str">
        <f>"20190312172942304"</f>
        <v>20190312172942304</v>
      </c>
      <c r="B2631" t="str">
        <f>"1552382982300423"</f>
        <v>1552382982300423</v>
      </c>
      <c r="C2631" t="s">
        <v>40</v>
      </c>
      <c r="D2631">
        <v>3.2204459999999999</v>
      </c>
      <c r="E2631">
        <v>0.47093040000000003</v>
      </c>
      <c r="F2631" t="s">
        <v>41</v>
      </c>
      <c r="G2631">
        <v>-492.44470000000001</v>
      </c>
      <c r="H2631" s="1">
        <v>-3.437259E-6</v>
      </c>
      <c r="I2631">
        <v>266.08519999999999</v>
      </c>
      <c r="J2631">
        <v>-484.79770000000002</v>
      </c>
      <c r="K2631">
        <v>1.119615</v>
      </c>
      <c r="L2631">
        <v>278.0643</v>
      </c>
      <c r="M2631">
        <v>-0.71483459999999999</v>
      </c>
      <c r="N2631">
        <v>0</v>
      </c>
      <c r="O2631">
        <v>-0.69913610000000004</v>
      </c>
      <c r="P2631">
        <v>-0.59717529999999996</v>
      </c>
      <c r="Q2631">
        <v>0.14409060000000001</v>
      </c>
      <c r="R2631">
        <v>-0.78906259999999995</v>
      </c>
      <c r="S2631">
        <v>-1.6611020000000001</v>
      </c>
      <c r="T2631">
        <v>-0.2399608</v>
      </c>
      <c r="U2631">
        <v>-2.590576</v>
      </c>
      <c r="V2631">
        <v>-0.1502069</v>
      </c>
      <c r="W2631">
        <v>0.1551546</v>
      </c>
      <c r="X2631">
        <v>0.9764041</v>
      </c>
      <c r="Y2631">
        <v>-0.22525510000000001</v>
      </c>
      <c r="Z2631">
        <v>4.8049769999999999E-2</v>
      </c>
      <c r="AA2631">
        <v>0.97311429999999999</v>
      </c>
      <c r="AB2631">
        <v>29</v>
      </c>
      <c r="AC2631">
        <v>-7.6469999999999896</v>
      </c>
      <c r="AD2631">
        <v>-1.1196184372589999</v>
      </c>
      <c r="AE2631">
        <v>-11.979100000000001</v>
      </c>
      <c r="AF2631">
        <v>-3.1972918875535901</v>
      </c>
      <c r="AG2631">
        <v>-1.1196184372589999</v>
      </c>
      <c r="AH2631">
        <v>13.7575007888553</v>
      </c>
      <c r="AI2631">
        <v>94.532348337998698</v>
      </c>
      <c r="AJ2631">
        <v>103.083489371852</v>
      </c>
      <c r="AK2631">
        <v>14.168452590689601</v>
      </c>
      <c r="AL2631">
        <v>81.0742374784231</v>
      </c>
      <c r="AM2631">
        <v>98.745639734940795</v>
      </c>
      <c r="AN2631">
        <v>1.0000000146027801</v>
      </c>
    </row>
    <row r="2632" spans="1:40" x14ac:dyDescent="0.25">
      <c r="A2632" t="str">
        <f>"20190312172942315"</f>
        <v>20190312172942315</v>
      </c>
      <c r="B2632" t="str">
        <f>"1552382982310183"</f>
        <v>1552382982310183</v>
      </c>
      <c r="C2632" t="s">
        <v>40</v>
      </c>
      <c r="D2632">
        <v>3.2110409999999998</v>
      </c>
      <c r="E2632">
        <v>0.4715473</v>
      </c>
      <c r="F2632" t="s">
        <v>41</v>
      </c>
      <c r="G2632">
        <v>-492.35809999999998</v>
      </c>
      <c r="H2632" s="1">
        <v>-3.4672099999999999E-6</v>
      </c>
      <c r="I2632">
        <v>266.20870000000002</v>
      </c>
      <c r="J2632">
        <v>-484.90289999999999</v>
      </c>
      <c r="K2632">
        <v>1.119604</v>
      </c>
      <c r="L2632">
        <v>277.95209999999997</v>
      </c>
      <c r="M2632">
        <v>-0.71020190000000005</v>
      </c>
      <c r="N2632">
        <v>0</v>
      </c>
      <c r="O2632">
        <v>-0.70384190000000002</v>
      </c>
      <c r="P2632">
        <v>-0.5923136</v>
      </c>
      <c r="Q2632">
        <v>0.14411460000000001</v>
      </c>
      <c r="R2632">
        <v>-0.79271440000000004</v>
      </c>
      <c r="S2632">
        <v>-1.6545719999999999</v>
      </c>
      <c r="T2632">
        <v>-0.24502779999999999</v>
      </c>
      <c r="U2632">
        <v>-2.5945740000000002</v>
      </c>
      <c r="V2632">
        <v>-0.149753</v>
      </c>
      <c r="W2632">
        <v>0.15519179999999999</v>
      </c>
      <c r="X2632">
        <v>0.97646790000000006</v>
      </c>
      <c r="Y2632">
        <v>-0.2212903</v>
      </c>
      <c r="Z2632">
        <v>4.9593449999999997E-2</v>
      </c>
      <c r="AA2632">
        <v>0.97394619999999998</v>
      </c>
      <c r="AB2632">
        <v>29</v>
      </c>
      <c r="AC2632">
        <v>-7.4551999999999898</v>
      </c>
      <c r="AD2632">
        <v>-1.11960746721</v>
      </c>
      <c r="AE2632">
        <v>-11.7433999999999</v>
      </c>
      <c r="AF2632">
        <v>-3.07333210959797</v>
      </c>
      <c r="AG2632">
        <v>-1.11960746721</v>
      </c>
      <c r="AH2632">
        <v>13.4743902596956</v>
      </c>
      <c r="AI2632">
        <v>94.631473449226306</v>
      </c>
      <c r="AJ2632">
        <v>102.848616554655</v>
      </c>
      <c r="AK2632">
        <v>13.8657161375494</v>
      </c>
      <c r="AL2632">
        <v>81.072079880258997</v>
      </c>
      <c r="AM2632">
        <v>98.719057689725403</v>
      </c>
      <c r="AN2632">
        <v>1.00000000776332</v>
      </c>
    </row>
    <row r="2633" spans="1:40" x14ac:dyDescent="0.25">
      <c r="A2633" t="str">
        <f>"20190312172942330"</f>
        <v>20190312172942330</v>
      </c>
      <c r="B2633" t="str">
        <f>"1552382982319943"</f>
        <v>1552382982319943</v>
      </c>
      <c r="C2633" t="s">
        <v>40</v>
      </c>
      <c r="D2633">
        <v>3.1871010000000002</v>
      </c>
      <c r="E2633">
        <v>0.4721226</v>
      </c>
      <c r="F2633" t="s">
        <v>41</v>
      </c>
      <c r="G2633">
        <v>-492.43360000000001</v>
      </c>
      <c r="H2633" s="1">
        <v>-3.4081629999999999E-6</v>
      </c>
      <c r="I2633">
        <v>266.02429999999998</v>
      </c>
      <c r="J2633">
        <v>-485.02839999999998</v>
      </c>
      <c r="K2633">
        <v>1.1195900000000001</v>
      </c>
      <c r="L2633">
        <v>277.81670000000003</v>
      </c>
      <c r="M2633">
        <v>-0.704596</v>
      </c>
      <c r="N2633">
        <v>0</v>
      </c>
      <c r="O2633">
        <v>-0.70945349999999996</v>
      </c>
      <c r="P2633">
        <v>-0.58651769999999903</v>
      </c>
      <c r="Q2633">
        <v>0.1436431</v>
      </c>
      <c r="R2633">
        <v>-0.79709730000000001</v>
      </c>
      <c r="S2633">
        <v>-1.64251699999999</v>
      </c>
      <c r="T2633">
        <v>-0.24419589999999999</v>
      </c>
      <c r="U2633">
        <v>-2.6015630000000001</v>
      </c>
      <c r="V2633">
        <v>-0.14917049999999901</v>
      </c>
      <c r="W2633">
        <v>0.15473819999999999</v>
      </c>
      <c r="X2633">
        <v>0.97662899999999997</v>
      </c>
      <c r="Y2633">
        <v>-0.217969</v>
      </c>
      <c r="Z2633">
        <v>5.0024449999999998E-2</v>
      </c>
      <c r="AA2633">
        <v>0.97467280000000001</v>
      </c>
      <c r="AB2633">
        <v>29</v>
      </c>
      <c r="AC2633">
        <v>-7.40520000000003</v>
      </c>
      <c r="AD2633">
        <v>-1.1195934081629999</v>
      </c>
      <c r="AE2633">
        <v>-11.792400000000001</v>
      </c>
      <c r="AF2633">
        <v>-3.03594281686222</v>
      </c>
      <c r="AG2633">
        <v>-1.1195934081629999</v>
      </c>
      <c r="AH2633">
        <v>13.498068737014099</v>
      </c>
      <c r="AI2633">
        <v>94.626471364042402</v>
      </c>
      <c r="AJ2633">
        <v>102.675847680488</v>
      </c>
      <c r="AK2633">
        <v>13.8805006327588</v>
      </c>
      <c r="AL2633">
        <v>81.098386753458101</v>
      </c>
      <c r="AM2633">
        <v>98.6842501258445</v>
      </c>
      <c r="AN2633">
        <v>0.99999997612524405</v>
      </c>
    </row>
    <row r="2634" spans="1:40" x14ac:dyDescent="0.25">
      <c r="A2634" t="str">
        <f>"20190312172942341"</f>
        <v>20190312172942341</v>
      </c>
      <c r="B2634" t="str">
        <f>"1552382982330230"</f>
        <v>1552382982330230</v>
      </c>
      <c r="C2634" t="s">
        <v>40</v>
      </c>
      <c r="D2634">
        <v>3.1990959999999999</v>
      </c>
      <c r="E2634">
        <v>0.4727306</v>
      </c>
      <c r="F2634" t="s">
        <v>41</v>
      </c>
      <c r="G2634">
        <v>-492.39780000000002</v>
      </c>
      <c r="H2634" s="1">
        <v>-3.38665E-6</v>
      </c>
      <c r="I2634">
        <v>265.99630000000002</v>
      </c>
      <c r="J2634">
        <v>-485.1259</v>
      </c>
      <c r="K2634">
        <v>1.1195809999999999</v>
      </c>
      <c r="L2634">
        <v>277.71039999999999</v>
      </c>
      <c r="M2634">
        <v>-0.70018469999999999</v>
      </c>
      <c r="N2634">
        <v>0</v>
      </c>
      <c r="O2634">
        <v>-0.71380759999999999</v>
      </c>
      <c r="P2634">
        <v>-0.58182149999999999</v>
      </c>
      <c r="Q2634">
        <v>0.14367639999999901</v>
      </c>
      <c r="R2634">
        <v>-0.80052519999999905</v>
      </c>
      <c r="S2634">
        <v>-1.6275630000000001</v>
      </c>
      <c r="T2634">
        <v>-0.24726809999999999</v>
      </c>
      <c r="U2634">
        <v>-2.6105960000000001</v>
      </c>
      <c r="V2634">
        <v>-0.1488495</v>
      </c>
      <c r="W2634">
        <v>0.15478149999999999</v>
      </c>
      <c r="X2634">
        <v>0.97667119999999996</v>
      </c>
      <c r="Y2634">
        <v>-0.21748439999999999</v>
      </c>
      <c r="Z2634">
        <v>5.1057279999999997E-2</v>
      </c>
      <c r="AA2634">
        <v>0.97472749999999997</v>
      </c>
      <c r="AB2634">
        <v>29</v>
      </c>
      <c r="AC2634">
        <v>-7.2719000000000102</v>
      </c>
      <c r="AD2634">
        <v>-1.1195843866499999</v>
      </c>
      <c r="AE2634">
        <v>-11.714099999999901</v>
      </c>
      <c r="AF2634">
        <v>-2.9918998217941799</v>
      </c>
      <c r="AG2634">
        <v>-1.1195843866499999</v>
      </c>
      <c r="AH2634">
        <v>13.3666317492545</v>
      </c>
      <c r="AI2634">
        <v>94.672803071843902</v>
      </c>
      <c r="AJ2634">
        <v>102.616752010033</v>
      </c>
      <c r="AK2634">
        <v>13.7430629068873</v>
      </c>
      <c r="AL2634">
        <v>81.095876341737707</v>
      </c>
      <c r="AM2634">
        <v>98.665477732153803</v>
      </c>
      <c r="AN2634">
        <v>1.0000000596509599</v>
      </c>
    </row>
    <row r="2635" spans="1:40" x14ac:dyDescent="0.25">
      <c r="A2635" t="str">
        <f>"20190312172942351"</f>
        <v>20190312172942351</v>
      </c>
      <c r="B2635" t="str">
        <f>"1552382982339972"</f>
        <v>1552382982339972</v>
      </c>
      <c r="C2635" t="s">
        <v>40</v>
      </c>
      <c r="D2635">
        <v>3.2272720000000001</v>
      </c>
      <c r="E2635">
        <v>0.47314689999999998</v>
      </c>
      <c r="F2635" t="s">
        <v>41</v>
      </c>
      <c r="G2635">
        <v>-492.40260000000001</v>
      </c>
      <c r="H2635" s="1">
        <v>-3.3575980000000002E-6</v>
      </c>
      <c r="I2635">
        <v>265.92559999999997</v>
      </c>
      <c r="J2635">
        <v>-485.2122</v>
      </c>
      <c r="K2635">
        <v>1.119575</v>
      </c>
      <c r="L2635">
        <v>277.6146</v>
      </c>
      <c r="M2635">
        <v>-0.69622019999999996</v>
      </c>
      <c r="N2635">
        <v>0</v>
      </c>
      <c r="O2635">
        <v>-0.71767510000000001</v>
      </c>
      <c r="P2635">
        <v>-0.57759150000000004</v>
      </c>
      <c r="Q2635">
        <v>0.1434619</v>
      </c>
      <c r="R2635">
        <v>-0.80362109999999998</v>
      </c>
      <c r="S2635">
        <v>-1.6162110000000001</v>
      </c>
      <c r="T2635">
        <v>-0.24866830000000001</v>
      </c>
      <c r="U2635">
        <v>-2.6174930000000001</v>
      </c>
      <c r="V2635">
        <v>-0.1486085</v>
      </c>
      <c r="W2635">
        <v>0.15457470000000001</v>
      </c>
      <c r="X2635">
        <v>0.97674059999999996</v>
      </c>
      <c r="Y2635">
        <v>-0.21630559999999999</v>
      </c>
      <c r="Z2635">
        <v>5.1727919999999997E-2</v>
      </c>
      <c r="AA2635">
        <v>0.9749544</v>
      </c>
      <c r="AB2635">
        <v>29</v>
      </c>
      <c r="AC2635">
        <v>-7.1904000000000101</v>
      </c>
      <c r="AD2635">
        <v>-1.1195783575980001</v>
      </c>
      <c r="AE2635">
        <v>-11.689</v>
      </c>
      <c r="AF2635">
        <v>-2.9583848610630699</v>
      </c>
      <c r="AG2635">
        <v>-1.1195783575980001</v>
      </c>
      <c r="AH2635">
        <v>13.3079084586061</v>
      </c>
      <c r="AI2635">
        <v>94.694825511423701</v>
      </c>
      <c r="AJ2635">
        <v>102.533205289005</v>
      </c>
      <c r="AK2635">
        <v>13.678666756216</v>
      </c>
      <c r="AL2635">
        <v>81.107869018330604</v>
      </c>
      <c r="AM2635">
        <v>98.651054629103598</v>
      </c>
      <c r="AN2635">
        <v>1.00000001192035</v>
      </c>
    </row>
    <row r="2636" spans="1:40" x14ac:dyDescent="0.25">
      <c r="A2636" t="str">
        <f>"20190312172942362"</f>
        <v>20190312172942362</v>
      </c>
      <c r="B2636" t="str">
        <f>"1552382982360467"</f>
        <v>1552382982360467</v>
      </c>
      <c r="C2636" t="s">
        <v>40</v>
      </c>
      <c r="D2636">
        <v>3.1963889999999999</v>
      </c>
      <c r="E2636">
        <v>0.47343220000000003</v>
      </c>
      <c r="F2636" t="s">
        <v>41</v>
      </c>
      <c r="G2636">
        <v>-492.4289</v>
      </c>
      <c r="H2636" s="1">
        <v>-3.3165049999999999E-6</v>
      </c>
      <c r="I2636">
        <v>265.81349999999998</v>
      </c>
      <c r="J2636">
        <v>-485.30720000000002</v>
      </c>
      <c r="K2636">
        <v>1.1195660000000001</v>
      </c>
      <c r="L2636">
        <v>277.5086</v>
      </c>
      <c r="M2636">
        <v>-0.69181669999999995</v>
      </c>
      <c r="N2636">
        <v>0</v>
      </c>
      <c r="O2636">
        <v>-0.72192100000000003</v>
      </c>
      <c r="P2636">
        <v>-0.57271380000000005</v>
      </c>
      <c r="Q2636">
        <v>0.14331089999999999</v>
      </c>
      <c r="R2636">
        <v>-0.80713169999999901</v>
      </c>
      <c r="S2636">
        <v>-1.6047359999999999</v>
      </c>
      <c r="T2636">
        <v>-0.24895229999999999</v>
      </c>
      <c r="U2636">
        <v>-2.6241150000000002</v>
      </c>
      <c r="V2636">
        <v>-0.14856029999999901</v>
      </c>
      <c r="W2636">
        <v>0.154426799999999</v>
      </c>
      <c r="X2636">
        <v>0.97677130000000001</v>
      </c>
      <c r="Y2636">
        <v>-0.2145425</v>
      </c>
      <c r="Z2636">
        <v>5.2225029999999999E-2</v>
      </c>
      <c r="AA2636">
        <v>0.9753174</v>
      </c>
      <c r="AB2636">
        <v>29</v>
      </c>
      <c r="AC2636">
        <v>-7.1216999999999704</v>
      </c>
      <c r="AD2636">
        <v>-1.119569316505</v>
      </c>
      <c r="AE2636">
        <v>-11.6951</v>
      </c>
      <c r="AF2636">
        <v>-2.9302951787817699</v>
      </c>
      <c r="AG2636">
        <v>-1.119569316505</v>
      </c>
      <c r="AH2636">
        <v>13.282521987738701</v>
      </c>
      <c r="AI2636">
        <v>94.705391345133506</v>
      </c>
      <c r="AJ2636">
        <v>102.44090749828</v>
      </c>
      <c r="AK2636">
        <v>13.6479103031935</v>
      </c>
      <c r="AL2636">
        <v>81.116445818248494</v>
      </c>
      <c r="AM2636">
        <v>98.648023451876497</v>
      </c>
      <c r="AN2636">
        <v>0.99999998589900896</v>
      </c>
    </row>
    <row r="2637" spans="1:40" x14ac:dyDescent="0.25">
      <c r="A2637" t="str">
        <f>"20190312172942374"</f>
        <v>20190312172942374</v>
      </c>
      <c r="B2637" t="str">
        <f>"1552382982370230"</f>
        <v>1552382982370230</v>
      </c>
      <c r="C2637" t="s">
        <v>40</v>
      </c>
      <c r="D2637">
        <v>3.1208809999999998</v>
      </c>
      <c r="E2637">
        <v>0.45629690000000001</v>
      </c>
      <c r="F2637" t="s">
        <v>41</v>
      </c>
      <c r="G2637">
        <v>-492.43939999999998</v>
      </c>
      <c r="H2637" s="1">
        <v>-3.2730580000000002E-6</v>
      </c>
      <c r="I2637">
        <v>265.70569999999998</v>
      </c>
      <c r="J2637">
        <v>-485.40010000000001</v>
      </c>
      <c r="K2637">
        <v>1.1195600000000001</v>
      </c>
      <c r="L2637">
        <v>277.40269999999998</v>
      </c>
      <c r="M2637">
        <v>-0.68743399999999999</v>
      </c>
      <c r="N2637">
        <v>0</v>
      </c>
      <c r="O2637">
        <v>-0.7260953</v>
      </c>
      <c r="P2637">
        <v>-0.568057699999999</v>
      </c>
      <c r="Q2637">
        <v>0.1431838</v>
      </c>
      <c r="R2637">
        <v>-0.81043779999999999</v>
      </c>
      <c r="S2637">
        <v>-1.590759</v>
      </c>
      <c r="T2637">
        <v>-0.2497094</v>
      </c>
      <c r="U2637">
        <v>-2.6325069999999999</v>
      </c>
      <c r="V2637">
        <v>-0.14827889999999999</v>
      </c>
      <c r="W2637">
        <v>0.154309</v>
      </c>
      <c r="X2637">
        <v>0.9768327</v>
      </c>
      <c r="Y2637">
        <v>-0.213814</v>
      </c>
      <c r="Z2637">
        <v>5.2781620000000001E-2</v>
      </c>
      <c r="AA2637">
        <v>0.97544739999999996</v>
      </c>
      <c r="AB2637">
        <v>29</v>
      </c>
      <c r="AC2637">
        <v>-7.0392999999999599</v>
      </c>
      <c r="AD2637">
        <v>-1.1195632730580001</v>
      </c>
      <c r="AE2637">
        <v>-11.696999999999999</v>
      </c>
      <c r="AF2637">
        <v>-2.9104613408706599</v>
      </c>
      <c r="AG2637">
        <v>-1.1195632730580001</v>
      </c>
      <c r="AH2637">
        <v>13.244583376261</v>
      </c>
      <c r="AI2637">
        <v>94.719637555683207</v>
      </c>
      <c r="AJ2637">
        <v>102.393607172006</v>
      </c>
      <c r="AK2637">
        <v>13.606733478311799</v>
      </c>
      <c r="AL2637">
        <v>81.123277376436704</v>
      </c>
      <c r="AM2637">
        <v>98.631355109546405</v>
      </c>
      <c r="AN2637">
        <v>1.0000000117277399</v>
      </c>
    </row>
    <row r="2638" spans="1:40" x14ac:dyDescent="0.25">
      <c r="A2638" t="str">
        <f>"20190312172942386"</f>
        <v>20190312172942386</v>
      </c>
      <c r="B2638" t="str">
        <f>"1552382982379987"</f>
        <v>1552382982379987</v>
      </c>
      <c r="C2638" t="s">
        <v>40</v>
      </c>
      <c r="D2638">
        <v>3.0265469999999999</v>
      </c>
      <c r="E2638">
        <v>0.44992120000000002</v>
      </c>
      <c r="F2638" t="s">
        <v>41</v>
      </c>
      <c r="G2638">
        <v>-491.6173</v>
      </c>
      <c r="H2638" s="1">
        <v>-3.1154139999999998E-6</v>
      </c>
      <c r="I2638">
        <v>265.84809999999999</v>
      </c>
      <c r="J2638">
        <v>-485.5016</v>
      </c>
      <c r="K2638">
        <v>1.1195520000000001</v>
      </c>
      <c r="L2638">
        <v>277.28640000000001</v>
      </c>
      <c r="M2638">
        <v>-0.682598699999999</v>
      </c>
      <c r="N2638">
        <v>0</v>
      </c>
      <c r="O2638">
        <v>-0.73064309999999999</v>
      </c>
      <c r="P2638">
        <v>-0.56274690000000005</v>
      </c>
      <c r="Q2638">
        <v>0.14308899999999999</v>
      </c>
      <c r="R2638">
        <v>-0.81415099999999996</v>
      </c>
      <c r="S2638">
        <v>-1.4645079999999999</v>
      </c>
      <c r="T2638">
        <v>-0.26372129999999999</v>
      </c>
      <c r="U2638">
        <v>-2.7217709999999999</v>
      </c>
      <c r="V2638">
        <v>-0.1481855</v>
      </c>
      <c r="W2638">
        <v>0.1542181</v>
      </c>
      <c r="X2638">
        <v>0.97686119999999999</v>
      </c>
      <c r="Y2638">
        <v>-0.25584430000000002</v>
      </c>
      <c r="Z2638">
        <v>5.4615370000000003E-2</v>
      </c>
      <c r="AA2638">
        <v>0.96517399999999998</v>
      </c>
      <c r="AB2638">
        <v>29</v>
      </c>
      <c r="AC2638">
        <v>-6.1157000000000004</v>
      </c>
      <c r="AD2638">
        <v>-1.119555115414</v>
      </c>
      <c r="AE2638">
        <v>-11.4383</v>
      </c>
      <c r="AF2638">
        <v>-3.3150436543516499</v>
      </c>
      <c r="AG2638">
        <v>-1.119555115414</v>
      </c>
      <c r="AH2638">
        <v>12.4405751645315</v>
      </c>
      <c r="AI2638">
        <v>94.969818420245005</v>
      </c>
      <c r="AJ2638">
        <v>104.920912026324</v>
      </c>
      <c r="AK2638">
        <v>12.923266944200501</v>
      </c>
      <c r="AL2638">
        <v>81.128548417212798</v>
      </c>
      <c r="AM2638">
        <v>98.625752198938002</v>
      </c>
      <c r="AN2638">
        <v>0.99999998442164895</v>
      </c>
    </row>
    <row r="2639" spans="1:40" x14ac:dyDescent="0.25">
      <c r="A2639" t="str">
        <f>"20190312172942396"</f>
        <v>20190312172942396</v>
      </c>
      <c r="B2639" t="str">
        <f>"1552382982389748"</f>
        <v>1552382982389748</v>
      </c>
      <c r="C2639" t="s">
        <v>40</v>
      </c>
      <c r="D2639">
        <v>3.0465070000000001</v>
      </c>
      <c r="E2639">
        <v>0.44620029999999999</v>
      </c>
      <c r="F2639" t="s">
        <v>41</v>
      </c>
      <c r="G2639">
        <v>-491.30439999999999</v>
      </c>
      <c r="H2639" s="1">
        <v>-3.0479949999999999E-6</v>
      </c>
      <c r="I2639">
        <v>265.88510000000002</v>
      </c>
      <c r="J2639">
        <v>-485.58890000000002</v>
      </c>
      <c r="K2639">
        <v>1.119543</v>
      </c>
      <c r="L2639">
        <v>277.18459999999999</v>
      </c>
      <c r="M2639">
        <v>-0.67837689999999995</v>
      </c>
      <c r="N2639">
        <v>0</v>
      </c>
      <c r="O2639">
        <v>-0.73456440000000001</v>
      </c>
      <c r="P2639">
        <v>-0.55791749999999996</v>
      </c>
      <c r="Q2639">
        <v>0.14326159999999999</v>
      </c>
      <c r="R2639">
        <v>-0.81743759999999999</v>
      </c>
      <c r="S2639">
        <v>-1.4053040000000001</v>
      </c>
      <c r="T2639">
        <v>-0.27113080000000001</v>
      </c>
      <c r="U2639">
        <v>-2.761139</v>
      </c>
      <c r="V2639">
        <v>-0.14831939999999999</v>
      </c>
      <c r="W2639">
        <v>0.1543882</v>
      </c>
      <c r="X2639">
        <v>0.97681399999999996</v>
      </c>
      <c r="Y2639">
        <v>-0.27231689999999997</v>
      </c>
      <c r="Z2639">
        <v>5.5881640000000003E-2</v>
      </c>
      <c r="AA2639">
        <v>0.96058350000000003</v>
      </c>
      <c r="AB2639">
        <v>29</v>
      </c>
      <c r="AC2639">
        <v>-5.7154999999999596</v>
      </c>
      <c r="AD2639">
        <v>-1.1195460479949999</v>
      </c>
      <c r="AE2639">
        <v>-11.299499999999901</v>
      </c>
      <c r="AF2639">
        <v>-3.4404054222838498</v>
      </c>
      <c r="AG2639">
        <v>-1.1195460479949999</v>
      </c>
      <c r="AH2639">
        <v>12.084352408908901</v>
      </c>
      <c r="AI2639">
        <v>95.091809826894803</v>
      </c>
      <c r="AJ2639">
        <v>105.89161063125999</v>
      </c>
      <c r="AK2639">
        <v>12.614330975757801</v>
      </c>
      <c r="AL2639">
        <v>81.118684188983806</v>
      </c>
      <c r="AM2639">
        <v>98.633839896333598</v>
      </c>
      <c r="AN2639">
        <v>0.99999997565579901</v>
      </c>
    </row>
    <row r="2640" spans="1:40" x14ac:dyDescent="0.25">
      <c r="A2640" t="str">
        <f>"20190312172942409"</f>
        <v>20190312172942409</v>
      </c>
      <c r="B2640" t="str">
        <f>"1552382982400483"</f>
        <v>1552382982400483</v>
      </c>
      <c r="C2640" t="s">
        <v>40</v>
      </c>
      <c r="D2640">
        <v>3.1202909999999999</v>
      </c>
      <c r="E2640">
        <v>0.44425500000000001</v>
      </c>
      <c r="F2640" t="s">
        <v>41</v>
      </c>
      <c r="G2640">
        <v>-491.18680000000001</v>
      </c>
      <c r="H2640" s="1">
        <v>-2.961343E-6</v>
      </c>
      <c r="I2640">
        <v>265.75599999999997</v>
      </c>
      <c r="J2640">
        <v>-485.68459999999999</v>
      </c>
      <c r="K2640">
        <v>1.119537</v>
      </c>
      <c r="L2640">
        <v>277.072</v>
      </c>
      <c r="M2640">
        <v>-0.67369499999999904</v>
      </c>
      <c r="N2640">
        <v>0</v>
      </c>
      <c r="O2640">
        <v>-0.73886099999999999</v>
      </c>
      <c r="P2640">
        <v>-0.55284359999999999</v>
      </c>
      <c r="Q2640">
        <v>0.14339969999999999</v>
      </c>
      <c r="R2640">
        <v>-0.82085390000000003</v>
      </c>
      <c r="S2640">
        <v>-1.3647769999999999</v>
      </c>
      <c r="T2640">
        <v>-0.27295039999999998</v>
      </c>
      <c r="U2640">
        <v>-2.786346</v>
      </c>
      <c r="V2640">
        <v>-0.14814469999999999</v>
      </c>
      <c r="W2640">
        <v>0.15453229999999901</v>
      </c>
      <c r="X2640">
        <v>0.97681770000000001</v>
      </c>
      <c r="Y2640">
        <v>-0.28091749999999999</v>
      </c>
      <c r="Z2640">
        <v>5.6337610000000003E-2</v>
      </c>
      <c r="AA2640">
        <v>0.95807699999999996</v>
      </c>
      <c r="AB2640">
        <v>29</v>
      </c>
      <c r="AC2640">
        <v>-5.50220000000001</v>
      </c>
      <c r="AD2640">
        <v>-1.1195399613429999</v>
      </c>
      <c r="AE2640">
        <v>-11.316000000000001</v>
      </c>
      <c r="AF2640">
        <v>-3.5306124651856599</v>
      </c>
      <c r="AG2640">
        <v>-1.1195399613429999</v>
      </c>
      <c r="AH2640">
        <v>11.974287133861599</v>
      </c>
      <c r="AI2640">
        <v>95.124486351628804</v>
      </c>
      <c r="AJ2640">
        <v>106.42812574657</v>
      </c>
      <c r="AK2640">
        <v>12.534039511208301</v>
      </c>
      <c r="AL2640">
        <v>81.110327362440302</v>
      </c>
      <c r="AM2640">
        <v>98.623791220902405</v>
      </c>
      <c r="AN2640">
        <v>0.999999951457333</v>
      </c>
    </row>
    <row r="2641" spans="1:40" x14ac:dyDescent="0.25">
      <c r="A2641" t="str">
        <f>"20190312172942420"</f>
        <v>20190312172942420</v>
      </c>
      <c r="B2641" t="str">
        <f>"1552382982410243"</f>
        <v>1552382982410243</v>
      </c>
      <c r="C2641" t="s">
        <v>40</v>
      </c>
      <c r="D2641">
        <v>2.9360200000000001</v>
      </c>
      <c r="E2641">
        <v>0.4430924</v>
      </c>
      <c r="F2641" t="s">
        <v>41</v>
      </c>
      <c r="G2641">
        <v>-491.2337</v>
      </c>
      <c r="H2641" s="1">
        <v>-2.8264090000000002E-6</v>
      </c>
      <c r="I2641">
        <v>265.41239999999999</v>
      </c>
      <c r="J2641">
        <v>-485.78739999999999</v>
      </c>
      <c r="K2641">
        <v>1.119526</v>
      </c>
      <c r="L2641">
        <v>276.94959999999998</v>
      </c>
      <c r="M2641">
        <v>-0.66860259999999905</v>
      </c>
      <c r="N2641">
        <v>0</v>
      </c>
      <c r="O2641">
        <v>-0.74347209999999997</v>
      </c>
      <c r="P2641">
        <v>-0.54733069999999995</v>
      </c>
      <c r="Q2641">
        <v>0.14386969999999999</v>
      </c>
      <c r="R2641">
        <v>-0.82445809999999997</v>
      </c>
      <c r="S2641">
        <v>-1.334106</v>
      </c>
      <c r="T2641">
        <v>-0.269157599999999</v>
      </c>
      <c r="U2641">
        <v>-2.8031920000000001</v>
      </c>
      <c r="V2641">
        <v>-0.14793039999999999</v>
      </c>
      <c r="W2641">
        <v>0.1550086</v>
      </c>
      <c r="X2641">
        <v>0.97677480000000005</v>
      </c>
      <c r="Y2641">
        <v>-0.2850857</v>
      </c>
      <c r="Z2641">
        <v>5.5859550000000001E-2</v>
      </c>
      <c r="AA2641">
        <v>0.95687290000000003</v>
      </c>
      <c r="AB2641">
        <v>29</v>
      </c>
      <c r="AC2641">
        <v>-5.4462999999999999</v>
      </c>
      <c r="AD2641">
        <v>-1.119528826409</v>
      </c>
      <c r="AE2641">
        <v>-11.537199999999901</v>
      </c>
      <c r="AF2641">
        <v>-3.6370270231339301</v>
      </c>
      <c r="AG2641">
        <v>-1.119528826409</v>
      </c>
      <c r="AH2641">
        <v>12.1269604903879</v>
      </c>
      <c r="AI2641">
        <v>95.053299448506095</v>
      </c>
      <c r="AJ2641">
        <v>106.69464462663301</v>
      </c>
      <c r="AK2641">
        <v>12.7100149919501</v>
      </c>
      <c r="AL2641">
        <v>81.082705331198198</v>
      </c>
      <c r="AM2641">
        <v>98.6118761025634</v>
      </c>
      <c r="AN2641">
        <v>1.00000003961657</v>
      </c>
    </row>
    <row r="2642" spans="1:40" x14ac:dyDescent="0.25">
      <c r="A2642" t="str">
        <f>"20190312172942435"</f>
        <v>20190312172942435</v>
      </c>
      <c r="B2642" t="str">
        <f>"1552382982430739"</f>
        <v>1552382982430739</v>
      </c>
      <c r="C2642" t="s">
        <v>40</v>
      </c>
      <c r="D2642">
        <v>2.999034</v>
      </c>
      <c r="E2642">
        <v>0.44193700000000002</v>
      </c>
      <c r="F2642" t="s">
        <v>41</v>
      </c>
      <c r="G2642">
        <v>-491.25850000000003</v>
      </c>
      <c r="H2642" s="1">
        <v>-2.7265320000000001E-6</v>
      </c>
      <c r="I2642">
        <v>265.16419999999999</v>
      </c>
      <c r="J2642">
        <v>-485.89429999999999</v>
      </c>
      <c r="K2642">
        <v>1.119516</v>
      </c>
      <c r="L2642">
        <v>276.81979999999999</v>
      </c>
      <c r="M2642">
        <v>-0.66320709999999905</v>
      </c>
      <c r="N2642">
        <v>0</v>
      </c>
      <c r="O2642">
        <v>-0.74828899999999998</v>
      </c>
      <c r="P2642">
        <v>-0.54156700000000002</v>
      </c>
      <c r="Q2642">
        <v>0.14424100000000001</v>
      </c>
      <c r="R2642">
        <v>-0.82819089999999995</v>
      </c>
      <c r="S2642">
        <v>-1.307831</v>
      </c>
      <c r="T2642">
        <v>-0.26761580000000001</v>
      </c>
      <c r="U2642">
        <v>-2.8172299999999999</v>
      </c>
      <c r="V2642">
        <v>-0.14763879999999999</v>
      </c>
      <c r="W2642">
        <v>0.15538829999999901</v>
      </c>
      <c r="X2642">
        <v>0.97675849999999997</v>
      </c>
      <c r="Y2642">
        <v>-0.28731440000000003</v>
      </c>
      <c r="Z2642">
        <v>5.5927169999999998E-2</v>
      </c>
      <c r="AA2642">
        <v>0.95620210000000005</v>
      </c>
      <c r="AB2642">
        <v>29</v>
      </c>
      <c r="AC2642">
        <v>-5.3642000000000296</v>
      </c>
      <c r="AD2642">
        <v>-1.1195187265319999</v>
      </c>
      <c r="AE2642">
        <v>-11.6555999999999</v>
      </c>
      <c r="AF2642">
        <v>-3.6884331943859898</v>
      </c>
      <c r="AG2642">
        <v>-1.1195187265319999</v>
      </c>
      <c r="AH2642">
        <v>12.187895892402</v>
      </c>
      <c r="AI2642">
        <v>95.024364924364605</v>
      </c>
      <c r="AJ2642">
        <v>106.837433936862</v>
      </c>
      <c r="AK2642">
        <v>12.782905299365</v>
      </c>
      <c r="AL2642">
        <v>81.060682511296207</v>
      </c>
      <c r="AM2642">
        <v>98.595295471118504</v>
      </c>
      <c r="AN2642">
        <v>0.99999995318228796</v>
      </c>
    </row>
    <row r="2643" spans="1:40" x14ac:dyDescent="0.25">
      <c r="A2643" t="str">
        <f>"20190312172942448"</f>
        <v>20190312172942448</v>
      </c>
      <c r="B2643" t="str">
        <f>"1552382982440499"</f>
        <v>1552382982440499</v>
      </c>
      <c r="C2643" t="s">
        <v>40</v>
      </c>
      <c r="D2643">
        <v>2.9745080000000002</v>
      </c>
      <c r="E2643">
        <v>0.44156060000000003</v>
      </c>
      <c r="F2643" t="s">
        <v>41</v>
      </c>
      <c r="G2643">
        <v>-491.245</v>
      </c>
      <c r="H2643" s="1">
        <v>-2.6469929999999998E-6</v>
      </c>
      <c r="I2643">
        <v>264.9871</v>
      </c>
      <c r="J2643">
        <v>-485.99880000000002</v>
      </c>
      <c r="K2643">
        <v>1.1195040000000001</v>
      </c>
      <c r="L2643">
        <v>276.69159999999999</v>
      </c>
      <c r="M2643">
        <v>-0.65786489999999997</v>
      </c>
      <c r="N2643">
        <v>0</v>
      </c>
      <c r="O2643">
        <v>-0.7529901</v>
      </c>
      <c r="P2643">
        <v>-0.53552069999999996</v>
      </c>
      <c r="Q2643">
        <v>0.1443699</v>
      </c>
      <c r="R2643">
        <v>-0.83209089999999997</v>
      </c>
      <c r="S2643">
        <v>-1.2804869999999999</v>
      </c>
      <c r="T2643">
        <v>-0.26791009999999998</v>
      </c>
      <c r="U2643">
        <v>-2.8316650000000001</v>
      </c>
      <c r="V2643">
        <v>-0.14778529999999901</v>
      </c>
      <c r="W2643">
        <v>0.15551499999999999</v>
      </c>
      <c r="X2643">
        <v>0.97671620000000003</v>
      </c>
      <c r="Y2643">
        <v>-0.29000300000000001</v>
      </c>
      <c r="Z2643">
        <v>5.6346859999999999E-2</v>
      </c>
      <c r="AA2643">
        <v>0.95536549999999998</v>
      </c>
      <c r="AB2643">
        <v>29</v>
      </c>
      <c r="AC2643">
        <v>-5.2461999999999804</v>
      </c>
      <c r="AD2643">
        <v>-1.119506646993</v>
      </c>
      <c r="AE2643">
        <v>-11.7044999999999</v>
      </c>
      <c r="AF2643">
        <v>-3.7217031151475202</v>
      </c>
      <c r="AG2643">
        <v>-1.119506646993</v>
      </c>
      <c r="AH2643">
        <v>12.1732750280798</v>
      </c>
      <c r="AI2643">
        <v>95.026001887653607</v>
      </c>
      <c r="AJ2643">
        <v>106.999825437807</v>
      </c>
      <c r="AK2643">
        <v>12.7786147183187</v>
      </c>
      <c r="AL2643">
        <v>81.053333977435798</v>
      </c>
      <c r="AM2643">
        <v>98.604063929063003</v>
      </c>
      <c r="AN2643">
        <v>0.999999972731764</v>
      </c>
    </row>
    <row r="2644" spans="1:40" x14ac:dyDescent="0.25">
      <c r="A2644" t="str">
        <f>"20190312172942460"</f>
        <v>20190312172942460</v>
      </c>
      <c r="B2644" t="str">
        <f>"1552382982450259"</f>
        <v>1552382982450259</v>
      </c>
      <c r="C2644" t="s">
        <v>40</v>
      </c>
      <c r="D2644">
        <v>3.0385840000000002</v>
      </c>
      <c r="E2644">
        <v>0.44133040000000001</v>
      </c>
      <c r="F2644" t="s">
        <v>41</v>
      </c>
      <c r="G2644">
        <v>-491.25779999999997</v>
      </c>
      <c r="H2644" s="1">
        <v>-2.5721349999999998E-6</v>
      </c>
      <c r="I2644">
        <v>264.80470000000003</v>
      </c>
      <c r="J2644">
        <v>-486.09559999999999</v>
      </c>
      <c r="K2644">
        <v>1.119491</v>
      </c>
      <c r="L2644">
        <v>276.57089999999999</v>
      </c>
      <c r="M2644">
        <v>-0.65283619999999898</v>
      </c>
      <c r="N2644">
        <v>0</v>
      </c>
      <c r="O2644">
        <v>-0.75735410000000003</v>
      </c>
      <c r="P2644">
        <v>-0.52998259999999997</v>
      </c>
      <c r="Q2644">
        <v>0.1443468</v>
      </c>
      <c r="R2644">
        <v>-0.83563299999999996</v>
      </c>
      <c r="S2644">
        <v>-1.257568</v>
      </c>
      <c r="T2644">
        <v>-0.26770500000000003</v>
      </c>
      <c r="U2644">
        <v>-2.8424680000000002</v>
      </c>
      <c r="V2644">
        <v>-0.14776619999999999</v>
      </c>
      <c r="W2644">
        <v>0.15549379999999999</v>
      </c>
      <c r="X2644">
        <v>0.97672250000000005</v>
      </c>
      <c r="Y2644">
        <v>-0.29142089999999998</v>
      </c>
      <c r="Z2644">
        <v>5.6690490000000003E-2</v>
      </c>
      <c r="AA2644">
        <v>0.95491360000000003</v>
      </c>
      <c r="AB2644">
        <v>29</v>
      </c>
      <c r="AC2644">
        <v>-5.1621999999999799</v>
      </c>
      <c r="AD2644">
        <v>-1.1194935721349999</v>
      </c>
      <c r="AE2644">
        <v>-11.7661999999999</v>
      </c>
      <c r="AF2644">
        <v>-3.7437820123027601</v>
      </c>
      <c r="AG2644">
        <v>-1.1194935721349999</v>
      </c>
      <c r="AH2644">
        <v>12.1900611765875</v>
      </c>
      <c r="AI2644">
        <v>95.017113745056307</v>
      </c>
      <c r="AJ2644">
        <v>107.072642266906</v>
      </c>
      <c r="AK2644">
        <v>12.801045312889</v>
      </c>
      <c r="AL2644">
        <v>81.054563913922706</v>
      </c>
      <c r="AM2644">
        <v>98.602913905752104</v>
      </c>
      <c r="AN2644">
        <v>1.0000000068535599</v>
      </c>
    </row>
    <row r="2645" spans="1:40" x14ac:dyDescent="0.25">
      <c r="A2645" t="str">
        <f>"20190312172942475"</f>
        <v>20190312172942475</v>
      </c>
      <c r="B2645" t="str">
        <f>"1552382982469779"</f>
        <v>1552382982469779</v>
      </c>
      <c r="C2645" t="s">
        <v>40</v>
      </c>
      <c r="D2645">
        <v>3.105162</v>
      </c>
      <c r="E2645">
        <v>0.4415095</v>
      </c>
      <c r="F2645" t="s">
        <v>41</v>
      </c>
      <c r="G2645">
        <v>-491.24430000000001</v>
      </c>
      <c r="H2645" s="1">
        <v>-2.5238179999999999E-6</v>
      </c>
      <c r="I2645">
        <v>264.70049999999998</v>
      </c>
      <c r="J2645">
        <v>-486.21129999999999</v>
      </c>
      <c r="K2645">
        <v>1.1194729999999999</v>
      </c>
      <c r="L2645">
        <v>276.42430000000002</v>
      </c>
      <c r="M2645">
        <v>-0.64672909999999995</v>
      </c>
      <c r="N2645">
        <v>0</v>
      </c>
      <c r="O2645">
        <v>-0.76257609999999998</v>
      </c>
      <c r="P2645">
        <v>-0.52313940000000003</v>
      </c>
      <c r="Q2645">
        <v>0.14375099999999999</v>
      </c>
      <c r="R2645">
        <v>-0.84003619999999901</v>
      </c>
      <c r="S2645">
        <v>-1.2370300000000001</v>
      </c>
      <c r="T2645">
        <v>-0.26897300000000002</v>
      </c>
      <c r="U2645">
        <v>-2.85202</v>
      </c>
      <c r="V2645">
        <v>-0.14794280000000001</v>
      </c>
      <c r="W2645">
        <v>0.15489649999999999</v>
      </c>
      <c r="X2645">
        <v>0.97679070000000001</v>
      </c>
      <c r="Y2645">
        <v>-0.29070679999999999</v>
      </c>
      <c r="Z2645">
        <v>5.74975E-2</v>
      </c>
      <c r="AA2645">
        <v>0.95508300000000002</v>
      </c>
      <c r="AB2645">
        <v>29</v>
      </c>
      <c r="AC2645">
        <v>-5.0330000000000101</v>
      </c>
      <c r="AD2645">
        <v>-1.1194755238180001</v>
      </c>
      <c r="AE2645">
        <v>-11.723800000000001</v>
      </c>
      <c r="AF2645">
        <v>-3.7158790625860698</v>
      </c>
      <c r="AG2645">
        <v>-1.1194755238180001</v>
      </c>
      <c r="AH2645">
        <v>12.103430035541001</v>
      </c>
      <c r="AI2645">
        <v>95.052908952189</v>
      </c>
      <c r="AJ2645">
        <v>107.06703148115901</v>
      </c>
      <c r="AK2645">
        <v>12.7103895015624</v>
      </c>
      <c r="AL2645">
        <v>81.089206667855194</v>
      </c>
      <c r="AM2645">
        <v>98.612449061319893</v>
      </c>
      <c r="AN2645">
        <v>1.00000003469528</v>
      </c>
    </row>
    <row r="2646" spans="1:40" x14ac:dyDescent="0.25">
      <c r="A2646" t="str">
        <f>"20190312172942487"</f>
        <v>20190312172942487</v>
      </c>
      <c r="B2646" t="str">
        <f>"1552382982480515"</f>
        <v>1552382982480515</v>
      </c>
      <c r="C2646" t="s">
        <v>40</v>
      </c>
      <c r="D2646">
        <v>2.9801250000000001</v>
      </c>
      <c r="E2646">
        <v>0.44156620000000002</v>
      </c>
      <c r="F2646" t="s">
        <v>41</v>
      </c>
      <c r="G2646">
        <v>-491.21550000000002</v>
      </c>
      <c r="H2646" s="1">
        <v>-2.4885739999999999E-6</v>
      </c>
      <c r="I2646">
        <v>264.6361</v>
      </c>
      <c r="J2646">
        <v>-486.3048</v>
      </c>
      <c r="K2646">
        <v>1.1194599999999999</v>
      </c>
      <c r="L2646">
        <v>276.30439999999999</v>
      </c>
      <c r="M2646">
        <v>-0.64172629999999997</v>
      </c>
      <c r="N2646">
        <v>0</v>
      </c>
      <c r="O2646">
        <v>-0.76679059999999999</v>
      </c>
      <c r="P2646">
        <v>-0.51779839999999999</v>
      </c>
      <c r="Q2646">
        <v>0.143352799999999</v>
      </c>
      <c r="R2646">
        <v>-0.84340700000000002</v>
      </c>
      <c r="S2646">
        <v>-1.214661</v>
      </c>
      <c r="T2646">
        <v>-0.27172760000000001</v>
      </c>
      <c r="U2646">
        <v>-2.8612980000000001</v>
      </c>
      <c r="V2646">
        <v>-0.147781</v>
      </c>
      <c r="W2646">
        <v>0.154505</v>
      </c>
      <c r="X2646">
        <v>0.9768772</v>
      </c>
      <c r="Y2646">
        <v>-0.29190870000000002</v>
      </c>
      <c r="Z2646">
        <v>5.848362E-2</v>
      </c>
      <c r="AA2646">
        <v>0.95465650000000002</v>
      </c>
      <c r="AB2646">
        <v>29</v>
      </c>
      <c r="AC2646">
        <v>-4.9107000000000198</v>
      </c>
      <c r="AD2646">
        <v>-1.1194624885740001</v>
      </c>
      <c r="AE2646">
        <v>-11.668299999999901</v>
      </c>
      <c r="AF2646">
        <v>-3.6939003513551598</v>
      </c>
      <c r="AG2646">
        <v>-1.1194624885740001</v>
      </c>
      <c r="AH2646">
        <v>12.005915285953799</v>
      </c>
      <c r="AI2646">
        <v>95.092732572195402</v>
      </c>
      <c r="AJ2646">
        <v>107.101737474413</v>
      </c>
      <c r="AK2646">
        <v>12.6111100987409</v>
      </c>
      <c r="AL2646">
        <v>81.111911357791797</v>
      </c>
      <c r="AM2646">
        <v>98.602420542502301</v>
      </c>
      <c r="AN2646">
        <v>1.00000004143291</v>
      </c>
    </row>
    <row r="2647" spans="1:40" x14ac:dyDescent="0.25">
      <c r="A2647" t="str">
        <f>"20190312172942497"</f>
        <v>20190312172942497</v>
      </c>
      <c r="B2647" t="str">
        <f>"1552382982490275"</f>
        <v>1552382982490275</v>
      </c>
      <c r="C2647" t="s">
        <v>40</v>
      </c>
      <c r="D2647">
        <v>3.169702</v>
      </c>
      <c r="E2647">
        <v>0.44181670000000001</v>
      </c>
      <c r="F2647" t="s">
        <v>41</v>
      </c>
      <c r="G2647">
        <v>-491.202</v>
      </c>
      <c r="H2647" s="1">
        <v>-2.4562100000000002E-6</v>
      </c>
      <c r="I2647">
        <v>264.56909999999999</v>
      </c>
      <c r="J2647">
        <v>-486.38650000000001</v>
      </c>
      <c r="K2647">
        <v>1.1194459999999999</v>
      </c>
      <c r="L2647">
        <v>276.1979</v>
      </c>
      <c r="M2647">
        <v>-0.63728569999999995</v>
      </c>
      <c r="N2647">
        <v>0</v>
      </c>
      <c r="O2647">
        <v>-0.77048519999999998</v>
      </c>
      <c r="P2647">
        <v>-0.51287700000000003</v>
      </c>
      <c r="Q2647">
        <v>0.14303489999999999</v>
      </c>
      <c r="R2647">
        <v>-0.846462099999999</v>
      </c>
      <c r="S2647">
        <v>-1.1970829999999999</v>
      </c>
      <c r="T2647">
        <v>-0.27364549999999999</v>
      </c>
      <c r="U2647">
        <v>-2.8686219999999998</v>
      </c>
      <c r="V2647">
        <v>-0.14785090000000001</v>
      </c>
      <c r="W2647">
        <v>0.15418750000000001</v>
      </c>
      <c r="X2647">
        <v>0.97691680000000003</v>
      </c>
      <c r="Y2647">
        <v>-0.29224850000000002</v>
      </c>
      <c r="Z2647">
        <v>5.9266689999999997E-2</v>
      </c>
      <c r="AA2647">
        <v>0.95450420000000002</v>
      </c>
      <c r="AB2647">
        <v>29</v>
      </c>
      <c r="AC2647">
        <v>-4.8154999999999797</v>
      </c>
      <c r="AD2647">
        <v>-1.11944845621</v>
      </c>
      <c r="AE2647">
        <v>-11.6288</v>
      </c>
      <c r="AF2647">
        <v>-3.6719556794893</v>
      </c>
      <c r="AG2647">
        <v>-1.11944845621</v>
      </c>
      <c r="AH2647">
        <v>11.935571638790501</v>
      </c>
      <c r="AI2647">
        <v>95.122560284892799</v>
      </c>
      <c r="AJ2647">
        <v>107.100413959297</v>
      </c>
      <c r="AK2647">
        <v>12.537714851716199</v>
      </c>
      <c r="AL2647">
        <v>81.130323513911804</v>
      </c>
      <c r="AM2647">
        <v>98.606084904014494</v>
      </c>
      <c r="AN2647">
        <v>1.0000000539546401</v>
      </c>
    </row>
    <row r="2648" spans="1:40" x14ac:dyDescent="0.25">
      <c r="A2648" t="str">
        <f>"20190312172942508"</f>
        <v>20190312172942508</v>
      </c>
      <c r="B2648" t="str">
        <f>"1552382982500036"</f>
        <v>1552382982500036</v>
      </c>
      <c r="C2648" t="s">
        <v>40</v>
      </c>
      <c r="D2648">
        <v>2.997112</v>
      </c>
      <c r="E2648">
        <v>0.44210359999999999</v>
      </c>
      <c r="F2648" t="s">
        <v>41</v>
      </c>
      <c r="G2648">
        <v>-491.19560000000001</v>
      </c>
      <c r="H2648" s="1">
        <v>-2.4259310000000002E-6</v>
      </c>
      <c r="I2648">
        <v>264.5025</v>
      </c>
      <c r="J2648">
        <v>-486.4708</v>
      </c>
      <c r="K2648">
        <v>1.119434</v>
      </c>
      <c r="L2648">
        <v>276.08690000000001</v>
      </c>
      <c r="M2648">
        <v>-0.63265229999999995</v>
      </c>
      <c r="N2648">
        <v>0</v>
      </c>
      <c r="O2648">
        <v>-0.77429429999999999</v>
      </c>
      <c r="P2648">
        <v>-0.50796679999999905</v>
      </c>
      <c r="Q2648">
        <v>0.14272960000000001</v>
      </c>
      <c r="R2648">
        <v>-0.84946939999999904</v>
      </c>
      <c r="S2648">
        <v>-1.1819759999999999</v>
      </c>
      <c r="T2648">
        <v>-0.27513799999999999</v>
      </c>
      <c r="U2648">
        <v>-2.8745120000000002</v>
      </c>
      <c r="V2648">
        <v>-0.14766960000000001</v>
      </c>
      <c r="W2648">
        <v>0.15388829999999901</v>
      </c>
      <c r="X2648">
        <v>0.97699139999999995</v>
      </c>
      <c r="Y2648">
        <v>-0.29150609999999999</v>
      </c>
      <c r="Z2648">
        <v>6.0013049999999998E-2</v>
      </c>
      <c r="AA2648">
        <v>0.95468459999999999</v>
      </c>
      <c r="AB2648">
        <v>29</v>
      </c>
      <c r="AC2648">
        <v>-4.7248000000000099</v>
      </c>
      <c r="AD2648">
        <v>-1.1194364259309999</v>
      </c>
      <c r="AE2648">
        <v>-11.5844</v>
      </c>
      <c r="AF2648">
        <v>-3.6417578919371101</v>
      </c>
      <c r="AG2648">
        <v>-1.1194364259309999</v>
      </c>
      <c r="AH2648">
        <v>11.865208060715499</v>
      </c>
      <c r="AI2648">
        <v>95.153757270412001</v>
      </c>
      <c r="AJ2648">
        <v>107.062686642619</v>
      </c>
      <c r="AK2648">
        <v>12.4618899360913</v>
      </c>
      <c r="AL2648">
        <v>81.147673516234093</v>
      </c>
      <c r="AM2648">
        <v>98.595043009597404</v>
      </c>
      <c r="AN2648">
        <v>1.0000000576575001</v>
      </c>
    </row>
    <row r="2649" spans="1:40" x14ac:dyDescent="0.25">
      <c r="A2649" t="str">
        <f>"20190312172942519"</f>
        <v>20190312172942519</v>
      </c>
      <c r="B2649" t="str">
        <f>"1552382982509795"</f>
        <v>1552382982509795</v>
      </c>
      <c r="C2649" t="s">
        <v>40</v>
      </c>
      <c r="D2649">
        <v>2.9804360000000001</v>
      </c>
      <c r="E2649">
        <v>0.44236779999999998</v>
      </c>
      <c r="F2649" t="s">
        <v>41</v>
      </c>
      <c r="G2649">
        <v>-491.19600000000003</v>
      </c>
      <c r="H2649" s="1">
        <v>-2.3917470000000001E-6</v>
      </c>
      <c r="I2649">
        <v>264.42250000000001</v>
      </c>
      <c r="J2649">
        <v>-486.55470000000003</v>
      </c>
      <c r="K2649">
        <v>1.1194189999999999</v>
      </c>
      <c r="L2649">
        <v>275.97519999999997</v>
      </c>
      <c r="M2649">
        <v>-0.62798229999999999</v>
      </c>
      <c r="N2649">
        <v>0</v>
      </c>
      <c r="O2649">
        <v>-0.77808679999999997</v>
      </c>
      <c r="P2649">
        <v>-0.50295559999999995</v>
      </c>
      <c r="Q2649">
        <v>0.14248039999999901</v>
      </c>
      <c r="R2649">
        <v>-0.85248819999999903</v>
      </c>
      <c r="S2649">
        <v>-1.1668400000000001</v>
      </c>
      <c r="T2649">
        <v>-0.27643050000000002</v>
      </c>
      <c r="U2649">
        <v>-2.8803709999999998</v>
      </c>
      <c r="V2649">
        <v>-0.14756169999999999</v>
      </c>
      <c r="W2649">
        <v>0.15364369999999999</v>
      </c>
      <c r="X2649">
        <v>0.97704610000000003</v>
      </c>
      <c r="Y2649">
        <v>-0.29075109999999998</v>
      </c>
      <c r="Z2649">
        <v>6.071853E-2</v>
      </c>
      <c r="AA2649">
        <v>0.9548702</v>
      </c>
      <c r="AB2649">
        <v>29</v>
      </c>
      <c r="AC2649">
        <v>-4.6412999999999398</v>
      </c>
      <c r="AD2649">
        <v>-1.1194213917469999</v>
      </c>
      <c r="AE2649">
        <v>-11.5526999999999</v>
      </c>
      <c r="AF2649">
        <v>-3.61473394313902</v>
      </c>
      <c r="AG2649">
        <v>-1.1194213917469999</v>
      </c>
      <c r="AH2649">
        <v>11.809491933861199</v>
      </c>
      <c r="AI2649">
        <v>95.1790837511913</v>
      </c>
      <c r="AJ2649">
        <v>107.018677350337</v>
      </c>
      <c r="AK2649">
        <v>12.400947764905499</v>
      </c>
      <c r="AL2649">
        <v>81.1618558851183</v>
      </c>
      <c r="AM2649">
        <v>98.588382755965895</v>
      </c>
      <c r="AN2649">
        <v>0.999999961690894</v>
      </c>
    </row>
    <row r="2650" spans="1:40" x14ac:dyDescent="0.25">
      <c r="A2650" t="str">
        <f>"20190312172942531"</f>
        <v>20190312172942531</v>
      </c>
      <c r="B2650" t="str">
        <f>"1552382982520531"</f>
        <v>1552382982520531</v>
      </c>
      <c r="C2650" t="s">
        <v>40</v>
      </c>
      <c r="D2650">
        <v>3.0167570000000001</v>
      </c>
      <c r="E2650">
        <v>0.44264750000000003</v>
      </c>
      <c r="F2650" t="s">
        <v>41</v>
      </c>
      <c r="G2650">
        <v>-491.1979</v>
      </c>
      <c r="H2650" s="1">
        <v>-2.3557589999999999E-6</v>
      </c>
      <c r="I2650">
        <v>264.33749999999998</v>
      </c>
      <c r="J2650">
        <v>-486.6377</v>
      </c>
      <c r="K2650">
        <v>1.1194040000000001</v>
      </c>
      <c r="L2650">
        <v>275.86290000000002</v>
      </c>
      <c r="M2650">
        <v>-0.62329480000000004</v>
      </c>
      <c r="N2650">
        <v>0</v>
      </c>
      <c r="O2650">
        <v>-0.78184679999999995</v>
      </c>
      <c r="P2650">
        <v>-0.49794660000000002</v>
      </c>
      <c r="Q2650">
        <v>0.14223620000000001</v>
      </c>
      <c r="R2650">
        <v>-0.85546369999999905</v>
      </c>
      <c r="S2650">
        <v>-1.1515200000000001</v>
      </c>
      <c r="T2650">
        <v>-0.27761789999999997</v>
      </c>
      <c r="U2650">
        <v>-2.8861690000000002</v>
      </c>
      <c r="V2650">
        <v>-0.14743629999999999</v>
      </c>
      <c r="W2650">
        <v>0.15340490000000001</v>
      </c>
      <c r="X2650">
        <v>0.97710260000000004</v>
      </c>
      <c r="Y2650">
        <v>-0.29004750000000001</v>
      </c>
      <c r="Z2650">
        <v>6.1401169999999998E-2</v>
      </c>
      <c r="AA2650">
        <v>0.95504049999999996</v>
      </c>
      <c r="AB2650">
        <v>29</v>
      </c>
      <c r="AC2650">
        <v>-4.5602</v>
      </c>
      <c r="AD2650">
        <v>-1.1194063557589999</v>
      </c>
      <c r="AE2650">
        <v>-11.525399999999999</v>
      </c>
      <c r="AF2650">
        <v>-3.5894635823249601</v>
      </c>
      <c r="AG2650">
        <v>-1.1194063557589999</v>
      </c>
      <c r="AH2650">
        <v>11.758835434624199</v>
      </c>
      <c r="AI2650">
        <v>95.2024043868729</v>
      </c>
      <c r="AJ2650">
        <v>106.975162253341</v>
      </c>
      <c r="AK2650">
        <v>12.3453444737975</v>
      </c>
      <c r="AL2650">
        <v>81.175702684068597</v>
      </c>
      <c r="AM2650">
        <v>98.580704114311303</v>
      </c>
      <c r="AN2650">
        <v>1.00000000841423</v>
      </c>
    </row>
    <row r="2651" spans="1:40" x14ac:dyDescent="0.25">
      <c r="A2651" t="str">
        <f>"20190312172942542"</f>
        <v>20190312172942542</v>
      </c>
      <c r="B2651" t="str">
        <f>"1552382982530291"</f>
        <v>1552382982530291</v>
      </c>
      <c r="C2651" t="s">
        <v>40</v>
      </c>
      <c r="D2651">
        <v>2.9772630000000002</v>
      </c>
      <c r="E2651">
        <v>0.44301990000000002</v>
      </c>
      <c r="F2651" t="s">
        <v>41</v>
      </c>
      <c r="G2651">
        <v>-491.19420000000002</v>
      </c>
      <c r="H2651" s="1">
        <v>-2.3285339999999999E-6</v>
      </c>
      <c r="I2651">
        <v>264.27629999999999</v>
      </c>
      <c r="J2651">
        <v>-486.72329999999999</v>
      </c>
      <c r="K2651">
        <v>1.1193930000000001</v>
      </c>
      <c r="L2651">
        <v>275.74630000000002</v>
      </c>
      <c r="M2651">
        <v>-0.61841359999999901</v>
      </c>
      <c r="N2651">
        <v>0</v>
      </c>
      <c r="O2651">
        <v>-0.78571349999999995</v>
      </c>
      <c r="P2651">
        <v>-0.4927164</v>
      </c>
      <c r="Q2651">
        <v>0.142036</v>
      </c>
      <c r="R2651">
        <v>-0.85851999999999995</v>
      </c>
      <c r="S2651">
        <v>-1.137054</v>
      </c>
      <c r="T2651">
        <v>-0.27934249999999999</v>
      </c>
      <c r="U2651">
        <v>-2.8913880000000001</v>
      </c>
      <c r="V2651">
        <v>-0.14732619999999999</v>
      </c>
      <c r="W2651">
        <v>0.15320880000000001</v>
      </c>
      <c r="X2651">
        <v>0.97714999999999996</v>
      </c>
      <c r="Y2651">
        <v>-0.28883019999999998</v>
      </c>
      <c r="Z2651">
        <v>6.2236069999999998E-2</v>
      </c>
      <c r="AA2651">
        <v>0.95535530000000002</v>
      </c>
      <c r="AB2651">
        <v>29</v>
      </c>
      <c r="AC2651">
        <v>-4.4709000000000199</v>
      </c>
      <c r="AD2651">
        <v>-1.1193953285339999</v>
      </c>
      <c r="AE2651">
        <v>-11.47</v>
      </c>
      <c r="AF2651">
        <v>-3.55138586387049</v>
      </c>
      <c r="AG2651">
        <v>-1.1193953285339999</v>
      </c>
      <c r="AH2651">
        <v>11.681701744547199</v>
      </c>
      <c r="AI2651">
        <v>95.238320111266006</v>
      </c>
      <c r="AJ2651">
        <v>106.909938696274</v>
      </c>
      <c r="AK2651">
        <v>12.2608133133247</v>
      </c>
      <c r="AL2651">
        <v>81.187073024375294</v>
      </c>
      <c r="AM2651">
        <v>98.573981889228605</v>
      </c>
      <c r="AN2651">
        <v>1.0000000340519299</v>
      </c>
    </row>
    <row r="2652" spans="1:40" x14ac:dyDescent="0.25">
      <c r="A2652" t="str">
        <f>"20190312172942553"</f>
        <v>20190312172942553</v>
      </c>
      <c r="B2652" t="str">
        <f>"1552382982549811"</f>
        <v>1552382982549811</v>
      </c>
      <c r="C2652" t="s">
        <v>40</v>
      </c>
      <c r="D2652">
        <v>3.1094210000000002</v>
      </c>
      <c r="E2652">
        <v>0.44380619999999998</v>
      </c>
      <c r="F2652" t="s">
        <v>41</v>
      </c>
      <c r="G2652">
        <v>-491.19130000000001</v>
      </c>
      <c r="H2652" s="1">
        <v>-2.2985850000000001E-6</v>
      </c>
      <c r="I2652">
        <v>264.20830000000001</v>
      </c>
      <c r="J2652">
        <v>-486.8</v>
      </c>
      <c r="K2652">
        <v>1.1193839999999999</v>
      </c>
      <c r="L2652">
        <v>275.6395</v>
      </c>
      <c r="M2652">
        <v>-0.61395319999999998</v>
      </c>
      <c r="N2652">
        <v>0</v>
      </c>
      <c r="O2652">
        <v>-0.78920369999999995</v>
      </c>
      <c r="P2652">
        <v>-0.48807</v>
      </c>
      <c r="Q2652">
        <v>0.14213339999999999</v>
      </c>
      <c r="R2652">
        <v>-0.86115390000000003</v>
      </c>
      <c r="S2652">
        <v>-1.1218570000000001</v>
      </c>
      <c r="T2652">
        <v>-0.28106399999999998</v>
      </c>
      <c r="U2652">
        <v>-2.8970340000000001</v>
      </c>
      <c r="V2652">
        <v>-0.14706050000000001</v>
      </c>
      <c r="W2652">
        <v>0.15331339999999999</v>
      </c>
      <c r="X2652">
        <v>0.97717359999999998</v>
      </c>
      <c r="Y2652">
        <v>-0.28840890000000002</v>
      </c>
      <c r="Z2652">
        <v>6.3008140000000004E-2</v>
      </c>
      <c r="AA2652">
        <v>0.95543199999999995</v>
      </c>
      <c r="AB2652">
        <v>29</v>
      </c>
      <c r="AC2652">
        <v>-4.3913000000000002</v>
      </c>
      <c r="AD2652">
        <v>-1.1193862985849901</v>
      </c>
      <c r="AE2652">
        <v>-11.431199999999899</v>
      </c>
      <c r="AF2652">
        <v>-3.5235381058358901</v>
      </c>
      <c r="AG2652">
        <v>-1.1193862985849901</v>
      </c>
      <c r="AH2652">
        <v>11.621770147091601</v>
      </c>
      <c r="AI2652">
        <v>95.266345411996795</v>
      </c>
      <c r="AJ2652">
        <v>106.86647907842899</v>
      </c>
      <c r="AK2652">
        <v>12.1956503648049</v>
      </c>
      <c r="AL2652">
        <v>81.181008082585194</v>
      </c>
      <c r="AM2652">
        <v>98.558544436504206</v>
      </c>
      <c r="AN2652">
        <v>1.00000001690838</v>
      </c>
    </row>
    <row r="2653" spans="1:40" x14ac:dyDescent="0.25">
      <c r="A2653" t="str">
        <f>"20190312172942565"</f>
        <v>20190312172942565</v>
      </c>
      <c r="B2653" t="str">
        <f>"1552382982560547"</f>
        <v>1552382982560547</v>
      </c>
      <c r="C2653" t="s">
        <v>40</v>
      </c>
      <c r="D2653">
        <v>3.1947580000000002</v>
      </c>
      <c r="E2653">
        <v>0.44420710000000002</v>
      </c>
      <c r="F2653" t="s">
        <v>41</v>
      </c>
      <c r="G2653">
        <v>-491.2432</v>
      </c>
      <c r="H2653" s="1">
        <v>-2.2438349999999999E-6</v>
      </c>
      <c r="I2653">
        <v>264.04849999999999</v>
      </c>
      <c r="J2653">
        <v>-486.88499999999999</v>
      </c>
      <c r="K2653">
        <v>1.1193709999999999</v>
      </c>
      <c r="L2653">
        <v>275.5206</v>
      </c>
      <c r="M2653">
        <v>-0.60897279999999998</v>
      </c>
      <c r="N2653">
        <v>0</v>
      </c>
      <c r="O2653">
        <v>-0.79305309999999996</v>
      </c>
      <c r="P2653">
        <v>-0.48293039999999998</v>
      </c>
      <c r="Q2653">
        <v>0.1420787</v>
      </c>
      <c r="R2653">
        <v>-0.86405580000000004</v>
      </c>
      <c r="S2653">
        <v>-1.1116330000000001</v>
      </c>
      <c r="T2653">
        <v>-0.28005340000000001</v>
      </c>
      <c r="U2653">
        <v>-2.899902</v>
      </c>
      <c r="V2653">
        <v>-0.14673069999999999</v>
      </c>
      <c r="W2653">
        <v>0.15326870000000001</v>
      </c>
      <c r="X2653">
        <v>0.97723020000000005</v>
      </c>
      <c r="Y2653">
        <v>-0.28563620000000001</v>
      </c>
      <c r="Z2653">
        <v>6.3295260000000006E-2</v>
      </c>
      <c r="AA2653">
        <v>0.95624560000000003</v>
      </c>
      <c r="AB2653">
        <v>29</v>
      </c>
      <c r="AC2653">
        <v>-4.3582000000000098</v>
      </c>
      <c r="AD2653">
        <v>-1.1193732438349999</v>
      </c>
      <c r="AE2653">
        <v>-11.472099999999999</v>
      </c>
      <c r="AF2653">
        <v>-3.5011700068956202</v>
      </c>
      <c r="AG2653">
        <v>-1.1193732438349999</v>
      </c>
      <c r="AH2653">
        <v>11.656317267457499</v>
      </c>
      <c r="AI2653">
        <v>95.254834029195194</v>
      </c>
      <c r="AJ2653">
        <v>106.71851990179501</v>
      </c>
      <c r="AK2653">
        <v>12.2221487519923</v>
      </c>
      <c r="AL2653">
        <v>81.183599936449596</v>
      </c>
      <c r="AM2653">
        <v>98.539146905398695</v>
      </c>
      <c r="AN2653">
        <v>1.0000000282571</v>
      </c>
    </row>
    <row r="2654" spans="1:40" x14ac:dyDescent="0.25">
      <c r="A2654" t="str">
        <f>"20190312172942576"</f>
        <v>20190312172942576</v>
      </c>
      <c r="B2654" t="str">
        <f>"1552382982570307"</f>
        <v>1552382982570307</v>
      </c>
      <c r="C2654" t="s">
        <v>40</v>
      </c>
      <c r="D2654">
        <v>3.1220970000000001</v>
      </c>
      <c r="E2654">
        <v>0.44454480000000002</v>
      </c>
      <c r="F2654" t="s">
        <v>41</v>
      </c>
      <c r="G2654">
        <v>-491.27510000000001</v>
      </c>
      <c r="H2654" s="1">
        <v>-2.1864899999999999E-6</v>
      </c>
      <c r="I2654">
        <v>263.89499999999998</v>
      </c>
      <c r="J2654">
        <v>-486.96730000000002</v>
      </c>
      <c r="K2654">
        <v>1.119364</v>
      </c>
      <c r="L2654">
        <v>275.40309999999999</v>
      </c>
      <c r="M2654">
        <v>-0.60406009999999999</v>
      </c>
      <c r="N2654">
        <v>0</v>
      </c>
      <c r="O2654">
        <v>-0.79680139999999999</v>
      </c>
      <c r="P2654">
        <v>-0.47779959999999999</v>
      </c>
      <c r="Q2654">
        <v>0.14238960000000001</v>
      </c>
      <c r="R2654">
        <v>-0.86685230000000002</v>
      </c>
      <c r="S2654">
        <v>-1.096954</v>
      </c>
      <c r="T2654">
        <v>-0.2796961</v>
      </c>
      <c r="U2654">
        <v>-2.9048769999999999</v>
      </c>
      <c r="V2654">
        <v>-0.14645639999999999</v>
      </c>
      <c r="W2654">
        <v>0.15358720000000001</v>
      </c>
      <c r="X2654">
        <v>0.97722129999999996</v>
      </c>
      <c r="Y2654">
        <v>-0.28448859999999998</v>
      </c>
      <c r="Z2654">
        <v>6.3659850000000004E-2</v>
      </c>
      <c r="AA2654">
        <v>0.95656350000000001</v>
      </c>
      <c r="AB2654">
        <v>29</v>
      </c>
      <c r="AC2654">
        <v>-4.3077999999999799</v>
      </c>
      <c r="AD2654">
        <v>-1.11936618649</v>
      </c>
      <c r="AE2654">
        <v>-11.508100000000001</v>
      </c>
      <c r="AF2654">
        <v>-3.4905428708380302</v>
      </c>
      <c r="AG2654">
        <v>-1.11936618649</v>
      </c>
      <c r="AH2654">
        <v>11.676236835029201</v>
      </c>
      <c r="AI2654">
        <v>95.247927410290202</v>
      </c>
      <c r="AJ2654">
        <v>106.643728219404</v>
      </c>
      <c r="AK2654">
        <v>12.238111652551099</v>
      </c>
      <c r="AL2654">
        <v>81.165132208371801</v>
      </c>
      <c r="AM2654">
        <v>98.523494900604206</v>
      </c>
      <c r="AN2654">
        <v>0.99999998713924498</v>
      </c>
    </row>
    <row r="2655" spans="1:40" x14ac:dyDescent="0.25">
      <c r="A2655" t="str">
        <f>"20190312172942587"</f>
        <v>20190312172942587</v>
      </c>
      <c r="B2655" t="str">
        <f>"1552382982580067"</f>
        <v>1552382982580067</v>
      </c>
      <c r="C2655" t="s">
        <v>40</v>
      </c>
      <c r="D2655">
        <v>3.0653109999999999</v>
      </c>
      <c r="E2655">
        <v>0.44489909999999999</v>
      </c>
      <c r="F2655" t="s">
        <v>41</v>
      </c>
      <c r="G2655">
        <v>-491.31380000000001</v>
      </c>
      <c r="H2655" s="1">
        <v>-2.1195530000000002E-6</v>
      </c>
      <c r="I2655">
        <v>263.71499999999997</v>
      </c>
      <c r="J2655">
        <v>-487.04610000000002</v>
      </c>
      <c r="K2655">
        <v>1.1193580000000001</v>
      </c>
      <c r="L2655">
        <v>275.28989999999999</v>
      </c>
      <c r="M2655">
        <v>-0.59931259999999997</v>
      </c>
      <c r="N2655">
        <v>0</v>
      </c>
      <c r="O2655">
        <v>-0.80037840000000005</v>
      </c>
      <c r="P2655">
        <v>-0.4728813</v>
      </c>
      <c r="Q2655">
        <v>0.14249049999999999</v>
      </c>
      <c r="R2655">
        <v>-0.86952850000000004</v>
      </c>
      <c r="S2655">
        <v>-1.082184</v>
      </c>
      <c r="T2655">
        <v>-0.27869729999999998</v>
      </c>
      <c r="U2655">
        <v>-2.9100950000000001</v>
      </c>
      <c r="V2655">
        <v>-0.14617149999999901</v>
      </c>
      <c r="W2655">
        <v>0.153696</v>
      </c>
      <c r="X2655">
        <v>0.97724690000000003</v>
      </c>
      <c r="Y2655">
        <v>-0.28361560000000002</v>
      </c>
      <c r="Z2655">
        <v>6.3845959999999993E-2</v>
      </c>
      <c r="AA2655">
        <v>0.95681020000000006</v>
      </c>
      <c r="AB2655">
        <v>29</v>
      </c>
      <c r="AC2655">
        <v>-4.2676999999999898</v>
      </c>
      <c r="AD2655">
        <v>-1.1193601195530001</v>
      </c>
      <c r="AE2655">
        <v>-11.5749</v>
      </c>
      <c r="AF2655">
        <v>-3.4928379078416101</v>
      </c>
      <c r="AG2655">
        <v>-1.1193601195530001</v>
      </c>
      <c r="AH2655">
        <v>11.7267358051198</v>
      </c>
      <c r="AI2655">
        <v>95.226979963410798</v>
      </c>
      <c r="AJ2655">
        <v>106.58629590949801</v>
      </c>
      <c r="AK2655">
        <v>12.286953095490301</v>
      </c>
      <c r="AL2655">
        <v>81.1588239549001</v>
      </c>
      <c r="AM2655">
        <v>98.506937494793902</v>
      </c>
      <c r="AN2655">
        <v>1.00000003569392</v>
      </c>
    </row>
    <row r="2656" spans="1:40" x14ac:dyDescent="0.25">
      <c r="A2656" t="str">
        <f>"20190312172942597"</f>
        <v>20190312172942597</v>
      </c>
      <c r="B2656" t="str">
        <f>"1552382982589826"</f>
        <v>1552382982589826</v>
      </c>
      <c r="C2656" t="s">
        <v>40</v>
      </c>
      <c r="D2656">
        <v>3.0971009999999999</v>
      </c>
      <c r="E2656">
        <v>0.44489909999999999</v>
      </c>
      <c r="F2656" t="s">
        <v>41</v>
      </c>
      <c r="G2656">
        <v>-491.33839999999998</v>
      </c>
      <c r="H2656" s="1">
        <v>-2.0675819999999998E-6</v>
      </c>
      <c r="I2656">
        <v>263.57859999999999</v>
      </c>
      <c r="J2656">
        <v>-487.12400000000002</v>
      </c>
      <c r="K2656">
        <v>1.1193550000000001</v>
      </c>
      <c r="L2656">
        <v>275.17610000000002</v>
      </c>
      <c r="M2656">
        <v>-0.59454359999999995</v>
      </c>
      <c r="N2656">
        <v>0</v>
      </c>
      <c r="O2656">
        <v>-0.80392719999999995</v>
      </c>
      <c r="P2656">
        <v>-0.46796280000000001</v>
      </c>
      <c r="Q2656">
        <v>0.1431817</v>
      </c>
      <c r="R2656">
        <v>-0.87207219999999996</v>
      </c>
      <c r="S2656">
        <v>-1.068298</v>
      </c>
      <c r="T2656">
        <v>-0.278591799999999</v>
      </c>
      <c r="U2656">
        <v>-2.9147639999999999</v>
      </c>
      <c r="V2656">
        <v>-0.1458245</v>
      </c>
      <c r="W2656">
        <v>0.15439610000000001</v>
      </c>
      <c r="X2656">
        <v>0.97718830000000001</v>
      </c>
      <c r="Y2656">
        <v>-0.28243410000000002</v>
      </c>
      <c r="Z2656">
        <v>6.4242649999999998E-2</v>
      </c>
      <c r="AA2656">
        <v>0.95713320000000002</v>
      </c>
      <c r="AB2656">
        <v>28</v>
      </c>
      <c r="AC2656">
        <v>-4.2143999999999497</v>
      </c>
      <c r="AD2656">
        <v>-1.1193570675819999</v>
      </c>
      <c r="AE2656">
        <v>-11.5975</v>
      </c>
      <c r="AF2656">
        <v>-3.4789050402694799</v>
      </c>
      <c r="AG2656">
        <v>-1.1193570675819999</v>
      </c>
      <c r="AH2656">
        <v>11.7339280899344</v>
      </c>
      <c r="AI2656">
        <v>95.225723300622093</v>
      </c>
      <c r="AJ2656">
        <v>106.51417170755001</v>
      </c>
      <c r="AK2656">
        <v>12.2898661076396</v>
      </c>
      <c r="AL2656">
        <v>81.118225892821897</v>
      </c>
      <c r="AM2656">
        <v>98.487538662855798</v>
      </c>
      <c r="AN2656">
        <v>0.99999995707617395</v>
      </c>
    </row>
    <row r="2657" spans="1:40" x14ac:dyDescent="0.25">
      <c r="A2657" t="str">
        <f>"20190312172942611"</f>
        <v>20190312172942611</v>
      </c>
      <c r="B2657" t="str">
        <f>"1552382982600563"</f>
        <v>1552382982600563</v>
      </c>
      <c r="C2657" t="s">
        <v>40</v>
      </c>
      <c r="D2657">
        <v>3.0864859999999998</v>
      </c>
      <c r="E2657">
        <v>0.45787689999999998</v>
      </c>
      <c r="F2657" t="s">
        <v>41</v>
      </c>
      <c r="G2657">
        <v>-491.38330000000002</v>
      </c>
      <c r="H2657" s="1">
        <v>-1.984078E-6</v>
      </c>
      <c r="I2657">
        <v>263.35610000000003</v>
      </c>
      <c r="J2657">
        <v>-487.21170000000001</v>
      </c>
      <c r="K2657">
        <v>1.1193500000000001</v>
      </c>
      <c r="L2657">
        <v>275.04629999999997</v>
      </c>
      <c r="M2657">
        <v>-0.58910459999999998</v>
      </c>
      <c r="N2657">
        <v>0</v>
      </c>
      <c r="O2657">
        <v>-0.80792149999999996</v>
      </c>
      <c r="P2657">
        <v>-0.46224480000000001</v>
      </c>
      <c r="Q2657">
        <v>0.14362179999999999</v>
      </c>
      <c r="R2657">
        <v>-0.87504459999999995</v>
      </c>
      <c r="S2657">
        <v>-1.0524899999999999</v>
      </c>
      <c r="T2657">
        <v>-0.27659919999999999</v>
      </c>
      <c r="U2657">
        <v>-2.920776</v>
      </c>
      <c r="V2657">
        <v>-0.1455892</v>
      </c>
      <c r="W2657">
        <v>0.154842799999999</v>
      </c>
      <c r="X2657">
        <v>0.97715280000000004</v>
      </c>
      <c r="Y2657">
        <v>-0.28116950000000002</v>
      </c>
      <c r="Z2657">
        <v>6.4239820000000003E-2</v>
      </c>
      <c r="AA2657">
        <v>0.95750559999999996</v>
      </c>
      <c r="AB2657">
        <v>28</v>
      </c>
      <c r="AC2657">
        <v>-4.1716000000000104</v>
      </c>
      <c r="AD2657">
        <v>-1.119351984078</v>
      </c>
      <c r="AE2657">
        <v>-11.6901999999999</v>
      </c>
      <c r="AF2657">
        <v>-3.4884392673598899</v>
      </c>
      <c r="AG2657">
        <v>-1.119351984078</v>
      </c>
      <c r="AH2657">
        <v>11.8075466455387</v>
      </c>
      <c r="AI2657">
        <v>95.194760255897293</v>
      </c>
      <c r="AJ2657">
        <v>106.459327257917</v>
      </c>
      <c r="AK2657">
        <v>12.3628603151896</v>
      </c>
      <c r="AL2657">
        <v>81.092321174398606</v>
      </c>
      <c r="AM2657">
        <v>98.474345706416102</v>
      </c>
      <c r="AN2657">
        <v>1.0000000512081499</v>
      </c>
    </row>
    <row r="2658" spans="1:40" x14ac:dyDescent="0.25">
      <c r="A2658" t="str">
        <f>"20190312172942623"</f>
        <v>20190312172942623</v>
      </c>
      <c r="B2658" t="str">
        <f>"1552382982610323"</f>
        <v>1552382982610323</v>
      </c>
      <c r="C2658" t="s">
        <v>40</v>
      </c>
      <c r="D2658">
        <v>3.1276950000000001</v>
      </c>
      <c r="E2658">
        <v>0.45813480000000001</v>
      </c>
      <c r="F2658" t="s">
        <v>41</v>
      </c>
      <c r="G2658">
        <v>-491.2244</v>
      </c>
      <c r="H2658" s="1">
        <v>-2.5508810000000001E-6</v>
      </c>
      <c r="I2658">
        <v>264.7758</v>
      </c>
      <c r="J2658">
        <v>-487.29790000000003</v>
      </c>
      <c r="K2658">
        <v>1.11934</v>
      </c>
      <c r="L2658">
        <v>274.91739999999999</v>
      </c>
      <c r="M2658">
        <v>-0.58369289999999996</v>
      </c>
      <c r="N2658">
        <v>0</v>
      </c>
      <c r="O2658">
        <v>-0.81183989999999995</v>
      </c>
      <c r="P2658">
        <v>-0.45650429999999997</v>
      </c>
      <c r="Q2658">
        <v>0.1444539</v>
      </c>
      <c r="R2658">
        <v>-0.87791649999999999</v>
      </c>
      <c r="S2658">
        <v>-1.1270450000000001</v>
      </c>
      <c r="T2658">
        <v>-0.31439220000000001</v>
      </c>
      <c r="U2658">
        <v>-2.8846440000000002</v>
      </c>
      <c r="V2658">
        <v>-0.14539360000000001</v>
      </c>
      <c r="W2658">
        <v>0.1556794</v>
      </c>
      <c r="X2658">
        <v>0.9770489</v>
      </c>
      <c r="Y2658">
        <v>-0.24944920000000001</v>
      </c>
      <c r="Z2658">
        <v>7.4586340000000001E-2</v>
      </c>
      <c r="AA2658">
        <v>0.96551129999999996</v>
      </c>
      <c r="AB2658">
        <v>28</v>
      </c>
      <c r="AC2658">
        <v>-3.9264999999999701</v>
      </c>
      <c r="AD2658">
        <v>-1.119342550881</v>
      </c>
      <c r="AE2658">
        <v>-10.141599999999899</v>
      </c>
      <c r="AF2658">
        <v>-2.7035481990577699</v>
      </c>
      <c r="AG2658">
        <v>-1.119342550881</v>
      </c>
      <c r="AH2658">
        <v>10.416030400159199</v>
      </c>
      <c r="AI2658">
        <v>95.938366708104496</v>
      </c>
      <c r="AJ2658">
        <v>104.550410936468</v>
      </c>
      <c r="AK2658">
        <v>10.819232408442</v>
      </c>
      <c r="AL2658">
        <v>81.043798332313401</v>
      </c>
      <c r="AM2658">
        <v>98.464012299859803</v>
      </c>
      <c r="AN2658">
        <v>0.99999996374826405</v>
      </c>
    </row>
    <row r="2659" spans="1:40" x14ac:dyDescent="0.25">
      <c r="A2659" t="str">
        <f>"20190312172942635"</f>
        <v>20190312172942635</v>
      </c>
      <c r="B2659" t="str">
        <f>"1552382982629843"</f>
        <v>1552382982629843</v>
      </c>
      <c r="C2659" t="s">
        <v>40</v>
      </c>
      <c r="D2659">
        <v>3.1307459999999998</v>
      </c>
      <c r="E2659">
        <v>0.45798280000000002</v>
      </c>
      <c r="F2659" t="s">
        <v>41</v>
      </c>
      <c r="G2659">
        <v>-491.19889999999998</v>
      </c>
      <c r="H2659" s="1">
        <v>-2.5373479999999999E-6</v>
      </c>
      <c r="I2659">
        <v>264.76010000000002</v>
      </c>
      <c r="J2659">
        <v>-487.37849999999997</v>
      </c>
      <c r="K2659">
        <v>1.119335</v>
      </c>
      <c r="L2659">
        <v>274.79410000000001</v>
      </c>
      <c r="M2659">
        <v>-0.57852519999999996</v>
      </c>
      <c r="N2659">
        <v>0</v>
      </c>
      <c r="O2659">
        <v>-0.81553059999999999</v>
      </c>
      <c r="P2659">
        <v>-0.45128059999999998</v>
      </c>
      <c r="Q2659">
        <v>0.14506939999999999</v>
      </c>
      <c r="R2659">
        <v>-0.88051190000000001</v>
      </c>
      <c r="S2659">
        <v>-1.1107180000000001</v>
      </c>
      <c r="T2659">
        <v>-0.31870779999999999</v>
      </c>
      <c r="U2659">
        <v>-2.8920590000000002</v>
      </c>
      <c r="V2659">
        <v>-0.1449435</v>
      </c>
      <c r="W2659">
        <v>0.15630629999999901</v>
      </c>
      <c r="X2659">
        <v>0.97701570000000004</v>
      </c>
      <c r="Y2659">
        <v>-0.24891949999999999</v>
      </c>
      <c r="Z2659">
        <v>7.6036859999999998E-2</v>
      </c>
      <c r="AA2659">
        <v>0.96553480000000003</v>
      </c>
      <c r="AB2659">
        <v>28</v>
      </c>
      <c r="AC2659">
        <v>-3.8203999999999998</v>
      </c>
      <c r="AD2659">
        <v>-1.1193375373479999</v>
      </c>
      <c r="AE2659">
        <v>-10.033999999999899</v>
      </c>
      <c r="AF2659">
        <v>-2.6606445446646201</v>
      </c>
      <c r="AG2659">
        <v>-1.1193375373479999</v>
      </c>
      <c r="AH2659">
        <v>10.282607581054499</v>
      </c>
      <c r="AI2659">
        <v>96.015999113983398</v>
      </c>
      <c r="AJ2659">
        <v>104.507214585291</v>
      </c>
      <c r="AK2659">
        <v>10.680073247947799</v>
      </c>
      <c r="AL2659">
        <v>81.007434573837401</v>
      </c>
      <c r="AM2659">
        <v>98.438470386134597</v>
      </c>
      <c r="AN2659">
        <v>0.99999997782921402</v>
      </c>
    </row>
    <row r="2660" spans="1:40" x14ac:dyDescent="0.25">
      <c r="A2660" t="str">
        <f>"20190312172942648"</f>
        <v>20190312172942648</v>
      </c>
      <c r="B2660" t="str">
        <f>"1552382982640581"</f>
        <v>1552382982640581</v>
      </c>
      <c r="C2660" t="s">
        <v>40</v>
      </c>
      <c r="D2660">
        <v>3.1401780000000001</v>
      </c>
      <c r="E2660">
        <v>0.45778639999999998</v>
      </c>
      <c r="F2660" t="s">
        <v>41</v>
      </c>
      <c r="G2660">
        <v>-491.39100000000002</v>
      </c>
      <c r="H2660" s="1">
        <v>-2.3269600000000001E-6</v>
      </c>
      <c r="I2660">
        <v>264.1506</v>
      </c>
      <c r="J2660">
        <v>-487.46499999999997</v>
      </c>
      <c r="K2660">
        <v>1.119327</v>
      </c>
      <c r="L2660">
        <v>274.66059999999999</v>
      </c>
      <c r="M2660">
        <v>-0.57292100000000001</v>
      </c>
      <c r="N2660">
        <v>0</v>
      </c>
      <c r="O2660">
        <v>-0.81947709999999996</v>
      </c>
      <c r="P2660">
        <v>-0.44525090000000001</v>
      </c>
      <c r="Q2660">
        <v>0.14547460000000001</v>
      </c>
      <c r="R2660">
        <v>-0.88350930000000005</v>
      </c>
      <c r="S2660">
        <v>-1.0923160000000001</v>
      </c>
      <c r="T2660">
        <v>-0.30471679999999901</v>
      </c>
      <c r="U2660">
        <v>-2.897491</v>
      </c>
      <c r="V2660">
        <v>-0.1448921</v>
      </c>
      <c r="W2660">
        <v>0.1567132</v>
      </c>
      <c r="X2660">
        <v>0.9769582</v>
      </c>
      <c r="Y2660">
        <v>-0.24815119999999999</v>
      </c>
      <c r="Z2660">
        <v>7.3238860000000003E-2</v>
      </c>
      <c r="AA2660">
        <v>0.96594880000000005</v>
      </c>
      <c r="AB2660">
        <v>28</v>
      </c>
      <c r="AC2660">
        <v>-3.9259999999999802</v>
      </c>
      <c r="AD2660">
        <v>-1.11932932696</v>
      </c>
      <c r="AE2660">
        <v>-10.5099999999999</v>
      </c>
      <c r="AF2660">
        <v>-2.77680022926091</v>
      </c>
      <c r="AG2660">
        <v>-1.11932932696</v>
      </c>
      <c r="AH2660">
        <v>10.7561183711182</v>
      </c>
      <c r="AI2660">
        <v>95.753754470413497</v>
      </c>
      <c r="AJ2660">
        <v>104.47542676012</v>
      </c>
      <c r="AK2660">
        <v>11.165016796625199</v>
      </c>
      <c r="AL2660">
        <v>80.983830557744596</v>
      </c>
      <c r="AM2660">
        <v>98.436010329418494</v>
      </c>
      <c r="AN2660">
        <v>1.0000000361219401</v>
      </c>
    </row>
    <row r="2661" spans="1:40" x14ac:dyDescent="0.25">
      <c r="A2661" t="str">
        <f>"20190312172942659"</f>
        <v>20190312172942659</v>
      </c>
      <c r="B2661" t="str">
        <f>"1552382982650339"</f>
        <v>1552382982650339</v>
      </c>
      <c r="C2661" t="s">
        <v>40</v>
      </c>
      <c r="D2661">
        <v>3.1237919999999999</v>
      </c>
      <c r="E2661">
        <v>0.45778639999999998</v>
      </c>
      <c r="F2661" t="s">
        <v>41</v>
      </c>
      <c r="G2661">
        <v>-491.43779999999998</v>
      </c>
      <c r="H2661" s="1">
        <v>-2.2245539999999998E-6</v>
      </c>
      <c r="I2661">
        <v>263.88279999999997</v>
      </c>
      <c r="J2661">
        <v>-487.53930000000003</v>
      </c>
      <c r="K2661">
        <v>1.119319</v>
      </c>
      <c r="L2661">
        <v>274.54430000000002</v>
      </c>
      <c r="M2661">
        <v>-0.56803300000000001</v>
      </c>
      <c r="N2661">
        <v>0</v>
      </c>
      <c r="O2661">
        <v>-0.82287310000000002</v>
      </c>
      <c r="P2661">
        <v>-0.44029810000000003</v>
      </c>
      <c r="Q2661">
        <v>0.1456469</v>
      </c>
      <c r="R2661">
        <v>-0.88595999999999997</v>
      </c>
      <c r="S2661">
        <v>-1.0709839999999999</v>
      </c>
      <c r="T2661">
        <v>-0.30174959999999901</v>
      </c>
      <c r="U2661">
        <v>-2.9054869999999999</v>
      </c>
      <c r="V2661">
        <v>-0.14452870000000001</v>
      </c>
      <c r="W2661">
        <v>0.15689589999999901</v>
      </c>
      <c r="X2661">
        <v>0.97698269999999998</v>
      </c>
      <c r="Y2661">
        <v>-0.24947449999999999</v>
      </c>
      <c r="Z2661">
        <v>7.288066E-2</v>
      </c>
      <c r="AA2661">
        <v>0.96563489999999996</v>
      </c>
      <c r="AB2661">
        <v>28</v>
      </c>
      <c r="AC2661">
        <v>-3.8984999999999501</v>
      </c>
      <c r="AD2661">
        <v>-1.1193212245539901</v>
      </c>
      <c r="AE2661">
        <v>-10.6615</v>
      </c>
      <c r="AF2661">
        <v>-2.8209973341352699</v>
      </c>
      <c r="AG2661">
        <v>-1.1193212245539901</v>
      </c>
      <c r="AH2661">
        <v>10.882930365951699</v>
      </c>
      <c r="AI2661">
        <v>95.685668495841895</v>
      </c>
      <c r="AJ2661">
        <v>104.531973029181</v>
      </c>
      <c r="AK2661">
        <v>11.2981892050491</v>
      </c>
      <c r="AL2661">
        <v>80.973231470734603</v>
      </c>
      <c r="AM2661">
        <v>98.414947526886806</v>
      </c>
      <c r="AN2661">
        <v>1.0000000323298901</v>
      </c>
    </row>
    <row r="2662" spans="1:40" x14ac:dyDescent="0.25">
      <c r="A2662" t="str">
        <f>"20190312172942669"</f>
        <v>20190312172942669</v>
      </c>
      <c r="B2662" t="str">
        <f>"1552382982660099"</f>
        <v>1552382982660099</v>
      </c>
      <c r="C2662" t="s">
        <v>40</v>
      </c>
      <c r="D2662">
        <v>3.0416820000000002</v>
      </c>
      <c r="E2662">
        <v>0.4473028</v>
      </c>
      <c r="F2662" t="s">
        <v>41</v>
      </c>
      <c r="G2662">
        <v>-491.459</v>
      </c>
      <c r="H2662" s="1">
        <v>-2.1618600000000002E-6</v>
      </c>
      <c r="I2662">
        <v>263.72359999999998</v>
      </c>
      <c r="J2662">
        <v>-487.61079999999998</v>
      </c>
      <c r="K2662">
        <v>1.119313</v>
      </c>
      <c r="L2662">
        <v>274.4307</v>
      </c>
      <c r="M2662">
        <v>-0.56325950000000002</v>
      </c>
      <c r="N2662">
        <v>0</v>
      </c>
      <c r="O2662">
        <v>-0.82614789999999905</v>
      </c>
      <c r="P2662">
        <v>-0.43567869999999997</v>
      </c>
      <c r="Q2662">
        <v>0.14575579999999999</v>
      </c>
      <c r="R2662">
        <v>-0.88822279999999998</v>
      </c>
      <c r="S2662">
        <v>-1.054657</v>
      </c>
      <c r="T2662">
        <v>-0.30117389999999999</v>
      </c>
      <c r="U2662">
        <v>-2.91153</v>
      </c>
      <c r="V2662">
        <v>-0.14394770000000001</v>
      </c>
      <c r="W2662">
        <v>0.1570202</v>
      </c>
      <c r="X2662">
        <v>0.97704849999999999</v>
      </c>
      <c r="Y2662">
        <v>-0.24929889999999999</v>
      </c>
      <c r="Z2662">
        <v>7.3121039999999998E-2</v>
      </c>
      <c r="AA2662">
        <v>0.96566209999999997</v>
      </c>
      <c r="AB2662">
        <v>28</v>
      </c>
      <c r="AC2662">
        <v>-3.8482000000000198</v>
      </c>
      <c r="AD2662">
        <v>-1.1193151618599999</v>
      </c>
      <c r="AE2662">
        <v>-10.707100000000001</v>
      </c>
      <c r="AF2662">
        <v>-2.8246668073591001</v>
      </c>
      <c r="AG2662">
        <v>-1.1193151618599999</v>
      </c>
      <c r="AH2662">
        <v>10.9088070558449</v>
      </c>
      <c r="AI2662">
        <v>95.672620133836006</v>
      </c>
      <c r="AJ2662">
        <v>104.517019807701</v>
      </c>
      <c r="AK2662">
        <v>11.3240311014152</v>
      </c>
      <c r="AL2662">
        <v>80.966020179647799</v>
      </c>
      <c r="AM2662">
        <v>98.381044794205295</v>
      </c>
      <c r="AN2662">
        <v>1.00000002744778</v>
      </c>
    </row>
    <row r="2663" spans="1:40" x14ac:dyDescent="0.25">
      <c r="A2663" t="str">
        <f>"20190312172942679"</f>
        <v>20190312172942679</v>
      </c>
      <c r="B2663" t="str">
        <f>"1552382982669859"</f>
        <v>1552382982669859</v>
      </c>
      <c r="C2663" t="s">
        <v>40</v>
      </c>
      <c r="D2663">
        <v>3.064114</v>
      </c>
      <c r="E2663">
        <v>0.44658039999999999</v>
      </c>
      <c r="F2663" t="s">
        <v>41</v>
      </c>
      <c r="G2663">
        <v>-491.42910000000001</v>
      </c>
      <c r="H2663" s="1">
        <v>-1.7295290000000001E-6</v>
      </c>
      <c r="I2663">
        <v>262.73430000000002</v>
      </c>
      <c r="J2663">
        <v>-487.67790000000002</v>
      </c>
      <c r="K2663">
        <v>1.1193040000000001</v>
      </c>
      <c r="L2663">
        <v>274.32310000000001</v>
      </c>
      <c r="M2663">
        <v>-0.55873249999999997</v>
      </c>
      <c r="N2663">
        <v>0</v>
      </c>
      <c r="O2663">
        <v>-0.82921630000000002</v>
      </c>
      <c r="P2663">
        <v>-0.4310119</v>
      </c>
      <c r="Q2663">
        <v>0.1457881</v>
      </c>
      <c r="R2663">
        <v>-0.8904917</v>
      </c>
      <c r="S2663">
        <v>-0.96343990000000002</v>
      </c>
      <c r="T2663">
        <v>-0.2824277</v>
      </c>
      <c r="U2663">
        <v>-2.951263</v>
      </c>
      <c r="V2663">
        <v>-0.14372499999999999</v>
      </c>
      <c r="W2663">
        <v>0.1570588</v>
      </c>
      <c r="X2663">
        <v>0.97707500000000003</v>
      </c>
      <c r="Y2663">
        <v>-0.27466059999999998</v>
      </c>
      <c r="Z2663">
        <v>6.8081799999999998E-2</v>
      </c>
      <c r="AA2663">
        <v>0.95912799999999998</v>
      </c>
      <c r="AB2663">
        <v>28</v>
      </c>
      <c r="AC2663">
        <v>-3.7511999999999799</v>
      </c>
      <c r="AD2663">
        <v>-1.1193057295290001</v>
      </c>
      <c r="AE2663">
        <v>-11.5887999999999</v>
      </c>
      <c r="AF2663">
        <v>-3.33667558811071</v>
      </c>
      <c r="AG2663">
        <v>-1.1193057295290001</v>
      </c>
      <c r="AH2663">
        <v>11.6087930299186</v>
      </c>
      <c r="AI2663">
        <v>95.294304878996797</v>
      </c>
      <c r="AJ2663">
        <v>106.036057322509</v>
      </c>
      <c r="AK2663">
        <v>12.1305533636326</v>
      </c>
      <c r="AL2663">
        <v>80.963780061603202</v>
      </c>
      <c r="AM2663">
        <v>98.368038566419401</v>
      </c>
      <c r="AN2663">
        <v>0.99999994895371802</v>
      </c>
    </row>
    <row r="2664" spans="1:40" x14ac:dyDescent="0.25">
      <c r="A2664" t="str">
        <f>"20190312172942689"</f>
        <v>20190312172942689</v>
      </c>
      <c r="B2664" t="str">
        <f>"1552382982680595"</f>
        <v>1552382982680595</v>
      </c>
      <c r="C2664" t="s">
        <v>40</v>
      </c>
      <c r="D2664">
        <v>3.132082</v>
      </c>
      <c r="E2664">
        <v>0.44684049999999997</v>
      </c>
      <c r="F2664" t="s">
        <v>41</v>
      </c>
      <c r="G2664">
        <v>-491.51049999999998</v>
      </c>
      <c r="H2664" s="1">
        <v>-1.563732E-6</v>
      </c>
      <c r="I2664">
        <v>262.29739999999998</v>
      </c>
      <c r="J2664">
        <v>-487.74009999999998</v>
      </c>
      <c r="K2664">
        <v>1.1192959999999901</v>
      </c>
      <c r="L2664">
        <v>274.22190000000001</v>
      </c>
      <c r="M2664">
        <v>-0.55447639999999998</v>
      </c>
      <c r="N2664">
        <v>0</v>
      </c>
      <c r="O2664">
        <v>-0.83206819999999904</v>
      </c>
      <c r="P2664">
        <v>-0.42674430000000002</v>
      </c>
      <c r="Q2664">
        <v>0.14548839999999999</v>
      </c>
      <c r="R2664">
        <v>-0.89259330000000003</v>
      </c>
      <c r="S2664">
        <v>-0.94262699999999999</v>
      </c>
      <c r="T2664">
        <v>-0.27529670000000001</v>
      </c>
      <c r="U2664">
        <v>-2.9577640000000001</v>
      </c>
      <c r="V2664">
        <v>-0.14341209999999999</v>
      </c>
      <c r="W2664">
        <v>0.1567683</v>
      </c>
      <c r="X2664">
        <v>0.97716769999999997</v>
      </c>
      <c r="Y2664">
        <v>-0.27643220000000002</v>
      </c>
      <c r="Z2664">
        <v>6.6637000000000002E-2</v>
      </c>
      <c r="AA2664">
        <v>0.95872040000000003</v>
      </c>
      <c r="AB2664">
        <v>28</v>
      </c>
      <c r="AC2664">
        <v>-3.7703999999999902</v>
      </c>
      <c r="AD2664">
        <v>-1.119297563732</v>
      </c>
      <c r="AE2664">
        <v>-11.9245</v>
      </c>
      <c r="AF2664">
        <v>-3.4473901511713301</v>
      </c>
      <c r="AG2664">
        <v>-1.119297563732</v>
      </c>
      <c r="AH2664">
        <v>11.9184416032631</v>
      </c>
      <c r="AI2664">
        <v>95.154982538773496</v>
      </c>
      <c r="AJ2664">
        <v>106.132428157281</v>
      </c>
      <c r="AK2664">
        <v>12.457390422594999</v>
      </c>
      <c r="AL2664">
        <v>80.980633923518596</v>
      </c>
      <c r="AM2664">
        <v>98.349296887345901</v>
      </c>
      <c r="AN2664">
        <v>1.00000002211729</v>
      </c>
    </row>
    <row r="2665" spans="1:40" x14ac:dyDescent="0.25">
      <c r="A2665" t="str">
        <f>"20190312172942700"</f>
        <v>20190312172942700</v>
      </c>
      <c r="B2665" t="str">
        <f>"1552382982690355"</f>
        <v>1552382982690355</v>
      </c>
      <c r="C2665" t="s">
        <v>40</v>
      </c>
      <c r="D2665">
        <v>3.0231859999999999</v>
      </c>
      <c r="E2665">
        <v>0.4472565</v>
      </c>
      <c r="F2665" t="s">
        <v>41</v>
      </c>
      <c r="G2665">
        <v>-491.59649999999999</v>
      </c>
      <c r="H2665" s="1">
        <v>-1.434392E-6</v>
      </c>
      <c r="I2665">
        <v>261.9425</v>
      </c>
      <c r="J2665">
        <v>-487.81180000000001</v>
      </c>
      <c r="K2665">
        <v>1.1192850000000001</v>
      </c>
      <c r="L2665">
        <v>274.10399999999998</v>
      </c>
      <c r="M2665">
        <v>-0.54951549999999905</v>
      </c>
      <c r="N2665">
        <v>0</v>
      </c>
      <c r="O2665">
        <v>-0.83535300000000001</v>
      </c>
      <c r="P2665">
        <v>-0.42170600000000003</v>
      </c>
      <c r="Q2665">
        <v>0.14516899999999999</v>
      </c>
      <c r="R2665">
        <v>-0.89503670000000002</v>
      </c>
      <c r="S2665">
        <v>-0.92974849999999998</v>
      </c>
      <c r="T2665">
        <v>-0.26985679999999901</v>
      </c>
      <c r="U2665">
        <v>-2.96048</v>
      </c>
      <c r="V2665">
        <v>-0.14312329999999901</v>
      </c>
      <c r="W2665">
        <v>0.1564574</v>
      </c>
      <c r="X2665">
        <v>0.97725980000000001</v>
      </c>
      <c r="Y2665">
        <v>-0.27473639999999999</v>
      </c>
      <c r="Z2665">
        <v>6.5743599999999999E-2</v>
      </c>
      <c r="AA2665">
        <v>0.95926929999999999</v>
      </c>
      <c r="AB2665">
        <v>28</v>
      </c>
      <c r="AC2665">
        <v>-3.78469999999998</v>
      </c>
      <c r="AD2665">
        <v>-1.1192864343919999</v>
      </c>
      <c r="AE2665">
        <v>-12.1615</v>
      </c>
      <c r="AF2665">
        <v>-3.4947676960491099</v>
      </c>
      <c r="AG2665">
        <v>-1.1192864343919999</v>
      </c>
      <c r="AH2665">
        <v>12.1464299037453</v>
      </c>
      <c r="AI2665">
        <v>95.0607295565583</v>
      </c>
      <c r="AJ2665">
        <v>106.05157177899</v>
      </c>
      <c r="AK2665">
        <v>12.6886548845084</v>
      </c>
      <c r="AL2665">
        <v>80.998669149454898</v>
      </c>
      <c r="AM2665">
        <v>98.331945301995802</v>
      </c>
      <c r="AN2665">
        <v>0.99999995685684395</v>
      </c>
    </row>
    <row r="2666" spans="1:40" x14ac:dyDescent="0.25">
      <c r="A2666" t="str">
        <f>"20190312172942710"</f>
        <v>20190312172942710</v>
      </c>
      <c r="B2666" t="str">
        <f>"1552382982700116"</f>
        <v>1552382982700116</v>
      </c>
      <c r="C2666" t="s">
        <v>40</v>
      </c>
      <c r="D2666">
        <v>3.209168</v>
      </c>
      <c r="E2666">
        <v>0.44791979999999998</v>
      </c>
      <c r="F2666" t="s">
        <v>41</v>
      </c>
      <c r="G2666">
        <v>-491.6234</v>
      </c>
      <c r="H2666" s="1">
        <v>-1.3649339999999999E-6</v>
      </c>
      <c r="I2666">
        <v>261.76389999999998</v>
      </c>
      <c r="J2666">
        <v>-487.87529999999998</v>
      </c>
      <c r="K2666">
        <v>1.1192740000000001</v>
      </c>
      <c r="L2666">
        <v>273.99779999999998</v>
      </c>
      <c r="M2666">
        <v>-0.54504989999999998</v>
      </c>
      <c r="N2666">
        <v>0</v>
      </c>
      <c r="O2666">
        <v>-0.8382733</v>
      </c>
      <c r="P2666">
        <v>-0.41720590000000002</v>
      </c>
      <c r="Q2666">
        <v>0.1452204</v>
      </c>
      <c r="R2666">
        <v>-0.8971344</v>
      </c>
      <c r="S2666">
        <v>-0.91552730000000004</v>
      </c>
      <c r="T2666">
        <v>-0.268847</v>
      </c>
      <c r="U2666">
        <v>-2.9640200000000001</v>
      </c>
      <c r="V2666">
        <v>-0.1428083</v>
      </c>
      <c r="W2666">
        <v>0.15651770000000001</v>
      </c>
      <c r="X2666">
        <v>0.97729619999999995</v>
      </c>
      <c r="Y2666">
        <v>-0.27412819999999999</v>
      </c>
      <c r="Z2666">
        <v>6.5837919999999994E-2</v>
      </c>
      <c r="AA2666">
        <v>0.95943690000000004</v>
      </c>
      <c r="AB2666">
        <v>28</v>
      </c>
      <c r="AC2666">
        <v>-3.74810000000002</v>
      </c>
      <c r="AD2666">
        <v>-1.1192753649339999</v>
      </c>
      <c r="AE2666">
        <v>-12.2339</v>
      </c>
      <c r="AF2666">
        <v>-3.4997585363835801</v>
      </c>
      <c r="AG2666">
        <v>-1.1192753649339999</v>
      </c>
      <c r="AH2666">
        <v>12.206193790574099</v>
      </c>
      <c r="AI2666">
        <v>95.037358753862904</v>
      </c>
      <c r="AJ2666">
        <v>105.998650157314</v>
      </c>
      <c r="AK2666">
        <v>12.747244957581501</v>
      </c>
      <c r="AL2666">
        <v>80.995170889828401</v>
      </c>
      <c r="AM2666">
        <v>98.313558799779301</v>
      </c>
      <c r="AN2666">
        <v>0.99999993174830704</v>
      </c>
    </row>
    <row r="2667" spans="1:40" x14ac:dyDescent="0.25">
      <c r="A2667" t="str">
        <f>"20190312172942720"</f>
        <v>20190312172942720</v>
      </c>
      <c r="B2667" t="str">
        <f>"1552382982709875"</f>
        <v>1552382982709875</v>
      </c>
      <c r="C2667" t="s">
        <v>40</v>
      </c>
      <c r="D2667">
        <v>3.2150129999999999</v>
      </c>
      <c r="E2667">
        <v>0.44863940000000002</v>
      </c>
      <c r="F2667" t="s">
        <v>41</v>
      </c>
      <c r="G2667">
        <v>-491.69119999999998</v>
      </c>
      <c r="H2667" s="1">
        <v>-1.2712260000000001E-6</v>
      </c>
      <c r="I2667">
        <v>261.5034</v>
      </c>
      <c r="J2667">
        <v>-487.9427</v>
      </c>
      <c r="K2667">
        <v>1.1192569999999999</v>
      </c>
      <c r="L2667">
        <v>273.88420000000002</v>
      </c>
      <c r="M2667">
        <v>-0.54026370000000001</v>
      </c>
      <c r="N2667">
        <v>0</v>
      </c>
      <c r="O2667">
        <v>-0.84136610000000001</v>
      </c>
      <c r="P2667">
        <v>-0.41248750000000001</v>
      </c>
      <c r="Q2667">
        <v>0.14509710000000001</v>
      </c>
      <c r="R2667">
        <v>-0.89933379999999996</v>
      </c>
      <c r="S2667">
        <v>-0.9057617</v>
      </c>
      <c r="T2667">
        <v>-0.26567649999999998</v>
      </c>
      <c r="U2667">
        <v>-2.9657290000000001</v>
      </c>
      <c r="V2667">
        <v>-0.14237649999999999</v>
      </c>
      <c r="W2667">
        <v>0.15640660000000001</v>
      </c>
      <c r="X2667">
        <v>0.9773771</v>
      </c>
      <c r="Y2667">
        <v>-0.27167940000000002</v>
      </c>
      <c r="Z2667">
        <v>6.547277E-2</v>
      </c>
      <c r="AA2667">
        <v>0.96015810000000001</v>
      </c>
      <c r="AB2667">
        <v>28</v>
      </c>
      <c r="AC2667">
        <v>-3.7484999999999702</v>
      </c>
      <c r="AD2667">
        <v>-1.119258271226</v>
      </c>
      <c r="AE2667">
        <v>-12.380800000000001</v>
      </c>
      <c r="AF2667">
        <v>-3.5091508787171</v>
      </c>
      <c r="AG2667">
        <v>-1.119258271226</v>
      </c>
      <c r="AH2667">
        <v>12.3508582737252</v>
      </c>
      <c r="AI2667">
        <v>94.981976717389401</v>
      </c>
      <c r="AJ2667">
        <v>105.861015988977</v>
      </c>
      <c r="AK2667">
        <v>12.888389312282399</v>
      </c>
      <c r="AL2667">
        <v>81.001616845449604</v>
      </c>
      <c r="AM2667">
        <v>98.288094863315806</v>
      </c>
      <c r="AN2667">
        <v>1.0000000439401</v>
      </c>
    </row>
    <row r="2668" spans="1:40" x14ac:dyDescent="0.25">
      <c r="A2668" t="str">
        <f>"20190312172942732"</f>
        <v>20190312172942732</v>
      </c>
      <c r="B2668" t="str">
        <f>"1552382982720612"</f>
        <v>1552382982720612</v>
      </c>
      <c r="C2668" t="s">
        <v>40</v>
      </c>
      <c r="D2668">
        <v>3.153314</v>
      </c>
      <c r="E2668">
        <v>0.44907829999999899</v>
      </c>
      <c r="F2668" t="s">
        <v>41</v>
      </c>
      <c r="G2668">
        <v>-491.7312</v>
      </c>
      <c r="H2668" s="1">
        <v>-1.2012930000000001E-6</v>
      </c>
      <c r="I2668">
        <v>261.31560000000002</v>
      </c>
      <c r="J2668">
        <v>-488.01369999999997</v>
      </c>
      <c r="K2668">
        <v>1.1192439999999999</v>
      </c>
      <c r="L2668">
        <v>273.76229999999998</v>
      </c>
      <c r="M2668">
        <v>-0.53513159999999904</v>
      </c>
      <c r="N2668">
        <v>0</v>
      </c>
      <c r="O2668">
        <v>-0.84463969999999899</v>
      </c>
      <c r="P2668">
        <v>-0.40739829999999999</v>
      </c>
      <c r="Q2668">
        <v>0.1449184</v>
      </c>
      <c r="R2668">
        <v>-0.90167920000000001</v>
      </c>
      <c r="S2668">
        <v>-0.89465329999999998</v>
      </c>
      <c r="T2668">
        <v>-0.26431290000000002</v>
      </c>
      <c r="U2668">
        <v>-2.9680789999999999</v>
      </c>
      <c r="V2668">
        <v>-0.1419562</v>
      </c>
      <c r="W2668">
        <v>0.15623989999999999</v>
      </c>
      <c r="X2668">
        <v>0.97746489999999997</v>
      </c>
      <c r="Y2668">
        <v>-0.26932240000000002</v>
      </c>
      <c r="Z2668">
        <v>6.5554039999999994E-2</v>
      </c>
      <c r="AA2668">
        <v>0.96081640000000001</v>
      </c>
      <c r="AB2668">
        <v>28</v>
      </c>
      <c r="AC2668">
        <v>-3.7175000000000198</v>
      </c>
      <c r="AD2668">
        <v>-1.1192452012930001</v>
      </c>
      <c r="AE2668">
        <v>-12.4466999999999</v>
      </c>
      <c r="AF2668">
        <v>-3.4951107758088198</v>
      </c>
      <c r="AG2668">
        <v>-1.1192452012930001</v>
      </c>
      <c r="AH2668">
        <v>12.4115492388653</v>
      </c>
      <c r="AI2668">
        <v>94.960937093368301</v>
      </c>
      <c r="AJ2668">
        <v>105.727298840119</v>
      </c>
      <c r="AK2668">
        <v>12.942761052594999</v>
      </c>
      <c r="AL2668">
        <v>81.011286990091307</v>
      </c>
      <c r="AM2668">
        <v>98.263234493346999</v>
      </c>
      <c r="AN2668">
        <v>1.00000004990122</v>
      </c>
    </row>
    <row r="2669" spans="1:40" x14ac:dyDescent="0.25">
      <c r="A2669" t="str">
        <f>"20190312172942743"</f>
        <v>20190312172942743</v>
      </c>
      <c r="B2669" t="str">
        <f>"1552382982740131"</f>
        <v>1552382982740131</v>
      </c>
      <c r="C2669" t="s">
        <v>40</v>
      </c>
      <c r="D2669">
        <v>3.1648000000000001</v>
      </c>
      <c r="E2669">
        <v>0.44971040000000001</v>
      </c>
      <c r="F2669" t="s">
        <v>41</v>
      </c>
      <c r="G2669">
        <v>-491.78129999999999</v>
      </c>
      <c r="H2669" s="1">
        <v>-1.10605E-6</v>
      </c>
      <c r="I2669">
        <v>261.06259999999997</v>
      </c>
      <c r="J2669">
        <v>-488.08249999999998</v>
      </c>
      <c r="K2669">
        <v>1.119229</v>
      </c>
      <c r="L2669">
        <v>273.64359999999999</v>
      </c>
      <c r="M2669">
        <v>-0.53012190000000003</v>
      </c>
      <c r="N2669">
        <v>0</v>
      </c>
      <c r="O2669">
        <v>-0.84779300000000002</v>
      </c>
      <c r="P2669">
        <v>-0.4023196</v>
      </c>
      <c r="Q2669">
        <v>0.1448506</v>
      </c>
      <c r="R2669">
        <v>-0.90396770000000004</v>
      </c>
      <c r="S2669">
        <v>-0.881378199999999</v>
      </c>
      <c r="T2669">
        <v>-0.2618355</v>
      </c>
      <c r="U2669">
        <v>-2.9709780000000001</v>
      </c>
      <c r="V2669">
        <v>-0.14166899999999999</v>
      </c>
      <c r="W2669">
        <v>0.1561805</v>
      </c>
      <c r="X2669">
        <v>0.97751600000000005</v>
      </c>
      <c r="Y2669">
        <v>-0.26781339999999998</v>
      </c>
      <c r="Z2669">
        <v>6.5323350000000002E-2</v>
      </c>
      <c r="AA2669">
        <v>0.96125380000000005</v>
      </c>
      <c r="AB2669">
        <v>28</v>
      </c>
      <c r="AC2669">
        <v>-3.6987999999999999</v>
      </c>
      <c r="AD2669">
        <v>-1.1192301060500001</v>
      </c>
      <c r="AE2669">
        <v>-12.581</v>
      </c>
      <c r="AF2669">
        <v>-3.50847399125702</v>
      </c>
      <c r="AG2669">
        <v>-1.1192301060500001</v>
      </c>
      <c r="AH2669">
        <v>12.536947507164999</v>
      </c>
      <c r="AI2669">
        <v>94.913721489776705</v>
      </c>
      <c r="AJ2669">
        <v>105.634315717673</v>
      </c>
      <c r="AK2669">
        <v>13.066641442047301</v>
      </c>
      <c r="AL2669">
        <v>81.014732136054207</v>
      </c>
      <c r="AM2669">
        <v>98.246321646466399</v>
      </c>
      <c r="AN2669">
        <v>0.99999999219862501</v>
      </c>
    </row>
    <row r="2670" spans="1:40" x14ac:dyDescent="0.25">
      <c r="A2670" t="str">
        <f>"20190312172942754"</f>
        <v>20190312172942754</v>
      </c>
      <c r="B2670" t="str">
        <f>"1552382982749891"</f>
        <v>1552382982749891</v>
      </c>
      <c r="C2670" t="s">
        <v>40</v>
      </c>
      <c r="D2670">
        <v>3.2012779999999998</v>
      </c>
      <c r="E2670">
        <v>0.45001960000000002</v>
      </c>
      <c r="F2670" t="s">
        <v>41</v>
      </c>
      <c r="G2670">
        <v>-491.84719999999999</v>
      </c>
      <c r="H2670" s="1">
        <v>-9.9140540000000005E-7</v>
      </c>
      <c r="I2670">
        <v>260.75439999999998</v>
      </c>
      <c r="J2670">
        <v>-488.15600000000001</v>
      </c>
      <c r="K2670">
        <v>1.1192139999999999</v>
      </c>
      <c r="L2670">
        <v>273.51350000000002</v>
      </c>
      <c r="M2670">
        <v>-0.52464440000000001</v>
      </c>
      <c r="N2670">
        <v>0</v>
      </c>
      <c r="O2670">
        <v>-0.85119359999999999</v>
      </c>
      <c r="P2670">
        <v>-0.39663549999999997</v>
      </c>
      <c r="Q2670">
        <v>0.14444199999999999</v>
      </c>
      <c r="R2670">
        <v>-0.90654179999999995</v>
      </c>
      <c r="S2670">
        <v>-0.86853029999999998</v>
      </c>
      <c r="T2670">
        <v>-0.25820959999999998</v>
      </c>
      <c r="U2670">
        <v>-2.9735719999999999</v>
      </c>
      <c r="V2670">
        <v>-0.14152479999999901</v>
      </c>
      <c r="W2670">
        <v>0.15577739999999901</v>
      </c>
      <c r="X2670">
        <v>0.97760119999999895</v>
      </c>
      <c r="Y2670">
        <v>-0.26563920000000002</v>
      </c>
      <c r="Z2670">
        <v>6.4842079999999996E-2</v>
      </c>
      <c r="AA2670">
        <v>0.96188940000000001</v>
      </c>
      <c r="AB2670">
        <v>28</v>
      </c>
      <c r="AC2670">
        <v>-3.6911999999999798</v>
      </c>
      <c r="AD2670">
        <v>-1.1192149914053999</v>
      </c>
      <c r="AE2670">
        <v>-12.7591</v>
      </c>
      <c r="AF2670">
        <v>-3.5274054285270098</v>
      </c>
      <c r="AG2670">
        <v>-1.1192149914053999</v>
      </c>
      <c r="AH2670">
        <v>12.7081922017528</v>
      </c>
      <c r="AI2670">
        <v>94.850608297954807</v>
      </c>
      <c r="AJ2670">
        <v>105.513027078043</v>
      </c>
      <c r="AK2670">
        <v>13.2360636252203</v>
      </c>
      <c r="AL2670">
        <v>81.038114204629593</v>
      </c>
      <c r="AM2670">
        <v>98.237335150620197</v>
      </c>
      <c r="AN2670">
        <v>0.99999998680361901</v>
      </c>
    </row>
    <row r="2671" spans="1:40" x14ac:dyDescent="0.25">
      <c r="A2671" t="str">
        <f>"20190312172942766"</f>
        <v>20190312172942766</v>
      </c>
      <c r="B2671" t="str">
        <f>"1552382982760627"</f>
        <v>1552382982760627</v>
      </c>
      <c r="C2671" t="s">
        <v>40</v>
      </c>
      <c r="D2671">
        <v>3.1686749999999999</v>
      </c>
      <c r="E2671">
        <v>0.45024999999999998</v>
      </c>
      <c r="F2671" t="s">
        <v>41</v>
      </c>
      <c r="G2671">
        <v>-491.85649999999998</v>
      </c>
      <c r="H2671" s="1">
        <v>-9.1985919999999999E-7</v>
      </c>
      <c r="I2671">
        <v>260.58190000000002</v>
      </c>
      <c r="J2671">
        <v>-488.22239999999999</v>
      </c>
      <c r="K2671">
        <v>1.1192040000000001</v>
      </c>
      <c r="L2671">
        <v>273.39519999999999</v>
      </c>
      <c r="M2671">
        <v>-0.51964949999999999</v>
      </c>
      <c r="N2671">
        <v>0</v>
      </c>
      <c r="O2671">
        <v>-0.85425219999999902</v>
      </c>
      <c r="P2671">
        <v>-0.39177440000000002</v>
      </c>
      <c r="Q2671">
        <v>0.14406939999999999</v>
      </c>
      <c r="R2671">
        <v>-0.90871199999999996</v>
      </c>
      <c r="S2671">
        <v>-0.8520508</v>
      </c>
      <c r="T2671">
        <v>-0.25770549999999998</v>
      </c>
      <c r="U2671">
        <v>-2.9775700000000001</v>
      </c>
      <c r="V2671">
        <v>-0.14105229999999999</v>
      </c>
      <c r="W2671">
        <v>0.1554179</v>
      </c>
      <c r="X2671">
        <v>0.97772669999999995</v>
      </c>
      <c r="Y2671">
        <v>-0.26525460000000001</v>
      </c>
      <c r="Z2671">
        <v>6.5049510000000005E-2</v>
      </c>
      <c r="AA2671">
        <v>0.96198159999999999</v>
      </c>
      <c r="AB2671">
        <v>28</v>
      </c>
      <c r="AC2671">
        <v>-3.6340999999999801</v>
      </c>
      <c r="AD2671">
        <v>-1.1192049198592</v>
      </c>
      <c r="AE2671">
        <v>-12.8132999999999</v>
      </c>
      <c r="AF2671">
        <v>-3.5294505184634999</v>
      </c>
      <c r="AG2671">
        <v>-1.1192049198592</v>
      </c>
      <c r="AH2671">
        <v>12.745641132250499</v>
      </c>
      <c r="AI2671">
        <v>94.837192628914494</v>
      </c>
      <c r="AJ2671">
        <v>105.478172045845</v>
      </c>
      <c r="AK2671">
        <v>13.2725660098956</v>
      </c>
      <c r="AL2671">
        <v>81.058966007587102</v>
      </c>
      <c r="AM2671">
        <v>98.209169724273295</v>
      </c>
      <c r="AN2671">
        <v>0.99999998743429397</v>
      </c>
    </row>
    <row r="2672" spans="1:40" x14ac:dyDescent="0.25">
      <c r="A2672" t="str">
        <f>"20190312172942777"</f>
        <v>20190312172942777</v>
      </c>
      <c r="B2672" t="str">
        <f>"1552382982770387"</f>
        <v>1552382982770387</v>
      </c>
      <c r="C2672" t="s">
        <v>40</v>
      </c>
      <c r="D2672">
        <v>3.1211090000000001</v>
      </c>
      <c r="E2672">
        <v>0.4505016</v>
      </c>
      <c r="F2672" t="s">
        <v>41</v>
      </c>
      <c r="G2672">
        <v>-491.85210000000001</v>
      </c>
      <c r="H2672" s="1">
        <v>-8.7214000000000003E-7</v>
      </c>
      <c r="I2672">
        <v>260.47340000000003</v>
      </c>
      <c r="J2672">
        <v>-488.29059999999998</v>
      </c>
      <c r="K2672">
        <v>1.1191899999999999</v>
      </c>
      <c r="L2672">
        <v>273.27120000000002</v>
      </c>
      <c r="M2672">
        <v>-0.51441789999999998</v>
      </c>
      <c r="N2672">
        <v>0</v>
      </c>
      <c r="O2672">
        <v>-0.85741259999999997</v>
      </c>
      <c r="P2672">
        <v>-0.3863548</v>
      </c>
      <c r="Q2672">
        <v>0.1438691</v>
      </c>
      <c r="R2672">
        <v>-0.91106100000000001</v>
      </c>
      <c r="S2672">
        <v>-0.83743289999999904</v>
      </c>
      <c r="T2672">
        <v>-0.25821539999999998</v>
      </c>
      <c r="U2672">
        <v>-2.9812319999999999</v>
      </c>
      <c r="V2672">
        <v>-0.14090649999999999</v>
      </c>
      <c r="W2672">
        <v>0.1552229</v>
      </c>
      <c r="X2672">
        <v>0.9777787</v>
      </c>
      <c r="Y2672">
        <v>-0.26404650000000002</v>
      </c>
      <c r="Z2672">
        <v>6.5535369999999996E-2</v>
      </c>
      <c r="AA2672">
        <v>0.96228089999999999</v>
      </c>
      <c r="AB2672">
        <v>28</v>
      </c>
      <c r="AC2672">
        <v>-3.5615000000000201</v>
      </c>
      <c r="AD2672">
        <v>-1.1191908721399999</v>
      </c>
      <c r="AE2672">
        <v>-12.797799999999899</v>
      </c>
      <c r="AF2672">
        <v>-3.5052463712592901</v>
      </c>
      <c r="AG2672">
        <v>-1.1191908721399999</v>
      </c>
      <c r="AH2672">
        <v>12.7162282671742</v>
      </c>
      <c r="AI2672">
        <v>94.849831738781106</v>
      </c>
      <c r="AJ2672">
        <v>105.410944903874</v>
      </c>
      <c r="AK2672">
        <v>13.237892644767401</v>
      </c>
      <c r="AL2672">
        <v>81.070275948230901</v>
      </c>
      <c r="AM2672">
        <v>98.200369515840606</v>
      </c>
      <c r="AN2672">
        <v>0.999999988300174</v>
      </c>
    </row>
    <row r="2673" spans="1:40" x14ac:dyDescent="0.25">
      <c r="A2673" t="str">
        <f>"20190312172942788"</f>
        <v>20190312172942788</v>
      </c>
      <c r="B2673" t="str">
        <f>"1552382982780147"</f>
        <v>1552382982780147</v>
      </c>
      <c r="C2673" t="s">
        <v>40</v>
      </c>
      <c r="D2673">
        <v>3.132298</v>
      </c>
      <c r="E2673">
        <v>0.45073580000000002</v>
      </c>
      <c r="F2673" t="s">
        <v>41</v>
      </c>
      <c r="G2673">
        <v>-491.84840000000003</v>
      </c>
      <c r="H2673" s="1">
        <v>-8.1367829999999999E-7</v>
      </c>
      <c r="I2673">
        <v>260.33940000000001</v>
      </c>
      <c r="J2673">
        <v>-488.35520000000002</v>
      </c>
      <c r="K2673">
        <v>1.1191770000000001</v>
      </c>
      <c r="L2673">
        <v>273.15260000000001</v>
      </c>
      <c r="M2673">
        <v>-0.50941210000000003</v>
      </c>
      <c r="N2673">
        <v>0</v>
      </c>
      <c r="O2673">
        <v>-0.8603963</v>
      </c>
      <c r="P2673">
        <v>-0.38149169999999999</v>
      </c>
      <c r="Q2673">
        <v>0.14362169999999999</v>
      </c>
      <c r="R2673">
        <v>-0.91314700000000004</v>
      </c>
      <c r="S2673">
        <v>-0.82131960000000004</v>
      </c>
      <c r="T2673">
        <v>-0.25836959999999998</v>
      </c>
      <c r="U2673">
        <v>-2.9853519999999998</v>
      </c>
      <c r="V2673">
        <v>-0.140432</v>
      </c>
      <c r="W2673">
        <v>0.15498879999999901</v>
      </c>
      <c r="X2673">
        <v>0.97788410000000003</v>
      </c>
      <c r="Y2673">
        <v>-0.26359709999999997</v>
      </c>
      <c r="Z2673">
        <v>6.5895229999999999E-2</v>
      </c>
      <c r="AA2673">
        <v>0.9623796</v>
      </c>
      <c r="AB2673">
        <v>28</v>
      </c>
      <c r="AC2673">
        <v>-3.4931999999999999</v>
      </c>
      <c r="AD2673">
        <v>-1.1191778136782999</v>
      </c>
      <c r="AE2673">
        <v>-12.813199999999901</v>
      </c>
      <c r="AF2673">
        <v>-3.4972105485019598</v>
      </c>
      <c r="AG2673">
        <v>-1.1191778136782999</v>
      </c>
      <c r="AH2673">
        <v>12.7150059158809</v>
      </c>
      <c r="AI2673">
        <v>94.850987555521797</v>
      </c>
      <c r="AJ2673">
        <v>105.37869746394</v>
      </c>
      <c r="AK2673">
        <v>13.2345916461397</v>
      </c>
      <c r="AL2673">
        <v>81.083853254563905</v>
      </c>
      <c r="AM2673">
        <v>98.172259599248704</v>
      </c>
      <c r="AN2673">
        <v>0.99999999389112404</v>
      </c>
    </row>
    <row r="2674" spans="1:40" x14ac:dyDescent="0.25">
      <c r="A2674" t="str">
        <f>"20190312172942799"</f>
        <v>20190312172942799</v>
      </c>
      <c r="B2674" t="str">
        <f>"1552382982790884"</f>
        <v>1552382982790884</v>
      </c>
      <c r="C2674" t="s">
        <v>40</v>
      </c>
      <c r="D2674">
        <v>3.1732719999999999</v>
      </c>
      <c r="E2674">
        <v>0.45098050000000001</v>
      </c>
      <c r="F2674" t="s">
        <v>41</v>
      </c>
      <c r="G2674">
        <v>-491.8501</v>
      </c>
      <c r="H2674" s="1">
        <v>-7.6292749999999995E-7</v>
      </c>
      <c r="I2674">
        <v>260.22000000000003</v>
      </c>
      <c r="J2674">
        <v>-488.42189999999999</v>
      </c>
      <c r="K2674">
        <v>1.1191679999999999</v>
      </c>
      <c r="L2674">
        <v>273.0283</v>
      </c>
      <c r="M2674">
        <v>-0.50415969999999999</v>
      </c>
      <c r="N2674">
        <v>0</v>
      </c>
      <c r="O2674">
        <v>-0.86348429999999998</v>
      </c>
      <c r="P2674">
        <v>-0.3761022</v>
      </c>
      <c r="Q2674">
        <v>0.14339749999999901</v>
      </c>
      <c r="R2674">
        <v>-0.91541499999999998</v>
      </c>
      <c r="S2674">
        <v>-0.80764769999999997</v>
      </c>
      <c r="T2674">
        <v>-0.258631</v>
      </c>
      <c r="U2674">
        <v>-2.9885860000000002</v>
      </c>
      <c r="V2674">
        <v>-0.14024610000000001</v>
      </c>
      <c r="W2674">
        <v>0.15477070000000001</v>
      </c>
      <c r="X2674">
        <v>0.97794530000000002</v>
      </c>
      <c r="Y2674">
        <v>-0.26208930000000003</v>
      </c>
      <c r="Z2674">
        <v>6.6320299999999999E-2</v>
      </c>
      <c r="AA2674">
        <v>0.96276209999999995</v>
      </c>
      <c r="AB2674">
        <v>28</v>
      </c>
      <c r="AC2674">
        <v>-3.4281999999999999</v>
      </c>
      <c r="AD2674">
        <v>-1.1191687629275</v>
      </c>
      <c r="AE2674">
        <v>-12.8082999999999</v>
      </c>
      <c r="AF2674">
        <v>-3.4728700608214602</v>
      </c>
      <c r="AG2674">
        <v>-1.1191687629275</v>
      </c>
      <c r="AH2674">
        <v>12.6990440437353</v>
      </c>
      <c r="AI2674">
        <v>94.858954074081396</v>
      </c>
      <c r="AJ2674">
        <v>105.29498255239901</v>
      </c>
      <c r="AK2674">
        <v>13.2128378785177</v>
      </c>
      <c r="AL2674">
        <v>81.096501914728506</v>
      </c>
      <c r="AM2674">
        <v>98.161083358255695</v>
      </c>
      <c r="AN2674">
        <v>0.99999997396789397</v>
      </c>
    </row>
    <row r="2675" spans="1:40" x14ac:dyDescent="0.25">
      <c r="A2675" t="str">
        <f>"20190312172942811"</f>
        <v>20190312172942811</v>
      </c>
      <c r="B2675" t="str">
        <f>"1552382982800644"</f>
        <v>1552382982800644</v>
      </c>
      <c r="C2675" t="s">
        <v>40</v>
      </c>
      <c r="D2675">
        <v>3.2088909999999999</v>
      </c>
      <c r="E2675">
        <v>0.45098050000000001</v>
      </c>
      <c r="F2675" t="s">
        <v>41</v>
      </c>
      <c r="G2675">
        <v>-491.85449999999997</v>
      </c>
      <c r="H2675" s="1">
        <v>-6.9087709999999997E-7</v>
      </c>
      <c r="I2675">
        <v>260.04930000000002</v>
      </c>
      <c r="J2675">
        <v>-488.48689999999999</v>
      </c>
      <c r="K2675">
        <v>1.119159</v>
      </c>
      <c r="L2675">
        <v>272.9051</v>
      </c>
      <c r="M2675">
        <v>-0.49895820000000002</v>
      </c>
      <c r="N2675">
        <v>0</v>
      </c>
      <c r="O2675">
        <v>-0.86650049999999901</v>
      </c>
      <c r="P2675">
        <v>-0.3708089</v>
      </c>
      <c r="Q2675">
        <v>0.14359040000000001</v>
      </c>
      <c r="R2675">
        <v>-0.91754170000000002</v>
      </c>
      <c r="S2675">
        <v>-0.79144289999999995</v>
      </c>
      <c r="T2675">
        <v>-0.25804199999999999</v>
      </c>
      <c r="U2675">
        <v>-2.9924930000000001</v>
      </c>
      <c r="V2675">
        <v>-0.13999819999999999</v>
      </c>
      <c r="W2675">
        <v>0.15497040000000001</v>
      </c>
      <c r="X2675">
        <v>0.97794919999999996</v>
      </c>
      <c r="Y2675">
        <v>-0.26146960000000002</v>
      </c>
      <c r="Z2675">
        <v>6.6500260000000005E-2</v>
      </c>
      <c r="AA2675">
        <v>0.96291819999999895</v>
      </c>
      <c r="AB2675">
        <v>28</v>
      </c>
      <c r="AC2675">
        <v>-3.3675999999999799</v>
      </c>
      <c r="AD2675">
        <v>-1.1191596908771</v>
      </c>
      <c r="AE2675">
        <v>-12.855799999999901</v>
      </c>
      <c r="AF2675">
        <v>-3.47223544402974</v>
      </c>
      <c r="AG2675">
        <v>-1.1191596908771</v>
      </c>
      <c r="AH2675">
        <v>12.730956997168899</v>
      </c>
      <c r="AI2675">
        <v>94.847694640663093</v>
      </c>
      <c r="AJ2675">
        <v>105.255773276466</v>
      </c>
      <c r="AK2675">
        <v>13.243345629267001</v>
      </c>
      <c r="AL2675">
        <v>81.084920259529198</v>
      </c>
      <c r="AM2675">
        <v>98.146819535548801</v>
      </c>
      <c r="AN2675">
        <v>0.99999997933001905</v>
      </c>
    </row>
    <row r="2676" spans="1:40" x14ac:dyDescent="0.25">
      <c r="A2676" t="str">
        <f>"20190312172942825"</f>
        <v>20190312172942825</v>
      </c>
      <c r="B2676" t="str">
        <f>"1552382982820163"</f>
        <v>1552382982820163</v>
      </c>
      <c r="C2676" t="s">
        <v>40</v>
      </c>
      <c r="D2676">
        <v>3.187392</v>
      </c>
      <c r="E2676">
        <v>0.46154800000000001</v>
      </c>
      <c r="F2676" t="s">
        <v>41</v>
      </c>
      <c r="G2676">
        <v>-491.85140000000001</v>
      </c>
      <c r="H2676" s="1">
        <v>-6.1798269999999998E-7</v>
      </c>
      <c r="I2676">
        <v>259.88139999999999</v>
      </c>
      <c r="J2676">
        <v>-488.55930000000001</v>
      </c>
      <c r="K2676">
        <v>1.1191500000000001</v>
      </c>
      <c r="L2676">
        <v>272.76639999999998</v>
      </c>
      <c r="M2676">
        <v>-0.4930911</v>
      </c>
      <c r="N2676">
        <v>0</v>
      </c>
      <c r="O2676">
        <v>-0.86985270000000003</v>
      </c>
      <c r="P2676">
        <v>-0.36504239999999999</v>
      </c>
      <c r="Q2676">
        <v>0.14378050000000001</v>
      </c>
      <c r="R2676">
        <v>-0.91982160000000002</v>
      </c>
      <c r="S2676">
        <v>-0.774231</v>
      </c>
      <c r="T2676">
        <v>-0.25753769999999998</v>
      </c>
      <c r="U2676">
        <v>-2.9969790000000001</v>
      </c>
      <c r="V2676">
        <v>-0.13951250000000001</v>
      </c>
      <c r="W2676">
        <v>0.15517300000000001</v>
      </c>
      <c r="X2676">
        <v>0.97798649999999998</v>
      </c>
      <c r="Y2676">
        <v>-0.26048159999999998</v>
      </c>
      <c r="Z2676">
        <v>6.6734890000000005E-2</v>
      </c>
      <c r="AA2676">
        <v>0.96316970000000002</v>
      </c>
      <c r="AB2676">
        <v>28</v>
      </c>
      <c r="AC2676">
        <v>-3.2921</v>
      </c>
      <c r="AD2676">
        <v>-1.1191506179827</v>
      </c>
      <c r="AE2676">
        <v>-12.8849999999999</v>
      </c>
      <c r="AF2676">
        <v>-3.4656729812772</v>
      </c>
      <c r="AG2676">
        <v>-1.1191506179827</v>
      </c>
      <c r="AH2676">
        <v>12.742512421518899</v>
      </c>
      <c r="AI2676">
        <v>94.844212195784706</v>
      </c>
      <c r="AJ2676">
        <v>105.215110904154</v>
      </c>
      <c r="AK2676">
        <v>13.252735948906899</v>
      </c>
      <c r="AL2676">
        <v>81.073170142908793</v>
      </c>
      <c r="AM2676">
        <v>98.118627479715101</v>
      </c>
      <c r="AN2676">
        <v>0.99999999588374999</v>
      </c>
    </row>
    <row r="2677" spans="1:40" x14ac:dyDescent="0.25">
      <c r="A2677" t="str">
        <f>"20190312172942837"</f>
        <v>20190312172942837</v>
      </c>
      <c r="B2677" t="str">
        <f>"1552382982829923"</f>
        <v>1552382982829923</v>
      </c>
      <c r="C2677" t="s">
        <v>40</v>
      </c>
      <c r="D2677">
        <v>3.1968320000000001</v>
      </c>
      <c r="E2677">
        <v>0.46169310000000002</v>
      </c>
      <c r="F2677" t="s">
        <v>41</v>
      </c>
      <c r="G2677">
        <v>-492.43540000000002</v>
      </c>
      <c r="H2677" s="1">
        <v>-4.5053309999999997E-6</v>
      </c>
      <c r="I2677">
        <v>258.95650000000001</v>
      </c>
      <c r="J2677">
        <v>-488.63420000000002</v>
      </c>
      <c r="K2677">
        <v>1.119135</v>
      </c>
      <c r="L2677">
        <v>272.61950000000002</v>
      </c>
      <c r="M2677">
        <v>-0.48688409999999899</v>
      </c>
      <c r="N2677">
        <v>0</v>
      </c>
      <c r="O2677">
        <v>-0.8733419</v>
      </c>
      <c r="P2677">
        <v>-0.35893910000000001</v>
      </c>
      <c r="Q2677">
        <v>0.14427479999999901</v>
      </c>
      <c r="R2677">
        <v>-0.92214300000000005</v>
      </c>
      <c r="S2677">
        <v>-0.83316039999999902</v>
      </c>
      <c r="T2677">
        <v>-0.24056459999999999</v>
      </c>
      <c r="U2677">
        <v>-2.9684750000000002</v>
      </c>
      <c r="V2677">
        <v>-0.13899710000000001</v>
      </c>
      <c r="W2677">
        <v>0.15568029999999999</v>
      </c>
      <c r="X2677">
        <v>0.97797920000000005</v>
      </c>
      <c r="Y2677">
        <v>-0.23339579999999999</v>
      </c>
      <c r="Z2677">
        <v>6.3479820000000006E-2</v>
      </c>
      <c r="AA2677">
        <v>0.97030749999999999</v>
      </c>
      <c r="AB2677">
        <v>28</v>
      </c>
      <c r="AC2677">
        <v>-3.8011999999999899</v>
      </c>
      <c r="AD2677">
        <v>-1.119139505331</v>
      </c>
      <c r="AE2677">
        <v>-13.663</v>
      </c>
      <c r="AF2677">
        <v>-3.3122866470357599</v>
      </c>
      <c r="AG2677">
        <v>-1.119139505331</v>
      </c>
      <c r="AH2677">
        <v>13.6994053479931</v>
      </c>
      <c r="AI2677">
        <v>94.540020611592794</v>
      </c>
      <c r="AJ2677">
        <v>103.592301785092</v>
      </c>
      <c r="AK2677">
        <v>14.1385085123271</v>
      </c>
      <c r="AL2677">
        <v>81.043745848587506</v>
      </c>
      <c r="AM2677">
        <v>98.089092147889104</v>
      </c>
      <c r="AN2677">
        <v>0.99999993262456699</v>
      </c>
    </row>
    <row r="2678" spans="1:40" x14ac:dyDescent="0.25">
      <c r="A2678" t="str">
        <f>"20190312172942850"</f>
        <v>20190312172942850</v>
      </c>
      <c r="B2678" t="str">
        <f>"1552382982840660"</f>
        <v>1552382982840660</v>
      </c>
      <c r="C2678" t="s">
        <v>40</v>
      </c>
      <c r="D2678">
        <v>3.2574999999999998</v>
      </c>
      <c r="E2678">
        <v>0.46180500000000002</v>
      </c>
      <c r="F2678" t="s">
        <v>41</v>
      </c>
      <c r="G2678">
        <v>-492.39830000000001</v>
      </c>
      <c r="H2678" s="1">
        <v>-4.4731240000000002E-6</v>
      </c>
      <c r="I2678">
        <v>258.8811</v>
      </c>
      <c r="J2678">
        <v>-488.70479999999998</v>
      </c>
      <c r="K2678">
        <v>1.1191279999999999</v>
      </c>
      <c r="L2678">
        <v>272.47899999999998</v>
      </c>
      <c r="M2678">
        <v>-0.48094160000000002</v>
      </c>
      <c r="N2678">
        <v>0</v>
      </c>
      <c r="O2678">
        <v>-0.87662850000000003</v>
      </c>
      <c r="P2678">
        <v>-0.35303069999999998</v>
      </c>
      <c r="Q2678">
        <v>0.144617</v>
      </c>
      <c r="R2678">
        <v>-0.92436750000000001</v>
      </c>
      <c r="S2678">
        <v>-0.81484990000000002</v>
      </c>
      <c r="T2678">
        <v>-0.2422668</v>
      </c>
      <c r="U2678">
        <v>-2.97403</v>
      </c>
      <c r="V2678">
        <v>-0.13859009999999999</v>
      </c>
      <c r="W2678">
        <v>0.15603259999999999</v>
      </c>
      <c r="X2678">
        <v>0.97798090000000004</v>
      </c>
      <c r="Y2678">
        <v>-0.232823</v>
      </c>
      <c r="Z2678">
        <v>6.4240400000000003E-2</v>
      </c>
      <c r="AA2678">
        <v>0.97039509999999995</v>
      </c>
      <c r="AB2678">
        <v>28</v>
      </c>
      <c r="AC2678">
        <v>-3.6935000000000202</v>
      </c>
      <c r="AD2678">
        <v>-1.119132473124</v>
      </c>
      <c r="AE2678">
        <v>-13.597899999999999</v>
      </c>
      <c r="AF2678">
        <v>-3.2816267056159498</v>
      </c>
      <c r="AG2678">
        <v>-1.119132473124</v>
      </c>
      <c r="AH2678">
        <v>13.612286444378199</v>
      </c>
      <c r="AI2678">
        <v>94.569657350222997</v>
      </c>
      <c r="AJ2678">
        <v>103.55413550311</v>
      </c>
      <c r="AK2678">
        <v>14.0469168706594</v>
      </c>
      <c r="AL2678">
        <v>81.023311562470397</v>
      </c>
      <c r="AM2678">
        <v>98.065704623942494</v>
      </c>
      <c r="AN2678">
        <v>1.0000000144227901</v>
      </c>
    </row>
    <row r="2679" spans="1:40" x14ac:dyDescent="0.25">
      <c r="A2679" t="str">
        <f>"20190312172942863"</f>
        <v>20190312172942863</v>
      </c>
      <c r="B2679" t="str">
        <f>"1552382982860179"</f>
        <v>1552382982860179</v>
      </c>
      <c r="C2679" t="s">
        <v>40</v>
      </c>
      <c r="D2679">
        <v>3.248113</v>
      </c>
      <c r="E2679">
        <v>0.46261239999999998</v>
      </c>
      <c r="F2679" t="s">
        <v>41</v>
      </c>
      <c r="G2679">
        <v>-492.45609999999999</v>
      </c>
      <c r="H2679" s="1">
        <v>-4.335598E-6</v>
      </c>
      <c r="I2679">
        <v>258.44690000000003</v>
      </c>
      <c r="J2679">
        <v>-488.77690000000001</v>
      </c>
      <c r="K2679">
        <v>1.119122</v>
      </c>
      <c r="L2679">
        <v>272.3338</v>
      </c>
      <c r="M2679">
        <v>-0.47478900000000002</v>
      </c>
      <c r="N2679">
        <v>0</v>
      </c>
      <c r="O2679">
        <v>-0.87997619999999899</v>
      </c>
      <c r="P2679">
        <v>-0.34703579999999901</v>
      </c>
      <c r="Q2679">
        <v>0.1449936</v>
      </c>
      <c r="R2679">
        <v>-0.92657599999999996</v>
      </c>
      <c r="S2679">
        <v>-0.79626459999999999</v>
      </c>
      <c r="T2679">
        <v>-0.23755219999999999</v>
      </c>
      <c r="U2679">
        <v>-2.9785159999999999</v>
      </c>
      <c r="V2679">
        <v>-0.1380489</v>
      </c>
      <c r="W2679">
        <v>0.15642310000000001</v>
      </c>
      <c r="X2679">
        <v>0.97799499999999995</v>
      </c>
      <c r="Y2679">
        <v>-0.23200609999999999</v>
      </c>
      <c r="Z2679">
        <v>6.333577E-2</v>
      </c>
      <c r="AA2679">
        <v>0.97065020000000002</v>
      </c>
      <c r="AB2679">
        <v>28</v>
      </c>
      <c r="AC2679">
        <v>-3.6791999999999798</v>
      </c>
      <c r="AD2679">
        <v>-1.1191263355979999</v>
      </c>
      <c r="AE2679">
        <v>-13.886899999999899</v>
      </c>
      <c r="AF2679">
        <v>-3.3358597265476102</v>
      </c>
      <c r="AG2679">
        <v>-1.1191263355979999</v>
      </c>
      <c r="AH2679">
        <v>13.8842455715812</v>
      </c>
      <c r="AI2679">
        <v>94.481320799263102</v>
      </c>
      <c r="AJ2679">
        <v>103.509938521812</v>
      </c>
      <c r="AK2679">
        <v>14.323151851537499</v>
      </c>
      <c r="AL2679">
        <v>81.000658854256201</v>
      </c>
      <c r="AM2679">
        <v>98.034505478211699</v>
      </c>
      <c r="AN2679">
        <v>0.99999995251490803</v>
      </c>
    </row>
    <row r="2680" spans="1:40" x14ac:dyDescent="0.25">
      <c r="A2680" t="str">
        <f>"20190312172942878"</f>
        <v>20190312172942878</v>
      </c>
      <c r="B2680" t="str">
        <f>"1552382982869939"</f>
        <v>1552382982869939</v>
      </c>
      <c r="C2680" t="s">
        <v>40</v>
      </c>
      <c r="D2680">
        <v>3.2153450000000001</v>
      </c>
      <c r="E2680">
        <v>0.46316810000000003</v>
      </c>
      <c r="F2680" t="s">
        <v>41</v>
      </c>
      <c r="G2680">
        <v>-492.4787</v>
      </c>
      <c r="H2680" s="1">
        <v>-4.2682250000000001E-6</v>
      </c>
      <c r="I2680">
        <v>258.2371</v>
      </c>
      <c r="J2680">
        <v>-488.85759999999999</v>
      </c>
      <c r="K2680">
        <v>1.1191150000000001</v>
      </c>
      <c r="L2680">
        <v>272.16649999999998</v>
      </c>
      <c r="M2680">
        <v>-0.46770919999999999</v>
      </c>
      <c r="N2680">
        <v>0</v>
      </c>
      <c r="O2680">
        <v>-0.88375969999999904</v>
      </c>
      <c r="P2680">
        <v>-0.34042529999999999</v>
      </c>
      <c r="Q2680">
        <v>0.14550089999999999</v>
      </c>
      <c r="R2680">
        <v>-0.9289463</v>
      </c>
      <c r="S2680">
        <v>-0.78295899999999996</v>
      </c>
      <c r="T2680">
        <v>-0.23669989999999999</v>
      </c>
      <c r="U2680">
        <v>-2.981506</v>
      </c>
      <c r="V2680">
        <v>-0.1371329</v>
      </c>
      <c r="W2680">
        <v>0.15695290000000001</v>
      </c>
      <c r="X2680">
        <v>0.97803899999999999</v>
      </c>
      <c r="Y2680">
        <v>-0.22848750000000001</v>
      </c>
      <c r="Z2680">
        <v>6.3538919999999999E-2</v>
      </c>
      <c r="AA2680">
        <v>0.97147119999999998</v>
      </c>
      <c r="AB2680">
        <v>28</v>
      </c>
      <c r="AC2680">
        <v>-3.62110000000001</v>
      </c>
      <c r="AD2680">
        <v>-1.119119268225</v>
      </c>
      <c r="AE2680">
        <v>-13.9293999999999</v>
      </c>
      <c r="AF2680">
        <v>-3.2951623709109499</v>
      </c>
      <c r="AG2680">
        <v>-1.119119268225</v>
      </c>
      <c r="AH2680">
        <v>13.9212116726712</v>
      </c>
      <c r="AI2680">
        <v>94.473019957495296</v>
      </c>
      <c r="AJ2680">
        <v>103.31686653104801</v>
      </c>
      <c r="AK2680">
        <v>14.349587360704801</v>
      </c>
      <c r="AL2680">
        <v>80.969924031504902</v>
      </c>
      <c r="AM2680">
        <v>97.981528753856907</v>
      </c>
      <c r="AN2680">
        <v>0.99999996530090896</v>
      </c>
    </row>
    <row r="2681" spans="1:40" x14ac:dyDescent="0.25">
      <c r="A2681" t="str">
        <f>"20190312172942889"</f>
        <v>20190312172942889</v>
      </c>
      <c r="B2681" t="str">
        <f>"1552382982880675"</f>
        <v>1552382982880675</v>
      </c>
      <c r="C2681" t="s">
        <v>40</v>
      </c>
      <c r="D2681">
        <v>3.1892429999999998</v>
      </c>
      <c r="E2681">
        <v>0.46343709999999999</v>
      </c>
      <c r="F2681" t="s">
        <v>41</v>
      </c>
      <c r="G2681">
        <v>-492.54539999999997</v>
      </c>
      <c r="H2681" s="1">
        <v>-4.1283379999999997E-6</v>
      </c>
      <c r="I2681">
        <v>257.79129999999998</v>
      </c>
      <c r="J2681">
        <v>-488.91609999999997</v>
      </c>
      <c r="K2681">
        <v>1.119105</v>
      </c>
      <c r="L2681">
        <v>272.04349999999999</v>
      </c>
      <c r="M2681">
        <v>-0.46250160000000001</v>
      </c>
      <c r="N2681">
        <v>0</v>
      </c>
      <c r="O2681">
        <v>-0.88649599999999995</v>
      </c>
      <c r="P2681">
        <v>-0.33532669999999998</v>
      </c>
      <c r="Q2681">
        <v>0.14545150000000001</v>
      </c>
      <c r="R2681">
        <v>-0.93080629999999998</v>
      </c>
      <c r="S2681">
        <v>-0.76580809999999999</v>
      </c>
      <c r="T2681">
        <v>-0.2324001</v>
      </c>
      <c r="U2681">
        <v>-2.9851990000000002</v>
      </c>
      <c r="V2681">
        <v>-0.13673920000000001</v>
      </c>
      <c r="W2681">
        <v>0.1569142</v>
      </c>
      <c r="X2681">
        <v>0.97810039999999998</v>
      </c>
      <c r="Y2681">
        <v>-0.22826730000000001</v>
      </c>
      <c r="Z2681">
        <v>6.2660240000000006E-2</v>
      </c>
      <c r="AA2681">
        <v>0.97158</v>
      </c>
      <c r="AB2681">
        <v>28</v>
      </c>
      <c r="AC2681">
        <v>-3.6293000000000002</v>
      </c>
      <c r="AD2681">
        <v>-1.1191091283379999</v>
      </c>
      <c r="AE2681">
        <v>-14.2522</v>
      </c>
      <c r="AF2681">
        <v>-3.3552441623059401</v>
      </c>
      <c r="AG2681">
        <v>-1.1191091283379999</v>
      </c>
      <c r="AH2681">
        <v>14.2322218146021</v>
      </c>
      <c r="AI2681">
        <v>94.376544958715897</v>
      </c>
      <c r="AJ2681">
        <v>103.265259171259</v>
      </c>
      <c r="AK2681">
        <v>14.6651357446788</v>
      </c>
      <c r="AL2681">
        <v>80.972169820660397</v>
      </c>
      <c r="AM2681">
        <v>97.958415112600306</v>
      </c>
      <c r="AN2681">
        <v>1.0000000337292101</v>
      </c>
    </row>
    <row r="2682" spans="1:40" x14ac:dyDescent="0.25">
      <c r="A2682" t="str">
        <f>"20190312172942900"</f>
        <v>20190312172942900</v>
      </c>
      <c r="B2682" t="str">
        <f>"1552382982890436"</f>
        <v>1552382982890436</v>
      </c>
      <c r="C2682" t="s">
        <v>40</v>
      </c>
      <c r="D2682">
        <v>3.154245</v>
      </c>
      <c r="E2682">
        <v>0.46343709999999999</v>
      </c>
      <c r="F2682" t="s">
        <v>41</v>
      </c>
      <c r="G2682">
        <v>-492.49340000000001</v>
      </c>
      <c r="H2682" s="1">
        <v>-4.1257439999999997E-6</v>
      </c>
      <c r="I2682">
        <v>257.81079999999997</v>
      </c>
      <c r="J2682">
        <v>-488.97500000000002</v>
      </c>
      <c r="K2682">
        <v>1.119094</v>
      </c>
      <c r="L2682">
        <v>271.91820000000001</v>
      </c>
      <c r="M2682">
        <v>-0.45719140000000003</v>
      </c>
      <c r="N2682">
        <v>0</v>
      </c>
      <c r="O2682">
        <v>-0.88924629999999905</v>
      </c>
      <c r="P2682">
        <v>-0.33011570000000001</v>
      </c>
      <c r="Q2682">
        <v>0.145349799999999</v>
      </c>
      <c r="R2682">
        <v>-0.93268300000000004</v>
      </c>
      <c r="S2682">
        <v>-0.75128169999999905</v>
      </c>
      <c r="T2682">
        <v>-0.2350284</v>
      </c>
      <c r="U2682">
        <v>-2.9890750000000001</v>
      </c>
      <c r="V2682">
        <v>-0.1363597</v>
      </c>
      <c r="W2682">
        <v>0.1568234</v>
      </c>
      <c r="X2682">
        <v>0.97816789999999998</v>
      </c>
      <c r="Y2682">
        <v>-0.22719800000000001</v>
      </c>
      <c r="Z2682">
        <v>6.3636310000000001E-2</v>
      </c>
      <c r="AA2682">
        <v>0.97176719999999905</v>
      </c>
      <c r="AB2682">
        <v>28</v>
      </c>
      <c r="AC2682">
        <v>-3.5183999999999802</v>
      </c>
      <c r="AD2682">
        <v>-1.119098125744</v>
      </c>
      <c r="AE2682">
        <v>-14.1074</v>
      </c>
      <c r="AF2682">
        <v>-3.3018571045341898</v>
      </c>
      <c r="AG2682">
        <v>-1.119098125744</v>
      </c>
      <c r="AH2682">
        <v>14.0717069182086</v>
      </c>
      <c r="AI2682">
        <v>94.427312853091294</v>
      </c>
      <c r="AJ2682">
        <v>103.20527969418301</v>
      </c>
      <c r="AK2682">
        <v>14.4971575333155</v>
      </c>
      <c r="AL2682">
        <v>80.977437128686802</v>
      </c>
      <c r="AM2682">
        <v>97.936068815933794</v>
      </c>
      <c r="AN2682">
        <v>0.99999999358102998</v>
      </c>
    </row>
    <row r="2683" spans="1:40" x14ac:dyDescent="0.25">
      <c r="A2683" t="str">
        <f>"20190312172942911"</f>
        <v>20190312172942911</v>
      </c>
      <c r="B2683" t="str">
        <f>"1552382982900195"</f>
        <v>1552382982900195</v>
      </c>
      <c r="C2683" t="s">
        <v>40</v>
      </c>
      <c r="D2683">
        <v>3.1103190000000001</v>
      </c>
      <c r="E2683">
        <v>0.44519120000000001</v>
      </c>
      <c r="F2683" t="s">
        <v>41</v>
      </c>
      <c r="G2683">
        <v>-492.46850000000001</v>
      </c>
      <c r="H2683" s="1">
        <v>-4.0789080000000003E-6</v>
      </c>
      <c r="I2683">
        <v>257.68619999999999</v>
      </c>
      <c r="J2683">
        <v>-489.03219999999999</v>
      </c>
      <c r="K2683">
        <v>1.1190800000000001</v>
      </c>
      <c r="L2683">
        <v>271.79390000000001</v>
      </c>
      <c r="M2683">
        <v>-0.45193280000000002</v>
      </c>
      <c r="N2683">
        <v>0</v>
      </c>
      <c r="O2683">
        <v>-0.89193020000000001</v>
      </c>
      <c r="P2683">
        <v>-0.32511479999999998</v>
      </c>
      <c r="Q2683">
        <v>0.14548559999999999</v>
      </c>
      <c r="R2683">
        <v>-0.93441620000000003</v>
      </c>
      <c r="S2683">
        <v>-0.73471070000000005</v>
      </c>
      <c r="T2683">
        <v>-0.2353594</v>
      </c>
      <c r="U2683">
        <v>-2.9931640000000002</v>
      </c>
      <c r="V2683">
        <v>-0.1358116</v>
      </c>
      <c r="W2683">
        <v>0.1569731</v>
      </c>
      <c r="X2683">
        <v>0.97822019999999998</v>
      </c>
      <c r="Y2683">
        <v>-0.22683329999999999</v>
      </c>
      <c r="Z2683">
        <v>6.3982659999999997E-2</v>
      </c>
      <c r="AA2683">
        <v>0.97182970000000002</v>
      </c>
      <c r="AB2683">
        <v>28</v>
      </c>
      <c r="AC2683">
        <v>-3.4363000000000099</v>
      </c>
      <c r="AD2683">
        <v>-1.1190840789080001</v>
      </c>
      <c r="AE2683">
        <v>-14.107699999999999</v>
      </c>
      <c r="AF2683">
        <v>-3.2916004246542898</v>
      </c>
      <c r="AG2683">
        <v>-1.1190840789080001</v>
      </c>
      <c r="AH2683">
        <v>14.054115641463</v>
      </c>
      <c r="AI2683">
        <v>94.433204824324505</v>
      </c>
      <c r="AJ2683">
        <v>103.181594745659</v>
      </c>
      <c r="AK2683">
        <v>14.4777466822314</v>
      </c>
      <c r="AL2683">
        <v>80.968752922254296</v>
      </c>
      <c r="AM2683">
        <v>97.904156409170199</v>
      </c>
      <c r="AN2683">
        <v>1.0000000522531001</v>
      </c>
    </row>
    <row r="2684" spans="1:40" x14ac:dyDescent="0.25">
      <c r="A2684" t="str">
        <f>"20190312172942922"</f>
        <v>20190312172942922</v>
      </c>
      <c r="B2684" t="str">
        <f>"1552382982919716"</f>
        <v>1552382982919716</v>
      </c>
      <c r="C2684" t="s">
        <v>40</v>
      </c>
      <c r="D2684">
        <v>3.1252680000000002</v>
      </c>
      <c r="E2684">
        <v>0.43960339999999998</v>
      </c>
      <c r="F2684" t="s">
        <v>41</v>
      </c>
      <c r="G2684">
        <v>-491.95350000000002</v>
      </c>
      <c r="H2684" s="1">
        <v>-3.4797330000000002E-6</v>
      </c>
      <c r="I2684">
        <v>256.4889</v>
      </c>
      <c r="J2684">
        <v>-489.09059999999999</v>
      </c>
      <c r="K2684">
        <v>1.1190659999999999</v>
      </c>
      <c r="L2684">
        <v>271.6662</v>
      </c>
      <c r="M2684">
        <v>-0.44651859999999999</v>
      </c>
      <c r="N2684">
        <v>0</v>
      </c>
      <c r="O2684">
        <v>-0.89465319999999904</v>
      </c>
      <c r="P2684">
        <v>-0.31978459999999997</v>
      </c>
      <c r="Q2684">
        <v>0.14543110000000001</v>
      </c>
      <c r="R2684">
        <v>-0.93626279999999995</v>
      </c>
      <c r="S2684">
        <v>-0.5808411</v>
      </c>
      <c r="T2684">
        <v>-0.22251080000000001</v>
      </c>
      <c r="U2684">
        <v>-3.0431520000000001</v>
      </c>
      <c r="V2684">
        <v>-0.13545389999999999</v>
      </c>
      <c r="W2684">
        <v>0.15692890000000001</v>
      </c>
      <c r="X2684">
        <v>0.97827679999999995</v>
      </c>
      <c r="Y2684">
        <v>-0.27124740000000003</v>
      </c>
      <c r="Z2684">
        <v>5.9687740000000003E-2</v>
      </c>
      <c r="AA2684">
        <v>0.96065719999999999</v>
      </c>
      <c r="AB2684">
        <v>28</v>
      </c>
      <c r="AC2684">
        <v>-2.8629000000000202</v>
      </c>
      <c r="AD2684">
        <v>-1.1190694797330001</v>
      </c>
      <c r="AE2684">
        <v>-15.177300000000001</v>
      </c>
      <c r="AF2684">
        <v>-4.19408313482616</v>
      </c>
      <c r="AG2684">
        <v>-1.1190694797330001</v>
      </c>
      <c r="AH2684">
        <v>14.7807730293974</v>
      </c>
      <c r="AI2684">
        <v>94.165822881389701</v>
      </c>
      <c r="AJ2684">
        <v>105.84142985279</v>
      </c>
      <c r="AK2684">
        <v>15.4049959814621</v>
      </c>
      <c r="AL2684">
        <v>80.971316409325595</v>
      </c>
      <c r="AM2684">
        <v>97.883150191129801</v>
      </c>
      <c r="AN2684">
        <v>0.999999968049329</v>
      </c>
    </row>
    <row r="2685" spans="1:40" x14ac:dyDescent="0.25">
      <c r="A2685" t="str">
        <f>"20190312172942934"</f>
        <v>20190312172942934</v>
      </c>
      <c r="B2685" t="str">
        <f>"1552382982930452"</f>
        <v>1552382982930452</v>
      </c>
      <c r="C2685" t="s">
        <v>40</v>
      </c>
      <c r="D2685">
        <v>3.0969609999999999</v>
      </c>
      <c r="E2685">
        <v>0.43810700000000002</v>
      </c>
      <c r="F2685" t="s">
        <v>41</v>
      </c>
      <c r="G2685">
        <v>-491.99029999999999</v>
      </c>
      <c r="H2685" s="1">
        <v>-2.6929270000000002E-6</v>
      </c>
      <c r="I2685">
        <v>254.6319</v>
      </c>
      <c r="J2685">
        <v>-489.14449999999999</v>
      </c>
      <c r="K2685">
        <v>1.1190439999999999</v>
      </c>
      <c r="L2685">
        <v>271.54489999999998</v>
      </c>
      <c r="M2685">
        <v>-0.4413956</v>
      </c>
      <c r="N2685">
        <v>0</v>
      </c>
      <c r="O2685">
        <v>-0.89719190000000004</v>
      </c>
      <c r="P2685">
        <v>-0.31477290000000002</v>
      </c>
      <c r="Q2685">
        <v>0.14517289999999999</v>
      </c>
      <c r="R2685">
        <v>-0.93799960000000004</v>
      </c>
      <c r="S2685">
        <v>-0.52050779999999996</v>
      </c>
      <c r="T2685">
        <v>-0.20087720000000001</v>
      </c>
      <c r="U2685">
        <v>-3.057709</v>
      </c>
      <c r="V2685">
        <v>-0.1350973</v>
      </c>
      <c r="W2685">
        <v>0.15668209999999999</v>
      </c>
      <c r="X2685">
        <v>0.9783657</v>
      </c>
      <c r="Y2685">
        <v>-0.284856</v>
      </c>
      <c r="Z2685">
        <v>5.3849109999999999E-2</v>
      </c>
      <c r="AA2685">
        <v>0.95705660000000004</v>
      </c>
      <c r="AB2685">
        <v>28</v>
      </c>
      <c r="AC2685">
        <v>-2.8457999999999899</v>
      </c>
      <c r="AD2685">
        <v>-1.119046692927</v>
      </c>
      <c r="AE2685">
        <v>-16.912999999999901</v>
      </c>
      <c r="AF2685">
        <v>-4.8918015095673297</v>
      </c>
      <c r="AG2685">
        <v>-1.119046692927</v>
      </c>
      <c r="AH2685">
        <v>16.362450824624499</v>
      </c>
      <c r="AI2685">
        <v>93.748973373774405</v>
      </c>
      <c r="AJ2685">
        <v>106.64482853621401</v>
      </c>
      <c r="AK2685">
        <v>17.1146657723197</v>
      </c>
      <c r="AL2685">
        <v>80.985634433454095</v>
      </c>
      <c r="AM2685">
        <v>97.861951167953194</v>
      </c>
      <c r="AN2685">
        <v>1.00000000193209</v>
      </c>
    </row>
    <row r="2686" spans="1:40" x14ac:dyDescent="0.25">
      <c r="A2686" t="str">
        <f>"20190312172942946"</f>
        <v>20190312172942946</v>
      </c>
      <c r="B2686" t="str">
        <f>"1552382982940211"</f>
        <v>1552382982940211</v>
      </c>
      <c r="C2686" t="s">
        <v>40</v>
      </c>
      <c r="D2686">
        <v>3.0517880000000002</v>
      </c>
      <c r="E2686">
        <v>0.43682910000000003</v>
      </c>
      <c r="F2686" t="s">
        <v>41</v>
      </c>
      <c r="G2686">
        <v>-491.94670000000002</v>
      </c>
      <c r="H2686" s="1">
        <v>-2.4655860000000002E-6</v>
      </c>
      <c r="I2686">
        <v>254.12909999999999</v>
      </c>
      <c r="J2686">
        <v>-489.20269999999999</v>
      </c>
      <c r="K2686">
        <v>1.119024</v>
      </c>
      <c r="L2686">
        <v>271.41300000000001</v>
      </c>
      <c r="M2686">
        <v>-0.43581730000000002</v>
      </c>
      <c r="N2686">
        <v>0</v>
      </c>
      <c r="O2686">
        <v>-0.89991460000000001</v>
      </c>
      <c r="P2686">
        <v>-0.30945640000000002</v>
      </c>
      <c r="Q2686">
        <v>0.14512529999999901</v>
      </c>
      <c r="R2686">
        <v>-0.93977390000000005</v>
      </c>
      <c r="S2686">
        <v>-0.49288939999999998</v>
      </c>
      <c r="T2686">
        <v>-0.1968367</v>
      </c>
      <c r="U2686">
        <v>-3.0633849999999998</v>
      </c>
      <c r="V2686">
        <v>-0.13455719999999999</v>
      </c>
      <c r="W2686">
        <v>0.15665009999999999</v>
      </c>
      <c r="X2686">
        <v>0.97844520000000001</v>
      </c>
      <c r="Y2686">
        <v>-0.28758699999999998</v>
      </c>
      <c r="Z2686">
        <v>5.2934969999999998E-2</v>
      </c>
      <c r="AA2686">
        <v>0.95629050000000004</v>
      </c>
      <c r="AB2686">
        <v>28</v>
      </c>
      <c r="AC2686">
        <v>-2.7440000000000202</v>
      </c>
      <c r="AD2686">
        <v>-1.1190264655859901</v>
      </c>
      <c r="AE2686">
        <v>-17.283899999999999</v>
      </c>
      <c r="AF2686">
        <v>-5.0431862679668296</v>
      </c>
      <c r="AG2686">
        <v>-1.1190264655859901</v>
      </c>
      <c r="AH2686">
        <v>16.683520120459999</v>
      </c>
      <c r="AI2686">
        <v>93.673603737770705</v>
      </c>
      <c r="AJ2686">
        <v>106.819305841409</v>
      </c>
      <c r="AK2686">
        <v>17.4649875915755</v>
      </c>
      <c r="AL2686">
        <v>80.987490364852803</v>
      </c>
      <c r="AM2686">
        <v>97.830282544237903</v>
      </c>
      <c r="AN2686">
        <v>0.99999995165244304</v>
      </c>
    </row>
    <row r="2687" spans="1:40" x14ac:dyDescent="0.25">
      <c r="A2687" t="str">
        <f>"20190312172942957"</f>
        <v>20190312172942957</v>
      </c>
      <c r="B2687" t="str">
        <f>"1552382982949971"</f>
        <v>1552382982949971</v>
      </c>
      <c r="C2687" t="s">
        <v>40</v>
      </c>
      <c r="D2687">
        <v>3.1025260000000001</v>
      </c>
      <c r="E2687">
        <v>0.43677310000000003</v>
      </c>
      <c r="F2687" t="s">
        <v>41</v>
      </c>
      <c r="G2687">
        <v>-491.8904</v>
      </c>
      <c r="H2687" s="1">
        <v>-2.2627060000000001E-6</v>
      </c>
      <c r="I2687">
        <v>253.69110000000001</v>
      </c>
      <c r="J2687">
        <v>-489.26299999999998</v>
      </c>
      <c r="K2687">
        <v>1.1189990000000001</v>
      </c>
      <c r="L2687">
        <v>271.27350000000001</v>
      </c>
      <c r="M2687">
        <v>-0.4299308</v>
      </c>
      <c r="N2687">
        <v>0</v>
      </c>
      <c r="O2687">
        <v>-0.90274180000000004</v>
      </c>
      <c r="P2687">
        <v>-0.30381979999999997</v>
      </c>
      <c r="Q2687">
        <v>0.14474239999999999</v>
      </c>
      <c r="R2687">
        <v>-0.94167040000000002</v>
      </c>
      <c r="S2687">
        <v>-0.46542359999999999</v>
      </c>
      <c r="T2687">
        <v>-0.1937835</v>
      </c>
      <c r="U2687">
        <v>-3.0689389999999999</v>
      </c>
      <c r="V2687">
        <v>-0.1340374</v>
      </c>
      <c r="W2687">
        <v>0.1562837</v>
      </c>
      <c r="X2687">
        <v>0.97857519999999998</v>
      </c>
      <c r="Y2687">
        <v>-0.28995100000000001</v>
      </c>
      <c r="Z2687">
        <v>5.2292030000000003E-2</v>
      </c>
      <c r="AA2687">
        <v>0.95561180000000001</v>
      </c>
      <c r="AB2687">
        <v>28</v>
      </c>
      <c r="AC2687">
        <v>-2.6273999999999602</v>
      </c>
      <c r="AD2687">
        <v>-1.119001262706</v>
      </c>
      <c r="AE2687">
        <v>-17.5824</v>
      </c>
      <c r="AF2687">
        <v>-5.1674404059106704</v>
      </c>
      <c r="AG2687">
        <v>-1.119001262706</v>
      </c>
      <c r="AH2687">
        <v>16.9367073976257</v>
      </c>
      <c r="AI2687">
        <v>93.615926370808495</v>
      </c>
      <c r="AJ2687">
        <v>106.96710545797499</v>
      </c>
      <c r="AK2687">
        <v>17.742791822240498</v>
      </c>
      <c r="AL2687">
        <v>81.008745959367602</v>
      </c>
      <c r="AM2687">
        <v>97.799383435805794</v>
      </c>
      <c r="AN2687">
        <v>1.0000000207697399</v>
      </c>
    </row>
    <row r="2688" spans="1:40" x14ac:dyDescent="0.25">
      <c r="A2688" t="str">
        <f>"20190312172942969"</f>
        <v>20190312172942969</v>
      </c>
      <c r="B2688" t="str">
        <f>"1552382982959731"</f>
        <v>1552382982959731</v>
      </c>
      <c r="C2688" t="s">
        <v>40</v>
      </c>
      <c r="D2688">
        <v>3.1018889999999999</v>
      </c>
      <c r="E2688">
        <v>0.4368937</v>
      </c>
      <c r="F2688" t="s">
        <v>41</v>
      </c>
      <c r="G2688">
        <v>-491.8417</v>
      </c>
      <c r="H2688" s="1">
        <v>-2.1748700000000002E-6</v>
      </c>
      <c r="I2688">
        <v>253.51650000000001</v>
      </c>
      <c r="J2688">
        <v>-489.31479999999999</v>
      </c>
      <c r="K2688">
        <v>1.1189739999999999</v>
      </c>
      <c r="L2688">
        <v>271.1515</v>
      </c>
      <c r="M2688">
        <v>-0.42479099999999997</v>
      </c>
      <c r="N2688">
        <v>0</v>
      </c>
      <c r="O2688">
        <v>-0.90517190000000003</v>
      </c>
      <c r="P2688">
        <v>-0.29917719999999998</v>
      </c>
      <c r="Q2688">
        <v>0.1443699</v>
      </c>
      <c r="R2688">
        <v>-0.94321299999999997</v>
      </c>
      <c r="S2688">
        <v>-0.44607540000000001</v>
      </c>
      <c r="T2688">
        <v>-0.19356419999999999</v>
      </c>
      <c r="U2688">
        <v>-3.0715940000000002</v>
      </c>
      <c r="V2688">
        <v>-0.1333001</v>
      </c>
      <c r="W2688">
        <v>0.15593280000000001</v>
      </c>
      <c r="X2688">
        <v>0.97873189999999999</v>
      </c>
      <c r="Y2688">
        <v>-0.2905219</v>
      </c>
      <c r="Z2688">
        <v>5.2427069999999999E-2</v>
      </c>
      <c r="AA2688">
        <v>0.95543100000000003</v>
      </c>
      <c r="AB2688">
        <v>28</v>
      </c>
      <c r="AC2688">
        <v>-2.5269000000000101</v>
      </c>
      <c r="AD2688">
        <v>-1.11897617487</v>
      </c>
      <c r="AE2688">
        <v>-17.634999999999899</v>
      </c>
      <c r="AF2688">
        <v>-5.18402188556915</v>
      </c>
      <c r="AG2688">
        <v>-1.11897617487</v>
      </c>
      <c r="AH2688">
        <v>16.971001504118401</v>
      </c>
      <c r="AI2688">
        <v>93.608195818087793</v>
      </c>
      <c r="AJ2688">
        <v>106.986000297657</v>
      </c>
      <c r="AK2688">
        <v>17.7803566511691</v>
      </c>
      <c r="AL2688">
        <v>81.029100801832996</v>
      </c>
      <c r="AM2688">
        <v>97.755778257978307</v>
      </c>
      <c r="AN2688">
        <v>1.00000004342672</v>
      </c>
    </row>
    <row r="2689" spans="1:40" x14ac:dyDescent="0.25">
      <c r="A2689" t="str">
        <f>"20190312172942980"</f>
        <v>20190312172942980</v>
      </c>
      <c r="B2689" t="str">
        <f>"1552382982970468"</f>
        <v>1552382982970468</v>
      </c>
      <c r="C2689" t="s">
        <v>40</v>
      </c>
      <c r="D2689">
        <v>3.0883349999999998</v>
      </c>
      <c r="E2689">
        <v>0.43699769999999999</v>
      </c>
      <c r="F2689" t="s">
        <v>41</v>
      </c>
      <c r="G2689">
        <v>-491.815</v>
      </c>
      <c r="H2689" s="1">
        <v>-2.0931369999999999E-6</v>
      </c>
      <c r="I2689">
        <v>253.3425</v>
      </c>
      <c r="J2689">
        <v>-489.36930000000001</v>
      </c>
      <c r="K2689">
        <v>1.1189450000000001</v>
      </c>
      <c r="L2689">
        <v>271.02159999999998</v>
      </c>
      <c r="M2689">
        <v>-0.41932560000000002</v>
      </c>
      <c r="N2689">
        <v>0</v>
      </c>
      <c r="O2689">
        <v>-0.90771659999999998</v>
      </c>
      <c r="P2689">
        <v>-0.293908</v>
      </c>
      <c r="Q2689">
        <v>0.1442407</v>
      </c>
      <c r="R2689">
        <v>-0.94488799999999995</v>
      </c>
      <c r="S2689">
        <v>-0.43145749999999999</v>
      </c>
      <c r="T2689">
        <v>-0.19310060000000001</v>
      </c>
      <c r="U2689">
        <v>-3.0732729999999999</v>
      </c>
      <c r="V2689">
        <v>-0.13285640000000001</v>
      </c>
      <c r="W2689">
        <v>0.15581739999999999</v>
      </c>
      <c r="X2689">
        <v>0.97881050000000003</v>
      </c>
      <c r="Y2689">
        <v>-0.289280599999999</v>
      </c>
      <c r="Z2689">
        <v>5.2534270000000001E-2</v>
      </c>
      <c r="AA2689">
        <v>0.95580169999999998</v>
      </c>
      <c r="AB2689">
        <v>28</v>
      </c>
      <c r="AC2689">
        <v>-2.44569999999998</v>
      </c>
      <c r="AD2689">
        <v>-1.118947093137</v>
      </c>
      <c r="AE2689">
        <v>-17.679099999999899</v>
      </c>
      <c r="AF2689">
        <v>-5.1735239034831597</v>
      </c>
      <c r="AG2689">
        <v>-1.118947093137</v>
      </c>
      <c r="AH2689">
        <v>17.008153268540699</v>
      </c>
      <c r="AI2689">
        <v>93.601528295958403</v>
      </c>
      <c r="AJ2689">
        <v>106.918662279106</v>
      </c>
      <c r="AK2689">
        <v>17.812767044547702</v>
      </c>
      <c r="AL2689">
        <v>81.035793619304002</v>
      </c>
      <c r="AM2689">
        <v>97.729661940264194</v>
      </c>
      <c r="AN2689">
        <v>0.999999940036983</v>
      </c>
    </row>
    <row r="2690" spans="1:40" x14ac:dyDescent="0.25">
      <c r="A2690" t="str">
        <f>"20190312172942992"</f>
        <v>20190312172942992</v>
      </c>
      <c r="B2690" t="str">
        <f>"1552382982989987"</f>
        <v>1552382982989987</v>
      </c>
      <c r="C2690" t="s">
        <v>40</v>
      </c>
      <c r="D2690">
        <v>3.076139</v>
      </c>
      <c r="E2690">
        <v>0.43708079999999999</v>
      </c>
      <c r="F2690" t="s">
        <v>41</v>
      </c>
      <c r="G2690">
        <v>-491.77870000000001</v>
      </c>
      <c r="H2690" s="1">
        <v>-2.0140550000000002E-6</v>
      </c>
      <c r="I2690">
        <v>253.1807</v>
      </c>
      <c r="J2690">
        <v>-489.428</v>
      </c>
      <c r="K2690">
        <v>1.118911</v>
      </c>
      <c r="L2690">
        <v>270.87860000000001</v>
      </c>
      <c r="M2690">
        <v>-0.41333199999999998</v>
      </c>
      <c r="N2690">
        <v>0</v>
      </c>
      <c r="O2690">
        <v>-0.91046170000000004</v>
      </c>
      <c r="P2690">
        <v>-0.28833160000000002</v>
      </c>
      <c r="Q2690">
        <v>0.14397960000000001</v>
      </c>
      <c r="R2690">
        <v>-0.94664429999999999</v>
      </c>
      <c r="S2690">
        <v>-0.41531370000000001</v>
      </c>
      <c r="T2690">
        <v>-0.1928762</v>
      </c>
      <c r="U2690">
        <v>-3.0752869999999999</v>
      </c>
      <c r="V2690">
        <v>-0.13217019999999999</v>
      </c>
      <c r="W2690">
        <v>0.15557760000000001</v>
      </c>
      <c r="X2690">
        <v>0.97894159999999997</v>
      </c>
      <c r="Y2690">
        <v>-0.28798040000000003</v>
      </c>
      <c r="Z2690">
        <v>5.2719809999999999E-2</v>
      </c>
      <c r="AA2690">
        <v>0.95618400000000003</v>
      </c>
      <c r="AB2690">
        <v>28</v>
      </c>
      <c r="AC2690">
        <v>-2.3506999999999598</v>
      </c>
      <c r="AD2690">
        <v>-1.1189130140549901</v>
      </c>
      <c r="AE2690">
        <v>-17.697900000000001</v>
      </c>
      <c r="AF2690">
        <v>-5.15519665056555</v>
      </c>
      <c r="AG2690">
        <v>-1.1189130140549901</v>
      </c>
      <c r="AH2690">
        <v>17.019875012035499</v>
      </c>
      <c r="AI2690">
        <v>93.600228561339193</v>
      </c>
      <c r="AJ2690">
        <v>106.85117982998401</v>
      </c>
      <c r="AK2690">
        <v>17.818646532897301</v>
      </c>
      <c r="AL2690">
        <v>81.049703348655896</v>
      </c>
      <c r="AM2690">
        <v>97.689199846125106</v>
      </c>
      <c r="AN2690">
        <v>1.0000000038001799</v>
      </c>
    </row>
    <row r="2691" spans="1:40" x14ac:dyDescent="0.25">
      <c r="A2691" t="str">
        <f>"20190312172943014"</f>
        <v>20190312172943014</v>
      </c>
      <c r="B2691" t="str">
        <f>"1552382983010483"</f>
        <v>1552382983010483</v>
      </c>
      <c r="C2691" t="s">
        <v>40</v>
      </c>
      <c r="D2691">
        <v>3.0520160000000001</v>
      </c>
      <c r="E2691">
        <v>0.4381005</v>
      </c>
      <c r="F2691" t="s">
        <v>41</v>
      </c>
      <c r="G2691">
        <v>-491.71480000000003</v>
      </c>
      <c r="H2691" s="1">
        <v>-1.9976670000000001E-6</v>
      </c>
      <c r="I2691">
        <v>253.18209999999999</v>
      </c>
      <c r="J2691">
        <v>-489.52260000000001</v>
      </c>
      <c r="K2691">
        <v>1.1188560000000001</v>
      </c>
      <c r="L2691">
        <v>270.64280000000002</v>
      </c>
      <c r="M2691">
        <v>-0.4034874</v>
      </c>
      <c r="N2691">
        <v>0</v>
      </c>
      <c r="O2691">
        <v>-0.91486730000000005</v>
      </c>
      <c r="P2691">
        <v>-0.27931349999999999</v>
      </c>
      <c r="Q2691">
        <v>0.1437821</v>
      </c>
      <c r="R2691">
        <v>-0.94937400000000005</v>
      </c>
      <c r="S2691">
        <v>-0.39770509999999998</v>
      </c>
      <c r="T2691">
        <v>-0.19458719999999999</v>
      </c>
      <c r="U2691">
        <v>-3.0775450000000002</v>
      </c>
      <c r="V2691">
        <v>-0.1309051</v>
      </c>
      <c r="W2691">
        <v>0.15541839999999901</v>
      </c>
      <c r="X2691">
        <v>0.97913680000000003</v>
      </c>
      <c r="Y2691">
        <v>-0.28312320000000002</v>
      </c>
      <c r="Z2691">
        <v>5.3618369999999999E-2</v>
      </c>
      <c r="AA2691">
        <v>0.95758359999999998</v>
      </c>
      <c r="AB2691">
        <v>28</v>
      </c>
      <c r="AC2691">
        <v>-2.1922000000000099</v>
      </c>
      <c r="AD2691">
        <v>-1.1188579976669999</v>
      </c>
      <c r="AE2691">
        <v>-17.460699999999999</v>
      </c>
      <c r="AF2691">
        <v>-5.0198520473866601</v>
      </c>
      <c r="AG2691">
        <v>-1.1188579976669999</v>
      </c>
      <c r="AH2691">
        <v>16.7926854338555</v>
      </c>
      <c r="AI2691">
        <v>93.652606712217505</v>
      </c>
      <c r="AJ2691">
        <v>106.64302890155</v>
      </c>
      <c r="AK2691">
        <v>17.5626035050905</v>
      </c>
      <c r="AL2691">
        <v>81.058936658047799</v>
      </c>
      <c r="AM2691">
        <v>97.614968244984695</v>
      </c>
      <c r="AN2691">
        <v>0.99999994868940301</v>
      </c>
    </row>
    <row r="2692" spans="1:40" x14ac:dyDescent="0.25">
      <c r="A2692" t="str">
        <f>"20190312172943029"</f>
        <v>20190312172943029</v>
      </c>
      <c r="B2692" t="str">
        <f>"1552382983020243"</f>
        <v>1552382983020243</v>
      </c>
      <c r="C2692" t="s">
        <v>40</v>
      </c>
      <c r="D2692">
        <v>3.15598</v>
      </c>
      <c r="E2692">
        <v>0.4392952</v>
      </c>
      <c r="F2692" t="s">
        <v>41</v>
      </c>
      <c r="G2692">
        <v>-491.6816</v>
      </c>
      <c r="H2692" s="1">
        <v>-1.9073290000000001E-6</v>
      </c>
      <c r="I2692">
        <v>252.9922</v>
      </c>
      <c r="J2692">
        <v>-489.58710000000002</v>
      </c>
      <c r="K2692">
        <v>1.118811</v>
      </c>
      <c r="L2692">
        <v>270.4778</v>
      </c>
      <c r="M2692">
        <v>-0.39663140000000002</v>
      </c>
      <c r="N2692">
        <v>0</v>
      </c>
      <c r="O2692">
        <v>-0.91786040000000002</v>
      </c>
      <c r="P2692">
        <v>-0.27276240000000002</v>
      </c>
      <c r="Q2692">
        <v>0.14346400000000001</v>
      </c>
      <c r="R2692">
        <v>-0.95132479999999997</v>
      </c>
      <c r="S2692">
        <v>-0.3765869</v>
      </c>
      <c r="T2692">
        <v>-0.1951562</v>
      </c>
      <c r="U2692">
        <v>-3.0787049999999998</v>
      </c>
      <c r="V2692">
        <v>-0.13032060000000001</v>
      </c>
      <c r="W2692">
        <v>0.1551217</v>
      </c>
      <c r="X2692">
        <v>0.97926190000000002</v>
      </c>
      <c r="Y2692">
        <v>-0.28246199999999999</v>
      </c>
      <c r="Z2692">
        <v>5.4058950000000001E-2</v>
      </c>
      <c r="AA2692">
        <v>0.95775410000000005</v>
      </c>
      <c r="AB2692">
        <v>28</v>
      </c>
      <c r="AC2692">
        <v>-2.09449999999998</v>
      </c>
      <c r="AD2692">
        <v>-1.1188129073289901</v>
      </c>
      <c r="AE2692">
        <v>-17.485600000000002</v>
      </c>
      <c r="AF2692">
        <v>-4.9932668747622797</v>
      </c>
      <c r="AG2692">
        <v>-1.1188129073289901</v>
      </c>
      <c r="AH2692">
        <v>16.814042178146799</v>
      </c>
      <c r="AI2692">
        <v>93.6497858200824</v>
      </c>
      <c r="AJ2692">
        <v>106.539842364929</v>
      </c>
      <c r="AK2692">
        <v>17.575450798562802</v>
      </c>
      <c r="AL2692">
        <v>81.076145792471195</v>
      </c>
      <c r="AM2692">
        <v>97.580406011822902</v>
      </c>
      <c r="AN2692">
        <v>1.0000000346934199</v>
      </c>
    </row>
    <row r="2693" spans="1:40" x14ac:dyDescent="0.25">
      <c r="A2693" t="str">
        <f>"20190312172943041"</f>
        <v>20190312172943041</v>
      </c>
      <c r="B2693" t="str">
        <f>"1552382983030003"</f>
        <v>1552382983030003</v>
      </c>
      <c r="C2693" t="s">
        <v>40</v>
      </c>
      <c r="D2693">
        <v>3.291928</v>
      </c>
      <c r="E2693">
        <v>0.44025029999999998</v>
      </c>
      <c r="F2693" t="s">
        <v>41</v>
      </c>
      <c r="G2693">
        <v>-491.64460000000003</v>
      </c>
      <c r="H2693" s="1">
        <v>-1.9406629999999999E-6</v>
      </c>
      <c r="I2693">
        <v>253.09280000000001</v>
      </c>
      <c r="J2693">
        <v>-489.64640000000003</v>
      </c>
      <c r="K2693">
        <v>1.11876</v>
      </c>
      <c r="L2693">
        <v>270.32350000000002</v>
      </c>
      <c r="M2693">
        <v>-0.39024399999999998</v>
      </c>
      <c r="N2693">
        <v>0</v>
      </c>
      <c r="O2693">
        <v>-0.92059449999999998</v>
      </c>
      <c r="P2693">
        <v>-0.26683469999999998</v>
      </c>
      <c r="Q2693">
        <v>0.1436945</v>
      </c>
      <c r="R2693">
        <v>-0.95296990000000004</v>
      </c>
      <c r="S2693">
        <v>-0.36437989999999998</v>
      </c>
      <c r="T2693">
        <v>-0.19814399999999999</v>
      </c>
      <c r="U2693">
        <v>-3.0789179999999998</v>
      </c>
      <c r="V2693">
        <v>-0.12958319999999901</v>
      </c>
      <c r="W2693">
        <v>0.15537599999999999</v>
      </c>
      <c r="X2693">
        <v>0.97931939999999995</v>
      </c>
      <c r="Y2693">
        <v>-0.27955289999999999</v>
      </c>
      <c r="Z2693">
        <v>5.5176820000000001E-2</v>
      </c>
      <c r="AA2693">
        <v>0.95854349999999999</v>
      </c>
      <c r="AB2693">
        <v>28</v>
      </c>
      <c r="AC2693">
        <v>-1.99819999999999</v>
      </c>
      <c r="AD2693">
        <v>-1.1187619406630001</v>
      </c>
      <c r="AE2693">
        <v>-17.230699999999999</v>
      </c>
      <c r="AF2693">
        <v>-4.8649345494933902</v>
      </c>
      <c r="AG2693">
        <v>-1.1187619406630001</v>
      </c>
      <c r="AH2693">
        <v>16.575117321517499</v>
      </c>
      <c r="AI2693">
        <v>93.705555060971705</v>
      </c>
      <c r="AJ2693">
        <v>106.357401854174</v>
      </c>
      <c r="AK2693">
        <v>17.310509255154798</v>
      </c>
      <c r="AL2693">
        <v>81.061396310392695</v>
      </c>
      <c r="AM2693">
        <v>97.537570511363995</v>
      </c>
      <c r="AN2693">
        <v>0.99999999715730004</v>
      </c>
    </row>
    <row r="2694" spans="1:40" x14ac:dyDescent="0.25">
      <c r="A2694" t="str">
        <f>"20190312172943059"</f>
        <v>20190312172943059</v>
      </c>
      <c r="B2694" t="str">
        <f>"1552382983050501"</f>
        <v>1552382983050501</v>
      </c>
      <c r="C2694" t="s">
        <v>40</v>
      </c>
      <c r="D2694">
        <v>3.2326350000000001</v>
      </c>
      <c r="E2694">
        <v>0.44146429999999998</v>
      </c>
      <c r="F2694" t="s">
        <v>41</v>
      </c>
      <c r="G2694">
        <v>-491.63639999999998</v>
      </c>
      <c r="H2694" s="1">
        <v>-1.885831E-6</v>
      </c>
      <c r="I2694">
        <v>252.9701</v>
      </c>
      <c r="J2694">
        <v>-489.71820000000002</v>
      </c>
      <c r="K2694">
        <v>1.1186959999999999</v>
      </c>
      <c r="L2694">
        <v>270.1311</v>
      </c>
      <c r="M2694">
        <v>-0.38234869999999999</v>
      </c>
      <c r="N2694">
        <v>0</v>
      </c>
      <c r="O2694">
        <v>-0.92390170000000005</v>
      </c>
      <c r="P2694">
        <v>-0.26016210000000001</v>
      </c>
      <c r="Q2694">
        <v>0.14343139999999999</v>
      </c>
      <c r="R2694">
        <v>-0.95485229999999999</v>
      </c>
      <c r="S2694">
        <v>-0.35308840000000002</v>
      </c>
      <c r="T2694">
        <v>-0.19851199999999999</v>
      </c>
      <c r="U2694">
        <v>-3.0791629999999999</v>
      </c>
      <c r="V2694">
        <v>-0.12803010000000001</v>
      </c>
      <c r="W2694">
        <v>0.155157399999999</v>
      </c>
      <c r="X2694">
        <v>0.97955829999999999</v>
      </c>
      <c r="Y2694">
        <v>-0.27480979999999999</v>
      </c>
      <c r="Z2694">
        <v>5.5642499999999998E-2</v>
      </c>
      <c r="AA2694">
        <v>0.95988720000000005</v>
      </c>
      <c r="AB2694">
        <v>28</v>
      </c>
      <c r="AC2694">
        <v>-1.9181999999999499</v>
      </c>
      <c r="AD2694">
        <v>-1.1186978858309999</v>
      </c>
      <c r="AE2694">
        <v>-17.160999999999898</v>
      </c>
      <c r="AF2694">
        <v>-4.7697539436132201</v>
      </c>
      <c r="AG2694">
        <v>-1.1186978858309999</v>
      </c>
      <c r="AH2694">
        <v>16.520943062970801</v>
      </c>
      <c r="AI2694">
        <v>93.722236805647</v>
      </c>
      <c r="AJ2694">
        <v>106.103933611548</v>
      </c>
      <c r="AK2694">
        <v>17.2320514545512</v>
      </c>
      <c r="AL2694">
        <v>81.074074899946098</v>
      </c>
      <c r="AM2694">
        <v>97.446454346790304</v>
      </c>
      <c r="AN2694">
        <v>0.99999999418982999</v>
      </c>
    </row>
    <row r="2695" spans="1:40" x14ac:dyDescent="0.25">
      <c r="A2695" t="str">
        <f>"20190312172943070"</f>
        <v>20190312172943070</v>
      </c>
      <c r="B2695" t="str">
        <f>"1552382983060260"</f>
        <v>1552382983060260</v>
      </c>
      <c r="C2695" t="s">
        <v>40</v>
      </c>
      <c r="D2695">
        <v>3.2578939999999998</v>
      </c>
      <c r="E2695">
        <v>0.44146429999999998</v>
      </c>
      <c r="F2695" t="s">
        <v>41</v>
      </c>
      <c r="G2695">
        <v>-491.62009999999998</v>
      </c>
      <c r="H2695" s="1">
        <v>-1.8627679999999999E-6</v>
      </c>
      <c r="I2695">
        <v>252.9264</v>
      </c>
      <c r="J2695">
        <v>-489.76990000000001</v>
      </c>
      <c r="K2695">
        <v>1.11864599999999</v>
      </c>
      <c r="L2695">
        <v>269.98970000000003</v>
      </c>
      <c r="M2695">
        <v>-0.37658199999999997</v>
      </c>
      <c r="N2695">
        <v>0</v>
      </c>
      <c r="O2695">
        <v>-0.92626739999999996</v>
      </c>
      <c r="P2695">
        <v>-0.25493929999999998</v>
      </c>
      <c r="Q2695">
        <v>0.14344770000000001</v>
      </c>
      <c r="R2695">
        <v>-0.95625780000000005</v>
      </c>
      <c r="S2695">
        <v>-0.340393099999999</v>
      </c>
      <c r="T2695">
        <v>-0.20021990000000001</v>
      </c>
      <c r="U2695">
        <v>-3.079224</v>
      </c>
      <c r="V2695">
        <v>-0.12725429999999999</v>
      </c>
      <c r="W2695">
        <v>0.1551979</v>
      </c>
      <c r="X2695">
        <v>0.97965290000000005</v>
      </c>
      <c r="Y2695">
        <v>-0.27272980000000002</v>
      </c>
      <c r="Z2695">
        <v>5.6375149999999999E-2</v>
      </c>
      <c r="AA2695">
        <v>0.9604376</v>
      </c>
      <c r="AB2695">
        <v>28</v>
      </c>
      <c r="AC2695">
        <v>-1.8501999999999701</v>
      </c>
      <c r="AD2695">
        <v>-1.1186478627680001</v>
      </c>
      <c r="AE2695">
        <v>-17.063300000000002</v>
      </c>
      <c r="AF2695">
        <v>-4.69252377506072</v>
      </c>
      <c r="AG2695">
        <v>-1.1186478627680001</v>
      </c>
      <c r="AH2695">
        <v>16.433891173780999</v>
      </c>
      <c r="AI2695">
        <v>93.744869904355795</v>
      </c>
      <c r="AJ2695">
        <v>105.936132629296</v>
      </c>
      <c r="AK2695">
        <v>17.1272861695034</v>
      </c>
      <c r="AL2695">
        <v>81.071725342261601</v>
      </c>
      <c r="AM2695">
        <v>97.401127485881005</v>
      </c>
      <c r="AN2695">
        <v>0.99999992475565203</v>
      </c>
    </row>
    <row r="2696" spans="1:40" x14ac:dyDescent="0.25">
      <c r="A2696" t="str">
        <f>"20190312172943082"</f>
        <v>20190312172943082</v>
      </c>
      <c r="B2696" t="str">
        <f>"1552382983070020"</f>
        <v>1552382983070020</v>
      </c>
      <c r="C2696" t="s">
        <v>40</v>
      </c>
      <c r="D2696">
        <v>3.2336450000000001</v>
      </c>
      <c r="E2696">
        <v>0.45292870000000002</v>
      </c>
      <c r="F2696" t="s">
        <v>41</v>
      </c>
      <c r="G2696">
        <v>-491.58120000000002</v>
      </c>
      <c r="H2696" s="1">
        <v>-1.7917309999999999E-6</v>
      </c>
      <c r="I2696">
        <v>252.785</v>
      </c>
      <c r="J2696">
        <v>-489.81799999999998</v>
      </c>
      <c r="K2696">
        <v>1.1185929999999999</v>
      </c>
      <c r="L2696">
        <v>269.85660000000001</v>
      </c>
      <c r="M2696">
        <v>-0.37117280000000002</v>
      </c>
      <c r="N2696">
        <v>0</v>
      </c>
      <c r="O2696">
        <v>-0.9284483</v>
      </c>
      <c r="P2696">
        <v>-0.2501546</v>
      </c>
      <c r="Q2696">
        <v>0.1437889</v>
      </c>
      <c r="R2696">
        <v>-0.95746929999999997</v>
      </c>
      <c r="S2696">
        <v>-0.32434079999999998</v>
      </c>
      <c r="T2696">
        <v>-0.20031119999999999</v>
      </c>
      <c r="U2696">
        <v>-3.0807799999999999</v>
      </c>
      <c r="V2696">
        <v>-0.12640419999999999</v>
      </c>
      <c r="W2696">
        <v>0.15556539999999999</v>
      </c>
      <c r="X2696">
        <v>0.97970469999999998</v>
      </c>
      <c r="Y2696">
        <v>-0.27211869999999999</v>
      </c>
      <c r="Z2696">
        <v>5.660076E-2</v>
      </c>
      <c r="AA2696">
        <v>0.96059760000000005</v>
      </c>
      <c r="AB2696">
        <v>28</v>
      </c>
      <c r="AC2696">
        <v>-1.7631999999999799</v>
      </c>
      <c r="AD2696">
        <v>-1.118594791731</v>
      </c>
      <c r="AE2696">
        <v>-17.0716</v>
      </c>
      <c r="AF2696">
        <v>-4.6800963941639004</v>
      </c>
      <c r="AG2696">
        <v>-1.118594791731</v>
      </c>
      <c r="AH2696">
        <v>16.436497383238599</v>
      </c>
      <c r="AI2696">
        <v>93.744889694485494</v>
      </c>
      <c r="AJ2696">
        <v>105.893670419757</v>
      </c>
      <c r="AK2696">
        <v>17.1263832374486</v>
      </c>
      <c r="AL2696">
        <v>81.050410553426502</v>
      </c>
      <c r="AM2696">
        <v>97.351843820499894</v>
      </c>
      <c r="AN2696">
        <v>0.99999995732844404</v>
      </c>
    </row>
    <row r="2697" spans="1:40" x14ac:dyDescent="0.25">
      <c r="A2697" t="str">
        <f>"20190312172943093"</f>
        <v>20190312172943093</v>
      </c>
      <c r="B2697" t="str">
        <f>"1552382983090516"</f>
        <v>1552382983090516</v>
      </c>
      <c r="C2697" t="s">
        <v>40</v>
      </c>
      <c r="D2697">
        <v>3.2059470000000001</v>
      </c>
      <c r="E2697">
        <v>0.4524224</v>
      </c>
      <c r="F2697" t="s">
        <v>41</v>
      </c>
      <c r="G2697">
        <v>-492.05419999999998</v>
      </c>
      <c r="H2697" s="1">
        <v>-1.8579850000000001E-6</v>
      </c>
      <c r="I2697">
        <v>252.64609999999999</v>
      </c>
      <c r="J2697">
        <v>-489.86180000000002</v>
      </c>
      <c r="K2697">
        <v>1.1185400000000001</v>
      </c>
      <c r="L2697">
        <v>269.73200000000003</v>
      </c>
      <c r="M2697">
        <v>-0.36616130000000002</v>
      </c>
      <c r="N2697">
        <v>0</v>
      </c>
      <c r="O2697">
        <v>-0.93043629999999999</v>
      </c>
      <c r="P2697">
        <v>-0.24587490000000001</v>
      </c>
      <c r="Q2697">
        <v>0.14388199999999901</v>
      </c>
      <c r="R2697">
        <v>-0.95856350000000001</v>
      </c>
      <c r="S2697">
        <v>-0.3974915</v>
      </c>
      <c r="T2697">
        <v>-0.19883410000000001</v>
      </c>
      <c r="U2697">
        <v>-3.0592350000000001</v>
      </c>
      <c r="V2697">
        <v>-0.12547249999999999</v>
      </c>
      <c r="W2697">
        <v>0.1556855</v>
      </c>
      <c r="X2697">
        <v>0.97980540000000005</v>
      </c>
      <c r="Y2697">
        <v>-0.2434624</v>
      </c>
      <c r="Z2697">
        <v>5.694623E-2</v>
      </c>
      <c r="AA2697">
        <v>0.96823720000000002</v>
      </c>
      <c r="AB2697">
        <v>28</v>
      </c>
      <c r="AC2697">
        <v>-2.1923999999999602</v>
      </c>
      <c r="AD2697">
        <v>-1.1185418579849999</v>
      </c>
      <c r="AE2697">
        <v>-17.085899999999999</v>
      </c>
      <c r="AF2697">
        <v>-4.1990537721431203</v>
      </c>
      <c r="AG2697">
        <v>-1.1185418579849999</v>
      </c>
      <c r="AH2697">
        <v>16.6317770962035</v>
      </c>
      <c r="AI2697">
        <v>93.730814553834406</v>
      </c>
      <c r="AJ2697">
        <v>104.169455644164</v>
      </c>
      <c r="AK2697">
        <v>17.190090105849201</v>
      </c>
      <c r="AL2697">
        <v>81.043444593184503</v>
      </c>
      <c r="AM2697">
        <v>97.297499245220706</v>
      </c>
      <c r="AN2697">
        <v>0.99999997251782902</v>
      </c>
    </row>
    <row r="2698" spans="1:40" x14ac:dyDescent="0.25">
      <c r="A2698" t="str">
        <f>"20190312172943104"</f>
        <v>20190312172943104</v>
      </c>
      <c r="B2698" t="str">
        <f>"1552382983100275"</f>
        <v>1552382983100275</v>
      </c>
      <c r="C2698" t="s">
        <v>40</v>
      </c>
      <c r="D2698">
        <v>3.2075100000000001</v>
      </c>
      <c r="E2698">
        <v>0.45234869999999999</v>
      </c>
      <c r="F2698" t="s">
        <v>41</v>
      </c>
      <c r="G2698">
        <v>-491.99669999999998</v>
      </c>
      <c r="H2698" s="1">
        <v>-1.787935E-6</v>
      </c>
      <c r="I2698">
        <v>252.51840000000001</v>
      </c>
      <c r="J2698">
        <v>-489.90429999999998</v>
      </c>
      <c r="K2698">
        <v>1.11849</v>
      </c>
      <c r="L2698">
        <v>269.61040000000003</v>
      </c>
      <c r="M2698">
        <v>-0.3612747</v>
      </c>
      <c r="N2698">
        <v>0</v>
      </c>
      <c r="O2698">
        <v>-0.93234470000000003</v>
      </c>
      <c r="P2698">
        <v>-0.24201210000000001</v>
      </c>
      <c r="Q2698">
        <v>0.1439752</v>
      </c>
      <c r="R2698">
        <v>-0.95953149999999998</v>
      </c>
      <c r="S2698">
        <v>-0.3797913</v>
      </c>
      <c r="T2698">
        <v>-0.1989783</v>
      </c>
      <c r="U2698">
        <v>-3.0621339999999999</v>
      </c>
      <c r="V2698">
        <v>-0.124251399999999</v>
      </c>
      <c r="W2698">
        <v>0.1558127</v>
      </c>
      <c r="X2698">
        <v>0.97994079999999995</v>
      </c>
      <c r="Y2698">
        <v>-0.24399950000000001</v>
      </c>
      <c r="Z2698">
        <v>5.7130449999999999E-2</v>
      </c>
      <c r="AA2698">
        <v>0.96809109999999998</v>
      </c>
      <c r="AB2698">
        <v>28</v>
      </c>
      <c r="AC2698">
        <v>-2.0923999999999898</v>
      </c>
      <c r="AD2698">
        <v>-1.118491787935</v>
      </c>
      <c r="AE2698">
        <v>-17.091999999999999</v>
      </c>
      <c r="AF2698">
        <v>-4.2067722871307502</v>
      </c>
      <c r="AG2698">
        <v>-1.118491787935</v>
      </c>
      <c r="AH2698">
        <v>16.623217705635</v>
      </c>
      <c r="AI2698">
        <v>93.732037997883495</v>
      </c>
      <c r="AJ2698">
        <v>104.201462701718</v>
      </c>
      <c r="AK2698">
        <v>17.183693544881098</v>
      </c>
      <c r="AL2698">
        <v>81.036066687985596</v>
      </c>
      <c r="AM2698">
        <v>97.226246407984505</v>
      </c>
      <c r="AN2698">
        <v>0.99999998969394499</v>
      </c>
    </row>
    <row r="2699" spans="1:40" x14ac:dyDescent="0.25">
      <c r="A2699" t="str">
        <f>"20190312172943114"</f>
        <v>20190312172943114</v>
      </c>
      <c r="B2699" t="str">
        <f>"1552382983110036"</f>
        <v>1552382983110036</v>
      </c>
      <c r="C2699" t="s">
        <v>40</v>
      </c>
      <c r="D2699">
        <v>3.203335</v>
      </c>
      <c r="E2699">
        <v>0.45236280000000001</v>
      </c>
      <c r="F2699" t="s">
        <v>41</v>
      </c>
      <c r="G2699">
        <v>-491.99770000000001</v>
      </c>
      <c r="H2699" s="1">
        <v>-1.61931E-6</v>
      </c>
      <c r="I2699">
        <v>252.12469999999999</v>
      </c>
      <c r="J2699">
        <v>-489.9477</v>
      </c>
      <c r="K2699">
        <v>1.11843</v>
      </c>
      <c r="L2699">
        <v>269.48250000000002</v>
      </c>
      <c r="M2699">
        <v>-0.3561994</v>
      </c>
      <c r="N2699">
        <v>0</v>
      </c>
      <c r="O2699">
        <v>-0.93429569999999995</v>
      </c>
      <c r="P2699">
        <v>-0.2374319</v>
      </c>
      <c r="Q2699">
        <v>0.14414950000000001</v>
      </c>
      <c r="R2699">
        <v>-0.96064930000000004</v>
      </c>
      <c r="S2699">
        <v>-0.36676029999999998</v>
      </c>
      <c r="T2699">
        <v>-0.19595499999999999</v>
      </c>
      <c r="U2699">
        <v>-3.0634160000000001</v>
      </c>
      <c r="V2699">
        <v>-0.1235667</v>
      </c>
      <c r="W2699">
        <v>0.1560086</v>
      </c>
      <c r="X2699">
        <v>0.97999619999999998</v>
      </c>
      <c r="Y2699">
        <v>-0.24282799999999999</v>
      </c>
      <c r="Z2699">
        <v>5.6448499999999999E-2</v>
      </c>
      <c r="AA2699">
        <v>0.9684256</v>
      </c>
      <c r="AB2699">
        <v>28</v>
      </c>
      <c r="AC2699">
        <v>-2.05000000000001</v>
      </c>
      <c r="AD2699">
        <v>-1.1184316193099999</v>
      </c>
      <c r="AE2699">
        <v>-17.357800000000001</v>
      </c>
      <c r="AF2699">
        <v>-4.2505829340140204</v>
      </c>
      <c r="AG2699">
        <v>-1.1184316193099999</v>
      </c>
      <c r="AH2699">
        <v>16.880218282910601</v>
      </c>
      <c r="AI2699">
        <v>93.676271598440096</v>
      </c>
      <c r="AJ2699">
        <v>104.13372760882601</v>
      </c>
      <c r="AK2699">
        <v>17.4430534553074</v>
      </c>
      <c r="AL2699">
        <v>81.024703419144899</v>
      </c>
      <c r="AM2699">
        <v>97.186440919869895</v>
      </c>
      <c r="AN2699">
        <v>0.99999998231864495</v>
      </c>
    </row>
    <row r="2700" spans="1:40" x14ac:dyDescent="0.25">
      <c r="A2700" t="str">
        <f>"20190312172943125"</f>
        <v>20190312172943125</v>
      </c>
      <c r="B2700" t="str">
        <f>"1552382983119796"</f>
        <v>1552382983119796</v>
      </c>
      <c r="C2700" t="s">
        <v>40</v>
      </c>
      <c r="D2700">
        <v>3.0999629999999998</v>
      </c>
      <c r="E2700">
        <v>0.45263140000000002</v>
      </c>
      <c r="F2700" t="s">
        <v>41</v>
      </c>
      <c r="G2700">
        <v>-492.01159999999999</v>
      </c>
      <c r="H2700" s="1">
        <v>-1.3589339999999999E-6</v>
      </c>
      <c r="I2700">
        <v>251.50919999999999</v>
      </c>
      <c r="J2700">
        <v>-489.98869999999999</v>
      </c>
      <c r="K2700">
        <v>1.118371</v>
      </c>
      <c r="L2700">
        <v>269.36110000000002</v>
      </c>
      <c r="M2700">
        <v>-0.35138960000000002</v>
      </c>
      <c r="N2700">
        <v>0</v>
      </c>
      <c r="O2700">
        <v>-0.93611540000000004</v>
      </c>
      <c r="P2700">
        <v>-0.23330429999999999</v>
      </c>
      <c r="Q2700">
        <v>0.14426989999999901</v>
      </c>
      <c r="R2700">
        <v>-0.961642</v>
      </c>
      <c r="S2700">
        <v>-0.35189819999999999</v>
      </c>
      <c r="T2700">
        <v>-0.190695</v>
      </c>
      <c r="U2700">
        <v>-3.0644840000000002</v>
      </c>
      <c r="V2700">
        <v>-0.12270730000000001</v>
      </c>
      <c r="W2700">
        <v>0.1561536</v>
      </c>
      <c r="X2700">
        <v>0.98008110000000004</v>
      </c>
      <c r="Y2700">
        <v>-0.24250260000000001</v>
      </c>
      <c r="Z2700">
        <v>5.5103159999999998E-2</v>
      </c>
      <c r="AA2700">
        <v>0.96858460000000002</v>
      </c>
      <c r="AB2700">
        <v>28</v>
      </c>
      <c r="AC2700">
        <v>-2.0228999999999902</v>
      </c>
      <c r="AD2700">
        <v>-1.118372358934</v>
      </c>
      <c r="AE2700">
        <v>-17.851900000000001</v>
      </c>
      <c r="AF2700">
        <v>-4.3628655380922101</v>
      </c>
      <c r="AG2700">
        <v>-1.118372358934</v>
      </c>
      <c r="AH2700">
        <v>17.356866475395901</v>
      </c>
      <c r="AI2700">
        <v>93.575768104399899</v>
      </c>
      <c r="AJ2700">
        <v>104.10969387770101</v>
      </c>
      <c r="AK2700">
        <v>17.931708403870001</v>
      </c>
      <c r="AL2700">
        <v>81.016292566831495</v>
      </c>
      <c r="AM2700">
        <v>97.136364909823698</v>
      </c>
      <c r="AN2700">
        <v>0.99999999542172902</v>
      </c>
    </row>
    <row r="2701" spans="1:40" x14ac:dyDescent="0.25">
      <c r="A2701" t="str">
        <f>"20190312172943136"</f>
        <v>20190312172943136</v>
      </c>
      <c r="B2701" t="str">
        <f>"1552382983130532"</f>
        <v>1552382983130532</v>
      </c>
      <c r="C2701" t="s">
        <v>40</v>
      </c>
      <c r="D2701">
        <v>3.052025</v>
      </c>
      <c r="E2701">
        <v>0.4529646</v>
      </c>
      <c r="F2701" t="s">
        <v>41</v>
      </c>
      <c r="G2701">
        <v>-491.96600000000001</v>
      </c>
      <c r="H2701" s="1">
        <v>-1.3843259999999999E-6</v>
      </c>
      <c r="I2701">
        <v>251.5966</v>
      </c>
      <c r="J2701">
        <v>-490.03300000000002</v>
      </c>
      <c r="K2701">
        <v>1.118301</v>
      </c>
      <c r="L2701">
        <v>269.22649999999999</v>
      </c>
      <c r="M2701">
        <v>-0.34611049999999999</v>
      </c>
      <c r="N2701">
        <v>0</v>
      </c>
      <c r="O2701">
        <v>-0.93808040000000004</v>
      </c>
      <c r="P2701">
        <v>-0.22859389999999999</v>
      </c>
      <c r="Q2701">
        <v>0.1442397</v>
      </c>
      <c r="R2701">
        <v>-0.96277729999999995</v>
      </c>
      <c r="S2701">
        <v>-0.34124759999999998</v>
      </c>
      <c r="T2701">
        <v>-0.19301209999999999</v>
      </c>
      <c r="U2701">
        <v>-3.0658569999999998</v>
      </c>
      <c r="V2701">
        <v>-0.1219582</v>
      </c>
      <c r="W2701">
        <v>0.1561466</v>
      </c>
      <c r="X2701">
        <v>0.98017569999999998</v>
      </c>
      <c r="Y2701">
        <v>-0.24041319999999999</v>
      </c>
      <c r="Z2701">
        <v>5.5953950000000002E-2</v>
      </c>
      <c r="AA2701">
        <v>0.96905649999999999</v>
      </c>
      <c r="AB2701">
        <v>28</v>
      </c>
      <c r="AC2701">
        <v>-1.9329999999999901</v>
      </c>
      <c r="AD2701">
        <v>-1.118302384326</v>
      </c>
      <c r="AE2701">
        <v>-17.6298999999999</v>
      </c>
      <c r="AF2701">
        <v>-4.2720552101055498</v>
      </c>
      <c r="AG2701">
        <v>-1.118302384326</v>
      </c>
      <c r="AH2701">
        <v>17.140975606001401</v>
      </c>
      <c r="AI2701">
        <v>93.622273617306206</v>
      </c>
      <c r="AJ2701">
        <v>103.99474439265499</v>
      </c>
      <c r="AK2701">
        <v>17.7006807966957</v>
      </c>
      <c r="AL2701">
        <v>81.016698506168098</v>
      </c>
      <c r="AM2701">
        <v>97.092566535727002</v>
      </c>
      <c r="AN2701">
        <v>0.99999998305464399</v>
      </c>
    </row>
    <row r="2702" spans="1:40" x14ac:dyDescent="0.25">
      <c r="A2702" t="str">
        <f>"20190312172943148"</f>
        <v>20190312172943148</v>
      </c>
      <c r="B2702" t="str">
        <f>"1552382983140292"</f>
        <v>1552382983140292</v>
      </c>
      <c r="C2702" t="s">
        <v>40</v>
      </c>
      <c r="D2702">
        <v>3.1576900000000001</v>
      </c>
      <c r="E2702">
        <v>0.45293060000000002</v>
      </c>
      <c r="F2702" t="s">
        <v>41</v>
      </c>
      <c r="G2702">
        <v>-491.92380000000003</v>
      </c>
      <c r="H2702" s="1">
        <v>-1.3648850000000001E-6</v>
      </c>
      <c r="I2702">
        <v>251.57749999999999</v>
      </c>
      <c r="J2702">
        <v>-490.07369999999997</v>
      </c>
      <c r="K2702">
        <v>1.118241</v>
      </c>
      <c r="L2702">
        <v>269.10160000000002</v>
      </c>
      <c r="M2702">
        <v>-0.34122909999999901</v>
      </c>
      <c r="N2702">
        <v>0</v>
      </c>
      <c r="O2702">
        <v>-0.93986729999999996</v>
      </c>
      <c r="P2702">
        <v>-0.22453609999999999</v>
      </c>
      <c r="Q2702">
        <v>0.1438567</v>
      </c>
      <c r="R2702">
        <v>-0.9637888</v>
      </c>
      <c r="S2702">
        <v>-0.32858280000000001</v>
      </c>
      <c r="T2702">
        <v>-0.1943424</v>
      </c>
      <c r="U2702">
        <v>-3.0671080000000002</v>
      </c>
      <c r="V2702">
        <v>-0.1209789</v>
      </c>
      <c r="W2702">
        <v>0.1557915</v>
      </c>
      <c r="X2702">
        <v>0.98035360000000005</v>
      </c>
      <c r="Y2702">
        <v>-0.23936760000000001</v>
      </c>
      <c r="Z2702">
        <v>5.6501910000000002E-2</v>
      </c>
      <c r="AA2702">
        <v>0.96928360000000002</v>
      </c>
      <c r="AB2702">
        <v>28</v>
      </c>
      <c r="AC2702">
        <v>-1.85010000000005</v>
      </c>
      <c r="AD2702">
        <v>-1.118242364885</v>
      </c>
      <c r="AE2702">
        <v>-17.524100000000001</v>
      </c>
      <c r="AF2702">
        <v>-4.22432278219111</v>
      </c>
      <c r="AG2702">
        <v>-1.118242364885</v>
      </c>
      <c r="AH2702">
        <v>17.034850812986299</v>
      </c>
      <c r="AI2702">
        <v>93.6456475586849</v>
      </c>
      <c r="AJ2702">
        <v>103.927327298522</v>
      </c>
      <c r="AK2702">
        <v>17.5864013139545</v>
      </c>
      <c r="AL2702">
        <v>81.037296769833901</v>
      </c>
      <c r="AM2702">
        <v>97.034923756880005</v>
      </c>
      <c r="AN2702">
        <v>1.0000000333751999</v>
      </c>
    </row>
    <row r="2703" spans="1:40" x14ac:dyDescent="0.25">
      <c r="A2703" t="str">
        <f>"20190312172943157"</f>
        <v>20190312172943157</v>
      </c>
      <c r="B2703" t="str">
        <f>"1552382983150052"</f>
        <v>1552382983150052</v>
      </c>
      <c r="C2703" t="s">
        <v>40</v>
      </c>
      <c r="D2703">
        <v>3.1569470000000002</v>
      </c>
      <c r="E2703">
        <v>0.45311249999999997</v>
      </c>
      <c r="F2703" t="s">
        <v>41</v>
      </c>
      <c r="G2703">
        <v>-491.90719999999999</v>
      </c>
      <c r="H2703" s="1">
        <v>-1.225671E-6</v>
      </c>
      <c r="I2703">
        <v>251.26329999999999</v>
      </c>
      <c r="J2703">
        <v>-490.11349999999999</v>
      </c>
      <c r="K2703">
        <v>1.118179</v>
      </c>
      <c r="L2703">
        <v>268.97669999999999</v>
      </c>
      <c r="M2703">
        <v>-0.33638580000000001</v>
      </c>
      <c r="N2703">
        <v>0</v>
      </c>
      <c r="O2703">
        <v>-0.94161159999999999</v>
      </c>
      <c r="P2703">
        <v>-0.22021299999999999</v>
      </c>
      <c r="Q2703">
        <v>0.14372470000000001</v>
      </c>
      <c r="R2703">
        <v>-0.96480569999999999</v>
      </c>
      <c r="S2703">
        <v>-0.31533810000000001</v>
      </c>
      <c r="T2703">
        <v>-0.19232369999999999</v>
      </c>
      <c r="U2703">
        <v>-3.0679630000000002</v>
      </c>
      <c r="V2703">
        <v>-0.12030639999999899</v>
      </c>
      <c r="W2703">
        <v>0.15568029999999999</v>
      </c>
      <c r="X2703">
        <v>0.98045400000000005</v>
      </c>
      <c r="Y2703">
        <v>-0.23853360000000001</v>
      </c>
      <c r="Z2703">
        <v>5.6080989999999997E-2</v>
      </c>
      <c r="AA2703">
        <v>0.96951359999999998</v>
      </c>
      <c r="AB2703">
        <v>28</v>
      </c>
      <c r="AC2703">
        <v>-1.7937000000000001</v>
      </c>
      <c r="AD2703">
        <v>-1.1181802256710001</v>
      </c>
      <c r="AE2703">
        <v>-17.7134</v>
      </c>
      <c r="AF2703">
        <v>-4.2532437395897604</v>
      </c>
      <c r="AG2703">
        <v>-1.1181802256710001</v>
      </c>
      <c r="AH2703">
        <v>17.216442173796601</v>
      </c>
      <c r="AI2703">
        <v>93.607882263035094</v>
      </c>
      <c r="AJ2703">
        <v>103.87680774477199</v>
      </c>
      <c r="AK2703">
        <v>17.769251263042101</v>
      </c>
      <c r="AL2703">
        <v>81.043746600581002</v>
      </c>
      <c r="AM2703">
        <v>96.995497177527</v>
      </c>
      <c r="AN2703">
        <v>1.00000001590252</v>
      </c>
    </row>
    <row r="2704" spans="1:40" x14ac:dyDescent="0.25">
      <c r="A2704" t="str">
        <f>"20190312172943169"</f>
        <v>20190312172943169</v>
      </c>
      <c r="B2704" t="str">
        <f>"1552382983159812"</f>
        <v>1552382983159812</v>
      </c>
      <c r="C2704" t="s">
        <v>40</v>
      </c>
      <c r="D2704">
        <v>3.1831179999999999</v>
      </c>
      <c r="E2704">
        <v>0.45344760000000001</v>
      </c>
      <c r="F2704" t="s">
        <v>41</v>
      </c>
      <c r="G2704">
        <v>-491.89109999999999</v>
      </c>
      <c r="H2704" s="1">
        <v>-1.0950469999999999E-6</v>
      </c>
      <c r="I2704">
        <v>250.96879999999999</v>
      </c>
      <c r="J2704">
        <v>-490.15499999999997</v>
      </c>
      <c r="K2704">
        <v>1.1181160000000001</v>
      </c>
      <c r="L2704">
        <v>268.84440000000001</v>
      </c>
      <c r="M2704">
        <v>-0.33129350000000002</v>
      </c>
      <c r="N2704">
        <v>0</v>
      </c>
      <c r="O2704">
        <v>-0.94341549999999996</v>
      </c>
      <c r="P2704">
        <v>-0.21571419999999999</v>
      </c>
      <c r="Q2704">
        <v>0.14346729999999899</v>
      </c>
      <c r="R2704">
        <v>-0.96585949999999998</v>
      </c>
      <c r="S2704">
        <v>-0.30291750000000001</v>
      </c>
      <c r="T2704">
        <v>-0.19054479999999999</v>
      </c>
      <c r="U2704">
        <v>-3.0686650000000002</v>
      </c>
      <c r="V2704">
        <v>-0.11956</v>
      </c>
      <c r="W2704">
        <v>0.15544479999999999</v>
      </c>
      <c r="X2704">
        <v>0.98058270000000003</v>
      </c>
      <c r="Y2704">
        <v>-0.2371916</v>
      </c>
      <c r="Z2704">
        <v>5.5737460000000003E-2</v>
      </c>
      <c r="AA2704">
        <v>0.96986260000000002</v>
      </c>
      <c r="AB2704">
        <v>28</v>
      </c>
      <c r="AC2704">
        <v>-1.73610000000002</v>
      </c>
      <c r="AD2704">
        <v>-1.1181170950470001</v>
      </c>
      <c r="AE2704">
        <v>-17.875599999999999</v>
      </c>
      <c r="AF2704">
        <v>-4.2681173050036998</v>
      </c>
      <c r="AG2704">
        <v>-1.1181170950470001</v>
      </c>
      <c r="AH2704">
        <v>17.373784380578599</v>
      </c>
      <c r="AI2704">
        <v>93.576236107743995</v>
      </c>
      <c r="AJ2704">
        <v>103.80219751889599</v>
      </c>
      <c r="AK2704">
        <v>17.925272518719002</v>
      </c>
      <c r="AL2704">
        <v>81.057406402905002</v>
      </c>
      <c r="AM2704">
        <v>96.951618515674198</v>
      </c>
      <c r="AN2704">
        <v>1.0000000554931601</v>
      </c>
    </row>
    <row r="2705" spans="1:40" x14ac:dyDescent="0.25">
      <c r="A2705" t="str">
        <f>"20190312172943181"</f>
        <v>20190312172943181</v>
      </c>
      <c r="B2705" t="str">
        <f>"1552382983170549"</f>
        <v>1552382983170549</v>
      </c>
      <c r="C2705" t="s">
        <v>40</v>
      </c>
      <c r="D2705">
        <v>3.2101320000000002</v>
      </c>
      <c r="E2705">
        <v>0.45344760000000001</v>
      </c>
      <c r="F2705" t="s">
        <v>41</v>
      </c>
      <c r="G2705">
        <v>-491.8689</v>
      </c>
      <c r="H2705" s="1">
        <v>-1.0057289999999999E-6</v>
      </c>
      <c r="I2705">
        <v>250.77440000000001</v>
      </c>
      <c r="J2705">
        <v>-490.19729999999998</v>
      </c>
      <c r="K2705">
        <v>1.11805</v>
      </c>
      <c r="L2705">
        <v>268.70769999999999</v>
      </c>
      <c r="M2705">
        <v>-0.3260535</v>
      </c>
      <c r="N2705">
        <v>0</v>
      </c>
      <c r="O2705">
        <v>-0.94523970000000002</v>
      </c>
      <c r="P2705">
        <v>-0.21111479999999999</v>
      </c>
      <c r="Q2705">
        <v>0.14322289999999999</v>
      </c>
      <c r="R2705">
        <v>-0.96691170000000004</v>
      </c>
      <c r="S2705">
        <v>-0.29110720000000001</v>
      </c>
      <c r="T2705">
        <v>-0.189913</v>
      </c>
      <c r="U2705">
        <v>-3.0692140000000001</v>
      </c>
      <c r="V2705">
        <v>-0.118766899999999</v>
      </c>
      <c r="W2705">
        <v>0.1552239</v>
      </c>
      <c r="X2705">
        <v>0.98071399999999997</v>
      </c>
      <c r="Y2705">
        <v>-0.2355148</v>
      </c>
      <c r="Z2705">
        <v>5.5732240000000002E-2</v>
      </c>
      <c r="AA2705">
        <v>0.97027149999999995</v>
      </c>
      <c r="AB2705">
        <v>28</v>
      </c>
      <c r="AC2705">
        <v>-1.67160000000001</v>
      </c>
      <c r="AD2705">
        <v>-1.1180510057290001</v>
      </c>
      <c r="AE2705">
        <v>-17.9332999999999</v>
      </c>
      <c r="AF2705">
        <v>-4.2512211398650397</v>
      </c>
      <c r="AG2705">
        <v>-1.1180510057290001</v>
      </c>
      <c r="AH2705">
        <v>17.430975733490801</v>
      </c>
      <c r="AI2705">
        <v>93.565780459167399</v>
      </c>
      <c r="AJ2705">
        <v>103.706227718888</v>
      </c>
      <c r="AK2705">
        <v>17.9767025411501</v>
      </c>
      <c r="AL2705">
        <v>81.070217989363996</v>
      </c>
      <c r="AM2705">
        <v>96.905036159897193</v>
      </c>
      <c r="AN2705">
        <v>0.99999999273140905</v>
      </c>
    </row>
    <row r="2706" spans="1:40" x14ac:dyDescent="0.25">
      <c r="A2706" t="str">
        <f>"20190312172943192"</f>
        <v>20190312172943192</v>
      </c>
      <c r="B2706" t="str">
        <f>"1552382983180308"</f>
        <v>1552382983180308</v>
      </c>
      <c r="C2706" t="s">
        <v>40</v>
      </c>
      <c r="D2706">
        <v>3.1970960000000002</v>
      </c>
      <c r="E2706">
        <v>0.46329179999999998</v>
      </c>
      <c r="F2706" t="s">
        <v>41</v>
      </c>
      <c r="G2706">
        <v>-491.81970000000001</v>
      </c>
      <c r="H2706" s="1">
        <v>-9.6070949999999991E-7</v>
      </c>
      <c r="I2706">
        <v>250.69990000000001</v>
      </c>
      <c r="J2706">
        <v>-490.2346</v>
      </c>
      <c r="K2706">
        <v>1.1179870000000001</v>
      </c>
      <c r="L2706">
        <v>268.58359999999999</v>
      </c>
      <c r="M2706">
        <v>-0.32135399999999997</v>
      </c>
      <c r="N2706">
        <v>0</v>
      </c>
      <c r="O2706">
        <v>-0.94684760000000001</v>
      </c>
      <c r="P2706">
        <v>-0.20702300000000001</v>
      </c>
      <c r="Q2706">
        <v>0.14307700000000001</v>
      </c>
      <c r="R2706">
        <v>-0.96781740000000005</v>
      </c>
      <c r="S2706">
        <v>-0.27664179999999999</v>
      </c>
      <c r="T2706">
        <v>-0.19063840000000001</v>
      </c>
      <c r="U2706">
        <v>-3.0704959999999999</v>
      </c>
      <c r="V2706">
        <v>-0.1180239</v>
      </c>
      <c r="W2706">
        <v>0.15509809999999999</v>
      </c>
      <c r="X2706">
        <v>0.98082360000000002</v>
      </c>
      <c r="Y2706">
        <v>-0.23525879999999999</v>
      </c>
      <c r="Z2706">
        <v>5.608175E-2</v>
      </c>
      <c r="AA2706">
        <v>0.97031339999999999</v>
      </c>
      <c r="AB2706">
        <v>28</v>
      </c>
      <c r="AC2706">
        <v>-1.5851000000000099</v>
      </c>
      <c r="AD2706">
        <v>-1.1179879607095</v>
      </c>
      <c r="AE2706">
        <v>-17.883699999999902</v>
      </c>
      <c r="AF2706">
        <v>-4.2301959916283396</v>
      </c>
      <c r="AG2706">
        <v>-1.1179879607095</v>
      </c>
      <c r="AH2706">
        <v>17.376978458274198</v>
      </c>
      <c r="AI2706">
        <v>93.577001845543904</v>
      </c>
      <c r="AJ2706">
        <v>103.681777024366</v>
      </c>
      <c r="AK2706">
        <v>17.9193704004132</v>
      </c>
      <c r="AL2706">
        <v>81.077514207984194</v>
      </c>
      <c r="AM2706">
        <v>96.861492284083994</v>
      </c>
      <c r="AN2706">
        <v>0.99999999795588901</v>
      </c>
    </row>
    <row r="2707" spans="1:40" x14ac:dyDescent="0.25">
      <c r="A2707" t="str">
        <f>"20190312172943204"</f>
        <v>20190312172943204</v>
      </c>
      <c r="B2707" t="str">
        <f>"1552382983199828"</f>
        <v>1552382983199828</v>
      </c>
      <c r="C2707" t="s">
        <v>40</v>
      </c>
      <c r="D2707">
        <v>3.19293</v>
      </c>
      <c r="E2707">
        <v>0.46301949999999997</v>
      </c>
      <c r="F2707" t="s">
        <v>41</v>
      </c>
      <c r="G2707">
        <v>-492.08460000000002</v>
      </c>
      <c r="H2707" s="1">
        <v>-1.5689210000000001E-6</v>
      </c>
      <c r="I2707">
        <v>251.95339999999999</v>
      </c>
      <c r="J2707">
        <v>-490.27679999999998</v>
      </c>
      <c r="K2707">
        <v>1.1179209999999999</v>
      </c>
      <c r="L2707">
        <v>268.44220000000001</v>
      </c>
      <c r="M2707">
        <v>-0.3160135</v>
      </c>
      <c r="N2707">
        <v>0</v>
      </c>
      <c r="O2707">
        <v>-0.94864360000000003</v>
      </c>
      <c r="P2707">
        <v>-0.2024434</v>
      </c>
      <c r="Q2707">
        <v>0.14281529999999901</v>
      </c>
      <c r="R2707">
        <v>-0.96882429999999997</v>
      </c>
      <c r="S2707">
        <v>-0.34011839999999999</v>
      </c>
      <c r="T2707">
        <v>-0.2055401</v>
      </c>
      <c r="U2707">
        <v>-3.0574340000000002</v>
      </c>
      <c r="V2707">
        <v>-0.11711480000000001</v>
      </c>
      <c r="W2707">
        <v>0.1548611</v>
      </c>
      <c r="X2707">
        <v>0.98097000000000001</v>
      </c>
      <c r="Y2707">
        <v>-0.20942430000000001</v>
      </c>
      <c r="Z2707">
        <v>6.1022350000000003E-2</v>
      </c>
      <c r="AA2707">
        <v>0.97591890000000003</v>
      </c>
      <c r="AB2707">
        <v>28</v>
      </c>
      <c r="AC2707">
        <v>-1.80780000000004</v>
      </c>
      <c r="AD2707">
        <v>-1.1179225689209999</v>
      </c>
      <c r="AE2707">
        <v>-16.488800000000001</v>
      </c>
      <c r="AF2707">
        <v>-3.4802862013760398</v>
      </c>
      <c r="AG2707">
        <v>-1.1179225689209999</v>
      </c>
      <c r="AH2707">
        <v>16.141675854778999</v>
      </c>
      <c r="AI2707">
        <v>93.873081020464994</v>
      </c>
      <c r="AJ2707">
        <v>102.16721256846201</v>
      </c>
      <c r="AK2707">
        <v>16.5504030861591</v>
      </c>
      <c r="AL2707">
        <v>81.091259299152597</v>
      </c>
      <c r="AM2707">
        <v>96.808131891909099</v>
      </c>
      <c r="AN2707">
        <v>0.99999998878612495</v>
      </c>
    </row>
    <row r="2708" spans="1:40" x14ac:dyDescent="0.25">
      <c r="A2708" t="str">
        <f>"20190312172943215"</f>
        <v>20190312172943215</v>
      </c>
      <c r="B2708" t="str">
        <f>"1552382983210564"</f>
        <v>1552382983210564</v>
      </c>
      <c r="C2708" t="s">
        <v>40</v>
      </c>
      <c r="D2708">
        <v>3.221155</v>
      </c>
      <c r="E2708">
        <v>0.4631633</v>
      </c>
      <c r="F2708" t="s">
        <v>41</v>
      </c>
      <c r="G2708">
        <v>-492.17720000000003</v>
      </c>
      <c r="H2708" s="1">
        <v>-9.524214E-7</v>
      </c>
      <c r="I2708">
        <v>250.4588</v>
      </c>
      <c r="J2708">
        <v>-490.31630000000001</v>
      </c>
      <c r="K2708">
        <v>1.1178520000000001</v>
      </c>
      <c r="L2708">
        <v>268.30590000000001</v>
      </c>
      <c r="M2708">
        <v>-0.31092839999999999</v>
      </c>
      <c r="N2708">
        <v>0</v>
      </c>
      <c r="O2708">
        <v>-0.95032269999999996</v>
      </c>
      <c r="P2708">
        <v>-0.1980393</v>
      </c>
      <c r="Q2708">
        <v>0.1425556</v>
      </c>
      <c r="R2708">
        <v>-0.96977219999999997</v>
      </c>
      <c r="S2708">
        <v>-0.32305909999999999</v>
      </c>
      <c r="T2708">
        <v>-0.1900365</v>
      </c>
      <c r="U2708">
        <v>-3.057007</v>
      </c>
      <c r="V2708">
        <v>-0.1162982</v>
      </c>
      <c r="W2708">
        <v>0.15462419999999999</v>
      </c>
      <c r="X2708">
        <v>0.98110459999999999</v>
      </c>
      <c r="Y2708">
        <v>-0.20952680000000001</v>
      </c>
      <c r="Z2708">
        <v>5.661418E-2</v>
      </c>
      <c r="AA2708">
        <v>0.97616259999999999</v>
      </c>
      <c r="AB2708">
        <v>28</v>
      </c>
      <c r="AC2708">
        <v>-1.86090000000001</v>
      </c>
      <c r="AD2708">
        <v>-1.1178529524214</v>
      </c>
      <c r="AE2708">
        <v>-17.847100000000001</v>
      </c>
      <c r="AF2708">
        <v>-3.76649476083904</v>
      </c>
      <c r="AG2708">
        <v>-1.1178529524214</v>
      </c>
      <c r="AH2708">
        <v>17.473143046192298</v>
      </c>
      <c r="AI2708">
        <v>93.578561937097604</v>
      </c>
      <c r="AJ2708">
        <v>102.16449465457499</v>
      </c>
      <c r="AK2708">
        <v>17.909405515520699</v>
      </c>
      <c r="AL2708">
        <v>81.104998932806595</v>
      </c>
      <c r="AM2708">
        <v>96.760183189628293</v>
      </c>
      <c r="AN2708">
        <v>1.00000007534501</v>
      </c>
    </row>
    <row r="2709" spans="1:40" x14ac:dyDescent="0.25">
      <c r="A2709" t="str">
        <f>"20190312172943229"</f>
        <v>20190312172943229</v>
      </c>
      <c r="B2709" t="str">
        <f>"1552382983220323"</f>
        <v>1552382983220323</v>
      </c>
      <c r="C2709" t="s">
        <v>40</v>
      </c>
      <c r="D2709">
        <v>3.1750910000000001</v>
      </c>
      <c r="E2709">
        <v>0.46371469999999998</v>
      </c>
      <c r="F2709" t="s">
        <v>41</v>
      </c>
      <c r="G2709">
        <v>-492.16300000000001</v>
      </c>
      <c r="H2709" s="1">
        <v>-7.980382E-7</v>
      </c>
      <c r="I2709">
        <v>250.1078</v>
      </c>
      <c r="J2709">
        <v>-490.35750000000002</v>
      </c>
      <c r="K2709">
        <v>1.1177809999999999</v>
      </c>
      <c r="L2709">
        <v>268.16140000000001</v>
      </c>
      <c r="M2709">
        <v>-0.30556529999999998</v>
      </c>
      <c r="N2709">
        <v>0</v>
      </c>
      <c r="O2709">
        <v>-0.95206080000000004</v>
      </c>
      <c r="P2709">
        <v>-0.1936378</v>
      </c>
      <c r="Q2709">
        <v>0.1424483</v>
      </c>
      <c r="R2709">
        <v>-0.97067650000000005</v>
      </c>
      <c r="S2709">
        <v>-0.31030269999999999</v>
      </c>
      <c r="T2709">
        <v>-0.18782950000000001</v>
      </c>
      <c r="U2709">
        <v>-3.0577700000000001</v>
      </c>
      <c r="V2709">
        <v>-0.1151918</v>
      </c>
      <c r="W2709">
        <v>0.15454409999999999</v>
      </c>
      <c r="X2709">
        <v>0.98124769999999994</v>
      </c>
      <c r="Y2709">
        <v>-0.208065</v>
      </c>
      <c r="Z2709">
        <v>5.6123779999999998E-2</v>
      </c>
      <c r="AA2709">
        <v>0.97650349999999997</v>
      </c>
      <c r="AB2709">
        <v>28</v>
      </c>
      <c r="AC2709">
        <v>-1.8054999999999899</v>
      </c>
      <c r="AD2709">
        <v>-1.1177817980382001</v>
      </c>
      <c r="AE2709">
        <v>-18.053599999999999</v>
      </c>
      <c r="AF2709">
        <v>-3.7836462132634101</v>
      </c>
      <c r="AG2709">
        <v>-1.1177817980382001</v>
      </c>
      <c r="AH2709">
        <v>17.674603450875399</v>
      </c>
      <c r="AI2709">
        <v>93.538729316503705</v>
      </c>
      <c r="AJ2709">
        <v>102.08307557745999</v>
      </c>
      <c r="AK2709">
        <v>18.109583704791898</v>
      </c>
      <c r="AL2709">
        <v>81.109643837781405</v>
      </c>
      <c r="AM2709">
        <v>96.695489481606799</v>
      </c>
      <c r="AN2709">
        <v>1.0000000391936601</v>
      </c>
    </row>
    <row r="2710" spans="1:40" x14ac:dyDescent="0.25">
      <c r="A2710" t="str">
        <f>"20190312172943250"</f>
        <v>20190312172943250</v>
      </c>
      <c r="B2710" t="str">
        <f>"1552382983239843"</f>
        <v>1552382983239843</v>
      </c>
      <c r="C2710" t="s">
        <v>40</v>
      </c>
      <c r="D2710">
        <v>3.2064080000000001</v>
      </c>
      <c r="E2710">
        <v>0.46473120000000001</v>
      </c>
      <c r="F2710" t="s">
        <v>41</v>
      </c>
      <c r="G2710">
        <v>-492.1413</v>
      </c>
      <c r="H2710" s="1">
        <v>-7.4450879999999998E-7</v>
      </c>
      <c r="I2710">
        <v>249.9965</v>
      </c>
      <c r="J2710">
        <v>-490.4255</v>
      </c>
      <c r="K2710">
        <v>1.1176649999999999</v>
      </c>
      <c r="L2710">
        <v>267.91640000000001</v>
      </c>
      <c r="M2710">
        <v>-0.29656519999999997</v>
      </c>
      <c r="N2710">
        <v>0</v>
      </c>
      <c r="O2710">
        <v>-0.9549029</v>
      </c>
      <c r="P2710">
        <v>-0.18642130000000001</v>
      </c>
      <c r="Q2710">
        <v>0.14244399999999999</v>
      </c>
      <c r="R2710">
        <v>-0.97208899999999998</v>
      </c>
      <c r="S2710">
        <v>-0.30032350000000002</v>
      </c>
      <c r="T2710">
        <v>-0.18819430000000001</v>
      </c>
      <c r="U2710">
        <v>-3.058319</v>
      </c>
      <c r="V2710">
        <v>-0.1131713</v>
      </c>
      <c r="W2710">
        <v>0.1545879</v>
      </c>
      <c r="X2710">
        <v>0.98147580000000001</v>
      </c>
      <c r="Y2710">
        <v>-0.20200290000000001</v>
      </c>
      <c r="Z2710">
        <v>5.6528639999999998E-2</v>
      </c>
      <c r="AA2710">
        <v>0.97775219999999896</v>
      </c>
      <c r="AB2710">
        <v>28</v>
      </c>
      <c r="AC2710">
        <v>-1.7158</v>
      </c>
      <c r="AD2710">
        <v>-1.1176657445088001</v>
      </c>
      <c r="AE2710">
        <v>-17.919899999999998</v>
      </c>
      <c r="AF2710">
        <v>-3.66226462314809</v>
      </c>
      <c r="AG2710">
        <v>-1.1176657445088001</v>
      </c>
      <c r="AH2710">
        <v>17.5547891392279</v>
      </c>
      <c r="AI2710">
        <v>93.566373093649901</v>
      </c>
      <c r="AJ2710">
        <v>101.783981154283</v>
      </c>
      <c r="AK2710">
        <v>17.9675257230695</v>
      </c>
      <c r="AL2710">
        <v>81.107102993273202</v>
      </c>
      <c r="AM2710">
        <v>96.577571561572697</v>
      </c>
      <c r="AN2710">
        <v>0.999999953977869</v>
      </c>
    </row>
    <row r="2711" spans="1:40" x14ac:dyDescent="0.25">
      <c r="A2711" t="str">
        <f>"20190312172943265"</f>
        <v>20190312172943265</v>
      </c>
      <c r="B2711" t="str">
        <f>"1552382983260339"</f>
        <v>1552382983260339</v>
      </c>
      <c r="C2711" t="s">
        <v>40</v>
      </c>
      <c r="D2711">
        <v>3.1724570000000001</v>
      </c>
      <c r="E2711">
        <v>0.46516220000000003</v>
      </c>
      <c r="F2711" t="s">
        <v>41</v>
      </c>
      <c r="G2711">
        <v>-492.15870000000001</v>
      </c>
      <c r="H2711" s="1">
        <v>-4.5714909999999997E-6</v>
      </c>
      <c r="I2711">
        <v>249.29509999999999</v>
      </c>
      <c r="J2711">
        <v>-490.47280000000001</v>
      </c>
      <c r="K2711">
        <v>1.1175839999999999</v>
      </c>
      <c r="L2711">
        <v>267.74160000000001</v>
      </c>
      <c r="M2711">
        <v>-0.29020259999999998</v>
      </c>
      <c r="N2711">
        <v>0</v>
      </c>
      <c r="O2711">
        <v>-0.95685609999999999</v>
      </c>
      <c r="P2711">
        <v>-0.18110580000000001</v>
      </c>
      <c r="Q2711">
        <v>0.14248449999999999</v>
      </c>
      <c r="R2711">
        <v>-0.97308740000000005</v>
      </c>
      <c r="S2711">
        <v>-0.28466799999999998</v>
      </c>
      <c r="T2711">
        <v>-0.18357660000000001</v>
      </c>
      <c r="U2711">
        <v>-3.0585330000000002</v>
      </c>
      <c r="V2711">
        <v>-0.1119677</v>
      </c>
      <c r="W2711">
        <v>0.15465719999999999</v>
      </c>
      <c r="X2711">
        <v>0.981603</v>
      </c>
      <c r="Y2711">
        <v>-0.20044300000000001</v>
      </c>
      <c r="Z2711">
        <v>5.5338350000000001E-2</v>
      </c>
      <c r="AA2711">
        <v>0.97814120000000004</v>
      </c>
      <c r="AB2711">
        <v>28</v>
      </c>
      <c r="AC2711">
        <v>-1.6859</v>
      </c>
      <c r="AD2711">
        <v>-1.1175885714910001</v>
      </c>
      <c r="AE2711">
        <v>-18.4465</v>
      </c>
      <c r="AF2711">
        <v>-3.72688264679336</v>
      </c>
      <c r="AG2711">
        <v>-1.1175885714910001</v>
      </c>
      <c r="AH2711">
        <v>18.0759932585364</v>
      </c>
      <c r="AI2711">
        <v>93.465232732272497</v>
      </c>
      <c r="AJ2711">
        <v>101.649915510631</v>
      </c>
      <c r="AK2711">
        <v>18.490002454319701</v>
      </c>
      <c r="AL2711">
        <v>81.103084766474197</v>
      </c>
      <c r="AM2711">
        <v>96.507384968795805</v>
      </c>
      <c r="AN2711">
        <v>1.0000000324820599</v>
      </c>
    </row>
    <row r="2712" spans="1:40" x14ac:dyDescent="0.25">
      <c r="A2712" t="str">
        <f>"20190312172943281"</f>
        <v>20190312172943281</v>
      </c>
      <c r="B2712" t="str">
        <f>"1552382983270100"</f>
        <v>1552382983270100</v>
      </c>
      <c r="C2712" t="s">
        <v>40</v>
      </c>
      <c r="D2712">
        <v>3.228132</v>
      </c>
      <c r="E2712">
        <v>0.45860339999999999</v>
      </c>
      <c r="F2712" t="s">
        <v>41</v>
      </c>
      <c r="G2712">
        <v>-492.14319999999998</v>
      </c>
      <c r="H2712" s="1">
        <v>-4.4314849999999996E-6</v>
      </c>
      <c r="I2712">
        <v>248.89179999999999</v>
      </c>
      <c r="J2712">
        <v>-490.52839999999998</v>
      </c>
      <c r="K2712">
        <v>1.11748799999999</v>
      </c>
      <c r="L2712">
        <v>267.5292</v>
      </c>
      <c r="M2712">
        <v>-0.28256120000000001</v>
      </c>
      <c r="N2712">
        <v>0</v>
      </c>
      <c r="O2712">
        <v>-0.95914100000000002</v>
      </c>
      <c r="P2712">
        <v>-0.17547179999999901</v>
      </c>
      <c r="Q2712">
        <v>0.14206559999999999</v>
      </c>
      <c r="R2712">
        <v>-0.97418039999999995</v>
      </c>
      <c r="S2712">
        <v>-0.27108759999999998</v>
      </c>
      <c r="T2712">
        <v>-0.18137010000000001</v>
      </c>
      <c r="U2712">
        <v>-3.0590820000000001</v>
      </c>
      <c r="V2712">
        <v>-0.109787</v>
      </c>
      <c r="W2712">
        <v>0.1542869</v>
      </c>
      <c r="X2712">
        <v>0.98190750000000004</v>
      </c>
      <c r="Y2712">
        <v>-0.1969477</v>
      </c>
      <c r="Z2712">
        <v>5.4897750000000002E-2</v>
      </c>
      <c r="AA2712">
        <v>0.97887579999999996</v>
      </c>
      <c r="AB2712">
        <v>28</v>
      </c>
      <c r="AC2712">
        <v>-1.6148</v>
      </c>
      <c r="AD2712">
        <v>-1.1174924314850001</v>
      </c>
      <c r="AE2712">
        <v>-18.6374</v>
      </c>
      <c r="AF2712">
        <v>-3.7045521218560298</v>
      </c>
      <c r="AG2712">
        <v>-1.1174924314850001</v>
      </c>
      <c r="AH2712">
        <v>18.268888248334001</v>
      </c>
      <c r="AI2712">
        <v>93.430720724359901</v>
      </c>
      <c r="AJ2712">
        <v>101.462967027175</v>
      </c>
      <c r="AK2712">
        <v>18.6741739733807</v>
      </c>
      <c r="AL2712">
        <v>81.124558728230497</v>
      </c>
      <c r="AM2712">
        <v>96.379739284705593</v>
      </c>
      <c r="AN2712">
        <v>0.99999998571842996</v>
      </c>
    </row>
    <row r="2713" spans="1:40" x14ac:dyDescent="0.25">
      <c r="A2713" t="str">
        <f>"20190312172943295"</f>
        <v>20190312172943295</v>
      </c>
      <c r="B2713" t="str">
        <f>"1552382983290596"</f>
        <v>1552382983290596</v>
      </c>
      <c r="C2713" t="s">
        <v>40</v>
      </c>
      <c r="D2713">
        <v>3.2748149999999998</v>
      </c>
      <c r="E2713">
        <v>0.46302860000000001</v>
      </c>
      <c r="F2713" t="s">
        <v>41</v>
      </c>
      <c r="G2713">
        <v>-491.8202</v>
      </c>
      <c r="H2713" s="1">
        <v>-4.0442740000000001E-6</v>
      </c>
      <c r="I2713">
        <v>247.92230000000001</v>
      </c>
      <c r="J2713">
        <v>-490.56479999999999</v>
      </c>
      <c r="K2713">
        <v>1.117424</v>
      </c>
      <c r="L2713">
        <v>267.38560000000001</v>
      </c>
      <c r="M2713">
        <v>-0.27745120000000001</v>
      </c>
      <c r="N2713">
        <v>0</v>
      </c>
      <c r="O2713">
        <v>-0.96063160000000003</v>
      </c>
      <c r="P2713">
        <v>-0.17093449999999999</v>
      </c>
      <c r="Q2713">
        <v>0.14167779999999999</v>
      </c>
      <c r="R2713">
        <v>-0.97504299999999999</v>
      </c>
      <c r="S2713">
        <v>-0.202179</v>
      </c>
      <c r="T2713">
        <v>-0.1748941</v>
      </c>
      <c r="U2713">
        <v>-3.0686040000000001</v>
      </c>
      <c r="V2713">
        <v>-0.109114</v>
      </c>
      <c r="W2713">
        <v>0.15391560000000001</v>
      </c>
      <c r="X2713">
        <v>0.98204080000000005</v>
      </c>
      <c r="Y2713">
        <v>-0.2138079</v>
      </c>
      <c r="Z2713">
        <v>5.2848109999999997E-2</v>
      </c>
      <c r="AA2713">
        <v>0.97544520000000001</v>
      </c>
      <c r="AB2713">
        <v>28</v>
      </c>
      <c r="AC2713">
        <v>-1.2554000000000001</v>
      </c>
      <c r="AD2713">
        <v>-1.1174280442740001</v>
      </c>
      <c r="AE2713">
        <v>-19.4633</v>
      </c>
      <c r="AF2713">
        <v>-4.1808511943034601</v>
      </c>
      <c r="AG2713">
        <v>-1.1174280442740001</v>
      </c>
      <c r="AH2713">
        <v>18.985033865318702</v>
      </c>
      <c r="AI2713">
        <v>93.289802199358704</v>
      </c>
      <c r="AJ2713">
        <v>102.41934624248999</v>
      </c>
      <c r="AK2713">
        <v>19.472022827901998</v>
      </c>
      <c r="AL2713">
        <v>81.146090010531395</v>
      </c>
      <c r="AM2713">
        <v>96.340096973144497</v>
      </c>
      <c r="AN2713">
        <v>1.0000000048919999</v>
      </c>
    </row>
    <row r="2714" spans="1:40" x14ac:dyDescent="0.25">
      <c r="A2714" t="str">
        <f>"20190312172943308"</f>
        <v>20190312172943308</v>
      </c>
      <c r="B2714" t="str">
        <f>"1552382983300356"</f>
        <v>1552382983300356</v>
      </c>
      <c r="C2714" t="s">
        <v>40</v>
      </c>
      <c r="D2714">
        <v>3.2027519999999998</v>
      </c>
      <c r="E2714">
        <v>0.46397620000000001</v>
      </c>
      <c r="F2714" t="s">
        <v>41</v>
      </c>
      <c r="G2714">
        <v>-491.87200000000001</v>
      </c>
      <c r="H2714" s="1">
        <v>-4.5440169999999999E-6</v>
      </c>
      <c r="I2714">
        <v>249.3638</v>
      </c>
      <c r="J2714">
        <v>-490.60379999999998</v>
      </c>
      <c r="K2714">
        <v>1.117348</v>
      </c>
      <c r="L2714">
        <v>267.22980000000001</v>
      </c>
      <c r="M2714">
        <v>-0.27194099999999999</v>
      </c>
      <c r="N2714">
        <v>0</v>
      </c>
      <c r="O2714">
        <v>-0.96220629999999996</v>
      </c>
      <c r="P2714">
        <v>-0.1661397</v>
      </c>
      <c r="Q2714">
        <v>0.141308399999999</v>
      </c>
      <c r="R2714">
        <v>-0.97592500000000004</v>
      </c>
      <c r="S2714">
        <v>-0.2223511</v>
      </c>
      <c r="T2714">
        <v>-0.19006999999999999</v>
      </c>
      <c r="U2714">
        <v>-3.0654300000000001</v>
      </c>
      <c r="V2714">
        <v>-0.1082925</v>
      </c>
      <c r="W2714">
        <v>0.15356649999999999</v>
      </c>
      <c r="X2714">
        <v>0.98218640000000001</v>
      </c>
      <c r="Y2714">
        <v>-0.2017583</v>
      </c>
      <c r="Z2714">
        <v>5.7688999999999997E-2</v>
      </c>
      <c r="AA2714">
        <v>0.97773489999999996</v>
      </c>
      <c r="AB2714">
        <v>28</v>
      </c>
      <c r="AC2714">
        <v>-1.26819999999997</v>
      </c>
      <c r="AD2714">
        <v>-1.117352544017</v>
      </c>
      <c r="AE2714">
        <v>-17.866</v>
      </c>
      <c r="AF2714">
        <v>-3.6244991443507502</v>
      </c>
      <c r="AG2714">
        <v>-1.117352544017</v>
      </c>
      <c r="AH2714">
        <v>17.469483126879702</v>
      </c>
      <c r="AI2714">
        <v>93.583555931480504</v>
      </c>
      <c r="AJ2714">
        <v>101.721204712823</v>
      </c>
      <c r="AK2714">
        <v>17.876473686813998</v>
      </c>
      <c r="AL2714">
        <v>81.166332850940506</v>
      </c>
      <c r="AM2714">
        <v>96.291822508953402</v>
      </c>
      <c r="AN2714">
        <v>1.00000002991172</v>
      </c>
    </row>
    <row r="2715" spans="1:40" x14ac:dyDescent="0.25">
      <c r="A2715" t="str">
        <f>"20190312172943320"</f>
        <v>20190312172943320</v>
      </c>
      <c r="B2715" t="str">
        <f>"1552382983310116"</f>
        <v>1552382983310116</v>
      </c>
      <c r="C2715" t="s">
        <v>40</v>
      </c>
      <c r="D2715">
        <v>3.2369180000000002</v>
      </c>
      <c r="E2715">
        <v>0.46334609999999898</v>
      </c>
      <c r="F2715" t="s">
        <v>41</v>
      </c>
      <c r="G2715">
        <v>-491.85149999999999</v>
      </c>
      <c r="H2715" s="1">
        <v>-4.5636860000000001E-6</v>
      </c>
      <c r="I2715">
        <v>249.4323</v>
      </c>
      <c r="J2715">
        <v>-490.64260000000002</v>
      </c>
      <c r="K2715">
        <v>1.1172709999999999</v>
      </c>
      <c r="L2715">
        <v>267.07049999999998</v>
      </c>
      <c r="M2715">
        <v>-0.26635979999999998</v>
      </c>
      <c r="N2715">
        <v>0</v>
      </c>
      <c r="O2715">
        <v>-0.96376629999999996</v>
      </c>
      <c r="P2715">
        <v>-0.16138440000000001</v>
      </c>
      <c r="Q2715">
        <v>0.14103940000000001</v>
      </c>
      <c r="R2715">
        <v>-0.97676149999999995</v>
      </c>
      <c r="S2715">
        <v>-0.21490480000000001</v>
      </c>
      <c r="T2715">
        <v>-0.192444</v>
      </c>
      <c r="U2715">
        <v>-3.0653079999999999</v>
      </c>
      <c r="V2715">
        <v>-0.1073585</v>
      </c>
      <c r="W2715">
        <v>0.15332000000000001</v>
      </c>
      <c r="X2715">
        <v>0.98232739999999996</v>
      </c>
      <c r="Y2715">
        <v>-0.1984445</v>
      </c>
      <c r="Z2715">
        <v>5.8580519999999997E-2</v>
      </c>
      <c r="AA2715">
        <v>0.97835989999999995</v>
      </c>
      <c r="AB2715">
        <v>27</v>
      </c>
      <c r="AC2715">
        <v>-1.2088999999999701</v>
      </c>
      <c r="AD2715">
        <v>-1.1172755636859999</v>
      </c>
      <c r="AE2715">
        <v>-17.638199999999902</v>
      </c>
      <c r="AF2715">
        <v>-3.5193208716017601</v>
      </c>
      <c r="AG2715">
        <v>-1.1172755636859999</v>
      </c>
      <c r="AH2715">
        <v>17.253990452794699</v>
      </c>
      <c r="AI2715">
        <v>93.630448054603093</v>
      </c>
      <c r="AJ2715">
        <v>101.52855809392</v>
      </c>
      <c r="AK2715">
        <v>17.644662383498101</v>
      </c>
      <c r="AL2715">
        <v>81.1806252145131</v>
      </c>
      <c r="AM2715">
        <v>96.237098186795805</v>
      </c>
      <c r="AN2715">
        <v>0.99999999535650497</v>
      </c>
    </row>
    <row r="2716" spans="1:40" x14ac:dyDescent="0.25">
      <c r="A2716" t="str">
        <f>"20190312172943338"</f>
        <v>20190312172943338</v>
      </c>
      <c r="B2716" t="str">
        <f>"1552382983330612"</f>
        <v>1552382983330612</v>
      </c>
      <c r="C2716" t="s">
        <v>40</v>
      </c>
      <c r="D2716">
        <v>3.133864</v>
      </c>
      <c r="E2716">
        <v>0.4629896</v>
      </c>
      <c r="F2716" t="s">
        <v>41</v>
      </c>
      <c r="G2716">
        <v>-491.80520000000001</v>
      </c>
      <c r="H2716" s="1">
        <v>-4.3431890000000001E-6</v>
      </c>
      <c r="I2716">
        <v>248.80850000000001</v>
      </c>
      <c r="J2716">
        <v>-490.68950000000001</v>
      </c>
      <c r="K2716">
        <v>1.1171739999999999</v>
      </c>
      <c r="L2716">
        <v>266.87270000000001</v>
      </c>
      <c r="M2716">
        <v>-0.25952009999999998</v>
      </c>
      <c r="N2716">
        <v>0</v>
      </c>
      <c r="O2716">
        <v>-0.96563109999999996</v>
      </c>
      <c r="P2716">
        <v>-0.15651909999999999</v>
      </c>
      <c r="Q2716">
        <v>0.140781399999999</v>
      </c>
      <c r="R2716">
        <v>-0.97759019999999996</v>
      </c>
      <c r="S2716">
        <v>-0.19519039999999999</v>
      </c>
      <c r="T2716">
        <v>-0.1875926</v>
      </c>
      <c r="U2716">
        <v>-3.0662229999999999</v>
      </c>
      <c r="V2716">
        <v>-0.10524790000000001</v>
      </c>
      <c r="W2716">
        <v>0.15310660000000001</v>
      </c>
      <c r="X2716">
        <v>0.98258909999999999</v>
      </c>
      <c r="Y2716">
        <v>-0.19777310000000001</v>
      </c>
      <c r="Z2716">
        <v>5.7277359999999999E-2</v>
      </c>
      <c r="AA2716">
        <v>0.97857300000000003</v>
      </c>
      <c r="AB2716">
        <v>27</v>
      </c>
      <c r="AC2716">
        <v>-1.1156999999999999</v>
      </c>
      <c r="AD2716">
        <v>-1.1171783431889999</v>
      </c>
      <c r="AE2716">
        <v>-18.0642</v>
      </c>
      <c r="AF2716">
        <v>-3.59733338485055</v>
      </c>
      <c r="AG2716">
        <v>-1.1171783431889999</v>
      </c>
      <c r="AH2716">
        <v>17.667408417905399</v>
      </c>
      <c r="AI2716">
        <v>93.545654269029995</v>
      </c>
      <c r="AJ2716">
        <v>101.508901481663</v>
      </c>
      <c r="AK2716">
        <v>18.0645015192041</v>
      </c>
      <c r="AL2716">
        <v>81.192998664763707</v>
      </c>
      <c r="AM2716">
        <v>96.113802702486794</v>
      </c>
      <c r="AN2716">
        <v>1.0000000454283799</v>
      </c>
    </row>
    <row r="2717" spans="1:40" x14ac:dyDescent="0.25">
      <c r="A2717" t="str">
        <f>"20190312172943350"</f>
        <v>20190312172943350</v>
      </c>
      <c r="B2717" t="str">
        <f>"1552382983340371"</f>
        <v>1552382983340371</v>
      </c>
      <c r="C2717" t="s">
        <v>40</v>
      </c>
      <c r="D2717">
        <v>3.161019</v>
      </c>
      <c r="E2717">
        <v>0.4548894</v>
      </c>
      <c r="F2717" t="s">
        <v>41</v>
      </c>
      <c r="G2717">
        <v>-491.74639999999999</v>
      </c>
      <c r="H2717" s="1">
        <v>-4.2187259999999901E-6</v>
      </c>
      <c r="I2717">
        <v>248.4734</v>
      </c>
      <c r="J2717">
        <v>-490.72239999999999</v>
      </c>
      <c r="K2717">
        <v>1.1171</v>
      </c>
      <c r="L2717">
        <v>266.72989999999999</v>
      </c>
      <c r="M2717">
        <v>-0.25464110000000001</v>
      </c>
      <c r="N2717">
        <v>0</v>
      </c>
      <c r="O2717">
        <v>-0.96692940000000005</v>
      </c>
      <c r="P2717">
        <v>-0.15276789999999901</v>
      </c>
      <c r="Q2717">
        <v>0.14054939999999999</v>
      </c>
      <c r="R2717">
        <v>-0.9782168</v>
      </c>
      <c r="S2717">
        <v>-0.17620849999999999</v>
      </c>
      <c r="T2717">
        <v>-0.1862453</v>
      </c>
      <c r="U2717">
        <v>-3.0673520000000001</v>
      </c>
      <c r="V2717">
        <v>-0.1040287</v>
      </c>
      <c r="W2717">
        <v>0.15290200000000001</v>
      </c>
      <c r="X2717">
        <v>0.98275069999999998</v>
      </c>
      <c r="Y2717">
        <v>-0.19887879999999999</v>
      </c>
      <c r="Z2717">
        <v>5.696698E-2</v>
      </c>
      <c r="AA2717">
        <v>0.97836699999999999</v>
      </c>
      <c r="AB2717">
        <v>27</v>
      </c>
      <c r="AC2717">
        <v>-1.024</v>
      </c>
      <c r="AD2717">
        <v>-1.1171042187260001</v>
      </c>
      <c r="AE2717">
        <v>-18.2564999999999</v>
      </c>
      <c r="AF2717">
        <v>-3.6454890053876401</v>
      </c>
      <c r="AG2717">
        <v>-1.1171042187260001</v>
      </c>
      <c r="AH2717">
        <v>17.848720920714801</v>
      </c>
      <c r="AI2717">
        <v>93.5090631772579</v>
      </c>
      <c r="AJ2717">
        <v>101.543535492489</v>
      </c>
      <c r="AK2717">
        <v>18.251420504428101</v>
      </c>
      <c r="AL2717">
        <v>81.2048603428495</v>
      </c>
      <c r="AM2717">
        <v>96.042520684137699</v>
      </c>
      <c r="AN2717">
        <v>0.99999996518908896</v>
      </c>
    </row>
    <row r="2718" spans="1:40" x14ac:dyDescent="0.25">
      <c r="A2718" t="str">
        <f>"20190312172943361"</f>
        <v>20190312172943361</v>
      </c>
      <c r="B2718" t="str">
        <f>"1552382983350132"</f>
        <v>1552382983350132</v>
      </c>
      <c r="C2718" t="s">
        <v>40</v>
      </c>
      <c r="D2718">
        <v>3.1848350000000001</v>
      </c>
      <c r="E2718">
        <v>0.45534400000000003</v>
      </c>
      <c r="F2718" t="s">
        <v>41</v>
      </c>
      <c r="G2718">
        <v>-491.58949999999999</v>
      </c>
      <c r="H2718" s="1">
        <v>-7.6180819999999899E-7</v>
      </c>
      <c r="I2718">
        <v>240.37899999999999</v>
      </c>
      <c r="J2718">
        <v>-490.75420000000003</v>
      </c>
      <c r="K2718">
        <v>1.1170230000000001</v>
      </c>
      <c r="L2718">
        <v>266.59019999999998</v>
      </c>
      <c r="M2718">
        <v>-0.2499006</v>
      </c>
      <c r="N2718">
        <v>0</v>
      </c>
      <c r="O2718">
        <v>-0.96816550000000001</v>
      </c>
      <c r="P2718">
        <v>-0.14910880000000001</v>
      </c>
      <c r="Q2718">
        <v>0.1406568</v>
      </c>
      <c r="R2718">
        <v>-0.97876589999999997</v>
      </c>
      <c r="S2718">
        <v>-0.1010132</v>
      </c>
      <c r="T2718">
        <v>-0.13013739999999999</v>
      </c>
      <c r="U2718">
        <v>-3.069763</v>
      </c>
      <c r="V2718">
        <v>-0.102855</v>
      </c>
      <c r="W2718">
        <v>0.153035</v>
      </c>
      <c r="X2718">
        <v>0.98285359999999999</v>
      </c>
      <c r="Y2718">
        <v>-0.2179709</v>
      </c>
      <c r="Z2718">
        <v>3.9822539999999997E-2</v>
      </c>
      <c r="AA2718">
        <v>0.97514250000000002</v>
      </c>
      <c r="AB2718">
        <v>27</v>
      </c>
      <c r="AC2718">
        <v>-0.83529999999996096</v>
      </c>
      <c r="AD2718">
        <v>-1.1170237618082</v>
      </c>
      <c r="AE2718">
        <v>-26.211199999999899</v>
      </c>
      <c r="AF2718">
        <v>-5.7316762827172303</v>
      </c>
      <c r="AG2718">
        <v>-1.1170237618082</v>
      </c>
      <c r="AH2718">
        <v>25.5418070878302</v>
      </c>
      <c r="AI2718">
        <v>92.443439317151103</v>
      </c>
      <c r="AJ2718">
        <v>102.647860723975</v>
      </c>
      <c r="AK2718">
        <v>26.200835185280699</v>
      </c>
      <c r="AL2718">
        <v>81.197149833321205</v>
      </c>
      <c r="AM2718">
        <v>95.974221100829098</v>
      </c>
      <c r="AN2718">
        <v>1.00000003064147</v>
      </c>
    </row>
    <row r="2719" spans="1:40" x14ac:dyDescent="0.25">
      <c r="A2719" t="str">
        <f>"20190312172943372"</f>
        <v>20190312172943372</v>
      </c>
      <c r="B2719" t="str">
        <f>"1552382983359892"</f>
        <v>1552382983359892</v>
      </c>
      <c r="C2719" t="s">
        <v>40</v>
      </c>
      <c r="D2719">
        <v>3.1705570000000001</v>
      </c>
      <c r="E2719">
        <v>0.45626159999999999</v>
      </c>
      <c r="F2719" t="s">
        <v>41</v>
      </c>
      <c r="G2719">
        <v>-491.5455</v>
      </c>
      <c r="H2719" s="1">
        <v>-7.9933649999999997E-7</v>
      </c>
      <c r="I2719">
        <v>240.49379999999999</v>
      </c>
      <c r="J2719">
        <v>-490.78129999999999</v>
      </c>
      <c r="K2719">
        <v>1.1169530000000001</v>
      </c>
      <c r="L2719">
        <v>266.46730000000002</v>
      </c>
      <c r="M2719">
        <v>-0.2457976</v>
      </c>
      <c r="N2719">
        <v>0</v>
      </c>
      <c r="O2719">
        <v>-0.96921559999999995</v>
      </c>
      <c r="P2719">
        <v>-0.14615899999999901</v>
      </c>
      <c r="Q2719">
        <v>0.14118749999999999</v>
      </c>
      <c r="R2719">
        <v>-0.97913430000000001</v>
      </c>
      <c r="S2719">
        <v>-9.3078610000000006E-2</v>
      </c>
      <c r="T2719">
        <v>-0.13139879999999901</v>
      </c>
      <c r="U2719">
        <v>-3.0697939999999999</v>
      </c>
      <c r="V2719">
        <v>-0.10161439999999999</v>
      </c>
      <c r="W2719">
        <v>0.15359100000000001</v>
      </c>
      <c r="X2719">
        <v>0.98289590000000004</v>
      </c>
      <c r="Y2719">
        <v>-0.21635560000000001</v>
      </c>
      <c r="Z2719">
        <v>4.0283720000000002E-2</v>
      </c>
      <c r="AA2719">
        <v>0.97548319999999999</v>
      </c>
      <c r="AB2719">
        <v>27</v>
      </c>
      <c r="AC2719">
        <v>-0.76420000000001598</v>
      </c>
      <c r="AD2719">
        <v>-1.1169537993365</v>
      </c>
      <c r="AE2719">
        <v>-25.973500000000001</v>
      </c>
      <c r="AF2719">
        <v>-5.6337175237442398</v>
      </c>
      <c r="AG2719">
        <v>-1.1169537993365</v>
      </c>
      <c r="AH2719">
        <v>25.317576062946799</v>
      </c>
      <c r="AI2719">
        <v>92.465885584278396</v>
      </c>
      <c r="AJ2719">
        <v>102.54517409347299</v>
      </c>
      <c r="AK2719">
        <v>25.960855467998201</v>
      </c>
      <c r="AL2719">
        <v>81.164912126209302</v>
      </c>
      <c r="AM2719">
        <v>95.902421807630006</v>
      </c>
      <c r="AN2719">
        <v>1.0000000159025799</v>
      </c>
    </row>
    <row r="2720" spans="1:40" x14ac:dyDescent="0.25">
      <c r="A2720" t="str">
        <f>"20190312172943384"</f>
        <v>20190312172943384</v>
      </c>
      <c r="B2720" t="str">
        <f>"1552382983380388"</f>
        <v>1552382983380388</v>
      </c>
      <c r="C2720" t="s">
        <v>40</v>
      </c>
      <c r="D2720">
        <v>3.2090540000000001</v>
      </c>
      <c r="E2720">
        <v>0.45790760000000003</v>
      </c>
      <c r="F2720" t="s">
        <v>41</v>
      </c>
      <c r="G2720">
        <v>-491.56330000000003</v>
      </c>
      <c r="H2720" s="1">
        <v>-6.506158E-7</v>
      </c>
      <c r="I2720">
        <v>240.1361</v>
      </c>
      <c r="J2720">
        <v>-490.81020000000001</v>
      </c>
      <c r="K2720">
        <v>1.1168769999999999</v>
      </c>
      <c r="L2720">
        <v>266.33519999999999</v>
      </c>
      <c r="M2720">
        <v>-0.24139740000000001</v>
      </c>
      <c r="N2720">
        <v>0</v>
      </c>
      <c r="O2720">
        <v>-0.97032090000000004</v>
      </c>
      <c r="P2720">
        <v>-0.14310339999999999</v>
      </c>
      <c r="Q2720">
        <v>0.1413982</v>
      </c>
      <c r="R2720">
        <v>-0.97955510000000001</v>
      </c>
      <c r="S2720">
        <v>-9.1156009999999996E-2</v>
      </c>
      <c r="T2720">
        <v>-0.13019030000000001</v>
      </c>
      <c r="U2720">
        <v>-3.0691220000000001</v>
      </c>
      <c r="V2720">
        <v>-0.1001848</v>
      </c>
      <c r="W2720">
        <v>0.153831299999999</v>
      </c>
      <c r="X2720">
        <v>0.98300500000000002</v>
      </c>
      <c r="Y2720">
        <v>-0.21252789999999999</v>
      </c>
      <c r="Z2720">
        <v>4.0010810000000001E-2</v>
      </c>
      <c r="AA2720">
        <v>0.97633550000000002</v>
      </c>
      <c r="AB2720">
        <v>27</v>
      </c>
      <c r="AC2720">
        <v>-0.75310000000001698</v>
      </c>
      <c r="AD2720">
        <v>-1.1168776506158</v>
      </c>
      <c r="AE2720">
        <v>-26.199099999999898</v>
      </c>
      <c r="AF2720">
        <v>-5.5840785559550801</v>
      </c>
      <c r="AG2720">
        <v>-1.1168776506158</v>
      </c>
      <c r="AH2720">
        <v>25.559538623940899</v>
      </c>
      <c r="AI2720">
        <v>92.444481683656605</v>
      </c>
      <c r="AJ2720">
        <v>102.323960509773</v>
      </c>
      <c r="AK2720">
        <v>26.186243787039199</v>
      </c>
      <c r="AL2720">
        <v>81.150977740330603</v>
      </c>
      <c r="AM2720">
        <v>95.819313938097807</v>
      </c>
      <c r="AN2720">
        <v>0.99999994651786295</v>
      </c>
    </row>
    <row r="2721" spans="1:40" x14ac:dyDescent="0.25">
      <c r="A2721" t="str">
        <f>"20190312172943395"</f>
        <v>20190312172943395</v>
      </c>
      <c r="B2721" t="str">
        <f>"1552382983390148"</f>
        <v>1552382983390148</v>
      </c>
      <c r="C2721" t="s">
        <v>40</v>
      </c>
      <c r="D2721">
        <v>3.1821820000000001</v>
      </c>
      <c r="E2721">
        <v>0.45858500000000002</v>
      </c>
      <c r="F2721" t="s">
        <v>41</v>
      </c>
      <c r="G2721">
        <v>-491.61939999999998</v>
      </c>
      <c r="H2721" s="1">
        <v>-6.4070679999999996E-7</v>
      </c>
      <c r="I2721">
        <v>240.07820000000001</v>
      </c>
      <c r="J2721">
        <v>-490.83839999999998</v>
      </c>
      <c r="K2721">
        <v>1.116795</v>
      </c>
      <c r="L2721">
        <v>266.20209999999997</v>
      </c>
      <c r="M2721">
        <v>-0.23705490000000001</v>
      </c>
      <c r="N2721">
        <v>0</v>
      </c>
      <c r="O2721">
        <v>-0.97139109999999995</v>
      </c>
      <c r="P2721">
        <v>-0.14004</v>
      </c>
      <c r="Q2721">
        <v>0.14155809999999999</v>
      </c>
      <c r="R2721">
        <v>-0.97997460000000003</v>
      </c>
      <c r="S2721">
        <v>-9.4543459999999996E-2</v>
      </c>
      <c r="T2721">
        <v>-0.1304872</v>
      </c>
      <c r="U2721">
        <v>-3.0676570000000001</v>
      </c>
      <c r="V2721">
        <v>-9.8823320000000006E-2</v>
      </c>
      <c r="W2721">
        <v>0.15401919999999999</v>
      </c>
      <c r="X2721">
        <v>0.98311340000000003</v>
      </c>
      <c r="Y2721">
        <v>-0.20706340000000001</v>
      </c>
      <c r="Z2721">
        <v>4.0213390000000002E-2</v>
      </c>
      <c r="AA2721">
        <v>0.9775007</v>
      </c>
      <c r="AB2721">
        <v>27</v>
      </c>
      <c r="AC2721">
        <v>-0.78100000000000502</v>
      </c>
      <c r="AD2721">
        <v>-1.1167956407068</v>
      </c>
      <c r="AE2721">
        <v>-26.1238999999999</v>
      </c>
      <c r="AF2721">
        <v>-5.4247919758041299</v>
      </c>
      <c r="AG2721">
        <v>-1.1167956407068</v>
      </c>
      <c r="AH2721">
        <v>25.517682000806001</v>
      </c>
      <c r="AI2721">
        <v>92.451272075737506</v>
      </c>
      <c r="AJ2721">
        <v>102.001807178153</v>
      </c>
      <c r="AK2721">
        <v>26.111830559692901</v>
      </c>
      <c r="AL2721">
        <v>81.140082132405894</v>
      </c>
      <c r="AM2721">
        <v>95.740134342613004</v>
      </c>
      <c r="AN2721">
        <v>0.99999995990200996</v>
      </c>
    </row>
    <row r="2722" spans="1:40" x14ac:dyDescent="0.25">
      <c r="A2722" t="str">
        <f>"20190312172943405"</f>
        <v>20190312172943405</v>
      </c>
      <c r="B2722" t="str">
        <f>"1552382983399908"</f>
        <v>1552382983399908</v>
      </c>
      <c r="C2722" t="s">
        <v>40</v>
      </c>
      <c r="D2722">
        <v>3.1865220000000001</v>
      </c>
      <c r="E2722">
        <v>0.45858500000000002</v>
      </c>
      <c r="F2722" t="s">
        <v>41</v>
      </c>
      <c r="G2722">
        <v>-491.60660000000001</v>
      </c>
      <c r="H2722" s="1">
        <v>-5.935225E-7</v>
      </c>
      <c r="I2722">
        <v>239.97620000000001</v>
      </c>
      <c r="J2722">
        <v>-490.86559999999997</v>
      </c>
      <c r="K2722">
        <v>1.116714</v>
      </c>
      <c r="L2722">
        <v>266.07240000000002</v>
      </c>
      <c r="M2722">
        <v>-0.23284189999999999</v>
      </c>
      <c r="N2722">
        <v>0</v>
      </c>
      <c r="O2722">
        <v>-0.97240979999999999</v>
      </c>
      <c r="P2722">
        <v>-0.13695979999999999</v>
      </c>
      <c r="Q2722">
        <v>0.1416675</v>
      </c>
      <c r="R2722">
        <v>-0.98039399999999999</v>
      </c>
      <c r="S2722">
        <v>-8.984375E-2</v>
      </c>
      <c r="T2722">
        <v>-0.13061789999999901</v>
      </c>
      <c r="U2722">
        <v>-3.0673219999999999</v>
      </c>
      <c r="V2722">
        <v>-9.7615960000000002E-2</v>
      </c>
      <c r="W2722">
        <v>0.15415400000000001</v>
      </c>
      <c r="X2722">
        <v>0.98321289999999995</v>
      </c>
      <c r="Y2722">
        <v>-0.20431489999999999</v>
      </c>
      <c r="Z2722">
        <v>4.0335940000000001E-2</v>
      </c>
      <c r="AA2722">
        <v>0.97807379999999999</v>
      </c>
      <c r="AB2722">
        <v>27</v>
      </c>
      <c r="AC2722">
        <v>-0.74100000000004196</v>
      </c>
      <c r="AD2722">
        <v>-1.1167145935225</v>
      </c>
      <c r="AE2722">
        <v>-26.0962</v>
      </c>
      <c r="AF2722">
        <v>-5.3464965600008103</v>
      </c>
      <c r="AG2722">
        <v>-1.1167145935225</v>
      </c>
      <c r="AH2722">
        <v>25.504674778066601</v>
      </c>
      <c r="AI2722">
        <v>92.453809310710895</v>
      </c>
      <c r="AJ2722">
        <v>101.839369397715</v>
      </c>
      <c r="AK2722">
        <v>26.082954443169101</v>
      </c>
      <c r="AL2722">
        <v>81.132265389097299</v>
      </c>
      <c r="AM2722">
        <v>95.669894785699</v>
      </c>
      <c r="AN2722">
        <v>0.99999996904456501</v>
      </c>
    </row>
    <row r="2723" spans="1:40" x14ac:dyDescent="0.25">
      <c r="A2723" t="str">
        <f>"20190312172943418"</f>
        <v>20190312172943418</v>
      </c>
      <c r="B2723" t="str">
        <f>"1552382983410644"</f>
        <v>1552382983410644</v>
      </c>
      <c r="C2723" t="s">
        <v>40</v>
      </c>
      <c r="D2723">
        <v>3.1997629999999999</v>
      </c>
      <c r="E2723">
        <v>0.4654123</v>
      </c>
      <c r="F2723" t="s">
        <v>41</v>
      </c>
      <c r="G2723">
        <v>-491.55579999999998</v>
      </c>
      <c r="H2723" s="1">
        <v>-4.9347429999999997E-7</v>
      </c>
      <c r="I2723">
        <v>239.77449999999999</v>
      </c>
      <c r="J2723">
        <v>-490.89550000000003</v>
      </c>
      <c r="K2723">
        <v>1.1166210000000001</v>
      </c>
      <c r="L2723">
        <v>265.92579999999998</v>
      </c>
      <c r="M2723">
        <v>-0.22815469999999999</v>
      </c>
      <c r="N2723">
        <v>0</v>
      </c>
      <c r="O2723">
        <v>-0.97352059999999996</v>
      </c>
      <c r="P2723">
        <v>-0.13347999999999999</v>
      </c>
      <c r="Q2723">
        <v>0.1417658</v>
      </c>
      <c r="R2723">
        <v>-0.9808597</v>
      </c>
      <c r="S2723">
        <v>-8.0505370000000007E-2</v>
      </c>
      <c r="T2723">
        <v>-0.1302624</v>
      </c>
      <c r="U2723">
        <v>-3.067596</v>
      </c>
      <c r="V2723">
        <v>-9.632889E-2</v>
      </c>
      <c r="W2723">
        <v>0.15427879999999899</v>
      </c>
      <c r="X2723">
        <v>0.98332030000000004</v>
      </c>
      <c r="Y2723">
        <v>-0.20257639999999999</v>
      </c>
      <c r="Z2723">
        <v>4.0302440000000002E-2</v>
      </c>
      <c r="AA2723">
        <v>0.9784368</v>
      </c>
      <c r="AB2723">
        <v>27</v>
      </c>
      <c r="AC2723">
        <v>-0.66029999999994904</v>
      </c>
      <c r="AD2723">
        <v>-1.1166214934743</v>
      </c>
      <c r="AE2723">
        <v>-26.1512999999999</v>
      </c>
      <c r="AF2723">
        <v>-5.3145838149857196</v>
      </c>
      <c r="AG2723">
        <v>-1.1166214934743</v>
      </c>
      <c r="AH2723">
        <v>25.565500156772401</v>
      </c>
      <c r="AI2723">
        <v>92.448629014735303</v>
      </c>
      <c r="AJ2723">
        <v>101.743452430403</v>
      </c>
      <c r="AK2723">
        <v>26.135922462238199</v>
      </c>
      <c r="AL2723">
        <v>81.125028645561102</v>
      </c>
      <c r="AM2723">
        <v>95.595007313968793</v>
      </c>
      <c r="AN2723">
        <v>1.0000000077850799</v>
      </c>
    </row>
    <row r="2724" spans="1:40" x14ac:dyDescent="0.25">
      <c r="A2724" t="str">
        <f>"20190312172943430"</f>
        <v>20190312172943430</v>
      </c>
      <c r="B2724" t="str">
        <f>"1552382983420404"</f>
        <v>1552382983420404</v>
      </c>
      <c r="C2724" t="s">
        <v>40</v>
      </c>
      <c r="D2724">
        <v>3.2058879999999998</v>
      </c>
      <c r="E2724">
        <v>0.46600989999999998</v>
      </c>
      <c r="F2724" t="s">
        <v>41</v>
      </c>
      <c r="G2724">
        <v>-491.95119999999997</v>
      </c>
      <c r="H2724" s="1">
        <v>-6.2393889999999899E-7</v>
      </c>
      <c r="I2724">
        <v>239.83330000000001</v>
      </c>
      <c r="J2724">
        <v>-490.92399999999998</v>
      </c>
      <c r="K2724">
        <v>1.1165309999999999</v>
      </c>
      <c r="L2724">
        <v>265.7833</v>
      </c>
      <c r="M2724">
        <v>-0.22365699999999999</v>
      </c>
      <c r="N2724">
        <v>0</v>
      </c>
      <c r="O2724">
        <v>-0.97456410000000004</v>
      </c>
      <c r="P2724">
        <v>-0.13021630000000001</v>
      </c>
      <c r="Q2724">
        <v>0.14146700000000001</v>
      </c>
      <c r="R2724">
        <v>-0.98134149999999998</v>
      </c>
      <c r="S2724">
        <v>-0.1238403</v>
      </c>
      <c r="T2724">
        <v>-0.13097919999999999</v>
      </c>
      <c r="U2724">
        <v>-3.060638</v>
      </c>
      <c r="V2724">
        <v>-9.5027539999999994E-2</v>
      </c>
      <c r="W2724">
        <v>0.15400649999999999</v>
      </c>
      <c r="X2724">
        <v>0.98348959999999996</v>
      </c>
      <c r="Y2724">
        <v>-0.1841246</v>
      </c>
      <c r="Z2724">
        <v>4.0751540000000003E-2</v>
      </c>
      <c r="AA2724">
        <v>0.98205779999999998</v>
      </c>
      <c r="AB2724">
        <v>27</v>
      </c>
      <c r="AC2724">
        <v>-1.0271999999999299</v>
      </c>
      <c r="AD2724">
        <v>-1.1165316239389</v>
      </c>
      <c r="AE2724">
        <v>-25.9499999999999</v>
      </c>
      <c r="AF2724">
        <v>-4.7944510452984304</v>
      </c>
      <c r="AG2724">
        <v>-1.1165316239389</v>
      </c>
      <c r="AH2724">
        <v>25.4751739744808</v>
      </c>
      <c r="AI2724">
        <v>92.466323051688093</v>
      </c>
      <c r="AJ2724">
        <v>100.65844589608101</v>
      </c>
      <c r="AK2724">
        <v>25.9464427759006</v>
      </c>
      <c r="AL2724">
        <v>81.140819061737304</v>
      </c>
      <c r="AM2724">
        <v>95.518947514531305</v>
      </c>
      <c r="AN2724">
        <v>1.0000000143544301</v>
      </c>
    </row>
    <row r="2725" spans="1:40" x14ac:dyDescent="0.25">
      <c r="A2725" t="str">
        <f>"20190312172943444"</f>
        <v>20190312172943444</v>
      </c>
      <c r="B2725" t="str">
        <f>"1552382983439924"</f>
        <v>1552382983439924</v>
      </c>
      <c r="C2725" t="s">
        <v>40</v>
      </c>
      <c r="D2725">
        <v>3.201146</v>
      </c>
      <c r="E2725">
        <v>0.46691080000000001</v>
      </c>
      <c r="F2725" t="s">
        <v>41</v>
      </c>
      <c r="G2725">
        <v>-491.9418</v>
      </c>
      <c r="H2725" s="1">
        <v>-4.6180980000000002E-6</v>
      </c>
      <c r="I2725">
        <v>239.54509999999999</v>
      </c>
      <c r="J2725">
        <v>-490.95650000000001</v>
      </c>
      <c r="K2725">
        <v>1.116428</v>
      </c>
      <c r="L2725">
        <v>265.61759999999998</v>
      </c>
      <c r="M2725">
        <v>-0.21848239999999999</v>
      </c>
      <c r="N2725">
        <v>0</v>
      </c>
      <c r="O2725">
        <v>-0.97573750000000004</v>
      </c>
      <c r="P2725">
        <v>-0.12625999999999901</v>
      </c>
      <c r="Q2725">
        <v>0.14113419999999999</v>
      </c>
      <c r="R2725">
        <v>-0.98190619999999995</v>
      </c>
      <c r="S2725">
        <v>-0.1187134</v>
      </c>
      <c r="T2725">
        <v>-0.13021830000000001</v>
      </c>
      <c r="U2725">
        <v>-3.0600890000000001</v>
      </c>
      <c r="V2725">
        <v>-9.3735230000000003E-2</v>
      </c>
      <c r="W2725">
        <v>0.1537017</v>
      </c>
      <c r="X2725">
        <v>0.98366129999999996</v>
      </c>
      <c r="Y2725">
        <v>-0.18054310000000001</v>
      </c>
      <c r="Z2725">
        <v>4.0612429999999998E-2</v>
      </c>
      <c r="AA2725">
        <v>0.98272820000000005</v>
      </c>
      <c r="AB2725">
        <v>27</v>
      </c>
      <c r="AC2725">
        <v>-0.98529999999999496</v>
      </c>
      <c r="AD2725">
        <v>-1.116432618098</v>
      </c>
      <c r="AE2725">
        <v>-26.072499999999899</v>
      </c>
      <c r="AF2725">
        <v>-4.7268113584415801</v>
      </c>
      <c r="AG2725">
        <v>-1.116432618098</v>
      </c>
      <c r="AH2725">
        <v>25.610882704932202</v>
      </c>
      <c r="AI2725">
        <v>92.454659223679698</v>
      </c>
      <c r="AJ2725">
        <v>100.456984968683</v>
      </c>
      <c r="AK2725">
        <v>26.067345095633399</v>
      </c>
      <c r="AL2725">
        <v>81.158493386716898</v>
      </c>
      <c r="AM2725">
        <v>95.4434030089853</v>
      </c>
      <c r="AN2725">
        <v>1.0000000295218601</v>
      </c>
    </row>
    <row r="2726" spans="1:40" x14ac:dyDescent="0.25">
      <c r="A2726" t="str">
        <f>"20190312172943461"</f>
        <v>20190312172943461</v>
      </c>
      <c r="B2726" t="str">
        <f>"1552382983450660"</f>
        <v>1552382983450660</v>
      </c>
      <c r="C2726" t="s">
        <v>40</v>
      </c>
      <c r="D2726">
        <v>3.2273749999999999</v>
      </c>
      <c r="E2726">
        <v>0.46747430000000001</v>
      </c>
      <c r="F2726" t="s">
        <v>41</v>
      </c>
      <c r="G2726">
        <v>-491.91789999999997</v>
      </c>
      <c r="H2726" s="1">
        <v>-5.4549750000000004E-7</v>
      </c>
      <c r="I2726">
        <v>239.6711</v>
      </c>
      <c r="J2726">
        <v>-490.99509999999998</v>
      </c>
      <c r="K2726">
        <v>1.11629</v>
      </c>
      <c r="L2726">
        <v>265.41379999999998</v>
      </c>
      <c r="M2726">
        <v>-0.21227009999999999</v>
      </c>
      <c r="N2726">
        <v>0</v>
      </c>
      <c r="O2726">
        <v>-0.97710799999999998</v>
      </c>
      <c r="P2726">
        <v>-0.12275700000000001</v>
      </c>
      <c r="Q2726">
        <v>0.14080790000000001</v>
      </c>
      <c r="R2726">
        <v>-0.98239719999999997</v>
      </c>
      <c r="S2726">
        <v>-0.1133728</v>
      </c>
      <c r="T2726">
        <v>-0.13164870000000001</v>
      </c>
      <c r="U2726">
        <v>-3.0596009999999998</v>
      </c>
      <c r="V2726">
        <v>-9.0932959999999993E-2</v>
      </c>
      <c r="W2726">
        <v>0.15342790000000001</v>
      </c>
      <c r="X2726">
        <v>0.98396700000000004</v>
      </c>
      <c r="Y2726">
        <v>-0.17599110000000001</v>
      </c>
      <c r="Z2726">
        <v>4.1171369999999999E-2</v>
      </c>
      <c r="AA2726">
        <v>0.98353040000000003</v>
      </c>
      <c r="AB2726">
        <v>27</v>
      </c>
      <c r="AC2726">
        <v>-0.92279999999999496</v>
      </c>
      <c r="AD2726">
        <v>-1.1162905454975001</v>
      </c>
      <c r="AE2726">
        <v>-25.7426999999999</v>
      </c>
      <c r="AF2726">
        <v>-4.5546362192484597</v>
      </c>
      <c r="AG2726">
        <v>-1.1162905454975001</v>
      </c>
      <c r="AH2726">
        <v>25.304312790089501</v>
      </c>
      <c r="AI2726">
        <v>92.486045594552493</v>
      </c>
      <c r="AJ2726">
        <v>100.20366649016</v>
      </c>
      <c r="AK2726">
        <v>25.7351716809961</v>
      </c>
      <c r="AL2726">
        <v>81.174368933366196</v>
      </c>
      <c r="AM2726">
        <v>95.279972004942096</v>
      </c>
      <c r="AN2726">
        <v>0.99999999040088505</v>
      </c>
    </row>
    <row r="2727" spans="1:40" x14ac:dyDescent="0.25">
      <c r="A2727" t="str">
        <f>"20190312172943483"</f>
        <v>20190312172943483</v>
      </c>
      <c r="B2727" t="str">
        <f>"1552382983470180"</f>
        <v>1552382983470180</v>
      </c>
      <c r="C2727" t="s">
        <v>40</v>
      </c>
      <c r="D2727">
        <v>3.2287249999999998</v>
      </c>
      <c r="E2727">
        <v>0.46789920000000002</v>
      </c>
      <c r="F2727" t="s">
        <v>41</v>
      </c>
      <c r="G2727">
        <v>-491.88440000000003</v>
      </c>
      <c r="H2727" s="1">
        <v>-6.6115999999999997E-7</v>
      </c>
      <c r="I2727">
        <v>239.9615</v>
      </c>
      <c r="J2727">
        <v>-491.04199999999997</v>
      </c>
      <c r="K2727">
        <v>1.116117</v>
      </c>
      <c r="L2727">
        <v>265.15800000000002</v>
      </c>
      <c r="M2727">
        <v>-0.2046539</v>
      </c>
      <c r="N2727">
        <v>0</v>
      </c>
      <c r="O2727">
        <v>-0.97873200000000005</v>
      </c>
      <c r="P2727">
        <v>-0.11767660000000001</v>
      </c>
      <c r="Q2727">
        <v>0.14027870000000001</v>
      </c>
      <c r="R2727">
        <v>-0.98309429999999998</v>
      </c>
      <c r="S2727">
        <v>-0.1069031</v>
      </c>
      <c r="T2727">
        <v>-0.13419</v>
      </c>
      <c r="U2727">
        <v>-3.059631</v>
      </c>
      <c r="V2727">
        <v>-8.829352E-2</v>
      </c>
      <c r="W2727">
        <v>0.15294779999999999</v>
      </c>
      <c r="X2727">
        <v>0.98428210000000005</v>
      </c>
      <c r="Y2727">
        <v>-0.17040050000000001</v>
      </c>
      <c r="Z2727">
        <v>4.2093680000000001E-2</v>
      </c>
      <c r="AA2727">
        <v>0.9844754</v>
      </c>
      <c r="AB2727">
        <v>27</v>
      </c>
      <c r="AC2727">
        <v>-0.84240000000005399</v>
      </c>
      <c r="AD2727">
        <v>-1.1161176611599899</v>
      </c>
      <c r="AE2727">
        <v>-25.1965</v>
      </c>
      <c r="AF2727">
        <v>-4.3240373301321302</v>
      </c>
      <c r="AG2727">
        <v>-1.1161176611599899</v>
      </c>
      <c r="AH2727">
        <v>24.786928402119202</v>
      </c>
      <c r="AI2727">
        <v>92.539893926756093</v>
      </c>
      <c r="AJ2727">
        <v>99.895571417115505</v>
      </c>
      <c r="AK2727">
        <v>25.186004785946299</v>
      </c>
      <c r="AL2727">
        <v>81.202205393949299</v>
      </c>
      <c r="AM2727">
        <v>95.125910717155804</v>
      </c>
      <c r="AN2727">
        <v>1.0000000137896199</v>
      </c>
    </row>
    <row r="2728" spans="1:40" x14ac:dyDescent="0.25">
      <c r="A2728" t="str">
        <f>"20190312172943494"</f>
        <v>20190312172943494</v>
      </c>
      <c r="B2728" t="str">
        <f>"1552382983490676"</f>
        <v>1552382983490676</v>
      </c>
      <c r="C2728" t="s">
        <v>40</v>
      </c>
      <c r="D2728">
        <v>3.2708149999999998</v>
      </c>
      <c r="E2728">
        <v>0.47283140000000001</v>
      </c>
      <c r="F2728" t="s">
        <v>41</v>
      </c>
      <c r="G2728">
        <v>-491.81200000000001</v>
      </c>
      <c r="H2728" s="1">
        <v>-7.4726360000000002E-7</v>
      </c>
      <c r="I2728">
        <v>240.2072</v>
      </c>
      <c r="J2728">
        <v>-491.0668</v>
      </c>
      <c r="K2728">
        <v>1.116012</v>
      </c>
      <c r="L2728">
        <v>265.0172</v>
      </c>
      <c r="M2728">
        <v>-0.2005952</v>
      </c>
      <c r="N2728">
        <v>0</v>
      </c>
      <c r="O2728">
        <v>-0.9795722</v>
      </c>
      <c r="P2728">
        <v>-0.11487319999999999</v>
      </c>
      <c r="Q2728">
        <v>0.13974159999999999</v>
      </c>
      <c r="R2728">
        <v>-0.98350249999999995</v>
      </c>
      <c r="S2728">
        <v>-9.4421389999999994E-2</v>
      </c>
      <c r="T2728">
        <v>-0.1368723</v>
      </c>
      <c r="U2728">
        <v>-3.0597840000000001</v>
      </c>
      <c r="V2728">
        <v>-8.6985770000000004E-2</v>
      </c>
      <c r="W2728">
        <v>0.15243599999999999</v>
      </c>
      <c r="X2728">
        <v>0.98447790000000002</v>
      </c>
      <c r="Y2728">
        <v>-0.17033029999999999</v>
      </c>
      <c r="Z2728">
        <v>4.2990430000000003E-2</v>
      </c>
      <c r="AA2728">
        <v>0.98444880000000001</v>
      </c>
      <c r="AB2728">
        <v>27</v>
      </c>
      <c r="AC2728">
        <v>-0.74519999999995401</v>
      </c>
      <c r="AD2728">
        <v>-1.1160127472635999</v>
      </c>
      <c r="AE2728">
        <v>-24.81</v>
      </c>
      <c r="AF2728">
        <v>-4.2386453722372401</v>
      </c>
      <c r="AG2728">
        <v>-1.1160127472635999</v>
      </c>
      <c r="AH2728">
        <v>24.405775398729102</v>
      </c>
      <c r="AI2728">
        <v>92.579601994185197</v>
      </c>
      <c r="AJ2728">
        <v>99.852504875053</v>
      </c>
      <c r="AK2728">
        <v>24.796239066778998</v>
      </c>
      <c r="AL2728">
        <v>81.231877162519396</v>
      </c>
      <c r="AM2728">
        <v>95.049385152857695</v>
      </c>
      <c r="AN2728">
        <v>0.99999999693345099</v>
      </c>
    </row>
    <row r="2729" spans="1:40" x14ac:dyDescent="0.25">
      <c r="A2729" t="str">
        <f>"20190312172943506"</f>
        <v>20190312172943506</v>
      </c>
      <c r="B2729" t="str">
        <f>"1552382983500436"</f>
        <v>1552382983500436</v>
      </c>
      <c r="C2729" t="s">
        <v>40</v>
      </c>
      <c r="D2729">
        <v>3.286143</v>
      </c>
      <c r="E2729">
        <v>0.47329399999999999</v>
      </c>
      <c r="F2729" t="s">
        <v>41</v>
      </c>
      <c r="G2729">
        <v>-492.06189999999998</v>
      </c>
      <c r="H2729" s="1">
        <v>-1.0440409999999999E-6</v>
      </c>
      <c r="I2729">
        <v>240.7439</v>
      </c>
      <c r="J2729">
        <v>-491.09050000000002</v>
      </c>
      <c r="K2729">
        <v>1.115901</v>
      </c>
      <c r="L2729">
        <v>264.88170000000002</v>
      </c>
      <c r="M2729">
        <v>-0.1967236</v>
      </c>
      <c r="N2729">
        <v>0</v>
      </c>
      <c r="O2729">
        <v>-0.98035740000000005</v>
      </c>
      <c r="P2729">
        <v>-0.1119701</v>
      </c>
      <c r="Q2729">
        <v>0.1396097</v>
      </c>
      <c r="R2729">
        <v>-0.98385579999999995</v>
      </c>
      <c r="S2729">
        <v>-0.12527469999999999</v>
      </c>
      <c r="T2729">
        <v>-0.14049159999999999</v>
      </c>
      <c r="U2729">
        <v>-3.0556950000000001</v>
      </c>
      <c r="V2729">
        <v>-8.5962440000000001E-2</v>
      </c>
      <c r="W2729">
        <v>0.1523243</v>
      </c>
      <c r="X2729">
        <v>0.98458500000000004</v>
      </c>
      <c r="Y2729">
        <v>-0.15645580000000001</v>
      </c>
      <c r="Z2729">
        <v>4.428298E-2</v>
      </c>
      <c r="AA2729">
        <v>0.98669180000000001</v>
      </c>
      <c r="AB2729">
        <v>27</v>
      </c>
      <c r="AC2729">
        <v>-0.97139999999995996</v>
      </c>
      <c r="AD2729">
        <v>-1.1159020440409999</v>
      </c>
      <c r="AE2729">
        <v>-24.137799999999999</v>
      </c>
      <c r="AF2729">
        <v>-3.7884500752563102</v>
      </c>
      <c r="AG2729">
        <v>-1.1159020440409999</v>
      </c>
      <c r="AH2729">
        <v>23.806346354121199</v>
      </c>
      <c r="AI2729">
        <v>92.650424264963902</v>
      </c>
      <c r="AJ2729">
        <v>99.042010374308404</v>
      </c>
      <c r="AK2729">
        <v>24.1317160201463</v>
      </c>
      <c r="AL2729">
        <v>81.238352112882694</v>
      </c>
      <c r="AM2729">
        <v>94.9897441219684</v>
      </c>
      <c r="AN2729">
        <v>0.99999992784311897</v>
      </c>
    </row>
    <row r="2730" spans="1:40" x14ac:dyDescent="0.25">
      <c r="A2730" t="str">
        <f>"20190312172943518"</f>
        <v>20190312172943518</v>
      </c>
      <c r="B2730" t="str">
        <f>"1552382983510195"</f>
        <v>1552382983510195</v>
      </c>
      <c r="C2730" t="s">
        <v>40</v>
      </c>
      <c r="D2730">
        <v>3.2683040000000001</v>
      </c>
      <c r="E2730">
        <v>0.4736573</v>
      </c>
      <c r="F2730" t="s">
        <v>41</v>
      </c>
      <c r="G2730">
        <v>-492.03879999999998</v>
      </c>
      <c r="H2730" s="1">
        <v>-1.0164590000000001E-6</v>
      </c>
      <c r="I2730">
        <v>240.69390000000001</v>
      </c>
      <c r="J2730">
        <v>-491.1164</v>
      </c>
      <c r="K2730">
        <v>1.1157760000000001</v>
      </c>
      <c r="L2730">
        <v>264.7287</v>
      </c>
      <c r="M2730">
        <v>-0.1924622</v>
      </c>
      <c r="N2730">
        <v>0</v>
      </c>
      <c r="O2730">
        <v>-0.98120309999999999</v>
      </c>
      <c r="P2730">
        <v>-0.1089065</v>
      </c>
      <c r="Q2730">
        <v>0.13922960000000001</v>
      </c>
      <c r="R2730">
        <v>-0.9842535</v>
      </c>
      <c r="S2730">
        <v>-0.119812</v>
      </c>
      <c r="T2730">
        <v>-0.1409715</v>
      </c>
      <c r="U2730">
        <v>-3.055634</v>
      </c>
      <c r="V2730">
        <v>-8.4706009999999998E-2</v>
      </c>
      <c r="W2730">
        <v>0.15196989999999999</v>
      </c>
      <c r="X2730">
        <v>0.98474870000000003</v>
      </c>
      <c r="Y2730">
        <v>-0.15392439999999999</v>
      </c>
      <c r="Z2730">
        <v>4.450378E-2</v>
      </c>
      <c r="AA2730">
        <v>0.98707990000000001</v>
      </c>
      <c r="AB2730">
        <v>27</v>
      </c>
      <c r="AC2730">
        <v>-0.92239999999998201</v>
      </c>
      <c r="AD2730">
        <v>-1.115777016459</v>
      </c>
      <c r="AE2730">
        <v>-24.034799999999901</v>
      </c>
      <c r="AF2730">
        <v>-3.7131081320154098</v>
      </c>
      <c r="AG2730">
        <v>-1.115777016459</v>
      </c>
      <c r="AH2730">
        <v>23.7118822198738</v>
      </c>
      <c r="AI2730">
        <v>92.661711278493399</v>
      </c>
      <c r="AJ2730">
        <v>98.899826575522496</v>
      </c>
      <c r="AK2730">
        <v>24.026766090334799</v>
      </c>
      <c r="AL2730">
        <v>81.258897387273194</v>
      </c>
      <c r="AM2730">
        <v>94.916360650017694</v>
      </c>
      <c r="AN2730">
        <v>0.99999998039390903</v>
      </c>
    </row>
    <row r="2731" spans="1:40" x14ac:dyDescent="0.25">
      <c r="A2731" t="str">
        <f>"20190312172943530"</f>
        <v>20190312172943530</v>
      </c>
      <c r="B2731" t="str">
        <f>"1552382983519955"</f>
        <v>1552382983519955</v>
      </c>
      <c r="C2731" t="s">
        <v>40</v>
      </c>
      <c r="D2731">
        <v>3.2978269999999998</v>
      </c>
      <c r="E2731">
        <v>0.4736573</v>
      </c>
      <c r="F2731" t="s">
        <v>41</v>
      </c>
      <c r="G2731">
        <v>-492.00549999999998</v>
      </c>
      <c r="H2731" s="1">
        <v>-1.030548E-6</v>
      </c>
      <c r="I2731">
        <v>240.7475</v>
      </c>
      <c r="J2731">
        <v>-491.13929999999999</v>
      </c>
      <c r="K2731">
        <v>1.1156619999999999</v>
      </c>
      <c r="L2731">
        <v>264.59089999999998</v>
      </c>
      <c r="M2731">
        <v>-0.1887035</v>
      </c>
      <c r="N2731">
        <v>0</v>
      </c>
      <c r="O2731">
        <v>-0.9819329</v>
      </c>
      <c r="P2731">
        <v>-0.1062522</v>
      </c>
      <c r="Q2731">
        <v>0.1388366</v>
      </c>
      <c r="R2731">
        <v>-0.98459890000000005</v>
      </c>
      <c r="S2731">
        <v>-0.1132813</v>
      </c>
      <c r="T2731">
        <v>-0.14216699999999999</v>
      </c>
      <c r="U2731">
        <v>-3.0555729999999999</v>
      </c>
      <c r="V2731">
        <v>-8.3550459999999993E-2</v>
      </c>
      <c r="W2731">
        <v>0.15159900000000001</v>
      </c>
      <c r="X2731">
        <v>0.98490460000000002</v>
      </c>
      <c r="Y2731">
        <v>-0.1522472</v>
      </c>
      <c r="Z2731">
        <v>4.4939779999999999E-2</v>
      </c>
      <c r="AA2731">
        <v>0.98732019999999998</v>
      </c>
      <c r="AB2731">
        <v>27</v>
      </c>
      <c r="AC2731">
        <v>-0.86619999999999198</v>
      </c>
      <c r="AD2731">
        <v>-1.115663030548</v>
      </c>
      <c r="AE2731">
        <v>-23.8433999999999</v>
      </c>
      <c r="AF2731">
        <v>-3.64118385551639</v>
      </c>
      <c r="AG2731">
        <v>-1.115663030548</v>
      </c>
      <c r="AH2731">
        <v>23.526974713550601</v>
      </c>
      <c r="AI2731">
        <v>92.683070229859993</v>
      </c>
      <c r="AJ2731">
        <v>98.797659095002203</v>
      </c>
      <c r="AK2731">
        <v>23.833200855937299</v>
      </c>
      <c r="AL2731">
        <v>81.280397705204805</v>
      </c>
      <c r="AM2731">
        <v>94.848850285592107</v>
      </c>
      <c r="AN2731">
        <v>1.0000000036341801</v>
      </c>
    </row>
    <row r="2732" spans="1:40" x14ac:dyDescent="0.25">
      <c r="A2732" t="str">
        <f>"20190312172943541"</f>
        <v>20190312172943541</v>
      </c>
      <c r="B2732" t="str">
        <f>"1552382983530692"</f>
        <v>1552382983530692</v>
      </c>
      <c r="C2732" t="s">
        <v>40</v>
      </c>
      <c r="D2732">
        <v>3.2761140000000002</v>
      </c>
      <c r="E2732">
        <v>0.47615540000000001</v>
      </c>
      <c r="F2732" t="s">
        <v>41</v>
      </c>
      <c r="G2732">
        <v>-491.95609999999999</v>
      </c>
      <c r="H2732" s="1">
        <v>-1.0472760000000001E-6</v>
      </c>
      <c r="I2732">
        <v>240.81710000000001</v>
      </c>
      <c r="J2732">
        <v>-491.16129999999998</v>
      </c>
      <c r="K2732">
        <v>1.1155520000000001</v>
      </c>
      <c r="L2732">
        <v>264.45729999999998</v>
      </c>
      <c r="M2732">
        <v>-0.1850994</v>
      </c>
      <c r="N2732">
        <v>0</v>
      </c>
      <c r="O2732">
        <v>-0.98261929999999997</v>
      </c>
      <c r="P2732">
        <v>-0.1037256</v>
      </c>
      <c r="Q2732">
        <v>0.13864079999999901</v>
      </c>
      <c r="R2732">
        <v>-0.9848962</v>
      </c>
      <c r="S2732">
        <v>-0.1049805</v>
      </c>
      <c r="T2732">
        <v>-0.14340539999999999</v>
      </c>
      <c r="U2732">
        <v>-3.055847</v>
      </c>
      <c r="V2732">
        <v>-8.2422690000000007E-2</v>
      </c>
      <c r="W2732">
        <v>0.15142410000000001</v>
      </c>
      <c r="X2732">
        <v>0.98502650000000003</v>
      </c>
      <c r="Y2732">
        <v>-0.1513031</v>
      </c>
      <c r="Z2732">
        <v>4.5379950000000002E-2</v>
      </c>
      <c r="AA2732">
        <v>0.98744520000000002</v>
      </c>
      <c r="AB2732">
        <v>27</v>
      </c>
      <c r="AC2732">
        <v>-0.79480000000000905</v>
      </c>
      <c r="AD2732">
        <v>-1.115553047276</v>
      </c>
      <c r="AE2732">
        <v>-23.640199999999901</v>
      </c>
      <c r="AF2732">
        <v>-3.5871772462227001</v>
      </c>
      <c r="AG2732">
        <v>-1.115553047276</v>
      </c>
      <c r="AH2732">
        <v>23.3268575843171</v>
      </c>
      <c r="AI2732">
        <v>92.706189452077794</v>
      </c>
      <c r="AJ2732">
        <v>98.742394950177399</v>
      </c>
      <c r="AK2732">
        <v>23.627411706662201</v>
      </c>
      <c r="AL2732">
        <v>81.290535584420695</v>
      </c>
      <c r="AM2732">
        <v>94.783116710467297</v>
      </c>
      <c r="AN2732">
        <v>0.99999998179494798</v>
      </c>
    </row>
    <row r="2733" spans="1:40" x14ac:dyDescent="0.25">
      <c r="A2733" t="str">
        <f>"20190312172943554"</f>
        <v>20190312172943554</v>
      </c>
      <c r="B2733" t="str">
        <f>"1552382983550211"</f>
        <v>1552382983550211</v>
      </c>
      <c r="C2733" t="s">
        <v>40</v>
      </c>
      <c r="D2733">
        <v>3.3428810000000002</v>
      </c>
      <c r="E2733">
        <v>0.47735309999999997</v>
      </c>
      <c r="F2733" t="s">
        <v>41</v>
      </c>
      <c r="G2733">
        <v>-492.1927</v>
      </c>
      <c r="H2733" s="1">
        <v>-4.0093989999999999E-6</v>
      </c>
      <c r="I2733">
        <v>237.62559999999999</v>
      </c>
      <c r="J2733">
        <v>-491.18220000000002</v>
      </c>
      <c r="K2733">
        <v>1.11544</v>
      </c>
      <c r="L2733">
        <v>264.3254</v>
      </c>
      <c r="M2733">
        <v>-0.1816642</v>
      </c>
      <c r="N2733">
        <v>0</v>
      </c>
      <c r="O2733">
        <v>-0.98326020000000003</v>
      </c>
      <c r="P2733">
        <v>-0.1013665</v>
      </c>
      <c r="Q2733">
        <v>0.13839000000000001</v>
      </c>
      <c r="R2733">
        <v>-0.98517659999999996</v>
      </c>
      <c r="S2733">
        <v>-0.1173096</v>
      </c>
      <c r="T2733">
        <v>-0.12687129999999999</v>
      </c>
      <c r="U2733">
        <v>-3.0515439999999998</v>
      </c>
      <c r="V2733">
        <v>-8.1297789999999995E-2</v>
      </c>
      <c r="W2733">
        <v>0.15119460000000001</v>
      </c>
      <c r="X2733">
        <v>0.98515520000000001</v>
      </c>
      <c r="Y2733">
        <v>-0.14380390000000001</v>
      </c>
      <c r="Z2733">
        <v>4.0274049999999999E-2</v>
      </c>
      <c r="AA2733">
        <v>0.98878630000000001</v>
      </c>
      <c r="AB2733">
        <v>27</v>
      </c>
      <c r="AC2733">
        <v>-1.01049999999997</v>
      </c>
      <c r="AD2733">
        <v>-1.1154440093989999</v>
      </c>
      <c r="AE2733">
        <v>-26.6998</v>
      </c>
      <c r="AF2733">
        <v>-3.8504835043793899</v>
      </c>
      <c r="AG2733">
        <v>-1.1154440093989999</v>
      </c>
      <c r="AH2733">
        <v>26.393034435671701</v>
      </c>
      <c r="AI2733">
        <v>92.394720560226006</v>
      </c>
      <c r="AJ2733">
        <v>98.300331980104204</v>
      </c>
      <c r="AK2733">
        <v>26.6957432052032</v>
      </c>
      <c r="AL2733">
        <v>81.303837872283907</v>
      </c>
      <c r="AM2733">
        <v>94.717520157525399</v>
      </c>
      <c r="AN2733">
        <v>0.99999995290754096</v>
      </c>
    </row>
    <row r="2734" spans="1:40" x14ac:dyDescent="0.25">
      <c r="A2734" t="str">
        <f>"20190312172943564"</f>
        <v>20190312172943564</v>
      </c>
      <c r="B2734" t="str">
        <f>"1552382983559972"</f>
        <v>1552382983559972</v>
      </c>
      <c r="C2734" t="s">
        <v>40</v>
      </c>
      <c r="D2734">
        <v>3.3377889999999999</v>
      </c>
      <c r="E2734">
        <v>0.47790009999999999</v>
      </c>
      <c r="F2734" t="s">
        <v>41</v>
      </c>
      <c r="G2734">
        <v>-492.22480000000002</v>
      </c>
      <c r="H2734" s="1">
        <v>-4.0366289999999998E-6</v>
      </c>
      <c r="I2734">
        <v>237.68889999999999</v>
      </c>
      <c r="J2734">
        <v>-491.20400000000001</v>
      </c>
      <c r="K2734">
        <v>1.115321</v>
      </c>
      <c r="L2734">
        <v>264.18759999999997</v>
      </c>
      <c r="M2734">
        <v>-0.17810229999999999</v>
      </c>
      <c r="N2734">
        <v>0</v>
      </c>
      <c r="O2734">
        <v>-0.98391220000000001</v>
      </c>
      <c r="P2734">
        <v>-9.8982979999999998E-2</v>
      </c>
      <c r="Q2734">
        <v>0.1381666</v>
      </c>
      <c r="R2734">
        <v>-0.98545059999999995</v>
      </c>
      <c r="S2734">
        <v>-0.1194153</v>
      </c>
      <c r="T2734">
        <v>-0.12775729999999999</v>
      </c>
      <c r="U2734">
        <v>-3.0508120000000001</v>
      </c>
      <c r="V2734">
        <v>-8.006945E-2</v>
      </c>
      <c r="W2734">
        <v>0.15099379999999901</v>
      </c>
      <c r="X2734">
        <v>0.98528669999999996</v>
      </c>
      <c r="Y2734">
        <v>-0.13952879999999901</v>
      </c>
      <c r="Z2734">
        <v>4.0617599999999997E-2</v>
      </c>
      <c r="AA2734">
        <v>0.98938470000000001</v>
      </c>
      <c r="AB2734">
        <v>27</v>
      </c>
      <c r="AC2734">
        <v>-1.0207999999999999</v>
      </c>
      <c r="AD2734">
        <v>-1.115325036629</v>
      </c>
      <c r="AE2734">
        <v>-26.4986999999999</v>
      </c>
      <c r="AF2734">
        <v>-3.70890585214056</v>
      </c>
      <c r="AG2734">
        <v>-1.115325036629</v>
      </c>
      <c r="AH2734">
        <v>26.210414679423899</v>
      </c>
      <c r="AI2734">
        <v>92.412616410720503</v>
      </c>
      <c r="AJ2734">
        <v>98.054167792835699</v>
      </c>
      <c r="AK2734">
        <v>26.495014063493802</v>
      </c>
      <c r="AL2734">
        <v>81.3154774459897</v>
      </c>
      <c r="AM2734">
        <v>94.645939522883907</v>
      </c>
      <c r="AN2734">
        <v>1.00000006282931</v>
      </c>
    </row>
    <row r="2735" spans="1:40" x14ac:dyDescent="0.25">
      <c r="A2735" t="str">
        <f>"20190312172943576"</f>
        <v>20190312172943576</v>
      </c>
      <c r="B2735" t="str">
        <f>"1552382983570708"</f>
        <v>1552382983570708</v>
      </c>
      <c r="C2735" t="s">
        <v>40</v>
      </c>
      <c r="D2735">
        <v>3.3467479999999998</v>
      </c>
      <c r="E2735">
        <v>0.47848449999999998</v>
      </c>
      <c r="F2735" t="s">
        <v>41</v>
      </c>
      <c r="G2735">
        <v>-492.22179999999997</v>
      </c>
      <c r="H2735" s="1">
        <v>-4.0306890000000001E-6</v>
      </c>
      <c r="I2735">
        <v>237.673</v>
      </c>
      <c r="J2735">
        <v>-491.22539999999998</v>
      </c>
      <c r="K2735">
        <v>1.1151949999999999</v>
      </c>
      <c r="L2735">
        <v>264.04719999999998</v>
      </c>
      <c r="M2735">
        <v>-0.174611299999999</v>
      </c>
      <c r="N2735">
        <v>0</v>
      </c>
      <c r="O2735">
        <v>-0.98453789999999997</v>
      </c>
      <c r="P2735">
        <v>-9.6389340000000004E-2</v>
      </c>
      <c r="Q2735">
        <v>0.13824500000000001</v>
      </c>
      <c r="R2735">
        <v>-0.98569680000000004</v>
      </c>
      <c r="S2735">
        <v>-0.1170959</v>
      </c>
      <c r="T2735">
        <v>-0.12831869999999901</v>
      </c>
      <c r="U2735">
        <v>-3.0505070000000001</v>
      </c>
      <c r="V2735">
        <v>-7.9117770000000004E-2</v>
      </c>
      <c r="W2735">
        <v>0.1510899</v>
      </c>
      <c r="X2735">
        <v>0.98534880000000002</v>
      </c>
      <c r="Y2735">
        <v>-0.13676360000000001</v>
      </c>
      <c r="Z2735">
        <v>4.0847840000000003E-2</v>
      </c>
      <c r="AA2735">
        <v>0.98976120000000001</v>
      </c>
      <c r="AB2735">
        <v>27</v>
      </c>
      <c r="AC2735">
        <v>-0.99639999999999396</v>
      </c>
      <c r="AD2735">
        <v>-1.1151990306890001</v>
      </c>
      <c r="AE2735">
        <v>-26.374199999999899</v>
      </c>
      <c r="AF2735">
        <v>-3.61813535572196</v>
      </c>
      <c r="AG2735">
        <v>-1.1151990306890001</v>
      </c>
      <c r="AH2735">
        <v>26.0963530550667</v>
      </c>
      <c r="AI2735">
        <v>92.423826412647202</v>
      </c>
      <c r="AJ2735">
        <v>97.893466871256294</v>
      </c>
      <c r="AK2735">
        <v>26.3695698695497</v>
      </c>
      <c r="AL2735">
        <v>81.309907031180899</v>
      </c>
      <c r="AM2735">
        <v>94.590668726558405</v>
      </c>
      <c r="AN2735">
        <v>1.00000001853661</v>
      </c>
    </row>
    <row r="2736" spans="1:40" x14ac:dyDescent="0.25">
      <c r="A2736" t="str">
        <f>"20190312172943587"</f>
        <v>20190312172943587</v>
      </c>
      <c r="B2736" t="str">
        <f>"1552382983580468"</f>
        <v>1552382983580468</v>
      </c>
      <c r="C2736" t="s">
        <v>40</v>
      </c>
      <c r="D2736">
        <v>3.3253170000000001</v>
      </c>
      <c r="E2736">
        <v>0.47888249999999999</v>
      </c>
      <c r="F2736" t="s">
        <v>41</v>
      </c>
      <c r="G2736">
        <v>-492.21550000000002</v>
      </c>
      <c r="H2736" s="1">
        <v>-3.9735290000000003E-6</v>
      </c>
      <c r="I2736">
        <v>237.50839999999999</v>
      </c>
      <c r="J2736">
        <v>-491.24439999999998</v>
      </c>
      <c r="K2736">
        <v>1.115081</v>
      </c>
      <c r="L2736">
        <v>263.92140000000001</v>
      </c>
      <c r="M2736">
        <v>-0.1715294</v>
      </c>
      <c r="N2736">
        <v>0</v>
      </c>
      <c r="O2736">
        <v>-0.98507979999999995</v>
      </c>
      <c r="P2736">
        <v>-9.4104980000000005E-2</v>
      </c>
      <c r="Q2736">
        <v>0.13847190000000001</v>
      </c>
      <c r="R2736">
        <v>-0.98588569999999998</v>
      </c>
      <c r="S2736">
        <v>-0.1138</v>
      </c>
      <c r="T2736">
        <v>-0.1281825</v>
      </c>
      <c r="U2736">
        <v>-3.0504150000000001</v>
      </c>
      <c r="V2736">
        <v>-7.8270960000000001E-2</v>
      </c>
      <c r="W2736">
        <v>0.1513322</v>
      </c>
      <c r="X2736">
        <v>0.98537920000000001</v>
      </c>
      <c r="Y2736">
        <v>-0.13472990000000001</v>
      </c>
      <c r="Z2736">
        <v>4.0846489999999999E-2</v>
      </c>
      <c r="AA2736">
        <v>0.99004009999999998</v>
      </c>
      <c r="AB2736">
        <v>27</v>
      </c>
      <c r="AC2736">
        <v>-0.97110000000003505</v>
      </c>
      <c r="AD2736">
        <v>-1.115084973529</v>
      </c>
      <c r="AE2736">
        <v>-26.413</v>
      </c>
      <c r="AF2736">
        <v>-3.56799372709132</v>
      </c>
      <c r="AG2736">
        <v>-1.115084973529</v>
      </c>
      <c r="AH2736">
        <v>26.1415152523406</v>
      </c>
      <c r="AI2736">
        <v>92.420100843685304</v>
      </c>
      <c r="AJ2736">
        <v>97.772141093022498</v>
      </c>
      <c r="AK2736">
        <v>26.4074386001958</v>
      </c>
      <c r="AL2736">
        <v>81.295862375561398</v>
      </c>
      <c r="AM2736">
        <v>94.541601212077794</v>
      </c>
      <c r="AN2736">
        <v>0.99999997286440001</v>
      </c>
    </row>
    <row r="2737" spans="1:40" x14ac:dyDescent="0.25">
      <c r="A2737" t="str">
        <f>"20190312172943605"</f>
        <v>20190312172943605</v>
      </c>
      <c r="B2737" t="str">
        <f>"1552382983599988"</f>
        <v>1552382983599988</v>
      </c>
      <c r="C2737" t="s">
        <v>40</v>
      </c>
      <c r="D2737">
        <v>3.331245</v>
      </c>
      <c r="E2737">
        <v>0.48278989999999999</v>
      </c>
      <c r="F2737" t="s">
        <v>41</v>
      </c>
      <c r="G2737">
        <v>-492.20609999999999</v>
      </c>
      <c r="H2737" s="1">
        <v>-3.8863740000000003E-6</v>
      </c>
      <c r="I2737">
        <v>237.2801</v>
      </c>
      <c r="J2737">
        <v>-491.27659999999997</v>
      </c>
      <c r="K2737">
        <v>1.1148910000000001</v>
      </c>
      <c r="L2737">
        <v>263.70339999999999</v>
      </c>
      <c r="M2737">
        <v>-0.1663578</v>
      </c>
      <c r="N2737">
        <v>0</v>
      </c>
      <c r="O2737">
        <v>-0.98596649999999997</v>
      </c>
      <c r="P2737">
        <v>-9.0363499999999999E-2</v>
      </c>
      <c r="Q2737">
        <v>0.1387362</v>
      </c>
      <c r="R2737">
        <v>-0.98619780000000001</v>
      </c>
      <c r="S2737">
        <v>-0.11010739999999899</v>
      </c>
      <c r="T2737">
        <v>-0.1276776</v>
      </c>
      <c r="U2737">
        <v>-3.050446</v>
      </c>
      <c r="V2737">
        <v>-7.6760090000000003E-2</v>
      </c>
      <c r="W2737">
        <v>0.15162300000000001</v>
      </c>
      <c r="X2737">
        <v>0.98545340000000003</v>
      </c>
      <c r="Y2737">
        <v>-0.13072629999999999</v>
      </c>
      <c r="Z2737">
        <v>4.0753009999999999E-2</v>
      </c>
      <c r="AA2737">
        <v>0.99058060000000003</v>
      </c>
      <c r="AB2737">
        <v>27</v>
      </c>
      <c r="AC2737">
        <v>-0.92950000000001798</v>
      </c>
      <c r="AD2737">
        <v>-1.114894886374</v>
      </c>
      <c r="AE2737">
        <v>-26.423299999999902</v>
      </c>
      <c r="AF2737">
        <v>-3.4734296104479698</v>
      </c>
      <c r="AG2737">
        <v>-1.114894886374</v>
      </c>
      <c r="AH2737">
        <v>26.1631548837906</v>
      </c>
      <c r="AI2737">
        <v>92.418880259528393</v>
      </c>
      <c r="AJ2737">
        <v>97.562384888964203</v>
      </c>
      <c r="AK2737">
        <v>26.416252144080101</v>
      </c>
      <c r="AL2737">
        <v>81.279006708692293</v>
      </c>
      <c r="AM2737">
        <v>94.453956569298796</v>
      </c>
      <c r="AN2737">
        <v>1.00000002455868</v>
      </c>
    </row>
    <row r="2738" spans="1:40" x14ac:dyDescent="0.25">
      <c r="A2738" t="str">
        <f>"20190312172943616"</f>
        <v>20190312172943616</v>
      </c>
      <c r="B2738" t="str">
        <f>"1552382983609748"</f>
        <v>1552382983609748</v>
      </c>
      <c r="C2738" t="s">
        <v>40</v>
      </c>
      <c r="D2738">
        <v>3.3433769999999998</v>
      </c>
      <c r="E2738">
        <v>0.48240519999999998</v>
      </c>
      <c r="F2738" t="s">
        <v>41</v>
      </c>
      <c r="G2738">
        <v>-492.40980000000002</v>
      </c>
      <c r="H2738" s="1">
        <v>-3.9108139999999999E-6</v>
      </c>
      <c r="I2738">
        <v>237.22280000000001</v>
      </c>
      <c r="J2738">
        <v>-491.29629999999997</v>
      </c>
      <c r="K2738">
        <v>1.1147689999999999</v>
      </c>
      <c r="L2738">
        <v>263.5659</v>
      </c>
      <c r="M2738">
        <v>-0.16322629999999999</v>
      </c>
      <c r="N2738">
        <v>0</v>
      </c>
      <c r="O2738">
        <v>-0.98648999999999998</v>
      </c>
      <c r="P2738">
        <v>-8.7778170000000003E-2</v>
      </c>
      <c r="Q2738">
        <v>0.13876910000000001</v>
      </c>
      <c r="R2738">
        <v>-0.98642680000000005</v>
      </c>
      <c r="S2738">
        <v>-0.1304321</v>
      </c>
      <c r="T2738">
        <v>-0.128332</v>
      </c>
      <c r="U2738">
        <v>-3.0480960000000001</v>
      </c>
      <c r="V2738">
        <v>-7.6165590000000005E-2</v>
      </c>
      <c r="W2738">
        <v>0.15166729999999901</v>
      </c>
      <c r="X2738">
        <v>0.9854927</v>
      </c>
      <c r="Y2738">
        <v>-0.12095019999999999</v>
      </c>
      <c r="Z2738">
        <v>4.1046850000000003E-2</v>
      </c>
      <c r="AA2738">
        <v>0.99180950000000001</v>
      </c>
      <c r="AB2738">
        <v>27</v>
      </c>
      <c r="AC2738">
        <v>-1.1135000000000399</v>
      </c>
      <c r="AD2738">
        <v>-1.1147729108140001</v>
      </c>
      <c r="AE2738">
        <v>-26.3431</v>
      </c>
      <c r="AF2738">
        <v>-3.19602862638195</v>
      </c>
      <c r="AG2738">
        <v>-1.1147729108140001</v>
      </c>
      <c r="AH2738">
        <v>26.124804536999999</v>
      </c>
      <c r="AI2738">
        <v>92.425329059213595</v>
      </c>
      <c r="AJ2738">
        <v>96.974732714042702</v>
      </c>
      <c r="AK2738">
        <v>26.343172354896701</v>
      </c>
      <c r="AL2738">
        <v>81.276438718387098</v>
      </c>
      <c r="AM2738">
        <v>94.419422727450197</v>
      </c>
      <c r="AN2738">
        <v>1.0000000143713099</v>
      </c>
    </row>
    <row r="2739" spans="1:40" x14ac:dyDescent="0.25">
      <c r="A2739" t="str">
        <f>"20190312172943629"</f>
        <v>20190312172943629</v>
      </c>
      <c r="B2739" t="str">
        <f>"1552382983620484"</f>
        <v>1552382983620484</v>
      </c>
      <c r="C2739" t="s">
        <v>40</v>
      </c>
      <c r="D2739">
        <v>3.3414259999999998</v>
      </c>
      <c r="E2739">
        <v>0.48300159999999998</v>
      </c>
      <c r="F2739" t="s">
        <v>41</v>
      </c>
      <c r="G2739">
        <v>-492.33440000000002</v>
      </c>
      <c r="H2739" s="1">
        <v>-3.8156959999999996E-6</v>
      </c>
      <c r="I2739">
        <v>237.03569999999999</v>
      </c>
      <c r="J2739">
        <v>-491.31560000000002</v>
      </c>
      <c r="K2739">
        <v>1.1146469999999999</v>
      </c>
      <c r="L2739">
        <v>263.42910000000001</v>
      </c>
      <c r="M2739">
        <v>-0.16017419999999999</v>
      </c>
      <c r="N2739">
        <v>0</v>
      </c>
      <c r="O2739">
        <v>-0.98699060000000005</v>
      </c>
      <c r="P2739">
        <v>-8.5235489999999997E-2</v>
      </c>
      <c r="Q2739">
        <v>0.13924120000000001</v>
      </c>
      <c r="R2739">
        <v>-0.98658330000000005</v>
      </c>
      <c r="S2739">
        <v>-0.1192932</v>
      </c>
      <c r="T2739">
        <v>-0.12810250000000001</v>
      </c>
      <c r="U2739">
        <v>-3.0486759999999999</v>
      </c>
      <c r="V2739">
        <v>-7.5605859999999997E-2</v>
      </c>
      <c r="W2739">
        <v>0.1521499</v>
      </c>
      <c r="X2739">
        <v>0.98546140000000004</v>
      </c>
      <c r="Y2739">
        <v>-0.1215054</v>
      </c>
      <c r="Z2739">
        <v>4.099879E-2</v>
      </c>
      <c r="AA2739">
        <v>0.99174370000000001</v>
      </c>
      <c r="AB2739">
        <v>27</v>
      </c>
      <c r="AC2739">
        <v>-1.0187999999999899</v>
      </c>
      <c r="AD2739">
        <v>-1.114650815696</v>
      </c>
      <c r="AE2739">
        <v>-26.3934</v>
      </c>
      <c r="AF2739">
        <v>-3.2165795158214898</v>
      </c>
      <c r="AG2739">
        <v>-1.114650815696</v>
      </c>
      <c r="AH2739">
        <v>26.169158615454101</v>
      </c>
      <c r="AI2739">
        <v>92.420789568092303</v>
      </c>
      <c r="AJ2739">
        <v>97.007356853438495</v>
      </c>
      <c r="AK2739">
        <v>26.389651245579799</v>
      </c>
      <c r="AL2739">
        <v>81.248463018649403</v>
      </c>
      <c r="AM2739">
        <v>94.387211078269402</v>
      </c>
      <c r="AN2739">
        <v>1.0000000045131501</v>
      </c>
    </row>
    <row r="2740" spans="1:40" x14ac:dyDescent="0.25">
      <c r="A2740" t="str">
        <f>"20190312172943641"</f>
        <v>20190312172943641</v>
      </c>
      <c r="B2740" t="str">
        <f>"1552382983630244"</f>
        <v>1552382983630244</v>
      </c>
      <c r="C2740" t="s">
        <v>40</v>
      </c>
      <c r="D2740">
        <v>3.3735889999999999</v>
      </c>
      <c r="E2740">
        <v>0.4833635</v>
      </c>
      <c r="F2740" t="s">
        <v>41</v>
      </c>
      <c r="G2740">
        <v>-492.31909999999999</v>
      </c>
      <c r="H2740" s="1">
        <v>-3.8808220000000004E-6</v>
      </c>
      <c r="I2740">
        <v>237.19710000000001</v>
      </c>
      <c r="J2740">
        <v>-491.33760000000001</v>
      </c>
      <c r="K2740">
        <v>1.114509</v>
      </c>
      <c r="L2740">
        <v>263.27010000000001</v>
      </c>
      <c r="M2740">
        <v>-0.1567122</v>
      </c>
      <c r="N2740">
        <v>0</v>
      </c>
      <c r="O2740">
        <v>-0.98754629999999999</v>
      </c>
      <c r="P2740">
        <v>-8.2379629999999995E-2</v>
      </c>
      <c r="Q2740">
        <v>0.13906470000000001</v>
      </c>
      <c r="R2740">
        <v>-0.98685109999999998</v>
      </c>
      <c r="S2740">
        <v>-0.1166382</v>
      </c>
      <c r="T2740">
        <v>-0.12955949999999999</v>
      </c>
      <c r="U2740">
        <v>-3.049042</v>
      </c>
      <c r="V2740">
        <v>-7.4950370000000002E-2</v>
      </c>
      <c r="W2740">
        <v>0.15198589999999901</v>
      </c>
      <c r="X2740">
        <v>0.98553679999999999</v>
      </c>
      <c r="Y2740">
        <v>-0.118892</v>
      </c>
      <c r="Z2740">
        <v>4.1501980000000001E-2</v>
      </c>
      <c r="AA2740">
        <v>0.99203940000000002</v>
      </c>
      <c r="AB2740">
        <v>27</v>
      </c>
      <c r="AC2740">
        <v>-0.98149999999998205</v>
      </c>
      <c r="AD2740">
        <v>-1.114512880822</v>
      </c>
      <c r="AE2740">
        <v>-26.073</v>
      </c>
      <c r="AF2740">
        <v>-3.1113052632094198</v>
      </c>
      <c r="AG2740">
        <v>-1.114512880822</v>
      </c>
      <c r="AH2740">
        <v>25.8574352109522</v>
      </c>
      <c r="AI2740">
        <v>92.450394593120805</v>
      </c>
      <c r="AJ2740">
        <v>96.861149966058704</v>
      </c>
      <c r="AK2740">
        <v>26.0677830873855</v>
      </c>
      <c r="AL2740">
        <v>81.2579702998313</v>
      </c>
      <c r="AM2740">
        <v>94.348989811113597</v>
      </c>
      <c r="AN2740">
        <v>1.0000000279580901</v>
      </c>
    </row>
    <row r="2741" spans="1:40" x14ac:dyDescent="0.25">
      <c r="A2741" t="str">
        <f>"20190312172943654"</f>
        <v>20190312172943654</v>
      </c>
      <c r="B2741" t="str">
        <f>"1552382983650740"</f>
        <v>1552382983650740</v>
      </c>
      <c r="C2741" t="s">
        <v>40</v>
      </c>
      <c r="D2741">
        <v>3.3982929999999998</v>
      </c>
      <c r="E2741">
        <v>0.48436960000000001</v>
      </c>
      <c r="F2741" t="s">
        <v>41</v>
      </c>
      <c r="G2741">
        <v>-492.28100000000001</v>
      </c>
      <c r="H2741" s="1">
        <v>-3.9305410000000004E-6</v>
      </c>
      <c r="I2741">
        <v>237.34790000000001</v>
      </c>
      <c r="J2741">
        <v>-491.358</v>
      </c>
      <c r="K2741">
        <v>1.114374</v>
      </c>
      <c r="L2741">
        <v>263.11939999999998</v>
      </c>
      <c r="M2741">
        <v>-0.15358350000000001</v>
      </c>
      <c r="N2741">
        <v>0</v>
      </c>
      <c r="O2741">
        <v>-0.98803819999999998</v>
      </c>
      <c r="P2741">
        <v>-7.9964069999999998E-2</v>
      </c>
      <c r="Q2741">
        <v>0.1390797</v>
      </c>
      <c r="R2741">
        <v>-0.98704740000000002</v>
      </c>
      <c r="S2741">
        <v>-0.1109619</v>
      </c>
      <c r="T2741">
        <v>-0.13109770000000001</v>
      </c>
      <c r="U2741">
        <v>-3.0491640000000002</v>
      </c>
      <c r="V2741">
        <v>-7.418872E-2</v>
      </c>
      <c r="W2741">
        <v>0.1520146</v>
      </c>
      <c r="X2741">
        <v>0.98558999999999997</v>
      </c>
      <c r="Y2741">
        <v>-0.1175934</v>
      </c>
      <c r="Z2741">
        <v>4.2028459999999997E-2</v>
      </c>
      <c r="AA2741">
        <v>0.9921721</v>
      </c>
      <c r="AB2741">
        <v>27</v>
      </c>
      <c r="AC2741">
        <v>-0.92300000000000104</v>
      </c>
      <c r="AD2741">
        <v>-1.114377930541</v>
      </c>
      <c r="AE2741">
        <v>-25.7714999999999</v>
      </c>
      <c r="AF2741">
        <v>-3.0407331769487702</v>
      </c>
      <c r="AG2741">
        <v>-1.114377930541</v>
      </c>
      <c r="AH2741">
        <v>25.559721169484099</v>
      </c>
      <c r="AI2741">
        <v>92.478998094948693</v>
      </c>
      <c r="AJ2741">
        <v>96.784353259528899</v>
      </c>
      <c r="AK2741">
        <v>25.764068830199299</v>
      </c>
      <c r="AL2741">
        <v>81.256306565990499</v>
      </c>
      <c r="AM2741">
        <v>94.3047306164313</v>
      </c>
      <c r="AN2741">
        <v>1.0000000264441899</v>
      </c>
    </row>
    <row r="2742" spans="1:40" x14ac:dyDescent="0.25">
      <c r="A2742" t="str">
        <f>"20190312172943675"</f>
        <v>20190312172943675</v>
      </c>
      <c r="B2742" t="str">
        <f>"1552382983670259"</f>
        <v>1552382983670259</v>
      </c>
      <c r="C2742" t="s">
        <v>40</v>
      </c>
      <c r="D2742">
        <v>3.3800349999999999</v>
      </c>
      <c r="E2742">
        <v>0.48880509999999999</v>
      </c>
      <c r="F2742" t="s">
        <v>41</v>
      </c>
      <c r="G2742">
        <v>-492.29649999999998</v>
      </c>
      <c r="H2742" s="1">
        <v>-4.0067650000000004E-6</v>
      </c>
      <c r="I2742">
        <v>237.56379999999999</v>
      </c>
      <c r="J2742">
        <v>-491.38940000000002</v>
      </c>
      <c r="K2742">
        <v>1.11415</v>
      </c>
      <c r="L2742">
        <v>262.88209999999998</v>
      </c>
      <c r="M2742">
        <v>-0.14884710000000001</v>
      </c>
      <c r="N2742">
        <v>0</v>
      </c>
      <c r="O2742">
        <v>-0.98876339999999996</v>
      </c>
      <c r="P2742">
        <v>-7.6196559999999997E-2</v>
      </c>
      <c r="Q2742">
        <v>0.13899529999999999</v>
      </c>
      <c r="R2742">
        <v>-0.98735759999999995</v>
      </c>
      <c r="S2742">
        <v>-0.111969</v>
      </c>
      <c r="T2742">
        <v>-0.13295670000000001</v>
      </c>
      <c r="U2742">
        <v>-3.049042</v>
      </c>
      <c r="V2742">
        <v>-7.3142310000000002E-2</v>
      </c>
      <c r="W2742">
        <v>0.15195149999999999</v>
      </c>
      <c r="X2742">
        <v>0.9856779</v>
      </c>
      <c r="Y2742">
        <v>-0.11250549999999999</v>
      </c>
      <c r="Z2742">
        <v>4.2684880000000001E-2</v>
      </c>
      <c r="AA2742">
        <v>0.9927338</v>
      </c>
      <c r="AB2742">
        <v>27</v>
      </c>
      <c r="AC2742">
        <v>-0.90709999999995705</v>
      </c>
      <c r="AD2742">
        <v>-1.114154006765</v>
      </c>
      <c r="AE2742">
        <v>-25.318299999999901</v>
      </c>
      <c r="AF2742">
        <v>-2.8663795449906</v>
      </c>
      <c r="AG2742">
        <v>-1.114154006765</v>
      </c>
      <c r="AH2742">
        <v>25.122649524945</v>
      </c>
      <c r="AI2742">
        <v>92.522975654286995</v>
      </c>
      <c r="AJ2742">
        <v>96.509039698807399</v>
      </c>
      <c r="AK2742">
        <v>25.310175621673402</v>
      </c>
      <c r="AL2742">
        <v>81.259964094526097</v>
      </c>
      <c r="AM2742">
        <v>94.243860001641295</v>
      </c>
      <c r="AN2742">
        <v>0.99999998920639699</v>
      </c>
    </row>
    <row r="2743" spans="1:40" x14ac:dyDescent="0.25">
      <c r="A2743" t="str">
        <f>"20190312172943688"</f>
        <v>20190312172943688</v>
      </c>
      <c r="B2743" t="str">
        <f>"1552382983680020"</f>
        <v>1552382983680020</v>
      </c>
      <c r="C2743" t="s">
        <v>40</v>
      </c>
      <c r="D2743">
        <v>3.3815200000000001</v>
      </c>
      <c r="E2743">
        <v>0.48993189999999998</v>
      </c>
      <c r="F2743" t="s">
        <v>41</v>
      </c>
      <c r="G2743">
        <v>-492.38929999999999</v>
      </c>
      <c r="H2743" s="1">
        <v>-1.0222309999999999E-6</v>
      </c>
      <c r="I2743">
        <v>240.49</v>
      </c>
      <c r="J2743">
        <v>-491.41070000000002</v>
      </c>
      <c r="K2743">
        <v>1.1139870000000001</v>
      </c>
      <c r="L2743">
        <v>262.71730000000002</v>
      </c>
      <c r="M2743">
        <v>-0.14571319999999999</v>
      </c>
      <c r="N2743">
        <v>0</v>
      </c>
      <c r="O2743">
        <v>-0.98923019999999995</v>
      </c>
      <c r="P2743">
        <v>-7.3529720000000007E-2</v>
      </c>
      <c r="Q2743">
        <v>0.13920199999999999</v>
      </c>
      <c r="R2743">
        <v>-0.98753040000000003</v>
      </c>
      <c r="S2743">
        <v>-0.1361694</v>
      </c>
      <c r="T2743">
        <v>-0.15172160000000001</v>
      </c>
      <c r="U2743">
        <v>-3.0492859999999999</v>
      </c>
      <c r="V2743">
        <v>-7.2617180000000003E-2</v>
      </c>
      <c r="W2743">
        <v>0.15216969999999999</v>
      </c>
      <c r="X2743">
        <v>0.98568310000000003</v>
      </c>
      <c r="Y2743">
        <v>-0.1014998</v>
      </c>
      <c r="Z2743">
        <v>4.8747949999999998E-2</v>
      </c>
      <c r="AA2743">
        <v>0.99364050000000004</v>
      </c>
      <c r="AB2743">
        <v>27</v>
      </c>
      <c r="AC2743">
        <v>-0.97859999999997105</v>
      </c>
      <c r="AD2743">
        <v>-1.1139880222309999</v>
      </c>
      <c r="AE2743">
        <v>-22.2273</v>
      </c>
      <c r="AF2743">
        <v>-2.2652885589765499</v>
      </c>
      <c r="AG2743">
        <v>-1.1139880222309999</v>
      </c>
      <c r="AH2743">
        <v>22.077281409445</v>
      </c>
      <c r="AI2743">
        <v>92.873551526935799</v>
      </c>
      <c r="AJ2743">
        <v>95.858458531765706</v>
      </c>
      <c r="AK2743">
        <v>22.2211353445527</v>
      </c>
      <c r="AL2743">
        <v>81.247315360196694</v>
      </c>
      <c r="AM2743">
        <v>94.213478910656505</v>
      </c>
      <c r="AN2743">
        <v>1.00000002302742</v>
      </c>
    </row>
    <row r="2744" spans="1:40" x14ac:dyDescent="0.25">
      <c r="A2744" t="str">
        <f>"20190312172943706"</f>
        <v>20190312172943706</v>
      </c>
      <c r="B2744" t="str">
        <f>"1552382983700516"</f>
        <v>1552382983700516</v>
      </c>
      <c r="C2744" t="s">
        <v>40</v>
      </c>
      <c r="D2744">
        <v>3.3921000000000001</v>
      </c>
      <c r="E2744">
        <v>0.49149589999999999</v>
      </c>
      <c r="F2744" t="s">
        <v>41</v>
      </c>
      <c r="G2744">
        <v>-492.4144</v>
      </c>
      <c r="H2744" s="1">
        <v>-1.0046680000000001E-6</v>
      </c>
      <c r="I2744">
        <v>240.43350000000001</v>
      </c>
      <c r="J2744">
        <v>-491.43830000000003</v>
      </c>
      <c r="K2744">
        <v>1.113774</v>
      </c>
      <c r="L2744">
        <v>262.49919999999997</v>
      </c>
      <c r="M2744">
        <v>-0.14176529999999901</v>
      </c>
      <c r="N2744">
        <v>0</v>
      </c>
      <c r="O2744">
        <v>-0.98980389999999996</v>
      </c>
      <c r="P2744">
        <v>-7.0570069999999999E-2</v>
      </c>
      <c r="Q2744">
        <v>0.1390634</v>
      </c>
      <c r="R2744">
        <v>-0.98776580000000003</v>
      </c>
      <c r="S2744">
        <v>-0.13732910000000001</v>
      </c>
      <c r="T2744">
        <v>-0.152427799999999</v>
      </c>
      <c r="U2744">
        <v>-3.0491030000000001</v>
      </c>
      <c r="V2744">
        <v>-7.1556700000000001E-2</v>
      </c>
      <c r="W2744">
        <v>0.15205189999999999</v>
      </c>
      <c r="X2744">
        <v>0.98577879999999996</v>
      </c>
      <c r="Y2744">
        <v>-9.7150449999999999E-2</v>
      </c>
      <c r="Z2744">
        <v>4.9030480000000001E-2</v>
      </c>
      <c r="AA2744">
        <v>0.99406130000000004</v>
      </c>
      <c r="AB2744">
        <v>27</v>
      </c>
      <c r="AC2744">
        <v>-0.97609999999997399</v>
      </c>
      <c r="AD2744">
        <v>-1.1137750046679999</v>
      </c>
      <c r="AE2744">
        <v>-22.0656999999999</v>
      </c>
      <c r="AF2744">
        <v>-2.15672522101812</v>
      </c>
      <c r="AG2744">
        <v>-1.1137750046679999</v>
      </c>
      <c r="AH2744">
        <v>21.925438774875701</v>
      </c>
      <c r="AI2744">
        <v>92.894084660454695</v>
      </c>
      <c r="AJ2744">
        <v>95.617903297965995</v>
      </c>
      <c r="AK2744">
        <v>22.059393099331199</v>
      </c>
      <c r="AL2744">
        <v>81.254143994928995</v>
      </c>
      <c r="AM2744">
        <v>94.151761609938504</v>
      </c>
      <c r="AN2744">
        <v>0.99999999206896995</v>
      </c>
    </row>
    <row r="2745" spans="1:40" x14ac:dyDescent="0.25">
      <c r="A2745" t="str">
        <f>"20190312172943717"</f>
        <v>20190312172943717</v>
      </c>
      <c r="B2745" t="str">
        <f>"1552382983710276"</f>
        <v>1552382983710276</v>
      </c>
      <c r="C2745" t="s">
        <v>40</v>
      </c>
      <c r="D2745">
        <v>3.4199389999999998</v>
      </c>
      <c r="E2745">
        <v>0.49202849999999998</v>
      </c>
      <c r="F2745" t="s">
        <v>41</v>
      </c>
      <c r="G2745">
        <v>-492.44760000000002</v>
      </c>
      <c r="H2745" s="1">
        <v>-1.11854E-6</v>
      </c>
      <c r="I2745">
        <v>240.67840000000001</v>
      </c>
      <c r="J2745">
        <v>-491.4545</v>
      </c>
      <c r="K2745">
        <v>1.1136459999999999</v>
      </c>
      <c r="L2745">
        <v>262.36900000000003</v>
      </c>
      <c r="M2745">
        <v>-0.13952349999999999</v>
      </c>
      <c r="N2745">
        <v>0</v>
      </c>
      <c r="O2745">
        <v>-0.99012290000000003</v>
      </c>
      <c r="P2745">
        <v>-6.8625530000000004E-2</v>
      </c>
      <c r="Q2745">
        <v>0.1388171</v>
      </c>
      <c r="R2745">
        <v>-0.98793719999999996</v>
      </c>
      <c r="S2745">
        <v>-0.1410217</v>
      </c>
      <c r="T2745">
        <v>-0.15562429999999999</v>
      </c>
      <c r="U2745">
        <v>-3.04895</v>
      </c>
      <c r="V2745">
        <v>-7.1219470000000007E-2</v>
      </c>
      <c r="W2745">
        <v>0.15181529999999999</v>
      </c>
      <c r="X2745">
        <v>0.98583969999999999</v>
      </c>
      <c r="Y2745">
        <v>-9.3694799999999995E-2</v>
      </c>
      <c r="Z2745">
        <v>5.0089910000000001E-2</v>
      </c>
      <c r="AA2745">
        <v>0.99434009999999995</v>
      </c>
      <c r="AB2745">
        <v>27</v>
      </c>
      <c r="AC2745">
        <v>-0.99310000000002596</v>
      </c>
      <c r="AD2745">
        <v>-1.1136471185400001</v>
      </c>
      <c r="AE2745">
        <v>-21.6906</v>
      </c>
      <c r="AF2745">
        <v>-2.03789060290767</v>
      </c>
      <c r="AG2745">
        <v>-1.1136471185400001</v>
      </c>
      <c r="AH2745">
        <v>21.560257675879601</v>
      </c>
      <c r="AI2745">
        <v>92.943760636097593</v>
      </c>
      <c r="AJ2745">
        <v>95.399594913856305</v>
      </c>
      <c r="AK2745">
        <v>21.6849698884822</v>
      </c>
      <c r="AL2745">
        <v>81.267859526747898</v>
      </c>
      <c r="AM2745">
        <v>94.132008881351993</v>
      </c>
      <c r="AN2745">
        <v>1.0000000061586301</v>
      </c>
    </row>
    <row r="2746" spans="1:40" x14ac:dyDescent="0.25">
      <c r="A2746" t="str">
        <f>"20190312172943729"</f>
        <v>20190312172943729</v>
      </c>
      <c r="B2746" t="str">
        <f>"1552382983720036"</f>
        <v>1552382983720036</v>
      </c>
      <c r="C2746" t="s">
        <v>40</v>
      </c>
      <c r="D2746">
        <v>3.4007510000000001</v>
      </c>
      <c r="E2746">
        <v>0.49265379999999998</v>
      </c>
      <c r="F2746" t="s">
        <v>41</v>
      </c>
      <c r="G2746">
        <v>-492.44600000000003</v>
      </c>
      <c r="H2746" s="1">
        <v>-1.110486E-6</v>
      </c>
      <c r="I2746">
        <v>240.66059999999999</v>
      </c>
      <c r="J2746">
        <v>-491.47179999999997</v>
      </c>
      <c r="K2746">
        <v>1.113513</v>
      </c>
      <c r="L2746">
        <v>262.22710000000001</v>
      </c>
      <c r="M2746">
        <v>-0.13715160000000001</v>
      </c>
      <c r="N2746">
        <v>0</v>
      </c>
      <c r="O2746">
        <v>-0.99045439999999996</v>
      </c>
      <c r="P2746">
        <v>-6.6769560000000006E-2</v>
      </c>
      <c r="Q2746">
        <v>0.1384871</v>
      </c>
      <c r="R2746">
        <v>-0.98811110000000002</v>
      </c>
      <c r="S2746">
        <v>-0.13925170000000001</v>
      </c>
      <c r="T2746">
        <v>-0.156410299999999</v>
      </c>
      <c r="U2746">
        <v>-3.0489199999999999</v>
      </c>
      <c r="V2746">
        <v>-7.0663069999999994E-2</v>
      </c>
      <c r="W2746">
        <v>0.1514972</v>
      </c>
      <c r="X2746">
        <v>0.98592869999999999</v>
      </c>
      <c r="Y2746">
        <v>-9.1886109999999993E-2</v>
      </c>
      <c r="Z2746">
        <v>5.0373139999999997E-2</v>
      </c>
      <c r="AA2746">
        <v>0.99449460000000001</v>
      </c>
      <c r="AB2746">
        <v>27</v>
      </c>
      <c r="AC2746">
        <v>-0.97419999999999596</v>
      </c>
      <c r="AD2746">
        <v>-1.113514110486</v>
      </c>
      <c r="AE2746">
        <v>-21.566500000000001</v>
      </c>
      <c r="AF2746">
        <v>-1.9878796329233599</v>
      </c>
      <c r="AG2746">
        <v>-1.113514110486</v>
      </c>
      <c r="AH2746">
        <v>21.439248030573001</v>
      </c>
      <c r="AI2746">
        <v>92.960487120652203</v>
      </c>
      <c r="AJ2746">
        <v>95.297405236582804</v>
      </c>
      <c r="AK2746">
        <v>21.5599845831502</v>
      </c>
      <c r="AL2746">
        <v>81.286298857877</v>
      </c>
      <c r="AM2746">
        <v>94.099469362213298</v>
      </c>
      <c r="AN2746">
        <v>1.0000000362766699</v>
      </c>
    </row>
    <row r="2747" spans="1:40" x14ac:dyDescent="0.25">
      <c r="A2747" t="str">
        <f>"20190312172943741"</f>
        <v>20190312172943741</v>
      </c>
      <c r="B2747" t="str">
        <f>"1552382983729797"</f>
        <v>1552382983729797</v>
      </c>
      <c r="C2747" t="s">
        <v>40</v>
      </c>
      <c r="D2747">
        <v>3.4659080000000002</v>
      </c>
      <c r="E2747">
        <v>0.49265379999999998</v>
      </c>
      <c r="F2747" t="s">
        <v>41</v>
      </c>
      <c r="G2747">
        <v>-492.44229999999999</v>
      </c>
      <c r="H2747" s="1">
        <v>-1.1949960000000001E-6</v>
      </c>
      <c r="I2747">
        <v>240.85990000000001</v>
      </c>
      <c r="J2747">
        <v>-491.48910000000001</v>
      </c>
      <c r="K2747">
        <v>1.113386</v>
      </c>
      <c r="L2747">
        <v>262.08390000000003</v>
      </c>
      <c r="M2747">
        <v>-0.13482829999999901</v>
      </c>
      <c r="N2747">
        <v>0</v>
      </c>
      <c r="O2747">
        <v>-0.99077340000000003</v>
      </c>
      <c r="P2747">
        <v>-6.4617480000000005E-2</v>
      </c>
      <c r="Q2747">
        <v>0.13821040000000001</v>
      </c>
      <c r="R2747">
        <v>-0.98829279999999997</v>
      </c>
      <c r="S2747">
        <v>-0.1384888</v>
      </c>
      <c r="T2747">
        <v>-0.158891899999999</v>
      </c>
      <c r="U2747">
        <v>-3.0489809999999999</v>
      </c>
      <c r="V2747">
        <v>-7.0452559999999997E-2</v>
      </c>
      <c r="W2747">
        <v>0.15122849999999999</v>
      </c>
      <c r="X2747">
        <v>0.985985</v>
      </c>
      <c r="Y2747">
        <v>-8.9801710000000007E-2</v>
      </c>
      <c r="Z2747">
        <v>5.1199269999999998E-2</v>
      </c>
      <c r="AA2747">
        <v>0.99464280000000005</v>
      </c>
      <c r="AB2747">
        <v>27</v>
      </c>
      <c r="AC2747">
        <v>-0.95319999999998095</v>
      </c>
      <c r="AD2747">
        <v>-1.1133871949959999</v>
      </c>
      <c r="AE2747">
        <v>-21.224</v>
      </c>
      <c r="AF2747">
        <v>-1.9121207801415701</v>
      </c>
      <c r="AG2747">
        <v>-1.1133871949959999</v>
      </c>
      <c r="AH2747">
        <v>21.100745829092201</v>
      </c>
      <c r="AI2747">
        <v>93.008125030599999</v>
      </c>
      <c r="AJ2747">
        <v>95.177922975419094</v>
      </c>
      <c r="AK2747">
        <v>21.216439651076801</v>
      </c>
      <c r="AL2747">
        <v>81.301873551183704</v>
      </c>
      <c r="AM2747">
        <v>94.087065626727593</v>
      </c>
      <c r="AN2747">
        <v>1.0000000213239</v>
      </c>
    </row>
    <row r="2748" spans="1:40" x14ac:dyDescent="0.25">
      <c r="A2748" t="str">
        <f>"20190312172943753"</f>
        <v>20190312172943753</v>
      </c>
      <c r="B2748" t="str">
        <f>"1552382983750292"</f>
        <v>1552382983750292</v>
      </c>
      <c r="C2748" t="s">
        <v>40</v>
      </c>
      <c r="D2748">
        <v>3.3302339999999901</v>
      </c>
      <c r="E2748">
        <v>0.4670607</v>
      </c>
      <c r="F2748" t="s">
        <v>41</v>
      </c>
      <c r="G2748">
        <v>-492.41210000000001</v>
      </c>
      <c r="H2748" s="1">
        <v>-1.173944E-6</v>
      </c>
      <c r="I2748">
        <v>240.8295</v>
      </c>
      <c r="J2748">
        <v>-491.5052</v>
      </c>
      <c r="K2748">
        <v>1.1132709999999999</v>
      </c>
      <c r="L2748">
        <v>261.94839999999999</v>
      </c>
      <c r="M2748">
        <v>-0.1327467</v>
      </c>
      <c r="N2748">
        <v>0</v>
      </c>
      <c r="O2748">
        <v>-0.99105480000000001</v>
      </c>
      <c r="P2748">
        <v>-6.2537330000000002E-2</v>
      </c>
      <c r="Q2748">
        <v>0.1378402</v>
      </c>
      <c r="R2748">
        <v>-0.98847819999999997</v>
      </c>
      <c r="S2748">
        <v>-0.1324158</v>
      </c>
      <c r="T2748">
        <v>-0.1597285</v>
      </c>
      <c r="U2748">
        <v>-3.049194</v>
      </c>
      <c r="V2748">
        <v>-7.041704E-2</v>
      </c>
      <c r="W2748">
        <v>0.15086369999999999</v>
      </c>
      <c r="X2748">
        <v>0.98604340000000001</v>
      </c>
      <c r="Y2748">
        <v>-8.9690389999999995E-2</v>
      </c>
      <c r="Z2748">
        <v>5.1489029999999998E-2</v>
      </c>
      <c r="AA2748">
        <v>0.99463789999999996</v>
      </c>
      <c r="AB2748">
        <v>27</v>
      </c>
      <c r="AC2748">
        <v>-0.90690000000000703</v>
      </c>
      <c r="AD2748">
        <v>-1.1132721739439999</v>
      </c>
      <c r="AE2748">
        <v>-21.1189</v>
      </c>
      <c r="AF2748">
        <v>-1.89958752134132</v>
      </c>
      <c r="AG2748">
        <v>-1.1132721739439999</v>
      </c>
      <c r="AH2748">
        <v>20.994130064581501</v>
      </c>
      <c r="AI2748">
        <v>93.023098419833701</v>
      </c>
      <c r="AJ2748">
        <v>95.170148963594698</v>
      </c>
      <c r="AK2748">
        <v>21.109270590266199</v>
      </c>
      <c r="AL2748">
        <v>81.323017466407293</v>
      </c>
      <c r="AM2748">
        <v>94.084770909947295</v>
      </c>
      <c r="AN2748">
        <v>1.0000000010918</v>
      </c>
    </row>
    <row r="2749" spans="1:40" x14ac:dyDescent="0.25">
      <c r="A2749" t="str">
        <f>"20190312172943764"</f>
        <v>20190312172943764</v>
      </c>
      <c r="B2749" t="str">
        <f>"1552382983760053"</f>
        <v>1552382983760053</v>
      </c>
      <c r="C2749" t="s">
        <v>40</v>
      </c>
      <c r="D2749">
        <v>3.3318099999999999</v>
      </c>
      <c r="E2749">
        <v>0.46190599999999998</v>
      </c>
      <c r="F2749" t="s">
        <v>41</v>
      </c>
      <c r="G2749">
        <v>-490.9162</v>
      </c>
      <c r="H2749" s="1">
        <v>-4.1186970000000002E-6</v>
      </c>
      <c r="I2749">
        <v>238.6216</v>
      </c>
      <c r="J2749">
        <v>-491.52229999999997</v>
      </c>
      <c r="K2749">
        <v>1.1131470000000001</v>
      </c>
      <c r="L2749">
        <v>261.8032</v>
      </c>
      <c r="M2749">
        <v>-0.13056089999999901</v>
      </c>
      <c r="N2749">
        <v>0</v>
      </c>
      <c r="O2749">
        <v>-0.99134549999999999</v>
      </c>
      <c r="P2749">
        <v>-6.0588080000000002E-2</v>
      </c>
      <c r="Q2749">
        <v>0.13778689999999999</v>
      </c>
      <c r="R2749">
        <v>-0.98860740000000003</v>
      </c>
      <c r="S2749">
        <v>7.7270510000000001E-2</v>
      </c>
      <c r="T2749">
        <v>-0.14604909999999999</v>
      </c>
      <c r="U2749">
        <v>-3.0602109999999998</v>
      </c>
      <c r="V2749">
        <v>-7.0142019999999999E-2</v>
      </c>
      <c r="W2749">
        <v>0.15081789999999901</v>
      </c>
      <c r="X2749">
        <v>0.98607</v>
      </c>
      <c r="Y2749">
        <v>-0.155528799999999</v>
      </c>
      <c r="Z2749">
        <v>4.67611E-2</v>
      </c>
      <c r="AA2749">
        <v>0.98672400000000005</v>
      </c>
      <c r="AB2749">
        <v>27</v>
      </c>
      <c r="AC2749">
        <v>0.606099999999969</v>
      </c>
      <c r="AD2749">
        <v>-1.11315111869699</v>
      </c>
      <c r="AE2749">
        <v>-23.1816</v>
      </c>
      <c r="AF2749">
        <v>-3.6194659483795699</v>
      </c>
      <c r="AG2749">
        <v>-1.11315111869699</v>
      </c>
      <c r="AH2749">
        <v>22.851339796183801</v>
      </c>
      <c r="AI2749">
        <v>92.754544211193704</v>
      </c>
      <c r="AJ2749">
        <v>99.000414063050897</v>
      </c>
      <c r="AK2749">
        <v>23.1629741105323</v>
      </c>
      <c r="AL2749">
        <v>81.325671918835098</v>
      </c>
      <c r="AM2749">
        <v>94.068761769830004</v>
      </c>
      <c r="AN2749">
        <v>0.99999999341504497</v>
      </c>
    </row>
    <row r="2750" spans="1:40" x14ac:dyDescent="0.25">
      <c r="A2750" t="str">
        <f>"20190312172943776"</f>
        <v>20190312172943776</v>
      </c>
      <c r="B2750" t="str">
        <f>"1552382983769812"</f>
        <v>1552382983769812</v>
      </c>
      <c r="C2750" t="s">
        <v>40</v>
      </c>
      <c r="D2750">
        <v>3.3198249999999998</v>
      </c>
      <c r="E2750">
        <v>0.45861580000000002</v>
      </c>
      <c r="F2750" t="s">
        <v>41</v>
      </c>
      <c r="G2750">
        <v>-490.59</v>
      </c>
      <c r="H2750" s="1">
        <v>-4.1309440000000001E-6</v>
      </c>
      <c r="I2750">
        <v>238.85249999999999</v>
      </c>
      <c r="J2750">
        <v>-491.53890000000001</v>
      </c>
      <c r="K2750">
        <v>1.1130340000000001</v>
      </c>
      <c r="L2750">
        <v>261.65929999999997</v>
      </c>
      <c r="M2750">
        <v>-0.12851679999999999</v>
      </c>
      <c r="N2750">
        <v>0</v>
      </c>
      <c r="O2750">
        <v>-0.99161259999999996</v>
      </c>
      <c r="P2750">
        <v>-5.8484130000000002E-2</v>
      </c>
      <c r="Q2750">
        <v>0.13763120000000001</v>
      </c>
      <c r="R2750">
        <v>-0.98875550000000001</v>
      </c>
      <c r="S2750">
        <v>0.12442019999999999</v>
      </c>
      <c r="T2750">
        <v>-0.1485561</v>
      </c>
      <c r="U2750">
        <v>-3.062897</v>
      </c>
      <c r="V2750">
        <v>-7.0166220000000001E-2</v>
      </c>
      <c r="W2750">
        <v>0.1506662</v>
      </c>
      <c r="X2750">
        <v>0.98609150000000001</v>
      </c>
      <c r="Y2750">
        <v>-0.16862739999999901</v>
      </c>
      <c r="Z2750">
        <v>4.7475410000000003E-2</v>
      </c>
      <c r="AA2750">
        <v>0.98453590000000002</v>
      </c>
      <c r="AB2750">
        <v>27</v>
      </c>
      <c r="AC2750">
        <v>0.94890000000003705</v>
      </c>
      <c r="AD2750">
        <v>-1.1130381309440001</v>
      </c>
      <c r="AE2750">
        <v>-22.8067999999999</v>
      </c>
      <c r="AF2750">
        <v>-3.8631768244081699</v>
      </c>
      <c r="AG2750">
        <v>-1.1130381309440001</v>
      </c>
      <c r="AH2750">
        <v>22.4423150122221</v>
      </c>
      <c r="AI2750">
        <v>92.798199227592306</v>
      </c>
      <c r="AJ2750">
        <v>99.767064688481</v>
      </c>
      <c r="AK2750">
        <v>22.7995721925959</v>
      </c>
      <c r="AL2750">
        <v>81.334464426204207</v>
      </c>
      <c r="AM2750">
        <v>94.070072389253397</v>
      </c>
      <c r="AN2750">
        <v>1.0000000243118801</v>
      </c>
    </row>
    <row r="2751" spans="1:40" x14ac:dyDescent="0.25">
      <c r="A2751" t="str">
        <f>"20190312172943797"</f>
        <v>20190312172943797</v>
      </c>
      <c r="B2751" t="str">
        <f>"1552382983790308"</f>
        <v>1552382983790308</v>
      </c>
      <c r="C2751" t="s">
        <v>40</v>
      </c>
      <c r="D2751">
        <v>3.2943180000000001</v>
      </c>
      <c r="E2751">
        <v>0.45498680000000002</v>
      </c>
      <c r="F2751" t="s">
        <v>41</v>
      </c>
      <c r="G2751">
        <v>-490.35840000000002</v>
      </c>
      <c r="H2751" s="1">
        <v>-3.993334E-6</v>
      </c>
      <c r="I2751">
        <v>238.6754</v>
      </c>
      <c r="J2751">
        <v>-491.56529999999998</v>
      </c>
      <c r="K2751">
        <v>1.1128559999999901</v>
      </c>
      <c r="L2751">
        <v>261.42619999999999</v>
      </c>
      <c r="M2751">
        <v>-0.1253367</v>
      </c>
      <c r="N2751">
        <v>0</v>
      </c>
      <c r="O2751">
        <v>-0.99201989999999995</v>
      </c>
      <c r="P2751">
        <v>-5.5690030000000001E-2</v>
      </c>
      <c r="Q2751">
        <v>0.13685339999999999</v>
      </c>
      <c r="R2751">
        <v>-0.98902469999999998</v>
      </c>
      <c r="S2751">
        <v>0.1573792</v>
      </c>
      <c r="T2751">
        <v>-0.14838419999999999</v>
      </c>
      <c r="U2751">
        <v>-3.0640869999999998</v>
      </c>
      <c r="V2751">
        <v>-6.9733400000000001E-2</v>
      </c>
      <c r="W2751">
        <v>0.14989959999999999</v>
      </c>
      <c r="X2751">
        <v>0.98623899999999998</v>
      </c>
      <c r="Y2751">
        <v>-0.17601449999999999</v>
      </c>
      <c r="Z2751">
        <v>4.7388720000000002E-2</v>
      </c>
      <c r="AA2751">
        <v>0.98324630000000002</v>
      </c>
      <c r="AB2751">
        <v>27</v>
      </c>
      <c r="AC2751">
        <v>1.2068999999999599</v>
      </c>
      <c r="AD2751">
        <v>-1.11285999333399</v>
      </c>
      <c r="AE2751">
        <v>-22.750800000000002</v>
      </c>
      <c r="AF2751">
        <v>-4.0395198668605001</v>
      </c>
      <c r="AG2751">
        <v>-1.11285999333399</v>
      </c>
      <c r="AH2751">
        <v>22.3667098488066</v>
      </c>
      <c r="AI2751">
        <v>92.803138450435398</v>
      </c>
      <c r="AJ2751">
        <v>100.237497225411</v>
      </c>
      <c r="AK2751">
        <v>22.755788001742001</v>
      </c>
      <c r="AL2751">
        <v>81.378891731209606</v>
      </c>
      <c r="AM2751">
        <v>94.044446803134505</v>
      </c>
      <c r="AN2751">
        <v>1.0000000011383501</v>
      </c>
    </row>
    <row r="2752" spans="1:40" x14ac:dyDescent="0.25">
      <c r="A2752" t="str">
        <f>"20190312172943808"</f>
        <v>20190312172943808</v>
      </c>
      <c r="B2752" t="str">
        <f>"1552382983800068"</f>
        <v>1552382983800068</v>
      </c>
      <c r="C2752" t="s">
        <v>40</v>
      </c>
      <c r="D2752">
        <v>3.303353</v>
      </c>
      <c r="E2752">
        <v>0.45400109999999999</v>
      </c>
      <c r="F2752" t="s">
        <v>41</v>
      </c>
      <c r="G2752">
        <v>-490.13290000000001</v>
      </c>
      <c r="H2752" s="1">
        <v>-4.0358810000000003E-6</v>
      </c>
      <c r="I2752">
        <v>238.9144</v>
      </c>
      <c r="J2752">
        <v>-491.58170000000001</v>
      </c>
      <c r="K2752">
        <v>1.1127530000000001</v>
      </c>
      <c r="L2752">
        <v>261.27940000000001</v>
      </c>
      <c r="M2752">
        <v>-0.1234198</v>
      </c>
      <c r="N2752">
        <v>0</v>
      </c>
      <c r="O2752">
        <v>-0.99226040000000004</v>
      </c>
      <c r="P2752">
        <v>-5.4066370000000002E-2</v>
      </c>
      <c r="Q2752">
        <v>0.13660910000000001</v>
      </c>
      <c r="R2752">
        <v>-0.98914840000000004</v>
      </c>
      <c r="S2752">
        <v>0.19503780000000001</v>
      </c>
      <c r="T2752">
        <v>-0.15152879999999999</v>
      </c>
      <c r="U2752">
        <v>-3.0652469999999998</v>
      </c>
      <c r="V2752">
        <v>-6.9410959999999994E-2</v>
      </c>
      <c r="W2752">
        <v>0.14966109999999999</v>
      </c>
      <c r="X2752">
        <v>0.98629800000000001</v>
      </c>
      <c r="Y2752">
        <v>-0.18612090000000001</v>
      </c>
      <c r="Z2752">
        <v>4.8327099999999998E-2</v>
      </c>
      <c r="AA2752">
        <v>0.98133760000000003</v>
      </c>
      <c r="AB2752">
        <v>27</v>
      </c>
      <c r="AC2752">
        <v>1.4488000000000001</v>
      </c>
      <c r="AD2752">
        <v>-1.1127570358809999</v>
      </c>
      <c r="AE2752">
        <v>-22.364999999999998</v>
      </c>
      <c r="AF2752">
        <v>-4.1879390202000204</v>
      </c>
      <c r="AG2752">
        <v>-1.1127570358809999</v>
      </c>
      <c r="AH2752">
        <v>21.961012818817402</v>
      </c>
      <c r="AI2752">
        <v>92.849415517241496</v>
      </c>
      <c r="AJ2752">
        <v>100.79660597606799</v>
      </c>
      <c r="AK2752">
        <v>22.384439807287599</v>
      </c>
      <c r="AL2752">
        <v>81.392712982840806</v>
      </c>
      <c r="AM2752">
        <v>94.025567303048405</v>
      </c>
      <c r="AN2752">
        <v>1.0000000355126599</v>
      </c>
    </row>
    <row r="2753" spans="1:40" x14ac:dyDescent="0.25">
      <c r="A2753" t="str">
        <f>"20190312172943819"</f>
        <v>20190312172943819</v>
      </c>
      <c r="B2753" t="str">
        <f>"1552382983809828"</f>
        <v>1552382983809828</v>
      </c>
      <c r="C2753" t="s">
        <v>40</v>
      </c>
      <c r="D2753">
        <v>3.3167420000000001</v>
      </c>
      <c r="E2753">
        <v>0.45334400000000002</v>
      </c>
      <c r="F2753" t="s">
        <v>41</v>
      </c>
      <c r="G2753">
        <v>-490.0718</v>
      </c>
      <c r="H2753" s="1">
        <v>-4.0819109999999999E-6</v>
      </c>
      <c r="I2753">
        <v>239.05959999999999</v>
      </c>
      <c r="J2753">
        <v>-491.59679999999997</v>
      </c>
      <c r="K2753">
        <v>1.112662</v>
      </c>
      <c r="L2753">
        <v>261.14269999999999</v>
      </c>
      <c r="M2753">
        <v>-0.1216884</v>
      </c>
      <c r="N2753">
        <v>0</v>
      </c>
      <c r="O2753">
        <v>-0.99247439999999998</v>
      </c>
      <c r="P2753">
        <v>-5.2641479999999997E-2</v>
      </c>
      <c r="Q2753">
        <v>0.1359996</v>
      </c>
      <c r="R2753">
        <v>-0.98930940000000001</v>
      </c>
      <c r="S2753">
        <v>0.208313</v>
      </c>
      <c r="T2753">
        <v>-0.15351699999999999</v>
      </c>
      <c r="U2753">
        <v>-3.0654599999999999</v>
      </c>
      <c r="V2753">
        <v>-6.9083409999999998E-2</v>
      </c>
      <c r="W2753">
        <v>0.1490571</v>
      </c>
      <c r="X2753">
        <v>0.98641239999999997</v>
      </c>
      <c r="Y2753">
        <v>-0.18863099999999999</v>
      </c>
      <c r="Z2753">
        <v>4.8953320000000002E-2</v>
      </c>
      <c r="AA2753">
        <v>0.98082720000000001</v>
      </c>
      <c r="AB2753">
        <v>27</v>
      </c>
      <c r="AC2753">
        <v>1.5249999999999699</v>
      </c>
      <c r="AD2753">
        <v>-1.1126660819109999</v>
      </c>
      <c r="AE2753">
        <v>-22.083100000000002</v>
      </c>
      <c r="AF2753">
        <v>-4.1905842415003702</v>
      </c>
      <c r="AG2753">
        <v>-1.1126660819109999</v>
      </c>
      <c r="AH2753">
        <v>21.678589329772301</v>
      </c>
      <c r="AI2753">
        <v>92.884848786714699</v>
      </c>
      <c r="AJ2753">
        <v>100.94063205657299</v>
      </c>
      <c r="AK2753">
        <v>22.107922955896701</v>
      </c>
      <c r="AL2753">
        <v>81.427711737002198</v>
      </c>
      <c r="AM2753">
        <v>94.006169525155002</v>
      </c>
      <c r="AN2753">
        <v>0.99999997973569799</v>
      </c>
    </row>
    <row r="2754" spans="1:40" x14ac:dyDescent="0.25">
      <c r="A2754" t="str">
        <f>"20190312172943832"</f>
        <v>20190312172943832</v>
      </c>
      <c r="B2754" t="str">
        <f>"1552382983820565"</f>
        <v>1552382983820565</v>
      </c>
      <c r="C2754" t="s">
        <v>40</v>
      </c>
      <c r="D2754">
        <v>3.3181400000000001</v>
      </c>
      <c r="E2754">
        <v>0.452988</v>
      </c>
      <c r="F2754" t="s">
        <v>41</v>
      </c>
      <c r="G2754">
        <v>-490.03829999999999</v>
      </c>
      <c r="H2754" s="1">
        <v>-4.1445580000000002E-6</v>
      </c>
      <c r="I2754">
        <v>239.22640000000001</v>
      </c>
      <c r="J2754">
        <v>-491.61180000000002</v>
      </c>
      <c r="K2754">
        <v>1.1125769999999999</v>
      </c>
      <c r="L2754">
        <v>261.00510000000003</v>
      </c>
      <c r="M2754">
        <v>-0.1200116</v>
      </c>
      <c r="N2754">
        <v>0</v>
      </c>
      <c r="O2754">
        <v>-0.99267879999999997</v>
      </c>
      <c r="P2754">
        <v>-5.1564310000000002E-2</v>
      </c>
      <c r="Q2754">
        <v>0.13569679999999901</v>
      </c>
      <c r="R2754">
        <v>-0.98940779999999995</v>
      </c>
      <c r="S2754">
        <v>0.21798709999999999</v>
      </c>
      <c r="T2754">
        <v>-0.15562879999999901</v>
      </c>
      <c r="U2754">
        <v>-3.0654300000000001</v>
      </c>
      <c r="V2754">
        <v>-6.8462789999999996E-2</v>
      </c>
      <c r="W2754">
        <v>0.14876149999999999</v>
      </c>
      <c r="X2754">
        <v>0.9865003</v>
      </c>
      <c r="Y2754">
        <v>-0.19005050000000001</v>
      </c>
      <c r="Z2754">
        <v>4.962867E-2</v>
      </c>
      <c r="AA2754">
        <v>0.98051909999999998</v>
      </c>
      <c r="AB2754">
        <v>27</v>
      </c>
      <c r="AC2754">
        <v>1.5735000000000201</v>
      </c>
      <c r="AD2754">
        <v>-1.1125811445580001</v>
      </c>
      <c r="AE2754">
        <v>-21.778700000000001</v>
      </c>
      <c r="AF2754">
        <v>-4.1652513189782496</v>
      </c>
      <c r="AG2754">
        <v>-1.1125811445580001</v>
      </c>
      <c r="AH2754">
        <v>21.3769102430307</v>
      </c>
      <c r="AI2754">
        <v>92.924425121754297</v>
      </c>
      <c r="AJ2754">
        <v>101.02582686813901</v>
      </c>
      <c r="AK2754">
        <v>21.8073255327669</v>
      </c>
      <c r="AL2754">
        <v>81.444839413649802</v>
      </c>
      <c r="AM2754">
        <v>93.969942553538502</v>
      </c>
      <c r="AN2754">
        <v>0.99999998969846104</v>
      </c>
    </row>
    <row r="2755" spans="1:40" x14ac:dyDescent="0.25">
      <c r="A2755" t="str">
        <f>"20190312172943845"</f>
        <v>20190312172943845</v>
      </c>
      <c r="B2755" t="str">
        <f>"1552382983840084"</f>
        <v>1552382983840084</v>
      </c>
      <c r="C2755" t="s">
        <v>40</v>
      </c>
      <c r="D2755">
        <v>3.3143959999999999</v>
      </c>
      <c r="E2755">
        <v>0.45263140000000002</v>
      </c>
      <c r="F2755" t="s">
        <v>41</v>
      </c>
      <c r="G2755">
        <v>-490.03199999999998</v>
      </c>
      <c r="H2755" s="1">
        <v>-4.2048330000000002E-6</v>
      </c>
      <c r="I2755">
        <v>239.37090000000001</v>
      </c>
      <c r="J2755">
        <v>-491.62900000000002</v>
      </c>
      <c r="K2755">
        <v>1.112484</v>
      </c>
      <c r="L2755">
        <v>260.84460000000001</v>
      </c>
      <c r="M2755">
        <v>-0.1180961</v>
      </c>
      <c r="N2755">
        <v>0</v>
      </c>
      <c r="O2755">
        <v>-0.99290869999999998</v>
      </c>
      <c r="P2755">
        <v>-4.991814E-2</v>
      </c>
      <c r="Q2755">
        <v>0.1352621</v>
      </c>
      <c r="R2755">
        <v>-0.98955199999999999</v>
      </c>
      <c r="S2755">
        <v>0.2238464</v>
      </c>
      <c r="T2755">
        <v>-0.15764420000000001</v>
      </c>
      <c r="U2755">
        <v>-3.0653990000000002</v>
      </c>
      <c r="V2755">
        <v>-6.8170880000000003E-2</v>
      </c>
      <c r="W2755">
        <v>0.14833089999999999</v>
      </c>
      <c r="X2755">
        <v>0.98658539999999995</v>
      </c>
      <c r="Y2755">
        <v>-0.1900191</v>
      </c>
      <c r="Z2755">
        <v>5.0284549999999997E-2</v>
      </c>
      <c r="AA2755">
        <v>0.98049180000000002</v>
      </c>
      <c r="AB2755">
        <v>27</v>
      </c>
      <c r="AC2755">
        <v>1.59700000000003</v>
      </c>
      <c r="AD2755">
        <v>-1.112488204833</v>
      </c>
      <c r="AE2755">
        <v>-21.473700000000001</v>
      </c>
      <c r="AF2755">
        <v>-4.1110447941383903</v>
      </c>
      <c r="AG2755">
        <v>-1.112488204833</v>
      </c>
      <c r="AH2755">
        <v>21.078522877172901</v>
      </c>
      <c r="AI2755">
        <v>92.9653988128035</v>
      </c>
      <c r="AJ2755">
        <v>101.036128011668</v>
      </c>
      <c r="AK2755">
        <v>21.504475022394899</v>
      </c>
      <c r="AL2755">
        <v>81.469788183303393</v>
      </c>
      <c r="AM2755">
        <v>93.952729488505099</v>
      </c>
      <c r="AN2755">
        <v>1.00000003813397</v>
      </c>
    </row>
    <row r="2756" spans="1:40" x14ac:dyDescent="0.25">
      <c r="A2756" t="str">
        <f>"20190312172943864"</f>
        <v>20190312172943864</v>
      </c>
      <c r="B2756" t="str">
        <f>"1552382983860580"</f>
        <v>1552382983860580</v>
      </c>
      <c r="C2756" t="s">
        <v>40</v>
      </c>
      <c r="D2756">
        <v>3.3198050000000001</v>
      </c>
      <c r="E2756">
        <v>0.45245869999999999</v>
      </c>
      <c r="F2756" t="s">
        <v>41</v>
      </c>
      <c r="G2756">
        <v>-490.01650000000001</v>
      </c>
      <c r="H2756" s="1">
        <v>-4.2692319999999998E-6</v>
      </c>
      <c r="I2756">
        <v>239.53059999999999</v>
      </c>
      <c r="J2756">
        <v>-491.65199999999999</v>
      </c>
      <c r="K2756">
        <v>1.112368</v>
      </c>
      <c r="L2756">
        <v>260.62709999999998</v>
      </c>
      <c r="M2756">
        <v>-0.1156047</v>
      </c>
      <c r="N2756">
        <v>0</v>
      </c>
      <c r="O2756">
        <v>-0.99320189999999997</v>
      </c>
      <c r="P2756">
        <v>-4.9329499999999998E-2</v>
      </c>
      <c r="Q2756">
        <v>0.1344697</v>
      </c>
      <c r="R2756">
        <v>-0.98968909999999999</v>
      </c>
      <c r="S2756">
        <v>0.2319031</v>
      </c>
      <c r="T2756">
        <v>-0.15999089999999999</v>
      </c>
      <c r="U2756">
        <v>-3.0652469999999998</v>
      </c>
      <c r="V2756">
        <v>-6.6246449999999998E-2</v>
      </c>
      <c r="W2756">
        <v>0.1475533</v>
      </c>
      <c r="X2756">
        <v>0.98683299999999996</v>
      </c>
      <c r="Y2756">
        <v>-0.1901196</v>
      </c>
      <c r="Z2756">
        <v>5.1051079999999999E-2</v>
      </c>
      <c r="AA2756">
        <v>0.98043270000000005</v>
      </c>
      <c r="AB2756">
        <v>27</v>
      </c>
      <c r="AC2756">
        <v>1.63549999999997</v>
      </c>
      <c r="AD2756">
        <v>-1.1123722692319999</v>
      </c>
      <c r="AE2756">
        <v>-21.096499999999899</v>
      </c>
      <c r="AF2756">
        <v>-4.0524139561781203</v>
      </c>
      <c r="AG2756">
        <v>-1.1123722692319999</v>
      </c>
      <c r="AH2756">
        <v>20.708708088050901</v>
      </c>
      <c r="AI2756">
        <v>93.017574294473107</v>
      </c>
      <c r="AJ2756">
        <v>101.07209506528299</v>
      </c>
      <c r="AK2756">
        <v>21.130783743479299</v>
      </c>
      <c r="AL2756">
        <v>81.514836508759103</v>
      </c>
      <c r="AM2756">
        <v>93.840523870344995</v>
      </c>
      <c r="AN2756">
        <v>0.99999996918374501</v>
      </c>
    </row>
    <row r="2757" spans="1:40" x14ac:dyDescent="0.25">
      <c r="A2757" t="str">
        <f>"20190312172943884"</f>
        <v>20190312172943884</v>
      </c>
      <c r="B2757" t="str">
        <f>"1552382983880100"</f>
        <v>1552382983880100</v>
      </c>
      <c r="C2757" t="s">
        <v>40</v>
      </c>
      <c r="D2757">
        <v>3.3036249999999998</v>
      </c>
      <c r="E2757">
        <v>0.45257059999999999</v>
      </c>
      <c r="F2757" t="s">
        <v>41</v>
      </c>
      <c r="G2757">
        <v>-490.04520000000002</v>
      </c>
      <c r="H2757" s="1">
        <v>-6.2606680000000003E-8</v>
      </c>
      <c r="I2757">
        <v>239.70699999999999</v>
      </c>
      <c r="J2757">
        <v>-491.67770000000002</v>
      </c>
      <c r="K2757">
        <v>1.1122559999999999</v>
      </c>
      <c r="L2757">
        <v>260.37860000000001</v>
      </c>
      <c r="M2757">
        <v>-0.112870899999999</v>
      </c>
      <c r="N2757">
        <v>0</v>
      </c>
      <c r="O2757">
        <v>-0.99351670000000003</v>
      </c>
      <c r="P2757">
        <v>-4.9030780000000003E-2</v>
      </c>
      <c r="Q2757">
        <v>0.133909</v>
      </c>
      <c r="R2757">
        <v>-0.98978010000000005</v>
      </c>
      <c r="S2757">
        <v>0.2354126</v>
      </c>
      <c r="T2757">
        <v>-0.16297909999999999</v>
      </c>
      <c r="U2757">
        <v>-3.0651250000000001</v>
      </c>
      <c r="V2757">
        <v>-6.3790459999999993E-2</v>
      </c>
      <c r="W2757">
        <v>0.147008</v>
      </c>
      <c r="X2757">
        <v>0.98707619999999896</v>
      </c>
      <c r="Y2757">
        <v>-0.1885327</v>
      </c>
      <c r="Z2757">
        <v>5.2034869999999997E-2</v>
      </c>
      <c r="AA2757">
        <v>0.98068739999999999</v>
      </c>
      <c r="AB2757">
        <v>27</v>
      </c>
      <c r="AC2757">
        <v>1.6324999999999901</v>
      </c>
      <c r="AD2757">
        <v>-1.11225606260668</v>
      </c>
      <c r="AE2757">
        <v>-20.671600000000002</v>
      </c>
      <c r="AF2757">
        <v>-3.9441555764819398</v>
      </c>
      <c r="AG2757">
        <v>-1.11225606260668</v>
      </c>
      <c r="AH2757">
        <v>20.296801465661002</v>
      </c>
      <c r="AI2757">
        <v>93.079162310770499</v>
      </c>
      <c r="AJ2757">
        <v>100.996890959186</v>
      </c>
      <c r="AK2757">
        <v>20.706366810639601</v>
      </c>
      <c r="AL2757">
        <v>81.546424632618397</v>
      </c>
      <c r="AM2757">
        <v>93.697636117810106</v>
      </c>
      <c r="AN2757">
        <v>0.999999999728725</v>
      </c>
    </row>
    <row r="2758" spans="1:40" x14ac:dyDescent="0.25">
      <c r="A2758" t="str">
        <f>"20190312172943896"</f>
        <v>20190312172943896</v>
      </c>
      <c r="B2758" t="str">
        <f>"1552382983889860"</f>
        <v>1552382983889860</v>
      </c>
      <c r="C2758" t="s">
        <v>40</v>
      </c>
      <c r="D2758">
        <v>3.3557060000000001</v>
      </c>
      <c r="E2758">
        <v>0.45265569999999999</v>
      </c>
      <c r="F2758" t="s">
        <v>41</v>
      </c>
      <c r="G2758">
        <v>-490.08350000000002</v>
      </c>
      <c r="H2758" s="1">
        <v>-7.7836360000000005E-8</v>
      </c>
      <c r="I2758">
        <v>239.71879999999999</v>
      </c>
      <c r="J2758">
        <v>-491.69209999999998</v>
      </c>
      <c r="K2758">
        <v>1.1122050000000001</v>
      </c>
      <c r="L2758">
        <v>260.23700000000002</v>
      </c>
      <c r="M2758">
        <v>-0.11135829999999999</v>
      </c>
      <c r="N2758">
        <v>0</v>
      </c>
      <c r="O2758">
        <v>-0.9936876</v>
      </c>
      <c r="P2758">
        <v>-4.8910139999999998E-2</v>
      </c>
      <c r="Q2758">
        <v>0.1337151</v>
      </c>
      <c r="R2758">
        <v>-0.98981220000000003</v>
      </c>
      <c r="S2758">
        <v>0.2365112</v>
      </c>
      <c r="T2758">
        <v>-0.1650095</v>
      </c>
      <c r="U2758">
        <v>-3.0650019999999998</v>
      </c>
      <c r="V2758">
        <v>-6.2389069999999998E-2</v>
      </c>
      <c r="W2758">
        <v>0.14682129999999999</v>
      </c>
      <c r="X2758">
        <v>0.9871936</v>
      </c>
      <c r="Y2758">
        <v>-0.1873872</v>
      </c>
      <c r="Z2758">
        <v>5.2702289999999999E-2</v>
      </c>
      <c r="AA2758">
        <v>0.9808713</v>
      </c>
      <c r="AB2758">
        <v>27</v>
      </c>
      <c r="AC2758">
        <v>1.6085999999999601</v>
      </c>
      <c r="AD2758">
        <v>-1.1122050778363599</v>
      </c>
      <c r="AE2758">
        <v>-20.5182</v>
      </c>
      <c r="AF2758">
        <v>-3.8723670665544301</v>
      </c>
      <c r="AG2758">
        <v>-1.1122050778363599</v>
      </c>
      <c r="AH2758">
        <v>20.152560469743499</v>
      </c>
      <c r="AI2758">
        <v>93.1022686629303</v>
      </c>
      <c r="AJ2758">
        <v>100.876958064378</v>
      </c>
      <c r="AK2758">
        <v>20.551348382039802</v>
      </c>
      <c r="AL2758">
        <v>81.557239502911202</v>
      </c>
      <c r="AM2758">
        <v>93.616193114834601</v>
      </c>
      <c r="AN2758">
        <v>1.0000000470350501</v>
      </c>
    </row>
    <row r="2759" spans="1:40" x14ac:dyDescent="0.25">
      <c r="A2759" t="str">
        <f>"20190312172943907"</f>
        <v>20190312172943907</v>
      </c>
      <c r="B2759" t="str">
        <f>"1552382983900596"</f>
        <v>1552382983900596</v>
      </c>
      <c r="C2759" t="s">
        <v>40</v>
      </c>
      <c r="D2759">
        <v>3.3507129999999998</v>
      </c>
      <c r="E2759">
        <v>0.45277230000000002</v>
      </c>
      <c r="F2759" t="s">
        <v>41</v>
      </c>
      <c r="G2759">
        <v>-490.1112</v>
      </c>
      <c r="H2759" s="1">
        <v>-8.3832459999999994E-8</v>
      </c>
      <c r="I2759">
        <v>239.71559999999999</v>
      </c>
      <c r="J2759">
        <v>-491.70479999999998</v>
      </c>
      <c r="K2759">
        <v>1.1121669999999999</v>
      </c>
      <c r="L2759">
        <v>260.11079999999998</v>
      </c>
      <c r="M2759">
        <v>-0.1100231</v>
      </c>
      <c r="N2759">
        <v>0</v>
      </c>
      <c r="O2759">
        <v>-0.99383639999999995</v>
      </c>
      <c r="P2759">
        <v>-4.898711E-2</v>
      </c>
      <c r="Q2759">
        <v>0.13335320000000001</v>
      </c>
      <c r="R2759">
        <v>-0.9898574</v>
      </c>
      <c r="S2759">
        <v>0.2361145</v>
      </c>
      <c r="T2759">
        <v>-0.16611119999999999</v>
      </c>
      <c r="U2759">
        <v>-3.0649410000000001</v>
      </c>
      <c r="V2759">
        <v>-6.0972039999999998E-2</v>
      </c>
      <c r="W2759">
        <v>0.1464666</v>
      </c>
      <c r="X2759">
        <v>0.98733479999999996</v>
      </c>
      <c r="Y2759">
        <v>-0.185941</v>
      </c>
      <c r="Z2759">
        <v>5.3073960000000003E-2</v>
      </c>
      <c r="AA2759">
        <v>0.98112639999999995</v>
      </c>
      <c r="AB2759">
        <v>27</v>
      </c>
      <c r="AC2759">
        <v>1.5935999999999799</v>
      </c>
      <c r="AD2759">
        <v>-1.11216708383246</v>
      </c>
      <c r="AE2759">
        <v>-20.3951999999999</v>
      </c>
      <c r="AF2759">
        <v>-3.8167924754034299</v>
      </c>
      <c r="AG2759">
        <v>-1.11216708383246</v>
      </c>
      <c r="AH2759">
        <v>20.036789469706299</v>
      </c>
      <c r="AI2759">
        <v>93.121007753368303</v>
      </c>
      <c r="AJ2759">
        <v>100.78501848088101</v>
      </c>
      <c r="AK2759">
        <v>20.4273775281114</v>
      </c>
      <c r="AL2759">
        <v>81.577784282541202</v>
      </c>
      <c r="AM2759">
        <v>93.533765708137906</v>
      </c>
      <c r="AN2759">
        <v>1.0000000309341801</v>
      </c>
    </row>
    <row r="2760" spans="1:40" x14ac:dyDescent="0.25">
      <c r="A2760" t="str">
        <f>"20190312172943919"</f>
        <v>20190312172943919</v>
      </c>
      <c r="B2760" t="str">
        <f>"1552382983910357"</f>
        <v>1552382983910357</v>
      </c>
      <c r="C2760" t="s">
        <v>40</v>
      </c>
      <c r="D2760">
        <v>3.3493909999999998</v>
      </c>
      <c r="E2760">
        <v>0.4528316</v>
      </c>
      <c r="F2760" t="s">
        <v>41</v>
      </c>
      <c r="G2760">
        <v>-490.14819999999997</v>
      </c>
      <c r="H2760" s="1">
        <v>-1.2341809999999999E-7</v>
      </c>
      <c r="I2760">
        <v>239.78489999999999</v>
      </c>
      <c r="J2760">
        <v>-491.71879999999999</v>
      </c>
      <c r="K2760">
        <v>1.112125</v>
      </c>
      <c r="L2760">
        <v>259.96879999999999</v>
      </c>
      <c r="M2760">
        <v>-0.10854510000000001</v>
      </c>
      <c r="N2760">
        <v>0</v>
      </c>
      <c r="O2760">
        <v>-0.99399879999999996</v>
      </c>
      <c r="P2760">
        <v>-4.8944069999999999E-2</v>
      </c>
      <c r="Q2760">
        <v>0.133046</v>
      </c>
      <c r="R2760">
        <v>-0.98990049999999996</v>
      </c>
      <c r="S2760">
        <v>0.23471069999999999</v>
      </c>
      <c r="T2760">
        <v>-0.1677032</v>
      </c>
      <c r="U2760">
        <v>-3.0649410000000001</v>
      </c>
      <c r="V2760">
        <v>-5.9532599999999998E-2</v>
      </c>
      <c r="W2760">
        <v>0.14616560000000001</v>
      </c>
      <c r="X2760">
        <v>0.98746719999999999</v>
      </c>
      <c r="Y2760">
        <v>-0.18403069999999999</v>
      </c>
      <c r="Z2760">
        <v>5.3605159999999999E-2</v>
      </c>
      <c r="AA2760">
        <v>0.98145769999999999</v>
      </c>
      <c r="AB2760">
        <v>27</v>
      </c>
      <c r="AC2760">
        <v>1.57060000000001</v>
      </c>
      <c r="AD2760">
        <v>-1.1121251234181</v>
      </c>
      <c r="AE2760">
        <v>-20.183899999999898</v>
      </c>
      <c r="AF2760">
        <v>-3.7410943628464399</v>
      </c>
      <c r="AG2760">
        <v>-1.1121251234181</v>
      </c>
      <c r="AH2760">
        <v>19.8342714545518</v>
      </c>
      <c r="AI2760">
        <v>93.153769807003698</v>
      </c>
      <c r="AJ2760">
        <v>100.68150645960399</v>
      </c>
      <c r="AK2760">
        <v>20.214621773723799</v>
      </c>
      <c r="AL2760">
        <v>81.5952176057028</v>
      </c>
      <c r="AM2760">
        <v>93.450082330909694</v>
      </c>
      <c r="AN2760">
        <v>0.99999999208098</v>
      </c>
    </row>
    <row r="2761" spans="1:40" x14ac:dyDescent="0.25">
      <c r="A2761" t="str">
        <f>"20190312172943930"</f>
        <v>20190312172943930</v>
      </c>
      <c r="B2761" t="str">
        <f>"1552382983920116"</f>
        <v>1552382983920116</v>
      </c>
      <c r="C2761" t="s">
        <v>40</v>
      </c>
      <c r="D2761">
        <v>3.3293699999999902</v>
      </c>
      <c r="E2761">
        <v>0.45291019999999999</v>
      </c>
      <c r="F2761" t="s">
        <v>41</v>
      </c>
      <c r="G2761">
        <v>-490.17619999999999</v>
      </c>
      <c r="H2761" s="1">
        <v>-1.3590139999999999E-7</v>
      </c>
      <c r="I2761">
        <v>239.79660000000001</v>
      </c>
      <c r="J2761">
        <v>-491.7321</v>
      </c>
      <c r="K2761">
        <v>1.11209</v>
      </c>
      <c r="L2761">
        <v>259.83339999999998</v>
      </c>
      <c r="M2761">
        <v>-0.1071589</v>
      </c>
      <c r="N2761">
        <v>0</v>
      </c>
      <c r="O2761">
        <v>-0.99414970000000003</v>
      </c>
      <c r="P2761">
        <v>-4.9328329999999997E-2</v>
      </c>
      <c r="Q2761">
        <v>0.1327807</v>
      </c>
      <c r="R2761">
        <v>-0.98991759999999995</v>
      </c>
      <c r="S2761">
        <v>0.234375</v>
      </c>
      <c r="T2761">
        <v>-0.16897200000000001</v>
      </c>
      <c r="U2761">
        <v>-3.06488</v>
      </c>
      <c r="V2761">
        <v>-5.7759110000000002E-2</v>
      </c>
      <c r="W2761">
        <v>0.14590810000000001</v>
      </c>
      <c r="X2761">
        <v>0.98761060000000001</v>
      </c>
      <c r="Y2761">
        <v>-0.18255279999999999</v>
      </c>
      <c r="Z2761">
        <v>5.4030809999999999E-2</v>
      </c>
      <c r="AA2761">
        <v>0.98171030000000004</v>
      </c>
      <c r="AB2761">
        <v>27</v>
      </c>
      <c r="AC2761">
        <v>1.5559000000000001</v>
      </c>
      <c r="AD2761">
        <v>-1.1120901359013999</v>
      </c>
      <c r="AE2761">
        <v>-20.0367999999999</v>
      </c>
      <c r="AF2761">
        <v>-3.6829801693628599</v>
      </c>
      <c r="AG2761">
        <v>-1.1120901359013999</v>
      </c>
      <c r="AH2761">
        <v>19.694356092484</v>
      </c>
      <c r="AI2761">
        <v>93.176956161405002</v>
      </c>
      <c r="AJ2761">
        <v>100.59235893776901</v>
      </c>
      <c r="AK2761">
        <v>20.0666078173629</v>
      </c>
      <c r="AL2761">
        <v>81.610131161357103</v>
      </c>
      <c r="AM2761">
        <v>93.347055930701799</v>
      </c>
      <c r="AN2761">
        <v>0.99999999283298102</v>
      </c>
    </row>
    <row r="2762" spans="1:40" x14ac:dyDescent="0.25">
      <c r="A2762" t="str">
        <f>"20190312172943944"</f>
        <v>20190312172943944</v>
      </c>
      <c r="B2762" t="str">
        <f>"1552382983929877"</f>
        <v>1552382983929877</v>
      </c>
      <c r="C2762" t="s">
        <v>40</v>
      </c>
      <c r="D2762">
        <v>3.3895900000000001</v>
      </c>
      <c r="E2762">
        <v>0.4530729</v>
      </c>
      <c r="F2762" t="s">
        <v>41</v>
      </c>
      <c r="G2762">
        <v>-490.21039999999999</v>
      </c>
      <c r="H2762" s="1">
        <v>-1.278513E-7</v>
      </c>
      <c r="I2762">
        <v>239.75659999999999</v>
      </c>
      <c r="J2762">
        <v>-491.74669999999998</v>
      </c>
      <c r="K2762">
        <v>1.112053</v>
      </c>
      <c r="L2762">
        <v>259.68200000000002</v>
      </c>
      <c r="M2762">
        <v>-0.1056211</v>
      </c>
      <c r="N2762">
        <v>0</v>
      </c>
      <c r="O2762">
        <v>-0.99431409999999998</v>
      </c>
      <c r="P2762">
        <v>-4.9411339999999998E-2</v>
      </c>
      <c r="Q2762">
        <v>0.13278879999999901</v>
      </c>
      <c r="R2762">
        <v>-0.98991200000000001</v>
      </c>
      <c r="S2762">
        <v>0.2322998</v>
      </c>
      <c r="T2762">
        <v>-0.1697726</v>
      </c>
      <c r="U2762">
        <v>-3.0649410000000001</v>
      </c>
      <c r="V2762">
        <v>-5.6132799999999997E-2</v>
      </c>
      <c r="W2762">
        <v>0.1459222</v>
      </c>
      <c r="X2762">
        <v>0.98770230000000003</v>
      </c>
      <c r="Y2762">
        <v>-0.18036820000000001</v>
      </c>
      <c r="Z2762">
        <v>5.4311150000000002E-2</v>
      </c>
      <c r="AA2762">
        <v>0.98209860000000004</v>
      </c>
      <c r="AB2762">
        <v>27</v>
      </c>
      <c r="AC2762">
        <v>1.53629999999998</v>
      </c>
      <c r="AD2762">
        <v>-1.1120531278512999</v>
      </c>
      <c r="AE2762">
        <v>-19.9254</v>
      </c>
      <c r="AF2762">
        <v>-3.6212280694821999</v>
      </c>
      <c r="AG2762">
        <v>-1.1120531278512999</v>
      </c>
      <c r="AH2762">
        <v>19.590982780598001</v>
      </c>
      <c r="AI2762">
        <v>93.194819334240194</v>
      </c>
      <c r="AJ2762">
        <v>100.47244107123799</v>
      </c>
      <c r="AK2762">
        <v>19.9538608093787</v>
      </c>
      <c r="AL2762">
        <v>81.609314666749697</v>
      </c>
      <c r="AM2762">
        <v>93.252717595722501</v>
      </c>
      <c r="AN2762">
        <v>1.0000000065569801</v>
      </c>
    </row>
    <row r="2763" spans="1:40" x14ac:dyDescent="0.25">
      <c r="A2763" t="str">
        <f>"20190312172943956"</f>
        <v>20190312172943956</v>
      </c>
      <c r="B2763" t="str">
        <f>"1552382983950217"</f>
        <v>1552382983950217</v>
      </c>
      <c r="C2763" t="s">
        <v>40</v>
      </c>
      <c r="D2763">
        <v>3.3666909999999999</v>
      </c>
      <c r="E2763">
        <v>0.45322980000000002</v>
      </c>
      <c r="F2763" t="s">
        <v>41</v>
      </c>
      <c r="G2763">
        <v>-490.24220000000003</v>
      </c>
      <c r="H2763" s="1">
        <v>-1.152108E-7</v>
      </c>
      <c r="I2763">
        <v>239.70750000000001</v>
      </c>
      <c r="J2763">
        <v>-491.76100000000002</v>
      </c>
      <c r="K2763">
        <v>1.1120219999999901</v>
      </c>
      <c r="L2763">
        <v>259.5317</v>
      </c>
      <c r="M2763">
        <v>-0.1041277</v>
      </c>
      <c r="N2763">
        <v>0</v>
      </c>
      <c r="O2763">
        <v>-0.99447169999999896</v>
      </c>
      <c r="P2763">
        <v>-4.9601020000000003E-2</v>
      </c>
      <c r="Q2763">
        <v>0.13272729999999999</v>
      </c>
      <c r="R2763">
        <v>-0.98991130000000005</v>
      </c>
      <c r="S2763">
        <v>0.2308655</v>
      </c>
      <c r="T2763">
        <v>-0.17063780000000001</v>
      </c>
      <c r="U2763">
        <v>-3.064972</v>
      </c>
      <c r="V2763">
        <v>-5.4446139999999997E-2</v>
      </c>
      <c r="W2763">
        <v>0.145867</v>
      </c>
      <c r="X2763">
        <v>0.98780480000000004</v>
      </c>
      <c r="Y2763">
        <v>-0.1784318</v>
      </c>
      <c r="Z2763">
        <v>5.4610449999999998E-2</v>
      </c>
      <c r="AA2763">
        <v>0.98243559999999996</v>
      </c>
      <c r="AB2763">
        <v>27</v>
      </c>
      <c r="AC2763">
        <v>1.51879999999994</v>
      </c>
      <c r="AD2763">
        <v>-1.1120221152108001</v>
      </c>
      <c r="AE2763">
        <v>-19.824199999999902</v>
      </c>
      <c r="AF2763">
        <v>-3.5638315561935401</v>
      </c>
      <c r="AG2763">
        <v>-1.1120221152108001</v>
      </c>
      <c r="AH2763">
        <v>19.497259654853899</v>
      </c>
      <c r="AI2763">
        <v>93.211226272843405</v>
      </c>
      <c r="AJ2763">
        <v>100.35853025407</v>
      </c>
      <c r="AK2763">
        <v>19.851463991213201</v>
      </c>
      <c r="AL2763">
        <v>81.612511066759794</v>
      </c>
      <c r="AM2763">
        <v>93.1548547854444</v>
      </c>
      <c r="AN2763">
        <v>0.99999994337646803</v>
      </c>
    </row>
    <row r="2764" spans="1:40" x14ac:dyDescent="0.25">
      <c r="A2764" t="str">
        <f>"20190312172943967"</f>
        <v>20190312172943967</v>
      </c>
      <c r="B2764" t="str">
        <f>"1552382983959978"</f>
        <v>1552382983959978</v>
      </c>
      <c r="C2764" t="s">
        <v>40</v>
      </c>
      <c r="D2764">
        <v>3.3838010000000001</v>
      </c>
      <c r="E2764">
        <v>0.45331870000000002</v>
      </c>
      <c r="F2764" t="s">
        <v>41</v>
      </c>
      <c r="G2764">
        <v>-490.27780000000001</v>
      </c>
      <c r="H2764" s="1">
        <v>-1.049124E-7</v>
      </c>
      <c r="I2764">
        <v>239.66139999999999</v>
      </c>
      <c r="J2764">
        <v>-491.77379999999999</v>
      </c>
      <c r="K2764">
        <v>1.1119950000000001</v>
      </c>
      <c r="L2764">
        <v>259.39530000000002</v>
      </c>
      <c r="M2764">
        <v>-0.10278130000000001</v>
      </c>
      <c r="N2764">
        <v>0</v>
      </c>
      <c r="O2764">
        <v>-0.99461189999999999</v>
      </c>
      <c r="P2764">
        <v>-5.045446E-2</v>
      </c>
      <c r="Q2764">
        <v>0.1324719</v>
      </c>
      <c r="R2764">
        <v>-0.98990180000000005</v>
      </c>
      <c r="S2764">
        <v>0.2287903</v>
      </c>
      <c r="T2764">
        <v>-0.1715332</v>
      </c>
      <c r="U2764">
        <v>-3.0650629999999999</v>
      </c>
      <c r="V2764">
        <v>-5.2244949999999998E-2</v>
      </c>
      <c r="W2764">
        <v>0.14562079999999999</v>
      </c>
      <c r="X2764">
        <v>0.98795999999999995</v>
      </c>
      <c r="Y2764">
        <v>-0.17643449999999999</v>
      </c>
      <c r="Z2764">
        <v>5.4917670000000002E-2</v>
      </c>
      <c r="AA2764">
        <v>0.98277910000000002</v>
      </c>
      <c r="AB2764">
        <v>27</v>
      </c>
      <c r="AC2764">
        <v>1.49599999999998</v>
      </c>
      <c r="AD2764">
        <v>-1.1119951049123999</v>
      </c>
      <c r="AE2764">
        <v>-19.733899999999998</v>
      </c>
      <c r="AF2764">
        <v>-3.5054701877590699</v>
      </c>
      <c r="AG2764">
        <v>-1.1119951049123999</v>
      </c>
      <c r="AH2764">
        <v>19.4143014371483</v>
      </c>
      <c r="AI2764">
        <v>93.226100441643695</v>
      </c>
      <c r="AJ2764">
        <v>100.23511773664001</v>
      </c>
      <c r="AK2764">
        <v>19.759553503130402</v>
      </c>
      <c r="AL2764">
        <v>81.626769649464194</v>
      </c>
      <c r="AM2764">
        <v>93.027075466745103</v>
      </c>
      <c r="AN2764">
        <v>0.99999995689656995</v>
      </c>
    </row>
    <row r="2765" spans="1:40" x14ac:dyDescent="0.25">
      <c r="A2765" t="str">
        <f>"20190312172943987"</f>
        <v>20190312172943987</v>
      </c>
      <c r="B2765" t="str">
        <f>"1552382983980475"</f>
        <v>1552382983980475</v>
      </c>
      <c r="C2765" t="s">
        <v>40</v>
      </c>
      <c r="D2765">
        <v>3.4826579999999998</v>
      </c>
      <c r="E2765">
        <v>0.45336799999999999</v>
      </c>
      <c r="F2765" t="s">
        <v>41</v>
      </c>
      <c r="G2765">
        <v>-490.3229</v>
      </c>
      <c r="H2765" s="1">
        <v>-1.2844389999999999E-7</v>
      </c>
      <c r="I2765">
        <v>239.6883</v>
      </c>
      <c r="J2765">
        <v>-491.79480000000001</v>
      </c>
      <c r="K2765">
        <v>1.1119540000000001</v>
      </c>
      <c r="L2765">
        <v>259.16759999999999</v>
      </c>
      <c r="M2765">
        <v>-0.1005636</v>
      </c>
      <c r="N2765">
        <v>0</v>
      </c>
      <c r="O2765">
        <v>-0.99483860000000002</v>
      </c>
      <c r="P2765">
        <v>-5.2821720000000003E-2</v>
      </c>
      <c r="Q2765">
        <v>0.13202839999999999</v>
      </c>
      <c r="R2765">
        <v>-0.98983770000000004</v>
      </c>
      <c r="S2765">
        <v>0.2256775</v>
      </c>
      <c r="T2765">
        <v>-0.17295859999999999</v>
      </c>
      <c r="U2765">
        <v>-3.0652159999999999</v>
      </c>
      <c r="V2765">
        <v>-4.7659409999999999E-2</v>
      </c>
      <c r="W2765">
        <v>0.1451971</v>
      </c>
      <c r="X2765">
        <v>0.98825419999999997</v>
      </c>
      <c r="Y2765">
        <v>-0.17324100000000001</v>
      </c>
      <c r="Z2765">
        <v>5.5407020000000001E-2</v>
      </c>
      <c r="AA2765">
        <v>0.98331970000000002</v>
      </c>
      <c r="AB2765">
        <v>27</v>
      </c>
      <c r="AC2765">
        <v>1.4719</v>
      </c>
      <c r="AD2765">
        <v>-1.1119541284438901</v>
      </c>
      <c r="AE2765">
        <v>-19.479299999999899</v>
      </c>
      <c r="AF2765">
        <v>-3.41246830790136</v>
      </c>
      <c r="AG2765">
        <v>-1.1119541284438901</v>
      </c>
      <c r="AH2765">
        <v>19.170387605506399</v>
      </c>
      <c r="AI2765">
        <v>93.268385620046004</v>
      </c>
      <c r="AJ2765">
        <v>100.093343421277</v>
      </c>
      <c r="AK2765">
        <v>19.5034648942578</v>
      </c>
      <c r="AL2765">
        <v>81.651306943422298</v>
      </c>
      <c r="AM2765">
        <v>92.760999193388201</v>
      </c>
      <c r="AN2765">
        <v>0.99999999051379895</v>
      </c>
    </row>
    <row r="2766" spans="1:40" x14ac:dyDescent="0.25">
      <c r="A2766" t="str">
        <f>"20190312172943999"</f>
        <v>20190312172943999</v>
      </c>
      <c r="B2766" t="str">
        <f>"1552382983990233"</f>
        <v>1552382983990233</v>
      </c>
      <c r="C2766" t="s">
        <v>40</v>
      </c>
      <c r="D2766">
        <v>3.5300159999999998</v>
      </c>
      <c r="E2766">
        <v>0.46516540000000001</v>
      </c>
      <c r="F2766" t="s">
        <v>41</v>
      </c>
      <c r="G2766">
        <v>-490.40660000000003</v>
      </c>
      <c r="H2766" s="1">
        <v>-1.229328E-7</v>
      </c>
      <c r="I2766">
        <v>239.6234</v>
      </c>
      <c r="J2766">
        <v>-491.80880000000002</v>
      </c>
      <c r="K2766">
        <v>1.111928</v>
      </c>
      <c r="L2766">
        <v>259.01350000000002</v>
      </c>
      <c r="M2766">
        <v>-9.9082820000000002E-2</v>
      </c>
      <c r="N2766">
        <v>0</v>
      </c>
      <c r="O2766">
        <v>-0.99498750000000002</v>
      </c>
      <c r="P2766">
        <v>-5.4050630000000002E-2</v>
      </c>
      <c r="Q2766">
        <v>0.13187090000000001</v>
      </c>
      <c r="R2766">
        <v>-0.98979249999999996</v>
      </c>
      <c r="S2766">
        <v>0.21774289999999999</v>
      </c>
      <c r="T2766">
        <v>-0.17441989999999999</v>
      </c>
      <c r="U2766">
        <v>-3.065674</v>
      </c>
      <c r="V2766">
        <v>-4.494824E-2</v>
      </c>
      <c r="W2766">
        <v>0.14504990000000001</v>
      </c>
      <c r="X2766">
        <v>0.98840280000000003</v>
      </c>
      <c r="Y2766">
        <v>-0.1692293</v>
      </c>
      <c r="Z2766">
        <v>5.5903010000000003E-2</v>
      </c>
      <c r="AA2766">
        <v>0.98399000000000003</v>
      </c>
      <c r="AB2766">
        <v>27</v>
      </c>
      <c r="AC2766">
        <v>1.4021999999999899</v>
      </c>
      <c r="AD2766">
        <v>-1.1119281229328</v>
      </c>
      <c r="AE2766">
        <v>-19.3901</v>
      </c>
      <c r="AF2766">
        <v>-3.30588513822596</v>
      </c>
      <c r="AG2766">
        <v>-1.1119281229328</v>
      </c>
      <c r="AH2766">
        <v>19.093260047926201</v>
      </c>
      <c r="AI2766">
        <v>93.284196228993295</v>
      </c>
      <c r="AJ2766">
        <v>99.823037056113193</v>
      </c>
      <c r="AK2766">
        <v>19.409220488094</v>
      </c>
      <c r="AL2766">
        <v>81.6598308366016</v>
      </c>
      <c r="AM2766">
        <v>92.603767764603305</v>
      </c>
      <c r="AN2766">
        <v>0.99999995640847195</v>
      </c>
    </row>
    <row r="2767" spans="1:40" x14ac:dyDescent="0.25">
      <c r="A2767" t="str">
        <f>"20190312172944011"</f>
        <v>20190312172944011</v>
      </c>
      <c r="B2767" t="str">
        <f>"1552382983999993"</f>
        <v>1552382983999993</v>
      </c>
      <c r="C2767" t="s">
        <v>40</v>
      </c>
      <c r="D2767">
        <v>3.5907369999999998</v>
      </c>
      <c r="E2767">
        <v>0.46516540000000001</v>
      </c>
      <c r="F2767" t="s">
        <v>41</v>
      </c>
      <c r="G2767">
        <v>-491.03739999999999</v>
      </c>
      <c r="H2767" s="1">
        <v>-4.4112199999999999E-6</v>
      </c>
      <c r="I2767">
        <v>239.40860000000001</v>
      </c>
      <c r="J2767">
        <v>-491.8211</v>
      </c>
      <c r="K2767">
        <v>1.1119059999999901</v>
      </c>
      <c r="L2767">
        <v>258.87529999999998</v>
      </c>
      <c r="M2767">
        <v>-9.7769670000000003E-2</v>
      </c>
      <c r="N2767">
        <v>0</v>
      </c>
      <c r="O2767">
        <v>-0.99511740000000004</v>
      </c>
      <c r="P2767">
        <v>-5.5546400000000003E-2</v>
      </c>
      <c r="Q2767">
        <v>0.13153889999999999</v>
      </c>
      <c r="R2767">
        <v>-0.98975400000000002</v>
      </c>
      <c r="S2767">
        <v>0.1204224</v>
      </c>
      <c r="T2767">
        <v>-0.17359479999999999</v>
      </c>
      <c r="U2767">
        <v>-3.0607150000000001</v>
      </c>
      <c r="V2767">
        <v>-4.2139650000000001E-2</v>
      </c>
      <c r="W2767">
        <v>0.14472960000000001</v>
      </c>
      <c r="X2767">
        <v>0.98857349999999999</v>
      </c>
      <c r="Y2767">
        <v>-0.1367662</v>
      </c>
      <c r="Z2767">
        <v>5.5931340000000003E-2</v>
      </c>
      <c r="AA2767">
        <v>0.98902310000000004</v>
      </c>
      <c r="AB2767">
        <v>27</v>
      </c>
      <c r="AC2767">
        <v>0.78370000000001006</v>
      </c>
      <c r="AD2767">
        <v>-1.11191041121999</v>
      </c>
      <c r="AE2767">
        <v>-19.4666999999999</v>
      </c>
      <c r="AF2767">
        <v>-2.6746591018096701</v>
      </c>
      <c r="AG2767">
        <v>-1.11191041121999</v>
      </c>
      <c r="AH2767">
        <v>19.2341397716161</v>
      </c>
      <c r="AI2767">
        <v>93.2770782094168</v>
      </c>
      <c r="AJ2767">
        <v>97.916662893600702</v>
      </c>
      <c r="AK2767">
        <v>19.4510225650873</v>
      </c>
      <c r="AL2767">
        <v>81.678378641601498</v>
      </c>
      <c r="AM2767">
        <v>92.440853736141307</v>
      </c>
      <c r="AN2767">
        <v>0.99999998606026597</v>
      </c>
    </row>
    <row r="2768" spans="1:40" x14ac:dyDescent="0.25">
      <c r="A2768" t="str">
        <f>"20190312172944022"</f>
        <v>20190312172944022</v>
      </c>
      <c r="B2768" t="str">
        <f>"1552382984010730"</f>
        <v>1552382984010730</v>
      </c>
      <c r="C2768" t="s">
        <v>40</v>
      </c>
      <c r="D2768">
        <v>3.6554449999999998</v>
      </c>
      <c r="E2768">
        <v>0.50494119999999998</v>
      </c>
      <c r="F2768" t="s">
        <v>41</v>
      </c>
      <c r="G2768">
        <v>-491.08819999999997</v>
      </c>
      <c r="H2768" s="1">
        <v>-4.4148179999999997E-6</v>
      </c>
      <c r="I2768">
        <v>239.39269999999999</v>
      </c>
      <c r="J2768">
        <v>-491.83330000000001</v>
      </c>
      <c r="K2768">
        <v>1.111885</v>
      </c>
      <c r="L2768">
        <v>258.73750000000001</v>
      </c>
      <c r="M2768">
        <v>-9.6466150000000001E-2</v>
      </c>
      <c r="N2768">
        <v>0</v>
      </c>
      <c r="O2768">
        <v>-0.99524460000000003</v>
      </c>
      <c r="P2768">
        <v>-5.734566E-2</v>
      </c>
      <c r="Q2768">
        <v>0.13121859999999999</v>
      </c>
      <c r="R2768">
        <v>-0.98969359999999995</v>
      </c>
      <c r="S2768">
        <v>0.1151428</v>
      </c>
      <c r="T2768">
        <v>-0.174682</v>
      </c>
      <c r="U2768">
        <v>-3.06073</v>
      </c>
      <c r="V2768">
        <v>-3.9036649999999999E-2</v>
      </c>
      <c r="W2768">
        <v>0.14442240000000001</v>
      </c>
      <c r="X2768">
        <v>0.98874580000000001</v>
      </c>
      <c r="Y2768">
        <v>-0.13376360000000001</v>
      </c>
      <c r="Z2768">
        <v>5.6304640000000003E-2</v>
      </c>
      <c r="AA2768">
        <v>0.98941250000000003</v>
      </c>
      <c r="AB2768">
        <v>27</v>
      </c>
      <c r="AC2768">
        <v>0.74510000000003596</v>
      </c>
      <c r="AD2768">
        <v>-1.1118894148180001</v>
      </c>
      <c r="AE2768">
        <v>-19.344799999999999</v>
      </c>
      <c r="AF2768">
        <v>-2.5993384742139098</v>
      </c>
      <c r="AG2768">
        <v>-1.1118894148180001</v>
      </c>
      <c r="AH2768">
        <v>19.119609974310201</v>
      </c>
      <c r="AI2768">
        <v>93.297982456689994</v>
      </c>
      <c r="AJ2768">
        <v>97.741978672093495</v>
      </c>
      <c r="AK2768">
        <v>19.327502273808101</v>
      </c>
      <c r="AL2768">
        <v>81.696166686706704</v>
      </c>
      <c r="AM2768">
        <v>92.260919096101304</v>
      </c>
      <c r="AN2768">
        <v>0.99999997334130997</v>
      </c>
    </row>
    <row r="2769" spans="1:40" x14ac:dyDescent="0.25">
      <c r="A2769" t="str">
        <f>"20190312172944043"</f>
        <v>20190312172944043</v>
      </c>
      <c r="B2769" t="str">
        <f>"1552382984030249"</f>
        <v>1552382984030249</v>
      </c>
      <c r="C2769" t="s">
        <v>40</v>
      </c>
      <c r="D2769">
        <v>3.6177899999999998</v>
      </c>
      <c r="E2769">
        <v>0.51651009999999997</v>
      </c>
      <c r="F2769" t="s">
        <v>41</v>
      </c>
      <c r="G2769">
        <v>-493.3218</v>
      </c>
      <c r="H2769" s="1">
        <v>-3.9578480000000001E-6</v>
      </c>
      <c r="I2769">
        <v>236.88560000000001</v>
      </c>
      <c r="J2769">
        <v>-491.85320000000002</v>
      </c>
      <c r="K2769">
        <v>1.1118539999999999</v>
      </c>
      <c r="L2769">
        <v>258.50659999999999</v>
      </c>
      <c r="M2769">
        <v>-9.432016E-2</v>
      </c>
      <c r="N2769">
        <v>0</v>
      </c>
      <c r="O2769">
        <v>-0.99545059999999996</v>
      </c>
      <c r="P2769">
        <v>-6.1631239999999997E-2</v>
      </c>
      <c r="Q2769">
        <v>0.13072719999999999</v>
      </c>
      <c r="R2769">
        <v>-0.98950110000000002</v>
      </c>
      <c r="S2769">
        <v>-0.20706179999999999</v>
      </c>
      <c r="T2769">
        <v>-0.15467129999999901</v>
      </c>
      <c r="U2769">
        <v>-3.039749</v>
      </c>
      <c r="V2769">
        <v>-3.260205E-2</v>
      </c>
      <c r="W2769">
        <v>0.14395759999999999</v>
      </c>
      <c r="X2769">
        <v>0.98904669999999895</v>
      </c>
      <c r="Y2769">
        <v>-2.6539900000000002E-2</v>
      </c>
      <c r="Z2769">
        <v>5.0410700000000003E-2</v>
      </c>
      <c r="AA2769">
        <v>0.99837589999999998</v>
      </c>
      <c r="AB2769">
        <v>27</v>
      </c>
      <c r="AC2769">
        <v>-1.4685999999999799</v>
      </c>
      <c r="AD2769">
        <v>-1.1118579578479999</v>
      </c>
      <c r="AE2769">
        <v>-21.620999999999899</v>
      </c>
      <c r="AF2769">
        <v>-0.57591389997498099</v>
      </c>
      <c r="AG2769">
        <v>-1.1118579578479999</v>
      </c>
      <c r="AH2769">
        <v>21.606249614454502</v>
      </c>
      <c r="AI2769">
        <v>92.944799160668495</v>
      </c>
      <c r="AJ2769">
        <v>91.526855655025003</v>
      </c>
      <c r="AK2769">
        <v>21.642502797521601</v>
      </c>
      <c r="AL2769">
        <v>81.723079467371704</v>
      </c>
      <c r="AM2769">
        <v>91.887963182262894</v>
      </c>
      <c r="AN2769">
        <v>1.00000002952142</v>
      </c>
    </row>
    <row r="2770" spans="1:40" x14ac:dyDescent="0.25">
      <c r="A2770" t="str">
        <f>"20190312172944064"</f>
        <v>20190312172944064</v>
      </c>
      <c r="B2770" t="str">
        <f>"1552382984060094"</f>
        <v>1552382984060094</v>
      </c>
      <c r="C2770" t="s">
        <v>40</v>
      </c>
      <c r="D2770">
        <v>3.5778599999999998</v>
      </c>
      <c r="E2770">
        <v>0.52144559999999995</v>
      </c>
      <c r="F2770" t="s">
        <v>41</v>
      </c>
      <c r="G2770">
        <v>-494.05650000000003</v>
      </c>
      <c r="H2770" s="1">
        <v>-4.1689349999999999E-6</v>
      </c>
      <c r="I2770">
        <v>237.12289999999999</v>
      </c>
      <c r="J2770">
        <v>-491.875</v>
      </c>
      <c r="K2770">
        <v>1.1118140000000001</v>
      </c>
      <c r="L2770">
        <v>258.24869999999999</v>
      </c>
      <c r="M2770">
        <v>-9.1969400000000007E-2</v>
      </c>
      <c r="N2770">
        <v>0</v>
      </c>
      <c r="O2770">
        <v>-0.99567030000000001</v>
      </c>
      <c r="P2770">
        <v>-6.4869019999999999E-2</v>
      </c>
      <c r="Q2770">
        <v>0.1306235</v>
      </c>
      <c r="R2770">
        <v>-0.98930739999999995</v>
      </c>
      <c r="S2770">
        <v>-0.31253049999999999</v>
      </c>
      <c r="T2770">
        <v>-0.1577151</v>
      </c>
      <c r="U2770">
        <v>-3.0332340000000002</v>
      </c>
      <c r="V2770">
        <v>-2.7007139999999999E-2</v>
      </c>
      <c r="W2770">
        <v>0.1438741</v>
      </c>
      <c r="X2770">
        <v>0.98922739999999998</v>
      </c>
      <c r="Y2770">
        <v>1.042859E-2</v>
      </c>
      <c r="Z2770">
        <v>5.145897E-2</v>
      </c>
      <c r="AA2770">
        <v>0.99862059999999997</v>
      </c>
      <c r="AB2770">
        <v>27</v>
      </c>
      <c r="AC2770">
        <v>-2.1815000000000202</v>
      </c>
      <c r="AD2770">
        <v>-1.111818168935</v>
      </c>
      <c r="AE2770">
        <v>-21.125800000000002</v>
      </c>
      <c r="AF2770">
        <v>0.22852222250124299</v>
      </c>
      <c r="AG2770">
        <v>-1.111818168935</v>
      </c>
      <c r="AH2770">
        <v>21.178857198431899</v>
      </c>
      <c r="AI2770">
        <v>93.004900959893803</v>
      </c>
      <c r="AJ2770">
        <v>89.381796163545502</v>
      </c>
      <c r="AK2770">
        <v>21.209251619953999</v>
      </c>
      <c r="AL2770">
        <v>81.727913709886195</v>
      </c>
      <c r="AM2770">
        <v>91.563857669240093</v>
      </c>
      <c r="AN2770">
        <v>0.99999999558627395</v>
      </c>
    </row>
    <row r="2771" spans="1:40" x14ac:dyDescent="0.25">
      <c r="A2771" t="str">
        <f>"20190312172944079"</f>
        <v>20190312172944079</v>
      </c>
      <c r="B2771" t="str">
        <f>"1552382984069853"</f>
        <v>1552382984069853</v>
      </c>
      <c r="C2771" t="s">
        <v>40</v>
      </c>
      <c r="D2771">
        <v>3.5567389999999999</v>
      </c>
      <c r="E2771">
        <v>0.52217009999999997</v>
      </c>
      <c r="F2771" t="s">
        <v>41</v>
      </c>
      <c r="G2771">
        <v>-494.4325</v>
      </c>
      <c r="H2771" s="1">
        <v>-4.1609219999999996E-6</v>
      </c>
      <c r="I2771">
        <v>236.9034</v>
      </c>
      <c r="J2771">
        <v>-491.8895</v>
      </c>
      <c r="K2771">
        <v>1.111791</v>
      </c>
      <c r="L2771">
        <v>258.07220000000001</v>
      </c>
      <c r="M2771">
        <v>-9.0389010000000006E-2</v>
      </c>
      <c r="N2771">
        <v>0</v>
      </c>
      <c r="O2771">
        <v>-0.99581520000000001</v>
      </c>
      <c r="P2771">
        <v>-6.6312369999999995E-2</v>
      </c>
      <c r="Q2771">
        <v>0.1305296</v>
      </c>
      <c r="R2771">
        <v>-0.9892244</v>
      </c>
      <c r="S2771">
        <v>-0.36297610000000002</v>
      </c>
      <c r="T2771">
        <v>-0.15779509999999999</v>
      </c>
      <c r="U2771">
        <v>-3.0294340000000002</v>
      </c>
      <c r="V2771">
        <v>-2.3979940000000002E-2</v>
      </c>
      <c r="W2771">
        <v>0.1437901</v>
      </c>
      <c r="X2771">
        <v>0.98931769999999997</v>
      </c>
      <c r="Y2771">
        <v>2.856471E-2</v>
      </c>
      <c r="Z2771">
        <v>5.1503939999999998E-2</v>
      </c>
      <c r="AA2771">
        <v>0.99826420000000005</v>
      </c>
      <c r="AB2771">
        <v>27</v>
      </c>
      <c r="AC2771">
        <v>-2.5430000000000001</v>
      </c>
      <c r="AD2771">
        <v>-1.111795160922</v>
      </c>
      <c r="AE2771">
        <v>-21.168800000000001</v>
      </c>
      <c r="AF2771">
        <v>0.61730892185552999</v>
      </c>
      <c r="AG2771">
        <v>-1.111795160922</v>
      </c>
      <c r="AH2771">
        <v>21.2542170428063</v>
      </c>
      <c r="AI2771">
        <v>92.993118336949493</v>
      </c>
      <c r="AJ2771">
        <v>88.336365177966499</v>
      </c>
      <c r="AK2771">
        <v>21.292226301811901</v>
      </c>
      <c r="AL2771">
        <v>81.732777752128698</v>
      </c>
      <c r="AM2771">
        <v>91.388512885524193</v>
      </c>
      <c r="AN2771">
        <v>1.00000007095684</v>
      </c>
    </row>
    <row r="2772" spans="1:40" x14ac:dyDescent="0.25">
      <c r="A2772" t="str">
        <f>"20190312172944098"</f>
        <v>20190312172944098</v>
      </c>
      <c r="B2772" t="str">
        <f>"1552382984090349"</f>
        <v>1552382984090349</v>
      </c>
      <c r="C2772" t="s">
        <v>40</v>
      </c>
      <c r="D2772">
        <v>3.5751059999999999</v>
      </c>
      <c r="E2772">
        <v>0.52320869999999997</v>
      </c>
      <c r="F2772" t="s">
        <v>41</v>
      </c>
      <c r="G2772">
        <v>-494.50990000000002</v>
      </c>
      <c r="H2772" s="1">
        <v>-4.138297E-6</v>
      </c>
      <c r="I2772">
        <v>236.79660000000001</v>
      </c>
      <c r="J2772">
        <v>-491.9067</v>
      </c>
      <c r="K2772">
        <v>1.1117629999999901</v>
      </c>
      <c r="L2772">
        <v>257.86</v>
      </c>
      <c r="M2772">
        <v>-8.8509389999999993E-2</v>
      </c>
      <c r="N2772">
        <v>0</v>
      </c>
      <c r="O2772">
        <v>-0.99598419999999999</v>
      </c>
      <c r="P2772">
        <v>-7.037011E-2</v>
      </c>
      <c r="Q2772">
        <v>0.13137119999999999</v>
      </c>
      <c r="R2772">
        <v>-0.98883259999999995</v>
      </c>
      <c r="S2772">
        <v>-0.37301640000000003</v>
      </c>
      <c r="T2772">
        <v>-0.1582644</v>
      </c>
      <c r="U2772">
        <v>-3.0285950000000001</v>
      </c>
      <c r="V2772">
        <v>-1.802668E-2</v>
      </c>
      <c r="W2772">
        <v>0.14465129999999901</v>
      </c>
      <c r="X2772">
        <v>0.98931849999999999</v>
      </c>
      <c r="Y2772">
        <v>3.3743820000000001E-2</v>
      </c>
      <c r="Z2772">
        <v>5.1669569999999998E-2</v>
      </c>
      <c r="AA2772">
        <v>0.99809400000000004</v>
      </c>
      <c r="AB2772">
        <v>27</v>
      </c>
      <c r="AC2772">
        <v>-2.60320000000001</v>
      </c>
      <c r="AD2772">
        <v>-1.11176713829699</v>
      </c>
      <c r="AE2772">
        <v>-21.063400000000001</v>
      </c>
      <c r="AF2772">
        <v>0.72650996279521696</v>
      </c>
      <c r="AG2772">
        <v>-1.11176713829699</v>
      </c>
      <c r="AH2772">
        <v>21.153102341693401</v>
      </c>
      <c r="AI2772">
        <v>93.006820169287494</v>
      </c>
      <c r="AJ2772">
        <v>88.032931613996993</v>
      </c>
      <c r="AK2772">
        <v>21.194753633245998</v>
      </c>
      <c r="AL2772">
        <v>81.682912956170199</v>
      </c>
      <c r="AM2772">
        <v>91.043888694558305</v>
      </c>
      <c r="AN2772">
        <v>1.0000000271128799</v>
      </c>
    </row>
    <row r="2773" spans="1:40" x14ac:dyDescent="0.25">
      <c r="A2773" t="str">
        <f>"20190312172944109"</f>
        <v>20190312172944109</v>
      </c>
      <c r="B2773" t="str">
        <f>"1552382984100110"</f>
        <v>1552382984100110</v>
      </c>
      <c r="C2773" t="s">
        <v>40</v>
      </c>
      <c r="D2773">
        <v>3.592006</v>
      </c>
      <c r="E2773">
        <v>0.52346440000000005</v>
      </c>
      <c r="F2773" t="s">
        <v>41</v>
      </c>
      <c r="G2773">
        <v>-494.69479999999999</v>
      </c>
      <c r="H2773" s="1">
        <v>-4.0371010000000001E-6</v>
      </c>
      <c r="I2773">
        <v>236.40289999999999</v>
      </c>
      <c r="J2773">
        <v>-491.91849999999999</v>
      </c>
      <c r="K2773">
        <v>1.111747</v>
      </c>
      <c r="L2773">
        <v>257.71109999999999</v>
      </c>
      <c r="M2773">
        <v>-8.7203760000000005E-2</v>
      </c>
      <c r="N2773">
        <v>0</v>
      </c>
      <c r="O2773">
        <v>-0.99609919999999996</v>
      </c>
      <c r="P2773">
        <v>-7.1885669999999999E-2</v>
      </c>
      <c r="Q2773">
        <v>0.13171910000000001</v>
      </c>
      <c r="R2773">
        <v>-0.98867729999999998</v>
      </c>
      <c r="S2773">
        <v>-0.39328000000000002</v>
      </c>
      <c r="T2773">
        <v>-0.15682389999999999</v>
      </c>
      <c r="U2773">
        <v>-3.0267029999999999</v>
      </c>
      <c r="V2773">
        <v>-1.5199590000000001E-2</v>
      </c>
      <c r="W2773">
        <v>0.14500750000000001</v>
      </c>
      <c r="X2773">
        <v>0.98931380000000002</v>
      </c>
      <c r="Y2773">
        <v>4.170828E-2</v>
      </c>
      <c r="Z2773">
        <v>5.1211979999999997E-2</v>
      </c>
      <c r="AA2773">
        <v>0.9978165</v>
      </c>
      <c r="AB2773">
        <v>27</v>
      </c>
      <c r="AC2773">
        <v>-2.7762999999999902</v>
      </c>
      <c r="AD2773">
        <v>-1.111751037101</v>
      </c>
      <c r="AE2773">
        <v>-21.308199999999999</v>
      </c>
      <c r="AF2773">
        <v>0.90497516736021799</v>
      </c>
      <c r="AG2773">
        <v>-1.111751037101</v>
      </c>
      <c r="AH2773">
        <v>21.411822860592601</v>
      </c>
      <c r="AI2773">
        <v>92.969612986362804</v>
      </c>
      <c r="AJ2773">
        <v>87.579822313769498</v>
      </c>
      <c r="AK2773">
        <v>21.459756024601699</v>
      </c>
      <c r="AL2773">
        <v>81.662286491934793</v>
      </c>
      <c r="AM2773">
        <v>90.880209944727696</v>
      </c>
      <c r="AN2773">
        <v>0.99999999873142897</v>
      </c>
    </row>
    <row r="2774" spans="1:40" x14ac:dyDescent="0.25">
      <c r="A2774" t="str">
        <f>"20190312172944121"</f>
        <v>20190312172944121</v>
      </c>
      <c r="B2774" t="str">
        <f>"1552382984109870"</f>
        <v>1552382984109870</v>
      </c>
      <c r="C2774" t="s">
        <v>40</v>
      </c>
      <c r="D2774">
        <v>3.5862949999999998</v>
      </c>
      <c r="E2774">
        <v>0.52365640000000002</v>
      </c>
      <c r="F2774" t="s">
        <v>41</v>
      </c>
      <c r="G2774">
        <v>-494.7593</v>
      </c>
      <c r="H2774" s="1">
        <v>-3.993401E-6</v>
      </c>
      <c r="I2774">
        <v>236.24080000000001</v>
      </c>
      <c r="J2774">
        <v>-491.92939999999999</v>
      </c>
      <c r="K2774">
        <v>1.1117349999999999</v>
      </c>
      <c r="L2774">
        <v>257.5729</v>
      </c>
      <c r="M2774">
        <v>-8.5999240000000005E-2</v>
      </c>
      <c r="N2774">
        <v>0</v>
      </c>
      <c r="O2774">
        <v>-0.99620410000000004</v>
      </c>
      <c r="P2774">
        <v>-7.2843060000000001E-2</v>
      </c>
      <c r="Q2774">
        <v>0.13169239999999999</v>
      </c>
      <c r="R2774">
        <v>-0.98861069999999995</v>
      </c>
      <c r="S2774">
        <v>-0.40039059999999999</v>
      </c>
      <c r="T2774">
        <v>-0.1566951</v>
      </c>
      <c r="U2774">
        <v>-3.0261230000000001</v>
      </c>
      <c r="V2774">
        <v>-1.303666E-2</v>
      </c>
      <c r="W2774">
        <v>0.1449867</v>
      </c>
      <c r="X2774">
        <v>0.98934770000000005</v>
      </c>
      <c r="Y2774">
        <v>4.5245800000000003E-2</v>
      </c>
      <c r="Z2774">
        <v>5.1176079999999999E-2</v>
      </c>
      <c r="AA2774">
        <v>0.9976642</v>
      </c>
      <c r="AB2774">
        <v>27</v>
      </c>
      <c r="AC2774">
        <v>-2.8298999999999999</v>
      </c>
      <c r="AD2774">
        <v>-1.111738993401</v>
      </c>
      <c r="AE2774">
        <v>-21.332100000000001</v>
      </c>
      <c r="AF2774">
        <v>0.98208171441540004</v>
      </c>
      <c r="AG2774">
        <v>-1.111738993401</v>
      </c>
      <c r="AH2774">
        <v>21.4392228010027</v>
      </c>
      <c r="AI2774">
        <v>92.965331540061499</v>
      </c>
      <c r="AJ2774">
        <v>87.377244968614505</v>
      </c>
      <c r="AK2774">
        <v>21.490479808377302</v>
      </c>
      <c r="AL2774">
        <v>81.663490854264495</v>
      </c>
      <c r="AM2774">
        <v>90.754944262499393</v>
      </c>
      <c r="AN2774">
        <v>0.99999998458806705</v>
      </c>
    </row>
    <row r="2775" spans="1:40" x14ac:dyDescent="0.25">
      <c r="A2775" t="str">
        <f>"20190312172944133"</f>
        <v>20190312172944133</v>
      </c>
      <c r="B2775" t="str">
        <f>"1552382984130366"</f>
        <v>1552382984130366</v>
      </c>
      <c r="C2775" t="s">
        <v>40</v>
      </c>
      <c r="D2775">
        <v>3.6296780000000002</v>
      </c>
      <c r="E2775">
        <v>0.52362690000000001</v>
      </c>
      <c r="F2775" t="s">
        <v>41</v>
      </c>
      <c r="G2775">
        <v>-494.79160000000002</v>
      </c>
      <c r="H2775" s="1">
        <v>-3.9647789999999998E-6</v>
      </c>
      <c r="I2775">
        <v>236.13990000000001</v>
      </c>
      <c r="J2775">
        <v>-491.93939999999998</v>
      </c>
      <c r="K2775">
        <v>1.1117239999999999</v>
      </c>
      <c r="L2775">
        <v>257.44290000000001</v>
      </c>
      <c r="M2775">
        <v>-8.487596E-2</v>
      </c>
      <c r="N2775">
        <v>0</v>
      </c>
      <c r="O2775">
        <v>-0.99630059999999998</v>
      </c>
      <c r="P2775">
        <v>-7.3896719999999999E-2</v>
      </c>
      <c r="Q2775">
        <v>0.1320114</v>
      </c>
      <c r="R2775">
        <v>-0.98849010000000004</v>
      </c>
      <c r="S2775">
        <v>-0.40405269999999999</v>
      </c>
      <c r="T2775">
        <v>-0.15694369999999999</v>
      </c>
      <c r="U2775">
        <v>-3.0256959999999999</v>
      </c>
      <c r="V2775">
        <v>-1.085612E-2</v>
      </c>
      <c r="W2775">
        <v>0.14531129999999901</v>
      </c>
      <c r="X2775">
        <v>0.98932640000000005</v>
      </c>
      <c r="Y2775">
        <v>4.7576309999999997E-2</v>
      </c>
      <c r="Z2775">
        <v>5.1264789999999998E-2</v>
      </c>
      <c r="AA2775">
        <v>0.99755119999999997</v>
      </c>
      <c r="AB2775">
        <v>27</v>
      </c>
      <c r="AC2775">
        <v>-2.85220000000003</v>
      </c>
      <c r="AD2775">
        <v>-1.1117279647789999</v>
      </c>
      <c r="AE2775">
        <v>-21.303000000000001</v>
      </c>
      <c r="AF2775">
        <v>1.03087157755292</v>
      </c>
      <c r="AG2775">
        <v>-1.1117279647789999</v>
      </c>
      <c r="AH2775">
        <v>21.410935625595599</v>
      </c>
      <c r="AI2775">
        <v>92.968887822256207</v>
      </c>
      <c r="AJ2775">
        <v>87.243510736057303</v>
      </c>
      <c r="AK2775">
        <v>21.464547506073298</v>
      </c>
      <c r="AL2775">
        <v>81.644693517370101</v>
      </c>
      <c r="AM2775">
        <v>90.628695336399204</v>
      </c>
      <c r="AN2775">
        <v>0.99999997749305103</v>
      </c>
    </row>
    <row r="2776" spans="1:40" x14ac:dyDescent="0.25">
      <c r="A2776" t="str">
        <f>"20190312172944144"</f>
        <v>20190312172944144</v>
      </c>
      <c r="B2776" t="str">
        <f>"1552382984140703"</f>
        <v>1552382984140703</v>
      </c>
      <c r="C2776" t="s">
        <v>40</v>
      </c>
      <c r="D2776">
        <v>3.6571069999999999</v>
      </c>
      <c r="E2776">
        <v>0.52359489999999997</v>
      </c>
      <c r="F2776" t="s">
        <v>41</v>
      </c>
      <c r="G2776">
        <v>-494.80770000000001</v>
      </c>
      <c r="H2776" s="1">
        <v>-3.965042E-6</v>
      </c>
      <c r="I2776">
        <v>236.13220000000001</v>
      </c>
      <c r="J2776">
        <v>-491.94929999999999</v>
      </c>
      <c r="K2776">
        <v>1.1117140000000001</v>
      </c>
      <c r="L2776">
        <v>257.3125</v>
      </c>
      <c r="M2776">
        <v>-8.3752709999999994E-2</v>
      </c>
      <c r="N2776">
        <v>0</v>
      </c>
      <c r="O2776">
        <v>-0.99639580000000005</v>
      </c>
      <c r="P2776">
        <v>-7.4495569999999997E-2</v>
      </c>
      <c r="Q2776">
        <v>0.13176370000000001</v>
      </c>
      <c r="R2776">
        <v>-0.98847839999999998</v>
      </c>
      <c r="S2776">
        <v>-0.40722659999999999</v>
      </c>
      <c r="T2776">
        <v>-0.1578358</v>
      </c>
      <c r="U2776">
        <v>-3.0255429999999999</v>
      </c>
      <c r="V2776">
        <v>-9.1359700000000002E-3</v>
      </c>
      <c r="W2776">
        <v>0.1450688</v>
      </c>
      <c r="X2776">
        <v>0.98937940000000002</v>
      </c>
      <c r="Y2776">
        <v>4.973487E-2</v>
      </c>
      <c r="Z2776">
        <v>5.155908E-2</v>
      </c>
      <c r="AA2776">
        <v>0.9974307</v>
      </c>
      <c r="AB2776">
        <v>27</v>
      </c>
      <c r="AC2776">
        <v>-2.8584000000000098</v>
      </c>
      <c r="AD2776">
        <v>-1.1117179650419999</v>
      </c>
      <c r="AE2776">
        <v>-21.1802999999999</v>
      </c>
      <c r="AF2776">
        <v>1.07138850029262</v>
      </c>
      <c r="AG2776">
        <v>-1.1117179650419999</v>
      </c>
      <c r="AH2776">
        <v>21.287692402171999</v>
      </c>
      <c r="AI2776">
        <v>92.985698666170407</v>
      </c>
      <c r="AJ2776">
        <v>87.1187911640735</v>
      </c>
      <c r="AK2776">
        <v>21.343608831728702</v>
      </c>
      <c r="AL2776">
        <v>81.658736819573505</v>
      </c>
      <c r="AM2776">
        <v>90.529056543614502</v>
      </c>
      <c r="AN2776">
        <v>1.0000000099128199</v>
      </c>
    </row>
    <row r="2777" spans="1:40" x14ac:dyDescent="0.25">
      <c r="A2777" t="str">
        <f>"20190312172944154"</f>
        <v>20190312172944154</v>
      </c>
      <c r="B2777" t="str">
        <f>"1552382984150462"</f>
        <v>1552382984150462</v>
      </c>
      <c r="C2777" t="s">
        <v>40</v>
      </c>
      <c r="D2777">
        <v>3.6242549999999998</v>
      </c>
      <c r="E2777">
        <v>0.52350770000000002</v>
      </c>
      <c r="F2777" t="s">
        <v>41</v>
      </c>
      <c r="G2777">
        <v>-494.79829999999998</v>
      </c>
      <c r="H2777" s="1">
        <v>-3.9906990000000004E-6</v>
      </c>
      <c r="I2777">
        <v>236.21250000000001</v>
      </c>
      <c r="J2777">
        <v>-491.95890000000003</v>
      </c>
      <c r="K2777">
        <v>1.111707</v>
      </c>
      <c r="L2777">
        <v>257.18389999999999</v>
      </c>
      <c r="M2777">
        <v>-8.2652160000000002E-2</v>
      </c>
      <c r="N2777">
        <v>0</v>
      </c>
      <c r="O2777">
        <v>-0.99648760000000003</v>
      </c>
      <c r="P2777">
        <v>-7.5324970000000005E-2</v>
      </c>
      <c r="Q2777">
        <v>0.1317374</v>
      </c>
      <c r="R2777">
        <v>-0.98841869999999998</v>
      </c>
      <c r="S2777">
        <v>-0.40850829999999999</v>
      </c>
      <c r="T2777">
        <v>-0.1594061</v>
      </c>
      <c r="U2777">
        <v>-3.0254669999999999</v>
      </c>
      <c r="V2777">
        <v>-7.2073669999999897E-3</v>
      </c>
      <c r="W2777">
        <v>0.1450475</v>
      </c>
      <c r="X2777">
        <v>0.98939840000000001</v>
      </c>
      <c r="Y2777">
        <v>5.1252680000000002E-2</v>
      </c>
      <c r="Z2777">
        <v>5.2075639999999999E-2</v>
      </c>
      <c r="AA2777">
        <v>0.99732710000000002</v>
      </c>
      <c r="AB2777">
        <v>27</v>
      </c>
      <c r="AC2777">
        <v>-2.8393999999999502</v>
      </c>
      <c r="AD2777">
        <v>-1.1117109906989999</v>
      </c>
      <c r="AE2777">
        <v>-20.9713999999999</v>
      </c>
      <c r="AF2777">
        <v>1.0931779494584599</v>
      </c>
      <c r="AG2777">
        <v>-1.1117109906989999</v>
      </c>
      <c r="AH2777">
        <v>21.076175263790802</v>
      </c>
      <c r="AI2777">
        <v>93.015352672649499</v>
      </c>
      <c r="AJ2777">
        <v>87.030846238128404</v>
      </c>
      <c r="AK2777">
        <v>21.133766893435102</v>
      </c>
      <c r="AL2777">
        <v>81.659969835158194</v>
      </c>
      <c r="AM2777">
        <v>90.417369187439107</v>
      </c>
      <c r="AN2777">
        <v>0.99999995865893998</v>
      </c>
    </row>
    <row r="2778" spans="1:40" x14ac:dyDescent="0.25">
      <c r="A2778" t="str">
        <f>"20190312172944166"</f>
        <v>20190312172944166</v>
      </c>
      <c r="B2778" t="str">
        <f>"1552382984160223"</f>
        <v>1552382984160223</v>
      </c>
      <c r="C2778" t="s">
        <v>40</v>
      </c>
      <c r="D2778">
        <v>3.5976699999999999</v>
      </c>
      <c r="E2778">
        <v>0.52343519999999999</v>
      </c>
      <c r="F2778" t="s">
        <v>41</v>
      </c>
      <c r="G2778">
        <v>-494.774</v>
      </c>
      <c r="H2778" s="1">
        <v>-4.0617959999999997E-6</v>
      </c>
      <c r="I2778">
        <v>236.4341</v>
      </c>
      <c r="J2778">
        <v>-491.96850000000001</v>
      </c>
      <c r="K2778">
        <v>1.111699</v>
      </c>
      <c r="L2778">
        <v>257.05360000000002</v>
      </c>
      <c r="M2778">
        <v>-8.1538429999999995E-2</v>
      </c>
      <c r="N2778">
        <v>0</v>
      </c>
      <c r="O2778">
        <v>-0.9965794</v>
      </c>
      <c r="P2778">
        <v>-7.5258399999999906E-2</v>
      </c>
      <c r="Q2778">
        <v>0.13170570000000001</v>
      </c>
      <c r="R2778">
        <v>-0.98842810000000003</v>
      </c>
      <c r="S2778">
        <v>-0.41046139999999998</v>
      </c>
      <c r="T2778">
        <v>-0.1620955</v>
      </c>
      <c r="U2778">
        <v>-3.0254669999999999</v>
      </c>
      <c r="V2778">
        <v>-6.1638099999999996E-3</v>
      </c>
      <c r="W2778">
        <v>0.14501739999999999</v>
      </c>
      <c r="X2778">
        <v>0.98940989999999995</v>
      </c>
      <c r="Y2778">
        <v>5.2994769999999997E-2</v>
      </c>
      <c r="Z2778">
        <v>5.295441E-2</v>
      </c>
      <c r="AA2778">
        <v>0.99718980000000002</v>
      </c>
      <c r="AB2778">
        <v>27</v>
      </c>
      <c r="AC2778">
        <v>-2.8054999999999901</v>
      </c>
      <c r="AD2778">
        <v>-1.111703061796</v>
      </c>
      <c r="AE2778">
        <v>-20.619499999999999</v>
      </c>
      <c r="AF2778">
        <v>1.1115503551219901</v>
      </c>
      <c r="AG2778">
        <v>-1.111703061796</v>
      </c>
      <c r="AH2778">
        <v>20.720469117525901</v>
      </c>
      <c r="AI2778">
        <v>93.066710909499193</v>
      </c>
      <c r="AJ2778">
        <v>86.929309069679107</v>
      </c>
      <c r="AK2778">
        <v>20.780020893635399</v>
      </c>
      <c r="AL2778">
        <v>81.661713168744498</v>
      </c>
      <c r="AM2778">
        <v>90.356935715000603</v>
      </c>
      <c r="AN2778">
        <v>0.99999999453724298</v>
      </c>
    </row>
    <row r="2779" spans="1:40" x14ac:dyDescent="0.25">
      <c r="A2779" t="str">
        <f>"20190312172944175"</f>
        <v>20190312172944175</v>
      </c>
      <c r="B2779" t="str">
        <f>"1552382984169982"</f>
        <v>1552382984169982</v>
      </c>
      <c r="C2779" t="s">
        <v>40</v>
      </c>
      <c r="D2779">
        <v>3.601181</v>
      </c>
      <c r="E2779">
        <v>0.52333059999999998</v>
      </c>
      <c r="F2779" t="s">
        <v>41</v>
      </c>
      <c r="G2779">
        <v>-494.73540000000003</v>
      </c>
      <c r="H2779" s="1">
        <v>-4.1079869999999997E-6</v>
      </c>
      <c r="I2779">
        <v>236.59</v>
      </c>
      <c r="J2779">
        <v>-491.9776</v>
      </c>
      <c r="K2779">
        <v>1.111693</v>
      </c>
      <c r="L2779">
        <v>256.9282</v>
      </c>
      <c r="M2779">
        <v>-8.0469029999999997E-2</v>
      </c>
      <c r="N2779">
        <v>0</v>
      </c>
      <c r="O2779">
        <v>-0.99666659999999996</v>
      </c>
      <c r="P2779">
        <v>-7.5750429999999994E-2</v>
      </c>
      <c r="Q2779">
        <v>0.1316522</v>
      </c>
      <c r="R2779">
        <v>-0.98839759999999999</v>
      </c>
      <c r="S2779">
        <v>-0.4091187</v>
      </c>
      <c r="T2779">
        <v>-0.16438139999999901</v>
      </c>
      <c r="U2779">
        <v>-3.0258479999999999</v>
      </c>
      <c r="V2779">
        <v>-4.6050509999999998E-3</v>
      </c>
      <c r="W2779">
        <v>0.14496789999999901</v>
      </c>
      <c r="X2779">
        <v>0.98942569999999996</v>
      </c>
      <c r="Y2779">
        <v>5.360964E-2</v>
      </c>
      <c r="Z2779">
        <v>5.3700030000000003E-2</v>
      </c>
      <c r="AA2779">
        <v>0.99711700000000003</v>
      </c>
      <c r="AB2779">
        <v>27</v>
      </c>
      <c r="AC2779">
        <v>-2.7578000000000298</v>
      </c>
      <c r="AD2779">
        <v>-1.1116971079869999</v>
      </c>
      <c r="AE2779">
        <v>-20.338200000000001</v>
      </c>
      <c r="AF2779">
        <v>1.1088590474061999</v>
      </c>
      <c r="AG2779">
        <v>-1.1116971079869999</v>
      </c>
      <c r="AH2779">
        <v>20.434220461955</v>
      </c>
      <c r="AI2779">
        <v>93.109466485995199</v>
      </c>
      <c r="AJ2779">
        <v>86.893901952996998</v>
      </c>
      <c r="AK2779">
        <v>20.4944579029235</v>
      </c>
      <c r="AL2779">
        <v>81.664580126003997</v>
      </c>
      <c r="AM2779">
        <v>90.266667908036993</v>
      </c>
      <c r="AN2779">
        <v>1.0000000571728</v>
      </c>
    </row>
    <row r="2780" spans="1:40" x14ac:dyDescent="0.25">
      <c r="A2780" t="str">
        <f>"20190312172944187"</f>
        <v>20190312172944187</v>
      </c>
      <c r="B2780" t="str">
        <f>"1552382984179742"</f>
        <v>1552382984179742</v>
      </c>
      <c r="C2780" t="s">
        <v>40</v>
      </c>
      <c r="D2780">
        <v>3.584349</v>
      </c>
      <c r="E2780">
        <v>0.52323030000000004</v>
      </c>
      <c r="F2780" t="s">
        <v>41</v>
      </c>
      <c r="G2780">
        <v>-494.7106</v>
      </c>
      <c r="H2780" s="1">
        <v>-4.1476330000000002E-6</v>
      </c>
      <c r="I2780">
        <v>236.71940000000001</v>
      </c>
      <c r="J2780">
        <v>-491.98680000000002</v>
      </c>
      <c r="K2780">
        <v>1.111686</v>
      </c>
      <c r="L2780">
        <v>256.80099999999999</v>
      </c>
      <c r="M2780">
        <v>-7.9385109999999995E-2</v>
      </c>
      <c r="N2780">
        <v>0</v>
      </c>
      <c r="O2780">
        <v>-0.99675340000000001</v>
      </c>
      <c r="P2780">
        <v>-7.5553430000000005E-2</v>
      </c>
      <c r="Q2780">
        <v>0.13187560000000001</v>
      </c>
      <c r="R2780">
        <v>-0.98838329999999996</v>
      </c>
      <c r="S2780">
        <v>-0.40924070000000001</v>
      </c>
      <c r="T2780">
        <v>-0.166465</v>
      </c>
      <c r="U2780">
        <v>-3.026062</v>
      </c>
      <c r="V2780">
        <v>-3.7217249999999999E-3</v>
      </c>
      <c r="W2780">
        <v>0.14519199999999999</v>
      </c>
      <c r="X2780">
        <v>0.98939650000000001</v>
      </c>
      <c r="Y2780">
        <v>5.4720749999999999E-2</v>
      </c>
      <c r="Z2780">
        <v>5.4380230000000002E-2</v>
      </c>
      <c r="AA2780">
        <v>0.99701980000000001</v>
      </c>
      <c r="AB2780">
        <v>27</v>
      </c>
      <c r="AC2780">
        <v>-2.7237999999999798</v>
      </c>
      <c r="AD2780">
        <v>-1.1116901476329999</v>
      </c>
      <c r="AE2780">
        <v>-20.081599999999899</v>
      </c>
      <c r="AF2780">
        <v>1.117515294455</v>
      </c>
      <c r="AG2780">
        <v>-1.1116901476329999</v>
      </c>
      <c r="AH2780">
        <v>20.173752919881501</v>
      </c>
      <c r="AI2780">
        <v>93.149319363320998</v>
      </c>
      <c r="AJ2780">
        <v>86.829368414505097</v>
      </c>
      <c r="AK2780">
        <v>20.235241592086702</v>
      </c>
      <c r="AL2780">
        <v>81.651602371046707</v>
      </c>
      <c r="AM2780">
        <v>90.2155234319698</v>
      </c>
      <c r="AN2780">
        <v>1.0000000011566099</v>
      </c>
    </row>
    <row r="2781" spans="1:40" x14ac:dyDescent="0.25">
      <c r="A2781" t="str">
        <f>"20190312172944197"</f>
        <v>20190312172944197</v>
      </c>
      <c r="B2781" t="str">
        <f>"1552382984190478"</f>
        <v>1552382984190478</v>
      </c>
      <c r="C2781" t="s">
        <v>40</v>
      </c>
      <c r="D2781">
        <v>3.597264</v>
      </c>
      <c r="E2781">
        <v>0.5231536</v>
      </c>
      <c r="F2781" t="s">
        <v>41</v>
      </c>
      <c r="G2781">
        <v>-494.69580000000002</v>
      </c>
      <c r="H2781" s="1">
        <v>-4.1393170000000002E-6</v>
      </c>
      <c r="I2781">
        <v>236.70269999999999</v>
      </c>
      <c r="J2781">
        <v>-491.99560000000002</v>
      </c>
      <c r="K2781">
        <v>1.1116790000000001</v>
      </c>
      <c r="L2781">
        <v>256.67430000000002</v>
      </c>
      <c r="M2781">
        <v>-7.8307310000000005E-2</v>
      </c>
      <c r="N2781">
        <v>0</v>
      </c>
      <c r="O2781">
        <v>-0.99683849999999996</v>
      </c>
      <c r="P2781">
        <v>-7.4849959999999993E-2</v>
      </c>
      <c r="Q2781">
        <v>0.1315066</v>
      </c>
      <c r="R2781">
        <v>-0.98848530000000001</v>
      </c>
      <c r="S2781">
        <v>-0.40792850000000003</v>
      </c>
      <c r="T2781">
        <v>-0.16740060000000001</v>
      </c>
      <c r="U2781">
        <v>-3.026443</v>
      </c>
      <c r="V2781">
        <v>-3.3567499999999999E-3</v>
      </c>
      <c r="W2781">
        <v>0.14482249999999999</v>
      </c>
      <c r="X2781">
        <v>0.98945190000000005</v>
      </c>
      <c r="Y2781">
        <v>5.5356879999999997E-2</v>
      </c>
      <c r="Z2781">
        <v>5.4685730000000002E-2</v>
      </c>
      <c r="AA2781">
        <v>0.99696799999999997</v>
      </c>
      <c r="AB2781">
        <v>27</v>
      </c>
      <c r="AC2781">
        <v>-2.7001999999999899</v>
      </c>
      <c r="AD2781">
        <v>-1.1116831393169999</v>
      </c>
      <c r="AE2781">
        <v>-19.971599999999999</v>
      </c>
      <c r="AF2781">
        <v>1.1244217448586999</v>
      </c>
      <c r="AG2781">
        <v>-1.1116831393169999</v>
      </c>
      <c r="AH2781">
        <v>20.060685907269399</v>
      </c>
      <c r="AI2781">
        <v>93.166898493577804</v>
      </c>
      <c r="AJ2781">
        <v>86.791870446861793</v>
      </c>
      <c r="AK2781">
        <v>20.122904430838801</v>
      </c>
      <c r="AL2781">
        <v>81.672998829884904</v>
      </c>
      <c r="AM2781">
        <v>90.194377179965997</v>
      </c>
      <c r="AN2781">
        <v>0.99999994334520903</v>
      </c>
    </row>
    <row r="2782" spans="1:40" x14ac:dyDescent="0.25">
      <c r="A2782" t="str">
        <f>"20190312172944209"</f>
        <v>20190312172944209</v>
      </c>
      <c r="B2782" t="str">
        <f>"1552382984200239"</f>
        <v>1552382984200239</v>
      </c>
      <c r="C2782" t="s">
        <v>40</v>
      </c>
      <c r="D2782">
        <v>3.6178560000000002</v>
      </c>
      <c r="E2782">
        <v>0.52309529999999904</v>
      </c>
      <c r="F2782" t="s">
        <v>41</v>
      </c>
      <c r="G2782">
        <v>-494.63799999999998</v>
      </c>
      <c r="H2782" s="1">
        <v>-4.1960360000000003E-6</v>
      </c>
      <c r="I2782">
        <v>236.89949999999999</v>
      </c>
      <c r="J2782">
        <v>-492.00420000000003</v>
      </c>
      <c r="K2782">
        <v>1.1116760000000001</v>
      </c>
      <c r="L2782">
        <v>256.55149999999998</v>
      </c>
      <c r="M2782">
        <v>-7.7261629999999998E-2</v>
      </c>
      <c r="N2782">
        <v>0</v>
      </c>
      <c r="O2782">
        <v>-0.99692029999999998</v>
      </c>
      <c r="P2782">
        <v>-7.4274339999999994E-2</v>
      </c>
      <c r="Q2782">
        <v>0.13123270000000001</v>
      </c>
      <c r="R2782">
        <v>-0.98856540000000004</v>
      </c>
      <c r="S2782">
        <v>-0.40448000000000001</v>
      </c>
      <c r="T2782">
        <v>-0.17016829999999999</v>
      </c>
      <c r="U2782">
        <v>-3.026993</v>
      </c>
      <c r="V2782">
        <v>-2.894967E-3</v>
      </c>
      <c r="W2782">
        <v>0.14454890000000001</v>
      </c>
      <c r="X2782">
        <v>0.98949339999999997</v>
      </c>
      <c r="Y2782">
        <v>5.5257960000000002E-2</v>
      </c>
      <c r="Z2782">
        <v>5.5588249999999999E-2</v>
      </c>
      <c r="AA2782">
        <v>0.99692349999999996</v>
      </c>
      <c r="AB2782">
        <v>27</v>
      </c>
      <c r="AC2782">
        <v>-2.6337999999999999</v>
      </c>
      <c r="AD2782">
        <v>-1.1116801960359901</v>
      </c>
      <c r="AE2782">
        <v>-19.651999999999902</v>
      </c>
      <c r="AF2782">
        <v>1.1039727673098001</v>
      </c>
      <c r="AG2782">
        <v>-1.1116801960359901</v>
      </c>
      <c r="AH2782">
        <v>19.734720437608999</v>
      </c>
      <c r="AI2782">
        <v>93.2191094623564</v>
      </c>
      <c r="AJ2782">
        <v>86.798174884692997</v>
      </c>
      <c r="AK2782">
        <v>19.7968123565336</v>
      </c>
      <c r="AL2782">
        <v>81.688841941250899</v>
      </c>
      <c r="AM2782">
        <v>90.167630140499</v>
      </c>
      <c r="AN2782">
        <v>0.99999997698434995</v>
      </c>
    </row>
    <row r="2783" spans="1:40" x14ac:dyDescent="0.25">
      <c r="A2783" t="str">
        <f>"20190312172944218"</f>
        <v>20190312172944218</v>
      </c>
      <c r="B2783" t="str">
        <f>"1552382984209998"</f>
        <v>1552382984209998</v>
      </c>
      <c r="C2783" t="s">
        <v>40</v>
      </c>
      <c r="D2783">
        <v>3.6687270000000001</v>
      </c>
      <c r="E2783">
        <v>0.52299259999999903</v>
      </c>
      <c r="F2783" t="s">
        <v>41</v>
      </c>
      <c r="G2783">
        <v>-494.59640000000002</v>
      </c>
      <c r="H2783" s="1">
        <v>-4.2411720000000002E-6</v>
      </c>
      <c r="I2783">
        <v>237.0538</v>
      </c>
      <c r="J2783">
        <v>-492.01330000000002</v>
      </c>
      <c r="K2783">
        <v>1.1116729999999999</v>
      </c>
      <c r="L2783">
        <v>256.41849999999999</v>
      </c>
      <c r="M2783">
        <v>-7.6129240000000001E-2</v>
      </c>
      <c r="N2783">
        <v>0</v>
      </c>
      <c r="O2783">
        <v>-0.99700759999999999</v>
      </c>
      <c r="P2783">
        <v>-7.3265670000000005E-2</v>
      </c>
      <c r="Q2783">
        <v>0.13118679999999999</v>
      </c>
      <c r="R2783">
        <v>-0.98864700000000005</v>
      </c>
      <c r="S2783">
        <v>-0.40249629999999997</v>
      </c>
      <c r="T2783">
        <v>-0.1726065</v>
      </c>
      <c r="U2783">
        <v>-3.0273439999999998</v>
      </c>
      <c r="V2783">
        <v>-2.7803319999999999E-3</v>
      </c>
      <c r="W2783">
        <v>0.14450170000000001</v>
      </c>
      <c r="X2783">
        <v>0.98950059999999995</v>
      </c>
      <c r="Y2783">
        <v>5.5729210000000001E-2</v>
      </c>
      <c r="Z2783">
        <v>5.638481E-2</v>
      </c>
      <c r="AA2783">
        <v>0.99685259999999998</v>
      </c>
      <c r="AB2783">
        <v>26</v>
      </c>
      <c r="AC2783">
        <v>-2.5831</v>
      </c>
      <c r="AD2783">
        <v>-1.111677241172</v>
      </c>
      <c r="AE2783">
        <v>-19.364699999999999</v>
      </c>
      <c r="AF2783">
        <v>1.09769532384811</v>
      </c>
      <c r="AG2783">
        <v>-1.111677241172</v>
      </c>
      <c r="AH2783">
        <v>19.4422060805481</v>
      </c>
      <c r="AI2783">
        <v>93.267334435157395</v>
      </c>
      <c r="AJ2783">
        <v>86.768545249891304</v>
      </c>
      <c r="AK2783">
        <v>19.504874739178401</v>
      </c>
      <c r="AL2783">
        <v>81.6915748078208</v>
      </c>
      <c r="AM2783">
        <v>90.160991180814307</v>
      </c>
      <c r="AN2783">
        <v>0.99999995447463896</v>
      </c>
    </row>
    <row r="2784" spans="1:40" x14ac:dyDescent="0.25">
      <c r="A2784" t="str">
        <f>"20190312172944231"</f>
        <v>20190312172944231</v>
      </c>
      <c r="B2784" t="str">
        <f>"1552382984219759"</f>
        <v>1552382984219759</v>
      </c>
      <c r="C2784" t="s">
        <v>40</v>
      </c>
      <c r="D2784">
        <v>3.582192</v>
      </c>
      <c r="E2784">
        <v>0.52304799999999996</v>
      </c>
      <c r="F2784" t="s">
        <v>41</v>
      </c>
      <c r="G2784">
        <v>-494.5693</v>
      </c>
      <c r="H2784" s="1">
        <v>-4.2156529999999999E-6</v>
      </c>
      <c r="I2784">
        <v>236.99289999999999</v>
      </c>
      <c r="J2784">
        <v>-492.0222</v>
      </c>
      <c r="K2784">
        <v>1.1116699999999999</v>
      </c>
      <c r="L2784">
        <v>256.2851</v>
      </c>
      <c r="M2784">
        <v>-7.4991340000000004E-2</v>
      </c>
      <c r="N2784">
        <v>0</v>
      </c>
      <c r="O2784">
        <v>-0.99709360000000002</v>
      </c>
      <c r="P2784">
        <v>-7.1880830000000007E-2</v>
      </c>
      <c r="Q2784">
        <v>0.13128329999999999</v>
      </c>
      <c r="R2784">
        <v>-0.98873540000000004</v>
      </c>
      <c r="S2784">
        <v>-0.39840700000000001</v>
      </c>
      <c r="T2784">
        <v>-0.17328009999999999</v>
      </c>
      <c r="U2784">
        <v>-3.0279240000000001</v>
      </c>
      <c r="V2784">
        <v>-3.0364950000000002E-3</v>
      </c>
      <c r="W2784">
        <v>0.14459459999999999</v>
      </c>
      <c r="X2784">
        <v>0.98948630000000004</v>
      </c>
      <c r="Y2784">
        <v>5.5518949999999997E-2</v>
      </c>
      <c r="Z2784">
        <v>5.6606080000000003E-2</v>
      </c>
      <c r="AA2784">
        <v>0.99685170000000001</v>
      </c>
      <c r="AB2784">
        <v>26</v>
      </c>
      <c r="AC2784">
        <v>-2.5470999999999999</v>
      </c>
      <c r="AD2784">
        <v>-1.111674215653</v>
      </c>
      <c r="AE2784">
        <v>-19.292200000000001</v>
      </c>
      <c r="AF2784">
        <v>1.08949233230264</v>
      </c>
      <c r="AG2784">
        <v>-1.111674215653</v>
      </c>
      <c r="AH2784">
        <v>19.365694243191999</v>
      </c>
      <c r="AI2784">
        <v>93.280243163365995</v>
      </c>
      <c r="AJ2784">
        <v>86.779997733591102</v>
      </c>
      <c r="AK2784">
        <v>19.4281477919202</v>
      </c>
      <c r="AL2784">
        <v>81.686195734509795</v>
      </c>
      <c r="AM2784">
        <v>90.175826387774407</v>
      </c>
      <c r="AN2784">
        <v>0.99999997826936704</v>
      </c>
    </row>
    <row r="2785" spans="1:40" x14ac:dyDescent="0.25">
      <c r="A2785" t="str">
        <f>"20190312172944242"</f>
        <v>20190312172944242</v>
      </c>
      <c r="B2785" t="str">
        <f>"1552382984230494"</f>
        <v>1552382984230494</v>
      </c>
      <c r="C2785" t="s">
        <v>40</v>
      </c>
      <c r="D2785">
        <v>3.6042749999999999</v>
      </c>
      <c r="E2785">
        <v>0.52308770000000004</v>
      </c>
      <c r="F2785" t="s">
        <v>41</v>
      </c>
      <c r="G2785">
        <v>-494.55680000000001</v>
      </c>
      <c r="H2785" s="1">
        <v>-4.1568559999999996E-6</v>
      </c>
      <c r="I2785">
        <v>236.82669999999999</v>
      </c>
      <c r="J2785">
        <v>-492.03149999999999</v>
      </c>
      <c r="K2785">
        <v>1.1116740000000001</v>
      </c>
      <c r="L2785">
        <v>256.14640000000003</v>
      </c>
      <c r="M2785">
        <v>-7.3808070000000003E-2</v>
      </c>
      <c r="N2785">
        <v>0</v>
      </c>
      <c r="O2785">
        <v>-0.99718189999999995</v>
      </c>
      <c r="P2785">
        <v>-7.0070560000000004E-2</v>
      </c>
      <c r="Q2785">
        <v>0.1313436</v>
      </c>
      <c r="R2785">
        <v>-0.98885769999999995</v>
      </c>
      <c r="S2785">
        <v>-0.39447019999999999</v>
      </c>
      <c r="T2785">
        <v>-0.17301749999999999</v>
      </c>
      <c r="U2785">
        <v>-3.0284420000000001</v>
      </c>
      <c r="V2785">
        <v>-3.6738980000000001E-3</v>
      </c>
      <c r="W2785">
        <v>0.144650799999999</v>
      </c>
      <c r="X2785">
        <v>0.98947600000000002</v>
      </c>
      <c r="Y2785">
        <v>5.5408310000000002E-2</v>
      </c>
      <c r="Z2785">
        <v>5.652339E-2</v>
      </c>
      <c r="AA2785">
        <v>0.99686260000000004</v>
      </c>
      <c r="AB2785">
        <v>26</v>
      </c>
      <c r="AC2785">
        <v>-2.5253000000000099</v>
      </c>
      <c r="AD2785">
        <v>-1.1116781568559999</v>
      </c>
      <c r="AE2785">
        <v>-19.319700000000001</v>
      </c>
      <c r="AF2785">
        <v>1.08878793456866</v>
      </c>
      <c r="AG2785">
        <v>-1.1116781568559999</v>
      </c>
      <c r="AH2785">
        <v>19.390277187683498</v>
      </c>
      <c r="AI2785">
        <v>93.276124849805001</v>
      </c>
      <c r="AJ2785">
        <v>86.786146329025897</v>
      </c>
      <c r="AK2785">
        <v>19.452612598468399</v>
      </c>
      <c r="AL2785">
        <v>81.682942125569696</v>
      </c>
      <c r="AM2785">
        <v>90.212736723725598</v>
      </c>
      <c r="AN2785">
        <v>1.00000005302157</v>
      </c>
    </row>
    <row r="2786" spans="1:40" x14ac:dyDescent="0.25">
      <c r="A2786" t="str">
        <f>"20190312172944256"</f>
        <v>20190312172944256</v>
      </c>
      <c r="B2786" t="str">
        <f>"1552382984250660"</f>
        <v>1552382984250660</v>
      </c>
      <c r="C2786" t="s">
        <v>40</v>
      </c>
      <c r="D2786">
        <v>3.5975709999999999</v>
      </c>
      <c r="E2786">
        <v>0.52318690000000001</v>
      </c>
      <c r="F2786" t="s">
        <v>41</v>
      </c>
      <c r="G2786">
        <v>-494.53039999999999</v>
      </c>
      <c r="H2786" s="1">
        <v>-4.1078160000000003E-6</v>
      </c>
      <c r="I2786">
        <v>236.69630000000001</v>
      </c>
      <c r="J2786">
        <v>-492.04160000000002</v>
      </c>
      <c r="K2786">
        <v>1.1116729999999999</v>
      </c>
      <c r="L2786">
        <v>255.989</v>
      </c>
      <c r="M2786">
        <v>-7.2463819999999998E-2</v>
      </c>
      <c r="N2786">
        <v>0</v>
      </c>
      <c r="O2786">
        <v>-0.99728059999999996</v>
      </c>
      <c r="P2786">
        <v>-6.815127E-2</v>
      </c>
      <c r="Q2786">
        <v>0.13148760000000001</v>
      </c>
      <c r="R2786">
        <v>-0.98897299999999999</v>
      </c>
      <c r="S2786">
        <v>-0.3891907</v>
      </c>
      <c r="T2786">
        <v>-0.17313689999999901</v>
      </c>
      <c r="U2786">
        <v>-3.0292210000000002</v>
      </c>
      <c r="V2786">
        <v>-4.2602810000000003E-3</v>
      </c>
      <c r="W2786">
        <v>0.1447899</v>
      </c>
      <c r="X2786">
        <v>0.98945329999999998</v>
      </c>
      <c r="Y2786">
        <v>5.5012310000000002E-2</v>
      </c>
      <c r="Z2786">
        <v>5.6563189999999999E-2</v>
      </c>
      <c r="AA2786">
        <v>0.9968823</v>
      </c>
      <c r="AB2786">
        <v>26</v>
      </c>
      <c r="AC2786">
        <v>-2.4887999999999599</v>
      </c>
      <c r="AD2786">
        <v>-1.1116771078159999</v>
      </c>
      <c r="AE2786">
        <v>-19.2927</v>
      </c>
      <c r="AF2786">
        <v>1.08057794377147</v>
      </c>
      <c r="AG2786">
        <v>-1.1116771078159999</v>
      </c>
      <c r="AH2786">
        <v>19.359110356878698</v>
      </c>
      <c r="AI2786">
        <v>93.281445554921305</v>
      </c>
      <c r="AJ2786">
        <v>86.805205601266394</v>
      </c>
      <c r="AK2786">
        <v>19.421087211956401</v>
      </c>
      <c r="AL2786">
        <v>81.674887455009596</v>
      </c>
      <c r="AM2786">
        <v>90.246696445830494</v>
      </c>
      <c r="AN2786">
        <v>1.0000000490085399</v>
      </c>
    </row>
    <row r="2787" spans="1:40" x14ac:dyDescent="0.25">
      <c r="A2787" t="str">
        <f>"20190312172944271"</f>
        <v>20190312172944271</v>
      </c>
      <c r="B2787" t="str">
        <f>"1552382984260419"</f>
        <v>1552382984260419</v>
      </c>
      <c r="C2787" t="s">
        <v>40</v>
      </c>
      <c r="D2787">
        <v>3.5687269999999902</v>
      </c>
      <c r="E2787">
        <v>0.52324029999999999</v>
      </c>
      <c r="F2787" t="s">
        <v>41</v>
      </c>
      <c r="G2787">
        <v>-494.517</v>
      </c>
      <c r="H2787" s="1">
        <v>-4.0256339999999997E-6</v>
      </c>
      <c r="I2787">
        <v>236.46180000000001</v>
      </c>
      <c r="J2787">
        <v>-492.0521</v>
      </c>
      <c r="K2787">
        <v>1.111672</v>
      </c>
      <c r="L2787">
        <v>255.8229</v>
      </c>
      <c r="M2787">
        <v>-7.1043499999999996E-2</v>
      </c>
      <c r="N2787">
        <v>0</v>
      </c>
      <c r="O2787">
        <v>-0.99738269999999996</v>
      </c>
      <c r="P2787">
        <v>-6.5593929999999995E-2</v>
      </c>
      <c r="Q2787">
        <v>0.13136439999999999</v>
      </c>
      <c r="R2787">
        <v>-0.98916179999999998</v>
      </c>
      <c r="S2787">
        <v>-0.3840942</v>
      </c>
      <c r="T2787">
        <v>-0.17249249999999999</v>
      </c>
      <c r="U2787">
        <v>-3.029922</v>
      </c>
      <c r="V2787">
        <v>-5.4120649999999998E-3</v>
      </c>
      <c r="W2787">
        <v>0.14466019999999999</v>
      </c>
      <c r="X2787">
        <v>0.98946659999999997</v>
      </c>
      <c r="Y2787">
        <v>5.4756630000000001E-2</v>
      </c>
      <c r="Z2787">
        <v>5.6355410000000002E-2</v>
      </c>
      <c r="AA2787">
        <v>0.99690809999999996</v>
      </c>
      <c r="AB2787">
        <v>26</v>
      </c>
      <c r="AC2787">
        <v>-2.4649000000000001</v>
      </c>
      <c r="AD2787">
        <v>-1.1116760256339999</v>
      </c>
      <c r="AE2787">
        <v>-19.3611</v>
      </c>
      <c r="AF2787">
        <v>1.0795637294492799</v>
      </c>
      <c r="AG2787">
        <v>-1.1116760256339999</v>
      </c>
      <c r="AH2787">
        <v>19.424283676049299</v>
      </c>
      <c r="AI2787">
        <v>93.270499645743897</v>
      </c>
      <c r="AJ2787">
        <v>86.818885245650506</v>
      </c>
      <c r="AK2787">
        <v>19.485996966015001</v>
      </c>
      <c r="AL2787">
        <v>81.6823974449768</v>
      </c>
      <c r="AM2787">
        <v>90.313386415124796</v>
      </c>
      <c r="AN2787">
        <v>1.00000000821358</v>
      </c>
    </row>
    <row r="2788" spans="1:40" x14ac:dyDescent="0.25">
      <c r="A2788" t="str">
        <f>"20190312172944290"</f>
        <v>20190312172944290</v>
      </c>
      <c r="B2788" t="str">
        <f>"1552382984279939"</f>
        <v>1552382984279939</v>
      </c>
      <c r="C2788" t="s">
        <v>40</v>
      </c>
      <c r="D2788">
        <v>3.5866539999999998</v>
      </c>
      <c r="E2788">
        <v>0.52326329999999999</v>
      </c>
      <c r="F2788" t="s">
        <v>41</v>
      </c>
      <c r="G2788">
        <v>-494.46730000000002</v>
      </c>
      <c r="H2788" s="1">
        <v>-3.9819860000000002E-6</v>
      </c>
      <c r="I2788">
        <v>236.3595</v>
      </c>
      <c r="J2788">
        <v>-492.0659</v>
      </c>
      <c r="K2788">
        <v>1.111669</v>
      </c>
      <c r="L2788">
        <v>255.59899999999999</v>
      </c>
      <c r="M2788">
        <v>-6.9128419999999996E-2</v>
      </c>
      <c r="N2788">
        <v>0</v>
      </c>
      <c r="O2788">
        <v>-0.99751730000000005</v>
      </c>
      <c r="P2788">
        <v>-6.0862979999999997E-2</v>
      </c>
      <c r="Q2788">
        <v>0.13128529999999999</v>
      </c>
      <c r="R2788">
        <v>-0.98947470000000004</v>
      </c>
      <c r="S2788">
        <v>-0.37609860000000001</v>
      </c>
      <c r="T2788">
        <v>-0.1731142</v>
      </c>
      <c r="U2788">
        <v>-3.0309140000000001</v>
      </c>
      <c r="V2788">
        <v>-8.2491730000000003E-3</v>
      </c>
      <c r="W2788">
        <v>0.1445668</v>
      </c>
      <c r="X2788">
        <v>0.98946060000000002</v>
      </c>
      <c r="Y2788">
        <v>5.4042439999999997E-2</v>
      </c>
      <c r="Z2788">
        <v>5.6561300000000002E-2</v>
      </c>
      <c r="AA2788">
        <v>0.99693540000000003</v>
      </c>
      <c r="AB2788">
        <v>26</v>
      </c>
      <c r="AC2788">
        <v>-2.4014000000000202</v>
      </c>
      <c r="AD2788">
        <v>-1.1116729819859901</v>
      </c>
      <c r="AE2788">
        <v>-19.2395</v>
      </c>
      <c r="AF2788">
        <v>1.0620466015868799</v>
      </c>
      <c r="AG2788">
        <v>-1.1116729819859901</v>
      </c>
      <c r="AH2788">
        <v>19.296052452887601</v>
      </c>
      <c r="AI2788">
        <v>93.292274525689805</v>
      </c>
      <c r="AJ2788">
        <v>86.849643040096296</v>
      </c>
      <c r="AK2788">
        <v>19.3572053785511</v>
      </c>
      <c r="AL2788">
        <v>81.687805181605796</v>
      </c>
      <c r="AM2788">
        <v>90.4776661620364</v>
      </c>
      <c r="AN2788">
        <v>0.99999994373488998</v>
      </c>
    </row>
    <row r="2789" spans="1:40" x14ac:dyDescent="0.25">
      <c r="A2789" t="str">
        <f>"20190312172944304"</f>
        <v>20190312172944304</v>
      </c>
      <c r="B2789" t="str">
        <f>"1552382984300436"</f>
        <v>1552382984300436</v>
      </c>
      <c r="C2789" t="s">
        <v>40</v>
      </c>
      <c r="D2789">
        <v>3.6389179999999999</v>
      </c>
      <c r="E2789">
        <v>0.49325809999999998</v>
      </c>
      <c r="F2789" t="s">
        <v>41</v>
      </c>
      <c r="G2789">
        <v>-494.38310000000001</v>
      </c>
      <c r="H2789" s="1">
        <v>-3.9064920000000004E-6</v>
      </c>
      <c r="I2789">
        <v>236.1815</v>
      </c>
      <c r="J2789">
        <v>-492.07619999999997</v>
      </c>
      <c r="K2789">
        <v>1.111666</v>
      </c>
      <c r="L2789">
        <v>255.4271</v>
      </c>
      <c r="M2789">
        <v>-6.7658670000000004E-2</v>
      </c>
      <c r="N2789">
        <v>0</v>
      </c>
      <c r="O2789">
        <v>-0.99761820000000001</v>
      </c>
      <c r="P2789">
        <v>-5.7924749999999997E-2</v>
      </c>
      <c r="Q2789">
        <v>0.1310057</v>
      </c>
      <c r="R2789">
        <v>-0.98968820000000002</v>
      </c>
      <c r="S2789">
        <v>-0.36190800000000001</v>
      </c>
      <c r="T2789">
        <v>-0.17362379999999999</v>
      </c>
      <c r="U2789">
        <v>-3.0326689999999998</v>
      </c>
      <c r="V2789">
        <v>-9.7324779999999993E-3</v>
      </c>
      <c r="W2789">
        <v>0.14427989999999999</v>
      </c>
      <c r="X2789">
        <v>0.98948910000000001</v>
      </c>
      <c r="Y2789">
        <v>5.0844899999999998E-2</v>
      </c>
      <c r="Z2789">
        <v>5.672406E-2</v>
      </c>
      <c r="AA2789">
        <v>0.99709440000000005</v>
      </c>
      <c r="AB2789">
        <v>26</v>
      </c>
      <c r="AC2789">
        <v>-2.3069000000000401</v>
      </c>
      <c r="AD2789">
        <v>-1.1116699064919999</v>
      </c>
      <c r="AE2789">
        <v>-19.2456</v>
      </c>
      <c r="AF2789">
        <v>0.99608743530383903</v>
      </c>
      <c r="AG2789">
        <v>-1.1116699064919999</v>
      </c>
      <c r="AH2789">
        <v>19.294124445798101</v>
      </c>
      <c r="AI2789">
        <v>93.293190093983796</v>
      </c>
      <c r="AJ2789">
        <v>87.044645223601194</v>
      </c>
      <c r="AK2789">
        <v>19.351776101684099</v>
      </c>
      <c r="AL2789">
        <v>81.704418350192498</v>
      </c>
      <c r="AM2789">
        <v>90.563535194238497</v>
      </c>
      <c r="AN2789">
        <v>1.0000000448454101</v>
      </c>
    </row>
    <row r="2790" spans="1:40" x14ac:dyDescent="0.25">
      <c r="A2790" t="str">
        <f>"20190312172944320"</f>
        <v>20190312172944320</v>
      </c>
      <c r="B2790" t="str">
        <f>"1552382984310196"</f>
        <v>1552382984310196</v>
      </c>
      <c r="C2790" t="s">
        <v>40</v>
      </c>
      <c r="D2790">
        <v>3.4844059999999999</v>
      </c>
      <c r="E2790">
        <v>0.48294559999999997</v>
      </c>
      <c r="F2790" t="s">
        <v>41</v>
      </c>
      <c r="G2790">
        <v>-492.80410000000001</v>
      </c>
      <c r="H2790" s="1">
        <v>-3.4814849999999998E-6</v>
      </c>
      <c r="I2790">
        <v>235.96530000000001</v>
      </c>
      <c r="J2790">
        <v>-492.0881</v>
      </c>
      <c r="K2790">
        <v>1.111661</v>
      </c>
      <c r="L2790">
        <v>255.22389999999999</v>
      </c>
      <c r="M2790">
        <v>-6.5923090000000004E-2</v>
      </c>
      <c r="N2790">
        <v>0</v>
      </c>
      <c r="O2790">
        <v>-0.99773440000000002</v>
      </c>
      <c r="P2790">
        <v>-5.2358380000000003E-2</v>
      </c>
      <c r="Q2790">
        <v>0.13082750000000001</v>
      </c>
      <c r="R2790">
        <v>-0.99002190000000001</v>
      </c>
      <c r="S2790">
        <v>-0.11398320000000001</v>
      </c>
      <c r="T2790">
        <v>-0.17408309999999999</v>
      </c>
      <c r="U2790">
        <v>-3.0476380000000001</v>
      </c>
      <c r="V2790">
        <v>-1.3581940000000001E-2</v>
      </c>
      <c r="W2790">
        <v>0.14408460000000001</v>
      </c>
      <c r="X2790">
        <v>0.98947220000000002</v>
      </c>
      <c r="Y2790">
        <v>-2.8650399999999999E-2</v>
      </c>
      <c r="Z2790">
        <v>5.6810329999999999E-2</v>
      </c>
      <c r="AA2790">
        <v>0.99797380000000002</v>
      </c>
      <c r="AB2790">
        <v>26</v>
      </c>
      <c r="AC2790">
        <v>-0.71600000000000796</v>
      </c>
      <c r="AD2790">
        <v>-1.1116644814849901</v>
      </c>
      <c r="AE2790">
        <v>-19.258599999999898</v>
      </c>
      <c r="AF2790">
        <v>-0.55341721403475597</v>
      </c>
      <c r="AG2790">
        <v>-1.1116644814849901</v>
      </c>
      <c r="AH2790">
        <v>19.2000193956979</v>
      </c>
      <c r="AI2790">
        <v>93.312303856233498</v>
      </c>
      <c r="AJ2790">
        <v>91.651024051159695</v>
      </c>
      <c r="AK2790">
        <v>19.2401354810033</v>
      </c>
      <c r="AL2790">
        <v>81.715726312576706</v>
      </c>
      <c r="AM2790">
        <v>90.786418224716698</v>
      </c>
      <c r="AN2790">
        <v>1.0000000378120799</v>
      </c>
    </row>
    <row r="2791" spans="1:40" x14ac:dyDescent="0.25">
      <c r="A2791" t="str">
        <f>"20190312172944342"</f>
        <v>20190312172944342</v>
      </c>
      <c r="B2791" t="str">
        <f>"1552382984330692"</f>
        <v>1552382984330692</v>
      </c>
      <c r="C2791" t="s">
        <v>40</v>
      </c>
      <c r="D2791">
        <v>3.5682420000000001</v>
      </c>
      <c r="E2791">
        <v>0.47446640000000001</v>
      </c>
      <c r="F2791" t="s">
        <v>41</v>
      </c>
      <c r="G2791">
        <v>-492.18770000000001</v>
      </c>
      <c r="H2791" s="1">
        <v>-2.892683E-6</v>
      </c>
      <c r="I2791">
        <v>234.9751</v>
      </c>
      <c r="J2791">
        <v>-492.10210000000001</v>
      </c>
      <c r="K2791">
        <v>1.1116539999999999</v>
      </c>
      <c r="L2791">
        <v>254.9752</v>
      </c>
      <c r="M2791">
        <v>-6.3807870000000003E-2</v>
      </c>
      <c r="N2791">
        <v>0</v>
      </c>
      <c r="O2791">
        <v>-0.99787199999999998</v>
      </c>
      <c r="P2791">
        <v>-4.5731649999999999E-2</v>
      </c>
      <c r="Q2791">
        <v>0.13062879999999999</v>
      </c>
      <c r="R2791">
        <v>-0.99037620000000004</v>
      </c>
      <c r="S2791">
        <v>-1.5014649999999999E-2</v>
      </c>
      <c r="T2791">
        <v>-0.16753180000000001</v>
      </c>
      <c r="U2791">
        <v>-3.0515590000000001</v>
      </c>
      <c r="V2791">
        <v>-1.8113230000000001E-2</v>
      </c>
      <c r="W2791">
        <v>0.1438651</v>
      </c>
      <c r="X2791">
        <v>0.98943150000000002</v>
      </c>
      <c r="Y2791">
        <v>-5.8909889999999999E-2</v>
      </c>
      <c r="Z2791">
        <v>5.460243E-2</v>
      </c>
      <c r="AA2791">
        <v>0.99676889999999996</v>
      </c>
      <c r="AB2791">
        <v>26</v>
      </c>
      <c r="AC2791">
        <v>-8.5599999999999399E-2</v>
      </c>
      <c r="AD2791">
        <v>-1.1116568926829999</v>
      </c>
      <c r="AE2791">
        <v>-20.0001</v>
      </c>
      <c r="AF2791">
        <v>-1.18718548602887</v>
      </c>
      <c r="AG2791">
        <v>-1.1116568926829999</v>
      </c>
      <c r="AH2791">
        <v>19.903310333654399</v>
      </c>
      <c r="AI2791">
        <v>93.191151954487495</v>
      </c>
      <c r="AJ2791">
        <v>93.413513607177507</v>
      </c>
      <c r="AK2791">
        <v>19.969650789711899</v>
      </c>
      <c r="AL2791">
        <v>81.728434618485693</v>
      </c>
      <c r="AM2791">
        <v>91.048779748615303</v>
      </c>
      <c r="AN2791">
        <v>0.99999997464564605</v>
      </c>
    </row>
    <row r="2792" spans="1:40" x14ac:dyDescent="0.25">
      <c r="A2792" t="str">
        <f>"20190312172944354"</f>
        <v>20190312172944354</v>
      </c>
      <c r="B2792" t="str">
        <f>"1552382984340451"</f>
        <v>1552382984340451</v>
      </c>
      <c r="C2792" t="s">
        <v>40</v>
      </c>
      <c r="D2792">
        <v>3.5686689999999999</v>
      </c>
      <c r="E2792">
        <v>0.47237590000000002</v>
      </c>
      <c r="F2792" t="s">
        <v>41</v>
      </c>
      <c r="G2792">
        <v>-491.6703</v>
      </c>
      <c r="H2792" s="1">
        <v>-3.4495000000000002E-6</v>
      </c>
      <c r="I2792">
        <v>236.59399999999999</v>
      </c>
      <c r="J2792">
        <v>-492.10930000000002</v>
      </c>
      <c r="K2792">
        <v>1.1116469999999901</v>
      </c>
      <c r="L2792">
        <v>254.84289999999999</v>
      </c>
      <c r="M2792">
        <v>-6.2691709999999998E-2</v>
      </c>
      <c r="N2792">
        <v>0</v>
      </c>
      <c r="O2792">
        <v>-0.99794260000000001</v>
      </c>
      <c r="P2792">
        <v>-4.2299099999999999E-2</v>
      </c>
      <c r="Q2792">
        <v>0.1306841</v>
      </c>
      <c r="R2792">
        <v>-0.9905214</v>
      </c>
      <c r="S2792">
        <v>7.1807860000000001E-2</v>
      </c>
      <c r="T2792">
        <v>-0.18487410000000001</v>
      </c>
      <c r="U2792">
        <v>-3.0568849999999999</v>
      </c>
      <c r="V2792">
        <v>-2.0437110000000001E-2</v>
      </c>
      <c r="W2792">
        <v>0.14390999999999901</v>
      </c>
      <c r="X2792">
        <v>0.98937969999999997</v>
      </c>
      <c r="Y2792">
        <v>-8.6075219999999994E-2</v>
      </c>
      <c r="Z2792">
        <v>6.0069230000000001E-2</v>
      </c>
      <c r="AA2792">
        <v>0.99447609999999997</v>
      </c>
      <c r="AB2792">
        <v>26</v>
      </c>
      <c r="AC2792">
        <v>0.43900000000002098</v>
      </c>
      <c r="AD2792">
        <v>-1.1116504494999999</v>
      </c>
      <c r="AE2792">
        <v>-18.2488999999999</v>
      </c>
      <c r="AF2792">
        <v>-1.57644777210259</v>
      </c>
      <c r="AG2792">
        <v>-1.1116504494999999</v>
      </c>
      <c r="AH2792">
        <v>18.1182789598836</v>
      </c>
      <c r="AI2792">
        <v>93.497810046299094</v>
      </c>
      <c r="AJ2792">
        <v>94.972707476076494</v>
      </c>
      <c r="AK2792">
        <v>18.220674706722601</v>
      </c>
      <c r="AL2792">
        <v>81.725835007283393</v>
      </c>
      <c r="AM2792">
        <v>91.183361297196996</v>
      </c>
      <c r="AN2792">
        <v>0.99999997716861999</v>
      </c>
    </row>
    <row r="2793" spans="1:40" x14ac:dyDescent="0.25">
      <c r="A2793" t="str">
        <f>"20190312172944366"</f>
        <v>20190312172944366</v>
      </c>
      <c r="B2793" t="str">
        <f>"1552382984359972"</f>
        <v>1552382984359972</v>
      </c>
      <c r="C2793" t="s">
        <v>40</v>
      </c>
      <c r="D2793">
        <v>3.5671249999999999</v>
      </c>
      <c r="E2793">
        <v>0.46977049999999998</v>
      </c>
      <c r="F2793" t="s">
        <v>41</v>
      </c>
      <c r="G2793">
        <v>-491.53460000000001</v>
      </c>
      <c r="H2793" s="1">
        <v>-3.597297E-6</v>
      </c>
      <c r="I2793">
        <v>237.02269999999999</v>
      </c>
      <c r="J2793">
        <v>-492.11720000000003</v>
      </c>
      <c r="K2793">
        <v>1.111639</v>
      </c>
      <c r="L2793">
        <v>254.69640000000001</v>
      </c>
      <c r="M2793">
        <v>-6.146136E-2</v>
      </c>
      <c r="N2793">
        <v>0</v>
      </c>
      <c r="O2793">
        <v>-0.9980192</v>
      </c>
      <c r="P2793">
        <v>-3.8939550000000003E-2</v>
      </c>
      <c r="Q2793">
        <v>0.13076789999999999</v>
      </c>
      <c r="R2793">
        <v>-0.99064810000000003</v>
      </c>
      <c r="S2793">
        <v>9.8632810000000001E-2</v>
      </c>
      <c r="T2793">
        <v>-0.19076879999999999</v>
      </c>
      <c r="U2793">
        <v>-3.05809</v>
      </c>
      <c r="V2793">
        <v>-2.2572999999999999E-2</v>
      </c>
      <c r="W2793">
        <v>0.1439841</v>
      </c>
      <c r="X2793">
        <v>0.98932249999999999</v>
      </c>
      <c r="Y2793">
        <v>-9.3548049999999994E-2</v>
      </c>
      <c r="Z2793">
        <v>6.1931519999999997E-2</v>
      </c>
      <c r="AA2793">
        <v>0.99368670000000003</v>
      </c>
      <c r="AB2793">
        <v>26</v>
      </c>
      <c r="AC2793">
        <v>0.582600000000013</v>
      </c>
      <c r="AD2793">
        <v>-1.1116425972970001</v>
      </c>
      <c r="AE2793">
        <v>-17.6737</v>
      </c>
      <c r="AF2793">
        <v>-1.66128070339426</v>
      </c>
      <c r="AG2793">
        <v>-1.1116425972970001</v>
      </c>
      <c r="AH2793">
        <v>17.535173683978499</v>
      </c>
      <c r="AI2793">
        <v>93.611285026564502</v>
      </c>
      <c r="AJ2793">
        <v>95.412043128859295</v>
      </c>
      <c r="AK2793">
        <v>17.648737036028599</v>
      </c>
      <c r="AL2793">
        <v>81.721544775039106</v>
      </c>
      <c r="AM2793">
        <v>91.307069499123799</v>
      </c>
      <c r="AN2793">
        <v>0.999999985194029</v>
      </c>
    </row>
    <row r="2794" spans="1:40" x14ac:dyDescent="0.25">
      <c r="A2794" t="str">
        <f>"20190312172944379"</f>
        <v>20190312172944379</v>
      </c>
      <c r="B2794" t="str">
        <f>"1552382984369732"</f>
        <v>1552382984369732</v>
      </c>
      <c r="C2794" t="s">
        <v>40</v>
      </c>
      <c r="D2794">
        <v>3.56026</v>
      </c>
      <c r="E2794">
        <v>0.46881250000000002</v>
      </c>
      <c r="F2794" t="s">
        <v>41</v>
      </c>
      <c r="G2794">
        <v>-491.38749999999999</v>
      </c>
      <c r="H2794" s="1">
        <v>-3.754931E-6</v>
      </c>
      <c r="I2794">
        <v>237.48140000000001</v>
      </c>
      <c r="J2794">
        <v>-492.12529999999998</v>
      </c>
      <c r="K2794">
        <v>1.111626</v>
      </c>
      <c r="L2794">
        <v>254.54150000000001</v>
      </c>
      <c r="M2794">
        <v>-6.0172110000000001E-2</v>
      </c>
      <c r="N2794">
        <v>0</v>
      </c>
      <c r="O2794">
        <v>-0.99809800000000004</v>
      </c>
      <c r="P2794">
        <v>-3.547521E-2</v>
      </c>
      <c r="Q2794">
        <v>0.13080069999999999</v>
      </c>
      <c r="R2794">
        <v>-0.9907743</v>
      </c>
      <c r="S2794">
        <v>0.1296997</v>
      </c>
      <c r="T2794">
        <v>-0.19756570000000001</v>
      </c>
      <c r="U2794">
        <v>-3.0595249999999998</v>
      </c>
      <c r="V2794">
        <v>-2.4753270000000001E-2</v>
      </c>
      <c r="W2794">
        <v>0.14400669999999999</v>
      </c>
      <c r="X2794">
        <v>0.98926709999999995</v>
      </c>
      <c r="Y2794">
        <v>-0.102313399999999</v>
      </c>
      <c r="Z2794">
        <v>6.4066830000000005E-2</v>
      </c>
      <c r="AA2794">
        <v>0.99268699999999999</v>
      </c>
      <c r="AB2794">
        <v>26</v>
      </c>
      <c r="AC2794">
        <v>0.73779999999999202</v>
      </c>
      <c r="AD2794">
        <v>-1.1116297549309999</v>
      </c>
      <c r="AE2794">
        <v>-17.060099999999998</v>
      </c>
      <c r="AF2794">
        <v>-1.7556571261106499</v>
      </c>
      <c r="AG2794">
        <v>-1.1116297549309999</v>
      </c>
      <c r="AH2794">
        <v>16.913107626294</v>
      </c>
      <c r="AI2794">
        <v>93.740369403281903</v>
      </c>
      <c r="AJ2794">
        <v>95.926335902146505</v>
      </c>
      <c r="AK2794">
        <v>17.04028351393</v>
      </c>
      <c r="AL2794">
        <v>81.720236581865905</v>
      </c>
      <c r="AM2794">
        <v>91.433345983842798</v>
      </c>
      <c r="AN2794">
        <v>1.00000002458149</v>
      </c>
    </row>
    <row r="2795" spans="1:40" x14ac:dyDescent="0.25">
      <c r="A2795" t="str">
        <f>"20190312172944391"</f>
        <v>20190312172944391</v>
      </c>
      <c r="B2795" t="str">
        <f>"1552382984380468"</f>
        <v>1552382984380468</v>
      </c>
      <c r="C2795" t="s">
        <v>40</v>
      </c>
      <c r="D2795">
        <v>3.5012530000000002</v>
      </c>
      <c r="E2795">
        <v>0.46815420000000002</v>
      </c>
      <c r="F2795" t="s">
        <v>41</v>
      </c>
      <c r="G2795">
        <v>-491.29680000000002</v>
      </c>
      <c r="H2795" s="1">
        <v>-3.687506E-6</v>
      </c>
      <c r="I2795">
        <v>237.38050000000001</v>
      </c>
      <c r="J2795">
        <v>-492.13200000000001</v>
      </c>
      <c r="K2795">
        <v>1.111615</v>
      </c>
      <c r="L2795">
        <v>254.4101</v>
      </c>
      <c r="M2795">
        <v>-5.9089160000000002E-2</v>
      </c>
      <c r="N2795">
        <v>0</v>
      </c>
      <c r="O2795">
        <v>-0.99816269999999996</v>
      </c>
      <c r="P2795">
        <v>-3.2123190000000003E-2</v>
      </c>
      <c r="Q2795">
        <v>0.13070409999999999</v>
      </c>
      <c r="R2795">
        <v>-0.99090109999999998</v>
      </c>
      <c r="S2795">
        <v>0.14770510000000001</v>
      </c>
      <c r="T2795">
        <v>-0.19817570000000001</v>
      </c>
      <c r="U2795">
        <v>-3.0593870000000001</v>
      </c>
      <c r="V2795">
        <v>-2.702684E-2</v>
      </c>
      <c r="W2795">
        <v>0.1439001</v>
      </c>
      <c r="X2795">
        <v>0.98922310000000002</v>
      </c>
      <c r="Y2795">
        <v>-0.1070644</v>
      </c>
      <c r="Z2795">
        <v>6.4248239999999998E-2</v>
      </c>
      <c r="AA2795">
        <v>0.99217409999999995</v>
      </c>
      <c r="AB2795">
        <v>26</v>
      </c>
      <c r="AC2795">
        <v>0.835199999999929</v>
      </c>
      <c r="AD2795">
        <v>-1.1116186875059999</v>
      </c>
      <c r="AE2795">
        <v>-17.029599999999899</v>
      </c>
      <c r="AF2795">
        <v>-1.83230701313929</v>
      </c>
      <c r="AG2795">
        <v>-1.1116186875059999</v>
      </c>
      <c r="AH2795">
        <v>16.8787370038084</v>
      </c>
      <c r="AI2795">
        <v>93.746062678359294</v>
      </c>
      <c r="AJ2795">
        <v>96.1956029395119</v>
      </c>
      <c r="AK2795">
        <v>17.014253082064499</v>
      </c>
      <c r="AL2795">
        <v>81.726408518610199</v>
      </c>
      <c r="AM2795">
        <v>91.565004636800595</v>
      </c>
      <c r="AN2795">
        <v>1.0000000152170001</v>
      </c>
    </row>
    <row r="2796" spans="1:40" x14ac:dyDescent="0.25">
      <c r="A2796" t="str">
        <f>"20190312172944402"</f>
        <v>20190312172944402</v>
      </c>
      <c r="B2796" t="str">
        <f>"1552382984390228"</f>
        <v>1552382984390228</v>
      </c>
      <c r="C2796" t="s">
        <v>40</v>
      </c>
      <c r="D2796">
        <v>3.536165</v>
      </c>
      <c r="E2796">
        <v>0.4676264</v>
      </c>
      <c r="F2796" t="s">
        <v>41</v>
      </c>
      <c r="G2796">
        <v>-491.2165</v>
      </c>
      <c r="H2796" s="1">
        <v>-3.606519E-6</v>
      </c>
      <c r="I2796">
        <v>237.2415</v>
      </c>
      <c r="J2796">
        <v>-492.13889999999998</v>
      </c>
      <c r="K2796">
        <v>1.1115980000000001</v>
      </c>
      <c r="L2796">
        <v>254.274</v>
      </c>
      <c r="M2796">
        <v>-5.7972660000000002E-2</v>
      </c>
      <c r="N2796">
        <v>0</v>
      </c>
      <c r="O2796">
        <v>-0.998228</v>
      </c>
      <c r="P2796">
        <v>-2.9055830000000001E-2</v>
      </c>
      <c r="Q2796">
        <v>0.13056509999999999</v>
      </c>
      <c r="R2796">
        <v>-0.9910139</v>
      </c>
      <c r="S2796">
        <v>0.1631165</v>
      </c>
      <c r="T2796">
        <v>-0.19805790000000001</v>
      </c>
      <c r="U2796">
        <v>-3.058945</v>
      </c>
      <c r="V2796">
        <v>-2.8981670000000001E-2</v>
      </c>
      <c r="W2796">
        <v>0.1437524</v>
      </c>
      <c r="X2796">
        <v>0.98918919999999999</v>
      </c>
      <c r="Y2796">
        <v>-0.1109444</v>
      </c>
      <c r="Z2796">
        <v>6.4203880000000005E-2</v>
      </c>
      <c r="AA2796">
        <v>0.99175060000000004</v>
      </c>
      <c r="AB2796">
        <v>26</v>
      </c>
      <c r="AC2796">
        <v>0.92239999999998201</v>
      </c>
      <c r="AD2796">
        <v>-1.111601606519</v>
      </c>
      <c r="AE2796">
        <v>-17.032499999999999</v>
      </c>
      <c r="AF2796">
        <v>-1.9002863450265199</v>
      </c>
      <c r="AG2796">
        <v>-1.111601606519</v>
      </c>
      <c r="AH2796">
        <v>16.8786885730023</v>
      </c>
      <c r="AI2796">
        <v>93.744372873930104</v>
      </c>
      <c r="AJ2796">
        <v>96.423593250341099</v>
      </c>
      <c r="AK2796">
        <v>17.021658975232299</v>
      </c>
      <c r="AL2796">
        <v>81.734959735200704</v>
      </c>
      <c r="AM2796">
        <v>91.678195120153504</v>
      </c>
      <c r="AN2796">
        <v>0.99999998154919401</v>
      </c>
    </row>
    <row r="2797" spans="1:40" x14ac:dyDescent="0.25">
      <c r="A2797" t="str">
        <f>"20190312172944414"</f>
        <v>20190312172944414</v>
      </c>
      <c r="B2797" t="str">
        <f>"1552382984409748"</f>
        <v>1552382984409748</v>
      </c>
      <c r="C2797" t="s">
        <v>40</v>
      </c>
      <c r="D2797">
        <v>3.4480909999999998</v>
      </c>
      <c r="E2797">
        <v>0.46624100000000002</v>
      </c>
      <c r="F2797" t="s">
        <v>41</v>
      </c>
      <c r="G2797">
        <v>-491.14789999999999</v>
      </c>
      <c r="H2797" s="1">
        <v>-3.5314889999999999E-6</v>
      </c>
      <c r="I2797">
        <v>237.10910000000001</v>
      </c>
      <c r="J2797">
        <v>-492.1456</v>
      </c>
      <c r="K2797">
        <v>1.1115809999999999</v>
      </c>
      <c r="L2797">
        <v>254.1369</v>
      </c>
      <c r="M2797">
        <v>-5.6868490000000001E-2</v>
      </c>
      <c r="N2797">
        <v>0</v>
      </c>
      <c r="O2797">
        <v>-0.9982917</v>
      </c>
      <c r="P2797">
        <v>-2.5885189999999999E-2</v>
      </c>
      <c r="Q2797">
        <v>0.13044819999999999</v>
      </c>
      <c r="R2797">
        <v>-0.99111769999999999</v>
      </c>
      <c r="S2797">
        <v>0.1765747</v>
      </c>
      <c r="T2797">
        <v>-0.19806609999999999</v>
      </c>
      <c r="U2797">
        <v>-3.0584560000000001</v>
      </c>
      <c r="V2797">
        <v>-3.1050029999999999E-2</v>
      </c>
      <c r="W2797">
        <v>0.14362730000000001</v>
      </c>
      <c r="X2797">
        <v>0.98914460000000004</v>
      </c>
      <c r="Y2797">
        <v>-0.1142036</v>
      </c>
      <c r="Z2797">
        <v>6.4203170000000004E-2</v>
      </c>
      <c r="AA2797">
        <v>0.99138059999999995</v>
      </c>
      <c r="AB2797">
        <v>26</v>
      </c>
      <c r="AC2797">
        <v>0.99770000000000802</v>
      </c>
      <c r="AD2797">
        <v>-1.1115845314889901</v>
      </c>
      <c r="AE2797">
        <v>-17.0277999999999</v>
      </c>
      <c r="AF2797">
        <v>-1.95620941174434</v>
      </c>
      <c r="AG2797">
        <v>-1.1115845314889901</v>
      </c>
      <c r="AH2797">
        <v>16.871841535142199</v>
      </c>
      <c r="AI2797">
        <v>93.744415331278503</v>
      </c>
      <c r="AJ2797">
        <v>96.613640999859598</v>
      </c>
      <c r="AK2797">
        <v>17.021204781689001</v>
      </c>
      <c r="AL2797">
        <v>81.742202524533994</v>
      </c>
      <c r="AM2797">
        <v>91.797969351442205</v>
      </c>
      <c r="AN2797">
        <v>0.99999997268872498</v>
      </c>
    </row>
    <row r="2798" spans="1:40" x14ac:dyDescent="0.25">
      <c r="A2798" t="str">
        <f>"20190312172944432"</f>
        <v>20190312172944432</v>
      </c>
      <c r="B2798" t="str">
        <f>"1552382984420492"</f>
        <v>1552382984420492</v>
      </c>
      <c r="C2798" t="s">
        <v>40</v>
      </c>
      <c r="D2798">
        <v>3.4866030000000001</v>
      </c>
      <c r="E2798">
        <v>0.46576420000000002</v>
      </c>
      <c r="F2798" t="s">
        <v>41</v>
      </c>
      <c r="G2798">
        <v>-491.02120000000002</v>
      </c>
      <c r="H2798" s="1">
        <v>-3.3231929999999998E-6</v>
      </c>
      <c r="I2798">
        <v>236.7022</v>
      </c>
      <c r="J2798">
        <v>-492.15559999999999</v>
      </c>
      <c r="K2798">
        <v>1.11155</v>
      </c>
      <c r="L2798">
        <v>253.92930000000001</v>
      </c>
      <c r="M2798">
        <v>-5.5217679999999998E-2</v>
      </c>
      <c r="N2798">
        <v>0</v>
      </c>
      <c r="O2798">
        <v>-0.9983841</v>
      </c>
      <c r="P2798">
        <v>-1.9786149999999999E-2</v>
      </c>
      <c r="Q2798">
        <v>0.13034589999999999</v>
      </c>
      <c r="R2798">
        <v>-0.99127109999999996</v>
      </c>
      <c r="S2798">
        <v>0.19720460000000001</v>
      </c>
      <c r="T2798">
        <v>-0.19494800000000001</v>
      </c>
      <c r="U2798">
        <v>-3.0576780000000001</v>
      </c>
      <c r="V2798">
        <v>-3.5499030000000001E-2</v>
      </c>
      <c r="W2798">
        <v>0.143507</v>
      </c>
      <c r="X2798">
        <v>0.98901240000000001</v>
      </c>
      <c r="Y2798">
        <v>-0.119241899999999</v>
      </c>
      <c r="Z2798">
        <v>6.3189560000000006E-2</v>
      </c>
      <c r="AA2798">
        <v>0.99085239999999997</v>
      </c>
      <c r="AB2798">
        <v>26</v>
      </c>
      <c r="AC2798">
        <v>1.1343999999999701</v>
      </c>
      <c r="AD2798">
        <v>-1.1115533231929999</v>
      </c>
      <c r="AE2798">
        <v>-17.2271</v>
      </c>
      <c r="AF2798">
        <v>-2.0753920452025798</v>
      </c>
      <c r="AG2798">
        <v>-1.1115533231929999</v>
      </c>
      <c r="AH2798">
        <v>17.0674182227066</v>
      </c>
      <c r="AI2798">
        <v>93.699080482504698</v>
      </c>
      <c r="AJ2798">
        <v>96.933108243859905</v>
      </c>
      <c r="AK2798">
        <v>17.2290326983371</v>
      </c>
      <c r="AL2798">
        <v>81.749167450703595</v>
      </c>
      <c r="AM2798">
        <v>92.055658555594107</v>
      </c>
      <c r="AN2798">
        <v>0.99999998376684995</v>
      </c>
    </row>
    <row r="2799" spans="1:40" x14ac:dyDescent="0.25">
      <c r="A2799" t="str">
        <f>"20190312172944444"</f>
        <v>20190312172944444</v>
      </c>
      <c r="B2799" t="str">
        <f>"1552382984440004"</f>
        <v>1552382984440004</v>
      </c>
      <c r="C2799" t="s">
        <v>40</v>
      </c>
      <c r="D2799">
        <v>3.4751669999999999</v>
      </c>
      <c r="E2799">
        <v>0.46526869999999998</v>
      </c>
      <c r="F2799" t="s">
        <v>41</v>
      </c>
      <c r="G2799">
        <v>-490.90600000000001</v>
      </c>
      <c r="H2799" s="1">
        <v>-3.182413E-6</v>
      </c>
      <c r="I2799">
        <v>236.44550000000001</v>
      </c>
      <c r="J2799">
        <v>-492.16210000000001</v>
      </c>
      <c r="K2799">
        <v>1.1115280000000001</v>
      </c>
      <c r="L2799">
        <v>253.7903</v>
      </c>
      <c r="M2799">
        <v>-5.4128040000000002E-2</v>
      </c>
      <c r="N2799">
        <v>0</v>
      </c>
      <c r="O2799">
        <v>-0.99844390000000005</v>
      </c>
      <c r="P2799">
        <v>-1.6786479999999999E-2</v>
      </c>
      <c r="Q2799">
        <v>0.13038130000000001</v>
      </c>
      <c r="R2799">
        <v>-0.99132189999999998</v>
      </c>
      <c r="S2799">
        <v>0.21844479999999999</v>
      </c>
      <c r="T2799">
        <v>-0.1943097</v>
      </c>
      <c r="U2799">
        <v>-3.0563349999999998</v>
      </c>
      <c r="V2799">
        <v>-3.740831E-2</v>
      </c>
      <c r="W2799">
        <v>0.14353479999999999</v>
      </c>
      <c r="X2799">
        <v>0.98893799999999998</v>
      </c>
      <c r="Y2799">
        <v>-0.12503939999999999</v>
      </c>
      <c r="Z2799">
        <v>6.2979300000000002E-2</v>
      </c>
      <c r="AA2799">
        <v>0.99015089999999994</v>
      </c>
      <c r="AB2799">
        <v>26</v>
      </c>
      <c r="AC2799">
        <v>1.2561</v>
      </c>
      <c r="AD2799">
        <v>-1.1115311824130001</v>
      </c>
      <c r="AE2799">
        <v>-17.3447999999999</v>
      </c>
      <c r="AF2799">
        <v>-2.1842591943540901</v>
      </c>
      <c r="AG2799">
        <v>-1.1115311824130001</v>
      </c>
      <c r="AH2799">
        <v>17.181179916301598</v>
      </c>
      <c r="AI2799">
        <v>93.672100543510396</v>
      </c>
      <c r="AJ2799">
        <v>97.245198976012603</v>
      </c>
      <c r="AK2799">
        <v>17.355098187965499</v>
      </c>
      <c r="AL2799">
        <v>81.747558051800894</v>
      </c>
      <c r="AM2799">
        <v>92.166280276414</v>
      </c>
      <c r="AN2799">
        <v>0.99999999415604801</v>
      </c>
    </row>
    <row r="2800" spans="1:40" x14ac:dyDescent="0.25">
      <c r="A2800" t="str">
        <f>"20190312172944457"</f>
        <v>20190312172944457</v>
      </c>
      <c r="B2800" t="str">
        <f>"1552382984449764"</f>
        <v>1552382984449764</v>
      </c>
      <c r="C2800" t="s">
        <v>40</v>
      </c>
      <c r="D2800">
        <v>3.4911310000000002</v>
      </c>
      <c r="E2800">
        <v>0.46512179999999997</v>
      </c>
      <c r="F2800" t="s">
        <v>41</v>
      </c>
      <c r="G2800">
        <v>-490.82870000000003</v>
      </c>
      <c r="H2800" s="1">
        <v>-3.051412E-6</v>
      </c>
      <c r="I2800">
        <v>236.18809999999999</v>
      </c>
      <c r="J2800">
        <v>-492.16899999999998</v>
      </c>
      <c r="K2800">
        <v>1.111502</v>
      </c>
      <c r="L2800">
        <v>253.63939999999999</v>
      </c>
      <c r="M2800">
        <v>-5.2974340000000002E-2</v>
      </c>
      <c r="N2800">
        <v>0</v>
      </c>
      <c r="O2800">
        <v>-0.998506</v>
      </c>
      <c r="P2800">
        <v>-1.401635E-2</v>
      </c>
      <c r="Q2800">
        <v>0.13011139999999999</v>
      </c>
      <c r="R2800">
        <v>-0.99140070000000002</v>
      </c>
      <c r="S2800">
        <v>0.23147580000000001</v>
      </c>
      <c r="T2800">
        <v>-0.1929495</v>
      </c>
      <c r="U2800">
        <v>-3.0555569999999999</v>
      </c>
      <c r="V2800">
        <v>-3.9024459999999997E-2</v>
      </c>
      <c r="W2800">
        <v>0.1432592</v>
      </c>
      <c r="X2800">
        <v>0.98891549999999995</v>
      </c>
      <c r="Y2800">
        <v>-0.12811239999999999</v>
      </c>
      <c r="Z2800">
        <v>6.2539780000000003E-2</v>
      </c>
      <c r="AA2800">
        <v>0.9897859</v>
      </c>
      <c r="AB2800">
        <v>26</v>
      </c>
      <c r="AC2800">
        <v>1.34030000000001</v>
      </c>
      <c r="AD2800">
        <v>-1.111505051412</v>
      </c>
      <c r="AE2800">
        <v>-17.4513</v>
      </c>
      <c r="AF2800">
        <v>-2.2538821972184899</v>
      </c>
      <c r="AG2800">
        <v>-1.111505051412</v>
      </c>
      <c r="AH2800">
        <v>17.286071589677199</v>
      </c>
      <c r="AI2800">
        <v>93.648292197932193</v>
      </c>
      <c r="AJ2800">
        <v>97.428726378420606</v>
      </c>
      <c r="AK2800">
        <v>17.467790342275599</v>
      </c>
      <c r="AL2800">
        <v>81.763513602638199</v>
      </c>
      <c r="AM2800">
        <v>92.259826354427105</v>
      </c>
      <c r="AN2800">
        <v>0.99999998650159005</v>
      </c>
    </row>
    <row r="2801" spans="1:40" x14ac:dyDescent="0.25">
      <c r="A2801" t="str">
        <f>"20190312172944471"</f>
        <v>20190312172944471</v>
      </c>
      <c r="B2801" t="str">
        <f>"1552382984460500"</f>
        <v>1552382984460500</v>
      </c>
      <c r="C2801" t="s">
        <v>40</v>
      </c>
      <c r="D2801">
        <v>3.511889</v>
      </c>
      <c r="E2801">
        <v>0.465028</v>
      </c>
      <c r="F2801" t="s">
        <v>41</v>
      </c>
      <c r="G2801">
        <v>-490.78489999999999</v>
      </c>
      <c r="H2801" s="1">
        <v>-2.997505E-6</v>
      </c>
      <c r="I2801">
        <v>236.08959999999999</v>
      </c>
      <c r="J2801">
        <v>-492.17619999999999</v>
      </c>
      <c r="K2801">
        <v>1.1114820000000001</v>
      </c>
      <c r="L2801">
        <v>253.48</v>
      </c>
      <c r="M2801">
        <v>-5.1775469999999997E-2</v>
      </c>
      <c r="N2801">
        <v>0</v>
      </c>
      <c r="O2801">
        <v>-0.99856869999999998</v>
      </c>
      <c r="P2801">
        <v>-1.1000340000000001E-2</v>
      </c>
      <c r="Q2801">
        <v>0.1301242</v>
      </c>
      <c r="R2801">
        <v>-0.99143680000000001</v>
      </c>
      <c r="S2801">
        <v>0.24093629999999999</v>
      </c>
      <c r="T2801">
        <v>-0.19347619999999999</v>
      </c>
      <c r="U2801">
        <v>-3.05484</v>
      </c>
      <c r="V2801">
        <v>-4.0838890000000003E-2</v>
      </c>
      <c r="W2801">
        <v>0.14326539999999999</v>
      </c>
      <c r="X2801">
        <v>0.98884139999999998</v>
      </c>
      <c r="Y2801">
        <v>-0.12998509999999999</v>
      </c>
      <c r="Z2801">
        <v>6.2715229999999997E-2</v>
      </c>
      <c r="AA2801">
        <v>0.98953049999999998</v>
      </c>
      <c r="AB2801">
        <v>26</v>
      </c>
      <c r="AC2801">
        <v>1.3913</v>
      </c>
      <c r="AD2801">
        <v>-1.1114849975049901</v>
      </c>
      <c r="AE2801">
        <v>-17.3904</v>
      </c>
      <c r="AF2801">
        <v>-2.2806535649623498</v>
      </c>
      <c r="AG2801">
        <v>-1.1114849975049901</v>
      </c>
      <c r="AH2801">
        <v>17.2251128225939</v>
      </c>
      <c r="AI2801">
        <v>93.660151929269105</v>
      </c>
      <c r="AJ2801">
        <v>97.542253938861506</v>
      </c>
      <c r="AK2801">
        <v>17.410953200044599</v>
      </c>
      <c r="AL2801">
        <v>81.763155210060503</v>
      </c>
      <c r="AM2801">
        <v>92.364956639835</v>
      </c>
      <c r="AN2801">
        <v>1.00000005206377</v>
      </c>
    </row>
    <row r="2802" spans="1:40" x14ac:dyDescent="0.25">
      <c r="A2802" t="str">
        <f>"20190312172944491"</f>
        <v>20190312172944491</v>
      </c>
      <c r="B2802" t="str">
        <f>"1552382984480020"</f>
        <v>1552382984480020</v>
      </c>
      <c r="C2802" t="s">
        <v>40</v>
      </c>
      <c r="D2802">
        <v>3.5198559999999999</v>
      </c>
      <c r="E2802">
        <v>0.46504990000000002</v>
      </c>
      <c r="F2802" t="s">
        <v>41</v>
      </c>
      <c r="G2802">
        <v>-490.73239999999998</v>
      </c>
      <c r="H2802" s="1">
        <v>-2.877939E-6</v>
      </c>
      <c r="I2802">
        <v>235.8434</v>
      </c>
      <c r="J2802">
        <v>-492.18619999999999</v>
      </c>
      <c r="K2802">
        <v>1.1114409999999999</v>
      </c>
      <c r="L2802">
        <v>253.24789999999999</v>
      </c>
      <c r="M2802">
        <v>-5.0076379999999997E-2</v>
      </c>
      <c r="N2802">
        <v>0</v>
      </c>
      <c r="O2802">
        <v>-0.99865550000000003</v>
      </c>
      <c r="P2802">
        <v>-6.0363839999999997E-3</v>
      </c>
      <c r="Q2802">
        <v>0.13013549999999999</v>
      </c>
      <c r="R2802">
        <v>-0.99147799999999997</v>
      </c>
      <c r="S2802">
        <v>0.25</v>
      </c>
      <c r="T2802">
        <v>-0.19246350000000001</v>
      </c>
      <c r="U2802">
        <v>-3.0539399999999999</v>
      </c>
      <c r="V2802">
        <v>-4.4097310000000001E-2</v>
      </c>
      <c r="W2802">
        <v>0.14326539999999999</v>
      </c>
      <c r="X2802">
        <v>0.98870139999999995</v>
      </c>
      <c r="Y2802">
        <v>-0.13124050000000001</v>
      </c>
      <c r="Z2802">
        <v>6.2402119999999998E-2</v>
      </c>
      <c r="AA2802">
        <v>0.98938459999999995</v>
      </c>
      <c r="AB2802">
        <v>26</v>
      </c>
      <c r="AC2802">
        <v>1.4538</v>
      </c>
      <c r="AD2802">
        <v>-1.1114438779389999</v>
      </c>
      <c r="AE2802">
        <v>-17.404499999999899</v>
      </c>
      <c r="AF2802">
        <v>-2.3142361650469798</v>
      </c>
      <c r="AG2802">
        <v>-1.1114438779389999</v>
      </c>
      <c r="AH2802">
        <v>17.2400341717698</v>
      </c>
      <c r="AI2802">
        <v>93.655982007644099</v>
      </c>
      <c r="AJ2802">
        <v>97.645462539950401</v>
      </c>
      <c r="AK2802">
        <v>17.4301398377984</v>
      </c>
      <c r="AL2802">
        <v>81.763154802908403</v>
      </c>
      <c r="AM2802">
        <v>92.553770421135994</v>
      </c>
      <c r="AN2802">
        <v>1.00000000297417</v>
      </c>
    </row>
    <row r="2803" spans="1:40" x14ac:dyDescent="0.25">
      <c r="A2803" t="str">
        <f>"20190312172944511"</f>
        <v>20190312172944511</v>
      </c>
      <c r="B2803" t="str">
        <f>"1552382984500520"</f>
        <v>1552382984500520</v>
      </c>
      <c r="C2803" t="s">
        <v>40</v>
      </c>
      <c r="D2803">
        <v>3.502332</v>
      </c>
      <c r="E2803">
        <v>0.46521820000000003</v>
      </c>
      <c r="F2803" t="s">
        <v>41</v>
      </c>
      <c r="G2803">
        <v>-490.66210000000001</v>
      </c>
      <c r="H2803" s="1">
        <v>-2.7663199999999998E-6</v>
      </c>
      <c r="I2803">
        <v>235.6268</v>
      </c>
      <c r="J2803">
        <v>-492.19600000000003</v>
      </c>
      <c r="K2803">
        <v>1.1113980000000001</v>
      </c>
      <c r="L2803">
        <v>253.0127</v>
      </c>
      <c r="M2803">
        <v>-4.8418410000000002E-2</v>
      </c>
      <c r="N2803">
        <v>0</v>
      </c>
      <c r="O2803">
        <v>-0.99873730000000005</v>
      </c>
      <c r="P2803">
        <v>-1.6669720000000001E-3</v>
      </c>
      <c r="Q2803">
        <v>0.13047220000000001</v>
      </c>
      <c r="R2803">
        <v>-0.99145070000000002</v>
      </c>
      <c r="S2803">
        <v>0.2640381</v>
      </c>
      <c r="T2803">
        <v>-0.19254460000000001</v>
      </c>
      <c r="U2803">
        <v>-3.0526430000000002</v>
      </c>
      <c r="V2803">
        <v>-4.6799599999999997E-2</v>
      </c>
      <c r="W2803">
        <v>0.14359330000000001</v>
      </c>
      <c r="X2803">
        <v>0.98852960000000001</v>
      </c>
      <c r="Y2803">
        <v>-0.13414599999999999</v>
      </c>
      <c r="Z2803">
        <v>6.2438130000000001E-2</v>
      </c>
      <c r="AA2803">
        <v>0.9889926</v>
      </c>
      <c r="AB2803">
        <v>26</v>
      </c>
      <c r="AC2803">
        <v>1.5338999999999601</v>
      </c>
      <c r="AD2803">
        <v>-1.1114007663199901</v>
      </c>
      <c r="AE2803">
        <v>-17.3858999999999</v>
      </c>
      <c r="AF2803">
        <v>-2.36438647040907</v>
      </c>
      <c r="AG2803">
        <v>-1.1114007663199901</v>
      </c>
      <c r="AH2803">
        <v>17.221398504286899</v>
      </c>
      <c r="AI2803">
        <v>93.658298647080997</v>
      </c>
      <c r="AJ2803">
        <v>97.817465437650498</v>
      </c>
      <c r="AK2803">
        <v>17.418441419607099</v>
      </c>
      <c r="AL2803">
        <v>81.744171247672796</v>
      </c>
      <c r="AM2803">
        <v>92.710509570294604</v>
      </c>
      <c r="AN2803">
        <v>1.0000000042206001</v>
      </c>
    </row>
    <row r="2804" spans="1:40" x14ac:dyDescent="0.25">
      <c r="A2804" t="str">
        <f>"20190312172944522"</f>
        <v>20190312172944522</v>
      </c>
      <c r="B2804" t="str">
        <f>"1552382984510276"</f>
        <v>1552382984510276</v>
      </c>
      <c r="C2804" t="s">
        <v>40</v>
      </c>
      <c r="D2804">
        <v>3.5324200000000001</v>
      </c>
      <c r="E2804">
        <v>0.46535510000000002</v>
      </c>
      <c r="F2804" t="s">
        <v>41</v>
      </c>
      <c r="G2804">
        <v>-490.59699999999998</v>
      </c>
      <c r="H2804" s="1">
        <v>-2.612277E-6</v>
      </c>
      <c r="I2804">
        <v>235.3081</v>
      </c>
      <c r="J2804">
        <v>-492.20170000000002</v>
      </c>
      <c r="K2804">
        <v>1.111372</v>
      </c>
      <c r="L2804">
        <v>252.87629999999999</v>
      </c>
      <c r="M2804">
        <v>-4.747904E-2</v>
      </c>
      <c r="N2804">
        <v>0</v>
      </c>
      <c r="O2804">
        <v>-0.99878230000000001</v>
      </c>
      <c r="P2804">
        <v>7.7983320000000003E-4</v>
      </c>
      <c r="Q2804">
        <v>0.13060579999999999</v>
      </c>
      <c r="R2804">
        <v>-0.99143409999999998</v>
      </c>
      <c r="S2804">
        <v>0.27560420000000002</v>
      </c>
      <c r="T2804">
        <v>-0.19155939999999999</v>
      </c>
      <c r="U2804">
        <v>-3.0515439999999998</v>
      </c>
      <c r="V2804">
        <v>-4.8301339999999998E-2</v>
      </c>
      <c r="W2804">
        <v>0.14372309999999999</v>
      </c>
      <c r="X2804">
        <v>0.9884385</v>
      </c>
      <c r="Y2804">
        <v>-0.13696520000000001</v>
      </c>
      <c r="Z2804">
        <v>6.2123980000000002E-2</v>
      </c>
      <c r="AA2804">
        <v>0.98862589999999995</v>
      </c>
      <c r="AB2804">
        <v>26</v>
      </c>
      <c r="AC2804">
        <v>1.60470000000003</v>
      </c>
      <c r="AD2804">
        <v>-1.1113746122769901</v>
      </c>
      <c r="AE2804">
        <v>-17.568199999999901</v>
      </c>
      <c r="AF2804">
        <v>-2.4274521124319599</v>
      </c>
      <c r="AG2804">
        <v>-1.1113746122769901</v>
      </c>
      <c r="AH2804">
        <v>17.4031178605834</v>
      </c>
      <c r="AI2804">
        <v>93.619043064003606</v>
      </c>
      <c r="AJ2804">
        <v>97.940597904905005</v>
      </c>
      <c r="AK2804">
        <v>17.6067086235992</v>
      </c>
      <c r="AL2804">
        <v>81.736656342217401</v>
      </c>
      <c r="AM2804">
        <v>92.797607797055207</v>
      </c>
      <c r="AN2804">
        <v>1.0000000086008201</v>
      </c>
    </row>
    <row r="2805" spans="1:40" x14ac:dyDescent="0.25">
      <c r="A2805" t="str">
        <f>"20190312172944534"</f>
        <v>20190312172944534</v>
      </c>
      <c r="B2805" t="str">
        <f>"1552382984529796"</f>
        <v>1552382984529796</v>
      </c>
      <c r="C2805" t="s">
        <v>40</v>
      </c>
      <c r="D2805">
        <v>3.5284450000000001</v>
      </c>
      <c r="E2805">
        <v>0.46569480000000002</v>
      </c>
      <c r="F2805" t="s">
        <v>41</v>
      </c>
      <c r="G2805">
        <v>-490.56459999999998</v>
      </c>
      <c r="H2805" s="1">
        <v>-2.5320239999999999E-6</v>
      </c>
      <c r="I2805">
        <v>235.14109999999999</v>
      </c>
      <c r="J2805">
        <v>-492.20679999999999</v>
      </c>
      <c r="K2805">
        <v>1.111348</v>
      </c>
      <c r="L2805">
        <v>252.7466</v>
      </c>
      <c r="M2805">
        <v>-4.6619849999999997E-2</v>
      </c>
      <c r="N2805">
        <v>0</v>
      </c>
      <c r="O2805">
        <v>-0.99882289999999996</v>
      </c>
      <c r="P2805">
        <v>3.0733850000000001E-3</v>
      </c>
      <c r="Q2805">
        <v>0.13067429999999999</v>
      </c>
      <c r="R2805">
        <v>-0.99142070000000004</v>
      </c>
      <c r="S2805">
        <v>0.28161619999999998</v>
      </c>
      <c r="T2805">
        <v>-0.1911833</v>
      </c>
      <c r="U2805">
        <v>-3.0508730000000002</v>
      </c>
      <c r="V2805">
        <v>-4.9729879999999997E-2</v>
      </c>
      <c r="W2805">
        <v>0.14378779999999999</v>
      </c>
      <c r="X2805">
        <v>0.98835830000000002</v>
      </c>
      <c r="Y2805">
        <v>-0.1380652</v>
      </c>
      <c r="Z2805">
        <v>6.2009509999999997E-2</v>
      </c>
      <c r="AA2805">
        <v>0.98848000000000003</v>
      </c>
      <c r="AB2805">
        <v>26</v>
      </c>
      <c r="AC2805">
        <v>1.6422000000000001</v>
      </c>
      <c r="AD2805">
        <v>-1.111350532024</v>
      </c>
      <c r="AE2805">
        <v>-17.605499999999999</v>
      </c>
      <c r="AF2805">
        <v>-2.4515688030434299</v>
      </c>
      <c r="AG2805">
        <v>-1.111350532024</v>
      </c>
      <c r="AH2805">
        <v>17.440889376639799</v>
      </c>
      <c r="AI2805">
        <v>93.610613590531997</v>
      </c>
      <c r="AJ2805">
        <v>98.001326137257294</v>
      </c>
      <c r="AK2805">
        <v>17.647376911294</v>
      </c>
      <c r="AL2805">
        <v>81.732910831533502</v>
      </c>
      <c r="AM2805">
        <v>92.880444658092799</v>
      </c>
      <c r="AN2805">
        <v>1.00000006078627</v>
      </c>
    </row>
    <row r="2806" spans="1:40" x14ac:dyDescent="0.25">
      <c r="A2806" t="str">
        <f>"20190312172944545"</f>
        <v>20190312172944545</v>
      </c>
      <c r="B2806" t="str">
        <f>"1552382984540532"</f>
        <v>1552382984540532</v>
      </c>
      <c r="C2806" t="s">
        <v>40</v>
      </c>
      <c r="D2806">
        <v>3.5181200000000001</v>
      </c>
      <c r="E2806">
        <v>0.46589459999999999</v>
      </c>
      <c r="F2806" t="s">
        <v>41</v>
      </c>
      <c r="G2806">
        <v>-490.54329999999999</v>
      </c>
      <c r="H2806" s="1">
        <v>-2.4569760000000001E-6</v>
      </c>
      <c r="I2806">
        <v>234.9794</v>
      </c>
      <c r="J2806">
        <v>-492.2122</v>
      </c>
      <c r="K2806">
        <v>1.1113200000000001</v>
      </c>
      <c r="L2806">
        <v>252.6104</v>
      </c>
      <c r="M2806">
        <v>-4.5727360000000002E-2</v>
      </c>
      <c r="N2806">
        <v>0</v>
      </c>
      <c r="O2806">
        <v>-0.99886410000000003</v>
      </c>
      <c r="P2806">
        <v>5.3596570000000003E-3</v>
      </c>
      <c r="Q2806">
        <v>0.13065579999999999</v>
      </c>
      <c r="R2806">
        <v>-0.99141360000000001</v>
      </c>
      <c r="S2806">
        <v>0.28558349999999999</v>
      </c>
      <c r="T2806">
        <v>-0.1907922</v>
      </c>
      <c r="U2806">
        <v>-3.0502009999999999</v>
      </c>
      <c r="V2806">
        <v>-5.1116990000000001E-2</v>
      </c>
      <c r="W2806">
        <v>0.14376610000000001</v>
      </c>
      <c r="X2806">
        <v>0.98829060000000002</v>
      </c>
      <c r="Y2806">
        <v>-0.1384755</v>
      </c>
      <c r="Z2806">
        <v>6.1895020000000002E-2</v>
      </c>
      <c r="AA2806">
        <v>0.98842980000000003</v>
      </c>
      <c r="AB2806">
        <v>26</v>
      </c>
      <c r="AC2806">
        <v>1.6689000000000001</v>
      </c>
      <c r="AD2806">
        <v>-1.1113224569760001</v>
      </c>
      <c r="AE2806">
        <v>-17.631</v>
      </c>
      <c r="AF2806">
        <v>-2.46374370408323</v>
      </c>
      <c r="AG2806">
        <v>-1.1113224569760001</v>
      </c>
      <c r="AH2806">
        <v>17.467449547250499</v>
      </c>
      <c r="AI2806">
        <v>93.604807218555393</v>
      </c>
      <c r="AJ2806">
        <v>98.028477134290895</v>
      </c>
      <c r="AK2806">
        <v>17.675317941370398</v>
      </c>
      <c r="AL2806">
        <v>81.7341664819795</v>
      </c>
      <c r="AM2806">
        <v>92.960850022326795</v>
      </c>
      <c r="AN2806">
        <v>0.99999997411211405</v>
      </c>
    </row>
    <row r="2807" spans="1:40" x14ac:dyDescent="0.25">
      <c r="A2807" t="str">
        <f>"20190312172944557"</f>
        <v>20190312172944557</v>
      </c>
      <c r="B2807" t="str">
        <f>"1552382984550293"</f>
        <v>1552382984550293</v>
      </c>
      <c r="C2807" t="s">
        <v>40</v>
      </c>
      <c r="D2807">
        <v>3.5778150000000002</v>
      </c>
      <c r="E2807">
        <v>0.4660994</v>
      </c>
      <c r="F2807" t="s">
        <v>41</v>
      </c>
      <c r="G2807">
        <v>-490.51920000000001</v>
      </c>
      <c r="H2807" s="1">
        <v>-2.3967240000000001E-6</v>
      </c>
      <c r="I2807">
        <v>234.85390000000001</v>
      </c>
      <c r="J2807">
        <v>-492.21749999999997</v>
      </c>
      <c r="K2807">
        <v>1.111291</v>
      </c>
      <c r="L2807">
        <v>252.47239999999999</v>
      </c>
      <c r="M2807">
        <v>-4.485799E-2</v>
      </c>
      <c r="N2807">
        <v>0</v>
      </c>
      <c r="O2807">
        <v>-0.9989034</v>
      </c>
      <c r="P2807">
        <v>7.956075E-3</v>
      </c>
      <c r="Q2807">
        <v>0.13068299999999999</v>
      </c>
      <c r="R2807">
        <v>-0.99139259999999996</v>
      </c>
      <c r="S2807">
        <v>0.29077150000000002</v>
      </c>
      <c r="T2807">
        <v>-0.1908627</v>
      </c>
      <c r="U2807">
        <v>-3.0495610000000002</v>
      </c>
      <c r="V2807">
        <v>-5.2836330000000001E-2</v>
      </c>
      <c r="W2807">
        <v>0.14378959999999999</v>
      </c>
      <c r="X2807">
        <v>0.98819679999999999</v>
      </c>
      <c r="Y2807">
        <v>-0.13929929999999999</v>
      </c>
      <c r="Z2807">
        <v>6.1925849999999998E-2</v>
      </c>
      <c r="AA2807">
        <v>0.98831210000000003</v>
      </c>
      <c r="AB2807">
        <v>26</v>
      </c>
      <c r="AC2807">
        <v>1.69829999999996</v>
      </c>
      <c r="AD2807">
        <v>-1.111293396724</v>
      </c>
      <c r="AE2807">
        <v>-17.618499999999901</v>
      </c>
      <c r="AF2807">
        <v>-2.4772267592951298</v>
      </c>
      <c r="AG2807">
        <v>-1.111293396724</v>
      </c>
      <c r="AH2807">
        <v>17.4557639376007</v>
      </c>
      <c r="AI2807">
        <v>93.606687450662903</v>
      </c>
      <c r="AJ2807">
        <v>98.077168521696706</v>
      </c>
      <c r="AK2807">
        <v>17.665653683795899</v>
      </c>
      <c r="AL2807">
        <v>81.732806286475693</v>
      </c>
      <c r="AM2807">
        <v>93.060543075881299</v>
      </c>
      <c r="AN2807">
        <v>1.0000000211831299</v>
      </c>
    </row>
    <row r="2808" spans="1:40" x14ac:dyDescent="0.25">
      <c r="A2808" t="str">
        <f>"20190312172944569"</f>
        <v>20190312172944569</v>
      </c>
      <c r="B2808" t="str">
        <f>"1552382984560052"</f>
        <v>1552382984560052</v>
      </c>
      <c r="C2808" t="s">
        <v>40</v>
      </c>
      <c r="D2808">
        <v>3.5559080000000001</v>
      </c>
      <c r="E2808">
        <v>0.46636300000000003</v>
      </c>
      <c r="F2808" t="s">
        <v>41</v>
      </c>
      <c r="G2808">
        <v>-490.48649999999998</v>
      </c>
      <c r="H2808" s="1">
        <v>-2.30497E-6</v>
      </c>
      <c r="I2808">
        <v>234.66030000000001</v>
      </c>
      <c r="J2808">
        <v>-492.22289999999998</v>
      </c>
      <c r="K2808">
        <v>1.1112610000000001</v>
      </c>
      <c r="L2808">
        <v>252.33179999999999</v>
      </c>
      <c r="M2808">
        <v>-4.3992900000000001E-2</v>
      </c>
      <c r="N2808">
        <v>0</v>
      </c>
      <c r="O2808">
        <v>-0.998942</v>
      </c>
      <c r="P2808">
        <v>1.0445279999999999E-2</v>
      </c>
      <c r="Q2808">
        <v>0.13103670000000001</v>
      </c>
      <c r="R2808">
        <v>-0.9913225</v>
      </c>
      <c r="S2808">
        <v>0.29629519999999998</v>
      </c>
      <c r="T2808">
        <v>-0.1902121</v>
      </c>
      <c r="U2808">
        <v>-3.0487669999999998</v>
      </c>
      <c r="V2808">
        <v>-5.4451590000000001E-2</v>
      </c>
      <c r="W2808">
        <v>0.144139299999999</v>
      </c>
      <c r="X2808">
        <v>0.98805810000000005</v>
      </c>
      <c r="Y2808">
        <v>-0.14024130000000001</v>
      </c>
      <c r="Z2808">
        <v>6.1725670000000003E-2</v>
      </c>
      <c r="AA2808">
        <v>0.98819140000000005</v>
      </c>
      <c r="AB2808">
        <v>26</v>
      </c>
      <c r="AC2808">
        <v>1.7363999999999999</v>
      </c>
      <c r="AD2808">
        <v>-1.11126330497</v>
      </c>
      <c r="AE2808">
        <v>-17.671499999999899</v>
      </c>
      <c r="AF2808">
        <v>-2.5024078677008701</v>
      </c>
      <c r="AG2808">
        <v>-1.11126330497</v>
      </c>
      <c r="AH2808">
        <v>17.509413881286498</v>
      </c>
      <c r="AI2808">
        <v>93.595066068390693</v>
      </c>
      <c r="AJ2808">
        <v>98.133511282829105</v>
      </c>
      <c r="AK2808">
        <v>17.722204313670801</v>
      </c>
      <c r="AL2808">
        <v>81.712558533782399</v>
      </c>
      <c r="AM2808">
        <v>93.1543627147081</v>
      </c>
      <c r="AN2808">
        <v>0.999999961216813</v>
      </c>
    </row>
    <row r="2809" spans="1:40" x14ac:dyDescent="0.25">
      <c r="A2809" t="str">
        <f>"20190312172944590"</f>
        <v>20190312172944590</v>
      </c>
      <c r="B2809" t="str">
        <f>"1552382984580552"</f>
        <v>1552382984580552</v>
      </c>
      <c r="C2809" t="s">
        <v>40</v>
      </c>
      <c r="D2809">
        <v>3.577782</v>
      </c>
      <c r="E2809">
        <v>0.46685100000000002</v>
      </c>
      <c r="F2809" t="s">
        <v>41</v>
      </c>
      <c r="G2809">
        <v>-490.44619999999998</v>
      </c>
      <c r="H2809" s="1">
        <v>-2.176982E-6</v>
      </c>
      <c r="I2809">
        <v>234.387</v>
      </c>
      <c r="J2809">
        <v>-492.23180000000002</v>
      </c>
      <c r="K2809">
        <v>1.1112120000000001</v>
      </c>
      <c r="L2809">
        <v>252.0917</v>
      </c>
      <c r="M2809">
        <v>-4.2569259999999998E-2</v>
      </c>
      <c r="N2809">
        <v>0</v>
      </c>
      <c r="O2809">
        <v>-0.9990038</v>
      </c>
      <c r="P2809">
        <v>1.4610629999999999E-2</v>
      </c>
      <c r="Q2809">
        <v>0.13164870000000001</v>
      </c>
      <c r="R2809">
        <v>-0.99118930000000005</v>
      </c>
      <c r="S2809">
        <v>0.30178829999999901</v>
      </c>
      <c r="T2809">
        <v>-0.1887568</v>
      </c>
      <c r="U2809">
        <v>-3.0480649999999998</v>
      </c>
      <c r="V2809">
        <v>-5.7177949999999998E-2</v>
      </c>
      <c r="W2809">
        <v>0.1447456</v>
      </c>
      <c r="X2809">
        <v>0.98781540000000001</v>
      </c>
      <c r="Y2809">
        <v>-0.14061899999999999</v>
      </c>
      <c r="Z2809">
        <v>6.12679E-2</v>
      </c>
      <c r="AA2809">
        <v>0.98816630000000005</v>
      </c>
      <c r="AB2809">
        <v>26</v>
      </c>
      <c r="AC2809">
        <v>1.78560000000004</v>
      </c>
      <c r="AD2809">
        <v>-1.1112141769820001</v>
      </c>
      <c r="AE2809">
        <v>-17.704699999999999</v>
      </c>
      <c r="AF2809">
        <v>-2.5278668948481702</v>
      </c>
      <c r="AG2809">
        <v>-1.1112141769820001</v>
      </c>
      <c r="AH2809">
        <v>17.544213733286401</v>
      </c>
      <c r="AI2809">
        <v>93.587208056394402</v>
      </c>
      <c r="AJ2809">
        <v>98.199062826470595</v>
      </c>
      <c r="AK2809">
        <v>17.7601898498983</v>
      </c>
      <c r="AL2809">
        <v>81.677451730169494</v>
      </c>
      <c r="AM2809">
        <v>93.312768539787896</v>
      </c>
      <c r="AN2809">
        <v>0.99999993558135902</v>
      </c>
    </row>
    <row r="2810" spans="1:40" x14ac:dyDescent="0.25">
      <c r="A2810" t="str">
        <f>"20190312172944601"</f>
        <v>20190312172944601</v>
      </c>
      <c r="B2810" t="str">
        <f>"1552382984590309"</f>
        <v>1552382984590309</v>
      </c>
      <c r="C2810" t="s">
        <v>40</v>
      </c>
      <c r="D2810">
        <v>3.6048840000000002</v>
      </c>
      <c r="E2810">
        <v>0.46710010000000002</v>
      </c>
      <c r="F2810" t="s">
        <v>41</v>
      </c>
      <c r="G2810">
        <v>-490.37540000000001</v>
      </c>
      <c r="H2810" s="1">
        <v>-1.9463030000000002E-6</v>
      </c>
      <c r="I2810">
        <v>233.89320000000001</v>
      </c>
      <c r="J2810">
        <v>-492.23669999999998</v>
      </c>
      <c r="K2810">
        <v>1.1111899999999999</v>
      </c>
      <c r="L2810">
        <v>251.9556</v>
      </c>
      <c r="M2810">
        <v>-4.1785120000000002E-2</v>
      </c>
      <c r="N2810">
        <v>0</v>
      </c>
      <c r="O2810">
        <v>-0.99903690000000001</v>
      </c>
      <c r="P2810">
        <v>1.6593380000000001E-2</v>
      </c>
      <c r="Q2810">
        <v>0.13209770000000001</v>
      </c>
      <c r="R2810">
        <v>-0.99109800000000003</v>
      </c>
      <c r="S2810">
        <v>0.31079099999999998</v>
      </c>
      <c r="T2810">
        <v>-0.1860386</v>
      </c>
      <c r="U2810">
        <v>-3.046783</v>
      </c>
      <c r="V2810">
        <v>-5.8368580000000003E-2</v>
      </c>
      <c r="W2810">
        <v>0.14519199999999999</v>
      </c>
      <c r="X2810">
        <v>0.98768029999999996</v>
      </c>
      <c r="Y2810">
        <v>-0.1427784</v>
      </c>
      <c r="Z2810">
        <v>6.0398830000000001E-2</v>
      </c>
      <c r="AA2810">
        <v>0.98791010000000001</v>
      </c>
      <c r="AB2810">
        <v>26</v>
      </c>
      <c r="AC2810">
        <v>1.86129999999997</v>
      </c>
      <c r="AD2810">
        <v>-1.111191946303</v>
      </c>
      <c r="AE2810">
        <v>-18.0624</v>
      </c>
      <c r="AF2810">
        <v>-2.6047268685636902</v>
      </c>
      <c r="AG2810">
        <v>-1.111191946303</v>
      </c>
      <c r="AH2810">
        <v>17.901799836035899</v>
      </c>
      <c r="AI2810">
        <v>93.514961604881194</v>
      </c>
      <c r="AJ2810">
        <v>98.278490194762995</v>
      </c>
      <c r="AK2810">
        <v>18.124397561597501</v>
      </c>
      <c r="AL2810">
        <v>81.651602289867995</v>
      </c>
      <c r="AM2810">
        <v>93.382054126684295</v>
      </c>
      <c r="AN2810">
        <v>0.99999999150165297</v>
      </c>
    </row>
    <row r="2811" spans="1:40" x14ac:dyDescent="0.25">
      <c r="A2811" t="str">
        <f>"20190312172944613"</f>
        <v>20190312172944613</v>
      </c>
      <c r="B2811" t="str">
        <f>"1552382984610805"</f>
        <v>1552382984610805</v>
      </c>
      <c r="C2811" t="s">
        <v>40</v>
      </c>
      <c r="D2811">
        <v>3.5659679999999998</v>
      </c>
      <c r="E2811">
        <v>0.46733360000000002</v>
      </c>
      <c r="F2811" t="s">
        <v>41</v>
      </c>
      <c r="G2811">
        <v>-490.33330000000001</v>
      </c>
      <c r="H2811" s="1">
        <v>-1.79847E-6</v>
      </c>
      <c r="I2811">
        <v>233.5746</v>
      </c>
      <c r="J2811">
        <v>-492.24149999999997</v>
      </c>
      <c r="K2811">
        <v>1.1111709999999999</v>
      </c>
      <c r="L2811">
        <v>251.8193</v>
      </c>
      <c r="M2811">
        <v>-4.102285E-2</v>
      </c>
      <c r="N2811">
        <v>0</v>
      </c>
      <c r="O2811">
        <v>-0.99906870000000003</v>
      </c>
      <c r="P2811">
        <v>1.8745660000000001E-2</v>
      </c>
      <c r="Q2811">
        <v>0.13266</v>
      </c>
      <c r="R2811">
        <v>-0.99098470000000005</v>
      </c>
      <c r="S2811">
        <v>0.31542969999999998</v>
      </c>
      <c r="T2811">
        <v>-0.1841526</v>
      </c>
      <c r="U2811">
        <v>-3.0461879999999999</v>
      </c>
      <c r="V2811">
        <v>-5.975196E-2</v>
      </c>
      <c r="W2811">
        <v>0.14575050000000001</v>
      </c>
      <c r="X2811">
        <v>0.98751529999999998</v>
      </c>
      <c r="Y2811">
        <v>-0.143535</v>
      </c>
      <c r="Z2811">
        <v>5.9795260000000003E-2</v>
      </c>
      <c r="AA2811">
        <v>0.98783710000000002</v>
      </c>
      <c r="AB2811">
        <v>26</v>
      </c>
      <c r="AC2811">
        <v>1.9081999999999599</v>
      </c>
      <c r="AD2811">
        <v>-1.1111727984699999</v>
      </c>
      <c r="AE2811">
        <v>-18.244699999999899</v>
      </c>
      <c r="AF2811">
        <v>-2.6454035714145898</v>
      </c>
      <c r="AG2811">
        <v>-1.1111727984699999</v>
      </c>
      <c r="AH2811">
        <v>18.084696846947399</v>
      </c>
      <c r="AI2811">
        <v>93.479055920555595</v>
      </c>
      <c r="AJ2811">
        <v>98.322122256880903</v>
      </c>
      <c r="AK2811">
        <v>18.3109018098428</v>
      </c>
      <c r="AL2811">
        <v>81.619258495508802</v>
      </c>
      <c r="AM2811">
        <v>93.462595731653593</v>
      </c>
      <c r="AN2811">
        <v>0.99999998635409004</v>
      </c>
    </row>
    <row r="2812" spans="1:40" x14ac:dyDescent="0.25">
      <c r="A2812" t="str">
        <f>"20190312172944625"</f>
        <v>20190312172944625</v>
      </c>
      <c r="B2812" t="str">
        <f>"1552382984620564"</f>
        <v>1552382984620564</v>
      </c>
      <c r="C2812" t="s">
        <v>40</v>
      </c>
      <c r="D2812">
        <v>3.5653480000000002</v>
      </c>
      <c r="E2812">
        <v>0.47621720000000001</v>
      </c>
      <c r="F2812" t="s">
        <v>41</v>
      </c>
      <c r="G2812">
        <v>-490.28649999999999</v>
      </c>
      <c r="H2812" s="1">
        <v>-1.6309609999999999E-6</v>
      </c>
      <c r="I2812">
        <v>233.2132</v>
      </c>
      <c r="J2812">
        <v>-492.24610000000001</v>
      </c>
      <c r="K2812">
        <v>1.111151</v>
      </c>
      <c r="L2812">
        <v>251.6891</v>
      </c>
      <c r="M2812">
        <v>-4.0300370000000002E-2</v>
      </c>
      <c r="N2812">
        <v>0</v>
      </c>
      <c r="O2812">
        <v>-0.99909809999999999</v>
      </c>
      <c r="P2812">
        <v>2.1160789999999999E-2</v>
      </c>
      <c r="Q2812">
        <v>0.1330151</v>
      </c>
      <c r="R2812">
        <v>-0.9908884</v>
      </c>
      <c r="S2812">
        <v>0.32000729999999999</v>
      </c>
      <c r="T2812">
        <v>-0.1818845</v>
      </c>
      <c r="U2812">
        <v>-3.0455779999999999</v>
      </c>
      <c r="V2812">
        <v>-6.1438659999999999E-2</v>
      </c>
      <c r="W2812">
        <v>0.14610100000000001</v>
      </c>
      <c r="X2812">
        <v>0.98736000000000002</v>
      </c>
      <c r="Y2812">
        <v>-0.144313</v>
      </c>
      <c r="Z2812">
        <v>5.9067840000000003E-2</v>
      </c>
      <c r="AA2812">
        <v>0.98776759999999997</v>
      </c>
      <c r="AB2812">
        <v>26</v>
      </c>
      <c r="AC2812">
        <v>1.95960000000002</v>
      </c>
      <c r="AD2812">
        <v>-1.111152630961</v>
      </c>
      <c r="AE2812">
        <v>-18.475899999999999</v>
      </c>
      <c r="AF2812">
        <v>-2.6930279084626898</v>
      </c>
      <c r="AG2812">
        <v>-1.111152630961</v>
      </c>
      <c r="AH2812">
        <v>18.3163964335013</v>
      </c>
      <c r="AI2812">
        <v>93.434721448853097</v>
      </c>
      <c r="AJ2812">
        <v>98.364172059537296</v>
      </c>
      <c r="AK2812">
        <v>18.546628744713399</v>
      </c>
      <c r="AL2812">
        <v>81.598959063677299</v>
      </c>
      <c r="AM2812">
        <v>93.560649712226606</v>
      </c>
      <c r="AN2812">
        <v>0.99999999037179699</v>
      </c>
    </row>
    <row r="2813" spans="1:40" x14ac:dyDescent="0.25">
      <c r="A2813" t="str">
        <f>"20190312172944637"</f>
        <v>20190312172944637</v>
      </c>
      <c r="B2813" t="str">
        <f>"1552382984630324"</f>
        <v>1552382984630324</v>
      </c>
      <c r="C2813" t="s">
        <v>40</v>
      </c>
      <c r="D2813">
        <v>3.5297559999999999</v>
      </c>
      <c r="E2813">
        <v>0.47666550000000002</v>
      </c>
      <c r="F2813" t="s">
        <v>41</v>
      </c>
      <c r="G2813">
        <v>-490.5532</v>
      </c>
      <c r="H2813" s="1">
        <v>-1.0013489999999999E-6</v>
      </c>
      <c r="I2813">
        <v>231.58019999999999</v>
      </c>
      <c r="J2813">
        <v>-492.25110000000001</v>
      </c>
      <c r="K2813">
        <v>1.1111390000000001</v>
      </c>
      <c r="L2813">
        <v>251.54259999999999</v>
      </c>
      <c r="M2813">
        <v>-3.950443E-2</v>
      </c>
      <c r="N2813">
        <v>0</v>
      </c>
      <c r="O2813">
        <v>-0.99912990000000002</v>
      </c>
      <c r="P2813">
        <v>2.333592E-2</v>
      </c>
      <c r="Q2813">
        <v>0.133297</v>
      </c>
      <c r="R2813">
        <v>-0.99080170000000001</v>
      </c>
      <c r="S2813">
        <v>0.25631710000000002</v>
      </c>
      <c r="T2813">
        <v>-0.16823969999999999</v>
      </c>
      <c r="U2813">
        <v>-3.044708</v>
      </c>
      <c r="V2813">
        <v>-6.2814040000000002E-2</v>
      </c>
      <c r="W2813">
        <v>0.14637929999999999</v>
      </c>
      <c r="X2813">
        <v>0.98723229999999995</v>
      </c>
      <c r="Y2813">
        <v>-0.1230646</v>
      </c>
      <c r="Z2813">
        <v>5.4801259999999997E-2</v>
      </c>
      <c r="AA2813">
        <v>0.9908844</v>
      </c>
      <c r="AB2813">
        <v>26</v>
      </c>
      <c r="AC2813">
        <v>1.6979</v>
      </c>
      <c r="AD2813">
        <v>-1.11114000134899</v>
      </c>
      <c r="AE2813">
        <v>-19.962399999999999</v>
      </c>
      <c r="AF2813">
        <v>-2.4776270384994401</v>
      </c>
      <c r="AG2813">
        <v>-1.11114000134899</v>
      </c>
      <c r="AH2813">
        <v>19.818772028935602</v>
      </c>
      <c r="AI2813">
        <v>93.184195977318495</v>
      </c>
      <c r="AJ2813">
        <v>97.125814892479696</v>
      </c>
      <c r="AK2813">
        <v>20.003924429456799</v>
      </c>
      <c r="AL2813">
        <v>81.582840936408203</v>
      </c>
      <c r="AM2813">
        <v>93.640616846823505</v>
      </c>
      <c r="AN2813">
        <v>1.0000000586264399</v>
      </c>
    </row>
    <row r="2814" spans="1:40" x14ac:dyDescent="0.25">
      <c r="A2814" t="str">
        <f>"20190312172944648"</f>
        <v>20190312172944648</v>
      </c>
      <c r="B2814" t="str">
        <f>"1552382984640084"</f>
        <v>1552382984640084</v>
      </c>
      <c r="C2814" t="s">
        <v>40</v>
      </c>
      <c r="D2814">
        <v>3.557985</v>
      </c>
      <c r="E2814">
        <v>0.47693819999999998</v>
      </c>
      <c r="F2814" t="s">
        <v>41</v>
      </c>
      <c r="G2814">
        <v>-490.51549999999997</v>
      </c>
      <c r="H2814" s="1">
        <v>-8.3871659999999903E-7</v>
      </c>
      <c r="I2814">
        <v>231.22450000000001</v>
      </c>
      <c r="J2814">
        <v>-492.25540000000001</v>
      </c>
      <c r="K2814">
        <v>1.1111310000000001</v>
      </c>
      <c r="L2814">
        <v>251.41300000000001</v>
      </c>
      <c r="M2814">
        <v>-3.8805720000000002E-2</v>
      </c>
      <c r="N2814">
        <v>0</v>
      </c>
      <c r="O2814">
        <v>-0.99915719999999997</v>
      </c>
      <c r="P2814">
        <v>2.555027E-2</v>
      </c>
      <c r="Q2814">
        <v>0.1333762</v>
      </c>
      <c r="R2814">
        <v>-0.9907359</v>
      </c>
      <c r="S2814">
        <v>0.2600403</v>
      </c>
      <c r="T2814">
        <v>-0.16647600000000001</v>
      </c>
      <c r="U2814">
        <v>-3.0441590000000001</v>
      </c>
      <c r="V2814">
        <v>-6.4328120000000003E-2</v>
      </c>
      <c r="W2814">
        <v>0.146453799999999</v>
      </c>
      <c r="X2814">
        <v>0.98712370000000005</v>
      </c>
      <c r="Y2814">
        <v>-0.1235914</v>
      </c>
      <c r="Z2814">
        <v>5.4235869999999999E-2</v>
      </c>
      <c r="AA2814">
        <v>0.99085000000000001</v>
      </c>
      <c r="AB2814">
        <v>26</v>
      </c>
      <c r="AC2814">
        <v>1.73990000000003</v>
      </c>
      <c r="AD2814">
        <v>-1.11113183871659</v>
      </c>
      <c r="AE2814">
        <v>-20.188499999999902</v>
      </c>
      <c r="AF2814">
        <v>-2.5145278696872202</v>
      </c>
      <c r="AG2814">
        <v>-1.11113183871659</v>
      </c>
      <c r="AH2814">
        <v>20.045493216147801</v>
      </c>
      <c r="AI2814">
        <v>93.148066073066403</v>
      </c>
      <c r="AJ2814">
        <v>97.149896956640404</v>
      </c>
      <c r="AK2814">
        <v>20.2331229089597</v>
      </c>
      <c r="AL2814">
        <v>81.578525492584603</v>
      </c>
      <c r="AM2814">
        <v>93.728535293217405</v>
      </c>
      <c r="AN2814">
        <v>1.00000001082943</v>
      </c>
    </row>
    <row r="2815" spans="1:40" x14ac:dyDescent="0.25">
      <c r="A2815" t="str">
        <f>"20190312172944668"</f>
        <v>20190312172944668</v>
      </c>
      <c r="B2815" t="str">
        <f>"1552382984660580"</f>
        <v>1552382984660580</v>
      </c>
      <c r="C2815" t="s">
        <v>40</v>
      </c>
      <c r="D2815">
        <v>3.5044339999999998</v>
      </c>
      <c r="E2815">
        <v>0.4734237</v>
      </c>
      <c r="F2815" t="s">
        <v>41</v>
      </c>
      <c r="G2815">
        <v>-490.4855</v>
      </c>
      <c r="H2815" s="1">
        <v>-7.3610000000000003E-7</v>
      </c>
      <c r="I2815">
        <v>231.00389999999999</v>
      </c>
      <c r="J2815">
        <v>-492.2627</v>
      </c>
      <c r="K2815">
        <v>1.111124</v>
      </c>
      <c r="L2815">
        <v>251.18940000000001</v>
      </c>
      <c r="M2815">
        <v>-3.7612100000000002E-2</v>
      </c>
      <c r="N2815">
        <v>0</v>
      </c>
      <c r="O2815">
        <v>-0.99920310000000001</v>
      </c>
      <c r="P2815">
        <v>2.9567530000000002E-2</v>
      </c>
      <c r="Q2815">
        <v>0.1337902</v>
      </c>
      <c r="R2815">
        <v>-0.99056889999999997</v>
      </c>
      <c r="S2815">
        <v>0.26394649999999997</v>
      </c>
      <c r="T2815">
        <v>-0.1656985</v>
      </c>
      <c r="U2815">
        <v>-3.043533</v>
      </c>
      <c r="V2815">
        <v>-6.7150799999999997E-2</v>
      </c>
      <c r="W2815">
        <v>0.14685809999999999</v>
      </c>
      <c r="X2815">
        <v>0.98687559999999996</v>
      </c>
      <c r="Y2815">
        <v>-0.1236867</v>
      </c>
      <c r="Z2815">
        <v>5.3994790000000001E-2</v>
      </c>
      <c r="AA2815">
        <v>0.99085120000000004</v>
      </c>
      <c r="AB2815">
        <v>26</v>
      </c>
      <c r="AC2815">
        <v>1.7771999999999899</v>
      </c>
      <c r="AD2815">
        <v>-1.1111247361000001</v>
      </c>
      <c r="AE2815">
        <v>-20.185500000000001</v>
      </c>
      <c r="AF2815">
        <v>-2.5276291915222302</v>
      </c>
      <c r="AG2815">
        <v>-1.1111247361000001</v>
      </c>
      <c r="AH2815">
        <v>20.044097290724402</v>
      </c>
      <c r="AI2815">
        <v>93.148007130595303</v>
      </c>
      <c r="AJ2815">
        <v>97.187256467557503</v>
      </c>
      <c r="AK2815">
        <v>20.233372030114801</v>
      </c>
      <c r="AL2815">
        <v>81.555107433105206</v>
      </c>
      <c r="AM2815">
        <v>93.892624368706706</v>
      </c>
      <c r="AN2815">
        <v>0.99999999067580403</v>
      </c>
    </row>
    <row r="2816" spans="1:40" x14ac:dyDescent="0.25">
      <c r="A2816" t="str">
        <f>"20190312172944690"</f>
        <v>20190312172944690</v>
      </c>
      <c r="B2816" t="str">
        <f>"1552382984680101"</f>
        <v>1552382984680101</v>
      </c>
      <c r="C2816" t="s">
        <v>40</v>
      </c>
      <c r="D2816">
        <v>3.424512</v>
      </c>
      <c r="E2816">
        <v>0.46966419999999998</v>
      </c>
      <c r="F2816" t="s">
        <v>41</v>
      </c>
      <c r="G2816">
        <v>-490.25540000000001</v>
      </c>
      <c r="H2816" s="1">
        <v>-7.2483640000000004E-7</v>
      </c>
      <c r="I2816">
        <v>231.12029999999999</v>
      </c>
      <c r="J2816">
        <v>-492.27089999999998</v>
      </c>
      <c r="K2816">
        <v>1.111119</v>
      </c>
      <c r="L2816">
        <v>250.92869999999999</v>
      </c>
      <c r="M2816">
        <v>-3.6227570000000001E-2</v>
      </c>
      <c r="N2816">
        <v>0</v>
      </c>
      <c r="O2816">
        <v>-0.99925399999999998</v>
      </c>
      <c r="P2816">
        <v>3.4106350000000001E-2</v>
      </c>
      <c r="Q2816">
        <v>0.13435739999999999</v>
      </c>
      <c r="R2816">
        <v>-0.99034610000000001</v>
      </c>
      <c r="S2816">
        <v>0.30429079999999997</v>
      </c>
      <c r="T2816">
        <v>-0.16843520000000001</v>
      </c>
      <c r="U2816">
        <v>-3.0422669999999998</v>
      </c>
      <c r="V2816">
        <v>-7.0307359999999999E-2</v>
      </c>
      <c r="W2816">
        <v>0.147412299999999</v>
      </c>
      <c r="X2816">
        <v>0.98657309999999998</v>
      </c>
      <c r="Y2816">
        <v>-0.13535999999999901</v>
      </c>
      <c r="Z2816">
        <v>5.4835080000000001E-2</v>
      </c>
      <c r="AA2816">
        <v>0.98927790000000004</v>
      </c>
      <c r="AB2816">
        <v>26</v>
      </c>
      <c r="AC2816">
        <v>2.0154999999999701</v>
      </c>
      <c r="AD2816">
        <v>-1.11111972483639</v>
      </c>
      <c r="AE2816">
        <v>-19.808399999999999</v>
      </c>
      <c r="AF2816">
        <v>-2.7233699725135998</v>
      </c>
      <c r="AG2816">
        <v>-1.11111972483639</v>
      </c>
      <c r="AH2816">
        <v>19.661142371405301</v>
      </c>
      <c r="AI2816">
        <v>93.204017523166698</v>
      </c>
      <c r="AJ2816">
        <v>97.886164344057093</v>
      </c>
      <c r="AK2816">
        <v>19.8799358751174</v>
      </c>
      <c r="AL2816">
        <v>81.523004766396596</v>
      </c>
      <c r="AM2816">
        <v>94.076247686388797</v>
      </c>
      <c r="AN2816">
        <v>0.999999996352534</v>
      </c>
    </row>
    <row r="2817" spans="1:40" x14ac:dyDescent="0.25">
      <c r="A2817" t="str">
        <f>"20190312172944703"</f>
        <v>20190312172944703</v>
      </c>
      <c r="B2817" t="str">
        <f>"1552382984689860"</f>
        <v>1552382984689860</v>
      </c>
      <c r="C2817" t="s">
        <v>40</v>
      </c>
      <c r="D2817">
        <v>3.424741</v>
      </c>
      <c r="E2817">
        <v>0.46849600000000002</v>
      </c>
      <c r="F2817" t="s">
        <v>41</v>
      </c>
      <c r="G2817">
        <v>-490.05270000000002</v>
      </c>
      <c r="H2817" s="1">
        <v>-8.5179329999999999E-7</v>
      </c>
      <c r="I2817">
        <v>231.542</v>
      </c>
      <c r="J2817">
        <v>-492.27539999999999</v>
      </c>
      <c r="K2817">
        <v>1.1111169999999999</v>
      </c>
      <c r="L2817">
        <v>250.77930000000001</v>
      </c>
      <c r="M2817">
        <v>-3.5433539999999999E-2</v>
      </c>
      <c r="N2817">
        <v>0</v>
      </c>
      <c r="O2817">
        <v>-0.99928269999999997</v>
      </c>
      <c r="P2817">
        <v>3.6181449999999997E-2</v>
      </c>
      <c r="Q2817">
        <v>0.1343617</v>
      </c>
      <c r="R2817">
        <v>-0.99027180000000004</v>
      </c>
      <c r="S2817">
        <v>0.34793089999999999</v>
      </c>
      <c r="T2817">
        <v>-0.17428479999999999</v>
      </c>
      <c r="U2817">
        <v>-3.0409090000000001</v>
      </c>
      <c r="V2817">
        <v>-7.1592059999999999E-2</v>
      </c>
      <c r="W2817">
        <v>0.1474113</v>
      </c>
      <c r="X2817">
        <v>0.98648080000000005</v>
      </c>
      <c r="Y2817">
        <v>-0.1486277</v>
      </c>
      <c r="Z2817">
        <v>5.6663489999999997E-2</v>
      </c>
      <c r="AA2817">
        <v>0.98726849999999999</v>
      </c>
      <c r="AB2817">
        <v>26</v>
      </c>
      <c r="AC2817">
        <v>2.2226999999999699</v>
      </c>
      <c r="AD2817">
        <v>-1.11111785179329</v>
      </c>
      <c r="AE2817">
        <v>-19.237300000000001</v>
      </c>
      <c r="AF2817">
        <v>-2.8934848404935001</v>
      </c>
      <c r="AG2817">
        <v>-1.11111785179329</v>
      </c>
      <c r="AH2817">
        <v>19.083627173452602</v>
      </c>
      <c r="AI2817">
        <v>93.2946350268423</v>
      </c>
      <c r="AJ2817">
        <v>98.621594871844096</v>
      </c>
      <c r="AK2817">
        <v>19.333692443454201</v>
      </c>
      <c r="AL2817">
        <v>81.523062227447696</v>
      </c>
      <c r="AM2817">
        <v>94.150860440270705</v>
      </c>
      <c r="AN2817">
        <v>0.99999994159568495</v>
      </c>
    </row>
    <row r="2818" spans="1:40" x14ac:dyDescent="0.25">
      <c r="A2818" t="str">
        <f>"20190312172944722"</f>
        <v>20190312172944722</v>
      </c>
      <c r="B2818" t="str">
        <f>"1552382984710356"</f>
        <v>1552382984710356</v>
      </c>
      <c r="C2818" t="s">
        <v>40</v>
      </c>
      <c r="D2818">
        <v>3.4307150000000002</v>
      </c>
      <c r="E2818">
        <v>0.46699069999999998</v>
      </c>
      <c r="F2818" t="s">
        <v>41</v>
      </c>
      <c r="G2818">
        <v>-489.99</v>
      </c>
      <c r="H2818" s="1">
        <v>-8.8825249999999999E-7</v>
      </c>
      <c r="I2818">
        <v>231.66589999999999</v>
      </c>
      <c r="J2818">
        <v>-492.28190000000001</v>
      </c>
      <c r="K2818">
        <v>1.1111279999999999</v>
      </c>
      <c r="L2818">
        <v>250.55889999999999</v>
      </c>
      <c r="M2818">
        <v>-3.4256170000000002E-2</v>
      </c>
      <c r="N2818">
        <v>0</v>
      </c>
      <c r="O2818">
        <v>-0.99932370000000004</v>
      </c>
      <c r="P2818">
        <v>4.0426249999999997E-2</v>
      </c>
      <c r="Q2818">
        <v>0.133488</v>
      </c>
      <c r="R2818">
        <v>-0.99022600000000005</v>
      </c>
      <c r="S2818">
        <v>0.3635254</v>
      </c>
      <c r="T2818">
        <v>-0.17673539999999999</v>
      </c>
      <c r="U2818">
        <v>-3.0401919999999998</v>
      </c>
      <c r="V2818">
        <v>-7.4666220000000005E-2</v>
      </c>
      <c r="W2818">
        <v>0.14652689999999999</v>
      </c>
      <c r="X2818">
        <v>0.9863847</v>
      </c>
      <c r="Y2818">
        <v>-0.15247820000000001</v>
      </c>
      <c r="Z2818">
        <v>5.7440579999999998E-2</v>
      </c>
      <c r="AA2818">
        <v>0.98663619999999996</v>
      </c>
      <c r="AB2818">
        <v>26</v>
      </c>
      <c r="AC2818">
        <v>2.2918999999999898</v>
      </c>
      <c r="AD2818">
        <v>-1.1111288882524999</v>
      </c>
      <c r="AE2818">
        <v>-18.893000000000001</v>
      </c>
      <c r="AF2818">
        <v>-2.92783428577073</v>
      </c>
      <c r="AG2818">
        <v>-1.1111288882524999</v>
      </c>
      <c r="AH2818">
        <v>18.739514243804301</v>
      </c>
      <c r="AI2818">
        <v>93.352707381215893</v>
      </c>
      <c r="AJ2818">
        <v>98.880018009183402</v>
      </c>
      <c r="AK2818">
        <v>18.999374071399998</v>
      </c>
      <c r="AL2818">
        <v>81.574291204813406</v>
      </c>
      <c r="AM2818">
        <v>94.328854799770397</v>
      </c>
      <c r="AN2818">
        <v>0.99999997661339302</v>
      </c>
    </row>
    <row r="2819" spans="1:40" x14ac:dyDescent="0.25">
      <c r="A2819" t="str">
        <f>"20190312172944733"</f>
        <v>20190312172944733</v>
      </c>
      <c r="B2819" t="str">
        <f>"1552382984720116"</f>
        <v>1552382984720116</v>
      </c>
      <c r="C2819" t="s">
        <v>40</v>
      </c>
      <c r="D2819">
        <v>3.3973450000000001</v>
      </c>
      <c r="E2819">
        <v>0.46633210000000003</v>
      </c>
      <c r="F2819" t="s">
        <v>41</v>
      </c>
      <c r="G2819">
        <v>-489.91879999999998</v>
      </c>
      <c r="H2819" s="1">
        <v>-1.050708E-6</v>
      </c>
      <c r="I2819">
        <v>232.04839999999999</v>
      </c>
      <c r="J2819">
        <v>-492.28559999999999</v>
      </c>
      <c r="K2819">
        <v>1.111132</v>
      </c>
      <c r="L2819">
        <v>250.4282</v>
      </c>
      <c r="M2819">
        <v>-3.3552459999999999E-2</v>
      </c>
      <c r="N2819">
        <v>0</v>
      </c>
      <c r="O2819">
        <v>-0.9993476</v>
      </c>
      <c r="P2819">
        <v>4.2778030000000002E-2</v>
      </c>
      <c r="Q2819">
        <v>0.1334361</v>
      </c>
      <c r="R2819">
        <v>-0.99013390000000001</v>
      </c>
      <c r="S2819">
        <v>0.38787840000000001</v>
      </c>
      <c r="T2819">
        <v>-0.1823814</v>
      </c>
      <c r="U2819">
        <v>-3.0383300000000002</v>
      </c>
      <c r="V2819">
        <v>-7.6318159999999996E-2</v>
      </c>
      <c r="W2819">
        <v>0.1464684</v>
      </c>
      <c r="X2819">
        <v>0.986267</v>
      </c>
      <c r="Y2819">
        <v>-0.15962509999999999</v>
      </c>
      <c r="Z2819">
        <v>5.9244570000000003E-2</v>
      </c>
      <c r="AA2819">
        <v>0.98539840000000001</v>
      </c>
      <c r="AB2819">
        <v>26</v>
      </c>
      <c r="AC2819">
        <v>2.3668000000000098</v>
      </c>
      <c r="AD2819">
        <v>-1.1111330507079999</v>
      </c>
      <c r="AE2819">
        <v>-18.379799999999999</v>
      </c>
      <c r="AF2819">
        <v>-2.9715268723634001</v>
      </c>
      <c r="AG2819">
        <v>-1.1111330507079999</v>
      </c>
      <c r="AH2819">
        <v>18.2245119850792</v>
      </c>
      <c r="AI2819">
        <v>93.443593064596499</v>
      </c>
      <c r="AJ2819">
        <v>99.260647363880693</v>
      </c>
      <c r="AK2819">
        <v>18.498579018504302</v>
      </c>
      <c r="AL2819">
        <v>81.577679971339506</v>
      </c>
      <c r="AM2819">
        <v>94.424777535757897</v>
      </c>
      <c r="AN2819">
        <v>1.00000002451667</v>
      </c>
    </row>
    <row r="2820" spans="1:40" x14ac:dyDescent="0.25">
      <c r="A2820" t="str">
        <f>"20190312172944746"</f>
        <v>20190312172944746</v>
      </c>
      <c r="B2820" t="str">
        <f>"1552382984740612"</f>
        <v>1552382984740612</v>
      </c>
      <c r="C2820" t="s">
        <v>40</v>
      </c>
      <c r="D2820">
        <v>3.4538220000000002</v>
      </c>
      <c r="E2820">
        <v>0.46545959999999997</v>
      </c>
      <c r="F2820" t="s">
        <v>41</v>
      </c>
      <c r="G2820">
        <v>-489.84289999999999</v>
      </c>
      <c r="H2820" s="1">
        <v>-1.003225E-6</v>
      </c>
      <c r="I2820">
        <v>231.90629999999999</v>
      </c>
      <c r="J2820">
        <v>-492.2894</v>
      </c>
      <c r="K2820">
        <v>1.11114</v>
      </c>
      <c r="L2820">
        <v>250.28970000000001</v>
      </c>
      <c r="M2820">
        <v>-3.2805590000000003E-2</v>
      </c>
      <c r="N2820">
        <v>0</v>
      </c>
      <c r="O2820">
        <v>-0.99937240000000005</v>
      </c>
      <c r="P2820">
        <v>4.5051349999999997E-2</v>
      </c>
      <c r="Q2820">
        <v>0.13367000000000001</v>
      </c>
      <c r="R2820">
        <v>-0.99000160000000004</v>
      </c>
      <c r="S2820">
        <v>0.40054319999999999</v>
      </c>
      <c r="T2820">
        <v>-0.18219920000000001</v>
      </c>
      <c r="U2820">
        <v>-3.03714</v>
      </c>
      <c r="V2820">
        <v>-7.7848089999999995E-2</v>
      </c>
      <c r="W2820">
        <v>0.14669579999999999</v>
      </c>
      <c r="X2820">
        <v>0.98611360000000003</v>
      </c>
      <c r="Y2820">
        <v>-0.16297639999999999</v>
      </c>
      <c r="Z2820">
        <v>5.9178660000000001E-2</v>
      </c>
      <c r="AA2820">
        <v>0.9848536</v>
      </c>
      <c r="AB2820">
        <v>26</v>
      </c>
      <c r="AC2820">
        <v>2.4465000000000101</v>
      </c>
      <c r="AD2820">
        <v>-1.111141003225</v>
      </c>
      <c r="AE2820">
        <v>-18.383400000000002</v>
      </c>
      <c r="AF2820">
        <v>-3.0374115856068</v>
      </c>
      <c r="AG2820">
        <v>-1.111141003225</v>
      </c>
      <c r="AH2820">
        <v>18.227804384614998</v>
      </c>
      <c r="AI2820">
        <v>93.441021580879493</v>
      </c>
      <c r="AJ2820">
        <v>99.460622325213606</v>
      </c>
      <c r="AK2820">
        <v>18.5125189035208</v>
      </c>
      <c r="AL2820">
        <v>81.564508496593504</v>
      </c>
      <c r="AM2820">
        <v>94.513816171908402</v>
      </c>
      <c r="AN2820">
        <v>1.00000000747962</v>
      </c>
    </row>
    <row r="2821" spans="1:40" x14ac:dyDescent="0.25">
      <c r="A2821" t="str">
        <f>"20190312172944757"</f>
        <v>20190312172944757</v>
      </c>
      <c r="B2821" t="str">
        <f>"1552382984750372"</f>
        <v>1552382984750372</v>
      </c>
      <c r="C2821" t="s">
        <v>40</v>
      </c>
      <c r="D2821">
        <v>3.4366859999999999</v>
      </c>
      <c r="E2821">
        <v>0.46521489999999999</v>
      </c>
      <c r="F2821" t="s">
        <v>41</v>
      </c>
      <c r="G2821">
        <v>-489.75850000000003</v>
      </c>
      <c r="H2821" s="1">
        <v>-9.4594659999999997E-7</v>
      </c>
      <c r="I2821">
        <v>231.7379</v>
      </c>
      <c r="J2821">
        <v>-492.29309999999998</v>
      </c>
      <c r="K2821">
        <v>1.111148</v>
      </c>
      <c r="L2821">
        <v>250.15389999999999</v>
      </c>
      <c r="M2821">
        <v>-3.2068529999999998E-2</v>
      </c>
      <c r="N2821">
        <v>0</v>
      </c>
      <c r="O2821">
        <v>-0.99939619999999996</v>
      </c>
      <c r="P2821">
        <v>4.7475389999999999E-2</v>
      </c>
      <c r="Q2821">
        <v>0.13400599999999999</v>
      </c>
      <c r="R2821">
        <v>-0.98984300000000003</v>
      </c>
      <c r="S2821">
        <v>0.41418460000000001</v>
      </c>
      <c r="T2821">
        <v>-0.1818379</v>
      </c>
      <c r="U2821">
        <v>-3.0359950000000002</v>
      </c>
      <c r="V2821">
        <v>-7.9538239999999996E-2</v>
      </c>
      <c r="W2821">
        <v>0.14702460000000001</v>
      </c>
      <c r="X2821">
        <v>0.98592970000000002</v>
      </c>
      <c r="Y2821">
        <v>-0.16664370000000001</v>
      </c>
      <c r="Z2821">
        <v>5.9050100000000001E-2</v>
      </c>
      <c r="AA2821">
        <v>0.98424739999999999</v>
      </c>
      <c r="AB2821">
        <v>26</v>
      </c>
      <c r="AC2821">
        <v>2.53459999999995</v>
      </c>
      <c r="AD2821">
        <v>-1.1111489459466</v>
      </c>
      <c r="AE2821">
        <v>-18.416</v>
      </c>
      <c r="AF2821">
        <v>-3.1128017095932501</v>
      </c>
      <c r="AG2821">
        <v>-1.1111489459466</v>
      </c>
      <c r="AH2821">
        <v>18.259999598056002</v>
      </c>
      <c r="AI2821">
        <v>93.432840415703893</v>
      </c>
      <c r="AJ2821">
        <v>99.674275606336906</v>
      </c>
      <c r="AK2821">
        <v>18.556717699645301</v>
      </c>
      <c r="AL2821">
        <v>81.545462812625104</v>
      </c>
      <c r="AM2821">
        <v>94.612253293812302</v>
      </c>
      <c r="AN2821">
        <v>0.99999996898477295</v>
      </c>
    </row>
    <row r="2822" spans="1:40" x14ac:dyDescent="0.25">
      <c r="A2822" t="str">
        <f>"20190312172944769"</f>
        <v>20190312172944769</v>
      </c>
      <c r="B2822" t="str">
        <f>"1552382984760132"</f>
        <v>1552382984760132</v>
      </c>
      <c r="C2822" t="s">
        <v>40</v>
      </c>
      <c r="D2822">
        <v>3.447756</v>
      </c>
      <c r="E2822">
        <v>0.46502139999999997</v>
      </c>
      <c r="F2822" t="s">
        <v>41</v>
      </c>
      <c r="G2822">
        <v>-489.69670000000002</v>
      </c>
      <c r="H2822" s="1">
        <v>-8.67916E-7</v>
      </c>
      <c r="I2822">
        <v>231.53049999999999</v>
      </c>
      <c r="J2822">
        <v>-492.29660000000001</v>
      </c>
      <c r="K2822">
        <v>1.1111629999999999</v>
      </c>
      <c r="L2822">
        <v>250.01759999999999</v>
      </c>
      <c r="M2822">
        <v>-3.1327069999999999E-2</v>
      </c>
      <c r="N2822">
        <v>0</v>
      </c>
      <c r="O2822">
        <v>-0.99941979999999997</v>
      </c>
      <c r="P2822">
        <v>4.9623840000000002E-2</v>
      </c>
      <c r="Q2822">
        <v>0.13431070000000001</v>
      </c>
      <c r="R2822">
        <v>-0.98969640000000003</v>
      </c>
      <c r="S2822">
        <v>0.42312620000000001</v>
      </c>
      <c r="T2822">
        <v>-0.18107989999999999</v>
      </c>
      <c r="U2822">
        <v>-3.0349879999999998</v>
      </c>
      <c r="V2822">
        <v>-8.0949160000000006E-2</v>
      </c>
      <c r="W2822">
        <v>0.14732219999999999</v>
      </c>
      <c r="X2822">
        <v>0.98577049999999999</v>
      </c>
      <c r="Y2822">
        <v>-0.16880319999999999</v>
      </c>
      <c r="Z2822">
        <v>5.880353E-2</v>
      </c>
      <c r="AA2822">
        <v>0.98389409999999999</v>
      </c>
      <c r="AB2822">
        <v>26</v>
      </c>
      <c r="AC2822">
        <v>2.5998999999999901</v>
      </c>
      <c r="AD2822">
        <v>-1.1111638679160001</v>
      </c>
      <c r="AE2822">
        <v>-18.487100000000002</v>
      </c>
      <c r="AF2822">
        <v>-3.1666043495938898</v>
      </c>
      <c r="AG2822">
        <v>-1.1111638679160001</v>
      </c>
      <c r="AH2822">
        <v>18.331629852258502</v>
      </c>
      <c r="AI2822">
        <v>93.418214427629295</v>
      </c>
      <c r="AJ2822">
        <v>99.800552538730201</v>
      </c>
      <c r="AK2822">
        <v>18.636274340340801</v>
      </c>
      <c r="AL2822">
        <v>81.528224456186393</v>
      </c>
      <c r="AM2822">
        <v>94.694461788173498</v>
      </c>
      <c r="AN2822">
        <v>1.00000003789389</v>
      </c>
    </row>
    <row r="2823" spans="1:40" x14ac:dyDescent="0.25">
      <c r="A2823" t="str">
        <f>"20190312172944781"</f>
        <v>20190312172944781</v>
      </c>
      <c r="B2823" t="str">
        <f>"1552382984769893"</f>
        <v>1552382984769893</v>
      </c>
      <c r="C2823" t="s">
        <v>40</v>
      </c>
      <c r="D2823">
        <v>3.4646059999999999</v>
      </c>
      <c r="E2823">
        <v>0.46486699999999997</v>
      </c>
      <c r="F2823" t="s">
        <v>41</v>
      </c>
      <c r="G2823">
        <v>-489.63369999999998</v>
      </c>
      <c r="H2823" s="1">
        <v>-7.8445119999999902E-7</v>
      </c>
      <c r="I2823">
        <v>231.3099</v>
      </c>
      <c r="J2823">
        <v>-492.30029999999999</v>
      </c>
      <c r="K2823">
        <v>1.111173</v>
      </c>
      <c r="L2823">
        <v>249.874</v>
      </c>
      <c r="M2823">
        <v>-3.054368E-2</v>
      </c>
      <c r="N2823">
        <v>0</v>
      </c>
      <c r="O2823">
        <v>-0.99944409999999895</v>
      </c>
      <c r="P2823">
        <v>5.2024010000000002E-2</v>
      </c>
      <c r="Q2823">
        <v>0.1346579</v>
      </c>
      <c r="R2823">
        <v>-0.98952560000000001</v>
      </c>
      <c r="S2823">
        <v>0.43188480000000001</v>
      </c>
      <c r="T2823">
        <v>-0.18021039999999999</v>
      </c>
      <c r="U2823">
        <v>-3.0340579999999999</v>
      </c>
      <c r="V2823">
        <v>-8.2570249999999998E-2</v>
      </c>
      <c r="W2823">
        <v>0.14766179999999901</v>
      </c>
      <c r="X2823">
        <v>0.98558520000000005</v>
      </c>
      <c r="Y2823">
        <v>-0.17085880000000001</v>
      </c>
      <c r="Z2823">
        <v>5.851986E-2</v>
      </c>
      <c r="AA2823">
        <v>0.98355619999999999</v>
      </c>
      <c r="AB2823">
        <v>26</v>
      </c>
      <c r="AC2823">
        <v>2.6666000000000101</v>
      </c>
      <c r="AD2823">
        <v>-1.1111737844512</v>
      </c>
      <c r="AE2823">
        <v>-18.5641</v>
      </c>
      <c r="AF2823">
        <v>-3.2211150560296899</v>
      </c>
      <c r="AG2823">
        <v>-1.1111737844512</v>
      </c>
      <c r="AH2823">
        <v>18.409359300630399</v>
      </c>
      <c r="AI2823">
        <v>93.402567428692294</v>
      </c>
      <c r="AJ2823">
        <v>99.924666663872102</v>
      </c>
      <c r="AK2823">
        <v>18.722040466870599</v>
      </c>
      <c r="AL2823">
        <v>81.508551499742893</v>
      </c>
      <c r="AM2823">
        <v>94.788936403887703</v>
      </c>
      <c r="AN2823">
        <v>1.0000000199116701</v>
      </c>
    </row>
    <row r="2824" spans="1:40" x14ac:dyDescent="0.25">
      <c r="A2824" t="str">
        <f>"20190312172944794"</f>
        <v>20190312172944794</v>
      </c>
      <c r="B2824" t="str">
        <f>"1552382984780629"</f>
        <v>1552382984780629</v>
      </c>
      <c r="C2824" t="s">
        <v>40</v>
      </c>
      <c r="D2824">
        <v>3.4359090000000001</v>
      </c>
      <c r="E2824">
        <v>0.46479969999999998</v>
      </c>
      <c r="F2824" t="s">
        <v>41</v>
      </c>
      <c r="G2824">
        <v>-489.5702</v>
      </c>
      <c r="H2824" s="1">
        <v>-6.9143799999999995E-7</v>
      </c>
      <c r="I2824">
        <v>231.0668</v>
      </c>
      <c r="J2824">
        <v>-492.30349999999999</v>
      </c>
      <c r="K2824">
        <v>1.1111799999999901</v>
      </c>
      <c r="L2824">
        <v>249.74090000000001</v>
      </c>
      <c r="M2824">
        <v>-2.9815040000000001E-2</v>
      </c>
      <c r="N2824">
        <v>0</v>
      </c>
      <c r="O2824">
        <v>-0.99946610000000002</v>
      </c>
      <c r="P2824">
        <v>5.4463980000000002E-2</v>
      </c>
      <c r="Q2824">
        <v>0.1353509</v>
      </c>
      <c r="R2824">
        <v>-0.98929999999999996</v>
      </c>
      <c r="S2824">
        <v>0.44027709999999998</v>
      </c>
      <c r="T2824">
        <v>-0.17919389999999999</v>
      </c>
      <c r="U2824">
        <v>-3.032959</v>
      </c>
      <c r="V2824">
        <v>-8.4284280000000003E-2</v>
      </c>
      <c r="W2824">
        <v>0.14834700000000001</v>
      </c>
      <c r="X2824">
        <v>0.98533720000000002</v>
      </c>
      <c r="Y2824">
        <v>-0.17285909999999999</v>
      </c>
      <c r="Z2824">
        <v>5.8192059999999997E-2</v>
      </c>
      <c r="AA2824">
        <v>0.98322600000000004</v>
      </c>
      <c r="AB2824">
        <v>26</v>
      </c>
      <c r="AC2824">
        <v>2.7332999999999799</v>
      </c>
      <c r="AD2824">
        <v>-1.11118069143799</v>
      </c>
      <c r="AE2824">
        <v>-18.674099999999999</v>
      </c>
      <c r="AF2824">
        <v>-3.2775419936007402</v>
      </c>
      <c r="AG2824">
        <v>-1.11118069143799</v>
      </c>
      <c r="AH2824">
        <v>18.520097038548901</v>
      </c>
      <c r="AI2824">
        <v>93.381138629652398</v>
      </c>
      <c r="AJ2824">
        <v>100.035848679558</v>
      </c>
      <c r="AK2824">
        <v>18.840674042244501</v>
      </c>
      <c r="AL2824">
        <v>81.468855374457704</v>
      </c>
      <c r="AM2824">
        <v>94.8890947852925</v>
      </c>
      <c r="AN2824">
        <v>1.0000000349839699</v>
      </c>
    </row>
    <row r="2825" spans="1:40" x14ac:dyDescent="0.25">
      <c r="A2825" t="str">
        <f>"20190312172944812"</f>
        <v>20190312172944812</v>
      </c>
      <c r="B2825" t="str">
        <f>"1552382984800148"</f>
        <v>1552382984800148</v>
      </c>
      <c r="C2825" t="s">
        <v>40</v>
      </c>
      <c r="D2825">
        <v>3.4349769999999902</v>
      </c>
      <c r="E2825">
        <v>0.46484910000000002</v>
      </c>
      <c r="F2825" t="s">
        <v>41</v>
      </c>
      <c r="G2825">
        <v>-489.48680000000002</v>
      </c>
      <c r="H2825" s="1">
        <v>-5.3888949999999996E-7</v>
      </c>
      <c r="I2825">
        <v>230.67679999999999</v>
      </c>
      <c r="J2825">
        <v>-492.30869999999999</v>
      </c>
      <c r="K2825">
        <v>1.1111819999999999</v>
      </c>
      <c r="L2825">
        <v>249.5248</v>
      </c>
      <c r="M2825">
        <v>-2.8631E-2</v>
      </c>
      <c r="N2825">
        <v>0</v>
      </c>
      <c r="O2825">
        <v>-0.99950059999999996</v>
      </c>
      <c r="P2825">
        <v>5.9060029999999999E-2</v>
      </c>
      <c r="Q2825">
        <v>0.1363152</v>
      </c>
      <c r="R2825">
        <v>-0.98890350000000005</v>
      </c>
      <c r="S2825">
        <v>0.44796750000000002</v>
      </c>
      <c r="T2825">
        <v>-0.1767232</v>
      </c>
      <c r="U2825">
        <v>-3.0319820000000002</v>
      </c>
      <c r="V2825">
        <v>-8.7700490000000006E-2</v>
      </c>
      <c r="W2825">
        <v>0.1492957</v>
      </c>
      <c r="X2825">
        <v>0.98489559999999998</v>
      </c>
      <c r="Y2825">
        <v>-0.17418539999999999</v>
      </c>
      <c r="Z2825">
        <v>5.7396460000000003E-2</v>
      </c>
      <c r="AA2825">
        <v>0.98303870000000004</v>
      </c>
      <c r="AB2825">
        <v>26</v>
      </c>
      <c r="AC2825">
        <v>2.8218999999999701</v>
      </c>
      <c r="AD2825">
        <v>-1.11118253888949</v>
      </c>
      <c r="AE2825">
        <v>-18.847999999999999</v>
      </c>
      <c r="AF2825">
        <v>-3.3490432819681799</v>
      </c>
      <c r="AG2825">
        <v>-1.11118253888949</v>
      </c>
      <c r="AH2825">
        <v>18.695914390430602</v>
      </c>
      <c r="AI2825">
        <v>93.348174906779604</v>
      </c>
      <c r="AJ2825">
        <v>100.155814506136</v>
      </c>
      <c r="AK2825">
        <v>19.025983087176801</v>
      </c>
      <c r="AL2825">
        <v>81.413886115340901</v>
      </c>
      <c r="AM2825">
        <v>95.088508751594404</v>
      </c>
      <c r="AN2825">
        <v>0.99999996244204403</v>
      </c>
    </row>
    <row r="2826" spans="1:40" x14ac:dyDescent="0.25">
      <c r="A2826" t="str">
        <f>"20190312172944824"</f>
        <v>20190312172944824</v>
      </c>
      <c r="B2826" t="str">
        <f>"1552382984820644"</f>
        <v>1552382984820644</v>
      </c>
      <c r="C2826" t="s">
        <v>40</v>
      </c>
      <c r="D2826">
        <v>3.4840659999999999</v>
      </c>
      <c r="E2826">
        <v>0.46490930000000003</v>
      </c>
      <c r="F2826" t="s">
        <v>41</v>
      </c>
      <c r="G2826">
        <v>-489.3503</v>
      </c>
      <c r="H2826" s="1">
        <v>-3.310309E-7</v>
      </c>
      <c r="I2826">
        <v>230.1129</v>
      </c>
      <c r="J2826">
        <v>-492.3116</v>
      </c>
      <c r="K2826">
        <v>1.111183</v>
      </c>
      <c r="L2826">
        <v>249.39359999999999</v>
      </c>
      <c r="M2826">
        <v>-2.791223E-2</v>
      </c>
      <c r="N2826">
        <v>0</v>
      </c>
      <c r="O2826">
        <v>-0.99952110000000005</v>
      </c>
      <c r="P2826">
        <v>6.1443879999999999E-2</v>
      </c>
      <c r="Q2826">
        <v>0.1363201</v>
      </c>
      <c r="R2826">
        <v>-0.98875769999999996</v>
      </c>
      <c r="S2826">
        <v>0.46176149999999999</v>
      </c>
      <c r="T2826">
        <v>-0.17344309999999999</v>
      </c>
      <c r="U2826">
        <v>-3.0299839999999998</v>
      </c>
      <c r="V2826">
        <v>-8.9369950000000004E-2</v>
      </c>
      <c r="W2826">
        <v>0.14929379999999901</v>
      </c>
      <c r="X2826">
        <v>0.98474589999999995</v>
      </c>
      <c r="Y2826">
        <v>-0.17795559999999999</v>
      </c>
      <c r="Z2826">
        <v>5.633494E-2</v>
      </c>
      <c r="AA2826">
        <v>0.98242470000000004</v>
      </c>
      <c r="AB2826">
        <v>26</v>
      </c>
      <c r="AC2826">
        <v>2.9612999999999898</v>
      </c>
      <c r="AD2826">
        <v>-1.1111833310308901</v>
      </c>
      <c r="AE2826">
        <v>-19.2807</v>
      </c>
      <c r="AF2826">
        <v>-3.4870462883336399</v>
      </c>
      <c r="AG2826">
        <v>-1.1111833310308901</v>
      </c>
      <c r="AH2826">
        <v>19.1284528766367</v>
      </c>
      <c r="AI2826">
        <v>93.270826149249302</v>
      </c>
      <c r="AJ2826">
        <v>100.331362078711</v>
      </c>
      <c r="AK2826">
        <v>19.475418600529501</v>
      </c>
      <c r="AL2826">
        <v>81.413997030280299</v>
      </c>
      <c r="AM2826">
        <v>95.185634067235199</v>
      </c>
      <c r="AN2826">
        <v>1.0000000571241201</v>
      </c>
    </row>
    <row r="2827" spans="1:40" x14ac:dyDescent="0.25">
      <c r="A2827" t="str">
        <f>"20190312172944835"</f>
        <v>20190312172944835</v>
      </c>
      <c r="B2827" t="str">
        <f>"1552382984830405"</f>
        <v>1552382984830405</v>
      </c>
      <c r="C2827" t="s">
        <v>40</v>
      </c>
      <c r="D2827">
        <v>3.4698470000000001</v>
      </c>
      <c r="E2827">
        <v>0.46500010000000003</v>
      </c>
      <c r="F2827" t="s">
        <v>41</v>
      </c>
      <c r="G2827">
        <v>-489.32240000000002</v>
      </c>
      <c r="H2827" s="1">
        <v>-3.2936729999999999E-7</v>
      </c>
      <c r="I2827">
        <v>230.08609999999999</v>
      </c>
      <c r="J2827">
        <v>-492.31470000000002</v>
      </c>
      <c r="K2827">
        <v>1.111181</v>
      </c>
      <c r="L2827">
        <v>249.25290000000001</v>
      </c>
      <c r="M2827">
        <v>-2.7140689999999999E-2</v>
      </c>
      <c r="N2827">
        <v>0</v>
      </c>
      <c r="O2827">
        <v>-0.99954229999999999</v>
      </c>
      <c r="P2827">
        <v>6.3971180000000002E-2</v>
      </c>
      <c r="Q2827">
        <v>0.1361107</v>
      </c>
      <c r="R2827">
        <v>-0.98862609999999995</v>
      </c>
      <c r="S2827">
        <v>0.46896359999999898</v>
      </c>
      <c r="T2827">
        <v>-0.1743257</v>
      </c>
      <c r="U2827">
        <v>-3.0290219999999999</v>
      </c>
      <c r="V2827">
        <v>-9.1130859999999994E-2</v>
      </c>
      <c r="W2827">
        <v>0.1490774</v>
      </c>
      <c r="X2827">
        <v>0.98461719999999997</v>
      </c>
      <c r="Y2827">
        <v>-0.17952179999999901</v>
      </c>
      <c r="Z2827">
        <v>5.6621959999999999E-2</v>
      </c>
      <c r="AA2827">
        <v>0.98212310000000003</v>
      </c>
      <c r="AB2827">
        <v>26</v>
      </c>
      <c r="AC2827">
        <v>2.9923000000000002</v>
      </c>
      <c r="AD2827">
        <v>-1.1111813293673001</v>
      </c>
      <c r="AE2827">
        <v>-19.166799999999999</v>
      </c>
      <c r="AF2827">
        <v>-3.4999606048257799</v>
      </c>
      <c r="AG2827">
        <v>-1.1111813293673001</v>
      </c>
      <c r="AH2827">
        <v>19.016124999917</v>
      </c>
      <c r="AI2827">
        <v>93.289077142947406</v>
      </c>
      <c r="AJ2827">
        <v>100.428704203549</v>
      </c>
      <c r="AK2827">
        <v>19.367432927327599</v>
      </c>
      <c r="AL2827">
        <v>81.426535386432604</v>
      </c>
      <c r="AM2827">
        <v>95.287923400226504</v>
      </c>
      <c r="AN2827">
        <v>0.99999996768546895</v>
      </c>
    </row>
    <row r="2828" spans="1:40" x14ac:dyDescent="0.25">
      <c r="A2828" t="str">
        <f>"20190312172944847"</f>
        <v>20190312172944847</v>
      </c>
      <c r="B2828" t="str">
        <f>"1552382984840165"</f>
        <v>1552382984840165</v>
      </c>
      <c r="C2828" t="s">
        <v>40</v>
      </c>
      <c r="D2828">
        <v>3.4666950000000001</v>
      </c>
      <c r="E2828">
        <v>0.46509139999999999</v>
      </c>
      <c r="F2828" t="s">
        <v>41</v>
      </c>
      <c r="G2828">
        <v>-489.3021</v>
      </c>
      <c r="H2828" s="1">
        <v>-3.3018379999999998E-7</v>
      </c>
      <c r="I2828">
        <v>230.07259999999999</v>
      </c>
      <c r="J2828">
        <v>-492.31729999999999</v>
      </c>
      <c r="K2828">
        <v>1.1111799999999901</v>
      </c>
      <c r="L2828">
        <v>249.12860000000001</v>
      </c>
      <c r="M2828">
        <v>-2.6458949999999998E-2</v>
      </c>
      <c r="N2828">
        <v>0</v>
      </c>
      <c r="O2828">
        <v>-0.99956069999999997</v>
      </c>
      <c r="P2828">
        <v>6.6284099999999999E-2</v>
      </c>
      <c r="Q2828">
        <v>0.13602439999999999</v>
      </c>
      <c r="R2828">
        <v>-0.98848579999999997</v>
      </c>
      <c r="S2828">
        <v>0.47558590000000001</v>
      </c>
      <c r="T2828">
        <v>-0.1754164</v>
      </c>
      <c r="U2828">
        <v>-3.0278930000000002</v>
      </c>
      <c r="V2828">
        <v>-9.2766390000000004E-2</v>
      </c>
      <c r="W2828">
        <v>0.14898400000000001</v>
      </c>
      <c r="X2828">
        <v>0.98447870000000004</v>
      </c>
      <c r="Y2828">
        <v>-0.18099989999999999</v>
      </c>
      <c r="Z2828">
        <v>5.6980240000000001E-2</v>
      </c>
      <c r="AA2828">
        <v>0.98183109999999996</v>
      </c>
      <c r="AB2828">
        <v>26</v>
      </c>
      <c r="AC2828">
        <v>3.0151999999999899</v>
      </c>
      <c r="AD2828">
        <v>-1.1111803301837999</v>
      </c>
      <c r="AE2828">
        <v>-19.056000000000001</v>
      </c>
      <c r="AF2828">
        <v>-3.5067584288818399</v>
      </c>
      <c r="AG2828">
        <v>-1.1111803301837999</v>
      </c>
      <c r="AH2828">
        <v>18.906824220264401</v>
      </c>
      <c r="AI2828">
        <v>93.307206907759905</v>
      </c>
      <c r="AJ2828">
        <v>100.50757532548501</v>
      </c>
      <c r="AK2828">
        <v>19.261362322034699</v>
      </c>
      <c r="AL2828">
        <v>81.431948158677102</v>
      </c>
      <c r="AM2828">
        <v>95.383026315000507</v>
      </c>
      <c r="AN2828">
        <v>1.0000000730616501</v>
      </c>
    </row>
    <row r="2829" spans="1:40" x14ac:dyDescent="0.25">
      <c r="A2829" t="str">
        <f>"20190312172944859"</f>
        <v>20190312172944859</v>
      </c>
      <c r="B2829" t="str">
        <f>"1552382984849925"</f>
        <v>1552382984849925</v>
      </c>
      <c r="C2829" t="s">
        <v>40</v>
      </c>
      <c r="D2829">
        <v>3.5011950000000001</v>
      </c>
      <c r="E2829">
        <v>0.4652039</v>
      </c>
      <c r="F2829" t="s">
        <v>41</v>
      </c>
      <c r="G2829">
        <v>-489.2817</v>
      </c>
      <c r="H2829" s="1">
        <v>-3.3383340000000002E-7</v>
      </c>
      <c r="I2829">
        <v>230.06739999999999</v>
      </c>
      <c r="J2829">
        <v>-492.32040000000001</v>
      </c>
      <c r="K2829">
        <v>1.1111799999999901</v>
      </c>
      <c r="L2829">
        <v>248.9787</v>
      </c>
      <c r="M2829">
        <v>-2.5636869999999999E-2</v>
      </c>
      <c r="N2829">
        <v>0</v>
      </c>
      <c r="O2829">
        <v>-0.99958210000000003</v>
      </c>
      <c r="P2829">
        <v>6.8733340000000004E-2</v>
      </c>
      <c r="Q2829">
        <v>0.1356986</v>
      </c>
      <c r="R2829">
        <v>-0.9883634</v>
      </c>
      <c r="S2829">
        <v>0.48205569999999998</v>
      </c>
      <c r="T2829">
        <v>-0.17645629999999901</v>
      </c>
      <c r="U2829">
        <v>-3.026932</v>
      </c>
      <c r="V2829">
        <v>-9.439997E-2</v>
      </c>
      <c r="W2829">
        <v>0.14865210000000001</v>
      </c>
      <c r="X2829">
        <v>0.98437350000000001</v>
      </c>
      <c r="Y2829">
        <v>-0.182283</v>
      </c>
      <c r="Z2829">
        <v>5.7320379999999997E-2</v>
      </c>
      <c r="AA2829">
        <v>0.9815739</v>
      </c>
      <c r="AB2829">
        <v>26</v>
      </c>
      <c r="AC2829">
        <v>3.0387</v>
      </c>
      <c r="AD2829">
        <v>-1.1111803338334001</v>
      </c>
      <c r="AE2829">
        <v>-18.911300000000001</v>
      </c>
      <c r="AF2829">
        <v>-3.5107552381902698</v>
      </c>
      <c r="AG2829">
        <v>-1.1111803338334001</v>
      </c>
      <c r="AH2829">
        <v>18.7640222342032</v>
      </c>
      <c r="AI2829">
        <v>93.331347314436499</v>
      </c>
      <c r="AJ2829">
        <v>100.59753342102999</v>
      </c>
      <c r="AK2829">
        <v>19.121941702725898</v>
      </c>
      <c r="AL2829">
        <v>81.451178089130906</v>
      </c>
      <c r="AM2829">
        <v>95.477829583366301</v>
      </c>
      <c r="AN2829">
        <v>0.99999999433633002</v>
      </c>
    </row>
    <row r="2830" spans="1:40" x14ac:dyDescent="0.25">
      <c r="A2830" t="str">
        <f>"20190312172944873"</f>
        <v>20190312172944873</v>
      </c>
      <c r="B2830" t="str">
        <f>"1552382984870420"</f>
        <v>1552382984870420</v>
      </c>
      <c r="C2830" t="s">
        <v>40</v>
      </c>
      <c r="D2830">
        <v>3.497071</v>
      </c>
      <c r="E2830">
        <v>0.4655514</v>
      </c>
      <c r="F2830" t="s">
        <v>41</v>
      </c>
      <c r="G2830">
        <v>-489.27339999999998</v>
      </c>
      <c r="H2830" s="1">
        <v>-3.5296769999999998E-7</v>
      </c>
      <c r="I2830">
        <v>230.1172</v>
      </c>
      <c r="J2830">
        <v>-492.32339999999999</v>
      </c>
      <c r="K2830">
        <v>1.1111869999999999</v>
      </c>
      <c r="L2830">
        <v>248.8289</v>
      </c>
      <c r="M2830">
        <v>-2.481541E-2</v>
      </c>
      <c r="N2830">
        <v>0</v>
      </c>
      <c r="O2830">
        <v>-0.99960289999999996</v>
      </c>
      <c r="P2830">
        <v>7.1276930000000002E-2</v>
      </c>
      <c r="Q2830">
        <v>0.13567609999999999</v>
      </c>
      <c r="R2830">
        <v>-0.98818640000000002</v>
      </c>
      <c r="S2830">
        <v>0.48880000000000001</v>
      </c>
      <c r="T2830">
        <v>-0.1782579</v>
      </c>
      <c r="U2830">
        <v>-3.0258029999999998</v>
      </c>
      <c r="V2830">
        <v>-9.6127589999999999E-2</v>
      </c>
      <c r="W2830">
        <v>0.148622799999999</v>
      </c>
      <c r="X2830">
        <v>0.98421069999999999</v>
      </c>
      <c r="Y2830">
        <v>-0.1836593</v>
      </c>
      <c r="Z2830">
        <v>5.7909099999999998E-2</v>
      </c>
      <c r="AA2830">
        <v>0.98128269999999995</v>
      </c>
      <c r="AB2830">
        <v>26</v>
      </c>
      <c r="AC2830">
        <v>3.05000000000001</v>
      </c>
      <c r="AD2830">
        <v>-1.1111873529676899</v>
      </c>
      <c r="AE2830">
        <v>-18.7117</v>
      </c>
      <c r="AF2830">
        <v>-3.50141220820574</v>
      </c>
      <c r="AG2830">
        <v>-1.1111873529676899</v>
      </c>
      <c r="AH2830">
        <v>18.566462282257799</v>
      </c>
      <c r="AI2830">
        <v>93.365828704575605</v>
      </c>
      <c r="AJ2830">
        <v>100.679864717116</v>
      </c>
      <c r="AK2830">
        <v>18.926387570365101</v>
      </c>
      <c r="AL2830">
        <v>81.452875556208397</v>
      </c>
      <c r="AM2830">
        <v>95.5783699645269</v>
      </c>
      <c r="AN2830">
        <v>0.99999997611676805</v>
      </c>
    </row>
    <row r="2831" spans="1:40" x14ac:dyDescent="0.25">
      <c r="A2831" t="str">
        <f>"20190312172944892"</f>
        <v>20190312172944892</v>
      </c>
      <c r="B2831" t="str">
        <f>"1552382984880180"</f>
        <v>1552382984880180</v>
      </c>
      <c r="C2831" t="s">
        <v>40</v>
      </c>
      <c r="D2831">
        <v>3.513887</v>
      </c>
      <c r="E2831">
        <v>0.46572520000000001</v>
      </c>
      <c r="F2831" t="s">
        <v>41</v>
      </c>
      <c r="G2831">
        <v>-489.26</v>
      </c>
      <c r="H2831" s="1">
        <v>-3.3973349999999998E-7</v>
      </c>
      <c r="I2831">
        <v>230.06780000000001</v>
      </c>
      <c r="J2831">
        <v>-492.32740000000001</v>
      </c>
      <c r="K2831">
        <v>1.1111879999999901</v>
      </c>
      <c r="L2831">
        <v>248.61150000000001</v>
      </c>
      <c r="M2831">
        <v>-2.3623390000000001E-2</v>
      </c>
      <c r="N2831">
        <v>0</v>
      </c>
      <c r="O2831">
        <v>-0.99963190000000002</v>
      </c>
      <c r="P2831">
        <v>7.5569059999999993E-2</v>
      </c>
      <c r="Q2831">
        <v>0.13575490000000001</v>
      </c>
      <c r="R2831">
        <v>-0.98785650000000003</v>
      </c>
      <c r="S2831">
        <v>0.49389650000000002</v>
      </c>
      <c r="T2831">
        <v>-0.17915490000000001</v>
      </c>
      <c r="U2831">
        <v>-3.024826</v>
      </c>
      <c r="V2831">
        <v>-9.9234810000000007E-2</v>
      </c>
      <c r="W2831">
        <v>0.14868879999999901</v>
      </c>
      <c r="X2831">
        <v>0.98389230000000005</v>
      </c>
      <c r="Y2831">
        <v>-0.184145</v>
      </c>
      <c r="Z2831">
        <v>5.8210070000000003E-2</v>
      </c>
      <c r="AA2831">
        <v>0.98117390000000004</v>
      </c>
      <c r="AB2831">
        <v>26</v>
      </c>
      <c r="AC2831">
        <v>3.0674000000000201</v>
      </c>
      <c r="AD2831">
        <v>-1.1111883397334901</v>
      </c>
      <c r="AE2831">
        <v>-18.543700000000001</v>
      </c>
      <c r="AF2831">
        <v>-3.49244145779948</v>
      </c>
      <c r="AG2831">
        <v>-1.1111883397334901</v>
      </c>
      <c r="AH2831">
        <v>18.4017393903118</v>
      </c>
      <c r="AI2831">
        <v>93.3951477865469</v>
      </c>
      <c r="AJ2831">
        <v>100.746279637599</v>
      </c>
      <c r="AK2831">
        <v>18.763152705541501</v>
      </c>
      <c r="AL2831">
        <v>81.449051600048506</v>
      </c>
      <c r="AM2831">
        <v>95.759342769449404</v>
      </c>
      <c r="AN2831">
        <v>0.99999998238023202</v>
      </c>
    </row>
    <row r="2832" spans="1:40" x14ac:dyDescent="0.25">
      <c r="A2832" t="str">
        <f>"20190312172944914"</f>
        <v>20190312172944914</v>
      </c>
      <c r="B2832" t="str">
        <f>"1552382984910437"</f>
        <v>1552382984910437</v>
      </c>
      <c r="C2832" t="s">
        <v>40</v>
      </c>
      <c r="D2832">
        <v>3.5310589999999902</v>
      </c>
      <c r="E2832">
        <v>0.46633639999999998</v>
      </c>
      <c r="F2832" t="s">
        <v>41</v>
      </c>
      <c r="G2832">
        <v>-489.19130000000001</v>
      </c>
      <c r="H2832" s="1">
        <v>-2.9236359999999999E-7</v>
      </c>
      <c r="I2832">
        <v>229.8749</v>
      </c>
      <c r="J2832">
        <v>-492.33170000000001</v>
      </c>
      <c r="K2832">
        <v>1.111199</v>
      </c>
      <c r="L2832">
        <v>248.3621</v>
      </c>
      <c r="M2832">
        <v>-2.225653E-2</v>
      </c>
      <c r="N2832">
        <v>0</v>
      </c>
      <c r="O2832">
        <v>-0.99966310000000003</v>
      </c>
      <c r="P2832">
        <v>8.0036830000000003E-2</v>
      </c>
      <c r="Q2832">
        <v>0.13671659999999999</v>
      </c>
      <c r="R2832">
        <v>-0.98737189999999997</v>
      </c>
      <c r="S2832">
        <v>0.50595089999999998</v>
      </c>
      <c r="T2832">
        <v>-0.1792696</v>
      </c>
      <c r="U2832">
        <v>-3.0228120000000001</v>
      </c>
      <c r="V2832">
        <v>-0.10234459999999999</v>
      </c>
      <c r="W2832">
        <v>0.14963560000000001</v>
      </c>
      <c r="X2832">
        <v>0.98343009999999997</v>
      </c>
      <c r="Y2832">
        <v>-0.18671270000000001</v>
      </c>
      <c r="Z2832">
        <v>5.8255130000000002E-2</v>
      </c>
      <c r="AA2832">
        <v>0.98068580000000005</v>
      </c>
      <c r="AB2832">
        <v>26</v>
      </c>
      <c r="AC2832">
        <v>3.1404000000000001</v>
      </c>
      <c r="AD2832">
        <v>-1.1111992923636</v>
      </c>
      <c r="AE2832">
        <v>-18.487200000000001</v>
      </c>
      <c r="AF2832">
        <v>-3.5386936081387899</v>
      </c>
      <c r="AG2832">
        <v>-1.1111992923636</v>
      </c>
      <c r="AH2832">
        <v>18.348289910435</v>
      </c>
      <c r="AI2832">
        <v>93.403121669838896</v>
      </c>
      <c r="AJ2832">
        <v>100.916167965041</v>
      </c>
      <c r="AK2832">
        <v>18.719424642787502</v>
      </c>
      <c r="AL2832">
        <v>81.394190320234998</v>
      </c>
      <c r="AM2832">
        <v>95.9413279228188</v>
      </c>
      <c r="AN2832">
        <v>0.99999999576126397</v>
      </c>
    </row>
    <row r="2833" spans="1:40" x14ac:dyDescent="0.25">
      <c r="A2833" t="str">
        <f>"20190312172944927"</f>
        <v>20190312172944927</v>
      </c>
      <c r="B2833" t="str">
        <f>"1552382984920197"</f>
        <v>1552382984920197</v>
      </c>
      <c r="C2833" t="s">
        <v>40</v>
      </c>
      <c r="D2833">
        <v>3.5579339999999902</v>
      </c>
      <c r="E2833">
        <v>0.46656700000000001</v>
      </c>
      <c r="F2833" t="s">
        <v>46</v>
      </c>
      <c r="G2833">
        <v>-489.11079999999998</v>
      </c>
      <c r="H2833" s="1">
        <v>6.3544349999999996E-6</v>
      </c>
      <c r="I2833">
        <v>229.4451</v>
      </c>
      <c r="J2833">
        <v>-492.33409999999998</v>
      </c>
      <c r="K2833">
        <v>1.1112070000000001</v>
      </c>
      <c r="L2833">
        <v>248.21780000000001</v>
      </c>
      <c r="M2833">
        <v>-2.1465519999999998E-2</v>
      </c>
      <c r="N2833">
        <v>0</v>
      </c>
      <c r="O2833">
        <v>-0.99968029999999997</v>
      </c>
      <c r="P2833">
        <v>8.1930359999999994E-2</v>
      </c>
      <c r="Q2833">
        <v>0.137292</v>
      </c>
      <c r="R2833">
        <v>-0.98713649999999997</v>
      </c>
      <c r="S2833">
        <v>0.51440429999999904</v>
      </c>
      <c r="T2833">
        <v>-0.1774683</v>
      </c>
      <c r="U2833">
        <v>-3.0212400000000001</v>
      </c>
      <c r="V2833">
        <v>-0.1034543</v>
      </c>
      <c r="W2833">
        <v>0.15020559999999999</v>
      </c>
      <c r="X2833">
        <v>0.98322710000000002</v>
      </c>
      <c r="Y2833">
        <v>-0.18869150000000001</v>
      </c>
      <c r="Z2833">
        <v>5.7678479999999997E-2</v>
      </c>
      <c r="AA2833">
        <v>0.98034109999999997</v>
      </c>
      <c r="AB2833">
        <v>26</v>
      </c>
      <c r="AC2833">
        <v>3.2232999999999898</v>
      </c>
      <c r="AD2833">
        <v>-1.1112006455650001</v>
      </c>
      <c r="AE2833">
        <v>-18.7727</v>
      </c>
      <c r="AF2833">
        <v>-3.6132615526609499</v>
      </c>
      <c r="AG2833">
        <v>-1.1112006455650001</v>
      </c>
      <c r="AH2833">
        <v>18.635752886099802</v>
      </c>
      <c r="AI2833">
        <v>93.350112400793293</v>
      </c>
      <c r="AJ2833">
        <v>100.972854853705</v>
      </c>
      <c r="AK2833">
        <v>19.015302036897001</v>
      </c>
      <c r="AL2833">
        <v>81.361158631000606</v>
      </c>
      <c r="AM2833">
        <v>96.006510975442893</v>
      </c>
      <c r="AN2833">
        <v>1.0000000223171299</v>
      </c>
    </row>
    <row r="2834" spans="1:40" x14ac:dyDescent="0.25">
      <c r="A2834" t="str">
        <f>"20190312172944937"</f>
        <v>20190312172944937</v>
      </c>
      <c r="B2834" t="str">
        <f>"1552382984929957"</f>
        <v>1552382984929957</v>
      </c>
      <c r="C2834" t="s">
        <v>40</v>
      </c>
      <c r="D2834">
        <v>3.552759</v>
      </c>
      <c r="E2834">
        <v>0.46678009999999898</v>
      </c>
      <c r="F2834" t="s">
        <v>46</v>
      </c>
      <c r="G2834">
        <v>-489.06909999999999</v>
      </c>
      <c r="H2834" s="1">
        <v>6.2642799999999998E-6</v>
      </c>
      <c r="I2834">
        <v>229.18989999999999</v>
      </c>
      <c r="J2834">
        <v>-492.33609999999999</v>
      </c>
      <c r="K2834">
        <v>1.111213</v>
      </c>
      <c r="L2834">
        <v>248.08199999999999</v>
      </c>
      <c r="M2834">
        <v>-2.0721900000000001E-2</v>
      </c>
      <c r="N2834">
        <v>0</v>
      </c>
      <c r="O2834">
        <v>-0.99969600000000003</v>
      </c>
      <c r="P2834">
        <v>8.4077689999999997E-2</v>
      </c>
      <c r="Q2834">
        <v>0.13800709999999999</v>
      </c>
      <c r="R2834">
        <v>-0.98685610000000001</v>
      </c>
      <c r="S2834">
        <v>0.51831050000000001</v>
      </c>
      <c r="T2834">
        <v>-0.1763989</v>
      </c>
      <c r="U2834">
        <v>-3.0205989999999998</v>
      </c>
      <c r="V2834">
        <v>-0.1048634</v>
      </c>
      <c r="W2834">
        <v>0.1509132</v>
      </c>
      <c r="X2834">
        <v>0.98296939999999999</v>
      </c>
      <c r="Y2834">
        <v>-0.1892306</v>
      </c>
      <c r="Z2834">
        <v>5.7336209999999999E-2</v>
      </c>
      <c r="AA2834">
        <v>0.9802573</v>
      </c>
      <c r="AB2834">
        <v>26</v>
      </c>
      <c r="AC2834">
        <v>3.2669999999999901</v>
      </c>
      <c r="AD2834">
        <v>-1.1112067357199999</v>
      </c>
      <c r="AE2834">
        <v>-18.892099999999999</v>
      </c>
      <c r="AF2834">
        <v>-3.6455674437244401</v>
      </c>
      <c r="AG2834">
        <v>-1.1112067357199999</v>
      </c>
      <c r="AH2834">
        <v>18.757329144207699</v>
      </c>
      <c r="AI2834">
        <v>93.328176459284407</v>
      </c>
      <c r="AJ2834">
        <v>100.99856364656399</v>
      </c>
      <c r="AK2834">
        <v>19.140594009079098</v>
      </c>
      <c r="AL2834">
        <v>81.320148327881</v>
      </c>
      <c r="AM2834">
        <v>96.089296435870693</v>
      </c>
      <c r="AN2834">
        <v>0.99999998396507905</v>
      </c>
    </row>
    <row r="2835" spans="1:40" x14ac:dyDescent="0.25">
      <c r="A2835" t="str">
        <f>"20190312172944958"</f>
        <v>20190312172944958</v>
      </c>
      <c r="B2835" t="str">
        <f>"1552382984950452"</f>
        <v>1552382984950452</v>
      </c>
      <c r="C2835" t="s">
        <v>40</v>
      </c>
      <c r="D2835">
        <v>2.9583050000000002</v>
      </c>
      <c r="E2835">
        <v>0.46700190000000003</v>
      </c>
      <c r="F2835" t="s">
        <v>46</v>
      </c>
      <c r="G2835">
        <v>-489.02390000000003</v>
      </c>
      <c r="H2835" s="1">
        <v>6.174479E-6</v>
      </c>
      <c r="I2835">
        <v>228.93879999999999</v>
      </c>
      <c r="J2835">
        <v>-492.33940000000001</v>
      </c>
      <c r="K2835">
        <v>1.111227</v>
      </c>
      <c r="L2835">
        <v>247.85239999999999</v>
      </c>
      <c r="M2835">
        <v>-1.9464680000000002E-2</v>
      </c>
      <c r="N2835">
        <v>0</v>
      </c>
      <c r="O2835">
        <v>-0.99972150000000004</v>
      </c>
      <c r="P2835">
        <v>8.828134E-2</v>
      </c>
      <c r="Q2835">
        <v>0.13937579999999999</v>
      </c>
      <c r="R2835">
        <v>-0.98629679999999997</v>
      </c>
      <c r="S2835">
        <v>0.52252200000000004</v>
      </c>
      <c r="T2835">
        <v>-0.17529890000000001</v>
      </c>
      <c r="U2835">
        <v>-3.019943</v>
      </c>
      <c r="V2835">
        <v>-0.1078194</v>
      </c>
      <c r="W2835">
        <v>0.15226679999999901</v>
      </c>
      <c r="X2835">
        <v>0.98244069999999994</v>
      </c>
      <c r="Y2835">
        <v>-0.18936230000000001</v>
      </c>
      <c r="Z2835">
        <v>5.6986820000000001E-2</v>
      </c>
      <c r="AA2835">
        <v>0.98025220000000002</v>
      </c>
      <c r="AB2835">
        <v>26</v>
      </c>
      <c r="AC2835">
        <v>3.3154999999999801</v>
      </c>
      <c r="AD2835">
        <v>-1.1112208255210001</v>
      </c>
      <c r="AE2835">
        <v>-18.913599999999999</v>
      </c>
      <c r="AF2835">
        <v>-3.6707585380265302</v>
      </c>
      <c r="AG2835">
        <v>-1.1112208255210001</v>
      </c>
      <c r="AH2835">
        <v>18.782573420551799</v>
      </c>
      <c r="AI2835">
        <v>93.323082977008596</v>
      </c>
      <c r="AJ2835">
        <v>101.058177449319</v>
      </c>
      <c r="AK2835">
        <v>19.170141999108498</v>
      </c>
      <c r="AL2835">
        <v>81.241685834295197</v>
      </c>
      <c r="AM2835">
        <v>96.262945629691103</v>
      </c>
      <c r="AN2835">
        <v>0.99999996520754397</v>
      </c>
    </row>
    <row r="2836" spans="1:40" x14ac:dyDescent="0.25">
      <c r="A2836" t="str">
        <f>"20190312172945072"</f>
        <v>20190312172945072</v>
      </c>
      <c r="B2836" t="str">
        <f>"1552382985070501"</f>
        <v>1552382985070501</v>
      </c>
      <c r="C2836" t="s">
        <v>40</v>
      </c>
      <c r="D2836">
        <v>3.3929879999999999</v>
      </c>
      <c r="E2836">
        <v>0.47618769999999999</v>
      </c>
      <c r="F2836" t="s">
        <v>46</v>
      </c>
      <c r="G2836">
        <v>-488.88749999999999</v>
      </c>
      <c r="H2836" s="1">
        <v>5.9427610000000001E-6</v>
      </c>
      <c r="I2836">
        <v>228.30799999999999</v>
      </c>
      <c r="J2836">
        <v>-492.3528</v>
      </c>
      <c r="K2836">
        <v>1.1112409999999999</v>
      </c>
      <c r="L2836">
        <v>246.55109999999999</v>
      </c>
      <c r="M2836">
        <v>-1.233922E-2</v>
      </c>
      <c r="N2836">
        <v>0</v>
      </c>
      <c r="O2836">
        <v>-0.99983500000000003</v>
      </c>
      <c r="P2836">
        <v>0.1106099</v>
      </c>
      <c r="Q2836">
        <v>0.14517469999999999</v>
      </c>
      <c r="R2836">
        <v>-0.98320419999999997</v>
      </c>
      <c r="S2836">
        <v>0.53308109999999997</v>
      </c>
      <c r="T2836">
        <v>-0.1716039</v>
      </c>
      <c r="U2836">
        <v>-3.0182190000000002</v>
      </c>
      <c r="V2836">
        <v>-0.1230994</v>
      </c>
      <c r="W2836">
        <v>0.157989299999999</v>
      </c>
      <c r="X2836">
        <v>0.97973770000000004</v>
      </c>
      <c r="Y2836">
        <v>-0.1857965</v>
      </c>
      <c r="Z2836">
        <v>5.5832930000000003E-2</v>
      </c>
      <c r="AA2836">
        <v>0.98100069999999995</v>
      </c>
      <c r="AB2836">
        <v>26</v>
      </c>
      <c r="AC2836">
        <v>3.4653000000000098</v>
      </c>
      <c r="AD2836">
        <v>-1.111235057239</v>
      </c>
      <c r="AE2836">
        <v>-18.243099999999998</v>
      </c>
      <c r="AF2836">
        <v>-3.6769939543457402</v>
      </c>
      <c r="AG2836">
        <v>-1.111235057239</v>
      </c>
      <c r="AH2836">
        <v>18.134007660024601</v>
      </c>
      <c r="AI2836">
        <v>93.436878129737195</v>
      </c>
      <c r="AJ2836">
        <v>101.462338284374</v>
      </c>
      <c r="AK2836">
        <v>18.5363794120255</v>
      </c>
      <c r="AL2836">
        <v>80.909792965316797</v>
      </c>
      <c r="AM2836">
        <v>97.161415460760196</v>
      </c>
      <c r="AN2836">
        <v>1.00000002099806</v>
      </c>
    </row>
    <row r="2837" spans="1:40" x14ac:dyDescent="0.25">
      <c r="A2837" t="str">
        <f>"20190312172945092"</f>
        <v>20190312172945092</v>
      </c>
      <c r="B2837" t="str">
        <f>"1552382985090022"</f>
        <v>1552382985090022</v>
      </c>
      <c r="C2837" t="s">
        <v>40</v>
      </c>
      <c r="D2837">
        <v>3.7998699999999999</v>
      </c>
      <c r="E2837">
        <v>0.45830759999999998</v>
      </c>
      <c r="F2837" t="s">
        <v>41</v>
      </c>
      <c r="G2837">
        <v>-491.47120000000001</v>
      </c>
      <c r="H2837" s="1">
        <v>-1.192606E-6</v>
      </c>
      <c r="I2837">
        <v>241.45660000000001</v>
      </c>
      <c r="J2837">
        <v>-492.35419999999999</v>
      </c>
      <c r="K2837">
        <v>1.1112379999999999</v>
      </c>
      <c r="L2837">
        <v>246.32220000000001</v>
      </c>
      <c r="M2837">
        <v>-1.108513E-2</v>
      </c>
      <c r="N2837">
        <v>0</v>
      </c>
      <c r="O2837">
        <v>-0.99984949999999995</v>
      </c>
      <c r="P2837">
        <v>0.1144241</v>
      </c>
      <c r="Q2837">
        <v>0.14552290000000001</v>
      </c>
      <c r="R2837">
        <v>-0.98271600000000003</v>
      </c>
      <c r="S2837">
        <v>0.53488159999999996</v>
      </c>
      <c r="T2837">
        <v>-0.67415199999999997</v>
      </c>
      <c r="U2837">
        <v>-3.0906069999999999</v>
      </c>
      <c r="V2837">
        <v>-0.1256765</v>
      </c>
      <c r="W2837">
        <v>0.15832589999999999</v>
      </c>
      <c r="X2837">
        <v>0.97935609999999995</v>
      </c>
      <c r="Y2837">
        <v>-0.17764340000000001</v>
      </c>
      <c r="Z2837">
        <v>0.2099116</v>
      </c>
      <c r="AA2837">
        <v>0.96144680000000005</v>
      </c>
      <c r="AB2837">
        <v>26</v>
      </c>
      <c r="AC2837">
        <v>0.88299999999998102</v>
      </c>
      <c r="AD2837">
        <v>-1.1112391926059999</v>
      </c>
      <c r="AE2837">
        <v>-4.8655999999999997</v>
      </c>
      <c r="AF2837">
        <v>-0.89185017476321904</v>
      </c>
      <c r="AG2837">
        <v>-1.1112391926059999</v>
      </c>
      <c r="AH2837">
        <v>4.6221072469569497</v>
      </c>
      <c r="AI2837">
        <v>103.282310990914</v>
      </c>
      <c r="AJ2837">
        <v>100.92118614253199</v>
      </c>
      <c r="AK2837">
        <v>4.8367473243679697</v>
      </c>
      <c r="AL2837">
        <v>80.890261388003495</v>
      </c>
      <c r="AM2837">
        <v>97.312552687755201</v>
      </c>
      <c r="AN2837">
        <v>1.0000000219351299</v>
      </c>
    </row>
    <row r="2838" spans="1:40" x14ac:dyDescent="0.25">
      <c r="A2838" t="str">
        <f>"20190312172945114"</f>
        <v>20190312172945114</v>
      </c>
      <c r="B2838" t="str">
        <f>"1552382985110517"</f>
        <v>1552382985110517</v>
      </c>
      <c r="C2838" t="s">
        <v>40</v>
      </c>
      <c r="D2838">
        <v>3.643691</v>
      </c>
      <c r="E2838">
        <v>0.46490569999999998</v>
      </c>
      <c r="F2838" t="s">
        <v>41</v>
      </c>
      <c r="G2838">
        <v>-488.83030000000002</v>
      </c>
      <c r="H2838" s="1">
        <v>-7.1334399999999996E-7</v>
      </c>
      <c r="I2838">
        <v>230.81190000000001</v>
      </c>
      <c r="J2838">
        <v>-492.35539999999997</v>
      </c>
      <c r="K2838">
        <v>1.111229</v>
      </c>
      <c r="L2838">
        <v>246.08099999999999</v>
      </c>
      <c r="M2838">
        <v>-9.7632719999999999E-3</v>
      </c>
      <c r="N2838">
        <v>0</v>
      </c>
      <c r="O2838">
        <v>-0.99986330000000001</v>
      </c>
      <c r="P2838">
        <v>0.11801010000000001</v>
      </c>
      <c r="Q2838">
        <v>0.145985</v>
      </c>
      <c r="R2838">
        <v>-0.98222290000000001</v>
      </c>
      <c r="S2838">
        <v>0.68276979999999998</v>
      </c>
      <c r="T2838">
        <v>-0.2153033</v>
      </c>
      <c r="U2838">
        <v>-3.0051269999999999</v>
      </c>
      <c r="V2838">
        <v>-0.12796070000000001</v>
      </c>
      <c r="W2838">
        <v>0.15877649999999999</v>
      </c>
      <c r="X2838">
        <v>0.9789873</v>
      </c>
      <c r="Y2838">
        <v>-0.23052829999999999</v>
      </c>
      <c r="Z2838">
        <v>6.9611989999999999E-2</v>
      </c>
      <c r="AA2838">
        <v>0.97057249999999995</v>
      </c>
      <c r="AB2838">
        <v>25</v>
      </c>
      <c r="AC2838">
        <v>3.5250999999999499</v>
      </c>
      <c r="AD2838">
        <v>-1.1112297133439999</v>
      </c>
      <c r="AE2838">
        <v>-15.2690999999999</v>
      </c>
      <c r="AF2838">
        <v>-3.65563961161949</v>
      </c>
      <c r="AG2838">
        <v>-1.1112297133439999</v>
      </c>
      <c r="AH2838">
        <v>15.157733486453999</v>
      </c>
      <c r="AI2838">
        <v>94.076448416806898</v>
      </c>
      <c r="AJ2838">
        <v>103.559276644633</v>
      </c>
      <c r="AK2838">
        <v>15.631871829446</v>
      </c>
      <c r="AL2838">
        <v>80.864113188768698</v>
      </c>
      <c r="AM2838">
        <v>97.446755338305096</v>
      </c>
      <c r="AN2838">
        <v>1.00000002562901</v>
      </c>
    </row>
    <row r="2839" spans="1:40" x14ac:dyDescent="0.25">
      <c r="A2839" t="str">
        <f>"20190312172945126"</f>
        <v>20190312172945126</v>
      </c>
      <c r="B2839" t="str">
        <f>"1552382985120278"</f>
        <v>1552382985120278</v>
      </c>
      <c r="C2839" t="s">
        <v>40</v>
      </c>
      <c r="D2839">
        <v>3.683335</v>
      </c>
      <c r="E2839">
        <v>0.46613500000000002</v>
      </c>
      <c r="F2839" t="s">
        <v>41</v>
      </c>
      <c r="G2839">
        <v>-489.80930000000001</v>
      </c>
      <c r="H2839" s="1">
        <v>-1.9574570000000002E-6</v>
      </c>
      <c r="I2839">
        <v>234.11680000000001</v>
      </c>
      <c r="J2839">
        <v>-492.35590000000002</v>
      </c>
      <c r="K2839">
        <v>1.1112280000000001</v>
      </c>
      <c r="L2839">
        <v>245.9442</v>
      </c>
      <c r="M2839">
        <v>-9.0136490000000003E-3</v>
      </c>
      <c r="N2839">
        <v>0</v>
      </c>
      <c r="O2839">
        <v>-0.9998705</v>
      </c>
      <c r="P2839">
        <v>0.1198441</v>
      </c>
      <c r="Q2839">
        <v>0.14620729999999901</v>
      </c>
      <c r="R2839">
        <v>-0.98196810000000001</v>
      </c>
      <c r="S2839">
        <v>0.64242549999999998</v>
      </c>
      <c r="T2839">
        <v>-0.28038429999999998</v>
      </c>
      <c r="U2839">
        <v>-3.0187840000000001</v>
      </c>
      <c r="V2839">
        <v>-0.1290568</v>
      </c>
      <c r="W2839">
        <v>0.158994</v>
      </c>
      <c r="X2839">
        <v>0.97880809999999996</v>
      </c>
      <c r="Y2839">
        <v>-0.2161045</v>
      </c>
      <c r="Z2839">
        <v>9.0379970000000004E-2</v>
      </c>
      <c r="AA2839">
        <v>0.97217810000000005</v>
      </c>
      <c r="AB2839">
        <v>25</v>
      </c>
      <c r="AC2839">
        <v>2.54660000000001</v>
      </c>
      <c r="AD2839">
        <v>-1.1112299574569999</v>
      </c>
      <c r="AE2839">
        <v>-11.8273999999999</v>
      </c>
      <c r="AF2839">
        <v>-2.63091900931075</v>
      </c>
      <c r="AG2839">
        <v>-1.1112299574569999</v>
      </c>
      <c r="AH2839">
        <v>11.7052153997289</v>
      </c>
      <c r="AI2839">
        <v>95.291853414070403</v>
      </c>
      <c r="AJ2839">
        <v>102.667549754319</v>
      </c>
      <c r="AK2839">
        <v>12.048594706684799</v>
      </c>
      <c r="AL2839">
        <v>80.851490995373894</v>
      </c>
      <c r="AM2839">
        <v>97.511177752820302</v>
      </c>
      <c r="AN2839">
        <v>1.0000000231439199</v>
      </c>
    </row>
    <row r="2840" spans="1:40" x14ac:dyDescent="0.25">
      <c r="A2840" t="str">
        <f>"20190312172945137"</f>
        <v>20190312172945137</v>
      </c>
      <c r="B2840" t="str">
        <f>"1552382985130037"</f>
        <v>1552382985130037</v>
      </c>
      <c r="C2840" t="s">
        <v>40</v>
      </c>
      <c r="D2840">
        <v>3.6322580000000002</v>
      </c>
      <c r="E2840">
        <v>0.46738849999999998</v>
      </c>
      <c r="F2840" t="s">
        <v>41</v>
      </c>
      <c r="G2840">
        <v>-489.69690000000003</v>
      </c>
      <c r="H2840" s="1">
        <v>-1.6589370000000001E-6</v>
      </c>
      <c r="I2840">
        <v>233.37450000000001</v>
      </c>
      <c r="J2840">
        <v>-492.35629999999998</v>
      </c>
      <c r="K2840">
        <v>1.111232</v>
      </c>
      <c r="L2840">
        <v>245.80420000000001</v>
      </c>
      <c r="M2840">
        <v>-8.2464979999999997E-3</v>
      </c>
      <c r="N2840">
        <v>0</v>
      </c>
      <c r="O2840">
        <v>-0.99987709999999996</v>
      </c>
      <c r="P2840">
        <v>0.12159499999999999</v>
      </c>
      <c r="Q2840">
        <v>0.14658479999999999</v>
      </c>
      <c r="R2840">
        <v>-0.98169669999999998</v>
      </c>
      <c r="S2840">
        <v>0.63821410000000001</v>
      </c>
      <c r="T2840">
        <v>-0.26671159999999999</v>
      </c>
      <c r="U2840">
        <v>-3.0169220000000001</v>
      </c>
      <c r="V2840">
        <v>-0.13005319999999901</v>
      </c>
      <c r="W2840">
        <v>0.15936639999999999</v>
      </c>
      <c r="X2840">
        <v>0.97861560000000003</v>
      </c>
      <c r="Y2840">
        <v>-0.21425739999999999</v>
      </c>
      <c r="Z2840">
        <v>8.6089299999999994E-2</v>
      </c>
      <c r="AA2840">
        <v>0.97297599999999995</v>
      </c>
      <c r="AB2840">
        <v>25</v>
      </c>
      <c r="AC2840">
        <v>2.6593999999999398</v>
      </c>
      <c r="AD2840">
        <v>-1.111233658937</v>
      </c>
      <c r="AE2840">
        <v>-12.429699999999899</v>
      </c>
      <c r="AF2840">
        <v>-2.74087232479439</v>
      </c>
      <c r="AG2840">
        <v>-1.111233658937</v>
      </c>
      <c r="AH2840">
        <v>12.3132374236699</v>
      </c>
      <c r="AI2840">
        <v>95.034250579475199</v>
      </c>
      <c r="AJ2840">
        <v>102.549191685496</v>
      </c>
      <c r="AK2840">
        <v>12.663452814980699</v>
      </c>
      <c r="AL2840">
        <v>80.829878156863899</v>
      </c>
      <c r="AM2840">
        <v>97.569970580093994</v>
      </c>
      <c r="AN2840">
        <v>0.99999998842128002</v>
      </c>
    </row>
    <row r="2841" spans="1:40" x14ac:dyDescent="0.25">
      <c r="A2841" t="str">
        <f>"20190312172945159"</f>
        <v>20190312172945159</v>
      </c>
      <c r="B2841" t="str">
        <f>"1552382985150536"</f>
        <v>1552382985150536</v>
      </c>
      <c r="C2841" t="s">
        <v>40</v>
      </c>
      <c r="D2841">
        <v>3.5954030000000001</v>
      </c>
      <c r="E2841">
        <v>0.46960590000000002</v>
      </c>
      <c r="F2841" t="s">
        <v>41</v>
      </c>
      <c r="G2841">
        <v>-489.58670000000001</v>
      </c>
      <c r="H2841" s="1">
        <v>-1.3590090000000001E-6</v>
      </c>
      <c r="I2841">
        <v>232.62979999999999</v>
      </c>
      <c r="J2841">
        <v>-492.35680000000002</v>
      </c>
      <c r="K2841">
        <v>1.1112340000000001</v>
      </c>
      <c r="L2841">
        <v>245.56469999999999</v>
      </c>
      <c r="M2841">
        <v>-6.930065E-3</v>
      </c>
      <c r="N2841">
        <v>0</v>
      </c>
      <c r="O2841">
        <v>-0.99988710000000003</v>
      </c>
      <c r="P2841">
        <v>0.1244267</v>
      </c>
      <c r="Q2841">
        <v>0.1469424</v>
      </c>
      <c r="R2841">
        <v>-0.9812881</v>
      </c>
      <c r="S2841">
        <v>0.63391109999999995</v>
      </c>
      <c r="T2841">
        <v>-0.25434119999999999</v>
      </c>
      <c r="U2841">
        <v>-3.015396</v>
      </c>
      <c r="V2841">
        <v>-0.1315915</v>
      </c>
      <c r="W2841">
        <v>0.1597152</v>
      </c>
      <c r="X2841">
        <v>0.97835309999999998</v>
      </c>
      <c r="Y2841">
        <v>-0.21180889999999999</v>
      </c>
      <c r="Z2841">
        <v>8.220036E-2</v>
      </c>
      <c r="AA2841">
        <v>0.97384809999999999</v>
      </c>
      <c r="AB2841">
        <v>25</v>
      </c>
      <c r="AC2841">
        <v>2.77010000000001</v>
      </c>
      <c r="AD2841">
        <v>-1.1112353590090001</v>
      </c>
      <c r="AE2841">
        <v>-12.934900000000001</v>
      </c>
      <c r="AF2841">
        <v>-2.8396421985302198</v>
      </c>
      <c r="AG2841">
        <v>-1.1112353590090001</v>
      </c>
      <c r="AH2841">
        <v>12.8248873160759</v>
      </c>
      <c r="AI2841">
        <v>94.835588033120104</v>
      </c>
      <c r="AJ2841">
        <v>102.48481045706301</v>
      </c>
      <c r="AK2841">
        <v>13.1824180827658</v>
      </c>
      <c r="AL2841">
        <v>80.809634457264707</v>
      </c>
      <c r="AM2841">
        <v>97.660483811517693</v>
      </c>
      <c r="AN2841">
        <v>1.0000000281314401</v>
      </c>
    </row>
    <row r="2842" spans="1:40" x14ac:dyDescent="0.25">
      <c r="A2842" t="str">
        <f>"20190312172945171"</f>
        <v>20190312172945171</v>
      </c>
      <c r="B2842" t="str">
        <f>"1552382985160297"</f>
        <v>1552382985160297</v>
      </c>
      <c r="C2842" t="s">
        <v>40</v>
      </c>
      <c r="D2842">
        <v>3.6107149999999999</v>
      </c>
      <c r="E2842">
        <v>0.47033190000000002</v>
      </c>
      <c r="F2842" t="s">
        <v>41</v>
      </c>
      <c r="G2842">
        <v>-489.51190000000003</v>
      </c>
      <c r="H2842" s="1">
        <v>-1.035989E-6</v>
      </c>
      <c r="I2842">
        <v>231.8459</v>
      </c>
      <c r="J2842">
        <v>-492.3569</v>
      </c>
      <c r="K2842">
        <v>1.1112439999999999</v>
      </c>
      <c r="L2842">
        <v>245.43369999999999</v>
      </c>
      <c r="M2842">
        <v>-6.2043269999999999E-3</v>
      </c>
      <c r="N2842">
        <v>0</v>
      </c>
      <c r="O2842">
        <v>-0.99989159999999999</v>
      </c>
      <c r="P2842">
        <v>0.12565009999999999</v>
      </c>
      <c r="Q2842">
        <v>0.14715880000000001</v>
      </c>
      <c r="R2842">
        <v>-0.98109970000000002</v>
      </c>
      <c r="S2842">
        <v>0.62512209999999901</v>
      </c>
      <c r="T2842">
        <v>-0.24417559999999999</v>
      </c>
      <c r="U2842">
        <v>-3.0144959999999998</v>
      </c>
      <c r="V2842">
        <v>-0.13210329999999901</v>
      </c>
      <c r="W2842">
        <v>0.15992790000000001</v>
      </c>
      <c r="X2842">
        <v>0.97824929999999999</v>
      </c>
      <c r="Y2842">
        <v>-0.2084887</v>
      </c>
      <c r="Z2842">
        <v>7.9011460000000006E-2</v>
      </c>
      <c r="AA2842">
        <v>0.97482800000000003</v>
      </c>
      <c r="AB2842">
        <v>25</v>
      </c>
      <c r="AC2842">
        <v>2.84499999999997</v>
      </c>
      <c r="AD2842">
        <v>-1.111245035989</v>
      </c>
      <c r="AE2842">
        <v>-13.5877999999999</v>
      </c>
      <c r="AF2842">
        <v>-2.9106062364615002</v>
      </c>
      <c r="AG2842">
        <v>-1.111245035989</v>
      </c>
      <c r="AH2842">
        <v>13.4834902782091</v>
      </c>
      <c r="AI2842">
        <v>94.605782546363699</v>
      </c>
      <c r="AJ2842">
        <v>102.181212845701</v>
      </c>
      <c r="AK2842">
        <v>13.838750098050699</v>
      </c>
      <c r="AL2842">
        <v>80.797288267201793</v>
      </c>
      <c r="AM2842">
        <v>97.690728164177102</v>
      </c>
      <c r="AN2842">
        <v>0.99999995400989306</v>
      </c>
    </row>
    <row r="2843" spans="1:40" x14ac:dyDescent="0.25">
      <c r="A2843" t="str">
        <f>"20190312172945182"</f>
        <v>20190312172945182</v>
      </c>
      <c r="B2843" t="str">
        <f>"1552382985180792"</f>
        <v>1552382985180792</v>
      </c>
      <c r="C2843" t="s">
        <v>40</v>
      </c>
      <c r="D2843">
        <v>3.6231409999999999</v>
      </c>
      <c r="E2843">
        <v>0.47118399999999999</v>
      </c>
      <c r="F2843" t="s">
        <v>41</v>
      </c>
      <c r="G2843">
        <v>-489.4717</v>
      </c>
      <c r="H2843" s="1">
        <v>-8.9338080000000001E-7</v>
      </c>
      <c r="I2843">
        <v>231.49680000000001</v>
      </c>
      <c r="J2843">
        <v>-492.35700000000003</v>
      </c>
      <c r="K2843">
        <v>1.111254</v>
      </c>
      <c r="L2843">
        <v>245.29920000000001</v>
      </c>
      <c r="M2843">
        <v>-5.4567959999999999E-3</v>
      </c>
      <c r="N2843">
        <v>0</v>
      </c>
      <c r="O2843">
        <v>-0.99989589999999995</v>
      </c>
      <c r="P2843">
        <v>0.126878399999999</v>
      </c>
      <c r="Q2843">
        <v>0.1473766</v>
      </c>
      <c r="R2843">
        <v>-0.98090880000000003</v>
      </c>
      <c r="S2843">
        <v>0.62393189999999998</v>
      </c>
      <c r="T2843">
        <v>-0.24031350000000001</v>
      </c>
      <c r="U2843">
        <v>-3.0139309999999999</v>
      </c>
      <c r="V2843">
        <v>-0.13259969999999999</v>
      </c>
      <c r="W2843">
        <v>0.16014120000000001</v>
      </c>
      <c r="X2843">
        <v>0.97814730000000005</v>
      </c>
      <c r="Y2843">
        <v>-0.20744409999999999</v>
      </c>
      <c r="Z2843">
        <v>7.7796050000000005E-2</v>
      </c>
      <c r="AA2843">
        <v>0.97514860000000003</v>
      </c>
      <c r="AB2843">
        <v>25</v>
      </c>
      <c r="AC2843">
        <v>2.8852999999999698</v>
      </c>
      <c r="AD2843">
        <v>-1.1112548933808</v>
      </c>
      <c r="AE2843">
        <v>-13.8024</v>
      </c>
      <c r="AF2843">
        <v>-2.9423067548755801</v>
      </c>
      <c r="AG2843">
        <v>-1.1112548933808</v>
      </c>
      <c r="AH2843">
        <v>13.701353127896001</v>
      </c>
      <c r="AI2843">
        <v>94.533933728514498</v>
      </c>
      <c r="AJ2843">
        <v>102.11995322734499</v>
      </c>
      <c r="AK2843">
        <v>14.057707281529099</v>
      </c>
      <c r="AL2843">
        <v>80.784908049428594</v>
      </c>
      <c r="AM2843">
        <v>97.720074798879693</v>
      </c>
      <c r="AN2843">
        <v>1.00000001243741</v>
      </c>
    </row>
    <row r="2844" spans="1:40" x14ac:dyDescent="0.25">
      <c r="A2844" t="str">
        <f>"20190312172945195"</f>
        <v>20190312172945195</v>
      </c>
      <c r="B2844" t="str">
        <f>"1552382985190552"</f>
        <v>1552382985190552</v>
      </c>
      <c r="C2844" t="s">
        <v>40</v>
      </c>
      <c r="D2844">
        <v>3.580301</v>
      </c>
      <c r="E2844">
        <v>0.47152949999999999</v>
      </c>
      <c r="F2844" t="s">
        <v>41</v>
      </c>
      <c r="G2844">
        <v>-489.44049999999999</v>
      </c>
      <c r="H2844" s="1">
        <v>-7.5529140000000003E-7</v>
      </c>
      <c r="I2844">
        <v>231.16200000000001</v>
      </c>
      <c r="J2844">
        <v>-492.3569</v>
      </c>
      <c r="K2844">
        <v>1.11127</v>
      </c>
      <c r="L2844">
        <v>245.16319999999999</v>
      </c>
      <c r="M2844">
        <v>-4.6853789999999999E-3</v>
      </c>
      <c r="N2844">
        <v>0</v>
      </c>
      <c r="O2844">
        <v>-0.99989980000000001</v>
      </c>
      <c r="P2844">
        <v>0.12813859999999999</v>
      </c>
      <c r="Q2844">
        <v>0.14790320000000001</v>
      </c>
      <c r="R2844">
        <v>-0.98066549999999997</v>
      </c>
      <c r="S2844">
        <v>0.62170409999999998</v>
      </c>
      <c r="T2844">
        <v>-0.23688049999999999</v>
      </c>
      <c r="U2844">
        <v>-3.01355</v>
      </c>
      <c r="V2844">
        <v>-0.1331069</v>
      </c>
      <c r="W2844">
        <v>0.16066129999999901</v>
      </c>
      <c r="X2844">
        <v>0.97799309999999995</v>
      </c>
      <c r="Y2844">
        <v>-0.20603940000000001</v>
      </c>
      <c r="Z2844">
        <v>7.6718499999999995E-2</v>
      </c>
      <c r="AA2844">
        <v>0.9755317</v>
      </c>
      <c r="AB2844">
        <v>25</v>
      </c>
      <c r="AC2844">
        <v>2.9163999999999999</v>
      </c>
      <c r="AD2844">
        <v>-1.1112707552913901</v>
      </c>
      <c r="AE2844">
        <v>-14.0011999999999</v>
      </c>
      <c r="AF2844">
        <v>-2.9640788698272398</v>
      </c>
      <c r="AG2844">
        <v>-1.1112707552913901</v>
      </c>
      <c r="AH2844">
        <v>13.903437367370801</v>
      </c>
      <c r="AI2844">
        <v>94.469782484105707</v>
      </c>
      <c r="AJ2844">
        <v>102.034739939471</v>
      </c>
      <c r="AK2844">
        <v>14.2592516236486</v>
      </c>
      <c r="AL2844">
        <v>80.754717507096501</v>
      </c>
      <c r="AM2844">
        <v>97.750453287093194</v>
      </c>
      <c r="AN2844">
        <v>1.0000000018964501</v>
      </c>
    </row>
    <row r="2845" spans="1:40" x14ac:dyDescent="0.25">
      <c r="A2845" t="str">
        <f>"20190312172945207"</f>
        <v>20190312172945207</v>
      </c>
      <c r="B2845" t="str">
        <f>"1552382985200313"</f>
        <v>1552382985200313</v>
      </c>
      <c r="C2845" t="s">
        <v>40</v>
      </c>
      <c r="D2845">
        <v>3.6231969999999998</v>
      </c>
      <c r="E2845">
        <v>0.47195120000000002</v>
      </c>
      <c r="F2845" t="s">
        <v>41</v>
      </c>
      <c r="G2845">
        <v>-489.40269999999998</v>
      </c>
      <c r="H2845" s="1">
        <v>-6.4418819999999998E-7</v>
      </c>
      <c r="I2845">
        <v>230.88740000000001</v>
      </c>
      <c r="J2845">
        <v>-492.35669999999999</v>
      </c>
      <c r="K2845">
        <v>1.1112919999999999</v>
      </c>
      <c r="L2845">
        <v>245.02610000000001</v>
      </c>
      <c r="M2845">
        <v>-3.8995570000000001E-3</v>
      </c>
      <c r="N2845">
        <v>0</v>
      </c>
      <c r="O2845">
        <v>-0.9999034</v>
      </c>
      <c r="P2845">
        <v>0.12904599999999999</v>
      </c>
      <c r="Q2845">
        <v>0.1484819</v>
      </c>
      <c r="R2845">
        <v>-0.98045930000000003</v>
      </c>
      <c r="S2845">
        <v>0.62350459999999996</v>
      </c>
      <c r="T2845">
        <v>-0.2345479</v>
      </c>
      <c r="U2845">
        <v>-3.013077</v>
      </c>
      <c r="V2845">
        <v>-0.13324910000000001</v>
      </c>
      <c r="W2845">
        <v>0.1612335</v>
      </c>
      <c r="X2845">
        <v>0.97787959999999996</v>
      </c>
      <c r="Y2845">
        <v>-0.20587130000000001</v>
      </c>
      <c r="Z2845">
        <v>7.5976329999999995E-2</v>
      </c>
      <c r="AA2845">
        <v>0.97562519999999997</v>
      </c>
      <c r="AB2845">
        <v>25</v>
      </c>
      <c r="AC2845">
        <v>2.9540000000000002</v>
      </c>
      <c r="AD2845">
        <v>-1.1112926441881901</v>
      </c>
      <c r="AE2845">
        <v>-14.1387</v>
      </c>
      <c r="AF2845">
        <v>-2.9914095717758098</v>
      </c>
      <c r="AG2845">
        <v>-1.1112926441881901</v>
      </c>
      <c r="AH2845">
        <v>14.043939584771699</v>
      </c>
      <c r="AI2845">
        <v>94.425497812577206</v>
      </c>
      <c r="AJ2845">
        <v>102.02450352217799</v>
      </c>
      <c r="AK2845">
        <v>14.4019353431356</v>
      </c>
      <c r="AL2845">
        <v>80.721500141123897</v>
      </c>
      <c r="AM2845">
        <v>97.759521966341296</v>
      </c>
      <c r="AN2845">
        <v>1.0000000381345999</v>
      </c>
    </row>
    <row r="2846" spans="1:40" x14ac:dyDescent="0.25">
      <c r="A2846" t="str">
        <f>"20190312172945226"</f>
        <v>20190312172945226</v>
      </c>
      <c r="B2846" t="str">
        <f>"1552382985219832"</f>
        <v>1552382985219832</v>
      </c>
      <c r="C2846" t="s">
        <v>40</v>
      </c>
      <c r="D2846">
        <v>3.5643280000000002</v>
      </c>
      <c r="E2846">
        <v>0.4726457</v>
      </c>
      <c r="F2846" t="s">
        <v>41</v>
      </c>
      <c r="G2846">
        <v>-489.35390000000001</v>
      </c>
      <c r="H2846" s="1">
        <v>-4.9470590000000002E-7</v>
      </c>
      <c r="I2846">
        <v>230.5188</v>
      </c>
      <c r="J2846">
        <v>-492.35610000000003</v>
      </c>
      <c r="K2846">
        <v>1.111332</v>
      </c>
      <c r="L2846">
        <v>244.8065</v>
      </c>
      <c r="M2846">
        <v>-2.6027680000000001E-3</v>
      </c>
      <c r="N2846">
        <v>0</v>
      </c>
      <c r="O2846">
        <v>-0.99990789999999996</v>
      </c>
      <c r="P2846">
        <v>0.13088720000000001</v>
      </c>
      <c r="Q2846">
        <v>0.15038550000000001</v>
      </c>
      <c r="R2846">
        <v>-0.97992539999999995</v>
      </c>
      <c r="S2846">
        <v>0.623565699999999</v>
      </c>
      <c r="T2846">
        <v>-0.23077549999999999</v>
      </c>
      <c r="U2846">
        <v>-3.0126499999999998</v>
      </c>
      <c r="V2846">
        <v>-0.13383419999999999</v>
      </c>
      <c r="W2846">
        <v>0.1631203</v>
      </c>
      <c r="X2846">
        <v>0.97748670000000004</v>
      </c>
      <c r="Y2846">
        <v>-0.20466699999999999</v>
      </c>
      <c r="Z2846">
        <v>7.4781630000000002E-2</v>
      </c>
      <c r="AA2846">
        <v>0.97597089999999997</v>
      </c>
      <c r="AB2846">
        <v>25</v>
      </c>
      <c r="AC2846">
        <v>3.00220000000001</v>
      </c>
      <c r="AD2846">
        <v>-1.1113324947059</v>
      </c>
      <c r="AE2846">
        <v>-14.287699999999999</v>
      </c>
      <c r="AF2846">
        <v>-3.0218711293360898</v>
      </c>
      <c r="AG2846">
        <v>-1.1113324947059</v>
      </c>
      <c r="AH2846">
        <v>14.1975721642805</v>
      </c>
      <c r="AI2846">
        <v>94.378094421660194</v>
      </c>
      <c r="AJ2846">
        <v>102.01576806110501</v>
      </c>
      <c r="AK2846">
        <v>14.558084365604399</v>
      </c>
      <c r="AL2846">
        <v>80.611944104695496</v>
      </c>
      <c r="AM2846">
        <v>97.796270373389802</v>
      </c>
      <c r="AN2846">
        <v>1.0000000370193001</v>
      </c>
    </row>
    <row r="2847" spans="1:40" x14ac:dyDescent="0.25">
      <c r="A2847" t="str">
        <f>"20190312172945239"</f>
        <v>20190312172945239</v>
      </c>
      <c r="B2847" t="str">
        <f>"1552382985230568"</f>
        <v>1552382985230568</v>
      </c>
      <c r="C2847" t="s">
        <v>40</v>
      </c>
      <c r="D2847">
        <v>3.5476719999999999</v>
      </c>
      <c r="E2847">
        <v>0.47285549999999998</v>
      </c>
      <c r="F2847" t="s">
        <v>41</v>
      </c>
      <c r="G2847">
        <v>-489.26679999999999</v>
      </c>
      <c r="H2847" s="1">
        <v>-2.8383620000000001E-7</v>
      </c>
      <c r="I2847">
        <v>229.90889999999999</v>
      </c>
      <c r="J2847">
        <v>-492.35550000000001</v>
      </c>
      <c r="K2847">
        <v>1.1113580000000001</v>
      </c>
      <c r="L2847">
        <v>244.66139999999999</v>
      </c>
      <c r="M2847">
        <v>-1.717218E-3</v>
      </c>
      <c r="N2847">
        <v>0</v>
      </c>
      <c r="O2847">
        <v>-0.99990950000000001</v>
      </c>
      <c r="P2847">
        <v>0.13191</v>
      </c>
      <c r="Q2847">
        <v>0.1509974</v>
      </c>
      <c r="R2847">
        <v>-0.9796937</v>
      </c>
      <c r="S2847">
        <v>0.62469479999999999</v>
      </c>
      <c r="T2847">
        <v>-0.22472819999999999</v>
      </c>
      <c r="U2847">
        <v>-3.012527</v>
      </c>
      <c r="V2847">
        <v>-0.13400049999999999</v>
      </c>
      <c r="W2847">
        <v>0.16372200000000001</v>
      </c>
      <c r="X2847">
        <v>0.97736330000000005</v>
      </c>
      <c r="Y2847">
        <v>-0.20418800000000001</v>
      </c>
      <c r="Z2847">
        <v>7.2836849999999995E-2</v>
      </c>
      <c r="AA2847">
        <v>0.97621820000000004</v>
      </c>
      <c r="AB2847">
        <v>25</v>
      </c>
      <c r="AC2847">
        <v>3.08870000000001</v>
      </c>
      <c r="AD2847">
        <v>-1.1113582838361999</v>
      </c>
      <c r="AE2847">
        <v>-14.7524999999999</v>
      </c>
      <c r="AF2847">
        <v>-3.0971920771865298</v>
      </c>
      <c r="AG2847">
        <v>-1.1113582838361999</v>
      </c>
      <c r="AH2847">
        <v>14.6674295974143</v>
      </c>
      <c r="AI2847">
        <v>94.239905942218499</v>
      </c>
      <c r="AJ2847">
        <v>101.923486105511</v>
      </c>
      <c r="AK2847">
        <v>15.032006086785</v>
      </c>
      <c r="AL2847">
        <v>80.576999326614398</v>
      </c>
      <c r="AM2847">
        <v>97.806811924208205</v>
      </c>
      <c r="AN2847">
        <v>1.00000002373556</v>
      </c>
    </row>
    <row r="2848" spans="1:40" x14ac:dyDescent="0.25">
      <c r="A2848" t="str">
        <f>"20190312172945252"</f>
        <v>20190312172945252</v>
      </c>
      <c r="B2848" t="str">
        <f>"1552382985240328"</f>
        <v>1552382985240328</v>
      </c>
      <c r="C2848" t="s">
        <v>40</v>
      </c>
      <c r="D2848">
        <v>3.5404279999999999</v>
      </c>
      <c r="E2848">
        <v>0.473223</v>
      </c>
      <c r="F2848" t="s">
        <v>46</v>
      </c>
      <c r="G2848">
        <v>-489.20170000000002</v>
      </c>
      <c r="H2848" s="1">
        <v>6.3978720000000003E-6</v>
      </c>
      <c r="I2848">
        <v>229.50720000000001</v>
      </c>
      <c r="J2848">
        <v>-492.35480000000001</v>
      </c>
      <c r="K2848">
        <v>1.111383</v>
      </c>
      <c r="L2848">
        <v>244.5214</v>
      </c>
      <c r="M2848">
        <v>-8.3729509999999998E-4</v>
      </c>
      <c r="N2848">
        <v>0</v>
      </c>
      <c r="O2848">
        <v>-0.99991079999999999</v>
      </c>
      <c r="P2848">
        <v>0.13305529999999999</v>
      </c>
      <c r="Q2848">
        <v>0.1515996</v>
      </c>
      <c r="R2848">
        <v>-0.97944580000000003</v>
      </c>
      <c r="S2848">
        <v>0.62680049999999998</v>
      </c>
      <c r="T2848">
        <v>-0.2208754</v>
      </c>
      <c r="U2848">
        <v>-3.0118260000000001</v>
      </c>
      <c r="V2848">
        <v>-0.13429659999999999</v>
      </c>
      <c r="W2848">
        <v>0.16431229999999999</v>
      </c>
      <c r="X2848">
        <v>0.97722359999999997</v>
      </c>
      <c r="Y2848">
        <v>-0.20404430000000001</v>
      </c>
      <c r="Z2848">
        <v>7.1607149999999994E-2</v>
      </c>
      <c r="AA2848">
        <v>0.97633919999999996</v>
      </c>
      <c r="AB2848">
        <v>25</v>
      </c>
      <c r="AC2848">
        <v>3.15309999999999</v>
      </c>
      <c r="AD2848">
        <v>-1.111376602128</v>
      </c>
      <c r="AE2848">
        <v>-15.014199999999899</v>
      </c>
      <c r="AF2848">
        <v>-3.14914534316447</v>
      </c>
      <c r="AG2848">
        <v>-1.111376602128</v>
      </c>
      <c r="AH2848">
        <v>14.933188515792001</v>
      </c>
      <c r="AI2848">
        <v>94.165020468620099</v>
      </c>
      <c r="AJ2848">
        <v>101.908188145126</v>
      </c>
      <c r="AK2848">
        <v>15.3020388704353</v>
      </c>
      <c r="AL2848">
        <v>80.542713431729197</v>
      </c>
      <c r="AM2848">
        <v>97.824953782441597</v>
      </c>
      <c r="AN2848">
        <v>1.0000000365499</v>
      </c>
    </row>
    <row r="2849" spans="1:40" x14ac:dyDescent="0.25">
      <c r="A2849" t="str">
        <f>"20190312172945264"</f>
        <v>20190312172945264</v>
      </c>
      <c r="B2849" t="str">
        <f>"1552382985259848"</f>
        <v>1552382985259848</v>
      </c>
      <c r="C2849" t="s">
        <v>40</v>
      </c>
      <c r="D2849">
        <v>3.5771009999999999</v>
      </c>
      <c r="E2849">
        <v>0.47370440000000003</v>
      </c>
      <c r="F2849" t="s">
        <v>46</v>
      </c>
      <c r="G2849">
        <v>-489.17989999999998</v>
      </c>
      <c r="H2849" s="1">
        <v>6.3218469999999996E-6</v>
      </c>
      <c r="I2849">
        <v>229.28049999999999</v>
      </c>
      <c r="J2849">
        <v>-492.35399999999998</v>
      </c>
      <c r="K2849">
        <v>1.1114059999999999</v>
      </c>
      <c r="L2849">
        <v>244.38640000000001</v>
      </c>
      <c r="M2849" s="1">
        <v>2.4739230000000001E-5</v>
      </c>
      <c r="N2849">
        <v>0</v>
      </c>
      <c r="O2849">
        <v>-0.99991099999999999</v>
      </c>
      <c r="P2849">
        <v>0.1342477</v>
      </c>
      <c r="Q2849">
        <v>0.15216759999999999</v>
      </c>
      <c r="R2849">
        <v>-0.97919500000000004</v>
      </c>
      <c r="S2849">
        <v>0.62738039999999995</v>
      </c>
      <c r="T2849">
        <v>-0.21961530000000001</v>
      </c>
      <c r="U2849">
        <v>-3.0117029999999998</v>
      </c>
      <c r="V2849">
        <v>-0.13465769999999999</v>
      </c>
      <c r="W2849">
        <v>0.16486779999999901</v>
      </c>
      <c r="X2849">
        <v>0.97708030000000001</v>
      </c>
      <c r="Y2849">
        <v>-0.2033943</v>
      </c>
      <c r="Z2849">
        <v>7.1207119999999999E-2</v>
      </c>
      <c r="AA2849">
        <v>0.97650409999999999</v>
      </c>
      <c r="AB2849">
        <v>25</v>
      </c>
      <c r="AC2849">
        <v>3.1741000000000601</v>
      </c>
      <c r="AD2849">
        <v>-1.111399678153</v>
      </c>
      <c r="AE2849">
        <v>-15.1059</v>
      </c>
      <c r="AF2849">
        <v>-3.1573578095452701</v>
      </c>
      <c r="AG2849">
        <v>-1.111399678153</v>
      </c>
      <c r="AH2849">
        <v>15.0280696584532</v>
      </c>
      <c r="AI2849">
        <v>94.139554132712803</v>
      </c>
      <c r="AJ2849">
        <v>101.86512189692399</v>
      </c>
      <c r="AK2849">
        <v>15.3963305771673</v>
      </c>
      <c r="AL2849">
        <v>80.510445211039894</v>
      </c>
      <c r="AM2849">
        <v>97.846868361113906</v>
      </c>
      <c r="AN2849">
        <v>1.0000000001471101</v>
      </c>
    </row>
    <row r="2850" spans="1:40" x14ac:dyDescent="0.25">
      <c r="A2850" t="str">
        <f>"20190312172945283"</f>
        <v>20190312172945283</v>
      </c>
      <c r="B2850" t="str">
        <f>"1552382985280344"</f>
        <v>1552382985280344</v>
      </c>
      <c r="C2850" t="s">
        <v>40</v>
      </c>
      <c r="D2850">
        <v>3.519536</v>
      </c>
      <c r="E2850">
        <v>0.47427720000000001</v>
      </c>
      <c r="F2850" t="s">
        <v>46</v>
      </c>
      <c r="G2850">
        <v>-489.17200000000003</v>
      </c>
      <c r="H2850" s="1">
        <v>6.2681470000000004E-6</v>
      </c>
      <c r="I2850">
        <v>229.114</v>
      </c>
      <c r="J2850">
        <v>-492.35239999999999</v>
      </c>
      <c r="K2850">
        <v>1.1114539999999999</v>
      </c>
      <c r="L2850">
        <v>244.16550000000001</v>
      </c>
      <c r="M2850">
        <v>1.5259529999999901E-3</v>
      </c>
      <c r="N2850">
        <v>0</v>
      </c>
      <c r="O2850">
        <v>-0.99991010000000002</v>
      </c>
      <c r="P2850">
        <v>0.136453399999999</v>
      </c>
      <c r="Q2850">
        <v>0.15263860000000001</v>
      </c>
      <c r="R2850">
        <v>-0.97881689999999999</v>
      </c>
      <c r="S2850">
        <v>0.62750240000000002</v>
      </c>
      <c r="T2850">
        <v>-0.21917159999999999</v>
      </c>
      <c r="U2850">
        <v>-3.0117799999999999</v>
      </c>
      <c r="V2850">
        <v>-0.13542029999999999</v>
      </c>
      <c r="W2850">
        <v>0.16531460000000001</v>
      </c>
      <c r="X2850">
        <v>0.97689939999999997</v>
      </c>
      <c r="Y2850">
        <v>-0.20195930000000001</v>
      </c>
      <c r="Z2850">
        <v>7.1072529999999995E-2</v>
      </c>
      <c r="AA2850">
        <v>0.97681169999999995</v>
      </c>
      <c r="AB2850">
        <v>25</v>
      </c>
      <c r="AC2850">
        <v>3.1804000000000201</v>
      </c>
      <c r="AD2850">
        <v>-1.1114477318529901</v>
      </c>
      <c r="AE2850">
        <v>-15.051500000000001</v>
      </c>
      <c r="AF2850">
        <v>-3.1410310267869002</v>
      </c>
      <c r="AG2850">
        <v>-1.1114477318529901</v>
      </c>
      <c r="AH2850">
        <v>14.9781540481571</v>
      </c>
      <c r="AI2850">
        <v>94.153804635933696</v>
      </c>
      <c r="AJ2850">
        <v>101.843726236192</v>
      </c>
      <c r="AK2850">
        <v>15.344265725742799</v>
      </c>
      <c r="AL2850">
        <v>80.484489355270298</v>
      </c>
      <c r="AM2850">
        <v>97.892191673992997</v>
      </c>
      <c r="AN2850">
        <v>1.0000000061728</v>
      </c>
    </row>
    <row r="2851" spans="1:40" x14ac:dyDescent="0.25">
      <c r="A2851" t="str">
        <f>"20190312172945306"</f>
        <v>20190312172945306</v>
      </c>
      <c r="B2851" t="str">
        <f>"1552382985299864"</f>
        <v>1552382985299864</v>
      </c>
      <c r="C2851" t="s">
        <v>40</v>
      </c>
      <c r="D2851">
        <v>3.5488650000000002</v>
      </c>
      <c r="E2851">
        <v>0.47466659999999999</v>
      </c>
      <c r="F2851" t="s">
        <v>46</v>
      </c>
      <c r="G2851">
        <v>-489.16399999999999</v>
      </c>
      <c r="H2851" s="1">
        <v>6.2061569999999998E-6</v>
      </c>
      <c r="I2851">
        <v>228.92070000000001</v>
      </c>
      <c r="J2851">
        <v>-492.34989999999999</v>
      </c>
      <c r="K2851">
        <v>1.1115280000000001</v>
      </c>
      <c r="L2851">
        <v>243.91290000000001</v>
      </c>
      <c r="M2851">
        <v>3.379731E-3</v>
      </c>
      <c r="N2851">
        <v>0</v>
      </c>
      <c r="O2851">
        <v>-0.99990520000000005</v>
      </c>
      <c r="P2851">
        <v>0.13936970000000001</v>
      </c>
      <c r="Q2851">
        <v>0.15276960000000001</v>
      </c>
      <c r="R2851">
        <v>-0.97838519999999896</v>
      </c>
      <c r="S2851">
        <v>0.62982179999999999</v>
      </c>
      <c r="T2851">
        <v>-0.2195492</v>
      </c>
      <c r="U2851">
        <v>-3.011368</v>
      </c>
      <c r="V2851">
        <v>-0.13655780000000001</v>
      </c>
      <c r="W2851">
        <v>0.16541239999999999</v>
      </c>
      <c r="X2851">
        <v>0.9767245</v>
      </c>
      <c r="Y2851">
        <v>-0.20088929999999999</v>
      </c>
      <c r="Z2851">
        <v>7.1205729999999995E-2</v>
      </c>
      <c r="AA2851">
        <v>0.97702259999999996</v>
      </c>
      <c r="AB2851">
        <v>25</v>
      </c>
      <c r="AC2851">
        <v>3.1859000000000002</v>
      </c>
      <c r="AD2851">
        <v>-1.111521793843</v>
      </c>
      <c r="AE2851">
        <v>-14.992199999999899</v>
      </c>
      <c r="AF2851">
        <v>-3.1188051259787901</v>
      </c>
      <c r="AG2851">
        <v>-1.111521793843</v>
      </c>
      <c r="AH2851">
        <v>14.924391784081701</v>
      </c>
      <c r="AI2851">
        <v>94.169603482063295</v>
      </c>
      <c r="AJ2851">
        <v>101.803447617675</v>
      </c>
      <c r="AK2851">
        <v>15.287246195335101</v>
      </c>
      <c r="AL2851">
        <v>80.478807756367601</v>
      </c>
      <c r="AM2851">
        <v>97.959045246819798</v>
      </c>
      <c r="AN2851">
        <v>1.0000000218574201</v>
      </c>
    </row>
    <row r="2852" spans="1:40" x14ac:dyDescent="0.25">
      <c r="A2852" t="str">
        <f>"20190312172945328"</f>
        <v>20190312172945328</v>
      </c>
      <c r="B2852" t="str">
        <f>"1552382985320360"</f>
        <v>1552382985320360</v>
      </c>
      <c r="C2852" t="s">
        <v>40</v>
      </c>
      <c r="D2852">
        <v>3.5352060000000001</v>
      </c>
      <c r="E2852">
        <v>0.47492459999999997</v>
      </c>
      <c r="F2852" t="s">
        <v>46</v>
      </c>
      <c r="G2852">
        <v>-489.14210000000003</v>
      </c>
      <c r="H2852" s="1">
        <v>6.1372009999999997E-6</v>
      </c>
      <c r="I2852">
        <v>228.71690000000001</v>
      </c>
      <c r="J2852">
        <v>-492.34699999999998</v>
      </c>
      <c r="K2852">
        <v>1.111632</v>
      </c>
      <c r="L2852">
        <v>243.66919999999999</v>
      </c>
      <c r="M2852">
        <v>5.3260449999999997E-3</v>
      </c>
      <c r="N2852">
        <v>0</v>
      </c>
      <c r="O2852">
        <v>-0.99989689999999998</v>
      </c>
      <c r="P2852">
        <v>0.14244589999999999</v>
      </c>
      <c r="Q2852">
        <v>0.15291649999999901</v>
      </c>
      <c r="R2852">
        <v>-0.97791919999999999</v>
      </c>
      <c r="S2852">
        <v>0.63543700000000003</v>
      </c>
      <c r="T2852">
        <v>-0.22017909999999999</v>
      </c>
      <c r="U2852">
        <v>-3.010132</v>
      </c>
      <c r="V2852">
        <v>-0.1377736</v>
      </c>
      <c r="W2852">
        <v>0.1655201</v>
      </c>
      <c r="X2852">
        <v>0.9765355</v>
      </c>
      <c r="Y2852">
        <v>-0.2008054</v>
      </c>
      <c r="Z2852">
        <v>7.1423730000000005E-2</v>
      </c>
      <c r="AA2852">
        <v>0.977024</v>
      </c>
      <c r="AB2852">
        <v>25</v>
      </c>
      <c r="AC2852">
        <v>3.2048999999999501</v>
      </c>
      <c r="AD2852">
        <v>-1.1116258627990001</v>
      </c>
      <c r="AE2852">
        <v>-14.9522999999999</v>
      </c>
      <c r="AF2852">
        <v>-3.10878285990866</v>
      </c>
      <c r="AG2852">
        <v>-1.1116258627990001</v>
      </c>
      <c r="AH2852">
        <v>14.8904720235795</v>
      </c>
      <c r="AI2852">
        <v>94.179622145102101</v>
      </c>
      <c r="AJ2852">
        <v>101.792630347859</v>
      </c>
      <c r="AK2852">
        <v>15.252094938529201</v>
      </c>
      <c r="AL2852">
        <v>80.472550786677701</v>
      </c>
      <c r="AM2852">
        <v>98.030519772037806</v>
      </c>
      <c r="AN2852">
        <v>1.0000000255606001</v>
      </c>
    </row>
    <row r="2853" spans="1:40" x14ac:dyDescent="0.25">
      <c r="A2853" t="str">
        <f>"20190312172945348"</f>
        <v>20190312172945348</v>
      </c>
      <c r="B2853" t="str">
        <f>"1552382985339880"</f>
        <v>1552382985339880</v>
      </c>
      <c r="C2853" t="s">
        <v>40</v>
      </c>
      <c r="D2853">
        <v>3.5665</v>
      </c>
      <c r="E2853">
        <v>0.47533959999999997</v>
      </c>
      <c r="F2853" t="s">
        <v>46</v>
      </c>
      <c r="G2853">
        <v>-489.09089999999998</v>
      </c>
      <c r="H2853" s="1">
        <v>6.0367189999999996E-6</v>
      </c>
      <c r="I2853">
        <v>228.4366</v>
      </c>
      <c r="J2853">
        <v>-492.34339999999997</v>
      </c>
      <c r="K2853">
        <v>1.111748</v>
      </c>
      <c r="L2853">
        <v>243.43039999999999</v>
      </c>
      <c r="M2853">
        <v>7.3737539999999997E-3</v>
      </c>
      <c r="N2853">
        <v>0</v>
      </c>
      <c r="O2853">
        <v>-0.99988370000000004</v>
      </c>
      <c r="P2853">
        <v>0.14552860000000001</v>
      </c>
      <c r="Q2853">
        <v>0.1540465</v>
      </c>
      <c r="R2853">
        <v>-0.97728769999999998</v>
      </c>
      <c r="S2853">
        <v>0.64306640000000004</v>
      </c>
      <c r="T2853">
        <v>-0.21954380000000001</v>
      </c>
      <c r="U2853">
        <v>-3.0084080000000002</v>
      </c>
      <c r="V2853">
        <v>-0.1389029</v>
      </c>
      <c r="W2853">
        <v>0.16660820000000001</v>
      </c>
      <c r="X2853">
        <v>0.97619040000000001</v>
      </c>
      <c r="Y2853">
        <v>-0.2012862</v>
      </c>
      <c r="Z2853">
        <v>7.1235049999999994E-2</v>
      </c>
      <c r="AA2853">
        <v>0.9769388</v>
      </c>
      <c r="AB2853">
        <v>25</v>
      </c>
      <c r="AC2853">
        <v>3.2524999999999902</v>
      </c>
      <c r="AD2853">
        <v>-1.1117419632809999</v>
      </c>
      <c r="AE2853">
        <v>-14.993799999999901</v>
      </c>
      <c r="AF2853">
        <v>-3.1254305061107299</v>
      </c>
      <c r="AG2853">
        <v>-1.1117419632809999</v>
      </c>
      <c r="AH2853">
        <v>14.938938117006</v>
      </c>
      <c r="AI2853">
        <v>94.166180338287404</v>
      </c>
      <c r="AJ2853">
        <v>101.816623453188</v>
      </c>
      <c r="AK2853">
        <v>15.3028153653236</v>
      </c>
      <c r="AL2853">
        <v>80.409329192091704</v>
      </c>
      <c r="AM2853">
        <v>98.098299015447793</v>
      </c>
      <c r="AN2853">
        <v>1.0000000024939</v>
      </c>
    </row>
    <row r="2854" spans="1:40" x14ac:dyDescent="0.25">
      <c r="A2854" t="str">
        <f>"20190312172945360"</f>
        <v>20190312172945360</v>
      </c>
      <c r="B2854" t="str">
        <f>"1552382985350616"</f>
        <v>1552382985350616</v>
      </c>
      <c r="C2854" t="s">
        <v>40</v>
      </c>
      <c r="D2854">
        <v>3.56026</v>
      </c>
      <c r="E2854">
        <v>0.47551060000000001</v>
      </c>
      <c r="F2854" t="s">
        <v>46</v>
      </c>
      <c r="G2854">
        <v>-489.02190000000002</v>
      </c>
      <c r="H2854" s="1">
        <v>5.89772399999999E-6</v>
      </c>
      <c r="I2854">
        <v>228.0471</v>
      </c>
      <c r="J2854">
        <v>-492.34120000000001</v>
      </c>
      <c r="K2854">
        <v>1.1118140000000001</v>
      </c>
      <c r="L2854">
        <v>243.29140000000001</v>
      </c>
      <c r="M2854">
        <v>8.6250349999999996E-3</v>
      </c>
      <c r="N2854">
        <v>0</v>
      </c>
      <c r="O2854">
        <v>-0.99987369999999998</v>
      </c>
      <c r="P2854">
        <v>0.14752699999999999</v>
      </c>
      <c r="Q2854">
        <v>0.1552963</v>
      </c>
      <c r="R2854">
        <v>-0.97679009999999999</v>
      </c>
      <c r="S2854">
        <v>0.64932250000000002</v>
      </c>
      <c r="T2854">
        <v>-0.2173322</v>
      </c>
      <c r="U2854">
        <v>-3.0072329999999998</v>
      </c>
      <c r="V2854">
        <v>-0.13971040000000001</v>
      </c>
      <c r="W2854">
        <v>0.16783139999999999</v>
      </c>
      <c r="X2854">
        <v>0.9758656</v>
      </c>
      <c r="Y2854">
        <v>-0.20209170000000001</v>
      </c>
      <c r="Z2854">
        <v>7.05258E-2</v>
      </c>
      <c r="AA2854">
        <v>0.97682389999999997</v>
      </c>
      <c r="AB2854">
        <v>25</v>
      </c>
      <c r="AC2854">
        <v>3.3192999999999899</v>
      </c>
      <c r="AD2854">
        <v>-1.11180810227599</v>
      </c>
      <c r="AE2854">
        <v>-15.244300000000001</v>
      </c>
      <c r="AF2854">
        <v>-3.1715756191459299</v>
      </c>
      <c r="AG2854">
        <v>-1.11180810227599</v>
      </c>
      <c r="AH2854">
        <v>15.195197082282499</v>
      </c>
      <c r="AI2854">
        <v>94.096805703676495</v>
      </c>
      <c r="AJ2854">
        <v>101.789643251451</v>
      </c>
      <c r="AK2854">
        <v>15.5624234466761</v>
      </c>
      <c r="AL2854">
        <v>80.338244276137999</v>
      </c>
      <c r="AM2854">
        <v>98.147422344607605</v>
      </c>
      <c r="AN2854">
        <v>1.0000000219787299</v>
      </c>
    </row>
    <row r="2855" spans="1:40" x14ac:dyDescent="0.25">
      <c r="A2855" t="str">
        <f>"20190312172945372"</f>
        <v>20190312172945372</v>
      </c>
      <c r="B2855" t="str">
        <f>"1552382985360376"</f>
        <v>1552382985360376</v>
      </c>
      <c r="C2855" t="s">
        <v>40</v>
      </c>
      <c r="D2855">
        <v>3.5835629999999998</v>
      </c>
      <c r="E2855">
        <v>0.475684</v>
      </c>
      <c r="F2855" t="s">
        <v>46</v>
      </c>
      <c r="G2855">
        <v>-488.94799999999998</v>
      </c>
      <c r="H2855" s="1">
        <v>5.7683140000000003E-6</v>
      </c>
      <c r="I2855">
        <v>227.69290000000001</v>
      </c>
      <c r="J2855">
        <v>-492.33879999999999</v>
      </c>
      <c r="K2855">
        <v>1.111877</v>
      </c>
      <c r="L2855">
        <v>243.1652</v>
      </c>
      <c r="M2855">
        <v>9.8258700000000004E-3</v>
      </c>
      <c r="N2855">
        <v>0</v>
      </c>
      <c r="O2855">
        <v>-0.99986249999999999</v>
      </c>
      <c r="P2855">
        <v>0.1494277</v>
      </c>
      <c r="Q2855">
        <v>0.15645400000000001</v>
      </c>
      <c r="R2855">
        <v>-0.97631630000000003</v>
      </c>
      <c r="S2855">
        <v>0.6540222</v>
      </c>
      <c r="T2855">
        <v>-0.21429770000000001</v>
      </c>
      <c r="U2855">
        <v>-3.006561</v>
      </c>
      <c r="V2855">
        <v>-0.14046919999999999</v>
      </c>
      <c r="W2855">
        <v>0.16896420000000001</v>
      </c>
      <c r="X2855">
        <v>0.97556109999999896</v>
      </c>
      <c r="Y2855">
        <v>-0.20243369999999999</v>
      </c>
      <c r="Z2855">
        <v>6.95461E-2</v>
      </c>
      <c r="AA2855">
        <v>0.97682340000000001</v>
      </c>
      <c r="AB2855">
        <v>25</v>
      </c>
      <c r="AC2855">
        <v>3.3907999999999499</v>
      </c>
      <c r="AD2855">
        <v>-1.111871231686</v>
      </c>
      <c r="AE2855">
        <v>-15.472299999999899</v>
      </c>
      <c r="AF2855">
        <v>-3.22271399354302</v>
      </c>
      <c r="AG2855">
        <v>-1.111871231686</v>
      </c>
      <c r="AH2855">
        <v>15.4288478769191</v>
      </c>
      <c r="AI2855">
        <v>94.035075880696496</v>
      </c>
      <c r="AJ2855">
        <v>101.798077601651</v>
      </c>
      <c r="AK2855">
        <v>15.8009964853215</v>
      </c>
      <c r="AL2855">
        <v>80.272398862535894</v>
      </c>
      <c r="AM2855">
        <v>98.193595984827397</v>
      </c>
      <c r="AN2855">
        <v>0.99999997843174404</v>
      </c>
    </row>
    <row r="2856" spans="1:40" x14ac:dyDescent="0.25">
      <c r="A2856" t="str">
        <f>"20190312172945385"</f>
        <v>20190312172945385</v>
      </c>
      <c r="B2856" t="str">
        <f>"1552382985379896"</f>
        <v>1552382985379896</v>
      </c>
      <c r="C2856" t="s">
        <v>40</v>
      </c>
      <c r="D2856">
        <v>3.537757</v>
      </c>
      <c r="E2856">
        <v>0.47604469999999999</v>
      </c>
      <c r="F2856" t="s">
        <v>46</v>
      </c>
      <c r="G2856">
        <v>-488.87520000000001</v>
      </c>
      <c r="H2856" s="1">
        <v>5.6487450000000004E-6</v>
      </c>
      <c r="I2856">
        <v>227.36940000000001</v>
      </c>
      <c r="J2856">
        <v>-492.33600000000001</v>
      </c>
      <c r="K2856">
        <v>1.1119479999999999</v>
      </c>
      <c r="L2856">
        <v>243.024</v>
      </c>
      <c r="M2856">
        <v>1.120195E-2</v>
      </c>
      <c r="N2856">
        <v>0</v>
      </c>
      <c r="O2856">
        <v>-0.99984799999999996</v>
      </c>
      <c r="P2856">
        <v>0.15158579999999999</v>
      </c>
      <c r="Q2856">
        <v>0.15789700000000001</v>
      </c>
      <c r="R2856">
        <v>-0.97575120000000004</v>
      </c>
      <c r="S2856">
        <v>0.65908809999999995</v>
      </c>
      <c r="T2856">
        <v>-0.21157909999999999</v>
      </c>
      <c r="U2856">
        <v>-3.005798</v>
      </c>
      <c r="V2856">
        <v>-0.14132039999999901</v>
      </c>
      <c r="W2856">
        <v>0.17037820000000001</v>
      </c>
      <c r="X2856">
        <v>0.97519219999999895</v>
      </c>
      <c r="Y2856">
        <v>-0.20272200000000001</v>
      </c>
      <c r="Z2856">
        <v>6.8669359999999999E-2</v>
      </c>
      <c r="AA2856">
        <v>0.97682570000000002</v>
      </c>
      <c r="AB2856">
        <v>25</v>
      </c>
      <c r="AC2856">
        <v>3.4607999999999999</v>
      </c>
      <c r="AD2856">
        <v>-1.111942351255</v>
      </c>
      <c r="AE2856">
        <v>-15.654599999999901</v>
      </c>
      <c r="AF2856">
        <v>-3.2694784704146298</v>
      </c>
      <c r="AG2856">
        <v>-1.111942351255</v>
      </c>
      <c r="AH2856">
        <v>15.6172675266323</v>
      </c>
      <c r="AI2856">
        <v>93.986427817763797</v>
      </c>
      <c r="AJ2856">
        <v>101.82411756834701</v>
      </c>
      <c r="AK2856">
        <v>15.994528760154999</v>
      </c>
      <c r="AL2856">
        <v>80.190190942041397</v>
      </c>
      <c r="AM2856">
        <v>98.245641619602793</v>
      </c>
      <c r="AN2856">
        <v>1.0000000067161099</v>
      </c>
    </row>
    <row r="2857" spans="1:40" x14ac:dyDescent="0.25">
      <c r="A2857" t="str">
        <f>"20190312172945397"</f>
        <v>20190312172945397</v>
      </c>
      <c r="B2857" t="str">
        <f>"1552382985390633"</f>
        <v>1552382985390633</v>
      </c>
      <c r="C2857" t="s">
        <v>40</v>
      </c>
      <c r="D2857">
        <v>3.5404770000000001</v>
      </c>
      <c r="E2857">
        <v>0.4761958</v>
      </c>
      <c r="F2857" t="s">
        <v>46</v>
      </c>
      <c r="G2857">
        <v>-488.81299999999999</v>
      </c>
      <c r="H2857" s="1">
        <v>5.5360540000000002E-6</v>
      </c>
      <c r="I2857">
        <v>227.0591</v>
      </c>
      <c r="J2857">
        <v>-492.33300000000003</v>
      </c>
      <c r="K2857">
        <v>1.112025</v>
      </c>
      <c r="L2857">
        <v>242.887</v>
      </c>
      <c r="M2857">
        <v>1.26318E-2</v>
      </c>
      <c r="N2857">
        <v>0</v>
      </c>
      <c r="O2857">
        <v>-0.99983109999999997</v>
      </c>
      <c r="P2857">
        <v>0.15361720000000001</v>
      </c>
      <c r="Q2857">
        <v>0.15903200000000001</v>
      </c>
      <c r="R2857">
        <v>-0.97524920000000004</v>
      </c>
      <c r="S2857">
        <v>0.66320800000000002</v>
      </c>
      <c r="T2857">
        <v>-0.2093238</v>
      </c>
      <c r="U2857">
        <v>-3.005417</v>
      </c>
      <c r="V2857">
        <v>-0.14199489999999901</v>
      </c>
      <c r="W2857">
        <v>0.1714841</v>
      </c>
      <c r="X2857">
        <v>0.97490030000000005</v>
      </c>
      <c r="Y2857">
        <v>-0.2026357</v>
      </c>
      <c r="Z2857">
        <v>6.7938250000000006E-2</v>
      </c>
      <c r="AA2857">
        <v>0.9768947</v>
      </c>
      <c r="AB2857">
        <v>25</v>
      </c>
      <c r="AC2857">
        <v>3.51999999999998</v>
      </c>
      <c r="AD2857">
        <v>-1.1120194639459999</v>
      </c>
      <c r="AE2857">
        <v>-15.8279</v>
      </c>
      <c r="AF2857">
        <v>-3.3042252915807802</v>
      </c>
      <c r="AG2857">
        <v>-1.1120194639459999</v>
      </c>
      <c r="AH2857">
        <v>15.796805968628201</v>
      </c>
      <c r="AI2857">
        <v>93.941677780841303</v>
      </c>
      <c r="AJ2857">
        <v>101.81425031648401</v>
      </c>
      <c r="AK2857">
        <v>16.1769456596789</v>
      </c>
      <c r="AL2857">
        <v>80.125880735957097</v>
      </c>
      <c r="AM2857">
        <v>98.286897853104094</v>
      </c>
      <c r="AN2857">
        <v>0.99999997155945397</v>
      </c>
    </row>
    <row r="2858" spans="1:40" x14ac:dyDescent="0.25">
      <c r="A2858" t="str">
        <f>"20190312172945416"</f>
        <v>20190312172945416</v>
      </c>
      <c r="B2858" t="str">
        <f>"1552382985410152"</f>
        <v>1552382985410152</v>
      </c>
      <c r="C2858" t="s">
        <v>40</v>
      </c>
      <c r="D2858">
        <v>3.4893010000000002</v>
      </c>
      <c r="E2858">
        <v>0.47643970000000002</v>
      </c>
      <c r="F2858" t="s">
        <v>46</v>
      </c>
      <c r="G2858">
        <v>-488.7251</v>
      </c>
      <c r="H2858" s="1">
        <v>5.3984160000000003E-6</v>
      </c>
      <c r="I2858">
        <v>226.69030000000001</v>
      </c>
      <c r="J2858">
        <v>-492.32799999999997</v>
      </c>
      <c r="K2858">
        <v>1.112139</v>
      </c>
      <c r="L2858">
        <v>242.68119999999999</v>
      </c>
      <c r="M2858">
        <v>1.488279E-2</v>
      </c>
      <c r="N2858">
        <v>0</v>
      </c>
      <c r="O2858">
        <v>-0.99980020000000003</v>
      </c>
      <c r="P2858">
        <v>0.15714929999999999</v>
      </c>
      <c r="Q2858">
        <v>0.1606349</v>
      </c>
      <c r="R2858">
        <v>-0.97442359999999995</v>
      </c>
      <c r="S2858">
        <v>0.66925049999999997</v>
      </c>
      <c r="T2858">
        <v>-0.2062746</v>
      </c>
      <c r="U2858">
        <v>-3.00441</v>
      </c>
      <c r="V2858">
        <v>-0.14339299999999999</v>
      </c>
      <c r="W2858">
        <v>0.17303929999999901</v>
      </c>
      <c r="X2858">
        <v>0.97442079999999998</v>
      </c>
      <c r="Y2858">
        <v>-0.20238719999999999</v>
      </c>
      <c r="Z2858">
        <v>6.6959290000000005E-2</v>
      </c>
      <c r="AA2858">
        <v>0.97701380000000004</v>
      </c>
      <c r="AB2858">
        <v>25</v>
      </c>
      <c r="AC2858">
        <v>3.6029000000000302</v>
      </c>
      <c r="AD2858">
        <v>-1.112133601584</v>
      </c>
      <c r="AE2858">
        <v>-15.9908999999999</v>
      </c>
      <c r="AF2858">
        <v>-3.3490739306070401</v>
      </c>
      <c r="AG2858">
        <v>-1.112133601584</v>
      </c>
      <c r="AH2858">
        <v>15.9692444685321</v>
      </c>
      <c r="AI2858">
        <v>93.899217076368899</v>
      </c>
      <c r="AJ2858">
        <v>101.84442672402</v>
      </c>
      <c r="AK2858">
        <v>16.3545072147156</v>
      </c>
      <c r="AL2858">
        <v>80.035422604621402</v>
      </c>
      <c r="AM2858">
        <v>98.371401181434393</v>
      </c>
      <c r="AN2858">
        <v>1.00000002363306</v>
      </c>
    </row>
    <row r="2859" spans="1:40" x14ac:dyDescent="0.25">
      <c r="A2859" t="str">
        <f>"20190312172945427"</f>
        <v>20190312172945427</v>
      </c>
      <c r="B2859" t="str">
        <f>"1552382985419912"</f>
        <v>1552382985419912</v>
      </c>
      <c r="C2859" t="s">
        <v>40</v>
      </c>
      <c r="D2859">
        <v>3.4737499999999999</v>
      </c>
      <c r="E2859">
        <v>0.47625640000000002</v>
      </c>
      <c r="F2859" t="s">
        <v>46</v>
      </c>
      <c r="G2859">
        <v>-488.60239999999999</v>
      </c>
      <c r="H2859" s="1">
        <v>5.2190450000000001E-6</v>
      </c>
      <c r="I2859">
        <v>226.2167</v>
      </c>
      <c r="J2859">
        <v>-492.3245</v>
      </c>
      <c r="K2859">
        <v>1.1122190000000001</v>
      </c>
      <c r="L2859">
        <v>242.54669999999999</v>
      </c>
      <c r="M2859">
        <v>1.6424899999999999E-2</v>
      </c>
      <c r="N2859">
        <v>0</v>
      </c>
      <c r="O2859">
        <v>-0.99977590000000005</v>
      </c>
      <c r="P2859">
        <v>0.1592963</v>
      </c>
      <c r="Q2859">
        <v>0.1606032</v>
      </c>
      <c r="R2859">
        <v>-0.97407969999999999</v>
      </c>
      <c r="S2859">
        <v>0.67944340000000003</v>
      </c>
      <c r="T2859">
        <v>-0.20281979999999999</v>
      </c>
      <c r="U2859">
        <v>-3.0026250000000001</v>
      </c>
      <c r="V2859">
        <v>-0.1440719</v>
      </c>
      <c r="W2859">
        <v>0.1729792</v>
      </c>
      <c r="X2859">
        <v>0.97433130000000001</v>
      </c>
      <c r="Y2859">
        <v>-0.20417360000000001</v>
      </c>
      <c r="Z2859">
        <v>6.5842040000000004E-2</v>
      </c>
      <c r="AA2859">
        <v>0.97671790000000003</v>
      </c>
      <c r="AB2859">
        <v>25</v>
      </c>
      <c r="AC2859">
        <v>3.72210000000001</v>
      </c>
      <c r="AD2859">
        <v>-1.1122137809549999</v>
      </c>
      <c r="AE2859">
        <v>-16.329999999999899</v>
      </c>
      <c r="AF2859">
        <v>-3.4381938924050401</v>
      </c>
      <c r="AG2859">
        <v>-1.1122137809549999</v>
      </c>
      <c r="AH2859">
        <v>16.3169844368215</v>
      </c>
      <c r="AI2859">
        <v>93.815881191097901</v>
      </c>
      <c r="AJ2859">
        <v>101.898876892491</v>
      </c>
      <c r="AK2859">
        <v>16.712336097858799</v>
      </c>
      <c r="AL2859">
        <v>80.0389185557991</v>
      </c>
      <c r="AM2859">
        <v>98.411231840598106</v>
      </c>
      <c r="AN2859">
        <v>0.99999999908097004</v>
      </c>
    </row>
    <row r="2860" spans="1:40" x14ac:dyDescent="0.25">
      <c r="A2860" t="str">
        <f>"20190312172945449"</f>
        <v>20190312172945449</v>
      </c>
      <c r="B2860" t="str">
        <f>"1552382985440408"</f>
        <v>1552382985440408</v>
      </c>
      <c r="C2860" t="s">
        <v>40</v>
      </c>
      <c r="D2860">
        <v>3.4247109999999998</v>
      </c>
      <c r="E2860">
        <v>0.4756708</v>
      </c>
      <c r="F2860" t="s">
        <v>46</v>
      </c>
      <c r="G2860">
        <v>-488.54219999999998</v>
      </c>
      <c r="H2860" s="1">
        <v>5.1516869999999996E-6</v>
      </c>
      <c r="I2860">
        <v>226.05090000000001</v>
      </c>
      <c r="J2860">
        <v>-492.31740000000002</v>
      </c>
      <c r="K2860">
        <v>1.112365</v>
      </c>
      <c r="L2860">
        <v>242.30860000000001</v>
      </c>
      <c r="M2860">
        <v>1.932273E-2</v>
      </c>
      <c r="N2860">
        <v>0</v>
      </c>
      <c r="O2860">
        <v>-0.9997239</v>
      </c>
      <c r="P2860">
        <v>0.16314670000000001</v>
      </c>
      <c r="Q2860">
        <v>0.15973780000000001</v>
      </c>
      <c r="R2860">
        <v>-0.97358469999999997</v>
      </c>
      <c r="S2860">
        <v>0.68801880000000004</v>
      </c>
      <c r="T2860">
        <v>-0.20231869999999999</v>
      </c>
      <c r="U2860">
        <v>-3.0006870000000001</v>
      </c>
      <c r="V2860">
        <v>-0.14515610000000001</v>
      </c>
      <c r="W2860">
        <v>0.17206379999999999</v>
      </c>
      <c r="X2860">
        <v>0.97433250000000005</v>
      </c>
      <c r="Y2860">
        <v>-0.2041279</v>
      </c>
      <c r="Z2860">
        <v>6.5695950000000003E-2</v>
      </c>
      <c r="AA2860">
        <v>0.97673739999999998</v>
      </c>
      <c r="AB2860">
        <v>25</v>
      </c>
      <c r="AC2860">
        <v>3.7752000000000399</v>
      </c>
      <c r="AD2860">
        <v>-1.1123598483129999</v>
      </c>
      <c r="AE2860">
        <v>-16.2577</v>
      </c>
      <c r="AF2860">
        <v>-3.4450215322129401</v>
      </c>
      <c r="AG2860">
        <v>-1.1123598483129999</v>
      </c>
      <c r="AH2860">
        <v>16.255413661331801</v>
      </c>
      <c r="AI2860">
        <v>93.829852190573504</v>
      </c>
      <c r="AJ2860">
        <v>101.965687635167</v>
      </c>
      <c r="AK2860">
        <v>16.653647981465301</v>
      </c>
      <c r="AL2860">
        <v>80.092165847956295</v>
      </c>
      <c r="AM2860">
        <v>98.473603923086102</v>
      </c>
      <c r="AN2860">
        <v>1.00000003259694</v>
      </c>
    </row>
    <row r="2861" spans="1:40" x14ac:dyDescent="0.25">
      <c r="A2861" t="str">
        <f>"20190312172945464"</f>
        <v>20190312172945464</v>
      </c>
      <c r="B2861" t="str">
        <f>"1552382985459928"</f>
        <v>1552382985459928</v>
      </c>
      <c r="C2861" t="s">
        <v>40</v>
      </c>
      <c r="D2861">
        <v>3.4286759999999998</v>
      </c>
      <c r="E2861">
        <v>0.47518339999999998</v>
      </c>
      <c r="F2861" t="s">
        <v>46</v>
      </c>
      <c r="G2861">
        <v>-488.45339999999999</v>
      </c>
      <c r="H2861" s="1">
        <v>5.0791820000000004E-6</v>
      </c>
      <c r="I2861">
        <v>225.89320000000001</v>
      </c>
      <c r="J2861">
        <v>-492.31150000000002</v>
      </c>
      <c r="K2861">
        <v>1.112473</v>
      </c>
      <c r="L2861">
        <v>242.1301</v>
      </c>
      <c r="M2861">
        <v>2.1612659999999999E-2</v>
      </c>
      <c r="N2861">
        <v>0</v>
      </c>
      <c r="O2861">
        <v>-0.99967689999999998</v>
      </c>
      <c r="P2861">
        <v>0.16589209999999999</v>
      </c>
      <c r="Q2861">
        <v>0.15913079999999999</v>
      </c>
      <c r="R2861">
        <v>-0.97322019999999998</v>
      </c>
      <c r="S2861">
        <v>0.7053528</v>
      </c>
      <c r="T2861">
        <v>-0.20305419999999999</v>
      </c>
      <c r="U2861">
        <v>-2.9965359999999999</v>
      </c>
      <c r="V2861">
        <v>-0.14571439999999999</v>
      </c>
      <c r="W2861">
        <v>0.17142070000000001</v>
      </c>
      <c r="X2861">
        <v>0.97436250000000002</v>
      </c>
      <c r="Y2861">
        <v>-0.20753569999999999</v>
      </c>
      <c r="Z2861">
        <v>6.5951289999999996E-2</v>
      </c>
      <c r="AA2861">
        <v>0.97600169999999997</v>
      </c>
      <c r="AB2861">
        <v>25</v>
      </c>
      <c r="AC2861">
        <v>3.8581000000000301</v>
      </c>
      <c r="AD2861">
        <v>-1.1124679208179999</v>
      </c>
      <c r="AE2861">
        <v>-16.236899999999899</v>
      </c>
      <c r="AF2861">
        <v>-3.49073391379188</v>
      </c>
      <c r="AG2861">
        <v>-1.1124679208179999</v>
      </c>
      <c r="AH2861">
        <v>16.244317907502701</v>
      </c>
      <c r="AI2861">
        <v>93.830524444350004</v>
      </c>
      <c r="AJ2861">
        <v>102.127830468844</v>
      </c>
      <c r="AK2861">
        <v>16.652347354404998</v>
      </c>
      <c r="AL2861">
        <v>80.129568290285107</v>
      </c>
      <c r="AM2861">
        <v>98.505461241880994</v>
      </c>
      <c r="AN2861">
        <v>1.0000000120810499</v>
      </c>
    </row>
    <row r="2862" spans="1:40" x14ac:dyDescent="0.25">
      <c r="A2862" t="str">
        <f>"20190312172945484"</f>
        <v>20190312172945484</v>
      </c>
      <c r="B2862" t="str">
        <f>"1552382985480424"</f>
        <v>1552382985480424</v>
      </c>
      <c r="C2862" t="s">
        <v>40</v>
      </c>
      <c r="D2862">
        <v>3.4481639999999998</v>
      </c>
      <c r="E2862">
        <v>0.47479949999999999</v>
      </c>
      <c r="F2862" t="s">
        <v>46</v>
      </c>
      <c r="G2862">
        <v>-488.36290000000002</v>
      </c>
      <c r="H2862" s="1">
        <v>4.9831720000000001E-6</v>
      </c>
      <c r="I2862">
        <v>225.6609</v>
      </c>
      <c r="J2862">
        <v>-492.3039</v>
      </c>
      <c r="K2862">
        <v>1.112592</v>
      </c>
      <c r="L2862">
        <v>241.91820000000001</v>
      </c>
      <c r="M2862">
        <v>2.447291E-2</v>
      </c>
      <c r="N2862">
        <v>0</v>
      </c>
      <c r="O2862">
        <v>-0.99961100000000003</v>
      </c>
      <c r="P2862">
        <v>0.1697224</v>
      </c>
      <c r="Q2862">
        <v>0.15779360000000001</v>
      </c>
      <c r="R2862">
        <v>-0.97277720000000001</v>
      </c>
      <c r="S2862">
        <v>0.71765140000000005</v>
      </c>
      <c r="T2862">
        <v>-0.20219110000000001</v>
      </c>
      <c r="U2862">
        <v>-2.993271</v>
      </c>
      <c r="V2862">
        <v>-0.14680370000000001</v>
      </c>
      <c r="W2862">
        <v>0.17004079999999999</v>
      </c>
      <c r="X2862">
        <v>0.9744408</v>
      </c>
      <c r="Y2862">
        <v>-0.20877390000000001</v>
      </c>
      <c r="Z2862">
        <v>6.5695690000000001E-2</v>
      </c>
      <c r="AA2862">
        <v>0.97575489999999998</v>
      </c>
      <c r="AB2862">
        <v>25</v>
      </c>
      <c r="AC2862">
        <v>3.9409999999999701</v>
      </c>
      <c r="AD2862">
        <v>-1.1125870168279901</v>
      </c>
      <c r="AE2862">
        <v>-16.257300000000001</v>
      </c>
      <c r="AF2862">
        <v>-3.5263215079802301</v>
      </c>
      <c r="AG2862">
        <v>-1.1125870168279901</v>
      </c>
      <c r="AH2862">
        <v>16.276884588839401</v>
      </c>
      <c r="AI2862">
        <v>93.821911002424798</v>
      </c>
      <c r="AJ2862">
        <v>102.223990205153</v>
      </c>
      <c r="AK2862">
        <v>16.691607626770299</v>
      </c>
      <c r="AL2862">
        <v>80.209809096845106</v>
      </c>
      <c r="AM2862">
        <v>98.567425976086199</v>
      </c>
      <c r="AN2862">
        <v>1.00000003635148</v>
      </c>
    </row>
    <row r="2863" spans="1:40" x14ac:dyDescent="0.25">
      <c r="A2863" t="str">
        <f>"20190312172945505"</f>
        <v>20190312172945505</v>
      </c>
      <c r="B2863" t="str">
        <f>"1552382985499944"</f>
        <v>1552382985499944</v>
      </c>
      <c r="C2863" t="s">
        <v>40</v>
      </c>
      <c r="D2863">
        <v>3.4361489999999999</v>
      </c>
      <c r="E2863">
        <v>0.4744331</v>
      </c>
      <c r="F2863" t="s">
        <v>46</v>
      </c>
      <c r="G2863">
        <v>-488.31549999999999</v>
      </c>
      <c r="H2863" s="1">
        <v>4.9604160000000004E-6</v>
      </c>
      <c r="I2863">
        <v>225.62819999999999</v>
      </c>
      <c r="J2863">
        <v>-492.29430000000002</v>
      </c>
      <c r="K2863">
        <v>1.1127149999999999</v>
      </c>
      <c r="L2863">
        <v>241.67740000000001</v>
      </c>
      <c r="M2863">
        <v>2.7909730000000001E-2</v>
      </c>
      <c r="N2863">
        <v>0</v>
      </c>
      <c r="O2863">
        <v>-0.99952070000000004</v>
      </c>
      <c r="P2863">
        <v>0.1740284</v>
      </c>
      <c r="Q2863">
        <v>0.15685789999999999</v>
      </c>
      <c r="R2863">
        <v>-0.97216720000000001</v>
      </c>
      <c r="S2863">
        <v>0.73190310000000003</v>
      </c>
      <c r="T2863">
        <v>-0.20416809999999999</v>
      </c>
      <c r="U2863">
        <v>-2.9893339999999999</v>
      </c>
      <c r="V2863">
        <v>-0.1478139</v>
      </c>
      <c r="W2863">
        <v>0.16906099999999999</v>
      </c>
      <c r="X2863">
        <v>0.97445850000000001</v>
      </c>
      <c r="Y2863">
        <v>-0.2100861</v>
      </c>
      <c r="Z2863">
        <v>6.6364679999999995E-2</v>
      </c>
      <c r="AA2863">
        <v>0.97542790000000001</v>
      </c>
      <c r="AB2863">
        <v>25</v>
      </c>
      <c r="AC2863">
        <v>3.9788000000000299</v>
      </c>
      <c r="AD2863">
        <v>-1.1127100395839999</v>
      </c>
      <c r="AE2863">
        <v>-16.049199999999999</v>
      </c>
      <c r="AF2863">
        <v>-3.5133704838938802</v>
      </c>
      <c r="AG2863">
        <v>-1.1127100395839999</v>
      </c>
      <c r="AH2863">
        <v>16.081180620721899</v>
      </c>
      <c r="AI2863">
        <v>93.867241909169707</v>
      </c>
      <c r="AJ2863">
        <v>102.324167093532</v>
      </c>
      <c r="AK2863">
        <v>16.498068551972001</v>
      </c>
      <c r="AL2863">
        <v>80.266771589758903</v>
      </c>
      <c r="AM2863">
        <v>98.625342913794896</v>
      </c>
      <c r="AN2863">
        <v>0.999999969488229</v>
      </c>
    </row>
    <row r="2864" spans="1:40" x14ac:dyDescent="0.25">
      <c r="A2864" t="str">
        <f>"20190312172945528"</f>
        <v>20190312172945528</v>
      </c>
      <c r="B2864" t="str">
        <f>"1552382985520440"</f>
        <v>1552382985520440</v>
      </c>
      <c r="C2864" t="s">
        <v>40</v>
      </c>
      <c r="D2864">
        <v>3.3750939999999998</v>
      </c>
      <c r="E2864">
        <v>0.47413620000000001</v>
      </c>
      <c r="F2864" t="s">
        <v>46</v>
      </c>
      <c r="G2864">
        <v>-488.23689999999999</v>
      </c>
      <c r="H2864" s="1">
        <v>4.8928449999999997E-6</v>
      </c>
      <c r="I2864">
        <v>225.4776</v>
      </c>
      <c r="J2864">
        <v>-492.2833</v>
      </c>
      <c r="K2864">
        <v>1.11283</v>
      </c>
      <c r="L2864">
        <v>241.43109999999999</v>
      </c>
      <c r="M2864">
        <v>3.1610300000000001E-2</v>
      </c>
      <c r="N2864">
        <v>0</v>
      </c>
      <c r="O2864">
        <v>-0.99941069999999999</v>
      </c>
      <c r="P2864">
        <v>0.1781797</v>
      </c>
      <c r="Q2864">
        <v>0.15702140000000001</v>
      </c>
      <c r="R2864">
        <v>-0.97138910000000001</v>
      </c>
      <c r="S2864">
        <v>0.74765009999999998</v>
      </c>
      <c r="T2864">
        <v>-0.2050408</v>
      </c>
      <c r="U2864">
        <v>-2.9851679999999998</v>
      </c>
      <c r="V2864">
        <v>-0.14842079999999999</v>
      </c>
      <c r="W2864">
        <v>0.16918320000000001</v>
      </c>
      <c r="X2864">
        <v>0.97434509999999996</v>
      </c>
      <c r="Y2864">
        <v>-0.21162349999999999</v>
      </c>
      <c r="Z2864">
        <v>6.6673200000000002E-2</v>
      </c>
      <c r="AA2864">
        <v>0.97507449999999996</v>
      </c>
      <c r="AB2864">
        <v>25</v>
      </c>
      <c r="AC2864">
        <v>4.0464000000000002</v>
      </c>
      <c r="AD2864">
        <v>-1.1128251071549999</v>
      </c>
      <c r="AE2864">
        <v>-15.953499999999901</v>
      </c>
      <c r="AF2864">
        <v>-3.5239275947897002</v>
      </c>
      <c r="AG2864">
        <v>-1.1128251071549999</v>
      </c>
      <c r="AH2864">
        <v>16.000299095332799</v>
      </c>
      <c r="AI2864">
        <v>93.885701176283007</v>
      </c>
      <c r="AJ2864">
        <v>102.420608217721</v>
      </c>
      <c r="AK2864">
        <v>16.421510787760798</v>
      </c>
      <c r="AL2864">
        <v>80.259668324271402</v>
      </c>
      <c r="AM2864">
        <v>98.661213966508797</v>
      </c>
      <c r="AN2864">
        <v>1.0000000314644399</v>
      </c>
    </row>
    <row r="2865" spans="1:40" x14ac:dyDescent="0.25">
      <c r="A2865" t="str">
        <f>"20190312172945539"</f>
        <v>20190312172945539</v>
      </c>
      <c r="B2865" t="str">
        <f>"1552382985530200"</f>
        <v>1552382985530200</v>
      </c>
      <c r="C2865" t="s">
        <v>40</v>
      </c>
      <c r="D2865">
        <v>3.4240789999999999</v>
      </c>
      <c r="E2865">
        <v>0.4740144</v>
      </c>
      <c r="F2865" t="s">
        <v>46</v>
      </c>
      <c r="G2865">
        <v>-488.1148</v>
      </c>
      <c r="H2865" s="1">
        <v>4.7875159999999999E-6</v>
      </c>
      <c r="I2865">
        <v>225.124</v>
      </c>
      <c r="J2865">
        <v>-492.27679999999998</v>
      </c>
      <c r="K2865">
        <v>1.1128960000000001</v>
      </c>
      <c r="L2865">
        <v>241.2945</v>
      </c>
      <c r="M2865">
        <v>3.3732320000000003E-2</v>
      </c>
      <c r="N2865">
        <v>0</v>
      </c>
      <c r="O2865">
        <v>-0.99934120000000004</v>
      </c>
      <c r="P2865">
        <v>0.18060599999999999</v>
      </c>
      <c r="Q2865">
        <v>0.15698029999999999</v>
      </c>
      <c r="R2865">
        <v>-0.97094749999999996</v>
      </c>
      <c r="S2865">
        <v>0.76214599999999999</v>
      </c>
      <c r="T2865">
        <v>-0.20346</v>
      </c>
      <c r="U2865">
        <v>-2.9814449999999999</v>
      </c>
      <c r="V2865">
        <v>-0.14881220000000001</v>
      </c>
      <c r="W2865">
        <v>0.1691202</v>
      </c>
      <c r="X2865">
        <v>0.9742963</v>
      </c>
      <c r="Y2865">
        <v>-0.21429809999999999</v>
      </c>
      <c r="Z2865">
        <v>6.6176059999999995E-2</v>
      </c>
      <c r="AA2865">
        <v>0.97452399999999995</v>
      </c>
      <c r="AB2865">
        <v>25</v>
      </c>
      <c r="AC2865">
        <v>4.1619999999999697</v>
      </c>
      <c r="AD2865">
        <v>-1.11289121248399</v>
      </c>
      <c r="AE2865">
        <v>-16.170499999999901</v>
      </c>
      <c r="AF2865">
        <v>-3.5981298787615001</v>
      </c>
      <c r="AG2865">
        <v>-1.11289121248399</v>
      </c>
      <c r="AH2865">
        <v>16.229606593328999</v>
      </c>
      <c r="AI2865">
        <v>93.830016811038405</v>
      </c>
      <c r="AJ2865">
        <v>102.50037929653701</v>
      </c>
      <c r="AK2865">
        <v>16.660888201098</v>
      </c>
      <c r="AL2865">
        <v>80.263330390271193</v>
      </c>
      <c r="AM2865">
        <v>98.6841350225654</v>
      </c>
      <c r="AN2865">
        <v>0.99999999655528504</v>
      </c>
    </row>
    <row r="2866" spans="1:40" x14ac:dyDescent="0.25">
      <c r="A2866" t="str">
        <f>"20190312172945551"</f>
        <v>20190312172945551</v>
      </c>
      <c r="B2866" t="str">
        <f>"1552382985539960"</f>
        <v>1552382985539960</v>
      </c>
      <c r="C2866" t="s">
        <v>40</v>
      </c>
      <c r="D2866">
        <v>3.4071099999999999</v>
      </c>
      <c r="E2866">
        <v>0.47389829999999999</v>
      </c>
      <c r="F2866" t="s">
        <v>46</v>
      </c>
      <c r="G2866">
        <v>-488.05720000000002</v>
      </c>
      <c r="H2866" s="1">
        <v>4.7413909999999996E-6</v>
      </c>
      <c r="I2866">
        <v>224.97319999999999</v>
      </c>
      <c r="J2866">
        <v>-492.2704</v>
      </c>
      <c r="K2866">
        <v>1.1129519999999999</v>
      </c>
      <c r="L2866">
        <v>241.17</v>
      </c>
      <c r="M2866">
        <v>3.5723560000000001E-2</v>
      </c>
      <c r="N2866">
        <v>0</v>
      </c>
      <c r="O2866">
        <v>-0.99927200000000005</v>
      </c>
      <c r="P2866">
        <v>0.1827</v>
      </c>
      <c r="Q2866">
        <v>0.15686889999999901</v>
      </c>
      <c r="R2866">
        <v>-0.97057369999999998</v>
      </c>
      <c r="S2866">
        <v>0.7702637</v>
      </c>
      <c r="T2866">
        <v>-0.20315230000000001</v>
      </c>
      <c r="U2866">
        <v>-2.9793699999999999</v>
      </c>
      <c r="V2866">
        <v>-0.14899490000000001</v>
      </c>
      <c r="W2866">
        <v>0.16899140000000001</v>
      </c>
      <c r="X2866">
        <v>0.97429069999999995</v>
      </c>
      <c r="Y2866">
        <v>-0.2150068</v>
      </c>
      <c r="Z2866">
        <v>6.608675E-2</v>
      </c>
      <c r="AA2866">
        <v>0.97437399999999996</v>
      </c>
      <c r="AB2866">
        <v>25</v>
      </c>
      <c r="AC2866">
        <v>4.2131999999999703</v>
      </c>
      <c r="AD2866">
        <v>-1.1129472586089999</v>
      </c>
      <c r="AE2866">
        <v>-16.1967999999999</v>
      </c>
      <c r="AF2866">
        <v>-3.6158603465067798</v>
      </c>
      <c r="AG2866">
        <v>-1.1129472586089999</v>
      </c>
      <c r="AH2866">
        <v>16.2650537107905</v>
      </c>
      <c r="AI2866">
        <v>93.821397254941402</v>
      </c>
      <c r="AJ2866">
        <v>102.533520541355</v>
      </c>
      <c r="AK2866">
        <v>16.699253571964999</v>
      </c>
      <c r="AL2866">
        <v>80.270817604722296</v>
      </c>
      <c r="AM2866">
        <v>98.694683107334001</v>
      </c>
      <c r="AN2866">
        <v>0.999999970803229</v>
      </c>
    </row>
    <row r="2867" spans="1:40" x14ac:dyDescent="0.25">
      <c r="A2867" t="str">
        <f>"20190312172945564"</f>
        <v>20190312172945564</v>
      </c>
      <c r="B2867" t="str">
        <f>"1552382985560375"</f>
        <v>1552382985560375</v>
      </c>
      <c r="C2867" t="s">
        <v>40</v>
      </c>
      <c r="D2867">
        <v>3.3760509999999999</v>
      </c>
      <c r="E2867">
        <v>0.47374280000000002</v>
      </c>
      <c r="F2867" t="s">
        <v>46</v>
      </c>
      <c r="G2867">
        <v>-488.00810000000001</v>
      </c>
      <c r="H2867" s="1">
        <v>4.7021289999999996E-6</v>
      </c>
      <c r="I2867">
        <v>224.84469999999999</v>
      </c>
      <c r="J2867">
        <v>-492.26319999999998</v>
      </c>
      <c r="K2867">
        <v>1.1130150000000001</v>
      </c>
      <c r="L2867">
        <v>241.0308</v>
      </c>
      <c r="M2867">
        <v>3.7981349999999997E-2</v>
      </c>
      <c r="N2867">
        <v>0</v>
      </c>
      <c r="O2867">
        <v>-0.99918839999999998</v>
      </c>
      <c r="P2867">
        <v>0.1852058</v>
      </c>
      <c r="Q2867">
        <v>0.1569257</v>
      </c>
      <c r="R2867">
        <v>-0.97008930000000004</v>
      </c>
      <c r="S2867">
        <v>0.77737429999999996</v>
      </c>
      <c r="T2867">
        <v>-0.2029841</v>
      </c>
      <c r="U2867">
        <v>-2.9774780000000001</v>
      </c>
      <c r="V2867">
        <v>-0.14933679999999999</v>
      </c>
      <c r="W2867">
        <v>0.1690267</v>
      </c>
      <c r="X2867">
        <v>0.97423230000000005</v>
      </c>
      <c r="Y2867">
        <v>-0.21513080000000001</v>
      </c>
      <c r="Z2867">
        <v>6.6044050000000007E-2</v>
      </c>
      <c r="AA2867">
        <v>0.97434949999999998</v>
      </c>
      <c r="AB2867">
        <v>25</v>
      </c>
      <c r="AC2867">
        <v>4.2550999999999704</v>
      </c>
      <c r="AD2867">
        <v>-1.1130102978709999</v>
      </c>
      <c r="AE2867">
        <v>-16.1861</v>
      </c>
      <c r="AF2867">
        <v>-3.6211883260566502</v>
      </c>
      <c r="AG2867">
        <v>-1.1130102978709999</v>
      </c>
      <c r="AH2867">
        <v>16.2641157358828</v>
      </c>
      <c r="AI2867">
        <v>93.821557842648403</v>
      </c>
      <c r="AJ2867">
        <v>102.55210484588</v>
      </c>
      <c r="AK2867">
        <v>16.699498719606101</v>
      </c>
      <c r="AL2867">
        <v>80.268766221234401</v>
      </c>
      <c r="AM2867">
        <v>98.714843309176004</v>
      </c>
      <c r="AN2867">
        <v>1.0000000397552</v>
      </c>
    </row>
    <row r="2868" spans="1:40" x14ac:dyDescent="0.25">
      <c r="A2868" t="str">
        <f>"20190312172945582"</f>
        <v>20190312172945582</v>
      </c>
      <c r="B2868" t="str">
        <f>"1552382985579895"</f>
        <v>1552382985579895</v>
      </c>
      <c r="C2868" t="s">
        <v>40</v>
      </c>
      <c r="D2868">
        <v>3.382269</v>
      </c>
      <c r="E2868">
        <v>0.4736089</v>
      </c>
      <c r="F2868" t="s">
        <v>46</v>
      </c>
      <c r="G2868">
        <v>-487.93090000000001</v>
      </c>
      <c r="H2868" s="1">
        <v>4.6386750000000001E-6</v>
      </c>
      <c r="I2868">
        <v>224.6352</v>
      </c>
      <c r="J2868">
        <v>-492.25150000000002</v>
      </c>
      <c r="K2868">
        <v>1.11311</v>
      </c>
      <c r="L2868">
        <v>240.82220000000001</v>
      </c>
      <c r="M2868">
        <v>4.1492420000000002E-2</v>
      </c>
      <c r="N2868">
        <v>0</v>
      </c>
      <c r="O2868">
        <v>-0.99904890000000002</v>
      </c>
      <c r="P2868">
        <v>0.18870629999999999</v>
      </c>
      <c r="Q2868">
        <v>0.15713269999999999</v>
      </c>
      <c r="R2868">
        <v>-0.96938100000000005</v>
      </c>
      <c r="S2868">
        <v>0.78613279999999996</v>
      </c>
      <c r="T2868">
        <v>-0.20196500000000001</v>
      </c>
      <c r="U2868">
        <v>-2.9751129999999999</v>
      </c>
      <c r="V2868">
        <v>-0.14947349999999901</v>
      </c>
      <c r="W2868">
        <v>0.169203399999999</v>
      </c>
      <c r="X2868">
        <v>0.97418059999999995</v>
      </c>
      <c r="Y2868">
        <v>-0.21457709999999999</v>
      </c>
      <c r="Z2868">
        <v>6.5730369999999996E-2</v>
      </c>
      <c r="AA2868">
        <v>0.97449280000000005</v>
      </c>
      <c r="AB2868">
        <v>25</v>
      </c>
      <c r="AC2868">
        <v>4.3206000000000104</v>
      </c>
      <c r="AD2868">
        <v>-1.1131053613249999</v>
      </c>
      <c r="AE2868">
        <v>-16.187000000000001</v>
      </c>
      <c r="AF2868">
        <v>-3.6291605612110498</v>
      </c>
      <c r="AG2868">
        <v>-1.1131053613249999</v>
      </c>
      <c r="AH2868">
        <v>16.2804806882355</v>
      </c>
      <c r="AI2868">
        <v>93.817838118446701</v>
      </c>
      <c r="AJ2868">
        <v>102.56661812204</v>
      </c>
      <c r="AK2868">
        <v>16.717172648640901</v>
      </c>
      <c r="AL2868">
        <v>80.258493509266401</v>
      </c>
      <c r="AM2868">
        <v>98.723153866311804</v>
      </c>
      <c r="AN2868">
        <v>0.99999997959508402</v>
      </c>
    </row>
    <row r="2869" spans="1:40" x14ac:dyDescent="0.25">
      <c r="A2869" t="str">
        <f>"20190312172945595"</f>
        <v>20190312172945595</v>
      </c>
      <c r="B2869" t="str">
        <f>"1552382985590632"</f>
        <v>1552382985590632</v>
      </c>
      <c r="C2869" t="s">
        <v>40</v>
      </c>
      <c r="D2869">
        <v>3.3760669999999999</v>
      </c>
      <c r="E2869">
        <v>0.47355720000000001</v>
      </c>
      <c r="F2869" t="s">
        <v>46</v>
      </c>
      <c r="G2869">
        <v>-487.81599999999997</v>
      </c>
      <c r="H2869" s="1">
        <v>4.517074E-6</v>
      </c>
      <c r="I2869">
        <v>224.31950000000001</v>
      </c>
      <c r="J2869">
        <v>-492.24380000000002</v>
      </c>
      <c r="K2869">
        <v>1.113173</v>
      </c>
      <c r="L2869">
        <v>240.69450000000001</v>
      </c>
      <c r="M2869">
        <v>4.3718479999999997E-2</v>
      </c>
      <c r="N2869">
        <v>0</v>
      </c>
      <c r="O2869">
        <v>-0.99895389999999995</v>
      </c>
      <c r="P2869">
        <v>0.19112499999999999</v>
      </c>
      <c r="Q2869">
        <v>0.15748000000000001</v>
      </c>
      <c r="R2869">
        <v>-0.96885069999999995</v>
      </c>
      <c r="S2869">
        <v>0.79873660000000002</v>
      </c>
      <c r="T2869">
        <v>-0.20044590000000001</v>
      </c>
      <c r="U2869">
        <v>-2.9717709999999999</v>
      </c>
      <c r="V2869">
        <v>-0.14976410000000001</v>
      </c>
      <c r="W2869">
        <v>0.1695305</v>
      </c>
      <c r="X2869">
        <v>0.97407909999999998</v>
      </c>
      <c r="Y2869">
        <v>-0.21653800000000001</v>
      </c>
      <c r="Z2869">
        <v>6.5250180000000005E-2</v>
      </c>
      <c r="AA2869">
        <v>0.97409120000000005</v>
      </c>
      <c r="AB2869">
        <v>25</v>
      </c>
      <c r="AC2869">
        <v>4.4278000000000404</v>
      </c>
      <c r="AD2869">
        <v>-1.113168482926</v>
      </c>
      <c r="AE2869">
        <v>-16.375</v>
      </c>
      <c r="AF2869">
        <v>-3.6917133736505101</v>
      </c>
      <c r="AG2869">
        <v>-1.113168482926</v>
      </c>
      <c r="AH2869">
        <v>16.4819573872911</v>
      </c>
      <c r="AI2869">
        <v>93.770660808645005</v>
      </c>
      <c r="AJ2869">
        <v>102.62502561349601</v>
      </c>
      <c r="AK2869">
        <v>16.926984699616401</v>
      </c>
      <c r="AL2869">
        <v>80.239477382787499</v>
      </c>
      <c r="AM2869">
        <v>98.740748083637897</v>
      </c>
      <c r="AN2869">
        <v>0.99999998456793404</v>
      </c>
    </row>
    <row r="2870" spans="1:40" x14ac:dyDescent="0.25">
      <c r="A2870" t="str">
        <f>"20190312172945608"</f>
        <v>20190312172945608</v>
      </c>
      <c r="B2870" t="str">
        <f>"1552382985600392"</f>
        <v>1552382985600392</v>
      </c>
      <c r="C2870" t="s">
        <v>40</v>
      </c>
      <c r="D2870">
        <v>3.4099439999999999</v>
      </c>
      <c r="E2870">
        <v>0.47349360000000001</v>
      </c>
      <c r="F2870" t="s">
        <v>46</v>
      </c>
      <c r="G2870">
        <v>-487.72340000000003</v>
      </c>
      <c r="H2870" s="1">
        <v>4.4156419999999996E-6</v>
      </c>
      <c r="I2870">
        <v>224.0583</v>
      </c>
      <c r="J2870">
        <v>-492.23469999999998</v>
      </c>
      <c r="K2870">
        <v>1.1132500000000001</v>
      </c>
      <c r="L2870">
        <v>240.54820000000001</v>
      </c>
      <c r="M2870">
        <v>4.6299260000000002E-2</v>
      </c>
      <c r="N2870">
        <v>0</v>
      </c>
      <c r="O2870">
        <v>-0.99883759999999999</v>
      </c>
      <c r="P2870">
        <v>0.19367960000000001</v>
      </c>
      <c r="Q2870">
        <v>0.1577626</v>
      </c>
      <c r="R2870">
        <v>-0.96829759999999998</v>
      </c>
      <c r="S2870">
        <v>0.80688479999999996</v>
      </c>
      <c r="T2870">
        <v>-0.1987004</v>
      </c>
      <c r="U2870">
        <v>-2.9695429999999998</v>
      </c>
      <c r="V2870">
        <v>-0.14984919999999999</v>
      </c>
      <c r="W2870">
        <v>0.16979269999999999</v>
      </c>
      <c r="X2870">
        <v>0.97402040000000001</v>
      </c>
      <c r="Y2870">
        <v>-0.21669939999999999</v>
      </c>
      <c r="Z2870">
        <v>6.4695879999999997E-2</v>
      </c>
      <c r="AA2870">
        <v>0.97409230000000002</v>
      </c>
      <c r="AB2870">
        <v>25</v>
      </c>
      <c r="AC2870">
        <v>4.5112999999999497</v>
      </c>
      <c r="AD2870">
        <v>-1.113245584358</v>
      </c>
      <c r="AE2870">
        <v>-16.489899999999999</v>
      </c>
      <c r="AF2870">
        <v>-3.72711823744338</v>
      </c>
      <c r="AG2870">
        <v>-1.113245584358</v>
      </c>
      <c r="AH2870">
        <v>16.610667191450201</v>
      </c>
      <c r="AI2870">
        <v>93.741469828441595</v>
      </c>
      <c r="AJ2870">
        <v>102.646622289303</v>
      </c>
      <c r="AK2870">
        <v>17.060040757046799</v>
      </c>
      <c r="AL2870">
        <v>80.224233991701198</v>
      </c>
      <c r="AM2870">
        <v>98.746156958194106</v>
      </c>
      <c r="AN2870">
        <v>1.0000000416650401</v>
      </c>
    </row>
    <row r="2871" spans="1:40" x14ac:dyDescent="0.25">
      <c r="A2871" t="str">
        <f>"20190312172945619"</f>
        <v>20190312172945619</v>
      </c>
      <c r="B2871" t="str">
        <f>"1552382985610151"</f>
        <v>1552382985610151</v>
      </c>
      <c r="C2871" t="s">
        <v>40</v>
      </c>
      <c r="D2871">
        <v>3.3604419999999999</v>
      </c>
      <c r="E2871">
        <v>0.47346559999999999</v>
      </c>
      <c r="F2871" t="s">
        <v>46</v>
      </c>
      <c r="G2871">
        <v>-487.6277</v>
      </c>
      <c r="H2871" s="1">
        <v>4.3117849999999997E-6</v>
      </c>
      <c r="I2871">
        <v>223.79169999999999</v>
      </c>
      <c r="J2871">
        <v>-492.22539999999998</v>
      </c>
      <c r="K2871">
        <v>1.1133169999999999</v>
      </c>
      <c r="L2871">
        <v>240.4067</v>
      </c>
      <c r="M2871">
        <v>4.8852760000000002E-2</v>
      </c>
      <c r="N2871">
        <v>0</v>
      </c>
      <c r="O2871">
        <v>-0.99871569999999998</v>
      </c>
      <c r="P2871">
        <v>0.19649340000000001</v>
      </c>
      <c r="Q2871">
        <v>0.1581119</v>
      </c>
      <c r="R2871">
        <v>-0.96767309999999995</v>
      </c>
      <c r="S2871">
        <v>0.81579590000000002</v>
      </c>
      <c r="T2871">
        <v>-0.19712950000000001</v>
      </c>
      <c r="U2871">
        <v>-2.9671940000000001</v>
      </c>
      <c r="V2871">
        <v>-0.1502242</v>
      </c>
      <c r="W2871">
        <v>0.1701193</v>
      </c>
      <c r="X2871">
        <v>0.97390560000000004</v>
      </c>
      <c r="Y2871">
        <v>-0.2171295</v>
      </c>
      <c r="Z2871">
        <v>6.4195630000000004E-2</v>
      </c>
      <c r="AA2871">
        <v>0.97402960000000005</v>
      </c>
      <c r="AB2871">
        <v>25</v>
      </c>
      <c r="AC2871">
        <v>4.5976999999999704</v>
      </c>
      <c r="AD2871">
        <v>-1.113312688215</v>
      </c>
      <c r="AE2871">
        <v>-16.614999999999998</v>
      </c>
      <c r="AF2871">
        <v>-3.7647465637778299</v>
      </c>
      <c r="AG2871">
        <v>-1.113312688215</v>
      </c>
      <c r="AH2871">
        <v>16.7499326911765</v>
      </c>
      <c r="AI2871">
        <v>93.710370778604201</v>
      </c>
      <c r="AJ2871">
        <v>102.66739762653501</v>
      </c>
      <c r="AK2871">
        <v>17.203866629050601</v>
      </c>
      <c r="AL2871">
        <v>80.205244540057507</v>
      </c>
      <c r="AM2871">
        <v>98.768722117181895</v>
      </c>
      <c r="AN2871">
        <v>1.0000000021047399</v>
      </c>
    </row>
    <row r="2872" spans="1:40" x14ac:dyDescent="0.25">
      <c r="A2872" t="str">
        <f>"20190312172945639"</f>
        <v>20190312172945639</v>
      </c>
      <c r="B2872" t="str">
        <f>"1552382985630647"</f>
        <v>1552382985630647</v>
      </c>
      <c r="C2872" t="s">
        <v>40</v>
      </c>
      <c r="D2872">
        <v>3.374304</v>
      </c>
      <c r="E2872">
        <v>0.47340910000000003</v>
      </c>
      <c r="F2872" t="s">
        <v>46</v>
      </c>
      <c r="G2872">
        <v>-487.52980000000002</v>
      </c>
      <c r="H2872" s="1">
        <v>4.2088430000000004E-6</v>
      </c>
      <c r="I2872">
        <v>223.52940000000001</v>
      </c>
      <c r="J2872">
        <v>-492.21129999999999</v>
      </c>
      <c r="K2872">
        <v>1.113407</v>
      </c>
      <c r="L2872">
        <v>240.20230000000001</v>
      </c>
      <c r="M2872">
        <v>5.2637759999999999E-2</v>
      </c>
      <c r="N2872">
        <v>0</v>
      </c>
      <c r="O2872">
        <v>-0.99852339999999995</v>
      </c>
      <c r="P2872">
        <v>0.2009272</v>
      </c>
      <c r="Q2872">
        <v>0.15820699999999999</v>
      </c>
      <c r="R2872">
        <v>-0.96674700000000002</v>
      </c>
      <c r="S2872">
        <v>0.82482909999999898</v>
      </c>
      <c r="T2872">
        <v>-0.19556370000000001</v>
      </c>
      <c r="U2872">
        <v>-2.964661</v>
      </c>
      <c r="V2872">
        <v>-0.15103610000000001</v>
      </c>
      <c r="W2872">
        <v>0.17018269999999999</v>
      </c>
      <c r="X2872">
        <v>0.97376890000000005</v>
      </c>
      <c r="Y2872">
        <v>-0.21640799999999999</v>
      </c>
      <c r="Z2872">
        <v>6.3701439999999998E-2</v>
      </c>
      <c r="AA2872">
        <v>0.97422260000000005</v>
      </c>
      <c r="AB2872">
        <v>25</v>
      </c>
      <c r="AC2872">
        <v>4.6814999999999696</v>
      </c>
      <c r="AD2872">
        <v>-1.1134027911569999</v>
      </c>
      <c r="AE2872">
        <v>-16.672899999999998</v>
      </c>
      <c r="AF2872">
        <v>-3.7816736947732501</v>
      </c>
      <c r="AG2872">
        <v>-1.1134027911569999</v>
      </c>
      <c r="AH2872">
        <v>16.826673397249898</v>
      </c>
      <c r="AI2872">
        <v>93.693809134758695</v>
      </c>
      <c r="AJ2872">
        <v>102.666356333453</v>
      </c>
      <c r="AK2872">
        <v>17.282293231131501</v>
      </c>
      <c r="AL2872">
        <v>80.2015578444624</v>
      </c>
      <c r="AM2872">
        <v>98.8165891177063</v>
      </c>
      <c r="AN2872">
        <v>0.99999996274485403</v>
      </c>
    </row>
    <row r="2873" spans="1:40" x14ac:dyDescent="0.25">
      <c r="A2873" t="str">
        <f>"20190312172945651"</f>
        <v>20190312172945651</v>
      </c>
      <c r="B2873" t="str">
        <f>"1552382985640408"</f>
        <v>1552382985640408</v>
      </c>
      <c r="C2873" t="s">
        <v>40</v>
      </c>
      <c r="D2873">
        <v>3.3568039999999999</v>
      </c>
      <c r="E2873">
        <v>0.47336539999999999</v>
      </c>
      <c r="F2873" t="s">
        <v>46</v>
      </c>
      <c r="G2873">
        <v>-487.41210000000001</v>
      </c>
      <c r="H2873" s="1">
        <v>4.1001139999999999E-6</v>
      </c>
      <c r="I2873">
        <v>223.26259999999999</v>
      </c>
      <c r="J2873">
        <v>-492.20179999999999</v>
      </c>
      <c r="K2873">
        <v>1.1134580000000001</v>
      </c>
      <c r="L2873">
        <v>240.07169999999999</v>
      </c>
      <c r="M2873">
        <v>5.5111420000000001E-2</v>
      </c>
      <c r="N2873">
        <v>0</v>
      </c>
      <c r="O2873">
        <v>-0.99838979999999999</v>
      </c>
      <c r="P2873">
        <v>0.20373430000000001</v>
      </c>
      <c r="Q2873">
        <v>0.1584853</v>
      </c>
      <c r="R2873">
        <v>-0.96611360000000002</v>
      </c>
      <c r="S2873">
        <v>0.83880619999999995</v>
      </c>
      <c r="T2873">
        <v>-0.19460150000000001</v>
      </c>
      <c r="U2873">
        <v>-2.9607239999999999</v>
      </c>
      <c r="V2873">
        <v>-0.15147920000000001</v>
      </c>
      <c r="W2873">
        <v>0.1704417</v>
      </c>
      <c r="X2873">
        <v>0.97365480000000004</v>
      </c>
      <c r="Y2873">
        <v>-0.21859129999999999</v>
      </c>
      <c r="Z2873">
        <v>6.3402169999999994E-2</v>
      </c>
      <c r="AA2873">
        <v>0.97375460000000003</v>
      </c>
      <c r="AB2873">
        <v>25</v>
      </c>
      <c r="AC2873">
        <v>4.7896999999999803</v>
      </c>
      <c r="AD2873">
        <v>-1.113453899886</v>
      </c>
      <c r="AE2873">
        <v>-16.809100000000001</v>
      </c>
      <c r="AF2873">
        <v>-3.8403766760664602</v>
      </c>
      <c r="AG2873">
        <v>-1.113453899886</v>
      </c>
      <c r="AH2873">
        <v>16.978634512193601</v>
      </c>
      <c r="AI2873">
        <v>93.659874371931906</v>
      </c>
      <c r="AJ2873">
        <v>102.74519717822</v>
      </c>
      <c r="AK2873">
        <v>17.4431161923522</v>
      </c>
      <c r="AL2873">
        <v>80.186498541232595</v>
      </c>
      <c r="AM2873">
        <v>98.843066326365303</v>
      </c>
      <c r="AN2873">
        <v>0.99999999534728501</v>
      </c>
    </row>
    <row r="2874" spans="1:40" x14ac:dyDescent="0.25">
      <c r="A2874" t="str">
        <f>"20190312172945663"</f>
        <v>20190312172945663</v>
      </c>
      <c r="B2874" t="str">
        <f>"1552382985659860"</f>
        <v>1552382985659860</v>
      </c>
      <c r="C2874" t="s">
        <v>40</v>
      </c>
      <c r="D2874">
        <v>3.3436159999999999</v>
      </c>
      <c r="E2874">
        <v>0.47335769999999999</v>
      </c>
      <c r="F2874" t="s">
        <v>46</v>
      </c>
      <c r="G2874">
        <v>-487.32580000000002</v>
      </c>
      <c r="H2874" s="1">
        <v>4.0142819999999998E-6</v>
      </c>
      <c r="I2874">
        <v>223.04740000000001</v>
      </c>
      <c r="J2874">
        <v>-492.1918</v>
      </c>
      <c r="K2874">
        <v>1.1135090000000001</v>
      </c>
      <c r="L2874">
        <v>239.93809999999999</v>
      </c>
      <c r="M2874">
        <v>5.7667309999999999E-2</v>
      </c>
      <c r="N2874">
        <v>0</v>
      </c>
      <c r="O2874">
        <v>-0.99824539999999995</v>
      </c>
      <c r="P2874">
        <v>0.20659430000000001</v>
      </c>
      <c r="Q2874">
        <v>0.1582702</v>
      </c>
      <c r="R2874">
        <v>-0.96554139999999999</v>
      </c>
      <c r="S2874">
        <v>0.84728999999999999</v>
      </c>
      <c r="T2874">
        <v>-0.19348199999999999</v>
      </c>
      <c r="U2874">
        <v>-2.9582820000000001</v>
      </c>
      <c r="V2874">
        <v>-0.15188689999999999</v>
      </c>
      <c r="W2874">
        <v>0.17021</v>
      </c>
      <c r="X2874">
        <v>0.97363180000000005</v>
      </c>
      <c r="Y2874">
        <v>-0.218893</v>
      </c>
      <c r="Z2874">
        <v>6.3048640000000003E-2</v>
      </c>
      <c r="AA2874">
        <v>0.97370979999999996</v>
      </c>
      <c r="AB2874">
        <v>25</v>
      </c>
      <c r="AC2874">
        <v>4.8659999999999801</v>
      </c>
      <c r="AD2874">
        <v>-1.1135049857179999</v>
      </c>
      <c r="AE2874">
        <v>-16.890699999999899</v>
      </c>
      <c r="AF2874">
        <v>-3.8682485544521099</v>
      </c>
      <c r="AG2874">
        <v>-1.1135049857179999</v>
      </c>
      <c r="AH2874">
        <v>17.074701060158301</v>
      </c>
      <c r="AI2874">
        <v>93.639223848856702</v>
      </c>
      <c r="AJ2874">
        <v>102.764804848846</v>
      </c>
      <c r="AK2874">
        <v>17.542766501496001</v>
      </c>
      <c r="AL2874">
        <v>80.1999706639576</v>
      </c>
      <c r="AM2874">
        <v>98.866695530977395</v>
      </c>
      <c r="AN2874">
        <v>0.99999997823142495</v>
      </c>
    </row>
    <row r="2875" spans="1:40" x14ac:dyDescent="0.25">
      <c r="A2875" t="str">
        <f>"20190312172945677"</f>
        <v>20190312172945677</v>
      </c>
      <c r="B2875" t="str">
        <f>"1552382985670595"</f>
        <v>1552382985670595</v>
      </c>
      <c r="C2875" t="s">
        <v>40</v>
      </c>
      <c r="D2875">
        <v>3.3671220000000002</v>
      </c>
      <c r="E2875">
        <v>0.47335719999999998</v>
      </c>
      <c r="F2875" t="s">
        <v>46</v>
      </c>
      <c r="G2875">
        <v>-487.27539999999999</v>
      </c>
      <c r="H2875" s="1">
        <v>3.978004E-6</v>
      </c>
      <c r="I2875">
        <v>222.96629999999999</v>
      </c>
      <c r="J2875">
        <v>-492.17959999999999</v>
      </c>
      <c r="K2875">
        <v>1.1135539999999999</v>
      </c>
      <c r="L2875">
        <v>239.78389999999999</v>
      </c>
      <c r="M2875">
        <v>6.0696739999999999E-2</v>
      </c>
      <c r="N2875">
        <v>0</v>
      </c>
      <c r="O2875">
        <v>-0.9980656</v>
      </c>
      <c r="P2875">
        <v>0.2098062</v>
      </c>
      <c r="Q2875">
        <v>0.15844279999999999</v>
      </c>
      <c r="R2875">
        <v>-0.96482000000000001</v>
      </c>
      <c r="S2875">
        <v>0.856201199999999</v>
      </c>
      <c r="T2875">
        <v>-0.19392010000000001</v>
      </c>
      <c r="U2875">
        <v>-2.9556879999999999</v>
      </c>
      <c r="V2875">
        <v>-0.15219750000000001</v>
      </c>
      <c r="W2875">
        <v>0.17036509999999999</v>
      </c>
      <c r="X2875">
        <v>0.97355619999999998</v>
      </c>
      <c r="Y2875">
        <v>-0.218866</v>
      </c>
      <c r="Z2875">
        <v>6.3201170000000001E-2</v>
      </c>
      <c r="AA2875">
        <v>0.97370590000000001</v>
      </c>
      <c r="AB2875">
        <v>25</v>
      </c>
      <c r="AC2875">
        <v>4.9042000000000003</v>
      </c>
      <c r="AD2875">
        <v>-1.113550021996</v>
      </c>
      <c r="AE2875">
        <v>-16.817599999999999</v>
      </c>
      <c r="AF2875">
        <v>-3.8586988958142299</v>
      </c>
      <c r="AG2875">
        <v>-1.113550021996</v>
      </c>
      <c r="AH2875">
        <v>17.0155297697594</v>
      </c>
      <c r="AI2875">
        <v>93.651814408479595</v>
      </c>
      <c r="AJ2875">
        <v>102.77715297838699</v>
      </c>
      <c r="AK2875">
        <v>17.483071931603199</v>
      </c>
      <c r="AL2875">
        <v>80.190952689860097</v>
      </c>
      <c r="AM2875">
        <v>98.885217350732901</v>
      </c>
      <c r="AN2875">
        <v>1.00000001043135</v>
      </c>
    </row>
    <row r="2876" spans="1:40" x14ac:dyDescent="0.25">
      <c r="A2876" t="str">
        <f>"20190312172945696"</f>
        <v>20190312172945696</v>
      </c>
      <c r="B2876" t="str">
        <f>"1552382985690115"</f>
        <v>1552382985690115</v>
      </c>
      <c r="C2876" t="s">
        <v>40</v>
      </c>
      <c r="D2876">
        <v>3.3429609999999998</v>
      </c>
      <c r="E2876">
        <v>0.47337469999999998</v>
      </c>
      <c r="F2876" t="s">
        <v>46</v>
      </c>
      <c r="G2876">
        <v>-487.1841</v>
      </c>
      <c r="H2876" s="1">
        <v>3.892201E-6</v>
      </c>
      <c r="I2876">
        <v>222.75470000000001</v>
      </c>
      <c r="J2876">
        <v>-492.16210000000001</v>
      </c>
      <c r="K2876">
        <v>1.1136140000000001</v>
      </c>
      <c r="L2876">
        <v>239.57339999999999</v>
      </c>
      <c r="M2876">
        <v>6.4894740000000006E-2</v>
      </c>
      <c r="N2876">
        <v>0</v>
      </c>
      <c r="O2876">
        <v>-0.9978013</v>
      </c>
      <c r="P2876">
        <v>0.21422939999999999</v>
      </c>
      <c r="Q2876">
        <v>0.157764299999999</v>
      </c>
      <c r="R2876">
        <v>-0.96395869999999995</v>
      </c>
      <c r="S2876">
        <v>0.86618039999999996</v>
      </c>
      <c r="T2876">
        <v>-0.1930828</v>
      </c>
      <c r="U2876">
        <v>-2.9527589999999999</v>
      </c>
      <c r="V2876">
        <v>-0.15258289999999999</v>
      </c>
      <c r="W2876">
        <v>0.16966819999999999</v>
      </c>
      <c r="X2876">
        <v>0.97361759999999997</v>
      </c>
      <c r="Y2876">
        <v>-0.21805730000000001</v>
      </c>
      <c r="Z2876">
        <v>6.2940689999999994E-2</v>
      </c>
      <c r="AA2876">
        <v>0.97390429999999995</v>
      </c>
      <c r="AB2876">
        <v>25</v>
      </c>
      <c r="AC2876">
        <v>4.9779999999999998</v>
      </c>
      <c r="AD2876">
        <v>-1.1136101077989999</v>
      </c>
      <c r="AE2876">
        <v>-16.8186999999999</v>
      </c>
      <c r="AF2876">
        <v>-3.8603997674020798</v>
      </c>
      <c r="AG2876">
        <v>-1.1136101077989999</v>
      </c>
      <c r="AH2876">
        <v>17.0376385972076</v>
      </c>
      <c r="AI2876">
        <v>93.647437196713</v>
      </c>
      <c r="AJ2876">
        <v>102.766556648161</v>
      </c>
      <c r="AK2876">
        <v>17.504969088959001</v>
      </c>
      <c r="AL2876">
        <v>80.231472277281497</v>
      </c>
      <c r="AM2876">
        <v>98.906803764635399</v>
      </c>
      <c r="AN2876">
        <v>1.0000000352467</v>
      </c>
    </row>
    <row r="2877" spans="1:40" x14ac:dyDescent="0.25">
      <c r="A2877" t="str">
        <f>"20190312172945720"</f>
        <v>20190312172945720</v>
      </c>
      <c r="B2877" t="str">
        <f>"1552382985710610"</f>
        <v>1552382985710610</v>
      </c>
      <c r="C2877" t="s">
        <v>40</v>
      </c>
      <c r="D2877">
        <v>3.3487079999999998</v>
      </c>
      <c r="E2877">
        <v>0.47338659999999999</v>
      </c>
      <c r="F2877" t="s">
        <v>46</v>
      </c>
      <c r="G2877">
        <v>-487.1284</v>
      </c>
      <c r="H2877" s="1">
        <v>3.8639639999999996E-6</v>
      </c>
      <c r="I2877">
        <v>222.70339999999999</v>
      </c>
      <c r="J2877">
        <v>-492.13979999999998</v>
      </c>
      <c r="K2877">
        <v>1.1136809999999999</v>
      </c>
      <c r="L2877">
        <v>239.31909999999999</v>
      </c>
      <c r="M2877">
        <v>7.0079269999999999E-2</v>
      </c>
      <c r="N2877">
        <v>0</v>
      </c>
      <c r="O2877">
        <v>-0.99745050000000002</v>
      </c>
      <c r="P2877">
        <v>0.21958649999999999</v>
      </c>
      <c r="Q2877">
        <v>0.15707589999999999</v>
      </c>
      <c r="R2877">
        <v>-0.96286510000000003</v>
      </c>
      <c r="S2877">
        <v>0.87979130000000005</v>
      </c>
      <c r="T2877">
        <v>-0.19463569999999999</v>
      </c>
      <c r="U2877">
        <v>-2.9485169999999998</v>
      </c>
      <c r="V2877">
        <v>-0.15295320000000001</v>
      </c>
      <c r="W2877">
        <v>0.16896</v>
      </c>
      <c r="X2877">
        <v>0.97368259999999995</v>
      </c>
      <c r="Y2877">
        <v>-0.2174884</v>
      </c>
      <c r="Z2877">
        <v>6.3461909999999996E-2</v>
      </c>
      <c r="AA2877">
        <v>0.97399769999999997</v>
      </c>
      <c r="AB2877">
        <v>25</v>
      </c>
      <c r="AC2877">
        <v>5.0113999999999796</v>
      </c>
      <c r="AD2877">
        <v>-1.1136771360359901</v>
      </c>
      <c r="AE2877">
        <v>-16.6157</v>
      </c>
      <c r="AF2877">
        <v>-3.8188297635672601</v>
      </c>
      <c r="AG2877">
        <v>-1.1136771360359901</v>
      </c>
      <c r="AH2877">
        <v>16.856655666784999</v>
      </c>
      <c r="AI2877">
        <v>93.686738529756198</v>
      </c>
      <c r="AJ2877">
        <v>102.76473719403501</v>
      </c>
      <c r="AK2877">
        <v>17.319658708963999</v>
      </c>
      <c r="AL2877">
        <v>80.272643072415306</v>
      </c>
      <c r="AM2877">
        <v>98.927485278292295</v>
      </c>
      <c r="AN2877">
        <v>0.99999998426649905</v>
      </c>
    </row>
    <row r="2878" spans="1:40" x14ac:dyDescent="0.25">
      <c r="A2878" t="str">
        <f>"20190312172945739"</f>
        <v>20190312172945739</v>
      </c>
      <c r="B2878" t="str">
        <f>"1552382985730134"</f>
        <v>1552382985730134</v>
      </c>
      <c r="C2878" t="s">
        <v>40</v>
      </c>
      <c r="D2878">
        <v>3.2923909999999998</v>
      </c>
      <c r="E2878">
        <v>0.47345140000000002</v>
      </c>
      <c r="F2878" t="s">
        <v>46</v>
      </c>
      <c r="G2878">
        <v>-487.06099999999998</v>
      </c>
      <c r="H2878" s="1">
        <v>3.8276770000000002E-6</v>
      </c>
      <c r="I2878">
        <v>222.6345</v>
      </c>
      <c r="J2878">
        <v>-492.1191</v>
      </c>
      <c r="K2878">
        <v>1.1137360000000001</v>
      </c>
      <c r="L2878">
        <v>239.09800000000001</v>
      </c>
      <c r="M2878">
        <v>7.4685760000000004E-2</v>
      </c>
      <c r="N2878">
        <v>0</v>
      </c>
      <c r="O2878">
        <v>-0.99711609999999995</v>
      </c>
      <c r="P2878">
        <v>0.22434380000000001</v>
      </c>
      <c r="Q2878">
        <v>0.156473</v>
      </c>
      <c r="R2878">
        <v>-0.9618662</v>
      </c>
      <c r="S2878">
        <v>0.89596559999999903</v>
      </c>
      <c r="T2878">
        <v>-0.196467</v>
      </c>
      <c r="U2878">
        <v>-2.9433750000000001</v>
      </c>
      <c r="V2878">
        <v>-0.1532821</v>
      </c>
      <c r="W2878">
        <v>0.16834099999999999</v>
      </c>
      <c r="X2878">
        <v>0.97373810000000005</v>
      </c>
      <c r="Y2878">
        <v>-0.2183409</v>
      </c>
      <c r="Z2878">
        <v>6.4075110000000005E-2</v>
      </c>
      <c r="AA2878">
        <v>0.97376669999999999</v>
      </c>
      <c r="AB2878">
        <v>25</v>
      </c>
      <c r="AC2878">
        <v>5.05810000000002</v>
      </c>
      <c r="AD2878">
        <v>-1.113732172323</v>
      </c>
      <c r="AE2878">
        <v>-16.4634999999999</v>
      </c>
      <c r="AF2878">
        <v>-3.7983867207397801</v>
      </c>
      <c r="AG2878">
        <v>-1.113732172323</v>
      </c>
      <c r="AH2878">
        <v>16.725374190434401</v>
      </c>
      <c r="AI2878">
        <v>93.715334613941096</v>
      </c>
      <c r="AJ2878">
        <v>102.795031950723</v>
      </c>
      <c r="AK2878">
        <v>17.187387318670901</v>
      </c>
      <c r="AL2878">
        <v>80.308624628250598</v>
      </c>
      <c r="AM2878">
        <v>98.945870474071</v>
      </c>
      <c r="AN2878">
        <v>0.99999999092651004</v>
      </c>
    </row>
    <row r="2879" spans="1:40" x14ac:dyDescent="0.25">
      <c r="A2879" t="str">
        <f>"20190312172945754"</f>
        <v>20190312172945754</v>
      </c>
      <c r="B2879" t="str">
        <f>"1552382985750627"</f>
        <v>1552382985750627</v>
      </c>
      <c r="C2879" t="s">
        <v>40</v>
      </c>
      <c r="D2879">
        <v>3.3507280000000002</v>
      </c>
      <c r="E2879">
        <v>0.4735241</v>
      </c>
      <c r="F2879" t="s">
        <v>46</v>
      </c>
      <c r="G2879">
        <v>-486.99930000000001</v>
      </c>
      <c r="H2879" s="1">
        <v>3.7939300000000002E-6</v>
      </c>
      <c r="I2879">
        <v>222.56970000000001</v>
      </c>
      <c r="J2879">
        <v>-492.10390000000001</v>
      </c>
      <c r="K2879">
        <v>1.113775</v>
      </c>
      <c r="L2879">
        <v>238.94280000000001</v>
      </c>
      <c r="M2879">
        <v>7.7981190000000006E-2</v>
      </c>
      <c r="N2879">
        <v>0</v>
      </c>
      <c r="O2879">
        <v>-0.99686379999999997</v>
      </c>
      <c r="P2879">
        <v>0.2275295</v>
      </c>
      <c r="Q2879">
        <v>0.15624170000000001</v>
      </c>
      <c r="R2879">
        <v>-0.96115530000000005</v>
      </c>
      <c r="S2879">
        <v>0.91033940000000002</v>
      </c>
      <c r="T2879">
        <v>-0.19802919999999999</v>
      </c>
      <c r="U2879">
        <v>-2.9388429999999999</v>
      </c>
      <c r="V2879">
        <v>-0.15330199999999999</v>
      </c>
      <c r="W2879">
        <v>0.16810029999999901</v>
      </c>
      <c r="X2879">
        <v>0.97377659999999999</v>
      </c>
      <c r="Y2879">
        <v>-0.2198755</v>
      </c>
      <c r="Z2879">
        <v>6.4596100000000004E-2</v>
      </c>
      <c r="AA2879">
        <v>0.97338690000000005</v>
      </c>
      <c r="AB2879">
        <v>25</v>
      </c>
      <c r="AC2879">
        <v>5.1045999999999996</v>
      </c>
      <c r="AD2879">
        <v>-1.11377120607</v>
      </c>
      <c r="AE2879">
        <v>-16.373099999999901</v>
      </c>
      <c r="AF2879">
        <v>-3.79613328467277</v>
      </c>
      <c r="AG2879">
        <v>-1.11377120607</v>
      </c>
      <c r="AH2879">
        <v>16.651106610162099</v>
      </c>
      <c r="AI2879">
        <v>93.731283031630198</v>
      </c>
      <c r="AJ2879">
        <v>102.84283934451599</v>
      </c>
      <c r="AK2879">
        <v>17.114627239804399</v>
      </c>
      <c r="AL2879">
        <v>80.3226155788131</v>
      </c>
      <c r="AM2879">
        <v>98.946665079440905</v>
      </c>
      <c r="AN2879">
        <v>1.00000004038582</v>
      </c>
    </row>
    <row r="2880" spans="1:40" x14ac:dyDescent="0.25">
      <c r="A2880" t="str">
        <f>"20190312172945774"</f>
        <v>20190312172945774</v>
      </c>
      <c r="B2880" t="str">
        <f>"1552382985770147"</f>
        <v>1552382985770147</v>
      </c>
      <c r="C2880" t="s">
        <v>40</v>
      </c>
      <c r="D2880">
        <v>3.3478020000000002</v>
      </c>
      <c r="E2880">
        <v>0.47357329999999997</v>
      </c>
      <c r="F2880" t="s">
        <v>46</v>
      </c>
      <c r="G2880">
        <v>-486.94369999999998</v>
      </c>
      <c r="H2880" s="1">
        <v>3.7511340000000001E-6</v>
      </c>
      <c r="I2880">
        <v>222.47139999999999</v>
      </c>
      <c r="J2880">
        <v>-492.08269999999999</v>
      </c>
      <c r="K2880">
        <v>1.1138330000000001</v>
      </c>
      <c r="L2880">
        <v>238.73480000000001</v>
      </c>
      <c r="M2880">
        <v>8.2463170000000002E-2</v>
      </c>
      <c r="N2880">
        <v>0</v>
      </c>
      <c r="O2880">
        <v>-0.99650269999999996</v>
      </c>
      <c r="P2880">
        <v>0.23153280000000001</v>
      </c>
      <c r="Q2880">
        <v>0.15626519999999999</v>
      </c>
      <c r="R2880">
        <v>-0.96019480000000001</v>
      </c>
      <c r="S2880">
        <v>0.91973879999999997</v>
      </c>
      <c r="T2880">
        <v>-0.198513</v>
      </c>
      <c r="U2880">
        <v>-2.9357760000000002</v>
      </c>
      <c r="V2880">
        <v>-0.153005</v>
      </c>
      <c r="W2880">
        <v>0.16811209999999999</v>
      </c>
      <c r="X2880">
        <v>0.97382120000000005</v>
      </c>
      <c r="Y2880">
        <v>-0.21861359999999999</v>
      </c>
      <c r="Z2880">
        <v>6.4761550000000001E-2</v>
      </c>
      <c r="AA2880">
        <v>0.97366010000000003</v>
      </c>
      <c r="AB2880">
        <v>25</v>
      </c>
      <c r="AC2880">
        <v>5.1390000000000002</v>
      </c>
      <c r="AD2880">
        <v>-1.113829248866</v>
      </c>
      <c r="AE2880">
        <v>-16.263400000000001</v>
      </c>
      <c r="AF2880">
        <v>-3.7641873397449102</v>
      </c>
      <c r="AG2880">
        <v>-1.113829248866</v>
      </c>
      <c r="AH2880">
        <v>16.561187928412899</v>
      </c>
      <c r="AI2880">
        <v>93.752238826963605</v>
      </c>
      <c r="AJ2880">
        <v>102.805190447699</v>
      </c>
      <c r="AK2880">
        <v>17.0200666133988</v>
      </c>
      <c r="AL2880">
        <v>80.321929029536193</v>
      </c>
      <c r="AM2880">
        <v>98.929209434536702</v>
      </c>
      <c r="AN2880">
        <v>0.99999996888042397</v>
      </c>
    </row>
    <row r="2881" spans="1:40" x14ac:dyDescent="0.25">
      <c r="A2881" t="str">
        <f>"20190312172945796"</f>
        <v>20190312172945796</v>
      </c>
      <c r="B2881" t="str">
        <f>"1552382985790643"</f>
        <v>1552382985790643</v>
      </c>
      <c r="C2881" t="s">
        <v>40</v>
      </c>
      <c r="D2881">
        <v>3.3795250000000001</v>
      </c>
      <c r="E2881">
        <v>0.47363860000000002</v>
      </c>
      <c r="F2881" t="s">
        <v>46</v>
      </c>
      <c r="G2881">
        <v>-486.82400000000001</v>
      </c>
      <c r="H2881" s="1">
        <v>3.6383200000000001E-6</v>
      </c>
      <c r="I2881">
        <v>222.19290000000001</v>
      </c>
      <c r="J2881">
        <v>-492.05549999999999</v>
      </c>
      <c r="K2881">
        <v>1.113904</v>
      </c>
      <c r="L2881">
        <v>238.48249999999999</v>
      </c>
      <c r="M2881">
        <v>8.801138E-2</v>
      </c>
      <c r="N2881">
        <v>0</v>
      </c>
      <c r="O2881">
        <v>-0.99602820000000003</v>
      </c>
      <c r="P2881">
        <v>0.23673710000000001</v>
      </c>
      <c r="Q2881">
        <v>0.15598879999999901</v>
      </c>
      <c r="R2881">
        <v>-0.95897010000000005</v>
      </c>
      <c r="S2881">
        <v>0.93200680000000002</v>
      </c>
      <c r="T2881">
        <v>-0.19740489999999999</v>
      </c>
      <c r="U2881">
        <v>-2.9317319999999998</v>
      </c>
      <c r="V2881">
        <v>-0.15288640000000001</v>
      </c>
      <c r="W2881">
        <v>0.16781969999999999</v>
      </c>
      <c r="X2881">
        <v>0.97389029999999999</v>
      </c>
      <c r="Y2881">
        <v>-0.21727450000000001</v>
      </c>
      <c r="Z2881">
        <v>6.4410019999999998E-2</v>
      </c>
      <c r="AA2881">
        <v>0.97398309999999999</v>
      </c>
      <c r="AB2881">
        <v>25</v>
      </c>
      <c r="AC2881">
        <v>5.2314999999999801</v>
      </c>
      <c r="AD2881">
        <v>-1.1139003616800001</v>
      </c>
      <c r="AE2881">
        <v>-16.289599999999901</v>
      </c>
      <c r="AF2881">
        <v>-3.76145081503625</v>
      </c>
      <c r="AG2881">
        <v>-1.1139003616800001</v>
      </c>
      <c r="AH2881">
        <v>16.616416266536898</v>
      </c>
      <c r="AI2881">
        <v>93.740781339512907</v>
      </c>
      <c r="AJ2881">
        <v>102.755050353907</v>
      </c>
      <c r="AK2881">
        <v>17.073212228298502</v>
      </c>
      <c r="AL2881">
        <v>80.338924161922904</v>
      </c>
      <c r="AM2881">
        <v>98.921776579282593</v>
      </c>
      <c r="AN2881">
        <v>1.0000000097235699</v>
      </c>
    </row>
    <row r="2882" spans="1:40" x14ac:dyDescent="0.25">
      <c r="A2882" t="str">
        <f>"20190312172945818"</f>
        <v>20190312172945818</v>
      </c>
      <c r="B2882" t="str">
        <f>"1552382985810180"</f>
        <v>1552382985810180</v>
      </c>
      <c r="C2882" t="s">
        <v>40</v>
      </c>
      <c r="D2882">
        <v>3.2607179999999998</v>
      </c>
      <c r="E2882">
        <v>0.4558373</v>
      </c>
      <c r="F2882" t="s">
        <v>46</v>
      </c>
      <c r="G2882">
        <v>-486.70949999999999</v>
      </c>
      <c r="H2882" s="1">
        <v>3.5443000000000001E-6</v>
      </c>
      <c r="I2882">
        <v>221.97139999999999</v>
      </c>
      <c r="J2882">
        <v>-492.02839999999998</v>
      </c>
      <c r="K2882">
        <v>1.113969</v>
      </c>
      <c r="L2882">
        <v>238.24340000000001</v>
      </c>
      <c r="M2882">
        <v>9.338407E-2</v>
      </c>
      <c r="N2882">
        <v>0</v>
      </c>
      <c r="O2882">
        <v>-0.9955387</v>
      </c>
      <c r="P2882">
        <v>0.24206730000000001</v>
      </c>
      <c r="Q2882">
        <v>0.15595709999999999</v>
      </c>
      <c r="R2882">
        <v>-0.95764349999999998</v>
      </c>
      <c r="S2882">
        <v>0.94757080000000005</v>
      </c>
      <c r="T2882">
        <v>-0.19743540000000001</v>
      </c>
      <c r="U2882">
        <v>-2.9265439999999998</v>
      </c>
      <c r="V2882">
        <v>-0.15307760000000001</v>
      </c>
      <c r="W2882">
        <v>0.1677689</v>
      </c>
      <c r="X2882">
        <v>0.97386899999999998</v>
      </c>
      <c r="Y2882">
        <v>-0.21720220000000001</v>
      </c>
      <c r="Z2882">
        <v>6.4430180000000004E-2</v>
      </c>
      <c r="AA2882">
        <v>0.97399800000000003</v>
      </c>
      <c r="AB2882">
        <v>25</v>
      </c>
      <c r="AC2882">
        <v>5.3188999999999798</v>
      </c>
      <c r="AD2882">
        <v>-1.1139654556999901</v>
      </c>
      <c r="AE2882">
        <v>-16.271999999999998</v>
      </c>
      <c r="AF2882">
        <v>-3.7600481514665298</v>
      </c>
      <c r="AG2882">
        <v>-1.1139654556999901</v>
      </c>
      <c r="AH2882">
        <v>16.6272233252344</v>
      </c>
      <c r="AI2882">
        <v>93.738760465166806</v>
      </c>
      <c r="AJ2882">
        <v>102.74243279882501</v>
      </c>
      <c r="AK2882">
        <v>17.083425787735301</v>
      </c>
      <c r="AL2882">
        <v>80.341876477811795</v>
      </c>
      <c r="AM2882">
        <v>98.932946574830794</v>
      </c>
      <c r="AN2882">
        <v>0.99999999229498504</v>
      </c>
    </row>
    <row r="2883" spans="1:40" x14ac:dyDescent="0.25">
      <c r="A2883" t="str">
        <f>"20190312172945831"</f>
        <v>20190312172945831</v>
      </c>
      <c r="B2883" t="str">
        <f>"1552382985819923"</f>
        <v>1552382985819923</v>
      </c>
      <c r="C2883" t="s">
        <v>40</v>
      </c>
      <c r="D2883">
        <v>3.2428849999999998</v>
      </c>
      <c r="E2883">
        <v>0.45402189999999998</v>
      </c>
      <c r="F2883" t="s">
        <v>46</v>
      </c>
      <c r="G2883">
        <v>-486.61930000000001</v>
      </c>
      <c r="H2883" s="1">
        <v>4.1700309999999997E-6</v>
      </c>
      <c r="I2883">
        <v>224.0558</v>
      </c>
      <c r="J2883">
        <v>-492.01209999999998</v>
      </c>
      <c r="K2883">
        <v>1.1140110000000001</v>
      </c>
      <c r="L2883">
        <v>238.10669999999999</v>
      </c>
      <c r="M2883">
        <v>9.6514000000000003E-2</v>
      </c>
      <c r="N2883">
        <v>0</v>
      </c>
      <c r="O2883">
        <v>-0.99524000000000001</v>
      </c>
      <c r="P2883">
        <v>0.24510609999999999</v>
      </c>
      <c r="Q2883">
        <v>0.1558765</v>
      </c>
      <c r="R2883">
        <v>-0.9568835</v>
      </c>
      <c r="S2883">
        <v>1.1022339999999999</v>
      </c>
      <c r="T2883">
        <v>-0.2269968</v>
      </c>
      <c r="U2883">
        <v>-2.8910520000000002</v>
      </c>
      <c r="V2883">
        <v>-0.15312190000000001</v>
      </c>
      <c r="W2883">
        <v>0.1676772</v>
      </c>
      <c r="X2883">
        <v>0.97387780000000002</v>
      </c>
      <c r="Y2883">
        <v>-0.26341940000000003</v>
      </c>
      <c r="Z2883">
        <v>7.3776700000000001E-2</v>
      </c>
      <c r="AA2883">
        <v>0.96185609999999999</v>
      </c>
      <c r="AB2883">
        <v>25</v>
      </c>
      <c r="AC2883">
        <v>5.3927999999999603</v>
      </c>
      <c r="AD2883">
        <v>-1.114006829969</v>
      </c>
      <c r="AE2883">
        <v>-14.050899999999899</v>
      </c>
      <c r="AF2883">
        <v>-3.9895295733856901</v>
      </c>
      <c r="AG2883">
        <v>-1.114006829969</v>
      </c>
      <c r="AH2883">
        <v>14.4267794011074</v>
      </c>
      <c r="AI2883">
        <v>94.2563733023796</v>
      </c>
      <c r="AJ2883">
        <v>105.458058895627</v>
      </c>
      <c r="AK2883">
        <v>15.0096409458172</v>
      </c>
      <c r="AL2883">
        <v>80.347205727096593</v>
      </c>
      <c r="AM2883">
        <v>98.935410585156205</v>
      </c>
      <c r="AN2883">
        <v>0.99999996449614403</v>
      </c>
    </row>
    <row r="2884" spans="1:40" x14ac:dyDescent="0.25">
      <c r="A2884" t="str">
        <f>"20190312172945844"</f>
        <v>20190312172945844</v>
      </c>
      <c r="B2884" t="str">
        <f>"1552382985840419"</f>
        <v>1552382985840419</v>
      </c>
      <c r="C2884" t="s">
        <v>40</v>
      </c>
      <c r="D2884">
        <v>3.2225730000000001</v>
      </c>
      <c r="E2884">
        <v>0.45145229999999997</v>
      </c>
      <c r="F2884" t="s">
        <v>46</v>
      </c>
      <c r="G2884">
        <v>-486.70979999999997</v>
      </c>
      <c r="H2884" s="1">
        <v>4.333995E-6</v>
      </c>
      <c r="I2884">
        <v>224.52029999999999</v>
      </c>
      <c r="J2884">
        <v>-491.995</v>
      </c>
      <c r="K2884">
        <v>1.1140600000000001</v>
      </c>
      <c r="L2884">
        <v>237.96510000000001</v>
      </c>
      <c r="M2884">
        <v>9.9786799999999995E-2</v>
      </c>
      <c r="N2884">
        <v>0</v>
      </c>
      <c r="O2884">
        <v>-0.9949171</v>
      </c>
      <c r="P2884">
        <v>0.24841579999999999</v>
      </c>
      <c r="Q2884">
        <v>0.1563233</v>
      </c>
      <c r="R2884">
        <v>-0.95595640000000004</v>
      </c>
      <c r="S2884">
        <v>1.1260380000000001</v>
      </c>
      <c r="T2884">
        <v>-0.23657639999999999</v>
      </c>
      <c r="U2884">
        <v>-2.885284</v>
      </c>
      <c r="V2884">
        <v>-0.15331839999999999</v>
      </c>
      <c r="W2884">
        <v>0.1681106</v>
      </c>
      <c r="X2884">
        <v>0.97377219999999998</v>
      </c>
      <c r="Y2884">
        <v>-0.26770670000000002</v>
      </c>
      <c r="Z2884">
        <v>7.6820250000000007E-2</v>
      </c>
      <c r="AA2884">
        <v>0.96043310000000004</v>
      </c>
      <c r="AB2884">
        <v>25</v>
      </c>
      <c r="AC2884">
        <v>5.2852000000000299</v>
      </c>
      <c r="AD2884">
        <v>-1.1140556660050001</v>
      </c>
      <c r="AE2884">
        <v>-13.444800000000001</v>
      </c>
      <c r="AF2884">
        <v>-3.8939226020864099</v>
      </c>
      <c r="AG2884">
        <v>-1.1140556660050001</v>
      </c>
      <c r="AH2884">
        <v>13.8229187013215</v>
      </c>
      <c r="AI2884">
        <v>94.435868463529502</v>
      </c>
      <c r="AJ2884">
        <v>105.732552736098</v>
      </c>
      <c r="AK2884">
        <v>14.4040561884957</v>
      </c>
      <c r="AL2884">
        <v>80.322016533252395</v>
      </c>
      <c r="AM2884">
        <v>98.947646470564706</v>
      </c>
      <c r="AN2884">
        <v>1.00000000155188</v>
      </c>
    </row>
    <row r="2885" spans="1:40" x14ac:dyDescent="0.25">
      <c r="A2885" t="str">
        <f>"20190312172945864"</f>
        <v>20190312172945864</v>
      </c>
      <c r="B2885" t="str">
        <f>"1552382985859939"</f>
        <v>1552382985859939</v>
      </c>
      <c r="C2885" t="s">
        <v>40</v>
      </c>
      <c r="D2885">
        <v>3.1759580000000001</v>
      </c>
      <c r="E2885">
        <v>0.45025490000000001</v>
      </c>
      <c r="F2885" t="s">
        <v>46</v>
      </c>
      <c r="G2885">
        <v>-486.6764</v>
      </c>
      <c r="H2885" s="1">
        <v>4.3810659999999998E-6</v>
      </c>
      <c r="I2885">
        <v>224.72819999999999</v>
      </c>
      <c r="J2885">
        <v>-491.96890000000002</v>
      </c>
      <c r="K2885">
        <v>1.1141259999999999</v>
      </c>
      <c r="L2885">
        <v>237.75800000000001</v>
      </c>
      <c r="M2885">
        <v>0.104669899999999</v>
      </c>
      <c r="N2885">
        <v>0</v>
      </c>
      <c r="O2885">
        <v>-0.99441520000000005</v>
      </c>
      <c r="P2885">
        <v>0.25310759999999999</v>
      </c>
      <c r="Q2885">
        <v>0.15728249999999999</v>
      </c>
      <c r="R2885">
        <v>-0.95456779999999997</v>
      </c>
      <c r="S2885">
        <v>1.156128</v>
      </c>
      <c r="T2885">
        <v>-0.24216679999999999</v>
      </c>
      <c r="U2885">
        <v>-2.8773650000000002</v>
      </c>
      <c r="V2885">
        <v>-0.15337229999999999</v>
      </c>
      <c r="W2885">
        <v>0.16905020000000001</v>
      </c>
      <c r="X2885">
        <v>0.97360100000000005</v>
      </c>
      <c r="Y2885">
        <v>-0.27249770000000001</v>
      </c>
      <c r="Z2885">
        <v>7.8564759999999997E-2</v>
      </c>
      <c r="AA2885">
        <v>0.95894349999999995</v>
      </c>
      <c r="AB2885">
        <v>25</v>
      </c>
      <c r="AC2885">
        <v>5.2925000000000102</v>
      </c>
      <c r="AD2885">
        <v>-1.114121618934</v>
      </c>
      <c r="AE2885">
        <v>-13.0297999999999</v>
      </c>
      <c r="AF2885">
        <v>-3.87515098993594</v>
      </c>
      <c r="AG2885">
        <v>-1.114121618934</v>
      </c>
      <c r="AH2885">
        <v>13.427959298903099</v>
      </c>
      <c r="AI2885">
        <v>94.557816013141505</v>
      </c>
      <c r="AJ2885">
        <v>106.097517333985</v>
      </c>
      <c r="AK2885">
        <v>14.020276499041501</v>
      </c>
      <c r="AL2885">
        <v>80.267399424568694</v>
      </c>
      <c r="AM2885">
        <v>98.952289576481604</v>
      </c>
      <c r="AN2885">
        <v>0.99999996986416395</v>
      </c>
    </row>
    <row r="2886" spans="1:40" x14ac:dyDescent="0.25">
      <c r="A2886" t="str">
        <f>"20190312172945877"</f>
        <v>20190312172945877</v>
      </c>
      <c r="B2886" t="str">
        <f>"1552382985870675"</f>
        <v>1552382985870675</v>
      </c>
      <c r="C2886" t="s">
        <v>40</v>
      </c>
      <c r="D2886">
        <v>3.2200669999999998</v>
      </c>
      <c r="E2886">
        <v>0.45012960000000002</v>
      </c>
      <c r="F2886" t="s">
        <v>46</v>
      </c>
      <c r="G2886">
        <v>-486.53719999999998</v>
      </c>
      <c r="H2886" s="1">
        <v>4.3069110000000003E-6</v>
      </c>
      <c r="I2886">
        <v>224.5564</v>
      </c>
      <c r="J2886">
        <v>-491.9479</v>
      </c>
      <c r="K2886">
        <v>1.1141799999999999</v>
      </c>
      <c r="L2886">
        <v>237.5994</v>
      </c>
      <c r="M2886">
        <v>0.1084846</v>
      </c>
      <c r="N2886">
        <v>0</v>
      </c>
      <c r="O2886">
        <v>-0.9940061</v>
      </c>
      <c r="P2886">
        <v>0.25669619999999999</v>
      </c>
      <c r="Q2886">
        <v>0.15769659999999999</v>
      </c>
      <c r="R2886">
        <v>-0.95354050000000001</v>
      </c>
      <c r="S2886">
        <v>1.1806950000000001</v>
      </c>
      <c r="T2886">
        <v>-0.2421778</v>
      </c>
      <c r="U2886">
        <v>-2.8696440000000001</v>
      </c>
      <c r="V2886">
        <v>-0.15333050000000001</v>
      </c>
      <c r="W2886">
        <v>0.16945250000000001</v>
      </c>
      <c r="X2886">
        <v>0.97353769999999995</v>
      </c>
      <c r="Y2886">
        <v>-0.27673930000000002</v>
      </c>
      <c r="Z2886">
        <v>7.8544050000000004E-2</v>
      </c>
      <c r="AA2886">
        <v>0.95772970000000002</v>
      </c>
      <c r="AB2886">
        <v>25</v>
      </c>
      <c r="AC2886">
        <v>5.4107000000000101</v>
      </c>
      <c r="AD2886">
        <v>-1.1141756930890001</v>
      </c>
      <c r="AE2886">
        <v>-13.042999999999999</v>
      </c>
      <c r="AF2886">
        <v>-3.9391426565670602</v>
      </c>
      <c r="AG2886">
        <v>-1.1141756930890001</v>
      </c>
      <c r="AH2886">
        <v>13.4691832867492</v>
      </c>
      <c r="AI2886">
        <v>94.539457918614303</v>
      </c>
      <c r="AJ2886">
        <v>106.301872474373</v>
      </c>
      <c r="AK2886">
        <v>14.077539939772899</v>
      </c>
      <c r="AL2886">
        <v>80.244012438205601</v>
      </c>
      <c r="AM2886">
        <v>98.950461731116604</v>
      </c>
      <c r="AN2886">
        <v>1.0000000226538901</v>
      </c>
    </row>
    <row r="2887" spans="1:40" x14ac:dyDescent="0.25">
      <c r="A2887" t="str">
        <f>"20190312172945898"</f>
        <v>20190312172945898</v>
      </c>
      <c r="B2887" t="str">
        <f>"1552382985890195"</f>
        <v>1552382985890195</v>
      </c>
      <c r="C2887" t="s">
        <v>40</v>
      </c>
      <c r="D2887">
        <v>3.1928239999999999</v>
      </c>
      <c r="E2887">
        <v>0.45016250000000002</v>
      </c>
      <c r="F2887" t="s">
        <v>46</v>
      </c>
      <c r="G2887">
        <v>-486.50049999999999</v>
      </c>
      <c r="H2887" s="1">
        <v>4.285688E-6</v>
      </c>
      <c r="I2887">
        <v>224.51410000000001</v>
      </c>
      <c r="J2887">
        <v>-491.91930000000002</v>
      </c>
      <c r="K2887">
        <v>1.114244</v>
      </c>
      <c r="L2887">
        <v>237.38929999999999</v>
      </c>
      <c r="M2887">
        <v>0.1136051</v>
      </c>
      <c r="N2887">
        <v>0</v>
      </c>
      <c r="O2887">
        <v>-0.99343369999999998</v>
      </c>
      <c r="P2887">
        <v>0.26145390000000002</v>
      </c>
      <c r="Q2887">
        <v>0.15815489999999999</v>
      </c>
      <c r="R2887">
        <v>-0.95217070000000004</v>
      </c>
      <c r="S2887">
        <v>1.192841</v>
      </c>
      <c r="T2887">
        <v>-0.24397840000000001</v>
      </c>
      <c r="U2887">
        <v>-2.8653719999999998</v>
      </c>
      <c r="V2887">
        <v>-0.15321419999999999</v>
      </c>
      <c r="W2887">
        <v>0.16989609999999999</v>
      </c>
      <c r="X2887">
        <v>0.97347870000000003</v>
      </c>
      <c r="Y2887">
        <v>-0.27573910000000001</v>
      </c>
      <c r="Z2887">
        <v>7.9114110000000001E-2</v>
      </c>
      <c r="AA2887">
        <v>0.95797129999999997</v>
      </c>
      <c r="AB2887">
        <v>25</v>
      </c>
      <c r="AC2887">
        <v>5.4188000000000303</v>
      </c>
      <c r="AD2887">
        <v>-1.114239714312</v>
      </c>
      <c r="AE2887">
        <v>-12.8751999999999</v>
      </c>
      <c r="AF2887">
        <v>-3.8961009210420698</v>
      </c>
      <c r="AG2887">
        <v>-1.114239714312</v>
      </c>
      <c r="AH2887">
        <v>13.322725091450501</v>
      </c>
      <c r="AI2887">
        <v>94.589430577223794</v>
      </c>
      <c r="AJ2887">
        <v>106.301043805064</v>
      </c>
      <c r="AK2887">
        <v>13.9253774236198</v>
      </c>
      <c r="AL2887">
        <v>80.218222124519301</v>
      </c>
      <c r="AM2887">
        <v>98.944315956729895</v>
      </c>
      <c r="AN2887">
        <v>1.0000000276152601</v>
      </c>
    </row>
    <row r="2888" spans="1:40" x14ac:dyDescent="0.25">
      <c r="A2888" t="str">
        <f>"20190312172945920"</f>
        <v>20190312172945920</v>
      </c>
      <c r="B2888" t="str">
        <f>"1552382985910691"</f>
        <v>1552382985910691</v>
      </c>
      <c r="C2888" t="s">
        <v>40</v>
      </c>
      <c r="D2888">
        <v>3.1811739999999999</v>
      </c>
      <c r="E2888">
        <v>0.45033329999999999</v>
      </c>
      <c r="F2888" t="s">
        <v>46</v>
      </c>
      <c r="G2888">
        <v>-486.4692</v>
      </c>
      <c r="H2888" s="1">
        <v>4.2712449999999996E-6</v>
      </c>
      <c r="I2888">
        <v>224.48990000000001</v>
      </c>
      <c r="J2888">
        <v>-491.88459999999998</v>
      </c>
      <c r="K2888">
        <v>1.1143110000000001</v>
      </c>
      <c r="L2888">
        <v>237.14609999999999</v>
      </c>
      <c r="M2888">
        <v>0.1196497</v>
      </c>
      <c r="N2888">
        <v>0</v>
      </c>
      <c r="O2888">
        <v>-0.99272369999999999</v>
      </c>
      <c r="P2888">
        <v>0.26697330000000002</v>
      </c>
      <c r="Q2888">
        <v>0.1581515</v>
      </c>
      <c r="R2888">
        <v>-0.95063889999999995</v>
      </c>
      <c r="S2888">
        <v>1.2083440000000001</v>
      </c>
      <c r="T2888">
        <v>-0.24704219999999999</v>
      </c>
      <c r="U2888">
        <v>-2.8599700000000001</v>
      </c>
      <c r="V2888">
        <v>-0.15296580000000001</v>
      </c>
      <c r="W2888">
        <v>0.16987869999999999</v>
      </c>
      <c r="X2888">
        <v>0.97352079999999996</v>
      </c>
      <c r="Y2888">
        <v>-0.27491640000000001</v>
      </c>
      <c r="Z2888">
        <v>8.0082739999999999E-2</v>
      </c>
      <c r="AA2888">
        <v>0.95812719999999996</v>
      </c>
      <c r="AB2888">
        <v>25</v>
      </c>
      <c r="AC2888">
        <v>5.4153999999999698</v>
      </c>
      <c r="AD2888">
        <v>-1.1143067287549999</v>
      </c>
      <c r="AE2888">
        <v>-12.656199999999901</v>
      </c>
      <c r="AF2888">
        <v>-3.8368998464633202</v>
      </c>
      <c r="AG2888">
        <v>-1.1143067287549999</v>
      </c>
      <c r="AH2888">
        <v>13.127261400266301</v>
      </c>
      <c r="AI2888">
        <v>94.657941272776398</v>
      </c>
      <c r="AJ2888">
        <v>106.292842578017</v>
      </c>
      <c r="AK2888">
        <v>13.7218246522997</v>
      </c>
      <c r="AL2888">
        <v>80.219233784295596</v>
      </c>
      <c r="AM2888">
        <v>98.929668826625601</v>
      </c>
      <c r="AN2888">
        <v>1.00000002835798</v>
      </c>
    </row>
    <row r="2889" spans="1:40" x14ac:dyDescent="0.25">
      <c r="A2889" t="str">
        <f>"20190312172945941"</f>
        <v>20190312172945941</v>
      </c>
      <c r="B2889" t="str">
        <f>"1552382985930210"</f>
        <v>1552382985930210</v>
      </c>
      <c r="C2889" t="s">
        <v>40</v>
      </c>
      <c r="D2889">
        <v>3.1742249999999999</v>
      </c>
      <c r="E2889">
        <v>0.4505149</v>
      </c>
      <c r="F2889" t="s">
        <v>46</v>
      </c>
      <c r="G2889">
        <v>-486.44209999999998</v>
      </c>
      <c r="H2889" s="1">
        <v>4.2536899999999998E-6</v>
      </c>
      <c r="I2889">
        <v>224.45269999999999</v>
      </c>
      <c r="J2889">
        <v>-491.851</v>
      </c>
      <c r="K2889">
        <v>1.1143799999999999</v>
      </c>
      <c r="L2889">
        <v>236.92019999999999</v>
      </c>
      <c r="M2889">
        <v>0.125380399999999</v>
      </c>
      <c r="N2889">
        <v>0</v>
      </c>
      <c r="O2889">
        <v>-0.99201629999999996</v>
      </c>
      <c r="P2889">
        <v>0.27217980000000003</v>
      </c>
      <c r="Q2889">
        <v>0.1575502</v>
      </c>
      <c r="R2889">
        <v>-0.94926109999999997</v>
      </c>
      <c r="S2889">
        <v>1.223633</v>
      </c>
      <c r="T2889">
        <v>-0.25052849999999999</v>
      </c>
      <c r="U2889">
        <v>-2.8538359999999998</v>
      </c>
      <c r="V2889">
        <v>-0.1526892</v>
      </c>
      <c r="W2889">
        <v>0.1692659</v>
      </c>
      <c r="X2889">
        <v>0.97367090000000001</v>
      </c>
      <c r="Y2889">
        <v>-0.2744124</v>
      </c>
      <c r="Z2889">
        <v>8.1202079999999996E-2</v>
      </c>
      <c r="AA2889">
        <v>0.95817750000000002</v>
      </c>
      <c r="AB2889">
        <v>25</v>
      </c>
      <c r="AC2889">
        <v>5.4089000000000098</v>
      </c>
      <c r="AD2889">
        <v>-1.1143757463099999</v>
      </c>
      <c r="AE2889">
        <v>-12.467499999999999</v>
      </c>
      <c r="AF2889">
        <v>-3.7774868861304101</v>
      </c>
      <c r="AG2889">
        <v>-1.1143757463099999</v>
      </c>
      <c r="AH2889">
        <v>12.960189356356601</v>
      </c>
      <c r="AI2889">
        <v>94.719040549462605</v>
      </c>
      <c r="AJ2889">
        <v>106.249739933871</v>
      </c>
      <c r="AK2889">
        <v>13.545395846244899</v>
      </c>
      <c r="AL2889">
        <v>80.254860109266701</v>
      </c>
      <c r="AM2889">
        <v>98.912429213196106</v>
      </c>
      <c r="AN2889">
        <v>0.99999997910312899</v>
      </c>
    </row>
    <row r="2890" spans="1:40" x14ac:dyDescent="0.25">
      <c r="A2890" t="str">
        <f>"20190312172945954"</f>
        <v>20190312172945954</v>
      </c>
      <c r="B2890" t="str">
        <f>"1552382985950707"</f>
        <v>1552382985950707</v>
      </c>
      <c r="C2890" t="s">
        <v>40</v>
      </c>
      <c r="D2890">
        <v>3.181495</v>
      </c>
      <c r="E2890">
        <v>0.45077739999999999</v>
      </c>
      <c r="F2890" t="s">
        <v>46</v>
      </c>
      <c r="G2890">
        <v>-486.44650000000001</v>
      </c>
      <c r="H2890" s="1">
        <v>4.2649569999999997E-6</v>
      </c>
      <c r="I2890">
        <v>224.48589999999999</v>
      </c>
      <c r="J2890">
        <v>-491.8297</v>
      </c>
      <c r="K2890">
        <v>1.1144179999999999</v>
      </c>
      <c r="L2890">
        <v>236.7834</v>
      </c>
      <c r="M2890">
        <v>0.1289138</v>
      </c>
      <c r="N2890">
        <v>0</v>
      </c>
      <c r="O2890">
        <v>-0.99156299999999997</v>
      </c>
      <c r="P2890">
        <v>0.27509050000000002</v>
      </c>
      <c r="Q2890">
        <v>0.15749959999999999</v>
      </c>
      <c r="R2890">
        <v>-0.94842990000000005</v>
      </c>
      <c r="S2890">
        <v>1.237762</v>
      </c>
      <c r="T2890">
        <v>-0.25522270000000002</v>
      </c>
      <c r="U2890">
        <v>-2.8478089999999998</v>
      </c>
      <c r="V2890">
        <v>-0.1522213</v>
      </c>
      <c r="W2890">
        <v>0.1692119</v>
      </c>
      <c r="X2890">
        <v>0.9737536</v>
      </c>
      <c r="Y2890">
        <v>-0.27567740000000002</v>
      </c>
      <c r="Z2890">
        <v>8.2722589999999999E-2</v>
      </c>
      <c r="AA2890">
        <v>0.95768419999999999</v>
      </c>
      <c r="AB2890">
        <v>25</v>
      </c>
      <c r="AC2890">
        <v>5.38319999999998</v>
      </c>
      <c r="AD2890">
        <v>-1.1144137350429999</v>
      </c>
      <c r="AE2890">
        <v>-12.297499999999999</v>
      </c>
      <c r="AF2890">
        <v>-3.7271239842791801</v>
      </c>
      <c r="AG2890">
        <v>-1.1144137350429999</v>
      </c>
      <c r="AH2890">
        <v>12.8006836480224</v>
      </c>
      <c r="AI2890">
        <v>94.778121062489703</v>
      </c>
      <c r="AJ2890">
        <v>106.233764587281</v>
      </c>
      <c r="AK2890">
        <v>13.378747064796</v>
      </c>
      <c r="AL2890">
        <v>80.257999889232295</v>
      </c>
      <c r="AM2890">
        <v>98.884811858599306</v>
      </c>
      <c r="AN2890">
        <v>1.0000000323941201</v>
      </c>
    </row>
    <row r="2891" spans="1:40" x14ac:dyDescent="0.25">
      <c r="A2891" t="str">
        <f>"20190312172945975"</f>
        <v>20190312172945975</v>
      </c>
      <c r="B2891" t="str">
        <f>"1552382985970228"</f>
        <v>1552382985970228</v>
      </c>
      <c r="C2891" t="s">
        <v>40</v>
      </c>
      <c r="D2891">
        <v>3.1737869999999999</v>
      </c>
      <c r="E2891">
        <v>0.45112930000000001</v>
      </c>
      <c r="F2891" t="s">
        <v>46</v>
      </c>
      <c r="G2891">
        <v>-486.44639999999998</v>
      </c>
      <c r="H2891" s="1">
        <v>4.2652409999999999E-6</v>
      </c>
      <c r="I2891">
        <v>224.48689999999999</v>
      </c>
      <c r="J2891">
        <v>-491.7953</v>
      </c>
      <c r="K2891">
        <v>1.1144799999999999</v>
      </c>
      <c r="L2891">
        <v>236.56729999999999</v>
      </c>
      <c r="M2891">
        <v>0.13456099999999999</v>
      </c>
      <c r="N2891">
        <v>0</v>
      </c>
      <c r="O2891">
        <v>-0.99081249999999998</v>
      </c>
      <c r="P2891">
        <v>0.28006370000000003</v>
      </c>
      <c r="Q2891">
        <v>0.15737979999999999</v>
      </c>
      <c r="R2891">
        <v>-0.94699339999999999</v>
      </c>
      <c r="S2891">
        <v>1.2453920000000001</v>
      </c>
      <c r="T2891">
        <v>-0.2578126</v>
      </c>
      <c r="U2891">
        <v>-2.8447269999999998</v>
      </c>
      <c r="V2891">
        <v>-0.15180389999999999</v>
      </c>
      <c r="W2891">
        <v>0.16908399999999901</v>
      </c>
      <c r="X2891">
        <v>0.97384099999999996</v>
      </c>
      <c r="Y2891">
        <v>-0.27271040000000002</v>
      </c>
      <c r="Z2891">
        <v>8.3536769999999996E-2</v>
      </c>
      <c r="AA2891">
        <v>0.9584627</v>
      </c>
      <c r="AB2891">
        <v>25</v>
      </c>
      <c r="AC2891">
        <v>5.3489000000000102</v>
      </c>
      <c r="AD2891">
        <v>-1.114475734759</v>
      </c>
      <c r="AE2891">
        <v>-12.0803999999999</v>
      </c>
      <c r="AF2891">
        <v>-3.6485813056500298</v>
      </c>
      <c r="AG2891">
        <v>-1.114475734759</v>
      </c>
      <c r="AH2891">
        <v>12.600666774436201</v>
      </c>
      <c r="AI2891">
        <v>94.855960759538405</v>
      </c>
      <c r="AJ2891">
        <v>106.148617538903</v>
      </c>
      <c r="AK2891">
        <v>13.1655233419597</v>
      </c>
      <c r="AL2891">
        <v>80.265435410019094</v>
      </c>
      <c r="AM2891">
        <v>98.860053662421606</v>
      </c>
      <c r="AN2891">
        <v>1.0000000581960999</v>
      </c>
    </row>
    <row r="2892" spans="1:40" x14ac:dyDescent="0.25">
      <c r="A2892" t="str">
        <f>"20190312172945989"</f>
        <v>20190312172945989</v>
      </c>
      <c r="B2892" t="str">
        <f>"1552382985979988"</f>
        <v>1552382985979988</v>
      </c>
      <c r="C2892" t="s">
        <v>40</v>
      </c>
      <c r="D2892">
        <v>3.192647</v>
      </c>
      <c r="E2892">
        <v>0.45107700000000001</v>
      </c>
      <c r="F2892" t="s">
        <v>46</v>
      </c>
      <c r="G2892">
        <v>-486.41379999999998</v>
      </c>
      <c r="H2892" s="1">
        <v>4.238963E-6</v>
      </c>
      <c r="I2892">
        <v>224.4254</v>
      </c>
      <c r="J2892">
        <v>-491.76929999999999</v>
      </c>
      <c r="K2892">
        <v>1.1145210000000001</v>
      </c>
      <c r="L2892">
        <v>236.40979999999999</v>
      </c>
      <c r="M2892">
        <v>0.1387274</v>
      </c>
      <c r="N2892">
        <v>0</v>
      </c>
      <c r="O2892">
        <v>-0.99023749999999999</v>
      </c>
      <c r="P2892">
        <v>0.28389140000000002</v>
      </c>
      <c r="Q2892">
        <v>0.15710060000000001</v>
      </c>
      <c r="R2892">
        <v>-0.94589920000000005</v>
      </c>
      <c r="S2892">
        <v>1.2583310000000001</v>
      </c>
      <c r="T2892">
        <v>-0.26059529999999997</v>
      </c>
      <c r="U2892">
        <v>-2.8391109999999999</v>
      </c>
      <c r="V2892">
        <v>-0.1516536</v>
      </c>
      <c r="W2892">
        <v>0.16879829999999901</v>
      </c>
      <c r="X2892">
        <v>0.9739139</v>
      </c>
      <c r="Y2892">
        <v>-0.27298739999999999</v>
      </c>
      <c r="Z2892">
        <v>8.4432530000000006E-2</v>
      </c>
      <c r="AA2892">
        <v>0.95830530000000003</v>
      </c>
      <c r="AB2892">
        <v>24</v>
      </c>
      <c r="AC2892">
        <v>5.3555000000000001</v>
      </c>
      <c r="AD2892">
        <v>-1.1145167610369999</v>
      </c>
      <c r="AE2892">
        <v>-11.9843999999999</v>
      </c>
      <c r="AF2892">
        <v>-3.6149282971008301</v>
      </c>
      <c r="AG2892">
        <v>-1.1145167610369999</v>
      </c>
      <c r="AH2892">
        <v>12.521255108455399</v>
      </c>
      <c r="AI2892">
        <v>94.8878930716848</v>
      </c>
      <c r="AJ2892">
        <v>106.10360601331899</v>
      </c>
      <c r="AK2892">
        <v>13.080201974542801</v>
      </c>
      <c r="AL2892">
        <v>80.282042793877693</v>
      </c>
      <c r="AM2892">
        <v>98.850768297964194</v>
      </c>
      <c r="AN2892">
        <v>0.99999998254452904</v>
      </c>
    </row>
    <row r="2893" spans="1:40" x14ac:dyDescent="0.25">
      <c r="A2893" t="str">
        <f>"20190312172946009"</f>
        <v>20190312172946009</v>
      </c>
      <c r="B2893" t="str">
        <f>"1552382986000492"</f>
        <v>1552382986000492</v>
      </c>
      <c r="C2893" t="s">
        <v>40</v>
      </c>
      <c r="D2893">
        <v>3.1669040000000002</v>
      </c>
      <c r="E2893">
        <v>0.45140390000000002</v>
      </c>
      <c r="F2893" t="s">
        <v>46</v>
      </c>
      <c r="G2893">
        <v>-486.33710000000002</v>
      </c>
      <c r="H2893" s="1">
        <v>4.1794869999999998E-6</v>
      </c>
      <c r="I2893">
        <v>224.28829999999999</v>
      </c>
      <c r="J2893">
        <v>-491.73270000000002</v>
      </c>
      <c r="K2893">
        <v>1.1145700000000001</v>
      </c>
      <c r="L2893">
        <v>236.1951</v>
      </c>
      <c r="M2893">
        <v>0.14447750000000001</v>
      </c>
      <c r="N2893">
        <v>0</v>
      </c>
      <c r="O2893">
        <v>-0.98941480000000004</v>
      </c>
      <c r="P2893">
        <v>0.28941409999999901</v>
      </c>
      <c r="Q2893">
        <v>0.1567076</v>
      </c>
      <c r="R2893">
        <v>-0.9442895</v>
      </c>
      <c r="S2893">
        <v>1.2699279999999999</v>
      </c>
      <c r="T2893">
        <v>-0.26054739999999998</v>
      </c>
      <c r="U2893">
        <v>-2.83371</v>
      </c>
      <c r="V2893">
        <v>-0.15169530000000001</v>
      </c>
      <c r="W2893">
        <v>0.16839499999999999</v>
      </c>
      <c r="X2893">
        <v>0.97397719999999999</v>
      </c>
      <c r="Y2893">
        <v>-0.27134799999999998</v>
      </c>
      <c r="Z2893">
        <v>8.4410819999999998E-2</v>
      </c>
      <c r="AA2893">
        <v>0.95877270000000003</v>
      </c>
      <c r="AB2893">
        <v>24</v>
      </c>
      <c r="AC2893">
        <v>5.3956</v>
      </c>
      <c r="AD2893">
        <v>-1.114565820513</v>
      </c>
      <c r="AE2893">
        <v>-11.9068</v>
      </c>
      <c r="AF2893">
        <v>-3.5924402994921101</v>
      </c>
      <c r="AG2893">
        <v>-1.114565820513</v>
      </c>
      <c r="AH2893">
        <v>12.4708089621236</v>
      </c>
      <c r="AI2893">
        <v>94.908610149127497</v>
      </c>
      <c r="AJ2893">
        <v>106.06999521984</v>
      </c>
      <c r="AK2893">
        <v>13.025703836778</v>
      </c>
      <c r="AL2893">
        <v>80.305485575118198</v>
      </c>
      <c r="AM2893">
        <v>98.852597171016697</v>
      </c>
      <c r="AN2893">
        <v>0.99999996309346395</v>
      </c>
    </row>
    <row r="2894" spans="1:40" x14ac:dyDescent="0.25">
      <c r="A2894" t="str">
        <f>"20190312172946021"</f>
        <v>20190312172946021</v>
      </c>
      <c r="B2894" t="str">
        <f>"1552382986010245"</f>
        <v>1552382986010245</v>
      </c>
      <c r="C2894" t="s">
        <v>40</v>
      </c>
      <c r="D2894">
        <v>3.1910660000000002</v>
      </c>
      <c r="E2894">
        <v>0.45144980000000001</v>
      </c>
      <c r="F2894" t="s">
        <v>46</v>
      </c>
      <c r="G2894">
        <v>-486.25459999999998</v>
      </c>
      <c r="H2894" s="1">
        <v>4.114294E-6</v>
      </c>
      <c r="I2894">
        <v>224.1369</v>
      </c>
      <c r="J2894">
        <v>-491.70800000000003</v>
      </c>
      <c r="K2894">
        <v>1.1146</v>
      </c>
      <c r="L2894">
        <v>236.0539</v>
      </c>
      <c r="M2894">
        <v>0.14829189999999901</v>
      </c>
      <c r="N2894">
        <v>0</v>
      </c>
      <c r="O2894">
        <v>-0.98885020000000001</v>
      </c>
      <c r="P2894">
        <v>0.29324489999999998</v>
      </c>
      <c r="Q2894">
        <v>0.1565193</v>
      </c>
      <c r="R2894">
        <v>-0.94313809999999998</v>
      </c>
      <c r="S2894">
        <v>1.2842100000000001</v>
      </c>
      <c r="T2894">
        <v>-0.2612833</v>
      </c>
      <c r="U2894">
        <v>-2.8267519999999999</v>
      </c>
      <c r="V2894">
        <v>-0.15189929999999999</v>
      </c>
      <c r="W2894">
        <v>0.1681985</v>
      </c>
      <c r="X2894">
        <v>0.97397940000000005</v>
      </c>
      <c r="Y2894">
        <v>-0.27253179999999999</v>
      </c>
      <c r="Z2894">
        <v>8.4665240000000003E-2</v>
      </c>
      <c r="AA2894">
        <v>0.9584144</v>
      </c>
      <c r="AB2894">
        <v>24</v>
      </c>
      <c r="AC2894">
        <v>5.4534000000000402</v>
      </c>
      <c r="AD2894">
        <v>-1.1145958857060001</v>
      </c>
      <c r="AE2894">
        <v>-11.917</v>
      </c>
      <c r="AF2894">
        <v>-3.5996990062479899</v>
      </c>
      <c r="AG2894">
        <v>-1.1145958857060001</v>
      </c>
      <c r="AH2894">
        <v>12.5035466848919</v>
      </c>
      <c r="AI2894">
        <v>94.896177098227994</v>
      </c>
      <c r="AJ2894">
        <v>106.060804618044</v>
      </c>
      <c r="AK2894">
        <v>13.0590519037672</v>
      </c>
      <c r="AL2894">
        <v>80.316907490853495</v>
      </c>
      <c r="AM2894">
        <v>98.864293510774203</v>
      </c>
      <c r="AN2894">
        <v>1.00000000218355</v>
      </c>
    </row>
    <row r="2895" spans="1:40" x14ac:dyDescent="0.25">
      <c r="A2895" t="str">
        <f>"20190312172946046"</f>
        <v>20190312172946046</v>
      </c>
      <c r="B2895" t="str">
        <f>"1552382986040499"</f>
        <v>1552382986040499</v>
      </c>
      <c r="C2895" t="s">
        <v>40</v>
      </c>
      <c r="D2895">
        <v>3.1327780000000001</v>
      </c>
      <c r="E2895">
        <v>0.45153300000000002</v>
      </c>
      <c r="F2895" t="s">
        <v>46</v>
      </c>
      <c r="G2895">
        <v>-486.17129999999997</v>
      </c>
      <c r="H2895" s="1">
        <v>4.0498650000000001E-6</v>
      </c>
      <c r="I2895">
        <v>223.98859999999999</v>
      </c>
      <c r="J2895">
        <v>-491.66359999999997</v>
      </c>
      <c r="K2895">
        <v>1.1146419999999999</v>
      </c>
      <c r="L2895">
        <v>235.80950000000001</v>
      </c>
      <c r="M2895">
        <v>0.1549664</v>
      </c>
      <c r="N2895">
        <v>0</v>
      </c>
      <c r="O2895">
        <v>-0.98782610000000004</v>
      </c>
      <c r="P2895">
        <v>0.29984240000000001</v>
      </c>
      <c r="Q2895">
        <v>0.1560792</v>
      </c>
      <c r="R2895">
        <v>-0.94113420000000003</v>
      </c>
      <c r="S2895">
        <v>1.2948</v>
      </c>
      <c r="T2895">
        <v>-0.260654</v>
      </c>
      <c r="U2895">
        <v>-2.8215330000000001</v>
      </c>
      <c r="V2895">
        <v>-0.15214420000000001</v>
      </c>
      <c r="W2895">
        <v>0.1677496</v>
      </c>
      <c r="X2895">
        <v>0.97401859999999996</v>
      </c>
      <c r="Y2895">
        <v>-0.26968530000000002</v>
      </c>
      <c r="Z2895">
        <v>8.4444899999999906E-2</v>
      </c>
      <c r="AA2895">
        <v>0.9592387</v>
      </c>
      <c r="AB2895">
        <v>24</v>
      </c>
      <c r="AC2895">
        <v>5.4923000000000002</v>
      </c>
      <c r="AD2895">
        <v>-1.1146379501350001</v>
      </c>
      <c r="AE2895">
        <v>-11.8209</v>
      </c>
      <c r="AF2895">
        <v>-3.5678369845889799</v>
      </c>
      <c r="AG2895">
        <v>-1.1146379501350001</v>
      </c>
      <c r="AH2895">
        <v>12.438317117114201</v>
      </c>
      <c r="AI2895">
        <v>94.923280522127996</v>
      </c>
      <c r="AJ2895">
        <v>106.005137128971</v>
      </c>
      <c r="AK2895">
        <v>12.987825499843201</v>
      </c>
      <c r="AL2895">
        <v>80.342998351114304</v>
      </c>
      <c r="AM2895">
        <v>98.878005866654107</v>
      </c>
      <c r="AN2895">
        <v>1.00000000951988</v>
      </c>
    </row>
    <row r="2896" spans="1:40" x14ac:dyDescent="0.25">
      <c r="A2896" t="str">
        <f>"20190312172946068"</f>
        <v>20190312172946068</v>
      </c>
      <c r="B2896" t="str">
        <f>"1552382986060996"</f>
        <v>1552382986060996</v>
      </c>
      <c r="C2896" t="s">
        <v>40</v>
      </c>
      <c r="D2896">
        <v>3.1036670000000002</v>
      </c>
      <c r="E2896">
        <v>0.44021719999999998</v>
      </c>
      <c r="F2896" t="s">
        <v>46</v>
      </c>
      <c r="G2896">
        <v>-485.99889999999999</v>
      </c>
      <c r="H2896" s="1">
        <v>3.9180249999999996E-6</v>
      </c>
      <c r="I2896">
        <v>223.68639999999999</v>
      </c>
      <c r="J2896">
        <v>-491.6182</v>
      </c>
      <c r="K2896">
        <v>1.114673</v>
      </c>
      <c r="L2896">
        <v>235.56909999999999</v>
      </c>
      <c r="M2896">
        <v>0.16160469999999999</v>
      </c>
      <c r="N2896">
        <v>0</v>
      </c>
      <c r="O2896">
        <v>-0.98676169999999996</v>
      </c>
      <c r="P2896">
        <v>0.30636580000000002</v>
      </c>
      <c r="Q2896">
        <v>0.15595010000000001</v>
      </c>
      <c r="R2896">
        <v>-0.93905260000000002</v>
      </c>
      <c r="S2896">
        <v>1.313904</v>
      </c>
      <c r="T2896">
        <v>-0.25853340000000002</v>
      </c>
      <c r="U2896">
        <v>-2.81189</v>
      </c>
      <c r="V2896">
        <v>-0.15236229999999901</v>
      </c>
      <c r="W2896">
        <v>0.16761379999999901</v>
      </c>
      <c r="X2896">
        <v>0.97400779999999998</v>
      </c>
      <c r="Y2896">
        <v>-0.26984590000000003</v>
      </c>
      <c r="Z2896">
        <v>8.3770849999999994E-2</v>
      </c>
      <c r="AA2896">
        <v>0.95925269999999996</v>
      </c>
      <c r="AB2896">
        <v>24</v>
      </c>
      <c r="AC2896">
        <v>5.6193000000000097</v>
      </c>
      <c r="AD2896">
        <v>-1.114669081975</v>
      </c>
      <c r="AE2896">
        <v>-11.8827</v>
      </c>
      <c r="AF2896">
        <v>-3.5990635151606001</v>
      </c>
      <c r="AG2896">
        <v>-1.114669081975</v>
      </c>
      <c r="AH2896">
        <v>12.5444573433003</v>
      </c>
      <c r="AI2896">
        <v>94.8818817134933</v>
      </c>
      <c r="AJ2896">
        <v>106.008433087942</v>
      </c>
      <c r="AK2896">
        <v>13.098059222127199</v>
      </c>
      <c r="AL2896">
        <v>80.350890047456701</v>
      </c>
      <c r="AM2896">
        <v>98.890626407791501</v>
      </c>
      <c r="AN2896">
        <v>0.99999992543628202</v>
      </c>
    </row>
    <row r="2897" spans="1:40" x14ac:dyDescent="0.25">
      <c r="A2897" t="str">
        <f>"20190312172946086"</f>
        <v>20190312172946086</v>
      </c>
      <c r="B2897" t="str">
        <f>"1552382986080515"</f>
        <v>1552382986080515</v>
      </c>
      <c r="C2897" t="s">
        <v>40</v>
      </c>
      <c r="D2897">
        <v>3.0682960000000001</v>
      </c>
      <c r="E2897">
        <v>0.438975</v>
      </c>
      <c r="F2897" t="s">
        <v>46</v>
      </c>
      <c r="G2897">
        <v>-484.56029999999998</v>
      </c>
      <c r="H2897" s="1">
        <v>3.0553389999999998E-6</v>
      </c>
      <c r="I2897">
        <v>221.7773</v>
      </c>
      <c r="J2897">
        <v>-491.58089999999999</v>
      </c>
      <c r="K2897">
        <v>1.11469</v>
      </c>
      <c r="L2897">
        <v>235.3776</v>
      </c>
      <c r="M2897">
        <v>0.1669272</v>
      </c>
      <c r="N2897">
        <v>0</v>
      </c>
      <c r="O2897">
        <v>-0.98587519999999995</v>
      </c>
      <c r="P2897">
        <v>0.31136449999999999</v>
      </c>
      <c r="Q2897">
        <v>0.15569559999999999</v>
      </c>
      <c r="R2897">
        <v>-0.93744950000000005</v>
      </c>
      <c r="S2897">
        <v>1.4172670000000001</v>
      </c>
      <c r="T2897">
        <v>-0.2238318</v>
      </c>
      <c r="U2897">
        <v>-2.7694700000000001</v>
      </c>
      <c r="V2897">
        <v>-0.15229379999999901</v>
      </c>
      <c r="W2897">
        <v>0.16735849999999999</v>
      </c>
      <c r="X2897">
        <v>0.97406250000000005</v>
      </c>
      <c r="Y2897">
        <v>-0.2993439</v>
      </c>
      <c r="Z2897">
        <v>7.2595370000000006E-2</v>
      </c>
      <c r="AA2897">
        <v>0.95137959999999999</v>
      </c>
      <c r="AB2897">
        <v>24</v>
      </c>
      <c r="AC2897">
        <v>7.0206</v>
      </c>
      <c r="AD2897">
        <v>-1.1146869446609999</v>
      </c>
      <c r="AE2897">
        <v>-13.600300000000001</v>
      </c>
      <c r="AF2897">
        <v>-4.6270641545799602</v>
      </c>
      <c r="AG2897">
        <v>-1.1146869446609999</v>
      </c>
      <c r="AH2897">
        <v>14.5045455088376</v>
      </c>
      <c r="AI2897">
        <v>94.187477771015494</v>
      </c>
      <c r="AJ2897">
        <v>107.693092093746</v>
      </c>
      <c r="AK2897">
        <v>15.265454139760701</v>
      </c>
      <c r="AL2897">
        <v>80.365728081829403</v>
      </c>
      <c r="AM2897">
        <v>98.886202033371603</v>
      </c>
      <c r="AN2897">
        <v>1.00000001147347</v>
      </c>
    </row>
    <row r="2898" spans="1:40" x14ac:dyDescent="0.25">
      <c r="A2898" t="str">
        <f>"20190312172946101"</f>
        <v>20190312172946101</v>
      </c>
      <c r="B2898" t="str">
        <f>"1552382986090275"</f>
        <v>1552382986090275</v>
      </c>
      <c r="C2898" t="s">
        <v>40</v>
      </c>
      <c r="D2898">
        <v>3.1188940000000001</v>
      </c>
      <c r="E2898">
        <v>0.43935950000000001</v>
      </c>
      <c r="F2898" t="s">
        <v>46</v>
      </c>
      <c r="G2898">
        <v>-484.23520000000002</v>
      </c>
      <c r="H2898" s="1">
        <v>2.8958569999999898E-6</v>
      </c>
      <c r="I2898">
        <v>221.3168</v>
      </c>
      <c r="J2898">
        <v>-491.54860000000002</v>
      </c>
      <c r="K2898">
        <v>1.1147020000000001</v>
      </c>
      <c r="L2898">
        <v>235.21690000000001</v>
      </c>
      <c r="M2898">
        <v>0.17141679999999901</v>
      </c>
      <c r="N2898">
        <v>0</v>
      </c>
      <c r="O2898">
        <v>-0.98510439999999999</v>
      </c>
      <c r="P2898">
        <v>0.3156042</v>
      </c>
      <c r="Q2898">
        <v>0.1555686</v>
      </c>
      <c r="R2898">
        <v>-0.93605150000000004</v>
      </c>
      <c r="S2898">
        <v>1.440796</v>
      </c>
      <c r="T2898">
        <v>-0.2186362</v>
      </c>
      <c r="U2898">
        <v>-2.7579039999999999</v>
      </c>
      <c r="V2898">
        <v>-0.15226509999999999</v>
      </c>
      <c r="W2898">
        <v>0.16723209999999999</v>
      </c>
      <c r="X2898">
        <v>0.97408870000000003</v>
      </c>
      <c r="Y2898">
        <v>-0.30306759999999999</v>
      </c>
      <c r="Z2898">
        <v>7.0924769999999998E-2</v>
      </c>
      <c r="AA2898">
        <v>0.95032609999999995</v>
      </c>
      <c r="AB2898">
        <v>24</v>
      </c>
      <c r="AC2898">
        <v>7.3133999999999997</v>
      </c>
      <c r="AD2898">
        <v>-1.1146991041429899</v>
      </c>
      <c r="AE2898">
        <v>-13.9001</v>
      </c>
      <c r="AF2898">
        <v>-4.7980329885554696</v>
      </c>
      <c r="AG2898">
        <v>-1.1146991041429899</v>
      </c>
      <c r="AH2898">
        <v>14.873164449868799</v>
      </c>
      <c r="AI2898">
        <v>94.079848062628997</v>
      </c>
      <c r="AJ2898">
        <v>107.879527040714</v>
      </c>
      <c r="AK2898">
        <v>15.6676320931047</v>
      </c>
      <c r="AL2898">
        <v>80.373073833765403</v>
      </c>
      <c r="AM2898">
        <v>98.884318977698797</v>
      </c>
      <c r="AN2898">
        <v>1.00000001570805</v>
      </c>
    </row>
    <row r="2899" spans="1:40" x14ac:dyDescent="0.25">
      <c r="A2899" t="str">
        <f>"20190312172946123"</f>
        <v>20190312172946123</v>
      </c>
      <c r="B2899" t="str">
        <f>"1552382986110771"</f>
        <v>1552382986110771</v>
      </c>
      <c r="C2899" t="s">
        <v>40</v>
      </c>
      <c r="D2899">
        <v>3.0776140000000001</v>
      </c>
      <c r="E2899">
        <v>0.43929679999999999</v>
      </c>
      <c r="F2899" t="s">
        <v>46</v>
      </c>
      <c r="G2899">
        <v>-484.0616</v>
      </c>
      <c r="H2899" s="1">
        <v>2.7978269999999998E-6</v>
      </c>
      <c r="I2899">
        <v>221.0127</v>
      </c>
      <c r="J2899">
        <v>-491.50330000000002</v>
      </c>
      <c r="K2899">
        <v>1.114711</v>
      </c>
      <c r="L2899">
        <v>234.99690000000001</v>
      </c>
      <c r="M2899">
        <v>0.1775901</v>
      </c>
      <c r="N2899">
        <v>0</v>
      </c>
      <c r="O2899">
        <v>-0.98401019999999995</v>
      </c>
      <c r="P2899">
        <v>0.3214979</v>
      </c>
      <c r="Q2899">
        <v>0.15495780000000001</v>
      </c>
      <c r="R2899">
        <v>-0.93414520000000001</v>
      </c>
      <c r="S2899">
        <v>1.4504999999999999</v>
      </c>
      <c r="T2899">
        <v>-0.21595429999999999</v>
      </c>
      <c r="U2899">
        <v>-2.7518159999999998</v>
      </c>
      <c r="V2899">
        <v>-0.15227829999999901</v>
      </c>
      <c r="W2899">
        <v>0.16662179999999999</v>
      </c>
      <c r="X2899">
        <v>0.97419120000000003</v>
      </c>
      <c r="Y2899">
        <v>-0.30061059999999901</v>
      </c>
      <c r="Z2899">
        <v>7.0053210000000005E-2</v>
      </c>
      <c r="AA2899">
        <v>0.95117070000000004</v>
      </c>
      <c r="AB2899">
        <v>24</v>
      </c>
      <c r="AC2899">
        <v>7.4417000000000204</v>
      </c>
      <c r="AD2899">
        <v>-1.1147082021729999</v>
      </c>
      <c r="AE2899">
        <v>-13.9842</v>
      </c>
      <c r="AF2899">
        <v>-4.8158556928419403</v>
      </c>
      <c r="AG2899">
        <v>-1.1147082021729999</v>
      </c>
      <c r="AH2899">
        <v>15.0092461946402</v>
      </c>
      <c r="AI2899">
        <v>94.045055762491103</v>
      </c>
      <c r="AJ2899">
        <v>107.789319607294</v>
      </c>
      <c r="AK2899">
        <v>15.802294509392899</v>
      </c>
      <c r="AL2899">
        <v>80.408538894359594</v>
      </c>
      <c r="AM2899">
        <v>98.884156945042704</v>
      </c>
      <c r="AN2899">
        <v>0.99999999952178498</v>
      </c>
    </row>
    <row r="2900" spans="1:40" x14ac:dyDescent="0.25">
      <c r="A2900" t="str">
        <f>"20190312172946143"</f>
        <v>20190312172946143</v>
      </c>
      <c r="B2900" t="str">
        <f>"1552382986140052"</f>
        <v>1552382986140052</v>
      </c>
      <c r="C2900" t="s">
        <v>40</v>
      </c>
      <c r="D2900">
        <v>3.0732149999999998</v>
      </c>
      <c r="E2900">
        <v>0.43967349999999999</v>
      </c>
      <c r="F2900" t="s">
        <v>46</v>
      </c>
      <c r="G2900">
        <v>-484.09589999999997</v>
      </c>
      <c r="H2900" s="1">
        <v>2.8364230000000001E-6</v>
      </c>
      <c r="I2900">
        <v>221.15969999999999</v>
      </c>
      <c r="J2900">
        <v>-491.45679999999999</v>
      </c>
      <c r="K2900">
        <v>1.1147229999999999</v>
      </c>
      <c r="L2900">
        <v>234.77889999999999</v>
      </c>
      <c r="M2900">
        <v>0.1837416</v>
      </c>
      <c r="N2900">
        <v>0</v>
      </c>
      <c r="O2900">
        <v>-0.98288010000000003</v>
      </c>
      <c r="P2900">
        <v>0.32739079999999998</v>
      </c>
      <c r="Q2900">
        <v>0.15441099999999999</v>
      </c>
      <c r="R2900">
        <v>-0.93218719999999999</v>
      </c>
      <c r="S2900">
        <v>1.4682919999999999</v>
      </c>
      <c r="T2900">
        <v>-0.22095890000000001</v>
      </c>
      <c r="U2900">
        <v>-2.7428279999999998</v>
      </c>
      <c r="V2900">
        <v>-0.15231939999999999</v>
      </c>
      <c r="W2900">
        <v>0.16607549999999999</v>
      </c>
      <c r="X2900">
        <v>0.97427799999999998</v>
      </c>
      <c r="Y2900">
        <v>-0.3006856</v>
      </c>
      <c r="Z2900">
        <v>7.1647290000000002E-2</v>
      </c>
      <c r="AA2900">
        <v>0.95102830000000005</v>
      </c>
      <c r="AB2900">
        <v>24</v>
      </c>
      <c r="AC2900">
        <v>7.3609000000000098</v>
      </c>
      <c r="AD2900">
        <v>-1.1147201635770001</v>
      </c>
      <c r="AE2900">
        <v>-13.619199999999999</v>
      </c>
      <c r="AF2900">
        <v>-4.7084957930770202</v>
      </c>
      <c r="AG2900">
        <v>-1.1147201635770001</v>
      </c>
      <c r="AH2900">
        <v>14.663884807158199</v>
      </c>
      <c r="AI2900">
        <v>94.139758403171697</v>
      </c>
      <c r="AJ2900">
        <v>107.801549469432</v>
      </c>
      <c r="AK2900">
        <v>15.4415689395253</v>
      </c>
      <c r="AL2900">
        <v>80.440281340284798</v>
      </c>
      <c r="AM2900">
        <v>98.885737439349299</v>
      </c>
      <c r="AN2900">
        <v>0.99999994630030298</v>
      </c>
    </row>
    <row r="2901" spans="1:40" x14ac:dyDescent="0.25">
      <c r="A2901" t="str">
        <f>"20190312172946167"</f>
        <v>20190312172946167</v>
      </c>
      <c r="B2901" t="str">
        <f>"1552382986160548"</f>
        <v>1552382986160548</v>
      </c>
      <c r="C2901" t="s">
        <v>40</v>
      </c>
      <c r="D2901">
        <v>3.0862120000000002</v>
      </c>
      <c r="E2901">
        <v>0.43993680000000002</v>
      </c>
      <c r="F2901" t="s">
        <v>46</v>
      </c>
      <c r="G2901">
        <v>-484.02519999999998</v>
      </c>
      <c r="H2901" s="1">
        <v>2.8045789999999999E-6</v>
      </c>
      <c r="I2901">
        <v>221.07239999999999</v>
      </c>
      <c r="J2901">
        <v>-491.40129999999999</v>
      </c>
      <c r="K2901">
        <v>1.114738</v>
      </c>
      <c r="L2901">
        <v>234.52770000000001</v>
      </c>
      <c r="M2901">
        <v>0.19087319999999999</v>
      </c>
      <c r="N2901">
        <v>0</v>
      </c>
      <c r="O2901">
        <v>-0.98151999999999995</v>
      </c>
      <c r="P2901">
        <v>0.3344162</v>
      </c>
      <c r="Q2901">
        <v>0.15390390000000001</v>
      </c>
      <c r="R2901">
        <v>-0.92977390000000004</v>
      </c>
      <c r="S2901">
        <v>1.4825740000000001</v>
      </c>
      <c r="T2901">
        <v>-0.22238160000000001</v>
      </c>
      <c r="U2901">
        <v>-2.734375</v>
      </c>
      <c r="V2901">
        <v>-0.15258350000000001</v>
      </c>
      <c r="W2901">
        <v>0.16556570000000001</v>
      </c>
      <c r="X2901">
        <v>0.97432350000000001</v>
      </c>
      <c r="Y2901">
        <v>-0.29881609999999997</v>
      </c>
      <c r="Z2901">
        <v>7.2089699999999896E-2</v>
      </c>
      <c r="AA2901">
        <v>0.95158399999999999</v>
      </c>
      <c r="AB2901">
        <v>24</v>
      </c>
      <c r="AC2901">
        <v>7.3761000000000001</v>
      </c>
      <c r="AD2901">
        <v>-1.1147351954210001</v>
      </c>
      <c r="AE2901">
        <v>-13.455299999999999</v>
      </c>
      <c r="AF2901">
        <v>-4.6474402156589703</v>
      </c>
      <c r="AG2901">
        <v>-1.1147351954210001</v>
      </c>
      <c r="AH2901">
        <v>14.539171801918799</v>
      </c>
      <c r="AI2901">
        <v>94.176946420655796</v>
      </c>
      <c r="AJ2901">
        <v>107.726457356563</v>
      </c>
      <c r="AK2901">
        <v>15.3045369678323</v>
      </c>
      <c r="AL2901">
        <v>80.469901339834905</v>
      </c>
      <c r="AM2901">
        <v>98.900488549265305</v>
      </c>
      <c r="AN2901">
        <v>1.0000000040704899</v>
      </c>
    </row>
    <row r="2902" spans="1:40" x14ac:dyDescent="0.25">
      <c r="A2902" t="str">
        <f>"20190312172946187"</f>
        <v>20190312172946187</v>
      </c>
      <c r="B2902" t="str">
        <f>"1552382986180068"</f>
        <v>1552382986180068</v>
      </c>
      <c r="C2902" t="s">
        <v>40</v>
      </c>
      <c r="D2902">
        <v>3.0387729999999999</v>
      </c>
      <c r="E2902">
        <v>0.44022280000000003</v>
      </c>
      <c r="F2902" t="s">
        <v>46</v>
      </c>
      <c r="G2902">
        <v>-483.88889999999998</v>
      </c>
      <c r="H2902" s="1">
        <v>2.7410760000000001E-6</v>
      </c>
      <c r="I2902">
        <v>220.8946</v>
      </c>
      <c r="J2902">
        <v>-491.35419999999999</v>
      </c>
      <c r="K2902">
        <v>1.1147469999999999</v>
      </c>
      <c r="L2902">
        <v>234.32050000000001</v>
      </c>
      <c r="M2902">
        <v>0.19677929999999999</v>
      </c>
      <c r="N2902">
        <v>0</v>
      </c>
      <c r="O2902">
        <v>-0.98035289999999997</v>
      </c>
      <c r="P2902">
        <v>0.34006449999999999</v>
      </c>
      <c r="Q2902">
        <v>0.15384990000000001</v>
      </c>
      <c r="R2902">
        <v>-0.92773170000000005</v>
      </c>
      <c r="S2902">
        <v>1.5008539999999999</v>
      </c>
      <c r="T2902">
        <v>-0.22270519999999999</v>
      </c>
      <c r="U2902">
        <v>-2.7236630000000002</v>
      </c>
      <c r="V2902">
        <v>-0.15264449999999999</v>
      </c>
      <c r="W2902">
        <v>0.16551109999999999</v>
      </c>
      <c r="X2902">
        <v>0.97432319999999994</v>
      </c>
      <c r="Y2902">
        <v>-0.29954740000000002</v>
      </c>
      <c r="Z2902">
        <v>7.2195670000000003E-2</v>
      </c>
      <c r="AA2902">
        <v>0.95134600000000002</v>
      </c>
      <c r="AB2902">
        <v>24</v>
      </c>
      <c r="AC2902">
        <v>7.4653000000000098</v>
      </c>
      <c r="AD2902">
        <v>-1.114744258924</v>
      </c>
      <c r="AE2902">
        <v>-13.4259</v>
      </c>
      <c r="AF2902">
        <v>-4.6526246865196397</v>
      </c>
      <c r="AG2902">
        <v>-1.114744258924</v>
      </c>
      <c r="AH2902">
        <v>14.555849776794499</v>
      </c>
      <c r="AI2902">
        <v>94.172223368367099</v>
      </c>
      <c r="AJ2902">
        <v>107.725933661334</v>
      </c>
      <c r="AK2902">
        <v>15.3219559443638</v>
      </c>
      <c r="AL2902">
        <v>80.473073249712797</v>
      </c>
      <c r="AM2902">
        <v>98.903992492547701</v>
      </c>
      <c r="AN2902">
        <v>0.99999998283084901</v>
      </c>
    </row>
    <row r="2903" spans="1:40" x14ac:dyDescent="0.25">
      <c r="A2903" t="str">
        <f>"20190312172946210"</f>
        <v>20190312172946210</v>
      </c>
      <c r="B2903" t="str">
        <f>"1552382986200567"</f>
        <v>1552382986200567</v>
      </c>
      <c r="C2903" t="s">
        <v>40</v>
      </c>
      <c r="D2903">
        <v>3.014402</v>
      </c>
      <c r="E2903">
        <v>0.44045669999999998</v>
      </c>
      <c r="F2903" t="s">
        <v>46</v>
      </c>
      <c r="G2903">
        <v>-483.75459999999998</v>
      </c>
      <c r="H2903" s="1">
        <v>2.6752210000000002E-6</v>
      </c>
      <c r="I2903">
        <v>220.7045</v>
      </c>
      <c r="J2903">
        <v>-491.2989</v>
      </c>
      <c r="K2903">
        <v>1.1147530000000001</v>
      </c>
      <c r="L2903">
        <v>234.08449999999999</v>
      </c>
      <c r="M2903">
        <v>0.2035372</v>
      </c>
      <c r="N2903">
        <v>0</v>
      </c>
      <c r="O2903">
        <v>-0.97897199999999995</v>
      </c>
      <c r="P2903">
        <v>0.34697159999999999</v>
      </c>
      <c r="Q2903">
        <v>0.1535349</v>
      </c>
      <c r="R2903">
        <v>-0.92522329999999997</v>
      </c>
      <c r="S2903">
        <v>1.5154110000000001</v>
      </c>
      <c r="T2903">
        <v>-0.22228590000000001</v>
      </c>
      <c r="U2903">
        <v>-2.715103</v>
      </c>
      <c r="V2903">
        <v>-0.1531787</v>
      </c>
      <c r="W2903">
        <v>0.16518949999999999</v>
      </c>
      <c r="X2903">
        <v>0.97429390000000005</v>
      </c>
      <c r="Y2903">
        <v>-0.2981375</v>
      </c>
      <c r="Z2903">
        <v>7.2034979999999998E-2</v>
      </c>
      <c r="AA2903">
        <v>0.95180089999999995</v>
      </c>
      <c r="AB2903">
        <v>24</v>
      </c>
      <c r="AC2903">
        <v>7.5443000000000202</v>
      </c>
      <c r="AD2903">
        <v>-1.114750324779</v>
      </c>
      <c r="AE2903">
        <v>-13.3799999999999</v>
      </c>
      <c r="AF2903">
        <v>-4.6383359053872502</v>
      </c>
      <c r="AG2903">
        <v>-1.114750324779</v>
      </c>
      <c r="AH2903">
        <v>14.5588757757666</v>
      </c>
      <c r="AI2903">
        <v>94.172643563305499</v>
      </c>
      <c r="AJ2903">
        <v>107.671443352495</v>
      </c>
      <c r="AK2903">
        <v>15.320499081688</v>
      </c>
      <c r="AL2903">
        <v>80.491756383447793</v>
      </c>
      <c r="AM2903">
        <v>98.934915720101301</v>
      </c>
      <c r="AN2903">
        <v>0.99999994431057304</v>
      </c>
    </row>
    <row r="2904" spans="1:40" x14ac:dyDescent="0.25">
      <c r="A2904" t="str">
        <f>"20190312172946231"</f>
        <v>20190312172946231</v>
      </c>
      <c r="B2904" t="str">
        <f>"1552382986220086"</f>
        <v>1552382986220086</v>
      </c>
      <c r="C2904" t="s">
        <v>40</v>
      </c>
      <c r="D2904">
        <v>3.045201</v>
      </c>
      <c r="E2904">
        <v>0.44081959999999998</v>
      </c>
      <c r="F2904" t="s">
        <v>46</v>
      </c>
      <c r="G2904">
        <v>-483.60860000000002</v>
      </c>
      <c r="H2904" s="1">
        <v>2.611044E-6</v>
      </c>
      <c r="I2904">
        <v>220.53129999999999</v>
      </c>
      <c r="J2904">
        <v>-491.24279999999999</v>
      </c>
      <c r="K2904">
        <v>1.1147579999999999</v>
      </c>
      <c r="L2904">
        <v>233.85300000000001</v>
      </c>
      <c r="M2904">
        <v>0.2102028</v>
      </c>
      <c r="N2904">
        <v>0</v>
      </c>
      <c r="O2904">
        <v>-0.97756259999999995</v>
      </c>
      <c r="P2904">
        <v>0.35325309999999999</v>
      </c>
      <c r="Q2904">
        <v>0.1533022</v>
      </c>
      <c r="R2904">
        <v>-0.92288199999999998</v>
      </c>
      <c r="S2904">
        <v>1.5343020000000001</v>
      </c>
      <c r="T2904">
        <v>-0.22240650000000001</v>
      </c>
      <c r="U2904">
        <v>-2.7040250000000001</v>
      </c>
      <c r="V2904">
        <v>-0.1531564</v>
      </c>
      <c r="W2904">
        <v>0.16495670000000001</v>
      </c>
      <c r="X2904">
        <v>0.97433689999999995</v>
      </c>
      <c r="Y2904">
        <v>-0.29833710000000002</v>
      </c>
      <c r="Z2904">
        <v>7.2056830000000002E-2</v>
      </c>
      <c r="AA2904">
        <v>0.95173669999999999</v>
      </c>
      <c r="AB2904">
        <v>24</v>
      </c>
      <c r="AC2904">
        <v>7.6341999999999599</v>
      </c>
      <c r="AD2904">
        <v>-1.114755388956</v>
      </c>
      <c r="AE2904">
        <v>-13.3216999999999</v>
      </c>
      <c r="AF2904">
        <v>-4.6386326070425703</v>
      </c>
      <c r="AG2904">
        <v>-1.114755388956</v>
      </c>
      <c r="AH2904">
        <v>14.552180007009801</v>
      </c>
      <c r="AI2904">
        <v>94.174374655715397</v>
      </c>
      <c r="AJ2904">
        <v>107.680128563615</v>
      </c>
      <c r="AK2904">
        <v>15.3142265556162</v>
      </c>
      <c r="AL2904">
        <v>80.505280860628005</v>
      </c>
      <c r="AM2904">
        <v>98.933248036548306</v>
      </c>
      <c r="AN2904">
        <v>0.99999999521872995</v>
      </c>
    </row>
    <row r="2905" spans="1:40" x14ac:dyDescent="0.25">
      <c r="A2905" t="str">
        <f>"20190312172946245"</f>
        <v>20190312172946245</v>
      </c>
      <c r="B2905" t="str">
        <f>"1552382986240579"</f>
        <v>1552382986240579</v>
      </c>
      <c r="C2905" t="s">
        <v>40</v>
      </c>
      <c r="D2905">
        <v>3.0540889999999998</v>
      </c>
      <c r="E2905">
        <v>0.44114179999999997</v>
      </c>
      <c r="F2905" t="s">
        <v>46</v>
      </c>
      <c r="G2905">
        <v>-483.50720000000001</v>
      </c>
      <c r="H2905" s="1">
        <v>2.5647120000000001E-6</v>
      </c>
      <c r="I2905">
        <v>220.40309999999999</v>
      </c>
      <c r="J2905">
        <v>-491.20949999999999</v>
      </c>
      <c r="K2905">
        <v>1.1147640000000001</v>
      </c>
      <c r="L2905">
        <v>233.7182</v>
      </c>
      <c r="M2905">
        <v>0.21409710000000001</v>
      </c>
      <c r="N2905">
        <v>0</v>
      </c>
      <c r="O2905">
        <v>-0.97671719999999895</v>
      </c>
      <c r="P2905">
        <v>0.35690959999999899</v>
      </c>
      <c r="Q2905">
        <v>0.1530706</v>
      </c>
      <c r="R2905">
        <v>-0.92151240000000001</v>
      </c>
      <c r="S2905">
        <v>1.549774</v>
      </c>
      <c r="T2905">
        <v>-0.223333</v>
      </c>
      <c r="U2905">
        <v>-2.6945800000000002</v>
      </c>
      <c r="V2905">
        <v>-0.15312899999999999</v>
      </c>
      <c r="W2905">
        <v>0.16472579999999901</v>
      </c>
      <c r="X2905">
        <v>0.97438029999999998</v>
      </c>
      <c r="Y2905">
        <v>-0.30006969999999999</v>
      </c>
      <c r="Z2905">
        <v>7.2364220000000007E-2</v>
      </c>
      <c r="AA2905">
        <v>0.95116849999999997</v>
      </c>
      <c r="AB2905">
        <v>24</v>
      </c>
      <c r="AC2905">
        <v>7.7022999999999797</v>
      </c>
      <c r="AD2905">
        <v>-1.11476143528799</v>
      </c>
      <c r="AE2905">
        <v>-13.315099999999999</v>
      </c>
      <c r="AF2905">
        <v>-4.6482667564601998</v>
      </c>
      <c r="AG2905">
        <v>-1.11476143528799</v>
      </c>
      <c r="AH2905">
        <v>14.578922685616201</v>
      </c>
      <c r="AI2905">
        <v>94.166675497244199</v>
      </c>
      <c r="AJ2905">
        <v>107.684087356547</v>
      </c>
      <c r="AK2905">
        <v>15.3425572695686</v>
      </c>
      <c r="AL2905">
        <v>80.518694225216095</v>
      </c>
      <c r="AM2905">
        <v>98.931284214235404</v>
      </c>
      <c r="AN2905">
        <v>1.0000000244273599</v>
      </c>
    </row>
    <row r="2906" spans="1:40" x14ac:dyDescent="0.25">
      <c r="A2906" t="str">
        <f>"20190312172946267"</f>
        <v>20190312172946267</v>
      </c>
      <c r="B2906" t="str">
        <f>"1552382986260100"</f>
        <v>1552382986260100</v>
      </c>
      <c r="C2906" t="s">
        <v>40</v>
      </c>
      <c r="D2906">
        <v>3.0570490000000001</v>
      </c>
      <c r="E2906">
        <v>0.44923350000000001</v>
      </c>
      <c r="F2906" t="s">
        <v>46</v>
      </c>
      <c r="G2906">
        <v>-483.46199999999999</v>
      </c>
      <c r="H2906" s="1">
        <v>2.5436059999999998E-6</v>
      </c>
      <c r="I2906">
        <v>220.34389999999999</v>
      </c>
      <c r="J2906">
        <v>-491.1506</v>
      </c>
      <c r="K2906">
        <v>1.1147800000000001</v>
      </c>
      <c r="L2906">
        <v>233.4863</v>
      </c>
      <c r="M2906">
        <v>0.2208417</v>
      </c>
      <c r="N2906">
        <v>0</v>
      </c>
      <c r="O2906">
        <v>-0.97521420000000003</v>
      </c>
      <c r="P2906">
        <v>0.36347869999999999</v>
      </c>
      <c r="Q2906">
        <v>0.1522211</v>
      </c>
      <c r="R2906">
        <v>-0.91908199999999995</v>
      </c>
      <c r="S2906">
        <v>1.557922</v>
      </c>
      <c r="T2906">
        <v>-0.22416230000000001</v>
      </c>
      <c r="U2906">
        <v>-2.6893769999999999</v>
      </c>
      <c r="V2906">
        <v>-0.15331639999999999</v>
      </c>
      <c r="W2906">
        <v>0.16387389999999999</v>
      </c>
      <c r="X2906">
        <v>0.97449450000000004</v>
      </c>
      <c r="Y2906">
        <v>-0.29642390000000002</v>
      </c>
      <c r="Z2906">
        <v>7.2577359999999994E-2</v>
      </c>
      <c r="AA2906">
        <v>0.9522948</v>
      </c>
      <c r="AB2906">
        <v>24</v>
      </c>
      <c r="AC2906">
        <v>7.6886000000000001</v>
      </c>
      <c r="AD2906">
        <v>-1.1147774563939901</v>
      </c>
      <c r="AE2906">
        <v>-13.1424</v>
      </c>
      <c r="AF2906">
        <v>-4.5715646851754004</v>
      </c>
      <c r="AG2906">
        <v>-1.1147774563939901</v>
      </c>
      <c r="AH2906">
        <v>14.4385743409083</v>
      </c>
      <c r="AI2906">
        <v>94.209770891183894</v>
      </c>
      <c r="AJ2906">
        <v>107.568912583255</v>
      </c>
      <c r="AK2906">
        <v>15.1859922772917</v>
      </c>
      <c r="AL2906">
        <v>80.568177211663198</v>
      </c>
      <c r="AM2906">
        <v>98.941006867162798</v>
      </c>
      <c r="AN2906">
        <v>1.0000000520701999</v>
      </c>
    </row>
    <row r="2907" spans="1:40" x14ac:dyDescent="0.25">
      <c r="A2907" t="str">
        <f>"20190312172946293"</f>
        <v>20190312172946293</v>
      </c>
      <c r="B2907" t="str">
        <f>"1552382986290356"</f>
        <v>1552382986290356</v>
      </c>
      <c r="C2907" t="s">
        <v>40</v>
      </c>
      <c r="D2907">
        <v>3.0554359999999998</v>
      </c>
      <c r="E2907">
        <v>0.4491694</v>
      </c>
      <c r="F2907" t="s">
        <v>46</v>
      </c>
      <c r="G2907">
        <v>-484.09699999999998</v>
      </c>
      <c r="H2907" s="1">
        <v>2.7844509999999999E-6</v>
      </c>
      <c r="I2907">
        <v>220.9238</v>
      </c>
      <c r="J2907">
        <v>-491.08179999999999</v>
      </c>
      <c r="K2907">
        <v>1.114803</v>
      </c>
      <c r="L2907">
        <v>233.22370000000001</v>
      </c>
      <c r="M2907">
        <v>0.22853589999999999</v>
      </c>
      <c r="N2907">
        <v>0</v>
      </c>
      <c r="O2907">
        <v>-0.97343979999999997</v>
      </c>
      <c r="P2907">
        <v>0.37111620000000001</v>
      </c>
      <c r="Q2907">
        <v>0.1515832</v>
      </c>
      <c r="R2907">
        <v>-0.91613069999999996</v>
      </c>
      <c r="S2907">
        <v>1.5179750000000001</v>
      </c>
      <c r="T2907">
        <v>-0.2399048</v>
      </c>
      <c r="U2907">
        <v>-2.703506</v>
      </c>
      <c r="V2907">
        <v>-0.15371089999999901</v>
      </c>
      <c r="W2907">
        <v>0.16322799999999901</v>
      </c>
      <c r="X2907">
        <v>0.97454070000000004</v>
      </c>
      <c r="Y2907">
        <v>-0.27583469999999999</v>
      </c>
      <c r="Z2907">
        <v>7.7593339999999997E-2</v>
      </c>
      <c r="AA2907">
        <v>0.95806809999999998</v>
      </c>
      <c r="AB2907">
        <v>24</v>
      </c>
      <c r="AC2907">
        <v>6.9847999999999999</v>
      </c>
      <c r="AD2907">
        <v>-1.114800215549</v>
      </c>
      <c r="AE2907">
        <v>-12.299899999999999</v>
      </c>
      <c r="AF2907">
        <v>-3.96406211236323</v>
      </c>
      <c r="AG2907">
        <v>-1.114800215549</v>
      </c>
      <c r="AH2907">
        <v>13.486978612188601</v>
      </c>
      <c r="AI2907">
        <v>94.534241531400198</v>
      </c>
      <c r="AJ2907">
        <v>106.378997233446</v>
      </c>
      <c r="AK2907">
        <v>14.101601328817001</v>
      </c>
      <c r="AL2907">
        <v>80.605689154581498</v>
      </c>
      <c r="AM2907">
        <v>98.963221939063402</v>
      </c>
      <c r="AN2907">
        <v>0.99999999835965003</v>
      </c>
    </row>
    <row r="2908" spans="1:40" x14ac:dyDescent="0.25">
      <c r="A2908" t="str">
        <f>"20190312172946313"</f>
        <v>20190312172946313</v>
      </c>
      <c r="B2908" t="str">
        <f>"1552382986309876"</f>
        <v>1552382986309876</v>
      </c>
      <c r="C2908" t="s">
        <v>40</v>
      </c>
      <c r="D2908">
        <v>3.0397259999999999</v>
      </c>
      <c r="E2908">
        <v>0.44908579999999998</v>
      </c>
      <c r="F2908" t="s">
        <v>46</v>
      </c>
      <c r="G2908">
        <v>-483.83319999999998</v>
      </c>
      <c r="H2908" s="1">
        <v>2.6588280000000002E-6</v>
      </c>
      <c r="I2908">
        <v>220.56720000000001</v>
      </c>
      <c r="J2908">
        <v>-491.02620000000002</v>
      </c>
      <c r="K2908">
        <v>1.114827</v>
      </c>
      <c r="L2908">
        <v>233.01750000000001</v>
      </c>
      <c r="M2908">
        <v>0.2346193</v>
      </c>
      <c r="N2908">
        <v>0</v>
      </c>
      <c r="O2908">
        <v>-0.97199139999999995</v>
      </c>
      <c r="P2908">
        <v>0.37740770000000001</v>
      </c>
      <c r="Q2908">
        <v>0.15189520000000001</v>
      </c>
      <c r="R2908">
        <v>-0.91350500000000001</v>
      </c>
      <c r="S2908">
        <v>1.540497</v>
      </c>
      <c r="T2908">
        <v>-0.23692170000000001</v>
      </c>
      <c r="U2908">
        <v>-2.6898040000000001</v>
      </c>
      <c r="V2908">
        <v>-0.15434339999999999</v>
      </c>
      <c r="W2908">
        <v>0.16352729999999999</v>
      </c>
      <c r="X2908">
        <v>0.9743906</v>
      </c>
      <c r="Y2908">
        <v>-0.2780048</v>
      </c>
      <c r="Z2908">
        <v>7.6629660000000002E-2</v>
      </c>
      <c r="AA2908">
        <v>0.95751830000000004</v>
      </c>
      <c r="AB2908">
        <v>24</v>
      </c>
      <c r="AC2908">
        <v>7.1930000000000396</v>
      </c>
      <c r="AD2908">
        <v>-1.114824341172</v>
      </c>
      <c r="AE2908">
        <v>-12.4503</v>
      </c>
      <c r="AF2908">
        <v>-4.04650828801931</v>
      </c>
      <c r="AG2908">
        <v>-1.114824341172</v>
      </c>
      <c r="AH2908">
        <v>13.7080836735656</v>
      </c>
      <c r="AI2908">
        <v>94.459966452381593</v>
      </c>
      <c r="AJ2908">
        <v>106.446146691683</v>
      </c>
      <c r="AK2908">
        <v>14.336269411466599</v>
      </c>
      <c r="AL2908">
        <v>80.588307484835795</v>
      </c>
      <c r="AM2908">
        <v>99.000865609969594</v>
      </c>
      <c r="AN2908">
        <v>1.0000000521686001</v>
      </c>
    </row>
    <row r="2909" spans="1:40" x14ac:dyDescent="0.25">
      <c r="A2909" t="str">
        <f>"20190312172946336"</f>
        <v>20190312172946336</v>
      </c>
      <c r="B2909" t="str">
        <f>"1552382986330372"</f>
        <v>1552382986330372</v>
      </c>
      <c r="C2909" t="s">
        <v>40</v>
      </c>
      <c r="D2909">
        <v>3.0914640000000002</v>
      </c>
      <c r="E2909">
        <v>0.44982820000000001</v>
      </c>
      <c r="F2909" t="s">
        <v>46</v>
      </c>
      <c r="G2909">
        <v>-483.63069999999999</v>
      </c>
      <c r="H2909" s="1">
        <v>2.5671049999999999E-6</v>
      </c>
      <c r="I2909">
        <v>220.31489999999999</v>
      </c>
      <c r="J2909">
        <v>-490.9633</v>
      </c>
      <c r="K2909">
        <v>1.1148530000000001</v>
      </c>
      <c r="L2909">
        <v>232.79050000000001</v>
      </c>
      <c r="M2909">
        <v>0.2413748</v>
      </c>
      <c r="N2909">
        <v>0</v>
      </c>
      <c r="O2909">
        <v>-0.97033579999999997</v>
      </c>
      <c r="P2909">
        <v>0.3842603</v>
      </c>
      <c r="Q2909">
        <v>0.15206529999999999</v>
      </c>
      <c r="R2909">
        <v>-0.91061530000000002</v>
      </c>
      <c r="S2909">
        <v>1.559601</v>
      </c>
      <c r="T2909">
        <v>-0.23509959999999999</v>
      </c>
      <c r="U2909">
        <v>-2.6788020000000001</v>
      </c>
      <c r="V2909">
        <v>-0.15490570000000001</v>
      </c>
      <c r="W2909">
        <v>0.16368389999999999</v>
      </c>
      <c r="X2909">
        <v>0.974275</v>
      </c>
      <c r="Y2909">
        <v>-0.27815879999999998</v>
      </c>
      <c r="Z2909">
        <v>7.5992110000000002E-2</v>
      </c>
      <c r="AA2909">
        <v>0.95752440000000005</v>
      </c>
      <c r="AB2909">
        <v>24</v>
      </c>
      <c r="AC2909">
        <v>7.33260000000001</v>
      </c>
      <c r="AD2909">
        <v>-1.114850432895</v>
      </c>
      <c r="AE2909">
        <v>-12.4756</v>
      </c>
      <c r="AF2909">
        <v>-4.0799561978516996</v>
      </c>
      <c r="AG2909">
        <v>-1.114850432895</v>
      </c>
      <c r="AH2909">
        <v>13.794845030857401</v>
      </c>
      <c r="AI2909">
        <v>94.431449901255206</v>
      </c>
      <c r="AJ2909">
        <v>106.476082264252</v>
      </c>
      <c r="AK2909">
        <v>14.4286757358215</v>
      </c>
      <c r="AL2909">
        <v>80.5792117822091</v>
      </c>
      <c r="AM2909">
        <v>99.034171733827307</v>
      </c>
      <c r="AN2909">
        <v>0.99999998531834899</v>
      </c>
    </row>
    <row r="2910" spans="1:40" x14ac:dyDescent="0.25">
      <c r="A2910" t="str">
        <f>"20190312172946362"</f>
        <v>20190312172946362</v>
      </c>
      <c r="B2910" t="str">
        <f>"1552382986349892"</f>
        <v>1552382986349892</v>
      </c>
      <c r="C2910" t="s">
        <v>40</v>
      </c>
      <c r="D2910">
        <v>3.056689</v>
      </c>
      <c r="E2910">
        <v>0.45057530000000001</v>
      </c>
      <c r="F2910" t="s">
        <v>46</v>
      </c>
      <c r="G2910">
        <v>-483.44060000000002</v>
      </c>
      <c r="H2910" s="1">
        <v>2.4714129999999999E-6</v>
      </c>
      <c r="I2910">
        <v>220.03450000000001</v>
      </c>
      <c r="J2910">
        <v>-490.88490000000002</v>
      </c>
      <c r="K2910">
        <v>1.114897</v>
      </c>
      <c r="L2910">
        <v>232.51580000000001</v>
      </c>
      <c r="M2910">
        <v>0.24963360000000001</v>
      </c>
      <c r="N2910">
        <v>0</v>
      </c>
      <c r="O2910">
        <v>-0.96824390000000005</v>
      </c>
      <c r="P2910">
        <v>0.39259050000000001</v>
      </c>
      <c r="Q2910">
        <v>0.15189439999999901</v>
      </c>
      <c r="R2910">
        <v>-0.90708370000000005</v>
      </c>
      <c r="S2910">
        <v>1.5740970000000001</v>
      </c>
      <c r="T2910">
        <v>-0.23327970000000001</v>
      </c>
      <c r="U2910">
        <v>-2.6691440000000002</v>
      </c>
      <c r="V2910">
        <v>-0.1555433</v>
      </c>
      <c r="W2910">
        <v>0.16349569999999999</v>
      </c>
      <c r="X2910">
        <v>0.97420499999999999</v>
      </c>
      <c r="Y2910">
        <v>-0.27537279999999997</v>
      </c>
      <c r="Z2910">
        <v>7.5335089999999993E-2</v>
      </c>
      <c r="AA2910">
        <v>0.95838120000000004</v>
      </c>
      <c r="AB2910">
        <v>24</v>
      </c>
      <c r="AC2910">
        <v>7.4442999999999904</v>
      </c>
      <c r="AD2910">
        <v>-1.114894528587</v>
      </c>
      <c r="AE2910">
        <v>-12.481299999999999</v>
      </c>
      <c r="AF2910">
        <v>-4.0685834443267996</v>
      </c>
      <c r="AG2910">
        <v>-1.114894528587</v>
      </c>
      <c r="AH2910">
        <v>13.863003883393199</v>
      </c>
      <c r="AI2910">
        <v>94.412631348529302</v>
      </c>
      <c r="AJ2910">
        <v>106.356171651897</v>
      </c>
      <c r="AK2910">
        <v>14.490660361912299</v>
      </c>
      <c r="AL2910">
        <v>80.590141970496603</v>
      </c>
      <c r="AM2910">
        <v>99.071380803121798</v>
      </c>
      <c r="AN2910">
        <v>0.999999972059189</v>
      </c>
    </row>
    <row r="2911" spans="1:40" x14ac:dyDescent="0.25">
      <c r="A2911" t="str">
        <f>"20190312172946378"</f>
        <v>20190312172946378</v>
      </c>
      <c r="B2911" t="str">
        <f>"1552382986370388"</f>
        <v>1552382986370388</v>
      </c>
      <c r="C2911" t="s">
        <v>40</v>
      </c>
      <c r="D2911">
        <v>3.027873</v>
      </c>
      <c r="E2911">
        <v>0.45099590000000001</v>
      </c>
      <c r="F2911" t="s">
        <v>46</v>
      </c>
      <c r="G2911">
        <v>-483.20639999999997</v>
      </c>
      <c r="H2911" s="1">
        <v>2.3577599999999999E-6</v>
      </c>
      <c r="I2911">
        <v>219.70840000000001</v>
      </c>
      <c r="J2911">
        <v>-490.8372</v>
      </c>
      <c r="K2911">
        <v>1.1149279999999999</v>
      </c>
      <c r="L2911">
        <v>232.35329999999999</v>
      </c>
      <c r="M2911">
        <v>0.25458579999999997</v>
      </c>
      <c r="N2911">
        <v>0</v>
      </c>
      <c r="O2911">
        <v>-0.96695350000000002</v>
      </c>
      <c r="P2911">
        <v>0.3976557</v>
      </c>
      <c r="Q2911">
        <v>0.15175999999999901</v>
      </c>
      <c r="R2911">
        <v>-0.90489730000000002</v>
      </c>
      <c r="S2911">
        <v>1.592773</v>
      </c>
      <c r="T2911">
        <v>-0.2312641</v>
      </c>
      <c r="U2911">
        <v>-2.656647</v>
      </c>
      <c r="V2911">
        <v>-0.15600990000000001</v>
      </c>
      <c r="W2911">
        <v>0.16334760000000001</v>
      </c>
      <c r="X2911">
        <v>0.9741552</v>
      </c>
      <c r="Y2911">
        <v>-0.27741979999999999</v>
      </c>
      <c r="Z2911">
        <v>7.4692949999999994E-2</v>
      </c>
      <c r="AA2911">
        <v>0.9578409</v>
      </c>
      <c r="AB2911">
        <v>24</v>
      </c>
      <c r="AC2911">
        <v>7.6308000000000202</v>
      </c>
      <c r="AD2911">
        <v>-1.11492564224</v>
      </c>
      <c r="AE2911">
        <v>-12.6448999999999</v>
      </c>
      <c r="AF2911">
        <v>-4.1362337561080098</v>
      </c>
      <c r="AG2911">
        <v>-1.11492564224</v>
      </c>
      <c r="AH2911">
        <v>14.090746909265301</v>
      </c>
      <c r="AI2911">
        <v>94.341640111072806</v>
      </c>
      <c r="AJ2911">
        <v>106.359208352425</v>
      </c>
      <c r="AK2911">
        <v>14.7275468878513</v>
      </c>
      <c r="AL2911">
        <v>80.598742807316199</v>
      </c>
      <c r="AM2911">
        <v>99.098596052496504</v>
      </c>
      <c r="AN2911">
        <v>0.99999994050540297</v>
      </c>
    </row>
    <row r="2912" spans="1:40" x14ac:dyDescent="0.25">
      <c r="A2912" t="str">
        <f>"20190312172946400"</f>
        <v>20190312172946400</v>
      </c>
      <c r="B2912" t="str">
        <f>"1552382986389907"</f>
        <v>1552382986389907</v>
      </c>
      <c r="C2912" t="s">
        <v>40</v>
      </c>
      <c r="D2912">
        <v>2.9710290000000001</v>
      </c>
      <c r="E2912">
        <v>0.451596</v>
      </c>
      <c r="F2912" t="s">
        <v>46</v>
      </c>
      <c r="G2912">
        <v>-483.07380000000001</v>
      </c>
      <c r="H2912" s="1">
        <v>2.310248E-6</v>
      </c>
      <c r="I2912">
        <v>219.5333</v>
      </c>
      <c r="J2912">
        <v>-490.76780000000002</v>
      </c>
      <c r="K2912">
        <v>1.1149819999999999</v>
      </c>
      <c r="L2912">
        <v>232.1225</v>
      </c>
      <c r="M2912">
        <v>0.26169710000000002</v>
      </c>
      <c r="N2912">
        <v>0</v>
      </c>
      <c r="O2912">
        <v>-0.96505320000000006</v>
      </c>
      <c r="P2912">
        <v>0.4045899</v>
      </c>
      <c r="Q2912">
        <v>0.1517606</v>
      </c>
      <c r="R2912">
        <v>-0.90181809999999996</v>
      </c>
      <c r="S2912">
        <v>1.6041259999999999</v>
      </c>
      <c r="T2912">
        <v>-0.23037469999999999</v>
      </c>
      <c r="U2912">
        <v>-2.6489720000000001</v>
      </c>
      <c r="V2912">
        <v>-0.15633820000000001</v>
      </c>
      <c r="W2912">
        <v>0.16333059999999999</v>
      </c>
      <c r="X2912">
        <v>0.97410549999999996</v>
      </c>
      <c r="Y2912">
        <v>-0.27459319999999998</v>
      </c>
      <c r="Z2912">
        <v>7.4329259999999994E-2</v>
      </c>
      <c r="AA2912">
        <v>0.95868330000000002</v>
      </c>
      <c r="AB2912">
        <v>24</v>
      </c>
      <c r="AC2912">
        <v>7.6940000000000097</v>
      </c>
      <c r="AD2912">
        <v>-1.1149796897519999</v>
      </c>
      <c r="AE2912">
        <v>-12.5892</v>
      </c>
      <c r="AF2912">
        <v>-4.1074908939407697</v>
      </c>
      <c r="AG2912">
        <v>-1.1149796897519999</v>
      </c>
      <c r="AH2912">
        <v>14.0836390807171</v>
      </c>
      <c r="AI2912">
        <v>94.3462407549397</v>
      </c>
      <c r="AJ2912">
        <v>106.259315478009</v>
      </c>
      <c r="AK2912">
        <v>14.7127003268696</v>
      </c>
      <c r="AL2912">
        <v>80.599730862269197</v>
      </c>
      <c r="AM2912">
        <v>99.117878823668207</v>
      </c>
      <c r="AN2912">
        <v>1.0000000214029201</v>
      </c>
    </row>
    <row r="2913" spans="1:40" x14ac:dyDescent="0.25">
      <c r="A2913" t="str">
        <f>"20190312172946425"</f>
        <v>20190312172946425</v>
      </c>
      <c r="B2913" t="str">
        <f>"1552382986420164"</f>
        <v>1552382986420164</v>
      </c>
      <c r="C2913" t="s">
        <v>40</v>
      </c>
      <c r="D2913">
        <v>3.0426500000000001</v>
      </c>
      <c r="E2913">
        <v>0.45210980000000001</v>
      </c>
      <c r="F2913" t="s">
        <v>46</v>
      </c>
      <c r="G2913">
        <v>-482.86779999999999</v>
      </c>
      <c r="H2913" s="1">
        <v>2.2617860000000001E-6</v>
      </c>
      <c r="I2913">
        <v>219.26070000000001</v>
      </c>
      <c r="J2913">
        <v>-490.69569999999999</v>
      </c>
      <c r="K2913">
        <v>1.1150519999999999</v>
      </c>
      <c r="L2913">
        <v>231.88900000000001</v>
      </c>
      <c r="M2913">
        <v>0.26900289999999999</v>
      </c>
      <c r="N2913">
        <v>0</v>
      </c>
      <c r="O2913">
        <v>-0.96304210000000001</v>
      </c>
      <c r="P2913">
        <v>0.41137109999999899</v>
      </c>
      <c r="Q2913">
        <v>0.1518417</v>
      </c>
      <c r="R2913">
        <v>-0.89873119999999995</v>
      </c>
      <c r="S2913">
        <v>1.6203920000000001</v>
      </c>
      <c r="T2913">
        <v>-0.22869500000000001</v>
      </c>
      <c r="U2913">
        <v>-2.6380919999999999</v>
      </c>
      <c r="V2913">
        <v>-0.15632360000000001</v>
      </c>
      <c r="W2913">
        <v>0.16339600000000001</v>
      </c>
      <c r="X2913">
        <v>0.97409679999999998</v>
      </c>
      <c r="Y2913">
        <v>-0.27338410000000002</v>
      </c>
      <c r="Z2913">
        <v>7.3724509999999993E-2</v>
      </c>
      <c r="AA2913">
        <v>0.95907549999999997</v>
      </c>
      <c r="AB2913">
        <v>24</v>
      </c>
      <c r="AC2913">
        <v>7.8278999999999996</v>
      </c>
      <c r="AD2913">
        <v>-1.1150497382140001</v>
      </c>
      <c r="AE2913">
        <v>-12.6282999999999</v>
      </c>
      <c r="AF2913">
        <v>-4.11873787786927</v>
      </c>
      <c r="AG2913">
        <v>-1.1150497382140001</v>
      </c>
      <c r="AH2913">
        <v>14.1887334780209</v>
      </c>
      <c r="AI2913">
        <v>94.316017698610693</v>
      </c>
      <c r="AJ2913">
        <v>106.187076573512</v>
      </c>
      <c r="AK2913">
        <v>14.8164602836034</v>
      </c>
      <c r="AL2913">
        <v>80.595931999532098</v>
      </c>
      <c r="AM2913">
        <v>99.1171216908714</v>
      </c>
      <c r="AN2913">
        <v>0.99999994825159799</v>
      </c>
    </row>
    <row r="2914" spans="1:40" x14ac:dyDescent="0.25">
      <c r="A2914" t="str">
        <f>"20190312172946446"</f>
        <v>20190312172946446</v>
      </c>
      <c r="B2914" t="str">
        <f>"1552382986440660"</f>
        <v>1552382986440660</v>
      </c>
      <c r="C2914" t="s">
        <v>40</v>
      </c>
      <c r="D2914">
        <v>3.0419800000000001</v>
      </c>
      <c r="E2914">
        <v>0.4598815</v>
      </c>
      <c r="F2914" t="s">
        <v>46</v>
      </c>
      <c r="G2914">
        <v>-482.61619999999999</v>
      </c>
      <c r="H2914" s="1">
        <v>2.2022849999999999E-6</v>
      </c>
      <c r="I2914">
        <v>218.9204</v>
      </c>
      <c r="J2914">
        <v>-490.62540000000001</v>
      </c>
      <c r="K2914">
        <v>1.1151180000000001</v>
      </c>
      <c r="L2914">
        <v>231.66800000000001</v>
      </c>
      <c r="M2914">
        <v>0.27604489999999998</v>
      </c>
      <c r="N2914">
        <v>0</v>
      </c>
      <c r="O2914">
        <v>-0.96104710000000004</v>
      </c>
      <c r="P2914">
        <v>0.4184851</v>
      </c>
      <c r="Q2914">
        <v>0.151278</v>
      </c>
      <c r="R2914">
        <v>-0.89553619999999901</v>
      </c>
      <c r="S2914">
        <v>1.6366879999999999</v>
      </c>
      <c r="T2914">
        <v>-0.225879</v>
      </c>
      <c r="U2914">
        <v>-2.6270899999999999</v>
      </c>
      <c r="V2914">
        <v>-0.15691350000000001</v>
      </c>
      <c r="W2914">
        <v>0.16280839999999999</v>
      </c>
      <c r="X2914">
        <v>0.97410039999999998</v>
      </c>
      <c r="Y2914">
        <v>-0.27246890000000001</v>
      </c>
      <c r="Z2914">
        <v>7.2756509999999996E-2</v>
      </c>
      <c r="AA2914">
        <v>0.95940979999999998</v>
      </c>
      <c r="AB2914">
        <v>24</v>
      </c>
      <c r="AC2914">
        <v>8.0092000000000194</v>
      </c>
      <c r="AD2914">
        <v>-1.1151157977149999</v>
      </c>
      <c r="AE2914">
        <v>-12.7476</v>
      </c>
      <c r="AF2914">
        <v>-4.1558997245021398</v>
      </c>
      <c r="AG2914">
        <v>-1.1151157977149999</v>
      </c>
      <c r="AH2914">
        <v>14.3843817875744</v>
      </c>
      <c r="AI2914">
        <v>94.259329471477201</v>
      </c>
      <c r="AJ2914">
        <v>106.114931610741</v>
      </c>
      <c r="AK2914">
        <v>15.0141741422275</v>
      </c>
      <c r="AL2914">
        <v>80.630056490252301</v>
      </c>
      <c r="AM2914">
        <v>99.1509116281117</v>
      </c>
      <c r="AN2914">
        <v>1.0000000054364799</v>
      </c>
    </row>
    <row r="2915" spans="1:40" x14ac:dyDescent="0.25">
      <c r="A2915" t="str">
        <f>"20190312172946467"</f>
        <v>20190312172946467</v>
      </c>
      <c r="B2915" t="str">
        <f>"1552382986460180"</f>
        <v>1552382986460180</v>
      </c>
      <c r="C2915" t="s">
        <v>40</v>
      </c>
      <c r="D2915">
        <v>3.034872</v>
      </c>
      <c r="E2915">
        <v>0.45846569999999998</v>
      </c>
      <c r="F2915" t="s">
        <v>46</v>
      </c>
      <c r="G2915">
        <v>-482.45389999999998</v>
      </c>
      <c r="H2915" s="1">
        <v>2.1416520000000001E-6</v>
      </c>
      <c r="I2915">
        <v>218.1917</v>
      </c>
      <c r="J2915">
        <v>-490.55439999999999</v>
      </c>
      <c r="K2915">
        <v>1.1151759999999999</v>
      </c>
      <c r="L2915">
        <v>231.4511</v>
      </c>
      <c r="M2915">
        <v>0.28304869999999999</v>
      </c>
      <c r="N2915">
        <v>0</v>
      </c>
      <c r="O2915">
        <v>-0.95900759999999996</v>
      </c>
      <c r="P2915">
        <v>0.42531200000000002</v>
      </c>
      <c r="Q2915">
        <v>0.1515097</v>
      </c>
      <c r="R2915">
        <v>-0.89227509999999999</v>
      </c>
      <c r="S2915">
        <v>1.6001890000000001</v>
      </c>
      <c r="T2915">
        <v>-0.21837039999999999</v>
      </c>
      <c r="U2915">
        <v>-2.6390380000000002</v>
      </c>
      <c r="V2915">
        <v>-0.15728510000000001</v>
      </c>
      <c r="W2915">
        <v>0.1630201</v>
      </c>
      <c r="X2915">
        <v>0.97400500000000001</v>
      </c>
      <c r="Y2915">
        <v>-0.25389859999999997</v>
      </c>
      <c r="Z2915">
        <v>7.0281150000000001E-2</v>
      </c>
      <c r="AA2915">
        <v>0.96467409999999998</v>
      </c>
      <c r="AB2915">
        <v>24</v>
      </c>
      <c r="AC2915">
        <v>8.1005000000000091</v>
      </c>
      <c r="AD2915">
        <v>-1.115173858348</v>
      </c>
      <c r="AE2915">
        <v>-13.259399999999999</v>
      </c>
      <c r="AF2915">
        <v>-3.9951830240333699</v>
      </c>
      <c r="AG2915">
        <v>-1.115173858348</v>
      </c>
      <c r="AH2915">
        <v>14.933189956341399</v>
      </c>
      <c r="AI2915">
        <v>94.126191804481905</v>
      </c>
      <c r="AJ2915">
        <v>104.977970690137</v>
      </c>
      <c r="AK2915">
        <v>15.4985567844894</v>
      </c>
      <c r="AL2915">
        <v>80.617762186893003</v>
      </c>
      <c r="AM2915">
        <v>99.173097847888798</v>
      </c>
      <c r="AN2915">
        <v>0.99999994785550805</v>
      </c>
    </row>
    <row r="2916" spans="1:40" x14ac:dyDescent="0.25">
      <c r="A2916" t="str">
        <f>"20190312172946490"</f>
        <v>20190312172946490</v>
      </c>
      <c r="B2916" t="str">
        <f>"1552382986480679"</f>
        <v>1552382986480679</v>
      </c>
      <c r="C2916" t="s">
        <v>40</v>
      </c>
      <c r="D2916">
        <v>3.0191729999999999</v>
      </c>
      <c r="E2916">
        <v>0.4584587</v>
      </c>
      <c r="F2916" t="s">
        <v>46</v>
      </c>
      <c r="G2916">
        <v>-481.67660000000001</v>
      </c>
      <c r="H2916" s="1">
        <v>1.9590019999999998E-6</v>
      </c>
      <c r="I2916">
        <v>217.16759999999999</v>
      </c>
      <c r="J2916">
        <v>-490.47930000000002</v>
      </c>
      <c r="K2916">
        <v>1.1152310000000001</v>
      </c>
      <c r="L2916">
        <v>231.22720000000001</v>
      </c>
      <c r="M2916">
        <v>0.2903888</v>
      </c>
      <c r="N2916">
        <v>0</v>
      </c>
      <c r="O2916">
        <v>-0.95681059999999996</v>
      </c>
      <c r="P2916">
        <v>0.43241679999999999</v>
      </c>
      <c r="Q2916">
        <v>0.15182779999999901</v>
      </c>
      <c r="R2916">
        <v>-0.88879940000000002</v>
      </c>
      <c r="S2916">
        <v>1.628784</v>
      </c>
      <c r="T2916">
        <v>-0.2045969</v>
      </c>
      <c r="U2916">
        <v>-2.6205440000000002</v>
      </c>
      <c r="V2916">
        <v>-0.15763629999999901</v>
      </c>
      <c r="W2916">
        <v>0.16331879999999999</v>
      </c>
      <c r="X2916">
        <v>0.97389820000000005</v>
      </c>
      <c r="Y2916">
        <v>-0.25729449999999998</v>
      </c>
      <c r="Z2916">
        <v>6.583609E-2</v>
      </c>
      <c r="AA2916">
        <v>0.96408769999999999</v>
      </c>
      <c r="AB2916">
        <v>24</v>
      </c>
      <c r="AC2916">
        <v>8.8027000000000104</v>
      </c>
      <c r="AD2916">
        <v>-1.1152290409979999</v>
      </c>
      <c r="AE2916">
        <v>-14.0596</v>
      </c>
      <c r="AF2916">
        <v>-4.3206443829971004</v>
      </c>
      <c r="AG2916">
        <v>-1.1152290409979999</v>
      </c>
      <c r="AH2916">
        <v>15.938042668500101</v>
      </c>
      <c r="AI2916">
        <v>93.863614476170397</v>
      </c>
      <c r="AJ2916">
        <v>105.16776943194699</v>
      </c>
      <c r="AK2916">
        <v>16.5509186391916</v>
      </c>
      <c r="AL2916">
        <v>80.600415654774594</v>
      </c>
      <c r="AM2916">
        <v>99.194221920049699</v>
      </c>
      <c r="AN2916">
        <v>0.999999968737184</v>
      </c>
    </row>
    <row r="2917" spans="1:40" x14ac:dyDescent="0.25">
      <c r="A2917" t="str">
        <f>"20190312172946518"</f>
        <v>20190312172946518</v>
      </c>
      <c r="B2917" t="str">
        <f>"1552382986509956"</f>
        <v>1552382986509956</v>
      </c>
      <c r="C2917" t="s">
        <v>40</v>
      </c>
      <c r="D2917">
        <v>3.054627</v>
      </c>
      <c r="E2917">
        <v>0.44209300000000001</v>
      </c>
      <c r="F2917" t="s">
        <v>46</v>
      </c>
      <c r="G2917">
        <v>-481.38049999999998</v>
      </c>
      <c r="H2917" s="1">
        <v>1.8923939999999999E-6</v>
      </c>
      <c r="I2917">
        <v>216.84559999999999</v>
      </c>
      <c r="J2917">
        <v>-490.3836</v>
      </c>
      <c r="K2917">
        <v>1.1153150000000001</v>
      </c>
      <c r="L2917">
        <v>230.9502</v>
      </c>
      <c r="M2917">
        <v>0.29963279999999998</v>
      </c>
      <c r="N2917">
        <v>0</v>
      </c>
      <c r="O2917">
        <v>-0.95395589999999997</v>
      </c>
      <c r="P2917">
        <v>0.44145899999999999</v>
      </c>
      <c r="Q2917">
        <v>0.15251139999999999</v>
      </c>
      <c r="R2917">
        <v>-0.88422529999999999</v>
      </c>
      <c r="S2917">
        <v>1.64956699999999</v>
      </c>
      <c r="T2917">
        <v>-0.20218439999999999</v>
      </c>
      <c r="U2917">
        <v>-2.6073149999999998</v>
      </c>
      <c r="V2917">
        <v>-0.15822149999999999</v>
      </c>
      <c r="W2917">
        <v>0.16397600000000001</v>
      </c>
      <c r="X2917">
        <v>0.97369289999999997</v>
      </c>
      <c r="Y2917">
        <v>-0.25567430000000002</v>
      </c>
      <c r="Z2917">
        <v>6.4942620000000006E-2</v>
      </c>
      <c r="AA2917">
        <v>0.96457919999999997</v>
      </c>
      <c r="AB2917">
        <v>24</v>
      </c>
      <c r="AC2917">
        <v>9.0031000000000105</v>
      </c>
      <c r="AD2917">
        <v>-1.1153131076060001</v>
      </c>
      <c r="AE2917">
        <v>-14.1046</v>
      </c>
      <c r="AF2917">
        <v>-4.3434738522588496</v>
      </c>
      <c r="AG2917">
        <v>-1.1153131076060001</v>
      </c>
      <c r="AH2917">
        <v>16.082861073441101</v>
      </c>
      <c r="AI2917">
        <v>93.830199629856295</v>
      </c>
      <c r="AJ2917">
        <v>105.11323210456401</v>
      </c>
      <c r="AK2917">
        <v>16.696350162261801</v>
      </c>
      <c r="AL2917">
        <v>80.562246766548895</v>
      </c>
      <c r="AM2917">
        <v>99.229680070879695</v>
      </c>
      <c r="AN2917">
        <v>1.00000001757432</v>
      </c>
    </row>
    <row r="2918" spans="1:40" x14ac:dyDescent="0.25">
      <c r="A2918" t="str">
        <f>"20190312172946536"</f>
        <v>20190312172946536</v>
      </c>
      <c r="B2918" t="str">
        <f>"1552382986530451"</f>
        <v>1552382986530451</v>
      </c>
      <c r="C2918" t="s">
        <v>40</v>
      </c>
      <c r="D2918">
        <v>3.0516179999999999</v>
      </c>
      <c r="E2918">
        <v>0.44032080000000001</v>
      </c>
      <c r="F2918" t="s">
        <v>46</v>
      </c>
      <c r="G2918">
        <v>-482.4359</v>
      </c>
      <c r="H2918" s="1">
        <v>2.22505E-6</v>
      </c>
      <c r="I2918">
        <v>219.72630000000001</v>
      </c>
      <c r="J2918">
        <v>-490.32040000000001</v>
      </c>
      <c r="K2918">
        <v>1.1153709999999999</v>
      </c>
      <c r="L2918">
        <v>230.77250000000001</v>
      </c>
      <c r="M2918">
        <v>0.30566969999999999</v>
      </c>
      <c r="N2918">
        <v>0</v>
      </c>
      <c r="O2918">
        <v>-0.95203850000000001</v>
      </c>
      <c r="P2918">
        <v>0.44726320000000003</v>
      </c>
      <c r="Q2918">
        <v>0.15307570000000001</v>
      </c>
      <c r="R2918">
        <v>-0.88120560000000003</v>
      </c>
      <c r="S2918">
        <v>1.7977289999999999</v>
      </c>
      <c r="T2918">
        <v>-0.252278</v>
      </c>
      <c r="U2918">
        <v>-2.5387879999999998</v>
      </c>
      <c r="V2918">
        <v>-0.15851419999999999</v>
      </c>
      <c r="W2918">
        <v>0.16452349999999999</v>
      </c>
      <c r="X2918">
        <v>0.97355290000000005</v>
      </c>
      <c r="Y2918">
        <v>-0.29878549999999998</v>
      </c>
      <c r="Z2918">
        <v>8.07591E-2</v>
      </c>
      <c r="AA2918">
        <v>0.95089699999999999</v>
      </c>
      <c r="AB2918">
        <v>24</v>
      </c>
      <c r="AC2918">
        <v>7.8845000000000001</v>
      </c>
      <c r="AD2918">
        <v>-1.1153687749500001</v>
      </c>
      <c r="AE2918">
        <v>-11.046200000000001</v>
      </c>
      <c r="AF2918">
        <v>-4.1025385841924802</v>
      </c>
      <c r="AG2918">
        <v>-1.1153687749500001</v>
      </c>
      <c r="AH2918">
        <v>12.8409477854069</v>
      </c>
      <c r="AI2918">
        <v>94.729886472411394</v>
      </c>
      <c r="AJ2918">
        <v>107.718097062379</v>
      </c>
      <c r="AK2918">
        <v>13.5264485496552</v>
      </c>
      <c r="AL2918">
        <v>80.530445176195002</v>
      </c>
      <c r="AM2918">
        <v>99.247766458135501</v>
      </c>
      <c r="AN2918">
        <v>0.99999999137615003</v>
      </c>
    </row>
    <row r="2919" spans="1:40" x14ac:dyDescent="0.25">
      <c r="A2919" t="str">
        <f>"20190312172946556"</f>
        <v>20190312172946556</v>
      </c>
      <c r="B2919" t="str">
        <f>"1552382986550948"</f>
        <v>1552382986550948</v>
      </c>
      <c r="C2919" t="s">
        <v>40</v>
      </c>
      <c r="D2919">
        <v>3.0510359999999999</v>
      </c>
      <c r="E2919">
        <v>0.4401967</v>
      </c>
      <c r="F2919" t="s">
        <v>46</v>
      </c>
      <c r="G2919">
        <v>-482.00529999999998</v>
      </c>
      <c r="H2919" s="1">
        <v>2.1107E-6</v>
      </c>
      <c r="I2919">
        <v>219.30420000000001</v>
      </c>
      <c r="J2919">
        <v>-490.24540000000002</v>
      </c>
      <c r="K2919">
        <v>1.115445</v>
      </c>
      <c r="L2919">
        <v>230.566</v>
      </c>
      <c r="M2919">
        <v>0.31277949999999999</v>
      </c>
      <c r="N2919">
        <v>0</v>
      </c>
      <c r="O2919">
        <v>-0.94972650000000003</v>
      </c>
      <c r="P2919">
        <v>0.45420080000000002</v>
      </c>
      <c r="Q2919">
        <v>0.153687299999999</v>
      </c>
      <c r="R2919">
        <v>-0.87754349999999903</v>
      </c>
      <c r="S2919">
        <v>1.826935</v>
      </c>
      <c r="T2919">
        <v>-0.24505969999999999</v>
      </c>
      <c r="U2919">
        <v>-2.519714</v>
      </c>
      <c r="V2919">
        <v>-0.1589843</v>
      </c>
      <c r="W2919">
        <v>0.16511229999999999</v>
      </c>
      <c r="X2919">
        <v>0.97337649999999998</v>
      </c>
      <c r="Y2919">
        <v>-0.30241509999999999</v>
      </c>
      <c r="Z2919">
        <v>7.8376470000000004E-2</v>
      </c>
      <c r="AA2919">
        <v>0.94994849999999997</v>
      </c>
      <c r="AB2919">
        <v>24</v>
      </c>
      <c r="AC2919">
        <v>8.2401000000000408</v>
      </c>
      <c r="AD2919">
        <v>-1.1154428892999999</v>
      </c>
      <c r="AE2919">
        <v>-11.2617999999999</v>
      </c>
      <c r="AF2919">
        <v>-4.2764624338010799</v>
      </c>
      <c r="AG2919">
        <v>-1.1154428892999999</v>
      </c>
      <c r="AH2919">
        <v>13.189938543674399</v>
      </c>
      <c r="AI2919">
        <v>94.599263983113005</v>
      </c>
      <c r="AJ2919">
        <v>107.96381193775601</v>
      </c>
      <c r="AK2919">
        <v>13.910672973401001</v>
      </c>
      <c r="AL2919">
        <v>80.496241208677802</v>
      </c>
      <c r="AM2919">
        <v>99.276367919891598</v>
      </c>
      <c r="AN2919">
        <v>0.99999994500501299</v>
      </c>
    </row>
    <row r="2920" spans="1:40" x14ac:dyDescent="0.25">
      <c r="A2920" t="str">
        <f>"20190312172946580"</f>
        <v>20190312172946580</v>
      </c>
      <c r="B2920" t="str">
        <f>"1552382986570467"</f>
        <v>1552382986570467</v>
      </c>
      <c r="C2920" t="s">
        <v>40</v>
      </c>
      <c r="D2920">
        <v>3.0171269999999999</v>
      </c>
      <c r="E2920">
        <v>0.4401407</v>
      </c>
      <c r="F2920" t="s">
        <v>46</v>
      </c>
      <c r="G2920">
        <v>-481.68459999999999</v>
      </c>
      <c r="H2920" s="1">
        <v>2.0387410000000001E-6</v>
      </c>
      <c r="I2920">
        <v>218.95949999999999</v>
      </c>
      <c r="J2920">
        <v>-490.16</v>
      </c>
      <c r="K2920">
        <v>1.1155330000000001</v>
      </c>
      <c r="L2920">
        <v>230.33709999999999</v>
      </c>
      <c r="M2920">
        <v>0.32078689999999999</v>
      </c>
      <c r="N2920">
        <v>0</v>
      </c>
      <c r="O2920">
        <v>-0.94705139999999999</v>
      </c>
      <c r="P2920">
        <v>0.46139609999999898</v>
      </c>
      <c r="Q2920">
        <v>0.15442</v>
      </c>
      <c r="R2920">
        <v>-0.87365219999999899</v>
      </c>
      <c r="S2920">
        <v>1.8473820000000001</v>
      </c>
      <c r="T2920">
        <v>-0.24070749999999999</v>
      </c>
      <c r="U2920">
        <v>-2.504623</v>
      </c>
      <c r="V2920">
        <v>-0.15884619999999999</v>
      </c>
      <c r="W2920">
        <v>0.16582759999999999</v>
      </c>
      <c r="X2920">
        <v>0.97327750000000002</v>
      </c>
      <c r="Y2920">
        <v>-0.30219620000000003</v>
      </c>
      <c r="Z2920">
        <v>7.6882140000000002E-2</v>
      </c>
      <c r="AA2920">
        <v>0.95014030000000005</v>
      </c>
      <c r="AB2920">
        <v>24</v>
      </c>
      <c r="AC2920">
        <v>8.4754000000000307</v>
      </c>
      <c r="AD2920">
        <v>-1.1155309612590001</v>
      </c>
      <c r="AE2920">
        <v>-11.377599999999999</v>
      </c>
      <c r="AF2920">
        <v>-4.3503731746645604</v>
      </c>
      <c r="AG2920">
        <v>-1.1155309612590001</v>
      </c>
      <c r="AH2920">
        <v>13.412326907184299</v>
      </c>
      <c r="AI2920">
        <v>94.523500711369195</v>
      </c>
      <c r="AJ2920">
        <v>107.97079914692</v>
      </c>
      <c r="AK2920">
        <v>14.1442804394408</v>
      </c>
      <c r="AL2920">
        <v>80.454685201190799</v>
      </c>
      <c r="AM2920">
        <v>99.269376405102193</v>
      </c>
      <c r="AN2920">
        <v>1.0000000000912199</v>
      </c>
    </row>
    <row r="2921" spans="1:40" x14ac:dyDescent="0.25">
      <c r="A2921" t="str">
        <f>"20190312172946602"</f>
        <v>20190312172946602</v>
      </c>
      <c r="B2921" t="str">
        <f>"1552382986589991"</f>
        <v>1552382986589991</v>
      </c>
      <c r="C2921" t="s">
        <v>40</v>
      </c>
      <c r="D2921">
        <v>2.932372</v>
      </c>
      <c r="E2921">
        <v>0.4403185</v>
      </c>
      <c r="F2921" t="s">
        <v>46</v>
      </c>
      <c r="G2921">
        <v>-481.34030000000001</v>
      </c>
      <c r="H2921" s="1">
        <v>1.9615350000000001E-6</v>
      </c>
      <c r="I2921">
        <v>218.59010000000001</v>
      </c>
      <c r="J2921">
        <v>-490.0779</v>
      </c>
      <c r="K2921">
        <v>1.1156090000000001</v>
      </c>
      <c r="L2921">
        <v>230.12280000000001</v>
      </c>
      <c r="M2921">
        <v>0.32840910000000001</v>
      </c>
      <c r="N2921">
        <v>0</v>
      </c>
      <c r="O2921">
        <v>-0.94443509999999997</v>
      </c>
      <c r="P2921">
        <v>0.46816360000000001</v>
      </c>
      <c r="Q2921">
        <v>0.15519469999999999</v>
      </c>
      <c r="R2921">
        <v>-0.86990679999999998</v>
      </c>
      <c r="S2921">
        <v>1.8685909999999999</v>
      </c>
      <c r="T2921">
        <v>-0.236343</v>
      </c>
      <c r="U2921">
        <v>-2.4887999999999999</v>
      </c>
      <c r="V2921">
        <v>-0.1586418</v>
      </c>
      <c r="W2921">
        <v>0.1665884</v>
      </c>
      <c r="X2921">
        <v>0.97318090000000002</v>
      </c>
      <c r="Y2921">
        <v>-0.30266379999999998</v>
      </c>
      <c r="Z2921">
        <v>7.5394409999999995E-2</v>
      </c>
      <c r="AA2921">
        <v>0.95011069999999997</v>
      </c>
      <c r="AB2921">
        <v>24</v>
      </c>
      <c r="AC2921">
        <v>8.7375999999999792</v>
      </c>
      <c r="AD2921">
        <v>-1.1156070384649901</v>
      </c>
      <c r="AE2921">
        <v>-11.5327</v>
      </c>
      <c r="AF2921">
        <v>-4.4386882607237501</v>
      </c>
      <c r="AG2921">
        <v>-1.1156070384649901</v>
      </c>
      <c r="AH2921">
        <v>13.6813644739164</v>
      </c>
      <c r="AI2921">
        <v>94.435108254170899</v>
      </c>
      <c r="AJ2921">
        <v>107.974781704875</v>
      </c>
      <c r="AK2921">
        <v>14.4265819378084</v>
      </c>
      <c r="AL2921">
        <v>80.410479605741799</v>
      </c>
      <c r="AM2921">
        <v>99.258558429928797</v>
      </c>
      <c r="AN2921">
        <v>0.99999998992330497</v>
      </c>
    </row>
    <row r="2922" spans="1:40" x14ac:dyDescent="0.25">
      <c r="A2922" t="str">
        <f>"20190312172946625"</f>
        <v>20190312172946625</v>
      </c>
      <c r="B2922" t="str">
        <f>"1552382986620244"</f>
        <v>1552382986620244</v>
      </c>
      <c r="C2922" t="s">
        <v>40</v>
      </c>
      <c r="D2922">
        <v>3.068279</v>
      </c>
      <c r="E2922">
        <v>0.4409807</v>
      </c>
      <c r="F2922" t="s">
        <v>46</v>
      </c>
      <c r="G2922">
        <v>-481.01560000000001</v>
      </c>
      <c r="H2922" s="1">
        <v>1.888614E-6</v>
      </c>
      <c r="I2922">
        <v>218.23990000000001</v>
      </c>
      <c r="J2922">
        <v>-489.99340000000001</v>
      </c>
      <c r="K2922">
        <v>1.1156809999999999</v>
      </c>
      <c r="L2922">
        <v>229.90790000000001</v>
      </c>
      <c r="M2922">
        <v>0.3361654</v>
      </c>
      <c r="N2922">
        <v>0</v>
      </c>
      <c r="O2922">
        <v>-0.94170189999999998</v>
      </c>
      <c r="P2922">
        <v>0.4750743</v>
      </c>
      <c r="Q2922">
        <v>0.15532869999999999</v>
      </c>
      <c r="R2922">
        <v>-0.86612769999999994</v>
      </c>
      <c r="S2922">
        <v>1.887146</v>
      </c>
      <c r="T2922">
        <v>-0.23231489999999999</v>
      </c>
      <c r="U2922">
        <v>-2.4745029999999999</v>
      </c>
      <c r="V2922">
        <v>-0.15842310000000001</v>
      </c>
      <c r="W2922">
        <v>0.16671159999999999</v>
      </c>
      <c r="X2922">
        <v>0.97319540000000004</v>
      </c>
      <c r="Y2922">
        <v>-0.30204259999999999</v>
      </c>
      <c r="Z2922">
        <v>7.3999170000000003E-2</v>
      </c>
      <c r="AA2922">
        <v>0.95041799999999999</v>
      </c>
      <c r="AB2922">
        <v>24</v>
      </c>
      <c r="AC2922">
        <v>8.9778000000000002</v>
      </c>
      <c r="AD2922">
        <v>-1.1156791113859901</v>
      </c>
      <c r="AE2922">
        <v>-11.667999999999999</v>
      </c>
      <c r="AF2922">
        <v>-4.5065838589398401</v>
      </c>
      <c r="AG2922">
        <v>-1.1156791113859901</v>
      </c>
      <c r="AH2922">
        <v>13.927154099538599</v>
      </c>
      <c r="AI2922">
        <v>94.358503742907402</v>
      </c>
      <c r="AJ2922">
        <v>107.930675164088</v>
      </c>
      <c r="AK2922">
        <v>14.6805878380103</v>
      </c>
      <c r="AL2922">
        <v>80.403320379221398</v>
      </c>
      <c r="AM2922">
        <v>99.245879995101603</v>
      </c>
      <c r="AN2922">
        <v>0.99999996138466396</v>
      </c>
    </row>
    <row r="2923" spans="1:40" x14ac:dyDescent="0.25">
      <c r="A2923" t="str">
        <f>"20190312172946646"</f>
        <v>20190312172946646</v>
      </c>
      <c r="B2923" t="str">
        <f>"1552382986640740"</f>
        <v>1552382986640740</v>
      </c>
      <c r="C2923" t="s">
        <v>40</v>
      </c>
      <c r="D2923">
        <v>3.0261140000000002</v>
      </c>
      <c r="E2923">
        <v>0.44164110000000001</v>
      </c>
      <c r="F2923" t="s">
        <v>46</v>
      </c>
      <c r="G2923">
        <v>-480.92770000000002</v>
      </c>
      <c r="H2923" s="1">
        <v>1.870156E-6</v>
      </c>
      <c r="I2923">
        <v>218.17410000000001</v>
      </c>
      <c r="J2923">
        <v>-489.9058</v>
      </c>
      <c r="K2923">
        <v>1.115734</v>
      </c>
      <c r="L2923">
        <v>229.69130000000001</v>
      </c>
      <c r="M2923">
        <v>0.34410279999999999</v>
      </c>
      <c r="N2923">
        <v>0</v>
      </c>
      <c r="O2923">
        <v>-0.93883050000000001</v>
      </c>
      <c r="P2923">
        <v>0.48199370000000002</v>
      </c>
      <c r="Q2923">
        <v>0.15511620000000001</v>
      </c>
      <c r="R2923">
        <v>-0.86233479999999996</v>
      </c>
      <c r="S2923">
        <v>1.902344</v>
      </c>
      <c r="T2923">
        <v>-0.23411360000000001</v>
      </c>
      <c r="U2923">
        <v>-2.4622190000000002</v>
      </c>
      <c r="V2923">
        <v>-0.15800710000000001</v>
      </c>
      <c r="W2923">
        <v>0.16649529999999901</v>
      </c>
      <c r="X2923">
        <v>0.9733001</v>
      </c>
      <c r="Y2923">
        <v>-0.29994009999999999</v>
      </c>
      <c r="Z2923">
        <v>7.4428960000000002E-2</v>
      </c>
      <c r="AA2923">
        <v>0.95105010000000001</v>
      </c>
      <c r="AB2923">
        <v>24</v>
      </c>
      <c r="AC2923">
        <v>8.97809999999998</v>
      </c>
      <c r="AD2923">
        <v>-1.1157321298439999</v>
      </c>
      <c r="AE2923">
        <v>-11.517200000000001</v>
      </c>
      <c r="AF2923">
        <v>-4.4403185661981004</v>
      </c>
      <c r="AG2923">
        <v>-1.1157321298439999</v>
      </c>
      <c r="AH2923">
        <v>13.822722677277699</v>
      </c>
      <c r="AI2923">
        <v>94.394514266839593</v>
      </c>
      <c r="AJ2923">
        <v>107.80874683694999</v>
      </c>
      <c r="AK2923">
        <v>14.5612138699979</v>
      </c>
      <c r="AL2923">
        <v>80.415889555375998</v>
      </c>
      <c r="AM2923">
        <v>99.221044116234594</v>
      </c>
      <c r="AN2923">
        <v>1.00000000661625</v>
      </c>
    </row>
    <row r="2924" spans="1:40" x14ac:dyDescent="0.25">
      <c r="A2924" t="str">
        <f>"20190312172946670"</f>
        <v>20190312172946670</v>
      </c>
      <c r="B2924" t="str">
        <f>"1552382986660260"</f>
        <v>1552382986660260</v>
      </c>
      <c r="C2924" t="s">
        <v>40</v>
      </c>
      <c r="D2924">
        <v>3.0894569999999999</v>
      </c>
      <c r="E2924">
        <v>0.44234800000000002</v>
      </c>
      <c r="F2924" t="s">
        <v>46</v>
      </c>
      <c r="G2924">
        <v>-480.87060000000002</v>
      </c>
      <c r="H2924" s="1">
        <v>1.858781E-6</v>
      </c>
      <c r="I2924">
        <v>218.1456</v>
      </c>
      <c r="J2924">
        <v>-489.81459999999998</v>
      </c>
      <c r="K2924">
        <v>1.1157779999999999</v>
      </c>
      <c r="L2924">
        <v>229.47110000000001</v>
      </c>
      <c r="M2924">
        <v>0.35226459999999998</v>
      </c>
      <c r="N2924">
        <v>0</v>
      </c>
      <c r="O2924">
        <v>-0.93579880000000004</v>
      </c>
      <c r="P2924">
        <v>0.48948039999999998</v>
      </c>
      <c r="Q2924">
        <v>0.1553899</v>
      </c>
      <c r="R2924">
        <v>-0.8580584</v>
      </c>
      <c r="S2924">
        <v>1.917206</v>
      </c>
      <c r="T2924">
        <v>-0.23674990000000001</v>
      </c>
      <c r="U2924">
        <v>-2.4499050000000002</v>
      </c>
      <c r="V2924">
        <v>-0.15804219999999999</v>
      </c>
      <c r="W2924">
        <v>0.16676189999999999</v>
      </c>
      <c r="X2924">
        <v>0.97324880000000003</v>
      </c>
      <c r="Y2924">
        <v>-0.29749599999999998</v>
      </c>
      <c r="Z2924">
        <v>7.5107750000000001E-2</v>
      </c>
      <c r="AA2924">
        <v>0.9517641</v>
      </c>
      <c r="AB2924">
        <v>24</v>
      </c>
      <c r="AC2924">
        <v>8.94399999999996</v>
      </c>
      <c r="AD2924">
        <v>-1.1157761412189999</v>
      </c>
      <c r="AE2924">
        <v>-11.3255</v>
      </c>
      <c r="AF2924">
        <v>-4.35459741840085</v>
      </c>
      <c r="AG2924">
        <v>-1.1157761412189999</v>
      </c>
      <c r="AH2924">
        <v>13.668643114060799</v>
      </c>
      <c r="AI2924">
        <v>94.447434262763693</v>
      </c>
      <c r="AJ2924">
        <v>107.670995002493</v>
      </c>
      <c r="AK2924">
        <v>14.3888595674994</v>
      </c>
      <c r="AL2924">
        <v>80.400398319482505</v>
      </c>
      <c r="AM2924">
        <v>99.223535090530106</v>
      </c>
      <c r="AN2924">
        <v>1.0000000474869399</v>
      </c>
    </row>
    <row r="2925" spans="1:40" x14ac:dyDescent="0.25">
      <c r="A2925" t="str">
        <f>"20190312172946691"</f>
        <v>20190312172946691</v>
      </c>
      <c r="B2925" t="str">
        <f>"1552382986680755"</f>
        <v>1552382986680755</v>
      </c>
      <c r="C2925" t="s">
        <v>40</v>
      </c>
      <c r="D2925">
        <v>3.0475650000000001</v>
      </c>
      <c r="E2925">
        <v>0.44267060000000003</v>
      </c>
      <c r="F2925" t="s">
        <v>46</v>
      </c>
      <c r="G2925">
        <v>-480.76069999999999</v>
      </c>
      <c r="H2925" s="1">
        <v>1.8356850000000001E-6</v>
      </c>
      <c r="I2925">
        <v>218.06319999999999</v>
      </c>
      <c r="J2925">
        <v>-489.72519999999997</v>
      </c>
      <c r="K2925">
        <v>1.1158140000000001</v>
      </c>
      <c r="L2925">
        <v>229.26070000000001</v>
      </c>
      <c r="M2925">
        <v>0.36012830000000001</v>
      </c>
      <c r="N2925">
        <v>0</v>
      </c>
      <c r="O2925">
        <v>-0.93280050000000003</v>
      </c>
      <c r="P2925">
        <v>0.49622539999999998</v>
      </c>
      <c r="Q2925">
        <v>0.15541199999999999</v>
      </c>
      <c r="R2925">
        <v>-0.85417099999999901</v>
      </c>
      <c r="S2925">
        <v>1.933624</v>
      </c>
      <c r="T2925">
        <v>-0.23829500000000001</v>
      </c>
      <c r="U2925">
        <v>-2.436356</v>
      </c>
      <c r="V2925">
        <v>-0.1575328</v>
      </c>
      <c r="W2925">
        <v>0.1667892</v>
      </c>
      <c r="X2925">
        <v>0.97332669999999999</v>
      </c>
      <c r="Y2925">
        <v>-0.2959542</v>
      </c>
      <c r="Z2925">
        <v>7.5447260000000002E-2</v>
      </c>
      <c r="AA2925">
        <v>0.95221789999999995</v>
      </c>
      <c r="AB2925">
        <v>24</v>
      </c>
      <c r="AC2925">
        <v>8.9644999999999797</v>
      </c>
      <c r="AD2925">
        <v>-1.1158121643150001</v>
      </c>
      <c r="AE2925">
        <v>-11.1975</v>
      </c>
      <c r="AF2925">
        <v>-4.3039222002107298</v>
      </c>
      <c r="AG2925">
        <v>-1.1158121643150001</v>
      </c>
      <c r="AH2925">
        <v>13.592456289417999</v>
      </c>
      <c r="AI2925">
        <v>94.474902425531198</v>
      </c>
      <c r="AJ2925">
        <v>107.569896337584</v>
      </c>
      <c r="AK2925">
        <v>14.3011765624804</v>
      </c>
      <c r="AL2925">
        <v>80.398811880028802</v>
      </c>
      <c r="AM2925">
        <v>99.193591134947198</v>
      </c>
      <c r="AN2925">
        <v>1.0000000426226801</v>
      </c>
    </row>
    <row r="2926" spans="1:40" x14ac:dyDescent="0.25">
      <c r="A2926" t="str">
        <f>"20190312172946715"</f>
        <v>20190312172946715</v>
      </c>
      <c r="B2926" t="str">
        <f>"1552382986710036"</f>
        <v>1552382986710036</v>
      </c>
      <c r="C2926" t="s">
        <v>40</v>
      </c>
      <c r="D2926">
        <v>3.0150769999999998</v>
      </c>
      <c r="E2926">
        <v>0.4496057</v>
      </c>
      <c r="F2926" t="s">
        <v>46</v>
      </c>
      <c r="G2926">
        <v>-480.60750000000002</v>
      </c>
      <c r="H2926" s="1">
        <v>1.8032350000000001E-6</v>
      </c>
      <c r="I2926">
        <v>217.9426</v>
      </c>
      <c r="J2926">
        <v>-489.62650000000002</v>
      </c>
      <c r="K2926">
        <v>1.1158440000000001</v>
      </c>
      <c r="L2926">
        <v>229.03399999999999</v>
      </c>
      <c r="M2926">
        <v>0.36867319999999998</v>
      </c>
      <c r="N2926">
        <v>0</v>
      </c>
      <c r="O2926">
        <v>-0.92945630000000001</v>
      </c>
      <c r="P2926">
        <v>0.5034035</v>
      </c>
      <c r="Q2926">
        <v>0.15578520000000001</v>
      </c>
      <c r="R2926">
        <v>-0.84989179999999998</v>
      </c>
      <c r="S2926">
        <v>1.951233</v>
      </c>
      <c r="T2926">
        <v>-0.23878840000000001</v>
      </c>
      <c r="U2926">
        <v>-2.4221189999999999</v>
      </c>
      <c r="V2926">
        <v>-0.1568387</v>
      </c>
      <c r="W2926">
        <v>0.16717279999999901</v>
      </c>
      <c r="X2926">
        <v>0.97337289999999999</v>
      </c>
      <c r="Y2926">
        <v>-0.2941203</v>
      </c>
      <c r="Z2926">
        <v>7.5421669999999996E-2</v>
      </c>
      <c r="AA2926">
        <v>0.95278790000000002</v>
      </c>
      <c r="AB2926">
        <v>24</v>
      </c>
      <c r="AC2926">
        <v>9.0190000000000001</v>
      </c>
      <c r="AD2926">
        <v>-1.1158421967649901</v>
      </c>
      <c r="AE2926">
        <v>-11.0914</v>
      </c>
      <c r="AF2926">
        <v>-4.2680707929093797</v>
      </c>
      <c r="AG2926">
        <v>-1.1158421967649901</v>
      </c>
      <c r="AH2926">
        <v>13.5527655306858</v>
      </c>
      <c r="AI2926">
        <v>94.490280058652004</v>
      </c>
      <c r="AJ2926">
        <v>107.48038760114601</v>
      </c>
      <c r="AK2926">
        <v>14.252683453690899</v>
      </c>
      <c r="AL2926">
        <v>80.376519471057193</v>
      </c>
      <c r="AM2926">
        <v>99.153343695287006</v>
      </c>
      <c r="AN2926">
        <v>0.99999996266596902</v>
      </c>
    </row>
    <row r="2927" spans="1:40" x14ac:dyDescent="0.25">
      <c r="A2927" t="str">
        <f>"20190312172946737"</f>
        <v>20190312172946737</v>
      </c>
      <c r="B2927" t="str">
        <f>"1552382986730532"</f>
        <v>1552382986730532</v>
      </c>
      <c r="C2927" t="s">
        <v>40</v>
      </c>
      <c r="D2927">
        <v>3.012534</v>
      </c>
      <c r="E2927">
        <v>0.45048510000000003</v>
      </c>
      <c r="F2927" t="s">
        <v>46</v>
      </c>
      <c r="G2927">
        <v>-481.2056</v>
      </c>
      <c r="H2927" s="1">
        <v>1.9286550000000001E-6</v>
      </c>
      <c r="I2927">
        <v>218.38489999999999</v>
      </c>
      <c r="J2927">
        <v>-489.53230000000002</v>
      </c>
      <c r="K2927">
        <v>1.1158570000000001</v>
      </c>
      <c r="L2927">
        <v>228.8228</v>
      </c>
      <c r="M2927">
        <v>0.37668099999999999</v>
      </c>
      <c r="N2927">
        <v>0</v>
      </c>
      <c r="O2927">
        <v>-0.9262397</v>
      </c>
      <c r="P2927">
        <v>0.51072620000000002</v>
      </c>
      <c r="Q2927">
        <v>0.15572320000000001</v>
      </c>
      <c r="R2927">
        <v>-0.84552329999999998</v>
      </c>
      <c r="S2927">
        <v>1.9261470000000001</v>
      </c>
      <c r="T2927">
        <v>-0.25522990000000001</v>
      </c>
      <c r="U2927">
        <v>-2.435791</v>
      </c>
      <c r="V2927">
        <v>-0.1568483</v>
      </c>
      <c r="W2927">
        <v>0.16711219999999999</v>
      </c>
      <c r="X2927">
        <v>0.97338179999999996</v>
      </c>
      <c r="Y2927">
        <v>-0.27694679999999999</v>
      </c>
      <c r="Z2927">
        <v>8.0265509999999998E-2</v>
      </c>
      <c r="AA2927">
        <v>0.95752700000000002</v>
      </c>
      <c r="AB2927">
        <v>24</v>
      </c>
      <c r="AC2927">
        <v>8.3267000000000095</v>
      </c>
      <c r="AD2927">
        <v>-1.1158550713449999</v>
      </c>
      <c r="AE2927">
        <v>-10.437900000000001</v>
      </c>
      <c r="AF2927">
        <v>-3.7548992503991099</v>
      </c>
      <c r="AG2927">
        <v>-1.1158550713449999</v>
      </c>
      <c r="AH2927">
        <v>12.7169179840106</v>
      </c>
      <c r="AI2927">
        <v>94.810332648566202</v>
      </c>
      <c r="AJ2927">
        <v>106.45018544373301</v>
      </c>
      <c r="AK2927">
        <v>13.3065549235309</v>
      </c>
      <c r="AL2927">
        <v>80.380041523253297</v>
      </c>
      <c r="AM2927">
        <v>99.153812200129707</v>
      </c>
      <c r="AN2927">
        <v>1.0000000025864799</v>
      </c>
    </row>
    <row r="2928" spans="1:40" x14ac:dyDescent="0.25">
      <c r="A2928" t="str">
        <f>"20190312172946758"</f>
        <v>20190312172946758</v>
      </c>
      <c r="B2928" t="str">
        <f>"1552382986750052"</f>
        <v>1552382986750052</v>
      </c>
      <c r="C2928" t="s">
        <v>40</v>
      </c>
      <c r="D2928">
        <v>3.0564079999999998</v>
      </c>
      <c r="E2928">
        <v>0.42878690000000003</v>
      </c>
      <c r="F2928" t="s">
        <v>46</v>
      </c>
      <c r="G2928">
        <v>-481.10239999999999</v>
      </c>
      <c r="H2928" s="1">
        <v>1.9066530000000001E-6</v>
      </c>
      <c r="I2928">
        <v>218.30019999999999</v>
      </c>
      <c r="J2928">
        <v>-489.44150000000002</v>
      </c>
      <c r="K2928">
        <v>1.1158650000000001</v>
      </c>
      <c r="L2928">
        <v>228.624</v>
      </c>
      <c r="M2928">
        <v>0.38424960000000002</v>
      </c>
      <c r="N2928">
        <v>0</v>
      </c>
      <c r="O2928">
        <v>-0.92312539999999998</v>
      </c>
      <c r="P2928">
        <v>0.51758159999999998</v>
      </c>
      <c r="Q2928">
        <v>0.1559429</v>
      </c>
      <c r="R2928">
        <v>-0.84130339999999904</v>
      </c>
      <c r="S2928">
        <v>1.9410400000000001</v>
      </c>
      <c r="T2928">
        <v>-0.2569343</v>
      </c>
      <c r="U2928">
        <v>-2.4229129999999999</v>
      </c>
      <c r="V2928">
        <v>-0.15681489999999901</v>
      </c>
      <c r="W2928">
        <v>0.16733499999999901</v>
      </c>
      <c r="X2928">
        <v>0.97334889999999996</v>
      </c>
      <c r="Y2928">
        <v>-0.27512710000000001</v>
      </c>
      <c r="Z2928">
        <v>8.0620479999999994E-2</v>
      </c>
      <c r="AA2928">
        <v>0.95802160000000003</v>
      </c>
      <c r="AB2928">
        <v>24</v>
      </c>
      <c r="AC2928">
        <v>8.3391000000000304</v>
      </c>
      <c r="AD2928">
        <v>-1.115863093347</v>
      </c>
      <c r="AE2928">
        <v>-10.3238</v>
      </c>
      <c r="AF2928">
        <v>-3.7052810124347801</v>
      </c>
      <c r="AG2928">
        <v>-1.115863093347</v>
      </c>
      <c r="AH2928">
        <v>12.646271753578599</v>
      </c>
      <c r="AI2928">
        <v>94.840076793518904</v>
      </c>
      <c r="AJ2928">
        <v>106.330264845375</v>
      </c>
      <c r="AK2928">
        <v>13.2250688878948</v>
      </c>
      <c r="AL2928">
        <v>80.367093661770994</v>
      </c>
      <c r="AM2928">
        <v>99.1522000417296</v>
      </c>
      <c r="AN2928">
        <v>0.999999998109109</v>
      </c>
    </row>
    <row r="2929" spans="1:40" x14ac:dyDescent="0.25">
      <c r="A2929" t="str">
        <f>"20190312172946781"</f>
        <v>20190312172946781</v>
      </c>
      <c r="B2929" t="str">
        <f>"1552382986770563"</f>
        <v>1552382986770563</v>
      </c>
      <c r="C2929" t="s">
        <v>40</v>
      </c>
      <c r="D2929">
        <v>3.0803419999999999</v>
      </c>
      <c r="E2929">
        <v>0.42004849999999999</v>
      </c>
      <c r="F2929" t="s">
        <v>46</v>
      </c>
      <c r="G2929">
        <v>-479.18239999999997</v>
      </c>
      <c r="H2929" s="1">
        <v>2.006324E-6</v>
      </c>
      <c r="I2929">
        <v>217.3595</v>
      </c>
      <c r="J2929">
        <v>-489.34199999999998</v>
      </c>
      <c r="K2929">
        <v>1.1158729999999999</v>
      </c>
      <c r="L2929">
        <v>228.411</v>
      </c>
      <c r="M2929">
        <v>0.39238430000000002</v>
      </c>
      <c r="N2929">
        <v>0</v>
      </c>
      <c r="O2929">
        <v>-0.91969699999999999</v>
      </c>
      <c r="P2929">
        <v>0.5246265</v>
      </c>
      <c r="Q2929">
        <v>0.1558118</v>
      </c>
      <c r="R2929">
        <v>-0.83695239999999904</v>
      </c>
      <c r="S2929">
        <v>2.1061709999999998</v>
      </c>
      <c r="T2929">
        <v>-0.2290856</v>
      </c>
      <c r="U2929">
        <v>-2.312592</v>
      </c>
      <c r="V2929">
        <v>-0.1563832</v>
      </c>
      <c r="W2929">
        <v>0.16721559999999999</v>
      </c>
      <c r="X2929">
        <v>0.9734389</v>
      </c>
      <c r="Y2929">
        <v>-0.32732689999999998</v>
      </c>
      <c r="Z2929">
        <v>7.2030230000000001E-2</v>
      </c>
      <c r="AA2929">
        <v>0.94216169999999999</v>
      </c>
      <c r="AB2929">
        <v>24</v>
      </c>
      <c r="AC2929">
        <v>10.159599999999999</v>
      </c>
      <c r="AD2929">
        <v>-1.1158709936759901</v>
      </c>
      <c r="AE2929">
        <v>-11.0514999999999</v>
      </c>
      <c r="AF2929">
        <v>-4.9802812065468398</v>
      </c>
      <c r="AG2929">
        <v>-1.1158709936759901</v>
      </c>
      <c r="AH2929">
        <v>14.074092387583899</v>
      </c>
      <c r="AI2929">
        <v>94.274556687357105</v>
      </c>
      <c r="AJ2929">
        <v>109.486917377027</v>
      </c>
      <c r="AK2929">
        <v>14.970919995279401</v>
      </c>
      <c r="AL2929">
        <v>80.374032826681301</v>
      </c>
      <c r="AM2929">
        <v>99.126599698674298</v>
      </c>
      <c r="AN2929">
        <v>1.0000000270794001</v>
      </c>
    </row>
    <row r="2930" spans="1:40" x14ac:dyDescent="0.25">
      <c r="A2930" t="str">
        <f>"20190312172946803"</f>
        <v>20190312172946803</v>
      </c>
      <c r="B2930" t="str">
        <f>"1552382986800805"</f>
        <v>1552382986800805</v>
      </c>
      <c r="C2930" t="s">
        <v>40</v>
      </c>
      <c r="D2930">
        <v>3.0525609999999999</v>
      </c>
      <c r="E2930">
        <v>0.41587869999999999</v>
      </c>
      <c r="F2930" t="s">
        <v>46</v>
      </c>
      <c r="G2930">
        <v>-477.78859999999997</v>
      </c>
      <c r="H2930" s="1">
        <v>2.5856799999999999E-6</v>
      </c>
      <c r="I2930">
        <v>216.47290000000001</v>
      </c>
      <c r="J2930">
        <v>-489.24270000000001</v>
      </c>
      <c r="K2930">
        <v>1.1158669999999999</v>
      </c>
      <c r="L2930">
        <v>228.20320000000001</v>
      </c>
      <c r="M2930">
        <v>0.40033160000000001</v>
      </c>
      <c r="N2930">
        <v>0</v>
      </c>
      <c r="O2930">
        <v>-0.91626549999999995</v>
      </c>
      <c r="P2930">
        <v>0.53195479999999995</v>
      </c>
      <c r="Q2930">
        <v>0.15591579999999999</v>
      </c>
      <c r="R2930">
        <v>-0.8322946</v>
      </c>
      <c r="S2930">
        <v>2.1827999999999999</v>
      </c>
      <c r="T2930">
        <v>-0.21082210000000001</v>
      </c>
      <c r="U2930">
        <v>-2.2554630000000002</v>
      </c>
      <c r="V2930">
        <v>-0.1565098</v>
      </c>
      <c r="W2930">
        <v>0.16732320000000001</v>
      </c>
      <c r="X2930">
        <v>0.97340009999999999</v>
      </c>
      <c r="Y2930">
        <v>-0.34792779999999901</v>
      </c>
      <c r="Z2930">
        <v>6.6247699999999896E-2</v>
      </c>
      <c r="AA2930">
        <v>0.93517779999999995</v>
      </c>
      <c r="AB2930">
        <v>24</v>
      </c>
      <c r="AC2930">
        <v>11.4541</v>
      </c>
      <c r="AD2930">
        <v>-1.1158644143200001</v>
      </c>
      <c r="AE2930">
        <v>-11.7303</v>
      </c>
      <c r="AF2930">
        <v>-5.7728025684108104</v>
      </c>
      <c r="AG2930">
        <v>-1.1158644143200001</v>
      </c>
      <c r="AH2930">
        <v>15.264271559670799</v>
      </c>
      <c r="AI2930">
        <v>93.9115967129691</v>
      </c>
      <c r="AJ2930">
        <v>110.716142047744</v>
      </c>
      <c r="AK2930">
        <v>16.3575178169663</v>
      </c>
      <c r="AL2930">
        <v>80.367780048664002</v>
      </c>
      <c r="AM2930">
        <v>99.134221583812007</v>
      </c>
      <c r="AN2930">
        <v>1.0000000627171399</v>
      </c>
    </row>
    <row r="2931" spans="1:40" x14ac:dyDescent="0.25">
      <c r="A2931" t="str">
        <f>"20190312172946826"</f>
        <v>20190312172946826</v>
      </c>
      <c r="B2931" t="str">
        <f>"1552382986820324"</f>
        <v>1552382986820324</v>
      </c>
      <c r="C2931" t="s">
        <v>40</v>
      </c>
      <c r="D2931">
        <v>3.0537450000000002</v>
      </c>
      <c r="E2931">
        <v>0.41508650000000002</v>
      </c>
      <c r="F2931" t="s">
        <v>46</v>
      </c>
      <c r="G2931">
        <v>-476.79340000000002</v>
      </c>
      <c r="H2931" s="1">
        <v>2.9989560000000001E-6</v>
      </c>
      <c r="I2931">
        <v>215.83090000000001</v>
      </c>
      <c r="J2931">
        <v>-489.14330000000001</v>
      </c>
      <c r="K2931">
        <v>1.1158589999999999</v>
      </c>
      <c r="L2931">
        <v>227.9999</v>
      </c>
      <c r="M2931">
        <v>0.40811370000000002</v>
      </c>
      <c r="N2931">
        <v>0</v>
      </c>
      <c r="O2931">
        <v>-0.91282580000000002</v>
      </c>
      <c r="P2931">
        <v>0.53840909999999997</v>
      </c>
      <c r="Q2931">
        <v>0.1554664</v>
      </c>
      <c r="R2931">
        <v>-0.82821859999999903</v>
      </c>
      <c r="S2931">
        <v>2.2302249999999999</v>
      </c>
      <c r="T2931">
        <v>-0.199901</v>
      </c>
      <c r="U2931">
        <v>-2.216415</v>
      </c>
      <c r="V2931">
        <v>-0.155747</v>
      </c>
      <c r="W2931">
        <v>0.1668945</v>
      </c>
      <c r="X2931">
        <v>0.97359600000000002</v>
      </c>
      <c r="Y2931">
        <v>-0.3583172</v>
      </c>
      <c r="Z2931">
        <v>6.2738249999999995E-2</v>
      </c>
      <c r="AA2931">
        <v>0.93148949999999997</v>
      </c>
      <c r="AB2931">
        <v>23</v>
      </c>
      <c r="AC2931">
        <v>12.3498999999999</v>
      </c>
      <c r="AD2931">
        <v>-1.115856001044</v>
      </c>
      <c r="AE2931">
        <v>-12.168999999999899</v>
      </c>
      <c r="AF2931">
        <v>-6.2815592762146197</v>
      </c>
      <c r="AG2931">
        <v>-1.115856001044</v>
      </c>
      <c r="AH2931">
        <v>16.083274612120601</v>
      </c>
      <c r="AI2931">
        <v>93.697640123233896</v>
      </c>
      <c r="AJ2931">
        <v>111.33386153690699</v>
      </c>
      <c r="AK2931">
        <v>17.3024519593191</v>
      </c>
      <c r="AL2931">
        <v>80.392692810965599</v>
      </c>
      <c r="AM2931">
        <v>99.0886495967857</v>
      </c>
      <c r="AN2931">
        <v>1.0000000366776201</v>
      </c>
    </row>
    <row r="2932" spans="1:40" x14ac:dyDescent="0.25">
      <c r="A2932" t="str">
        <f>"20190312172946847"</f>
        <v>20190312172946847</v>
      </c>
      <c r="B2932" t="str">
        <f>"1552382986840820"</f>
        <v>1552382986840820</v>
      </c>
      <c r="C2932" t="s">
        <v>40</v>
      </c>
      <c r="D2932">
        <v>3.0973950000000001</v>
      </c>
      <c r="E2932">
        <v>0.41511550000000003</v>
      </c>
      <c r="F2932" t="s">
        <v>46</v>
      </c>
      <c r="G2932">
        <v>-476.58920000000001</v>
      </c>
      <c r="H2932" s="1">
        <v>3.0869169999999999E-6</v>
      </c>
      <c r="I2932">
        <v>215.77209999999999</v>
      </c>
      <c r="J2932">
        <v>-489.04149999999998</v>
      </c>
      <c r="K2932">
        <v>1.1158399999999999</v>
      </c>
      <c r="L2932">
        <v>227.7962</v>
      </c>
      <c r="M2932">
        <v>0.41591719999999999</v>
      </c>
      <c r="N2932">
        <v>0</v>
      </c>
      <c r="O2932">
        <v>-0.90929669999999896</v>
      </c>
      <c r="P2932">
        <v>0.54510179999999997</v>
      </c>
      <c r="Q2932">
        <v>0.1556168</v>
      </c>
      <c r="R2932">
        <v>-0.8238008</v>
      </c>
      <c r="S2932">
        <v>2.2534480000000001</v>
      </c>
      <c r="T2932">
        <v>-0.2002951</v>
      </c>
      <c r="U2932">
        <v>-2.1948850000000002</v>
      </c>
      <c r="V2932">
        <v>-0.15530250000000001</v>
      </c>
      <c r="W2932">
        <v>0.16705999999999999</v>
      </c>
      <c r="X2932">
        <v>0.97363860000000002</v>
      </c>
      <c r="Y2932">
        <v>-0.35969099999999998</v>
      </c>
      <c r="Z2932">
        <v>6.2720819999999997E-2</v>
      </c>
      <c r="AA2932">
        <v>0.93096100000000004</v>
      </c>
      <c r="AB2932">
        <v>23</v>
      </c>
      <c r="AC2932">
        <v>12.4522999999999</v>
      </c>
      <c r="AD2932">
        <v>-1.1158369130829999</v>
      </c>
      <c r="AE2932">
        <v>-12.024100000000001</v>
      </c>
      <c r="AF2932">
        <v>-6.2962506444143802</v>
      </c>
      <c r="AG2932">
        <v>-1.1158369130829999</v>
      </c>
      <c r="AH2932">
        <v>16.0474681981629</v>
      </c>
      <c r="AI2932">
        <v>93.703563533954096</v>
      </c>
      <c r="AJ2932">
        <v>111.422641810244</v>
      </c>
      <c r="AK2932">
        <v>17.2745216942449</v>
      </c>
      <c r="AL2932">
        <v>80.383075144293599</v>
      </c>
      <c r="AM2932">
        <v>99.062751867196695</v>
      </c>
      <c r="AN2932">
        <v>1.0000000167581</v>
      </c>
    </row>
    <row r="2933" spans="1:40" x14ac:dyDescent="0.25">
      <c r="A2933" t="str">
        <f>"20190312172946870"</f>
        <v>20190312172946870</v>
      </c>
      <c r="B2933" t="str">
        <f>"1552382986860765"</f>
        <v>1552382986860765</v>
      </c>
      <c r="C2933" t="s">
        <v>40</v>
      </c>
      <c r="D2933">
        <v>3.052845</v>
      </c>
      <c r="E2933">
        <v>0.41544969999999998</v>
      </c>
      <c r="F2933" t="s">
        <v>46</v>
      </c>
      <c r="G2933">
        <v>-476.55630000000002</v>
      </c>
      <c r="H2933" s="1">
        <v>3.104137E-6</v>
      </c>
      <c r="I2933">
        <v>215.83199999999999</v>
      </c>
      <c r="J2933">
        <v>-488.93360000000001</v>
      </c>
      <c r="K2933">
        <v>1.115821</v>
      </c>
      <c r="L2933">
        <v>227.5848</v>
      </c>
      <c r="M2933">
        <v>0.42400959999999899</v>
      </c>
      <c r="N2933">
        <v>0</v>
      </c>
      <c r="O2933">
        <v>-0.90555160000000001</v>
      </c>
      <c r="P2933">
        <v>0.55207169999999905</v>
      </c>
      <c r="Q2933">
        <v>0.15480869999999999</v>
      </c>
      <c r="R2933">
        <v>-0.81929929999999995</v>
      </c>
      <c r="S2933">
        <v>2.2716669999999999</v>
      </c>
      <c r="T2933">
        <v>-0.2030256</v>
      </c>
      <c r="U2933">
        <v>-2.1768649999999998</v>
      </c>
      <c r="V2933">
        <v>-0.1547955</v>
      </c>
      <c r="W2933">
        <v>0.1662701</v>
      </c>
      <c r="X2933">
        <v>0.97385449999999996</v>
      </c>
      <c r="Y2933">
        <v>-0.35891689999999998</v>
      </c>
      <c r="Z2933">
        <v>6.3405660000000003E-2</v>
      </c>
      <c r="AA2933">
        <v>0.93121339999999997</v>
      </c>
      <c r="AB2933">
        <v>23</v>
      </c>
      <c r="AC2933">
        <v>12.3772999999999</v>
      </c>
      <c r="AD2933">
        <v>-1.1158178958629901</v>
      </c>
      <c r="AE2933">
        <v>-11.752800000000001</v>
      </c>
      <c r="AF2933">
        <v>-6.1990887076498398</v>
      </c>
      <c r="AG2933">
        <v>-1.1158178958629901</v>
      </c>
      <c r="AH2933">
        <v>15.8247570511733</v>
      </c>
      <c r="AI2933">
        <v>93.756260601346995</v>
      </c>
      <c r="AJ2933">
        <v>111.391946623595</v>
      </c>
      <c r="AK2933">
        <v>17.0322249313089</v>
      </c>
      <c r="AL2933">
        <v>80.428974799146303</v>
      </c>
      <c r="AM2933">
        <v>99.031684592145297</v>
      </c>
      <c r="AN2933">
        <v>0.99999999007225404</v>
      </c>
    </row>
    <row r="2934" spans="1:40" x14ac:dyDescent="0.25">
      <c r="A2934" t="str">
        <f>"20190312172946891"</f>
        <v>20190312172946891</v>
      </c>
      <c r="B2934" t="str">
        <f>"1552382986880298"</f>
        <v>1552382986880298</v>
      </c>
      <c r="C2934" t="s">
        <v>40</v>
      </c>
      <c r="D2934">
        <v>3.0737619999999999</v>
      </c>
      <c r="E2934">
        <v>0.41580600000000001</v>
      </c>
      <c r="F2934" t="s">
        <v>46</v>
      </c>
      <c r="G2934">
        <v>-476.68189999999998</v>
      </c>
      <c r="H2934" s="1">
        <v>3.0565899999999998E-6</v>
      </c>
      <c r="I2934">
        <v>216.01859999999999</v>
      </c>
      <c r="J2934">
        <v>-488.83120000000002</v>
      </c>
      <c r="K2934">
        <v>1.1157999999999999</v>
      </c>
      <c r="L2934">
        <v>227.38849999999999</v>
      </c>
      <c r="M2934">
        <v>0.43152590000000002</v>
      </c>
      <c r="N2934">
        <v>0</v>
      </c>
      <c r="O2934">
        <v>-0.90199410000000002</v>
      </c>
      <c r="P2934">
        <v>0.55887790000000004</v>
      </c>
      <c r="Q2934">
        <v>0.15465960000000001</v>
      </c>
      <c r="R2934">
        <v>-0.81469990000000003</v>
      </c>
      <c r="S2934">
        <v>2.2875670000000001</v>
      </c>
      <c r="T2934">
        <v>-0.20833979999999999</v>
      </c>
      <c r="U2934">
        <v>-2.159592</v>
      </c>
      <c r="V2934">
        <v>-0.15478819999999999</v>
      </c>
      <c r="W2934">
        <v>0.1661281</v>
      </c>
      <c r="X2934">
        <v>0.97387990000000002</v>
      </c>
      <c r="Y2934">
        <v>-0.35802529999999999</v>
      </c>
      <c r="Z2934">
        <v>6.4910579999999996E-2</v>
      </c>
      <c r="AA2934">
        <v>0.93145290000000003</v>
      </c>
      <c r="AB2934">
        <v>23</v>
      </c>
      <c r="AC2934">
        <v>12.1493</v>
      </c>
      <c r="AD2934">
        <v>-1.1157969434099999</v>
      </c>
      <c r="AE2934">
        <v>-11.369899999999999</v>
      </c>
      <c r="AF2934">
        <v>-6.0256771027437397</v>
      </c>
      <c r="AG2934">
        <v>-1.1157969434099999</v>
      </c>
      <c r="AH2934">
        <v>15.4304251661205</v>
      </c>
      <c r="AI2934">
        <v>93.853495361240704</v>
      </c>
      <c r="AJ2934">
        <v>111.33095475099</v>
      </c>
      <c r="AK2934">
        <v>16.602765076116</v>
      </c>
      <c r="AL2934">
        <v>80.437225607245907</v>
      </c>
      <c r="AM2934">
        <v>99.031034022540297</v>
      </c>
      <c r="AN2934">
        <v>0.99999999604642997</v>
      </c>
    </row>
    <row r="2935" spans="1:40" x14ac:dyDescent="0.25">
      <c r="A2935" t="str">
        <f>"20190312172946917"</f>
        <v>20190312172946917</v>
      </c>
      <c r="B2935" t="str">
        <f>"1552382986910539"</f>
        <v>1552382986910539</v>
      </c>
      <c r="C2935" t="s">
        <v>40</v>
      </c>
      <c r="D2935">
        <v>3.0397370000000001</v>
      </c>
      <c r="E2935">
        <v>0.41640899999999997</v>
      </c>
      <c r="F2935" t="s">
        <v>46</v>
      </c>
      <c r="G2935">
        <v>-476.7</v>
      </c>
      <c r="H2935" s="1">
        <v>3.0522219999999999E-6</v>
      </c>
      <c r="I2935">
        <v>216.10169999999999</v>
      </c>
      <c r="J2935">
        <v>-488.70870000000002</v>
      </c>
      <c r="K2935">
        <v>1.1157870000000001</v>
      </c>
      <c r="L2935">
        <v>227.15860000000001</v>
      </c>
      <c r="M2935">
        <v>0.44032339999999998</v>
      </c>
      <c r="N2935">
        <v>0</v>
      </c>
      <c r="O2935">
        <v>-0.89773230000000004</v>
      </c>
      <c r="P2935">
        <v>0.56692739999999997</v>
      </c>
      <c r="Q2935">
        <v>0.15467739999999999</v>
      </c>
      <c r="R2935">
        <v>-0.8091161</v>
      </c>
      <c r="S2935">
        <v>2.3030400000000002</v>
      </c>
      <c r="T2935">
        <v>-0.2118274</v>
      </c>
      <c r="U2935">
        <v>-2.1427149999999999</v>
      </c>
      <c r="V2935">
        <v>-0.1549162</v>
      </c>
      <c r="W2935">
        <v>0.16615160000000001</v>
      </c>
      <c r="X2935">
        <v>0.97385560000000004</v>
      </c>
      <c r="Y2935">
        <v>-0.3556279</v>
      </c>
      <c r="Z2935">
        <v>6.5782670000000001E-2</v>
      </c>
      <c r="AA2935">
        <v>0.93230970000000002</v>
      </c>
      <c r="AB2935">
        <v>23</v>
      </c>
      <c r="AC2935">
        <v>12.008699999999999</v>
      </c>
      <c r="AD2935">
        <v>-1.1157839477779901</v>
      </c>
      <c r="AE2935">
        <v>-11.056900000000001</v>
      </c>
      <c r="AF2935">
        <v>-5.8850575731143202</v>
      </c>
      <c r="AG2935">
        <v>-1.1157839477779901</v>
      </c>
      <c r="AH2935">
        <v>15.1445503486701</v>
      </c>
      <c r="AI2935">
        <v>93.928498692940295</v>
      </c>
      <c r="AJ2935">
        <v>111.235749412614</v>
      </c>
      <c r="AK2935">
        <v>16.286076314459301</v>
      </c>
      <c r="AL2935">
        <v>80.435860762911602</v>
      </c>
      <c r="AM2935">
        <v>99.038600688990101</v>
      </c>
      <c r="AN2935">
        <v>1.0000000564281699</v>
      </c>
    </row>
    <row r="2936" spans="1:40" x14ac:dyDescent="0.25">
      <c r="A2936" t="str">
        <f>"20190312172946939"</f>
        <v>20190312172946939</v>
      </c>
      <c r="B2936" t="str">
        <f>"1552382986930059"</f>
        <v>1552382986930059</v>
      </c>
      <c r="C2936" t="s">
        <v>40</v>
      </c>
      <c r="D2936">
        <v>3.041229</v>
      </c>
      <c r="E2936">
        <v>0.41700979999999999</v>
      </c>
      <c r="F2936" t="s">
        <v>46</v>
      </c>
      <c r="G2936">
        <v>-476.63819999999998</v>
      </c>
      <c r="H2936" s="1">
        <v>3.0802000000000002E-6</v>
      </c>
      <c r="I2936">
        <v>216.1155</v>
      </c>
      <c r="J2936">
        <v>-488.60129999999998</v>
      </c>
      <c r="K2936">
        <v>1.115775</v>
      </c>
      <c r="L2936">
        <v>226.9614</v>
      </c>
      <c r="M2936">
        <v>0.4478665</v>
      </c>
      <c r="N2936">
        <v>0</v>
      </c>
      <c r="O2936">
        <v>-0.89399280000000003</v>
      </c>
      <c r="P2936">
        <v>0.57434039999999997</v>
      </c>
      <c r="Q2936">
        <v>0.1550598</v>
      </c>
      <c r="R2936">
        <v>-0.80379719999999999</v>
      </c>
      <c r="S2936">
        <v>2.3204039999999999</v>
      </c>
      <c r="T2936">
        <v>-0.2144964</v>
      </c>
      <c r="U2936">
        <v>-2.1228940000000001</v>
      </c>
      <c r="V2936">
        <v>-0.15570110000000001</v>
      </c>
      <c r="W2936">
        <v>0.166526799999999</v>
      </c>
      <c r="X2936">
        <v>0.97366629999999998</v>
      </c>
      <c r="Y2936">
        <v>-0.3555296</v>
      </c>
      <c r="Z2936">
        <v>6.6461399999999907E-2</v>
      </c>
      <c r="AA2936">
        <v>0.93229910000000005</v>
      </c>
      <c r="AB2936">
        <v>23</v>
      </c>
      <c r="AC2936">
        <v>11.963099999999899</v>
      </c>
      <c r="AD2936">
        <v>-1.1157719198</v>
      </c>
      <c r="AE2936">
        <v>-10.8459</v>
      </c>
      <c r="AF2936">
        <v>-5.8102309084335699</v>
      </c>
      <c r="AG2936">
        <v>-1.1157719198</v>
      </c>
      <c r="AH2936">
        <v>14.9839364120842</v>
      </c>
      <c r="AI2936">
        <v>93.971538153109194</v>
      </c>
      <c r="AJ2936">
        <v>111.194498962037</v>
      </c>
      <c r="AK2936">
        <v>16.109689028274701</v>
      </c>
      <c r="AL2936">
        <v>80.414059467117696</v>
      </c>
      <c r="AM2936">
        <v>99.085370699007598</v>
      </c>
      <c r="AN2936">
        <v>1.00000003570756</v>
      </c>
    </row>
    <row r="2937" spans="1:40" x14ac:dyDescent="0.25">
      <c r="A2937" t="str">
        <f>"20190312172946960"</f>
        <v>20190312172946960</v>
      </c>
      <c r="B2937" t="str">
        <f>"1552382986950555"</f>
        <v>1552382986950555</v>
      </c>
      <c r="C2937" t="s">
        <v>40</v>
      </c>
      <c r="D2937">
        <v>3.0864820000000002</v>
      </c>
      <c r="E2937">
        <v>0.41779290000000002</v>
      </c>
      <c r="F2937" t="s">
        <v>46</v>
      </c>
      <c r="G2937">
        <v>-476.5111</v>
      </c>
      <c r="H2937" s="1">
        <v>3.1346890000000002E-6</v>
      </c>
      <c r="I2937">
        <v>216.07210000000001</v>
      </c>
      <c r="J2937">
        <v>-488.49380000000002</v>
      </c>
      <c r="K2937">
        <v>1.1157600000000001</v>
      </c>
      <c r="L2937">
        <v>226.76769999999999</v>
      </c>
      <c r="M2937">
        <v>0.4552775</v>
      </c>
      <c r="N2937">
        <v>0</v>
      </c>
      <c r="O2937">
        <v>-0.89024190000000003</v>
      </c>
      <c r="P2937">
        <v>0.58136399999999999</v>
      </c>
      <c r="Q2937">
        <v>0.1556949</v>
      </c>
      <c r="R2937">
        <v>-0.79860830000000005</v>
      </c>
      <c r="S2937">
        <v>2.3364560000000001</v>
      </c>
      <c r="T2937">
        <v>-0.21562429999999999</v>
      </c>
      <c r="U2937">
        <v>-2.1043699999999999</v>
      </c>
      <c r="V2937">
        <v>-0.15620699999999901</v>
      </c>
      <c r="W2937">
        <v>0.16715729999999901</v>
      </c>
      <c r="X2937">
        <v>0.97347720000000004</v>
      </c>
      <c r="Y2937">
        <v>-0.35501890000000003</v>
      </c>
      <c r="Z2937">
        <v>6.6649780000000006E-2</v>
      </c>
      <c r="AA2937">
        <v>0.93248030000000004</v>
      </c>
      <c r="AB2937">
        <v>23</v>
      </c>
      <c r="AC2937">
        <v>11.982699999999999</v>
      </c>
      <c r="AD2937">
        <v>-1.1157568653109999</v>
      </c>
      <c r="AE2937">
        <v>-10.695599999999899</v>
      </c>
      <c r="AF2937">
        <v>-5.7707442604521404</v>
      </c>
      <c r="AG2937">
        <v>-1.1157568653109999</v>
      </c>
      <c r="AH2937">
        <v>14.9066277095587</v>
      </c>
      <c r="AI2937">
        <v>93.992870406594704</v>
      </c>
      <c r="AJ2937">
        <v>111.16271978332</v>
      </c>
      <c r="AK2937">
        <v>16.0235436896279</v>
      </c>
      <c r="AL2937">
        <v>80.377420829587194</v>
      </c>
      <c r="AM2937">
        <v>99.116136704709305</v>
      </c>
      <c r="AN2937">
        <v>1.0000000243560601</v>
      </c>
    </row>
    <row r="2938" spans="1:40" x14ac:dyDescent="0.25">
      <c r="A2938" t="str">
        <f>"20190312172946983"</f>
        <v>20190312172946983</v>
      </c>
      <c r="B2938" t="str">
        <f>"1552382986970078"</f>
        <v>1552382986970078</v>
      </c>
      <c r="C2938" t="s">
        <v>40</v>
      </c>
      <c r="D2938">
        <v>3.0979549999999998</v>
      </c>
      <c r="E2938">
        <v>0.4186107</v>
      </c>
      <c r="F2938" t="s">
        <v>46</v>
      </c>
      <c r="G2938">
        <v>-476.24549999999999</v>
      </c>
      <c r="H2938" s="1">
        <v>3.2444319999999998E-6</v>
      </c>
      <c r="I2938">
        <v>215.88810000000001</v>
      </c>
      <c r="J2938">
        <v>-488.38119999999998</v>
      </c>
      <c r="K2938">
        <v>1.115748</v>
      </c>
      <c r="L2938">
        <v>226.56890000000001</v>
      </c>
      <c r="M2938">
        <v>0.46288839999999998</v>
      </c>
      <c r="N2938">
        <v>0</v>
      </c>
      <c r="O2938">
        <v>-0.88630810000000004</v>
      </c>
      <c r="P2938">
        <v>0.58862159999999997</v>
      </c>
      <c r="Q2938">
        <v>0.15585829999999901</v>
      </c>
      <c r="R2938">
        <v>-0.79324229999999996</v>
      </c>
      <c r="S2938">
        <v>2.350098</v>
      </c>
      <c r="T2938">
        <v>-0.21408150000000001</v>
      </c>
      <c r="U2938">
        <v>-2.087494</v>
      </c>
      <c r="V2938">
        <v>-0.15675459999999999</v>
      </c>
      <c r="W2938">
        <v>0.1673172</v>
      </c>
      <c r="X2938">
        <v>0.9733617</v>
      </c>
      <c r="Y2938">
        <v>-0.35347070000000003</v>
      </c>
      <c r="Z2938">
        <v>6.5998699999999993E-2</v>
      </c>
      <c r="AA2938">
        <v>0.93311449999999996</v>
      </c>
      <c r="AB2938">
        <v>23</v>
      </c>
      <c r="AC2938">
        <v>12.1356999999999</v>
      </c>
      <c r="AD2938">
        <v>-1.115744755568</v>
      </c>
      <c r="AE2938">
        <v>-10.6808</v>
      </c>
      <c r="AF2938">
        <v>-5.7849546984869598</v>
      </c>
      <c r="AG2938">
        <v>-1.115744755568</v>
      </c>
      <c r="AH2938">
        <v>15.0138904415567</v>
      </c>
      <c r="AI2938">
        <v>93.966809703118003</v>
      </c>
      <c r="AJ2938">
        <v>111.072015212387</v>
      </c>
      <c r="AK2938">
        <v>16.128468415016702</v>
      </c>
      <c r="AL2938">
        <v>80.368128367643607</v>
      </c>
      <c r="AM2938">
        <v>99.148622000194393</v>
      </c>
      <c r="AN2938">
        <v>1.00000002453194</v>
      </c>
    </row>
    <row r="2939" spans="1:40" x14ac:dyDescent="0.25">
      <c r="A2939" t="str">
        <f>"20190312172947005"</f>
        <v>20190312172947005</v>
      </c>
      <c r="B2939" t="str">
        <f>"1552382987000332"</f>
        <v>1552382987000332</v>
      </c>
      <c r="C2939" t="s">
        <v>40</v>
      </c>
      <c r="D2939">
        <v>3.118204</v>
      </c>
      <c r="E2939">
        <v>0.42885499999999999</v>
      </c>
      <c r="F2939" t="s">
        <v>46</v>
      </c>
      <c r="G2939">
        <v>-476.09589999999997</v>
      </c>
      <c r="H2939" s="1">
        <v>3.3074330000000002E-6</v>
      </c>
      <c r="I2939">
        <v>215.8116</v>
      </c>
      <c r="J2939">
        <v>-488.27140000000003</v>
      </c>
      <c r="K2939">
        <v>1.1157360000000001</v>
      </c>
      <c r="L2939">
        <v>226.37899999999999</v>
      </c>
      <c r="M2939">
        <v>0.47016439999999998</v>
      </c>
      <c r="N2939">
        <v>0</v>
      </c>
      <c r="O2939">
        <v>-0.88246990000000003</v>
      </c>
      <c r="P2939">
        <v>0.59569039999999995</v>
      </c>
      <c r="Q2939">
        <v>0.1559151</v>
      </c>
      <c r="R2939">
        <v>-0.78793599999999997</v>
      </c>
      <c r="S2939">
        <v>2.3640140000000001</v>
      </c>
      <c r="T2939">
        <v>-0.21469820000000001</v>
      </c>
      <c r="U2939">
        <v>-2.0699920000000001</v>
      </c>
      <c r="V2939">
        <v>-0.15745219999999999</v>
      </c>
      <c r="W2939">
        <v>0.1673665</v>
      </c>
      <c r="X2939">
        <v>0.97324060000000001</v>
      </c>
      <c r="Y2939">
        <v>-0.35240179999999999</v>
      </c>
      <c r="Z2939">
        <v>6.6022520000000001E-2</v>
      </c>
      <c r="AA2939">
        <v>0.93351700000000004</v>
      </c>
      <c r="AB2939">
        <v>23</v>
      </c>
      <c r="AC2939">
        <v>12.1755</v>
      </c>
      <c r="AD2939">
        <v>-1.1157326925669999</v>
      </c>
      <c r="AE2939">
        <v>-10.567399999999999</v>
      </c>
      <c r="AF2939">
        <v>-5.74911691678893</v>
      </c>
      <c r="AG2939">
        <v>-1.1157326925669999</v>
      </c>
      <c r="AH2939">
        <v>14.979601200529901</v>
      </c>
      <c r="AI2939">
        <v>93.977823917741503</v>
      </c>
      <c r="AJ2939">
        <v>110.9966220796</v>
      </c>
      <c r="AK2939">
        <v>16.0837078091803</v>
      </c>
      <c r="AL2939">
        <v>80.365263076093697</v>
      </c>
      <c r="AM2939">
        <v>99.189766648289606</v>
      </c>
      <c r="AN2939">
        <v>1.0000000030477201</v>
      </c>
    </row>
    <row r="2940" spans="1:40" x14ac:dyDescent="0.25">
      <c r="A2940" t="str">
        <f>"20190312172947025"</f>
        <v>20190312172947025</v>
      </c>
      <c r="B2940" t="str">
        <f>"1552382987020827"</f>
        <v>1552382987020827</v>
      </c>
      <c r="C2940" t="s">
        <v>40</v>
      </c>
      <c r="D2940">
        <v>3.1058370000000002</v>
      </c>
      <c r="E2940">
        <v>0.43005900000000002</v>
      </c>
      <c r="F2940" t="s">
        <v>46</v>
      </c>
      <c r="G2940">
        <v>-476.9948</v>
      </c>
      <c r="H2940" s="1">
        <v>2.924503E-6</v>
      </c>
      <c r="I2940">
        <v>216.1712</v>
      </c>
      <c r="J2940">
        <v>-488.15989999999999</v>
      </c>
      <c r="K2940">
        <v>1.1157280000000001</v>
      </c>
      <c r="L2940">
        <v>226.18979999999999</v>
      </c>
      <c r="M2940">
        <v>0.47741440000000002</v>
      </c>
      <c r="N2940">
        <v>0</v>
      </c>
      <c r="O2940">
        <v>-0.87856900000000004</v>
      </c>
      <c r="P2940">
        <v>0.60245170000000003</v>
      </c>
      <c r="Q2940">
        <v>0.15567049999999999</v>
      </c>
      <c r="R2940">
        <v>-0.78282769999999902</v>
      </c>
      <c r="S2940">
        <v>2.3192750000000002</v>
      </c>
      <c r="T2940">
        <v>-0.2294754</v>
      </c>
      <c r="U2940">
        <v>-2.0994570000000001</v>
      </c>
      <c r="V2940">
        <v>-0.1577865</v>
      </c>
      <c r="W2940">
        <v>0.16712060000000001</v>
      </c>
      <c r="X2940">
        <v>0.97322869999999995</v>
      </c>
      <c r="Y2940">
        <v>-0.32893679999999997</v>
      </c>
      <c r="Z2940">
        <v>7.0218849999999999E-2</v>
      </c>
      <c r="AA2940">
        <v>0.94173770000000001</v>
      </c>
      <c r="AB2940">
        <v>23</v>
      </c>
      <c r="AC2940">
        <v>11.165099999999899</v>
      </c>
      <c r="AD2940">
        <v>-1.1157250754970001</v>
      </c>
      <c r="AE2940">
        <v>-10.0185999999999</v>
      </c>
      <c r="AF2940">
        <v>-4.9991150739279204</v>
      </c>
      <c r="AG2940">
        <v>-1.1157250754970001</v>
      </c>
      <c r="AH2940">
        <v>14.056012061743999</v>
      </c>
      <c r="AI2940">
        <v>94.277066088746494</v>
      </c>
      <c r="AJ2940">
        <v>109.578271173581</v>
      </c>
      <c r="AK2940">
        <v>14.9601961566805</v>
      </c>
      <c r="AL2940">
        <v>80.379553237288206</v>
      </c>
      <c r="AM2940">
        <v>99.209054934416699</v>
      </c>
      <c r="AN2940">
        <v>0.99999998851514904</v>
      </c>
    </row>
    <row r="2941" spans="1:40" x14ac:dyDescent="0.25">
      <c r="A2941" t="str">
        <f>"20190312172947050"</f>
        <v>20190312172947050</v>
      </c>
      <c r="B2941" t="str">
        <f>"1552382987040348"</f>
        <v>1552382987040348</v>
      </c>
      <c r="C2941" t="s">
        <v>40</v>
      </c>
      <c r="D2941">
        <v>3.0810900000000001</v>
      </c>
      <c r="E2941">
        <v>0.43062509999999998</v>
      </c>
      <c r="F2941" t="s">
        <v>46</v>
      </c>
      <c r="G2941">
        <v>-477.03210000000001</v>
      </c>
      <c r="H2941" s="1">
        <v>2.9104570000000002E-6</v>
      </c>
      <c r="I2941">
        <v>216.22790000000001</v>
      </c>
      <c r="J2941">
        <v>-488.03300000000002</v>
      </c>
      <c r="K2941">
        <v>1.115718</v>
      </c>
      <c r="L2941">
        <v>225.9787</v>
      </c>
      <c r="M2941">
        <v>0.48551630000000001</v>
      </c>
      <c r="N2941">
        <v>0</v>
      </c>
      <c r="O2941">
        <v>-0.87411759999999905</v>
      </c>
      <c r="P2941">
        <v>0.61014069999999898</v>
      </c>
      <c r="Q2941">
        <v>0.15552729999999901</v>
      </c>
      <c r="R2941">
        <v>-0.77687850000000003</v>
      </c>
      <c r="S2941">
        <v>2.329834</v>
      </c>
      <c r="T2941">
        <v>-0.2335991</v>
      </c>
      <c r="U2941">
        <v>-2.0857389999999998</v>
      </c>
      <c r="V2941">
        <v>-0.15836500000000001</v>
      </c>
      <c r="W2941">
        <v>0.1669725</v>
      </c>
      <c r="X2941">
        <v>0.97316009999999997</v>
      </c>
      <c r="Y2941">
        <v>-0.32533840000000003</v>
      </c>
      <c r="Z2941">
        <v>7.1205450000000003E-2</v>
      </c>
      <c r="AA2941">
        <v>0.94291290000000005</v>
      </c>
      <c r="AB2941">
        <v>23</v>
      </c>
      <c r="AC2941">
        <v>11.0009</v>
      </c>
      <c r="AD2941">
        <v>-1.1157150895429999</v>
      </c>
      <c r="AE2941">
        <v>-9.7507999999999893</v>
      </c>
      <c r="AF2941">
        <v>-4.8544139514297697</v>
      </c>
      <c r="AG2941">
        <v>-1.1157150895429999</v>
      </c>
      <c r="AH2941">
        <v>13.7863800334679</v>
      </c>
      <c r="AI2941">
        <v>94.365196452397697</v>
      </c>
      <c r="AJ2941">
        <v>109.398015016812</v>
      </c>
      <c r="AK2941">
        <v>14.658595751301499</v>
      </c>
      <c r="AL2941">
        <v>80.388159148185196</v>
      </c>
      <c r="AM2941">
        <v>99.242877169113299</v>
      </c>
      <c r="AN2941">
        <v>0.99999993460662795</v>
      </c>
    </row>
    <row r="2942" spans="1:40" x14ac:dyDescent="0.25">
      <c r="A2942" t="str">
        <f>"20190312172947071"</f>
        <v>20190312172947071</v>
      </c>
      <c r="B2942" t="str">
        <f>"1552382987060847"</f>
        <v>1552382987060847</v>
      </c>
      <c r="C2942" t="s">
        <v>40</v>
      </c>
      <c r="D2942">
        <v>3.108473</v>
      </c>
      <c r="E2942">
        <v>0.43143189999999998</v>
      </c>
      <c r="F2942" t="s">
        <v>46</v>
      </c>
      <c r="G2942">
        <v>-476.98340000000002</v>
      </c>
      <c r="H2942" s="1">
        <v>2.9331509999999998E-6</v>
      </c>
      <c r="I2942">
        <v>216.25309999999999</v>
      </c>
      <c r="J2942">
        <v>-487.916</v>
      </c>
      <c r="K2942">
        <v>1.1157010000000001</v>
      </c>
      <c r="L2942">
        <v>225.7878</v>
      </c>
      <c r="M2942">
        <v>0.49284529999999899</v>
      </c>
      <c r="N2942">
        <v>0</v>
      </c>
      <c r="O2942">
        <v>-0.87000669999999902</v>
      </c>
      <c r="P2942">
        <v>0.61694090000000001</v>
      </c>
      <c r="Q2942">
        <v>0.15552199999999999</v>
      </c>
      <c r="R2942">
        <v>-0.77149019999999902</v>
      </c>
      <c r="S2942">
        <v>2.3469850000000001</v>
      </c>
      <c r="T2942">
        <v>-0.23698330000000001</v>
      </c>
      <c r="U2942">
        <v>-2.0657649999999999</v>
      </c>
      <c r="V2942">
        <v>-0.15872990000000001</v>
      </c>
      <c r="W2942">
        <v>0.1669641</v>
      </c>
      <c r="X2942">
        <v>0.97310220000000003</v>
      </c>
      <c r="Y2942">
        <v>-0.32527699999999998</v>
      </c>
      <c r="Z2942">
        <v>7.2023550000000006E-2</v>
      </c>
      <c r="AA2942">
        <v>0.94287189999999999</v>
      </c>
      <c r="AB2942">
        <v>23</v>
      </c>
      <c r="AC2942">
        <v>10.9325999999999</v>
      </c>
      <c r="AD2942">
        <v>-1.115698066849</v>
      </c>
      <c r="AE2942">
        <v>-9.5347000000000097</v>
      </c>
      <c r="AF2942">
        <v>-4.7844630444202298</v>
      </c>
      <c r="AG2942">
        <v>-1.115698066849</v>
      </c>
      <c r="AH2942">
        <v>13.604172629176199</v>
      </c>
      <c r="AI2942">
        <v>94.423951409984497</v>
      </c>
      <c r="AJ2942">
        <v>109.37630678431</v>
      </c>
      <c r="AK2942">
        <v>14.464072100353301</v>
      </c>
      <c r="AL2942">
        <v>80.388648324604702</v>
      </c>
      <c r="AM2942">
        <v>99.264347165638398</v>
      </c>
      <c r="AN2942">
        <v>1.00000004174382</v>
      </c>
    </row>
    <row r="2943" spans="1:40" x14ac:dyDescent="0.25">
      <c r="A2943" t="str">
        <f>"20190312172947094"</f>
        <v>20190312172947094</v>
      </c>
      <c r="B2943" t="str">
        <f>"1552382987090124"</f>
        <v>1552382987090124</v>
      </c>
      <c r="C2943" t="s">
        <v>40</v>
      </c>
      <c r="D2943">
        <v>3.0581239999999998</v>
      </c>
      <c r="E2943">
        <v>0.43235829999999997</v>
      </c>
      <c r="F2943" t="s">
        <v>46</v>
      </c>
      <c r="G2943">
        <v>-476.87670000000003</v>
      </c>
      <c r="H2943" s="1">
        <v>2.9783159999999999E-6</v>
      </c>
      <c r="I2943">
        <v>216.2039</v>
      </c>
      <c r="J2943">
        <v>-487.79739999999998</v>
      </c>
      <c r="K2943">
        <v>1.115693</v>
      </c>
      <c r="L2943">
        <v>225.59790000000001</v>
      </c>
      <c r="M2943">
        <v>0.5001369</v>
      </c>
      <c r="N2943">
        <v>0</v>
      </c>
      <c r="O2943">
        <v>-0.86583539999999903</v>
      </c>
      <c r="P2943">
        <v>0.62327270000000001</v>
      </c>
      <c r="Q2943">
        <v>0.15572730000000001</v>
      </c>
      <c r="R2943">
        <v>-0.76634219999999997</v>
      </c>
      <c r="S2943">
        <v>2.3603209999999999</v>
      </c>
      <c r="T2943">
        <v>-0.23854890000000001</v>
      </c>
      <c r="U2943">
        <v>-2.0491329999999999</v>
      </c>
      <c r="V2943">
        <v>-0.15858639999999999</v>
      </c>
      <c r="W2943">
        <v>0.16717379999999901</v>
      </c>
      <c r="X2943">
        <v>0.9730896</v>
      </c>
      <c r="Y2943">
        <v>-0.32373780000000002</v>
      </c>
      <c r="Z2943">
        <v>7.2262179999999995E-2</v>
      </c>
      <c r="AA2943">
        <v>0.94338330000000004</v>
      </c>
      <c r="AB2943">
        <v>23</v>
      </c>
      <c r="AC2943">
        <v>10.920699999999901</v>
      </c>
      <c r="AD2943">
        <v>-1.115690021684</v>
      </c>
      <c r="AE2943">
        <v>-9.3940000000000001</v>
      </c>
      <c r="AF2943">
        <v>-4.72933032359553</v>
      </c>
      <c r="AG2943">
        <v>-1.115690021684</v>
      </c>
      <c r="AH2943">
        <v>13.515733552117901</v>
      </c>
      <c r="AI2943">
        <v>94.455214693243704</v>
      </c>
      <c r="AJ2943">
        <v>109.28560327645501</v>
      </c>
      <c r="AK2943">
        <v>14.3626732534724</v>
      </c>
      <c r="AL2943">
        <v>80.376462183097203</v>
      </c>
      <c r="AM2943">
        <v>99.256234525173198</v>
      </c>
      <c r="AN2943">
        <v>1.0000000476497699</v>
      </c>
    </row>
    <row r="2944" spans="1:40" x14ac:dyDescent="0.25">
      <c r="A2944" t="str">
        <f>"20190312172947117"</f>
        <v>20190312172947117</v>
      </c>
      <c r="B2944" t="str">
        <f>"1552382987110619"</f>
        <v>1552382987110619</v>
      </c>
      <c r="C2944" t="s">
        <v>40</v>
      </c>
      <c r="D2944">
        <v>3.1145930000000002</v>
      </c>
      <c r="E2944">
        <v>0.43288300000000002</v>
      </c>
      <c r="F2944" t="s">
        <v>46</v>
      </c>
      <c r="G2944">
        <v>-476.65390000000002</v>
      </c>
      <c r="H2944" s="1">
        <v>3.0699110000000001E-6</v>
      </c>
      <c r="I2944">
        <v>216.0395</v>
      </c>
      <c r="J2944">
        <v>-487.67250000000001</v>
      </c>
      <c r="K2944">
        <v>1.11568</v>
      </c>
      <c r="L2944">
        <v>225.40170000000001</v>
      </c>
      <c r="M2944">
        <v>0.50767819999999997</v>
      </c>
      <c r="N2944">
        <v>0</v>
      </c>
      <c r="O2944">
        <v>-0.86143539999999996</v>
      </c>
      <c r="P2944">
        <v>0.6300403</v>
      </c>
      <c r="Q2944">
        <v>0.1559989</v>
      </c>
      <c r="R2944">
        <v>-0.76073219999999997</v>
      </c>
      <c r="S2944">
        <v>2.3714599999999999</v>
      </c>
      <c r="T2944">
        <v>-0.23743259999999999</v>
      </c>
      <c r="U2944">
        <v>-2.0341490000000002</v>
      </c>
      <c r="V2944">
        <v>-0.15874099999999999</v>
      </c>
      <c r="W2944">
        <v>0.1674445</v>
      </c>
      <c r="X2944">
        <v>0.97301780000000004</v>
      </c>
      <c r="Y2944">
        <v>-0.3211292</v>
      </c>
      <c r="Z2944">
        <v>7.1664530000000004E-2</v>
      </c>
      <c r="AA2944">
        <v>0.94432000000000005</v>
      </c>
      <c r="AB2944">
        <v>23</v>
      </c>
      <c r="AC2944">
        <v>11.0185999999999</v>
      </c>
      <c r="AD2944">
        <v>-1.1156769300889999</v>
      </c>
      <c r="AE2944">
        <v>-9.3621999999999996</v>
      </c>
      <c r="AF2944">
        <v>-4.7112315605353201</v>
      </c>
      <c r="AG2944">
        <v>-1.1156769300889999</v>
      </c>
      <c r="AH2944">
        <v>13.5792937973868</v>
      </c>
      <c r="AI2944">
        <v>94.438471311860297</v>
      </c>
      <c r="AJ2944">
        <v>109.133823968927</v>
      </c>
      <c r="AK2944">
        <v>14.416575802355499</v>
      </c>
      <c r="AL2944">
        <v>80.360730029202202</v>
      </c>
      <c r="AM2944">
        <v>99.265773498967903</v>
      </c>
      <c r="AN2944">
        <v>1.0000000023890401</v>
      </c>
    </row>
    <row r="2945" spans="1:40" x14ac:dyDescent="0.25">
      <c r="A2945" t="str">
        <f>"20190312172947140"</f>
        <v>20190312172947140</v>
      </c>
      <c r="B2945" t="str">
        <f>"1552382987130139"</f>
        <v>1552382987130139</v>
      </c>
      <c r="C2945" t="s">
        <v>40</v>
      </c>
      <c r="D2945">
        <v>3.0750380000000002</v>
      </c>
      <c r="E2945">
        <v>0.43828070000000002</v>
      </c>
      <c r="F2945" t="s">
        <v>46</v>
      </c>
      <c r="G2945">
        <v>-476.44389999999999</v>
      </c>
      <c r="H2945" s="1">
        <v>3.1576920000000001E-6</v>
      </c>
      <c r="I2945">
        <v>215.91720000000001</v>
      </c>
      <c r="J2945">
        <v>-487.53789999999998</v>
      </c>
      <c r="K2945">
        <v>1.1156740000000001</v>
      </c>
      <c r="L2945">
        <v>225.1942</v>
      </c>
      <c r="M2945">
        <v>0.51565669999999997</v>
      </c>
      <c r="N2945">
        <v>0</v>
      </c>
      <c r="O2945">
        <v>-0.85668330000000004</v>
      </c>
      <c r="P2945">
        <v>0.63712939999999996</v>
      </c>
      <c r="Q2945">
        <v>0.156252</v>
      </c>
      <c r="R2945">
        <v>-0.75475269999999905</v>
      </c>
      <c r="S2945">
        <v>2.3864139999999998</v>
      </c>
      <c r="T2945">
        <v>-0.23711550000000001</v>
      </c>
      <c r="U2945">
        <v>-2.0157470000000002</v>
      </c>
      <c r="V2945">
        <v>-0.15883329999999901</v>
      </c>
      <c r="W2945">
        <v>0.1676984</v>
      </c>
      <c r="X2945">
        <v>0.97295900000000002</v>
      </c>
      <c r="Y2945">
        <v>-0.31951770000000002</v>
      </c>
      <c r="Z2945">
        <v>7.1288180000000007E-2</v>
      </c>
      <c r="AA2945">
        <v>0.94489489999999998</v>
      </c>
      <c r="AB2945">
        <v>23</v>
      </c>
      <c r="AC2945">
        <v>11.0939999999999</v>
      </c>
      <c r="AD2945">
        <v>-1.115670842308</v>
      </c>
      <c r="AE2945">
        <v>-9.2769999999999797</v>
      </c>
      <c r="AF2945">
        <v>-4.6928203483150703</v>
      </c>
      <c r="AG2945">
        <v>-1.115670842308</v>
      </c>
      <c r="AH2945">
        <v>13.5885837609781</v>
      </c>
      <c r="AI2945">
        <v>94.437599544863303</v>
      </c>
      <c r="AJ2945">
        <v>109.05236405209</v>
      </c>
      <c r="AK2945">
        <v>14.419323592979399</v>
      </c>
      <c r="AL2945">
        <v>80.345973888876301</v>
      </c>
      <c r="AM2945">
        <v>99.271618122141206</v>
      </c>
      <c r="AN2945">
        <v>0.99999999311622401</v>
      </c>
    </row>
    <row r="2946" spans="1:40" x14ac:dyDescent="0.25">
      <c r="A2946" t="str">
        <f>"20190312172947162"</f>
        <v>20190312172947162</v>
      </c>
      <c r="B2946" t="str">
        <f>"1552382987150635"</f>
        <v>1552382987150635</v>
      </c>
      <c r="C2946" t="s">
        <v>40</v>
      </c>
      <c r="D2946">
        <v>3.1637970000000002</v>
      </c>
      <c r="E2946">
        <v>0.43819720000000001</v>
      </c>
      <c r="F2946" t="s">
        <v>46</v>
      </c>
      <c r="G2946">
        <v>-476.76760000000002</v>
      </c>
      <c r="H2946" s="1">
        <v>3.0184979999999999E-6</v>
      </c>
      <c r="I2946">
        <v>216.0164</v>
      </c>
      <c r="J2946">
        <v>-487.42039999999997</v>
      </c>
      <c r="K2946">
        <v>1.115667</v>
      </c>
      <c r="L2946">
        <v>225.01669999999999</v>
      </c>
      <c r="M2946">
        <v>0.52249100000000004</v>
      </c>
      <c r="N2946">
        <v>0</v>
      </c>
      <c r="O2946">
        <v>-0.85253219999999996</v>
      </c>
      <c r="P2946">
        <v>0.64287780000000005</v>
      </c>
      <c r="Q2946">
        <v>0.15635450000000001</v>
      </c>
      <c r="R2946">
        <v>-0.74984099999999998</v>
      </c>
      <c r="S2946">
        <v>2.37323</v>
      </c>
      <c r="T2946">
        <v>-0.2458371</v>
      </c>
      <c r="U2946">
        <v>-2.0223239999999998</v>
      </c>
      <c r="V2946">
        <v>-0.15849489999999999</v>
      </c>
      <c r="W2946">
        <v>0.1678074</v>
      </c>
      <c r="X2946">
        <v>0.97299539999999995</v>
      </c>
      <c r="Y2946">
        <v>-0.30766539999999998</v>
      </c>
      <c r="Z2946">
        <v>7.3533009999999996E-2</v>
      </c>
      <c r="AA2946">
        <v>0.94864899999999996</v>
      </c>
      <c r="AB2946">
        <v>23</v>
      </c>
      <c r="AC2946">
        <v>10.6527999999999</v>
      </c>
      <c r="AD2946">
        <v>-1.115663981502</v>
      </c>
      <c r="AE2946">
        <v>-9.0002999999999798</v>
      </c>
      <c r="AF2946">
        <v>-4.35184823925138</v>
      </c>
      <c r="AG2946">
        <v>-1.115663981502</v>
      </c>
      <c r="AH2946">
        <v>13.156110685508599</v>
      </c>
      <c r="AI2946">
        <v>94.603042505239401</v>
      </c>
      <c r="AJ2946">
        <v>108.303456999744</v>
      </c>
      <c r="AK2946">
        <v>13.902033577374601</v>
      </c>
      <c r="AL2946">
        <v>80.339638968564898</v>
      </c>
      <c r="AM2946">
        <v>99.251866434519002</v>
      </c>
      <c r="AN2946">
        <v>1.0000000026209599</v>
      </c>
    </row>
    <row r="2947" spans="1:40" x14ac:dyDescent="0.25">
      <c r="A2947" t="str">
        <f>"20190312172947183"</f>
        <v>20190312172947183</v>
      </c>
      <c r="B2947" t="str">
        <f>"1552382987180892"</f>
        <v>1552382987180892</v>
      </c>
      <c r="C2947" t="s">
        <v>40</v>
      </c>
      <c r="D2947">
        <v>3.137489</v>
      </c>
      <c r="E2947">
        <v>0.4393261</v>
      </c>
      <c r="F2947" t="s">
        <v>46</v>
      </c>
      <c r="G2947">
        <v>-476.5829</v>
      </c>
      <c r="H2947" s="1">
        <v>3.0965049999999998E-6</v>
      </c>
      <c r="I2947">
        <v>215.92689999999999</v>
      </c>
      <c r="J2947">
        <v>-487.29730000000001</v>
      </c>
      <c r="K2947">
        <v>1.1156600000000001</v>
      </c>
      <c r="L2947">
        <v>224.8338</v>
      </c>
      <c r="M2947">
        <v>0.52953950000000005</v>
      </c>
      <c r="N2947">
        <v>0</v>
      </c>
      <c r="O2947">
        <v>-0.84817219999999904</v>
      </c>
      <c r="P2947">
        <v>0.64923509999999995</v>
      </c>
      <c r="Q2947">
        <v>0.1568079</v>
      </c>
      <c r="R2947">
        <v>-0.74424799999999902</v>
      </c>
      <c r="S2947">
        <v>2.3890989999999999</v>
      </c>
      <c r="T2947">
        <v>-0.24594340000000001</v>
      </c>
      <c r="U2947">
        <v>-2.0037989999999999</v>
      </c>
      <c r="V2947">
        <v>-0.15876270000000001</v>
      </c>
      <c r="W2947">
        <v>0.16825680000000001</v>
      </c>
      <c r="X2947">
        <v>0.97287409999999996</v>
      </c>
      <c r="Y2947">
        <v>-0.30720999999999998</v>
      </c>
      <c r="Z2947">
        <v>7.3296009999999995E-2</v>
      </c>
      <c r="AA2947">
        <v>0.94881490000000002</v>
      </c>
      <c r="AB2947">
        <v>23</v>
      </c>
      <c r="AC2947">
        <v>10.714399999999999</v>
      </c>
      <c r="AD2947">
        <v>-1.1156569034949999</v>
      </c>
      <c r="AE2947">
        <v>-8.9069000000000091</v>
      </c>
      <c r="AF2947">
        <v>-4.3436703339350302</v>
      </c>
      <c r="AG2947">
        <v>-1.1156569034949999</v>
      </c>
      <c r="AH2947">
        <v>13.145269896293801</v>
      </c>
      <c r="AI2947">
        <v>94.607270733727304</v>
      </c>
      <c r="AJ2947">
        <v>108.285414439259</v>
      </c>
      <c r="AK2947">
        <v>13.889214626559401</v>
      </c>
      <c r="AL2947">
        <v>80.313518636202602</v>
      </c>
      <c r="AM2947">
        <v>99.268363211264699</v>
      </c>
      <c r="AN2947">
        <v>0.99999998005416901</v>
      </c>
    </row>
    <row r="2948" spans="1:40" x14ac:dyDescent="0.25">
      <c r="A2948" t="str">
        <f>"20190312172947206"</f>
        <v>20190312172947206</v>
      </c>
      <c r="B2948" t="str">
        <f>"1552382987200411"</f>
        <v>1552382987200411</v>
      </c>
      <c r="C2948" t="s">
        <v>40</v>
      </c>
      <c r="D2948">
        <v>3.0366710000000001</v>
      </c>
      <c r="E2948">
        <v>0.43878309999999998</v>
      </c>
      <c r="F2948" t="s">
        <v>46</v>
      </c>
      <c r="G2948">
        <v>-476.3347</v>
      </c>
      <c r="H2948" s="1">
        <v>3.1985969999999999E-6</v>
      </c>
      <c r="I2948">
        <v>215.74529999999999</v>
      </c>
      <c r="J2948">
        <v>-487.16730000000001</v>
      </c>
      <c r="K2948">
        <v>1.115661</v>
      </c>
      <c r="L2948">
        <v>224.64449999999999</v>
      </c>
      <c r="M2948">
        <v>0.53684880000000001</v>
      </c>
      <c r="N2948">
        <v>0</v>
      </c>
      <c r="O2948">
        <v>-0.84356469999999995</v>
      </c>
      <c r="P2948">
        <v>0.65591219999999995</v>
      </c>
      <c r="Q2948">
        <v>0.1568311</v>
      </c>
      <c r="R2948">
        <v>-0.73836519999999894</v>
      </c>
      <c r="S2948">
        <v>2.3994450000000001</v>
      </c>
      <c r="T2948">
        <v>-0.24419080000000001</v>
      </c>
      <c r="U2948">
        <v>-1.9892430000000001</v>
      </c>
      <c r="V2948">
        <v>-0.15911939999999999</v>
      </c>
      <c r="W2948">
        <v>0.16827609999999901</v>
      </c>
      <c r="X2948">
        <v>0.97281249999999997</v>
      </c>
      <c r="Y2948">
        <v>-0.304452099999999</v>
      </c>
      <c r="Z2948">
        <v>7.2476689999999996E-2</v>
      </c>
      <c r="AA2948">
        <v>0.94976629999999995</v>
      </c>
      <c r="AB2948">
        <v>23</v>
      </c>
      <c r="AC2948">
        <v>10.832599999999999</v>
      </c>
      <c r="AD2948">
        <v>-1.1156578014030001</v>
      </c>
      <c r="AE2948">
        <v>-8.8992000000000004</v>
      </c>
      <c r="AF2948">
        <v>-4.3334490182988699</v>
      </c>
      <c r="AG2948">
        <v>-1.1156578014030001</v>
      </c>
      <c r="AH2948">
        <v>13.239949701924299</v>
      </c>
      <c r="AI2948">
        <v>94.578707645359998</v>
      </c>
      <c r="AJ2948">
        <v>108.123324366801</v>
      </c>
      <c r="AK2948">
        <v>13.9756839129079</v>
      </c>
      <c r="AL2948">
        <v>80.312396975916698</v>
      </c>
      <c r="AM2948">
        <v>99.289402265393605</v>
      </c>
      <c r="AN2948">
        <v>0.99999999472190904</v>
      </c>
    </row>
    <row r="2949" spans="1:40" x14ac:dyDescent="0.25">
      <c r="A2949" t="str">
        <f>"20190312172947227"</f>
        <v>20190312172947227</v>
      </c>
      <c r="B2949" t="str">
        <f>"1552382987220908"</f>
        <v>1552382987220908</v>
      </c>
      <c r="C2949" t="s">
        <v>40</v>
      </c>
      <c r="D2949">
        <v>3.0377909999999999</v>
      </c>
      <c r="E2949">
        <v>0.41385430000000001</v>
      </c>
      <c r="F2949" t="s">
        <v>46</v>
      </c>
      <c r="G2949">
        <v>-476.12009999999998</v>
      </c>
      <c r="H2949" s="1">
        <v>3.2909999999999999E-6</v>
      </c>
      <c r="I2949">
        <v>215.6814</v>
      </c>
      <c r="J2949">
        <v>-487.04070000000002</v>
      </c>
      <c r="K2949">
        <v>1.1156539999999999</v>
      </c>
      <c r="L2949">
        <v>224.4633</v>
      </c>
      <c r="M2949">
        <v>0.54385079999999997</v>
      </c>
      <c r="N2949">
        <v>0</v>
      </c>
      <c r="O2949">
        <v>-0.83906759999999903</v>
      </c>
      <c r="P2949">
        <v>0.66228540000000002</v>
      </c>
      <c r="Q2949">
        <v>0.15717159999999999</v>
      </c>
      <c r="R2949">
        <v>-0.73258129999999999</v>
      </c>
      <c r="S2949">
        <v>2.4210210000000001</v>
      </c>
      <c r="T2949">
        <v>-0.2444984</v>
      </c>
      <c r="U2949">
        <v>-1.9642790000000001</v>
      </c>
      <c r="V2949">
        <v>-0.1594952</v>
      </c>
      <c r="W2949">
        <v>0.16861029999999999</v>
      </c>
      <c r="X2949">
        <v>0.97269309999999998</v>
      </c>
      <c r="Y2949">
        <v>-0.30657859999999998</v>
      </c>
      <c r="Z2949">
        <v>7.2331129999999993E-2</v>
      </c>
      <c r="AA2949">
        <v>0.94909310000000002</v>
      </c>
      <c r="AB2949">
        <v>23</v>
      </c>
      <c r="AC2949">
        <v>10.9206</v>
      </c>
      <c r="AD2949">
        <v>-1.1156507090000001</v>
      </c>
      <c r="AE2949">
        <v>-8.7819000000000091</v>
      </c>
      <c r="AF2949">
        <v>-4.3598661289055096</v>
      </c>
      <c r="AG2949">
        <v>-1.1156507090000001</v>
      </c>
      <c r="AH2949">
        <v>13.2252392938341</v>
      </c>
      <c r="AI2949">
        <v>94.580555197834499</v>
      </c>
      <c r="AJ2949">
        <v>108.245452553845</v>
      </c>
      <c r="AK2949">
        <v>13.969970062446199</v>
      </c>
      <c r="AL2949">
        <v>80.292971301943197</v>
      </c>
      <c r="AM2949">
        <v>99.312080636155699</v>
      </c>
      <c r="AN2949">
        <v>1.0000000094383701</v>
      </c>
    </row>
    <row r="2950" spans="1:40" x14ac:dyDescent="0.25">
      <c r="A2950" t="str">
        <f>"20190312172947250"</f>
        <v>20190312172947250</v>
      </c>
      <c r="B2950" t="str">
        <f>"1552382987240427"</f>
        <v>1552382987240427</v>
      </c>
      <c r="C2950" t="s">
        <v>40</v>
      </c>
      <c r="D2950">
        <v>3.0421559999999999</v>
      </c>
      <c r="E2950">
        <v>0.41110550000000001</v>
      </c>
      <c r="F2950" t="s">
        <v>46</v>
      </c>
      <c r="G2950">
        <v>-474.20609999999999</v>
      </c>
      <c r="H2950" s="1">
        <v>4.1311299999999997E-6</v>
      </c>
      <c r="I2950">
        <v>215.48400000000001</v>
      </c>
      <c r="J2950">
        <v>-486.90839999999997</v>
      </c>
      <c r="K2950">
        <v>1.1156520000000001</v>
      </c>
      <c r="L2950">
        <v>224.2774</v>
      </c>
      <c r="M2950">
        <v>0.55105360000000003</v>
      </c>
      <c r="N2950">
        <v>0</v>
      </c>
      <c r="O2950">
        <v>-0.83435490000000001</v>
      </c>
      <c r="P2950">
        <v>0.66880130000000004</v>
      </c>
      <c r="Q2950">
        <v>0.15721840000000001</v>
      </c>
      <c r="R2950">
        <v>-0.72662769999999899</v>
      </c>
      <c r="S2950">
        <v>2.5836489999999999</v>
      </c>
      <c r="T2950">
        <v>-0.2245837</v>
      </c>
      <c r="U2950">
        <v>-1.807571</v>
      </c>
      <c r="V2950">
        <v>-0.1598136</v>
      </c>
      <c r="W2950">
        <v>0.16865260000000001</v>
      </c>
      <c r="X2950">
        <v>0.97263350000000004</v>
      </c>
      <c r="Y2950">
        <v>-0.36566080000000001</v>
      </c>
      <c r="Z2950">
        <v>6.6733890000000004E-2</v>
      </c>
      <c r="AA2950">
        <v>0.92835270000000003</v>
      </c>
      <c r="AB2950">
        <v>23</v>
      </c>
      <c r="AC2950">
        <v>12.7022999999999</v>
      </c>
      <c r="AD2950">
        <v>-1.11564786887</v>
      </c>
      <c r="AE2950">
        <v>-8.7933999999999894</v>
      </c>
      <c r="AF2950">
        <v>-5.7232965121944197</v>
      </c>
      <c r="AG2950">
        <v>-1.11564786887</v>
      </c>
      <c r="AH2950">
        <v>14.263456236063</v>
      </c>
      <c r="AI2950">
        <v>94.151897296293299</v>
      </c>
      <c r="AJ2950">
        <v>111.863417048313</v>
      </c>
      <c r="AK2950">
        <v>15.4093146159034</v>
      </c>
      <c r="AL2950">
        <v>80.2905124422104</v>
      </c>
      <c r="AM2950">
        <v>99.330905414063594</v>
      </c>
      <c r="AN2950">
        <v>1.00000000577698</v>
      </c>
    </row>
    <row r="2951" spans="1:40" x14ac:dyDescent="0.25">
      <c r="A2951" t="str">
        <f>"20190312172947273"</f>
        <v>20190312172947273</v>
      </c>
      <c r="B2951" t="str">
        <f>"1552382987270683"</f>
        <v>1552382987270683</v>
      </c>
      <c r="C2951" t="s">
        <v>40</v>
      </c>
      <c r="D2951">
        <v>3.0546630000000001</v>
      </c>
      <c r="E2951">
        <v>0.41101189999999999</v>
      </c>
      <c r="F2951" t="s">
        <v>46</v>
      </c>
      <c r="G2951">
        <v>-473.33390000000003</v>
      </c>
      <c r="H2951" s="1">
        <v>4.5008280000000001E-6</v>
      </c>
      <c r="I2951">
        <v>215.09299999999999</v>
      </c>
      <c r="J2951">
        <v>-486.7747</v>
      </c>
      <c r="K2951">
        <v>1.1156520000000001</v>
      </c>
      <c r="L2951">
        <v>224.09289999999999</v>
      </c>
      <c r="M2951">
        <v>0.5582184</v>
      </c>
      <c r="N2951">
        <v>0</v>
      </c>
      <c r="O2951">
        <v>-0.82957860000000005</v>
      </c>
      <c r="P2951">
        <v>0.675566</v>
      </c>
      <c r="Q2951">
        <v>0.15716620000000001</v>
      </c>
      <c r="R2951">
        <v>-0.72035400000000005</v>
      </c>
      <c r="S2951">
        <v>2.6143489999999998</v>
      </c>
      <c r="T2951">
        <v>-0.214866</v>
      </c>
      <c r="U2951">
        <v>-1.768845</v>
      </c>
      <c r="V2951">
        <v>-0.16052629999999901</v>
      </c>
      <c r="W2951">
        <v>0.16858819999999999</v>
      </c>
      <c r="X2951">
        <v>0.97252729999999998</v>
      </c>
      <c r="Y2951">
        <v>-0.37233670000000002</v>
      </c>
      <c r="Z2951">
        <v>6.3699500000000006E-2</v>
      </c>
      <c r="AA2951">
        <v>0.92590919999999999</v>
      </c>
      <c r="AB2951">
        <v>23</v>
      </c>
      <c r="AC2951">
        <v>13.4407999999999</v>
      </c>
      <c r="AD2951">
        <v>-1.115647499172</v>
      </c>
      <c r="AE2951">
        <v>-8.9998999999999896</v>
      </c>
      <c r="AF2951">
        <v>-6.0978699346331702</v>
      </c>
      <c r="AG2951">
        <v>-1.115647499172</v>
      </c>
      <c r="AH2951">
        <v>14.8995838427671</v>
      </c>
      <c r="AI2951">
        <v>93.964183679015804</v>
      </c>
      <c r="AJ2951">
        <v>112.25754064972401</v>
      </c>
      <c r="AK2951">
        <v>16.1377286434541</v>
      </c>
      <c r="AL2951">
        <v>80.294255950738105</v>
      </c>
      <c r="AM2951">
        <v>99.3727858310274</v>
      </c>
      <c r="AN2951">
        <v>1.0000000117081</v>
      </c>
    </row>
    <row r="2952" spans="1:40" x14ac:dyDescent="0.25">
      <c r="A2952" t="str">
        <f>"20190312172947297"</f>
        <v>20190312172947297</v>
      </c>
      <c r="B2952" t="str">
        <f>"1552382987290204"</f>
        <v>1552382987290204</v>
      </c>
      <c r="C2952" t="s">
        <v>40</v>
      </c>
      <c r="D2952">
        <v>3.0579550000000002</v>
      </c>
      <c r="E2952">
        <v>0.41157310000000003</v>
      </c>
      <c r="F2952" t="s">
        <v>46</v>
      </c>
      <c r="G2952">
        <v>-473.09750000000003</v>
      </c>
      <c r="H2952" s="1">
        <v>4.6028960000000003E-6</v>
      </c>
      <c r="I2952">
        <v>215.02930000000001</v>
      </c>
      <c r="J2952">
        <v>-486.63499999999999</v>
      </c>
      <c r="K2952">
        <v>1.115659</v>
      </c>
      <c r="L2952">
        <v>223.90369999999999</v>
      </c>
      <c r="M2952">
        <v>0.56559150000000002</v>
      </c>
      <c r="N2952">
        <v>0</v>
      </c>
      <c r="O2952">
        <v>-0.82456929999999995</v>
      </c>
      <c r="P2952">
        <v>0.68208029999999997</v>
      </c>
      <c r="Q2952">
        <v>0.15696160000000001</v>
      </c>
      <c r="R2952">
        <v>-0.71423349999999997</v>
      </c>
      <c r="S2952">
        <v>2.631348</v>
      </c>
      <c r="T2952">
        <v>-0.21463789999999999</v>
      </c>
      <c r="U2952">
        <v>-1.743744</v>
      </c>
      <c r="V2952">
        <v>-0.1606629</v>
      </c>
      <c r="W2952">
        <v>0.16838049999999999</v>
      </c>
      <c r="X2952">
        <v>0.97254070000000004</v>
      </c>
      <c r="Y2952">
        <v>-0.37297039999999998</v>
      </c>
      <c r="Z2952">
        <v>6.3399899999999995E-2</v>
      </c>
      <c r="AA2952">
        <v>0.92567469999999996</v>
      </c>
      <c r="AB2952">
        <v>23</v>
      </c>
      <c r="AC2952">
        <v>13.5374999999999</v>
      </c>
      <c r="AD2952">
        <v>-1.1156543971040001</v>
      </c>
      <c r="AE2952">
        <v>-8.8743999999999801</v>
      </c>
      <c r="AF2952">
        <v>-6.1148628720894198</v>
      </c>
      <c r="AG2952">
        <v>-1.1156543971040001</v>
      </c>
      <c r="AH2952">
        <v>14.904884790676601</v>
      </c>
      <c r="AI2952">
        <v>93.961424609481995</v>
      </c>
      <c r="AJ2952">
        <v>112.306331213474</v>
      </c>
      <c r="AK2952">
        <v>16.149050229087099</v>
      </c>
      <c r="AL2952">
        <v>80.306328629681502</v>
      </c>
      <c r="AM2952">
        <v>99.3804929523466</v>
      </c>
      <c r="AN2952">
        <v>0.99999998668657497</v>
      </c>
    </row>
    <row r="2953" spans="1:40" x14ac:dyDescent="0.25">
      <c r="A2953" t="str">
        <f>"20190312172947320"</f>
        <v>20190312172947320</v>
      </c>
      <c r="B2953" t="str">
        <f>"1552382987310700"</f>
        <v>1552382987310700</v>
      </c>
      <c r="C2953" t="s">
        <v>40</v>
      </c>
      <c r="D2953">
        <v>3.0552890000000001</v>
      </c>
      <c r="E2953">
        <v>0.41213840000000002</v>
      </c>
      <c r="F2953" t="s">
        <v>46</v>
      </c>
      <c r="G2953">
        <v>-473.06909999999999</v>
      </c>
      <c r="H2953" s="1">
        <v>4.6168310000000002E-6</v>
      </c>
      <c r="I2953">
        <v>215.06039999999999</v>
      </c>
      <c r="J2953">
        <v>-486.49329999999998</v>
      </c>
      <c r="K2953">
        <v>1.1156699999999999</v>
      </c>
      <c r="L2953">
        <v>223.71520000000001</v>
      </c>
      <c r="M2953">
        <v>0.57296340000000001</v>
      </c>
      <c r="N2953">
        <v>0</v>
      </c>
      <c r="O2953">
        <v>-0.81946409999999903</v>
      </c>
      <c r="P2953">
        <v>0.68861649999999996</v>
      </c>
      <c r="Q2953">
        <v>0.15703</v>
      </c>
      <c r="R2953">
        <v>-0.70791859999999995</v>
      </c>
      <c r="S2953">
        <v>2.6437680000000001</v>
      </c>
      <c r="T2953">
        <v>-0.217422</v>
      </c>
      <c r="U2953">
        <v>-1.7234039999999999</v>
      </c>
      <c r="V2953">
        <v>-0.16089349999999999</v>
      </c>
      <c r="W2953">
        <v>0.16844300000000001</v>
      </c>
      <c r="X2953">
        <v>0.97249180000000002</v>
      </c>
      <c r="Y2953">
        <v>-0.37159560000000003</v>
      </c>
      <c r="Z2953">
        <v>6.3952759999999997E-2</v>
      </c>
      <c r="AA2953">
        <v>0.92618940000000005</v>
      </c>
      <c r="AB2953">
        <v>23</v>
      </c>
      <c r="AC2953">
        <v>13.4241999999999</v>
      </c>
      <c r="AD2953">
        <v>-1.115665383169</v>
      </c>
      <c r="AE2953">
        <v>-8.6548000000000194</v>
      </c>
      <c r="AF2953">
        <v>-6.0130074416762396</v>
      </c>
      <c r="AG2953">
        <v>-1.115665383169</v>
      </c>
      <c r="AH2953">
        <v>14.7135017166752</v>
      </c>
      <c r="AI2953">
        <v>94.015049631823601</v>
      </c>
      <c r="AJ2953">
        <v>112.22849747083301</v>
      </c>
      <c r="AK2953">
        <v>15.933866464466799</v>
      </c>
      <c r="AL2953">
        <v>80.302696196079594</v>
      </c>
      <c r="AM2953">
        <v>99.394180920246299</v>
      </c>
      <c r="AN2953">
        <v>1.0000000318292399</v>
      </c>
    </row>
    <row r="2954" spans="1:40" x14ac:dyDescent="0.25">
      <c r="A2954" t="str">
        <f>"20190312172947342"</f>
        <v>20190312172947342</v>
      </c>
      <c r="B2954" t="str">
        <f>"1552382987331196"</f>
        <v>1552382987331196</v>
      </c>
      <c r="C2954" t="s">
        <v>40</v>
      </c>
      <c r="D2954">
        <v>3.0583040000000001</v>
      </c>
      <c r="E2954">
        <v>0.4128368</v>
      </c>
      <c r="F2954" t="s">
        <v>46</v>
      </c>
      <c r="G2954">
        <v>-472.95749999999998</v>
      </c>
      <c r="H2954" s="1">
        <v>4.6655539999999999E-6</v>
      </c>
      <c r="I2954">
        <v>215.0429</v>
      </c>
      <c r="J2954">
        <v>-486.35270000000003</v>
      </c>
      <c r="K2954">
        <v>1.1156839999999999</v>
      </c>
      <c r="L2954">
        <v>223.5316</v>
      </c>
      <c r="M2954">
        <v>0.580175</v>
      </c>
      <c r="N2954">
        <v>0</v>
      </c>
      <c r="O2954">
        <v>-0.81437440000000005</v>
      </c>
      <c r="P2954">
        <v>0.69481380000000004</v>
      </c>
      <c r="Q2954">
        <v>0.157496</v>
      </c>
      <c r="R2954">
        <v>-0.70173350000000001</v>
      </c>
      <c r="S2954">
        <v>2.656647</v>
      </c>
      <c r="T2954">
        <v>-0.21896959999999999</v>
      </c>
      <c r="U2954">
        <v>-1.7021029999999999</v>
      </c>
      <c r="V2954">
        <v>-0.16092790000000001</v>
      </c>
      <c r="W2954">
        <v>0.16890450000000001</v>
      </c>
      <c r="X2954">
        <v>0.97240599999999999</v>
      </c>
      <c r="Y2954">
        <v>-0.37068580000000001</v>
      </c>
      <c r="Z2954">
        <v>6.4145419999999995E-2</v>
      </c>
      <c r="AA2954">
        <v>0.92654060000000005</v>
      </c>
      <c r="AB2954">
        <v>23</v>
      </c>
      <c r="AC2954">
        <v>13.395200000000001</v>
      </c>
      <c r="AD2954">
        <v>-1.1156793344460001</v>
      </c>
      <c r="AE2954">
        <v>-8.4886999999999908</v>
      </c>
      <c r="AF2954">
        <v>-5.9548753859486503</v>
      </c>
      <c r="AG2954">
        <v>-1.1156793344460001</v>
      </c>
      <c r="AH2954">
        <v>14.613615237983501</v>
      </c>
      <c r="AI2954">
        <v>94.044122846432103</v>
      </c>
      <c r="AJ2954">
        <v>112.17031453483401</v>
      </c>
      <c r="AK2954">
        <v>15.819703902517</v>
      </c>
      <c r="AL2954">
        <v>80.275869256453404</v>
      </c>
      <c r="AM2954">
        <v>99.396967918547404</v>
      </c>
      <c r="AN2954">
        <v>0.99999997397732898</v>
      </c>
    </row>
    <row r="2955" spans="1:40" x14ac:dyDescent="0.25">
      <c r="A2955" t="str">
        <f>"20190312172947366"</f>
        <v>20190312172947366</v>
      </c>
      <c r="B2955" t="str">
        <f>"1552382987360476"</f>
        <v>1552382987360476</v>
      </c>
      <c r="C2955" t="s">
        <v>40</v>
      </c>
      <c r="D2955">
        <v>3.052238</v>
      </c>
      <c r="E2955">
        <v>0.41418929999999998</v>
      </c>
      <c r="F2955" t="s">
        <v>46</v>
      </c>
      <c r="G2955">
        <v>-472.76080000000002</v>
      </c>
      <c r="H2955" s="1">
        <v>4.7491010000000002E-6</v>
      </c>
      <c r="I2955">
        <v>214.95859999999999</v>
      </c>
      <c r="J2955">
        <v>-486.21230000000003</v>
      </c>
      <c r="K2955">
        <v>1.1156980000000001</v>
      </c>
      <c r="L2955">
        <v>223.3519</v>
      </c>
      <c r="M2955">
        <v>0.58727079999999998</v>
      </c>
      <c r="N2955">
        <v>0</v>
      </c>
      <c r="O2955">
        <v>-0.80927209999999905</v>
      </c>
      <c r="P2955">
        <v>0.70099290000000003</v>
      </c>
      <c r="Q2955">
        <v>0.15794820000000001</v>
      </c>
      <c r="R2955">
        <v>-0.69545769999999996</v>
      </c>
      <c r="S2955">
        <v>2.6678470000000001</v>
      </c>
      <c r="T2955">
        <v>-0.2189885</v>
      </c>
      <c r="U2955">
        <v>-1.682739</v>
      </c>
      <c r="V2955">
        <v>-0.1610994</v>
      </c>
      <c r="W2955">
        <v>0.16935</v>
      </c>
      <c r="X2955">
        <v>0.9723001</v>
      </c>
      <c r="Y2955">
        <v>-0.36914419999999998</v>
      </c>
      <c r="Z2955">
        <v>6.3876509999999997E-2</v>
      </c>
      <c r="AA2955">
        <v>0.92717439999999995</v>
      </c>
      <c r="AB2955">
        <v>23</v>
      </c>
      <c r="AC2955">
        <v>13.451499999999999</v>
      </c>
      <c r="AD2955">
        <v>-1.1156932508989901</v>
      </c>
      <c r="AE2955">
        <v>-8.3933</v>
      </c>
      <c r="AF2955">
        <v>-5.9280018265587602</v>
      </c>
      <c r="AG2955">
        <v>-1.1156932508989901</v>
      </c>
      <c r="AH2955">
        <v>14.621147627218599</v>
      </c>
      <c r="AI2955">
        <v>94.044975630611106</v>
      </c>
      <c r="AJ2955">
        <v>112.06961444263401</v>
      </c>
      <c r="AK2955">
        <v>15.8165715318683</v>
      </c>
      <c r="AL2955">
        <v>80.249970780131406</v>
      </c>
      <c r="AM2955">
        <v>99.407809565779303</v>
      </c>
      <c r="AN2955">
        <v>0.99999996182018402</v>
      </c>
    </row>
    <row r="2956" spans="1:40" x14ac:dyDescent="0.25">
      <c r="A2956" t="str">
        <f>"20190312172947385"</f>
        <v>20190312172947385</v>
      </c>
      <c r="B2956" t="str">
        <f>"1552382987379995"</f>
        <v>1552382987379995</v>
      </c>
      <c r="C2956" t="s">
        <v>40</v>
      </c>
      <c r="D2956">
        <v>3.0000460000000002</v>
      </c>
      <c r="E2956">
        <v>0.41490549999999998</v>
      </c>
      <c r="F2956" t="s">
        <v>46</v>
      </c>
      <c r="G2956">
        <v>-472.71129999999999</v>
      </c>
      <c r="H2956" s="1">
        <v>4.7704239999999999E-6</v>
      </c>
      <c r="I2956">
        <v>214.94460000000001</v>
      </c>
      <c r="J2956">
        <v>-486.08609999999999</v>
      </c>
      <c r="K2956">
        <v>1.1157109999999999</v>
      </c>
      <c r="L2956">
        <v>223.19300000000001</v>
      </c>
      <c r="M2956">
        <v>0.59356869999999995</v>
      </c>
      <c r="N2956">
        <v>0</v>
      </c>
      <c r="O2956">
        <v>-0.80466439999999995</v>
      </c>
      <c r="P2956">
        <v>0.70618939999999997</v>
      </c>
      <c r="Q2956">
        <v>0.1585387</v>
      </c>
      <c r="R2956">
        <v>-0.69004540000000003</v>
      </c>
      <c r="S2956">
        <v>2.6761780000000002</v>
      </c>
      <c r="T2956">
        <v>-0.22115470000000001</v>
      </c>
      <c r="U2956">
        <v>-1.666504</v>
      </c>
      <c r="V2956">
        <v>-0.16089419999999999</v>
      </c>
      <c r="W2956">
        <v>0.16994029999999999</v>
      </c>
      <c r="X2956">
        <v>0.97223110000000001</v>
      </c>
      <c r="Y2956">
        <v>-0.36720619999999998</v>
      </c>
      <c r="Z2956">
        <v>6.4255290000000007E-2</v>
      </c>
      <c r="AA2956">
        <v>0.92791749999999995</v>
      </c>
      <c r="AB2956">
        <v>23</v>
      </c>
      <c r="AC2956">
        <v>13.374799999999899</v>
      </c>
      <c r="AD2956">
        <v>-1.1157062295760001</v>
      </c>
      <c r="AE2956">
        <v>-8.24839999999997</v>
      </c>
      <c r="AF2956">
        <v>-5.8373670207953898</v>
      </c>
      <c r="AG2956">
        <v>-1.1157062295760001</v>
      </c>
      <c r="AH2956">
        <v>14.504331198042699</v>
      </c>
      <c r="AI2956">
        <v>94.081703840802902</v>
      </c>
      <c r="AJ2956">
        <v>111.922656121088</v>
      </c>
      <c r="AK2956">
        <v>15.674669936834301</v>
      </c>
      <c r="AL2956">
        <v>80.215651815208801</v>
      </c>
      <c r="AM2956">
        <v>99.396695165574897</v>
      </c>
      <c r="AN2956">
        <v>0.99999998048246896</v>
      </c>
    </row>
    <row r="2957" spans="1:40" x14ac:dyDescent="0.25">
      <c r="A2957" t="str">
        <f>"20190312172947407"</f>
        <v>20190312172947407</v>
      </c>
      <c r="B2957" t="str">
        <f>"1552382987400491"</f>
        <v>1552382987400491</v>
      </c>
      <c r="C2957" t="s">
        <v>40</v>
      </c>
      <c r="D2957">
        <v>3.0239289999999999</v>
      </c>
      <c r="E2957">
        <v>0.42418230000000001</v>
      </c>
      <c r="F2957" t="s">
        <v>46</v>
      </c>
      <c r="G2957">
        <v>-472.62049999999999</v>
      </c>
      <c r="H2957" s="1">
        <v>4.8095549999999999E-6</v>
      </c>
      <c r="I2957">
        <v>214.91759999999999</v>
      </c>
      <c r="J2957">
        <v>-485.947</v>
      </c>
      <c r="K2957">
        <v>1.1157189999999999</v>
      </c>
      <c r="L2957">
        <v>223.02099999999999</v>
      </c>
      <c r="M2957">
        <v>0.60041619999999996</v>
      </c>
      <c r="N2957">
        <v>0</v>
      </c>
      <c r="O2957">
        <v>-0.7995679</v>
      </c>
      <c r="P2957">
        <v>0.71186490000000002</v>
      </c>
      <c r="Q2957">
        <v>0.15935739999999901</v>
      </c>
      <c r="R2957">
        <v>-0.68399829999999995</v>
      </c>
      <c r="S2957">
        <v>2.6854550000000001</v>
      </c>
      <c r="T2957">
        <v>-0.22250590000000001</v>
      </c>
      <c r="U2957">
        <v>-1.6503749999999999</v>
      </c>
      <c r="V2957">
        <v>-0.16075200000000001</v>
      </c>
      <c r="W2957">
        <v>0.17075779999999999</v>
      </c>
      <c r="X2957">
        <v>0.97211139999999996</v>
      </c>
      <c r="Y2957">
        <v>-0.36472779999999999</v>
      </c>
      <c r="Z2957">
        <v>6.4333559999999998E-2</v>
      </c>
      <c r="AA2957">
        <v>0.92888899999999996</v>
      </c>
      <c r="AB2957">
        <v>23</v>
      </c>
      <c r="AC2957">
        <v>13.3264999999999</v>
      </c>
      <c r="AD2957">
        <v>-1.1157141904449901</v>
      </c>
      <c r="AE2957">
        <v>-8.1033999999999899</v>
      </c>
      <c r="AF2957">
        <v>-5.7611028104863804</v>
      </c>
      <c r="AG2957">
        <v>-1.1157141904449901</v>
      </c>
      <c r="AH2957">
        <v>14.4083216361071</v>
      </c>
      <c r="AI2957">
        <v>94.112535014418796</v>
      </c>
      <c r="AJ2957">
        <v>111.79377870348</v>
      </c>
      <c r="AK2957">
        <v>15.557469463806299</v>
      </c>
      <c r="AL2957">
        <v>80.168117967267094</v>
      </c>
      <c r="AM2957">
        <v>99.389673656041595</v>
      </c>
      <c r="AN2957">
        <v>1.0000000028874001</v>
      </c>
    </row>
    <row r="2958" spans="1:40" x14ac:dyDescent="0.25">
      <c r="A2958" t="str">
        <f>"20190312172947429"</f>
        <v>20190312172947429</v>
      </c>
      <c r="B2958" t="str">
        <f>"1552382987420012"</f>
        <v>1552382987420012</v>
      </c>
      <c r="C2958" t="s">
        <v>40</v>
      </c>
      <c r="D2958">
        <v>3.0509740000000001</v>
      </c>
      <c r="E2958">
        <v>0.42489919999999998</v>
      </c>
      <c r="F2958" t="s">
        <v>46</v>
      </c>
      <c r="G2958">
        <v>-474.05900000000003</v>
      </c>
      <c r="H2958" s="1">
        <v>4.195911E-6</v>
      </c>
      <c r="I2958">
        <v>215.4734</v>
      </c>
      <c r="J2958">
        <v>-485.80270000000002</v>
      </c>
      <c r="K2958">
        <v>1.1157250000000001</v>
      </c>
      <c r="L2958">
        <v>222.8458</v>
      </c>
      <c r="M2958">
        <v>0.60740989999999995</v>
      </c>
      <c r="N2958">
        <v>0</v>
      </c>
      <c r="O2958">
        <v>-0.79426819999999998</v>
      </c>
      <c r="P2958">
        <v>0.71760419999999903</v>
      </c>
      <c r="Q2958">
        <v>0.15967990000000001</v>
      </c>
      <c r="R2958">
        <v>-0.67789909999999998</v>
      </c>
      <c r="S2958">
        <v>2.652069</v>
      </c>
      <c r="T2958">
        <v>-0.24890329999999999</v>
      </c>
      <c r="U2958">
        <v>-1.6837770000000001</v>
      </c>
      <c r="V2958">
        <v>-0.1604642</v>
      </c>
      <c r="W2958">
        <v>0.17108289999999901</v>
      </c>
      <c r="X2958">
        <v>0.97210180000000002</v>
      </c>
      <c r="Y2958">
        <v>-0.34237400000000001</v>
      </c>
      <c r="Z2958">
        <v>7.1266490000000002E-2</v>
      </c>
      <c r="AA2958">
        <v>0.93685700000000005</v>
      </c>
      <c r="AB2958">
        <v>23</v>
      </c>
      <c r="AC2958">
        <v>11.743699999999899</v>
      </c>
      <c r="AD2958">
        <v>-1.1157208040889901</v>
      </c>
      <c r="AE2958">
        <v>-7.3723999999999901</v>
      </c>
      <c r="AF2958">
        <v>-4.8188428557556797</v>
      </c>
      <c r="AG2958">
        <v>-1.1157208040889901</v>
      </c>
      <c r="AH2958">
        <v>12.906580923994801</v>
      </c>
      <c r="AI2958">
        <v>94.630011363787403</v>
      </c>
      <c r="AJ2958">
        <v>110.47378335884</v>
      </c>
      <c r="AK2958">
        <v>13.8219358459215</v>
      </c>
      <c r="AL2958">
        <v>80.149213027821702</v>
      </c>
      <c r="AM2958">
        <v>99.373252501838607</v>
      </c>
      <c r="AN2958">
        <v>1.00000001385864</v>
      </c>
    </row>
    <row r="2959" spans="1:40" x14ac:dyDescent="0.25">
      <c r="A2959" t="str">
        <f>"20190312172947452"</f>
        <v>20190312172947452</v>
      </c>
      <c r="B2959" t="str">
        <f>"1552382987440511"</f>
        <v>1552382987440511</v>
      </c>
      <c r="C2959" t="s">
        <v>40</v>
      </c>
      <c r="D2959">
        <v>3.013668</v>
      </c>
      <c r="E2959">
        <v>0.42572300000000002</v>
      </c>
      <c r="F2959" t="s">
        <v>46</v>
      </c>
      <c r="G2959">
        <v>-473.88490000000002</v>
      </c>
      <c r="H2959" s="1">
        <v>4.269541E-6</v>
      </c>
      <c r="I2959">
        <v>215.39109999999999</v>
      </c>
      <c r="J2959">
        <v>-485.65910000000002</v>
      </c>
      <c r="K2959">
        <v>1.11572</v>
      </c>
      <c r="L2959">
        <v>222.67439999999999</v>
      </c>
      <c r="M2959">
        <v>0.61427799999999999</v>
      </c>
      <c r="N2959">
        <v>0</v>
      </c>
      <c r="O2959">
        <v>-0.78896840000000001</v>
      </c>
      <c r="P2959">
        <v>0.72327710000000001</v>
      </c>
      <c r="Q2959">
        <v>0.15971379999999999</v>
      </c>
      <c r="R2959">
        <v>-0.67183490000000001</v>
      </c>
      <c r="S2959">
        <v>2.6626590000000001</v>
      </c>
      <c r="T2959">
        <v>-0.24927160000000001</v>
      </c>
      <c r="U2959">
        <v>-1.6655120000000001</v>
      </c>
      <c r="V2959">
        <v>-0.16020719999999999</v>
      </c>
      <c r="W2959">
        <v>0.171121</v>
      </c>
      <c r="X2959">
        <v>0.97213749999999999</v>
      </c>
      <c r="Y2959">
        <v>-0.34052470000000001</v>
      </c>
      <c r="Z2959">
        <v>7.101702E-2</v>
      </c>
      <c r="AA2959">
        <v>0.93754979999999999</v>
      </c>
      <c r="AB2959">
        <v>23</v>
      </c>
      <c r="AC2959">
        <v>11.7742</v>
      </c>
      <c r="AD2959">
        <v>-1.115715730459</v>
      </c>
      <c r="AE2959">
        <v>-7.2832999999999899</v>
      </c>
      <c r="AF2959">
        <v>-4.7848870624939996</v>
      </c>
      <c r="AG2959">
        <v>-1.115715730459</v>
      </c>
      <c r="AH2959">
        <v>12.8964142952047</v>
      </c>
      <c r="AI2959">
        <v>94.637152858740805</v>
      </c>
      <c r="AJ2959">
        <v>110.356093154761</v>
      </c>
      <c r="AK2959">
        <v>13.800632864676</v>
      </c>
      <c r="AL2959">
        <v>80.1469975582648</v>
      </c>
      <c r="AM2959">
        <v>99.3581684670866</v>
      </c>
      <c r="AN2959">
        <v>1.0000000312395401</v>
      </c>
    </row>
    <row r="2960" spans="1:40" x14ac:dyDescent="0.25">
      <c r="A2960" t="str">
        <f>"20190312172947474"</f>
        <v>20190312172947474</v>
      </c>
      <c r="B2960" t="str">
        <f>"1552382987470344"</f>
        <v>1552382987470344</v>
      </c>
      <c r="C2960" t="s">
        <v>40</v>
      </c>
      <c r="D2960">
        <v>3.0077609999999999</v>
      </c>
      <c r="E2960">
        <v>0.4265738</v>
      </c>
      <c r="F2960" t="s">
        <v>46</v>
      </c>
      <c r="G2960">
        <v>-473.86959999999999</v>
      </c>
      <c r="H2960" s="1">
        <v>4.2768619999999999E-6</v>
      </c>
      <c r="I2960">
        <v>215.40350000000001</v>
      </c>
      <c r="J2960">
        <v>-485.52080000000001</v>
      </c>
      <c r="K2960">
        <v>1.115715</v>
      </c>
      <c r="L2960">
        <v>222.5121</v>
      </c>
      <c r="M2960">
        <v>0.62079609999999996</v>
      </c>
      <c r="N2960">
        <v>0</v>
      </c>
      <c r="O2960">
        <v>-0.78384969999999998</v>
      </c>
      <c r="P2960">
        <v>0.728294199999999</v>
      </c>
      <c r="Q2960">
        <v>0.15980150000000001</v>
      </c>
      <c r="R2960">
        <v>-0.66637179999999996</v>
      </c>
      <c r="S2960">
        <v>2.672577</v>
      </c>
      <c r="T2960">
        <v>-0.25292310000000001</v>
      </c>
      <c r="U2960">
        <v>-1.648239</v>
      </c>
      <c r="V2960">
        <v>-0.1594506</v>
      </c>
      <c r="W2960">
        <v>0.1712206</v>
      </c>
      <c r="X2960">
        <v>0.97224429999999995</v>
      </c>
      <c r="Y2960">
        <v>-0.33861380000000002</v>
      </c>
      <c r="Z2960">
        <v>7.1697369999999996E-2</v>
      </c>
      <c r="AA2960">
        <v>0.93818979999999996</v>
      </c>
      <c r="AB2960">
        <v>23</v>
      </c>
      <c r="AC2960">
        <v>11.651199999999999</v>
      </c>
      <c r="AD2960">
        <v>-1.1157107231379999</v>
      </c>
      <c r="AE2960">
        <v>-7.1085999999999903</v>
      </c>
      <c r="AF2960">
        <v>-4.6889181740671102</v>
      </c>
      <c r="AG2960">
        <v>-1.1157107231379999</v>
      </c>
      <c r="AH2960">
        <v>12.7213134261926</v>
      </c>
      <c r="AI2960">
        <v>94.704386711500305</v>
      </c>
      <c r="AJ2960">
        <v>110.233260163163</v>
      </c>
      <c r="AK2960">
        <v>13.6037707768195</v>
      </c>
      <c r="AL2960">
        <v>80.141204937292599</v>
      </c>
      <c r="AM2960">
        <v>99.313744376237906</v>
      </c>
      <c r="AN2960">
        <v>0.99999998329360396</v>
      </c>
    </row>
    <row r="2961" spans="1:40" x14ac:dyDescent="0.25">
      <c r="A2961" t="str">
        <f>"20190312172947508"</f>
        <v>20190312172947508</v>
      </c>
      <c r="B2961" t="str">
        <f>"1552382987500600"</f>
        <v>1552382987500600</v>
      </c>
      <c r="C2961" t="s">
        <v>40</v>
      </c>
      <c r="D2961">
        <v>2.9641299999999999</v>
      </c>
      <c r="E2961">
        <v>0.43080109999999999</v>
      </c>
      <c r="F2961" t="s">
        <v>46</v>
      </c>
      <c r="G2961">
        <v>-473.75529999999998</v>
      </c>
      <c r="H2961" s="1">
        <v>4.324989E-6</v>
      </c>
      <c r="I2961">
        <v>215.34549999999999</v>
      </c>
      <c r="J2961">
        <v>-485.2962</v>
      </c>
      <c r="K2961">
        <v>1.115718</v>
      </c>
      <c r="L2961">
        <v>222.2543</v>
      </c>
      <c r="M2961">
        <v>0.63118409999999903</v>
      </c>
      <c r="N2961">
        <v>0</v>
      </c>
      <c r="O2961">
        <v>-0.77550969999999997</v>
      </c>
      <c r="P2961">
        <v>0.7367823</v>
      </c>
      <c r="Q2961">
        <v>0.1589313</v>
      </c>
      <c r="R2961">
        <v>-0.65718540000000003</v>
      </c>
      <c r="S2961">
        <v>2.6808779999999999</v>
      </c>
      <c r="T2961">
        <v>-0.2542259</v>
      </c>
      <c r="U2961">
        <v>-1.6329800000000001</v>
      </c>
      <c r="V2961">
        <v>-0.1588232</v>
      </c>
      <c r="W2961">
        <v>0.17036309999999999</v>
      </c>
      <c r="X2961">
        <v>0.97249759999999996</v>
      </c>
      <c r="Y2961">
        <v>-0.33126129999999998</v>
      </c>
      <c r="Z2961">
        <v>7.1354230000000005E-2</v>
      </c>
      <c r="AA2961">
        <v>0.94083709999999998</v>
      </c>
      <c r="AB2961">
        <v>23</v>
      </c>
      <c r="AC2961">
        <v>11.540900000000001</v>
      </c>
      <c r="AD2961">
        <v>-1.1157136750109999</v>
      </c>
      <c r="AE2961">
        <v>-6.90880000000001</v>
      </c>
      <c r="AF2961">
        <v>-4.5584307750848101</v>
      </c>
      <c r="AG2961">
        <v>-1.1157136750109999</v>
      </c>
      <c r="AH2961">
        <v>12.557086671724001</v>
      </c>
      <c r="AI2961">
        <v>94.774177309023997</v>
      </c>
      <c r="AJ2961">
        <v>109.95173703332</v>
      </c>
      <c r="AK2961">
        <v>13.4053919680491</v>
      </c>
      <c r="AL2961">
        <v>80.191068762755904</v>
      </c>
      <c r="AM2961">
        <v>99.275360989528295</v>
      </c>
      <c r="AN2961">
        <v>0.99999998835280401</v>
      </c>
    </row>
    <row r="2962" spans="1:40" x14ac:dyDescent="0.25">
      <c r="A2962" t="str">
        <f>"20190312172947530"</f>
        <v>20190312172947530</v>
      </c>
      <c r="B2962" t="str">
        <f>"1552382987520120"</f>
        <v>1552382987520120</v>
      </c>
      <c r="C2962" t="s">
        <v>40</v>
      </c>
      <c r="D2962">
        <v>2.9532159999999998</v>
      </c>
      <c r="E2962">
        <v>0.4310889</v>
      </c>
      <c r="F2962" t="s">
        <v>46</v>
      </c>
      <c r="G2962">
        <v>-473.85969999999998</v>
      </c>
      <c r="H2962" s="1">
        <v>4.2777669999999997E-6</v>
      </c>
      <c r="I2962">
        <v>215.32419999999999</v>
      </c>
      <c r="J2962">
        <v>-485.1431</v>
      </c>
      <c r="K2962">
        <v>1.1157140000000001</v>
      </c>
      <c r="L2962">
        <v>222.08269999999999</v>
      </c>
      <c r="M2962">
        <v>0.63811719999999905</v>
      </c>
      <c r="N2962">
        <v>0</v>
      </c>
      <c r="O2962">
        <v>-0.76981480000000002</v>
      </c>
      <c r="P2962">
        <v>0.74295540000000004</v>
      </c>
      <c r="Q2962">
        <v>0.158475</v>
      </c>
      <c r="R2962">
        <v>-0.65031019999999995</v>
      </c>
      <c r="S2962">
        <v>2.6797490000000002</v>
      </c>
      <c r="T2962">
        <v>-0.26142880000000002</v>
      </c>
      <c r="U2962">
        <v>-1.6238250000000001</v>
      </c>
      <c r="V2962">
        <v>-0.15920279999999901</v>
      </c>
      <c r="W2962">
        <v>0.1699031</v>
      </c>
      <c r="X2962">
        <v>0.97251600000000005</v>
      </c>
      <c r="Y2962">
        <v>-0.32482220000000001</v>
      </c>
      <c r="Z2962">
        <v>7.2938000000000003E-2</v>
      </c>
      <c r="AA2962">
        <v>0.94295839999999997</v>
      </c>
      <c r="AB2962">
        <v>23</v>
      </c>
      <c r="AC2962">
        <v>11.2834</v>
      </c>
      <c r="AD2962">
        <v>-1.1157097222329999</v>
      </c>
      <c r="AE2962">
        <v>-6.75849999999999</v>
      </c>
      <c r="AF2962">
        <v>-4.3425841830815797</v>
      </c>
      <c r="AG2962">
        <v>-1.1157097222329999</v>
      </c>
      <c r="AH2962">
        <v>12.315494325222</v>
      </c>
      <c r="AI2962">
        <v>94.883382723125706</v>
      </c>
      <c r="AJ2962">
        <v>109.423233268689</v>
      </c>
      <c r="AK2962">
        <v>13.106267433789499</v>
      </c>
      <c r="AL2962">
        <v>80.2178146922287</v>
      </c>
      <c r="AM2962">
        <v>99.296970357821394</v>
      </c>
      <c r="AN2962">
        <v>0.99999998258672496</v>
      </c>
    </row>
    <row r="2963" spans="1:40" x14ac:dyDescent="0.25">
      <c r="A2963" t="str">
        <f>"20190312172947555"</f>
        <v>20190312172947555</v>
      </c>
      <c r="B2963" t="str">
        <f>"1552382987550375"</f>
        <v>1552382987550375</v>
      </c>
      <c r="C2963" t="s">
        <v>40</v>
      </c>
      <c r="D2963">
        <v>3.0145209999999998</v>
      </c>
      <c r="E2963">
        <v>0.43551529999999999</v>
      </c>
      <c r="F2963" t="s">
        <v>46</v>
      </c>
      <c r="G2963">
        <v>-473.68200000000002</v>
      </c>
      <c r="H2963" s="1">
        <v>4.3542700000000004E-6</v>
      </c>
      <c r="I2963">
        <v>215.27199999999999</v>
      </c>
      <c r="J2963">
        <v>-484.98500000000001</v>
      </c>
      <c r="K2963">
        <v>1.1157049999999999</v>
      </c>
      <c r="L2963">
        <v>221.9085</v>
      </c>
      <c r="M2963">
        <v>0.6451654</v>
      </c>
      <c r="N2963">
        <v>0</v>
      </c>
      <c r="O2963">
        <v>-0.76391750000000003</v>
      </c>
      <c r="P2963">
        <v>0.74894579999999999</v>
      </c>
      <c r="Q2963">
        <v>0.15836500000000001</v>
      </c>
      <c r="R2963">
        <v>-0.64342929999999998</v>
      </c>
      <c r="S2963">
        <v>2.6930239999999999</v>
      </c>
      <c r="T2963">
        <v>-0.26215949999999999</v>
      </c>
      <c r="U2963">
        <v>-1.600311</v>
      </c>
      <c r="V2963">
        <v>-0.15924940000000001</v>
      </c>
      <c r="W2963">
        <v>0.16979459999999999</v>
      </c>
      <c r="X2963">
        <v>0.97252729999999998</v>
      </c>
      <c r="Y2963">
        <v>-0.32425759999999998</v>
      </c>
      <c r="Z2963">
        <v>7.2748080000000007E-2</v>
      </c>
      <c r="AA2963">
        <v>0.94316739999999999</v>
      </c>
      <c r="AB2963">
        <v>23</v>
      </c>
      <c r="AC2963">
        <v>11.303000000000001</v>
      </c>
      <c r="AD2963">
        <v>-1.1157006457300001</v>
      </c>
      <c r="AE2963">
        <v>-6.6364999999999803</v>
      </c>
      <c r="AF2963">
        <v>-4.3220212146259396</v>
      </c>
      <c r="AG2963">
        <v>-1.1157006457300001</v>
      </c>
      <c r="AH2963">
        <v>12.274294129859999</v>
      </c>
      <c r="AI2963">
        <v>94.900406604650001</v>
      </c>
      <c r="AJ2963">
        <v>109.39817235802499</v>
      </c>
      <c r="AK2963">
        <v>13.0607408555899</v>
      </c>
      <c r="AL2963">
        <v>80.2241227532691</v>
      </c>
      <c r="AM2963">
        <v>99.299537956554801</v>
      </c>
      <c r="AN2963">
        <v>0.99999996341740405</v>
      </c>
    </row>
    <row r="2964" spans="1:40" x14ac:dyDescent="0.25">
      <c r="A2964" t="str">
        <f>"20190312172947574"</f>
        <v>20190312172947574</v>
      </c>
      <c r="B2964" t="str">
        <f>"1552382987570927"</f>
        <v>1552382987570927</v>
      </c>
      <c r="C2964" t="s">
        <v>40</v>
      </c>
      <c r="D2964">
        <v>3.0189759999999999</v>
      </c>
      <c r="E2964">
        <v>0.43649090000000001</v>
      </c>
      <c r="F2964" t="s">
        <v>46</v>
      </c>
      <c r="G2964">
        <v>-473.97539999999998</v>
      </c>
      <c r="H2964" s="1">
        <v>4.227016E-6</v>
      </c>
      <c r="I2964">
        <v>215.33670000000001</v>
      </c>
      <c r="J2964">
        <v>-484.84820000000002</v>
      </c>
      <c r="K2964">
        <v>1.115696</v>
      </c>
      <c r="L2964">
        <v>221.76050000000001</v>
      </c>
      <c r="M2964">
        <v>0.65116479999999999</v>
      </c>
      <c r="N2964">
        <v>0</v>
      </c>
      <c r="O2964">
        <v>-0.75881019999999999</v>
      </c>
      <c r="P2964">
        <v>0.75392680000000001</v>
      </c>
      <c r="Q2964">
        <v>0.15854219999999999</v>
      </c>
      <c r="R2964">
        <v>-0.63754140000000004</v>
      </c>
      <c r="S2964">
        <v>2.685791</v>
      </c>
      <c r="T2964">
        <v>-0.272175</v>
      </c>
      <c r="U2964">
        <v>-1.6031949999999999</v>
      </c>
      <c r="V2964">
        <v>-0.15917719999999999</v>
      </c>
      <c r="W2964">
        <v>0.16997499999999999</v>
      </c>
      <c r="X2964">
        <v>0.97250769999999997</v>
      </c>
      <c r="Y2964">
        <v>-0.3147297</v>
      </c>
      <c r="Z2964">
        <v>7.4978420000000004E-2</v>
      </c>
      <c r="AA2964">
        <v>0.94621529999999998</v>
      </c>
      <c r="AB2964">
        <v>23</v>
      </c>
      <c r="AC2964">
        <v>10.8728</v>
      </c>
      <c r="AD2964">
        <v>-1.1156917729839999</v>
      </c>
      <c r="AE2964">
        <v>-6.4238</v>
      </c>
      <c r="AF2964">
        <v>-4.0363249771168404</v>
      </c>
      <c r="AG2964">
        <v>-1.1156917729839999</v>
      </c>
      <c r="AH2964">
        <v>11.862983462659701</v>
      </c>
      <c r="AI2964">
        <v>95.087946376438396</v>
      </c>
      <c r="AJ2964">
        <v>108.79063321296999</v>
      </c>
      <c r="AK2964">
        <v>12.580423843755799</v>
      </c>
      <c r="AL2964">
        <v>80.213635026983397</v>
      </c>
      <c r="AM2964">
        <v>99.2955794396415</v>
      </c>
      <c r="AN2964">
        <v>1.0000000540920599</v>
      </c>
    </row>
    <row r="2965" spans="1:40" x14ac:dyDescent="0.25">
      <c r="A2965" t="str">
        <f>"20190312172947597"</f>
        <v>20190312172947597</v>
      </c>
      <c r="B2965" t="str">
        <f>"1552382987590447"</f>
        <v>1552382987590447</v>
      </c>
      <c r="C2965" t="s">
        <v>40</v>
      </c>
      <c r="D2965">
        <v>3.103755</v>
      </c>
      <c r="E2965">
        <v>0.43645980000000001</v>
      </c>
      <c r="F2965" t="s">
        <v>46</v>
      </c>
      <c r="G2965">
        <v>-473.97359999999998</v>
      </c>
      <c r="H2965" s="1">
        <v>4.22830499999999E-6</v>
      </c>
      <c r="I2965">
        <v>215.34800000000001</v>
      </c>
      <c r="J2965">
        <v>-484.69540000000001</v>
      </c>
      <c r="K2965">
        <v>1.115686</v>
      </c>
      <c r="L2965">
        <v>221.59780000000001</v>
      </c>
      <c r="M2965">
        <v>0.65776650000000003</v>
      </c>
      <c r="N2965">
        <v>0</v>
      </c>
      <c r="O2965">
        <v>-0.75309479999999995</v>
      </c>
      <c r="P2965">
        <v>0.75992360000000003</v>
      </c>
      <c r="Q2965">
        <v>0.15860339999999901</v>
      </c>
      <c r="R2965">
        <v>-0.63036590000000003</v>
      </c>
      <c r="S2965">
        <v>2.6939389999999999</v>
      </c>
      <c r="T2965">
        <v>-0.276387099999999</v>
      </c>
      <c r="U2965">
        <v>-1.5885469999999999</v>
      </c>
      <c r="V2965">
        <v>-0.15989110000000001</v>
      </c>
      <c r="W2965">
        <v>0.17002809999999999</v>
      </c>
      <c r="X2965">
        <v>0.97238119999999995</v>
      </c>
      <c r="Y2965">
        <v>-0.31143850000000001</v>
      </c>
      <c r="Z2965">
        <v>7.5631870000000004E-2</v>
      </c>
      <c r="AA2965">
        <v>0.94725170000000003</v>
      </c>
      <c r="AB2965">
        <v>23</v>
      </c>
      <c r="AC2965">
        <v>10.7218</v>
      </c>
      <c r="AD2965">
        <v>-1.1156817716949901</v>
      </c>
      <c r="AE2965">
        <v>-6.24980000000002</v>
      </c>
      <c r="AF2965">
        <v>-3.9322225110800999</v>
      </c>
      <c r="AG2965">
        <v>-1.1156817716949901</v>
      </c>
      <c r="AH2965">
        <v>11.665975632087299</v>
      </c>
      <c r="AI2965">
        <v>95.178329769919898</v>
      </c>
      <c r="AJ2965">
        <v>108.627295020828</v>
      </c>
      <c r="AK2965">
        <v>12.3613149438396</v>
      </c>
      <c r="AL2965">
        <v>80.2105467350395</v>
      </c>
      <c r="AM2965">
        <v>99.337730253447702</v>
      </c>
      <c r="AN2965">
        <v>0.99999995838112898</v>
      </c>
    </row>
    <row r="2966" spans="1:40" x14ac:dyDescent="0.25">
      <c r="A2966" t="str">
        <f>"20190312172947619"</f>
        <v>20190312172947619</v>
      </c>
      <c r="B2966" t="str">
        <f>"1552382987610943"</f>
        <v>1552382987610943</v>
      </c>
      <c r="C2966" t="s">
        <v>40</v>
      </c>
      <c r="D2966">
        <v>3.0158990000000001</v>
      </c>
      <c r="E2966">
        <v>0.4374613</v>
      </c>
      <c r="F2966" t="s">
        <v>46</v>
      </c>
      <c r="G2966">
        <v>-473.80040000000002</v>
      </c>
      <c r="H2966" s="1">
        <v>4.3035709999999996E-6</v>
      </c>
      <c r="I2966">
        <v>215.31280000000001</v>
      </c>
      <c r="J2966">
        <v>-484.54160000000002</v>
      </c>
      <c r="K2966">
        <v>1.1156680000000001</v>
      </c>
      <c r="L2966">
        <v>221.43690000000001</v>
      </c>
      <c r="M2966">
        <v>0.66430019999999901</v>
      </c>
      <c r="N2966">
        <v>0</v>
      </c>
      <c r="O2966">
        <v>-0.74733780000000005</v>
      </c>
      <c r="P2966">
        <v>0.76541840000000005</v>
      </c>
      <c r="Q2966">
        <v>0.15885639999999901</v>
      </c>
      <c r="R2966">
        <v>-0.62361800000000001</v>
      </c>
      <c r="S2966">
        <v>2.7092589999999999</v>
      </c>
      <c r="T2966">
        <v>-0.27743709999999899</v>
      </c>
      <c r="U2966">
        <v>-1.562881</v>
      </c>
      <c r="V2966">
        <v>-0.15998509999999999</v>
      </c>
      <c r="W2966">
        <v>0.1702823</v>
      </c>
      <c r="X2966">
        <v>0.97232130000000005</v>
      </c>
      <c r="Y2966">
        <v>-0.31221139999999997</v>
      </c>
      <c r="Z2966">
        <v>7.5519310000000006E-2</v>
      </c>
      <c r="AA2966">
        <v>0.94700629999999997</v>
      </c>
      <c r="AB2966">
        <v>23</v>
      </c>
      <c r="AC2966">
        <v>10.7411999999999</v>
      </c>
      <c r="AD2966">
        <v>-1.1156636964290001</v>
      </c>
      <c r="AE2966">
        <v>-6.1240999999999897</v>
      </c>
      <c r="AF2966">
        <v>-3.9274662360994799</v>
      </c>
      <c r="AG2966">
        <v>-1.1156636964290001</v>
      </c>
      <c r="AH2966">
        <v>11.618676863024801</v>
      </c>
      <c r="AI2966">
        <v>95.197702926567302</v>
      </c>
      <c r="AJ2966">
        <v>108.676817550465</v>
      </c>
      <c r="AK2966">
        <v>12.315167419350001</v>
      </c>
      <c r="AL2966">
        <v>80.195767046376702</v>
      </c>
      <c r="AM2966">
        <v>99.343688566447497</v>
      </c>
      <c r="AN2966">
        <v>1.0000000021744899</v>
      </c>
    </row>
    <row r="2967" spans="1:40" x14ac:dyDescent="0.25">
      <c r="A2967" t="str">
        <f>"20190312172947642"</f>
        <v>20190312172947642</v>
      </c>
      <c r="B2967" t="str">
        <f>"1552382987630463"</f>
        <v>1552382987630463</v>
      </c>
      <c r="C2967" t="s">
        <v>40</v>
      </c>
      <c r="D2967">
        <v>3.0122789999999999</v>
      </c>
      <c r="E2967">
        <v>0.43834450000000003</v>
      </c>
      <c r="F2967" t="s">
        <v>46</v>
      </c>
      <c r="G2967">
        <v>-473.6216</v>
      </c>
      <c r="H2967" s="1">
        <v>4.3792460000000004E-6</v>
      </c>
      <c r="I2967">
        <v>215.23070000000001</v>
      </c>
      <c r="J2967">
        <v>-484.38600000000002</v>
      </c>
      <c r="K2967">
        <v>1.115658</v>
      </c>
      <c r="L2967">
        <v>221.27680000000001</v>
      </c>
      <c r="M2967">
        <v>0.67080200000000001</v>
      </c>
      <c r="N2967">
        <v>0</v>
      </c>
      <c r="O2967">
        <v>-0.74150749999999999</v>
      </c>
      <c r="P2967">
        <v>0.77076669999999903</v>
      </c>
      <c r="Q2967">
        <v>0.15879190000000001</v>
      </c>
      <c r="R2967">
        <v>-0.61701209999999995</v>
      </c>
      <c r="S2967">
        <v>2.7183839999999999</v>
      </c>
      <c r="T2967">
        <v>-0.27773130000000001</v>
      </c>
      <c r="U2967">
        <v>-1.5449520000000001</v>
      </c>
      <c r="V2967">
        <v>-0.1598588</v>
      </c>
      <c r="W2967">
        <v>0.17022309999999999</v>
      </c>
      <c r="X2967">
        <v>0.97235240000000001</v>
      </c>
      <c r="Y2967">
        <v>-0.31001640000000003</v>
      </c>
      <c r="Z2967">
        <v>7.5129340000000003E-2</v>
      </c>
      <c r="AA2967">
        <v>0.94775810000000005</v>
      </c>
      <c r="AB2967">
        <v>23</v>
      </c>
      <c r="AC2967">
        <v>10.764399999999901</v>
      </c>
      <c r="AD2967">
        <v>-1.115653620754</v>
      </c>
      <c r="AE2967">
        <v>-6.0460999999999903</v>
      </c>
      <c r="AF2967">
        <v>-3.8947197265015001</v>
      </c>
      <c r="AG2967">
        <v>-1.115653620754</v>
      </c>
      <c r="AH2967">
        <v>11.610322451838</v>
      </c>
      <c r="AI2967">
        <v>95.205409432250903</v>
      </c>
      <c r="AJ2967">
        <v>108.544192275024</v>
      </c>
      <c r="AK2967">
        <v>12.2968740818614</v>
      </c>
      <c r="AL2967">
        <v>80.199208840190593</v>
      </c>
      <c r="AM2967">
        <v>99.336148779564198</v>
      </c>
      <c r="AN2967">
        <v>0.99999996474840402</v>
      </c>
    </row>
    <row r="2968" spans="1:40" x14ac:dyDescent="0.25">
      <c r="A2968" t="str">
        <f>"20190312172947664"</f>
        <v>20190312172947664</v>
      </c>
      <c r="B2968" t="str">
        <f>"1552382987660719"</f>
        <v>1552382987660719</v>
      </c>
      <c r="C2968" t="s">
        <v>40</v>
      </c>
      <c r="D2968">
        <v>2.984445</v>
      </c>
      <c r="E2968">
        <v>0.44327519999999998</v>
      </c>
      <c r="F2968" t="s">
        <v>46</v>
      </c>
      <c r="G2968">
        <v>-473.47840000000002</v>
      </c>
      <c r="H2968" s="1">
        <v>4.4400300000000002E-6</v>
      </c>
      <c r="I2968">
        <v>215.16829999999999</v>
      </c>
      <c r="J2968">
        <v>-484.23200000000003</v>
      </c>
      <c r="K2968">
        <v>1.115645</v>
      </c>
      <c r="L2968">
        <v>221.12129999999999</v>
      </c>
      <c r="M2968">
        <v>0.67712749999999999</v>
      </c>
      <c r="N2968">
        <v>0</v>
      </c>
      <c r="O2968">
        <v>-0.73573559999999905</v>
      </c>
      <c r="P2968">
        <v>0.77578100000000005</v>
      </c>
      <c r="Q2968">
        <v>0.159292299999999</v>
      </c>
      <c r="R2968">
        <v>-0.61056569999999899</v>
      </c>
      <c r="S2968">
        <v>2.7270810000000001</v>
      </c>
      <c r="T2968">
        <v>-0.27893390000000001</v>
      </c>
      <c r="U2968">
        <v>-1.527237</v>
      </c>
      <c r="V2968">
        <v>-0.15956319999999999</v>
      </c>
      <c r="W2968">
        <v>0.1707301</v>
      </c>
      <c r="X2968">
        <v>0.97231210000000001</v>
      </c>
      <c r="Y2968">
        <v>-0.3078439</v>
      </c>
      <c r="Z2968">
        <v>7.4986369999999997E-2</v>
      </c>
      <c r="AA2968">
        <v>0.94847729999999997</v>
      </c>
      <c r="AB2968">
        <v>23</v>
      </c>
      <c r="AC2968">
        <v>10.753599999999899</v>
      </c>
      <c r="AD2968">
        <v>-1.1156405599699999</v>
      </c>
      <c r="AE2968">
        <v>-5.9530000000000003</v>
      </c>
      <c r="AF2968">
        <v>-3.84952372130161</v>
      </c>
      <c r="AG2968">
        <v>-1.1156405599699999</v>
      </c>
      <c r="AH2968">
        <v>11.567212674527401</v>
      </c>
      <c r="AI2968">
        <v>95.228792527705593</v>
      </c>
      <c r="AJ2968">
        <v>108.407243307683</v>
      </c>
      <c r="AK2968">
        <v>12.241891022128099</v>
      </c>
      <c r="AL2968">
        <v>80.169728692972697</v>
      </c>
      <c r="AM2968">
        <v>99.319567633854007</v>
      </c>
      <c r="AN2968">
        <v>1.0000000008233301</v>
      </c>
    </row>
    <row r="2969" spans="1:40" x14ac:dyDescent="0.25">
      <c r="A2969" t="str">
        <f>"20190312172947686"</f>
        <v>20190312172947686</v>
      </c>
      <c r="B2969" t="str">
        <f>"1552382987680238"</f>
        <v>1552382987680238</v>
      </c>
      <c r="C2969" t="s">
        <v>40</v>
      </c>
      <c r="D2969">
        <v>2.9868579999999998</v>
      </c>
      <c r="E2969">
        <v>0.44401230000000003</v>
      </c>
      <c r="F2969" t="s">
        <v>46</v>
      </c>
      <c r="G2969">
        <v>-473.25819999999999</v>
      </c>
      <c r="H2969" s="1">
        <v>4.5265440000000001E-6</v>
      </c>
      <c r="I2969">
        <v>214.91319999999999</v>
      </c>
      <c r="J2969">
        <v>-484.07679999999999</v>
      </c>
      <c r="K2969">
        <v>1.1156429999999999</v>
      </c>
      <c r="L2969">
        <v>220.96729999999999</v>
      </c>
      <c r="M2969">
        <v>0.68339910000000004</v>
      </c>
      <c r="N2969">
        <v>0</v>
      </c>
      <c r="O2969">
        <v>-0.7299137</v>
      </c>
      <c r="P2969">
        <v>0.78094049999999904</v>
      </c>
      <c r="Q2969">
        <v>0.158972</v>
      </c>
      <c r="R2969">
        <v>-0.60403649999999998</v>
      </c>
      <c r="S2969">
        <v>2.7149350000000001</v>
      </c>
      <c r="T2969">
        <v>-0.27601120000000001</v>
      </c>
      <c r="U2969">
        <v>-1.5358889999999901</v>
      </c>
      <c r="V2969">
        <v>-0.15943660000000001</v>
      </c>
      <c r="W2969">
        <v>0.17041439999999999</v>
      </c>
      <c r="X2969">
        <v>0.97238829999999998</v>
      </c>
      <c r="Y2969">
        <v>-0.29568050000000001</v>
      </c>
      <c r="Z2969">
        <v>7.3534959999999996E-2</v>
      </c>
      <c r="AA2969">
        <v>0.95245239999999998</v>
      </c>
      <c r="AB2969">
        <v>23</v>
      </c>
      <c r="AC2969">
        <v>10.8186</v>
      </c>
      <c r="AD2969">
        <v>-1.1156384734560001</v>
      </c>
      <c r="AE2969">
        <v>-6.0541</v>
      </c>
      <c r="AF2969">
        <v>-3.7294363841323701</v>
      </c>
      <c r="AG2969">
        <v>-1.1156384734560001</v>
      </c>
      <c r="AH2969">
        <v>11.718624224202999</v>
      </c>
      <c r="AI2969">
        <v>95.183618152753894</v>
      </c>
      <c r="AJ2969">
        <v>107.65360150731</v>
      </c>
      <c r="AK2969">
        <v>12.3482589321258</v>
      </c>
      <c r="AL2969">
        <v>80.1880864964902</v>
      </c>
      <c r="AM2969">
        <v>99.311585957447605</v>
      </c>
      <c r="AN2969">
        <v>1.0000000515619001</v>
      </c>
    </row>
    <row r="2970" spans="1:40" x14ac:dyDescent="0.25">
      <c r="A2970" t="str">
        <f>"20190312172947709"</f>
        <v>20190312172947709</v>
      </c>
      <c r="B2970" t="str">
        <f>"1552382987700735"</f>
        <v>1552382987700735</v>
      </c>
      <c r="C2970" t="s">
        <v>40</v>
      </c>
      <c r="D2970">
        <v>2.9809009999999998</v>
      </c>
      <c r="E2970">
        <v>0.44452959999999903</v>
      </c>
      <c r="F2970" t="s">
        <v>46</v>
      </c>
      <c r="G2970">
        <v>-473.06900000000002</v>
      </c>
      <c r="H2970" s="1">
        <v>4.6069900000000003E-6</v>
      </c>
      <c r="I2970">
        <v>214.834</v>
      </c>
      <c r="J2970">
        <v>-483.91340000000002</v>
      </c>
      <c r="K2970">
        <v>1.1156360000000001</v>
      </c>
      <c r="L2970">
        <v>220.80789999999999</v>
      </c>
      <c r="M2970">
        <v>0.68989659999999997</v>
      </c>
      <c r="N2970">
        <v>0</v>
      </c>
      <c r="O2970">
        <v>-0.72377569999999902</v>
      </c>
      <c r="P2970">
        <v>0.78665940000000001</v>
      </c>
      <c r="Q2970">
        <v>0.15877720000000001</v>
      </c>
      <c r="R2970">
        <v>-0.59662150000000003</v>
      </c>
      <c r="S2970">
        <v>2.723846</v>
      </c>
      <c r="T2970">
        <v>-0.27605990000000002</v>
      </c>
      <c r="U2970">
        <v>-1.517639</v>
      </c>
      <c r="V2970">
        <v>-0.1599671</v>
      </c>
      <c r="W2970">
        <v>0.17021420000000001</v>
      </c>
      <c r="X2970">
        <v>0.97233619999999998</v>
      </c>
      <c r="Y2970">
        <v>-0.293357599999999</v>
      </c>
      <c r="Z2970">
        <v>7.3045410000000005E-2</v>
      </c>
      <c r="AA2970">
        <v>0.9532081</v>
      </c>
      <c r="AB2970">
        <v>22</v>
      </c>
      <c r="AC2970">
        <v>10.8444</v>
      </c>
      <c r="AD2970">
        <v>-1.1156313930099999</v>
      </c>
      <c r="AE2970">
        <v>-5.97389999999998</v>
      </c>
      <c r="AF2970">
        <v>-3.6978716619235601</v>
      </c>
      <c r="AG2970">
        <v>-1.1156313930099999</v>
      </c>
      <c r="AH2970">
        <v>11.7113177565969</v>
      </c>
      <c r="AI2970">
        <v>95.1905129431982</v>
      </c>
      <c r="AJ2970">
        <v>107.523614443475</v>
      </c>
      <c r="AK2970">
        <v>12.3318227293903</v>
      </c>
      <c r="AL2970">
        <v>80.199726835818197</v>
      </c>
      <c r="AM2970">
        <v>99.342515198276303</v>
      </c>
      <c r="AN2970">
        <v>1.00000001639724</v>
      </c>
    </row>
    <row r="2971" spans="1:40" x14ac:dyDescent="0.25">
      <c r="A2971" t="str">
        <f>"20190312172947733"</f>
        <v>20190312172947733</v>
      </c>
      <c r="B2971" t="str">
        <f>"1552382987720255"</f>
        <v>1552382987720255</v>
      </c>
      <c r="C2971" t="s">
        <v>40</v>
      </c>
      <c r="D2971">
        <v>2.9847239999999999</v>
      </c>
      <c r="E2971">
        <v>0.44534499999999999</v>
      </c>
      <c r="F2971" t="s">
        <v>46</v>
      </c>
      <c r="G2971">
        <v>-472.95280000000002</v>
      </c>
      <c r="H2971" s="1">
        <v>4.6577219999999997E-6</v>
      </c>
      <c r="I2971">
        <v>214.8159</v>
      </c>
      <c r="J2971">
        <v>-483.74439999999998</v>
      </c>
      <c r="K2971">
        <v>1.115631</v>
      </c>
      <c r="L2971">
        <v>220.64599999999999</v>
      </c>
      <c r="M2971">
        <v>0.69650719999999899</v>
      </c>
      <c r="N2971">
        <v>0</v>
      </c>
      <c r="O2971">
        <v>-0.71741659999999996</v>
      </c>
      <c r="P2971">
        <v>0.7923325</v>
      </c>
      <c r="Q2971">
        <v>0.15901209999999999</v>
      </c>
      <c r="R2971">
        <v>-0.58900330000000001</v>
      </c>
      <c r="S2971">
        <v>2.7356259999999999</v>
      </c>
      <c r="T2971">
        <v>-0.27844760000000002</v>
      </c>
      <c r="U2971">
        <v>-1.495544</v>
      </c>
      <c r="V2971">
        <v>-0.16039600000000001</v>
      </c>
      <c r="W2971">
        <v>0.17044400000000001</v>
      </c>
      <c r="X2971">
        <v>0.97222520000000001</v>
      </c>
      <c r="Y2971">
        <v>-0.29221320000000001</v>
      </c>
      <c r="Z2971">
        <v>7.3167529999999995E-2</v>
      </c>
      <c r="AA2971">
        <v>0.95355020000000001</v>
      </c>
      <c r="AB2971">
        <v>22</v>
      </c>
      <c r="AC2971">
        <v>10.791599999999899</v>
      </c>
      <c r="AD2971">
        <v>-1.1156263422779999</v>
      </c>
      <c r="AE2971">
        <v>-5.8300999999999803</v>
      </c>
      <c r="AF2971">
        <v>-3.6515102616382298</v>
      </c>
      <c r="AG2971">
        <v>-1.1156263422779999</v>
      </c>
      <c r="AH2971">
        <v>11.604157753320999</v>
      </c>
      <c r="AI2971">
        <v>95.239768717777295</v>
      </c>
      <c r="AJ2971">
        <v>107.467359361052</v>
      </c>
      <c r="AK2971">
        <v>12.2161625108048</v>
      </c>
      <c r="AL2971">
        <v>80.186364223132102</v>
      </c>
      <c r="AM2971">
        <v>99.368171242891904</v>
      </c>
      <c r="AN2971">
        <v>0.99999993673351795</v>
      </c>
    </row>
    <row r="2972" spans="1:40" x14ac:dyDescent="0.25">
      <c r="A2972" t="str">
        <f>"20190312172947756"</f>
        <v>20190312172947756</v>
      </c>
      <c r="B2972" t="str">
        <f>"1552382987750511"</f>
        <v>1552382987750511</v>
      </c>
      <c r="C2972" t="s">
        <v>40</v>
      </c>
      <c r="D2972">
        <v>2.960639</v>
      </c>
      <c r="E2972">
        <v>0.4504766</v>
      </c>
      <c r="F2972" t="s">
        <v>46</v>
      </c>
      <c r="G2972">
        <v>-472.77449999999999</v>
      </c>
      <c r="H2972" s="1">
        <v>4.7341189999999996E-6</v>
      </c>
      <c r="I2972">
        <v>214.75450000000001</v>
      </c>
      <c r="J2972">
        <v>-483.57990000000001</v>
      </c>
      <c r="K2972">
        <v>1.115631</v>
      </c>
      <c r="L2972">
        <v>220.4913</v>
      </c>
      <c r="M2972">
        <v>0.7028392</v>
      </c>
      <c r="N2972">
        <v>0</v>
      </c>
      <c r="O2972">
        <v>-0.71121420000000002</v>
      </c>
      <c r="P2972">
        <v>0.79793669999999906</v>
      </c>
      <c r="Q2972">
        <v>0.1596166</v>
      </c>
      <c r="R2972">
        <v>-0.58122269999999998</v>
      </c>
      <c r="S2972">
        <v>2.7460330000000002</v>
      </c>
      <c r="T2972">
        <v>-0.27926859999999998</v>
      </c>
      <c r="U2972">
        <v>-1.4748079999999999</v>
      </c>
      <c r="V2972">
        <v>-0.16121179999999999</v>
      </c>
      <c r="W2972">
        <v>0.17103550000000001</v>
      </c>
      <c r="X2972">
        <v>0.97198640000000003</v>
      </c>
      <c r="Y2972">
        <v>-0.29083579999999998</v>
      </c>
      <c r="Z2972">
        <v>7.2884500000000005E-2</v>
      </c>
      <c r="AA2972">
        <v>0.95399279999999997</v>
      </c>
      <c r="AB2972">
        <v>22</v>
      </c>
      <c r="AC2972">
        <v>10.805400000000001</v>
      </c>
      <c r="AD2972">
        <v>-1.1156262658809999</v>
      </c>
      <c r="AE2972">
        <v>-5.7367999999999801</v>
      </c>
      <c r="AF2972">
        <v>-3.6231260713419799</v>
      </c>
      <c r="AG2972">
        <v>-1.1156262658809999</v>
      </c>
      <c r="AH2972">
        <v>11.5793767835951</v>
      </c>
      <c r="AI2972">
        <v>95.253571803450598</v>
      </c>
      <c r="AJ2972">
        <v>107.374626997758</v>
      </c>
      <c r="AK2972">
        <v>12.1841549231131</v>
      </c>
      <c r="AL2972">
        <v>80.151969081767803</v>
      </c>
      <c r="AM2972">
        <v>99.417239936641906</v>
      </c>
      <c r="AN2972">
        <v>0.99999997425222398</v>
      </c>
    </row>
    <row r="2973" spans="1:40" x14ac:dyDescent="0.25">
      <c r="A2973" t="str">
        <f>"20190312172947777"</f>
        <v>20190312172947777</v>
      </c>
      <c r="B2973" t="str">
        <f>"1552382987770031"</f>
        <v>1552382987770031</v>
      </c>
      <c r="C2973" t="s">
        <v>40</v>
      </c>
      <c r="D2973">
        <v>3.0145960000000001</v>
      </c>
      <c r="E2973">
        <v>0.45152320000000001</v>
      </c>
      <c r="F2973" t="s">
        <v>46</v>
      </c>
      <c r="G2973">
        <v>-473.07459999999998</v>
      </c>
      <c r="H2973" s="1">
        <v>4.603277E-6</v>
      </c>
      <c r="I2973">
        <v>214.8057</v>
      </c>
      <c r="J2973">
        <v>-483.42200000000003</v>
      </c>
      <c r="K2973">
        <v>1.1156250000000001</v>
      </c>
      <c r="L2973">
        <v>220.34540000000001</v>
      </c>
      <c r="M2973">
        <v>0.70883289999999999</v>
      </c>
      <c r="N2973">
        <v>0</v>
      </c>
      <c r="O2973">
        <v>-0.70524109999999995</v>
      </c>
      <c r="P2973">
        <v>0.80288079999999995</v>
      </c>
      <c r="Q2973">
        <v>0.16027930000000001</v>
      </c>
      <c r="R2973">
        <v>-0.57418979999999997</v>
      </c>
      <c r="S2973">
        <v>2.7383419999999998</v>
      </c>
      <c r="T2973">
        <v>-0.2908018</v>
      </c>
      <c r="U2973">
        <v>-1.4820249999999999</v>
      </c>
      <c r="V2973">
        <v>-0.16144330000000001</v>
      </c>
      <c r="W2973">
        <v>0.17169179999999901</v>
      </c>
      <c r="X2973">
        <v>0.97183229999999998</v>
      </c>
      <c r="Y2973">
        <v>-0.27943430000000002</v>
      </c>
      <c r="Z2973">
        <v>7.5083940000000002E-2</v>
      </c>
      <c r="AA2973">
        <v>0.95722450000000003</v>
      </c>
      <c r="AB2973">
        <v>22</v>
      </c>
      <c r="AC2973">
        <v>10.347399999999899</v>
      </c>
      <c r="AD2973">
        <v>-1.1156203967230001</v>
      </c>
      <c r="AE2973">
        <v>-5.5397000000000096</v>
      </c>
      <c r="AF2973">
        <v>-3.3408281693824802</v>
      </c>
      <c r="AG2973">
        <v>-1.1156203967230001</v>
      </c>
      <c r="AH2973">
        <v>11.141810663100401</v>
      </c>
      <c r="AI2973">
        <v>95.478505029070206</v>
      </c>
      <c r="AJ2973">
        <v>106.691152709302</v>
      </c>
      <c r="AK2973">
        <v>11.685276487071301</v>
      </c>
      <c r="AL2973">
        <v>80.113801695842199</v>
      </c>
      <c r="AM2973">
        <v>99.4319888327244</v>
      </c>
      <c r="AN2973">
        <v>1.0000000163127001</v>
      </c>
    </row>
    <row r="2974" spans="1:40" x14ac:dyDescent="0.25">
      <c r="A2974" t="str">
        <f>"20190312172947798"</f>
        <v>20190312172947798</v>
      </c>
      <c r="B2974" t="str">
        <f>"1552382987790527"</f>
        <v>1552382987790527</v>
      </c>
      <c r="C2974" t="s">
        <v>40</v>
      </c>
      <c r="D2974">
        <v>3.0007320000000002</v>
      </c>
      <c r="E2974">
        <v>0.45185449999999999</v>
      </c>
      <c r="F2974" t="s">
        <v>46</v>
      </c>
      <c r="G2974">
        <v>-472.8981</v>
      </c>
      <c r="H2974" s="1">
        <v>4.678464E-6</v>
      </c>
      <c r="I2974">
        <v>214.73580000000001</v>
      </c>
      <c r="J2974">
        <v>-483.2722</v>
      </c>
      <c r="K2974">
        <v>1.1156349999999999</v>
      </c>
      <c r="L2974">
        <v>220.20920000000001</v>
      </c>
      <c r="M2974">
        <v>0.71445269999999905</v>
      </c>
      <c r="N2974">
        <v>0</v>
      </c>
      <c r="O2974">
        <v>-0.69954709999999998</v>
      </c>
      <c r="P2974">
        <v>0.8072085</v>
      </c>
      <c r="Q2974">
        <v>0.1601089</v>
      </c>
      <c r="R2974">
        <v>-0.56813749999999996</v>
      </c>
      <c r="S2974">
        <v>2.7473749999999999</v>
      </c>
      <c r="T2974">
        <v>-0.29124559999999999</v>
      </c>
      <c r="U2974">
        <v>-1.464432</v>
      </c>
      <c r="V2974">
        <v>-0.16099759999999999</v>
      </c>
      <c r="W2974">
        <v>0.1715255</v>
      </c>
      <c r="X2974">
        <v>0.97193560000000001</v>
      </c>
      <c r="Y2974">
        <v>-0.27784789999999998</v>
      </c>
      <c r="Z2974">
        <v>7.4695349999999994E-2</v>
      </c>
      <c r="AA2974">
        <v>0.95771660000000003</v>
      </c>
      <c r="AB2974">
        <v>22</v>
      </c>
      <c r="AC2974">
        <v>10.3741</v>
      </c>
      <c r="AD2974">
        <v>-1.1156303215359999</v>
      </c>
      <c r="AE2974">
        <v>-5.4733999999999901</v>
      </c>
      <c r="AF2974">
        <v>-3.3169985998963298</v>
      </c>
      <c r="AG2974">
        <v>-1.1156303215359999</v>
      </c>
      <c r="AH2974">
        <v>11.140991551812</v>
      </c>
      <c r="AI2974">
        <v>95.482116738691602</v>
      </c>
      <c r="AJ2974">
        <v>106.57980576631201</v>
      </c>
      <c r="AK2974">
        <v>11.677705403185699</v>
      </c>
      <c r="AL2974">
        <v>80.123473473914302</v>
      </c>
      <c r="AM2974">
        <v>99.405433855903496</v>
      </c>
      <c r="AN2974">
        <v>1.0000000174516801</v>
      </c>
    </row>
    <row r="2975" spans="1:40" x14ac:dyDescent="0.25">
      <c r="A2975" t="str">
        <f>"20190312172947821"</f>
        <v>20190312172947821</v>
      </c>
      <c r="B2975" t="str">
        <f>"1552382987810050"</f>
        <v>1552382987810050</v>
      </c>
      <c r="C2975" t="s">
        <v>40</v>
      </c>
      <c r="D2975">
        <v>3.0078429999999998</v>
      </c>
      <c r="E2975">
        <v>0.45014749999999998</v>
      </c>
      <c r="F2975" t="s">
        <v>46</v>
      </c>
      <c r="G2975">
        <v>-472.75279999999998</v>
      </c>
      <c r="H2975" s="1">
        <v>4.74103599999999E-6</v>
      </c>
      <c r="I2975">
        <v>214.69300000000001</v>
      </c>
      <c r="J2975">
        <v>-483.1026</v>
      </c>
      <c r="K2975">
        <v>1.1156440000000001</v>
      </c>
      <c r="L2975">
        <v>220.05760000000001</v>
      </c>
      <c r="M2975">
        <v>0.72074039999999995</v>
      </c>
      <c r="N2975">
        <v>0</v>
      </c>
      <c r="O2975">
        <v>-0.69306690000000004</v>
      </c>
      <c r="P2975">
        <v>0.8122258</v>
      </c>
      <c r="Q2975">
        <v>0.1601252</v>
      </c>
      <c r="R2975">
        <v>-0.56093579999999998</v>
      </c>
      <c r="S2975">
        <v>2.7569889999999999</v>
      </c>
      <c r="T2975">
        <v>-0.29239270000000001</v>
      </c>
      <c r="U2975">
        <v>-1.4457089999999999</v>
      </c>
      <c r="V2975">
        <v>-0.16086929999999999</v>
      </c>
      <c r="W2975">
        <v>0.17153860000000001</v>
      </c>
      <c r="X2975">
        <v>0.97195450000000005</v>
      </c>
      <c r="Y2975">
        <v>-0.27565240000000002</v>
      </c>
      <c r="Z2975">
        <v>7.4393150000000005E-2</v>
      </c>
      <c r="AA2975">
        <v>0.95837439999999996</v>
      </c>
      <c r="AB2975">
        <v>22</v>
      </c>
      <c r="AC2975">
        <v>10.3498</v>
      </c>
      <c r="AD2975">
        <v>-1.1156392589640001</v>
      </c>
      <c r="AE2975">
        <v>-5.3646000000000198</v>
      </c>
      <c r="AF2975">
        <v>-3.2769240184141601</v>
      </c>
      <c r="AG2975">
        <v>-1.1156392589640001</v>
      </c>
      <c r="AH2975">
        <v>11.077163254188299</v>
      </c>
      <c r="AI2975">
        <v>95.516399051137498</v>
      </c>
      <c r="AJ2975">
        <v>106.47963982128501</v>
      </c>
      <c r="AK2975">
        <v>11.605448192058001</v>
      </c>
      <c r="AL2975">
        <v>80.122711298669103</v>
      </c>
      <c r="AM2975">
        <v>99.397892887688599</v>
      </c>
      <c r="AN2975">
        <v>0.99999998652134903</v>
      </c>
    </row>
    <row r="2976" spans="1:40" x14ac:dyDescent="0.25">
      <c r="A2976" t="str">
        <f>"20190312172947843"</f>
        <v>20190312172947843</v>
      </c>
      <c r="B2976" t="str">
        <f>"1552382987830546"</f>
        <v>1552382987830546</v>
      </c>
      <c r="C2976" t="s">
        <v>40</v>
      </c>
      <c r="D2976">
        <v>3.003695</v>
      </c>
      <c r="E2976">
        <v>0.45079839999999999</v>
      </c>
      <c r="F2976" t="s">
        <v>46</v>
      </c>
      <c r="G2976">
        <v>-471.21899999999999</v>
      </c>
      <c r="H2976" s="1">
        <v>5.3918910000000004E-6</v>
      </c>
      <c r="I2976">
        <v>214.02160000000001</v>
      </c>
      <c r="J2976">
        <v>-482.94380000000001</v>
      </c>
      <c r="K2976">
        <v>1.115675</v>
      </c>
      <c r="L2976">
        <v>219.91820000000001</v>
      </c>
      <c r="M2976">
        <v>0.72656509999999996</v>
      </c>
      <c r="N2976">
        <v>0</v>
      </c>
      <c r="O2976">
        <v>-0.68695839999999997</v>
      </c>
      <c r="P2976">
        <v>0.81676519999999897</v>
      </c>
      <c r="Q2976">
        <v>0.16018550000000001</v>
      </c>
      <c r="R2976">
        <v>-0.55428849999999996</v>
      </c>
      <c r="S2976">
        <v>2.7723689999999999</v>
      </c>
      <c r="T2976">
        <v>-0.26027109999999998</v>
      </c>
      <c r="U2976">
        <v>-1.4081570000000001</v>
      </c>
      <c r="V2976">
        <v>-0.1605993</v>
      </c>
      <c r="W2976">
        <v>0.17159639999999901</v>
      </c>
      <c r="X2976">
        <v>0.97198899999999999</v>
      </c>
      <c r="Y2976">
        <v>-0.28071299999999999</v>
      </c>
      <c r="Z2976">
        <v>6.6059859999999998E-2</v>
      </c>
      <c r="AA2976">
        <v>0.95751569999999997</v>
      </c>
      <c r="AB2976">
        <v>22</v>
      </c>
      <c r="AC2976">
        <v>11.7248</v>
      </c>
      <c r="AD2976">
        <v>-1.1156696081090001</v>
      </c>
      <c r="AE2976">
        <v>-5.8966000000000003</v>
      </c>
      <c r="AF2976">
        <v>-3.7434939713048698</v>
      </c>
      <c r="AG2976">
        <v>-1.1156696081090001</v>
      </c>
      <c r="AH2976">
        <v>12.480559673716099</v>
      </c>
      <c r="AI2976">
        <v>94.893948563760105</v>
      </c>
      <c r="AJ2976">
        <v>106.696405767062</v>
      </c>
      <c r="AK2976">
        <v>13.077569940812401</v>
      </c>
      <c r="AL2976">
        <v>80.119350271508907</v>
      </c>
      <c r="AM2976">
        <v>99.382073238503594</v>
      </c>
      <c r="AN2976">
        <v>1.00000003788722</v>
      </c>
    </row>
    <row r="2977" spans="1:40" x14ac:dyDescent="0.25">
      <c r="A2977" t="str">
        <f>"20190312172947866"</f>
        <v>20190312172947866</v>
      </c>
      <c r="B2977" t="str">
        <f>"1552382987860799"</f>
        <v>1552382987860799</v>
      </c>
      <c r="C2977" t="s">
        <v>40</v>
      </c>
      <c r="D2977">
        <v>2.9839349999999998</v>
      </c>
      <c r="E2977">
        <v>0.44065470000000001</v>
      </c>
      <c r="F2977" t="s">
        <v>46</v>
      </c>
      <c r="G2977">
        <v>-471.07990000000001</v>
      </c>
      <c r="H2977" s="1">
        <v>5.4520609999999998E-6</v>
      </c>
      <c r="I2977">
        <v>213.9871</v>
      </c>
      <c r="J2977">
        <v>-482.77390000000003</v>
      </c>
      <c r="K2977">
        <v>1.115712</v>
      </c>
      <c r="L2977">
        <v>219.77199999999999</v>
      </c>
      <c r="M2977">
        <v>0.73273500000000003</v>
      </c>
      <c r="N2977">
        <v>0</v>
      </c>
      <c r="O2977">
        <v>-0.68037349999999996</v>
      </c>
      <c r="P2977">
        <v>0.82152939999999997</v>
      </c>
      <c r="Q2977">
        <v>0.16056619999999999</v>
      </c>
      <c r="R2977">
        <v>-0.54709079999999999</v>
      </c>
      <c r="S2977">
        <v>2.780853</v>
      </c>
      <c r="T2977">
        <v>-0.26150830000000003</v>
      </c>
      <c r="U2977">
        <v>-1.390228</v>
      </c>
      <c r="V2977">
        <v>-0.1603347</v>
      </c>
      <c r="W2977">
        <v>0.17197179999999901</v>
      </c>
      <c r="X2977">
        <v>0.97196629999999995</v>
      </c>
      <c r="Y2977">
        <v>-0.27815800000000002</v>
      </c>
      <c r="Z2977">
        <v>6.5821870000000005E-2</v>
      </c>
      <c r="AA2977">
        <v>0.95827739999999995</v>
      </c>
      <c r="AB2977">
        <v>22</v>
      </c>
      <c r="AC2977">
        <v>11.694000000000001</v>
      </c>
      <c r="AD2977">
        <v>-1.115706547939</v>
      </c>
      <c r="AE2977">
        <v>-5.7849000000000199</v>
      </c>
      <c r="AF2977">
        <v>-3.69085301125138</v>
      </c>
      <c r="AG2977">
        <v>-1.115706547939</v>
      </c>
      <c r="AH2977">
        <v>12.414900407374301</v>
      </c>
      <c r="AI2977">
        <v>94.923430182085994</v>
      </c>
      <c r="AJ2977">
        <v>106.556802853709</v>
      </c>
      <c r="AK2977">
        <v>12.999882660116601</v>
      </c>
      <c r="AL2977">
        <v>80.097516517699802</v>
      </c>
      <c r="AM2977">
        <v>99.367104591139196</v>
      </c>
      <c r="AN2977">
        <v>1.00000000217751</v>
      </c>
    </row>
    <row r="2978" spans="1:40" x14ac:dyDescent="0.25">
      <c r="A2978" t="str">
        <f>"20190312172947888"</f>
        <v>20190312172947888</v>
      </c>
      <c r="B2978" t="str">
        <f>"1552382987880319"</f>
        <v>1552382987880319</v>
      </c>
      <c r="C2978" t="s">
        <v>40</v>
      </c>
      <c r="D2978">
        <v>2.9737209999999998</v>
      </c>
      <c r="E2978">
        <v>0.43891010000000003</v>
      </c>
      <c r="F2978" t="s">
        <v>47</v>
      </c>
      <c r="G2978">
        <v>-468.37</v>
      </c>
      <c r="H2978" s="1">
        <v>2.9798829999999998E-6</v>
      </c>
      <c r="I2978">
        <v>213.1848</v>
      </c>
      <c r="J2978">
        <v>-482.60759999999999</v>
      </c>
      <c r="K2978">
        <v>1.1157520000000001</v>
      </c>
      <c r="L2978">
        <v>219.63149999999999</v>
      </c>
      <c r="M2978">
        <v>0.73871869999999995</v>
      </c>
      <c r="N2978">
        <v>0</v>
      </c>
      <c r="O2978">
        <v>-0.67387169999999996</v>
      </c>
      <c r="P2978">
        <v>0.82620199999999999</v>
      </c>
      <c r="Q2978">
        <v>0.16130439999999999</v>
      </c>
      <c r="R2978">
        <v>-0.53978870000000001</v>
      </c>
      <c r="S2978">
        <v>2.8320919999999998</v>
      </c>
      <c r="T2978">
        <v>-0.21937010000000001</v>
      </c>
      <c r="U2978">
        <v>-1.295166</v>
      </c>
      <c r="V2978">
        <v>-0.16028609999999999</v>
      </c>
      <c r="W2978">
        <v>0.1727002</v>
      </c>
      <c r="X2978">
        <v>0.97184510000000002</v>
      </c>
      <c r="Y2978">
        <v>-0.30361490000000002</v>
      </c>
      <c r="Z2978">
        <v>5.5473389999999997E-2</v>
      </c>
      <c r="AA2978">
        <v>0.95117859999999999</v>
      </c>
      <c r="AB2978">
        <v>22</v>
      </c>
      <c r="AC2978">
        <v>14.237599999999899</v>
      </c>
      <c r="AD2978">
        <v>-1.1157490201169999</v>
      </c>
      <c r="AE2978">
        <v>-6.4466999999999901</v>
      </c>
      <c r="AF2978">
        <v>-4.8079774581944603</v>
      </c>
      <c r="AG2978">
        <v>-1.1157490201169999</v>
      </c>
      <c r="AH2978">
        <v>14.787888985245999</v>
      </c>
      <c r="AI2978">
        <v>94.104108704977804</v>
      </c>
      <c r="AJ2978">
        <v>108.010867075056</v>
      </c>
      <c r="AK2978">
        <v>15.5898429675978</v>
      </c>
      <c r="AL2978">
        <v>80.055147800468504</v>
      </c>
      <c r="AM2978">
        <v>99.365462718759005</v>
      </c>
      <c r="AN2978">
        <v>0.99999994566362804</v>
      </c>
    </row>
    <row r="2979" spans="1:40" x14ac:dyDescent="0.25">
      <c r="A2979" t="str">
        <f>"20190312172947910"</f>
        <v>20190312172947910</v>
      </c>
      <c r="B2979" t="str">
        <f>"1552382987900815"</f>
        <v>1552382987900815</v>
      </c>
      <c r="C2979" t="s">
        <v>40</v>
      </c>
      <c r="D2979">
        <v>2.9811920000000001</v>
      </c>
      <c r="E2979">
        <v>0.43821080000000001</v>
      </c>
      <c r="F2979" t="s">
        <v>47</v>
      </c>
      <c r="G2979">
        <v>-466.83440000000002</v>
      </c>
      <c r="H2979" s="1">
        <v>2.1853250000000001E-6</v>
      </c>
      <c r="I2979">
        <v>212.6669</v>
      </c>
      <c r="J2979">
        <v>-482.43779999999998</v>
      </c>
      <c r="K2979">
        <v>1.115785</v>
      </c>
      <c r="L2979">
        <v>219.4906</v>
      </c>
      <c r="M2979">
        <v>0.74476679999999995</v>
      </c>
      <c r="N2979">
        <v>0</v>
      </c>
      <c r="O2979">
        <v>-0.66718109999999997</v>
      </c>
      <c r="P2979">
        <v>0.8309204</v>
      </c>
      <c r="Q2979">
        <v>0.1617711</v>
      </c>
      <c r="R2979">
        <v>-0.53235489999999996</v>
      </c>
      <c r="S2979">
        <v>2.8486940000000001</v>
      </c>
      <c r="T2979">
        <v>-0.20150760000000001</v>
      </c>
      <c r="U2979">
        <v>-1.2578279999999999</v>
      </c>
      <c r="V2979">
        <v>-0.16019649999999999</v>
      </c>
      <c r="W2979">
        <v>0.17316049999999999</v>
      </c>
      <c r="X2979">
        <v>0.97177800000000003</v>
      </c>
      <c r="Y2979">
        <v>-0.30782480000000001</v>
      </c>
      <c r="Z2979">
        <v>5.0710159999999997E-2</v>
      </c>
      <c r="AA2979">
        <v>0.95009069999999995</v>
      </c>
      <c r="AB2979">
        <v>22</v>
      </c>
      <c r="AC2979">
        <v>15.603399999999899</v>
      </c>
      <c r="AD2979">
        <v>-1.115782814675</v>
      </c>
      <c r="AE2979">
        <v>-6.8236999999999997</v>
      </c>
      <c r="AF2979">
        <v>-5.3059631477989901</v>
      </c>
      <c r="AG2979">
        <v>-1.115782814675</v>
      </c>
      <c r="AH2979">
        <v>16.105953150145599</v>
      </c>
      <c r="AI2979">
        <v>93.764577762195898</v>
      </c>
      <c r="AJ2979">
        <v>108.23400804740299</v>
      </c>
      <c r="AK2979">
        <v>16.994114954595599</v>
      </c>
      <c r="AL2979">
        <v>80.028371474800494</v>
      </c>
      <c r="AM2979">
        <v>99.360954979062598</v>
      </c>
      <c r="AN2979">
        <v>0.99999997932824902</v>
      </c>
    </row>
    <row r="2980" spans="1:40" x14ac:dyDescent="0.25">
      <c r="A2980" t="str">
        <f>"20190312172947933"</f>
        <v>20190312172947933</v>
      </c>
      <c r="B2980" t="str">
        <f>"1552382987930095"</f>
        <v>1552382987930095</v>
      </c>
      <c r="C2980" t="s">
        <v>40</v>
      </c>
      <c r="D2980">
        <v>2.9429370000000001</v>
      </c>
      <c r="E2980">
        <v>0.43820900000000002</v>
      </c>
      <c r="F2980" t="s">
        <v>47</v>
      </c>
      <c r="G2980">
        <v>-466.39640000000003</v>
      </c>
      <c r="H2980" s="1">
        <v>1.9546019999999999E-6</v>
      </c>
      <c r="I2980">
        <v>212.61340000000001</v>
      </c>
      <c r="J2980">
        <v>-482.26319999999998</v>
      </c>
      <c r="K2980">
        <v>1.1158189999999999</v>
      </c>
      <c r="L2980">
        <v>219.3486</v>
      </c>
      <c r="M2980">
        <v>0.75092109999999901</v>
      </c>
      <c r="N2980">
        <v>0</v>
      </c>
      <c r="O2980">
        <v>-0.66024669999999996</v>
      </c>
      <c r="P2980">
        <v>0.83590849999999906</v>
      </c>
      <c r="Q2980">
        <v>0.16188559999999999</v>
      </c>
      <c r="R2980">
        <v>-0.52445259999999905</v>
      </c>
      <c r="S2980">
        <v>2.862854</v>
      </c>
      <c r="T2980">
        <v>-0.1991298</v>
      </c>
      <c r="U2980">
        <v>-1.2273559999999999</v>
      </c>
      <c r="V2980">
        <v>-0.16039970000000001</v>
      </c>
      <c r="W2980">
        <v>0.17326520000000001</v>
      </c>
      <c r="X2980">
        <v>0.97172579999999997</v>
      </c>
      <c r="Y2980">
        <v>-0.3093033</v>
      </c>
      <c r="Z2980">
        <v>4.9758110000000001E-2</v>
      </c>
      <c r="AA2980">
        <v>0.94966079999999997</v>
      </c>
      <c r="AB2980">
        <v>22</v>
      </c>
      <c r="AC2980">
        <v>15.8667999999999</v>
      </c>
      <c r="AD2980">
        <v>-1.1158170453980001</v>
      </c>
      <c r="AE2980">
        <v>-6.7351999999999901</v>
      </c>
      <c r="AF2980">
        <v>-5.3963054983161403</v>
      </c>
      <c r="AG2980">
        <v>-1.1158170453980001</v>
      </c>
      <c r="AH2980">
        <v>16.294895448642801</v>
      </c>
      <c r="AI2980">
        <v>93.7192589767226</v>
      </c>
      <c r="AJ2980">
        <v>108.323083898533</v>
      </c>
      <c r="AK2980">
        <v>17.201417918071598</v>
      </c>
      <c r="AL2980">
        <v>80.022280362187104</v>
      </c>
      <c r="AM2980">
        <v>99.373112796903499</v>
      </c>
      <c r="AN2980">
        <v>0.99999996183838402</v>
      </c>
    </row>
    <row r="2981" spans="1:40" x14ac:dyDescent="0.25">
      <c r="A2981" t="str">
        <f>"20190312172947958"</f>
        <v>20190312172947958</v>
      </c>
      <c r="B2981" t="str">
        <f>"1552382987950590"</f>
        <v>1552382987950590</v>
      </c>
      <c r="C2981" t="s">
        <v>40</v>
      </c>
      <c r="D2981">
        <v>2.9147569999999998</v>
      </c>
      <c r="E2981">
        <v>0.43842740000000002</v>
      </c>
      <c r="F2981" t="s">
        <v>47</v>
      </c>
      <c r="G2981">
        <v>-466.4128</v>
      </c>
      <c r="H2981" s="1">
        <v>1.958279E-6</v>
      </c>
      <c r="I2981">
        <v>212.72880000000001</v>
      </c>
      <c r="J2981">
        <v>-482.08</v>
      </c>
      <c r="K2981">
        <v>1.115847</v>
      </c>
      <c r="L2981">
        <v>219.20249999999999</v>
      </c>
      <c r="M2981">
        <v>0.75731179999999998</v>
      </c>
      <c r="N2981">
        <v>0</v>
      </c>
      <c r="O2981">
        <v>-0.6529064</v>
      </c>
      <c r="P2981">
        <v>0.84059240000000002</v>
      </c>
      <c r="Q2981">
        <v>0.16268829999999901</v>
      </c>
      <c r="R2981">
        <v>-0.5166596</v>
      </c>
      <c r="S2981">
        <v>2.8748170000000002</v>
      </c>
      <c r="T2981">
        <v>-0.2023778</v>
      </c>
      <c r="U2981">
        <v>-1.2006380000000001</v>
      </c>
      <c r="V2981">
        <v>-0.1598957</v>
      </c>
      <c r="W2981">
        <v>0.17406779999999999</v>
      </c>
      <c r="X2981">
        <v>0.97166540000000001</v>
      </c>
      <c r="Y2981">
        <v>-0.30893140000000002</v>
      </c>
      <c r="Z2981">
        <v>5.0137910000000001E-2</v>
      </c>
      <c r="AA2981">
        <v>0.94976190000000005</v>
      </c>
      <c r="AB2981">
        <v>22</v>
      </c>
      <c r="AC2981">
        <v>15.6671999999999</v>
      </c>
      <c r="AD2981">
        <v>-1.115845041721</v>
      </c>
      <c r="AE2981">
        <v>-6.4736999999999796</v>
      </c>
      <c r="AF2981">
        <v>-5.3041357237914397</v>
      </c>
      <c r="AG2981">
        <v>-1.115845041721</v>
      </c>
      <c r="AH2981">
        <v>16.023793645786998</v>
      </c>
      <c r="AI2981">
        <v>93.7822653740362</v>
      </c>
      <c r="AJ2981">
        <v>108.315381537889</v>
      </c>
      <c r="AK2981">
        <v>16.915700657563601</v>
      </c>
      <c r="AL2981">
        <v>79.975585007418701</v>
      </c>
      <c r="AM2981">
        <v>99.344751915398305</v>
      </c>
      <c r="AN2981">
        <v>0.99999994171624296</v>
      </c>
    </row>
    <row r="2982" spans="1:40" x14ac:dyDescent="0.25">
      <c r="A2982" t="str">
        <f>"20190312172947979"</f>
        <v>20190312172947979</v>
      </c>
      <c r="B2982" t="str">
        <f>"1552382987970111"</f>
        <v>1552382987970111</v>
      </c>
      <c r="C2982" t="s">
        <v>40</v>
      </c>
      <c r="D2982">
        <v>2.896957</v>
      </c>
      <c r="E2982">
        <v>0.43903819999999999</v>
      </c>
      <c r="F2982" t="s">
        <v>47</v>
      </c>
      <c r="G2982">
        <v>-466.05520000000001</v>
      </c>
      <c r="H2982" s="1">
        <v>1.77046E-6</v>
      </c>
      <c r="I2982">
        <v>212.673</v>
      </c>
      <c r="J2982">
        <v>-481.91140000000001</v>
      </c>
      <c r="K2982">
        <v>1.115872</v>
      </c>
      <c r="L2982">
        <v>219.07060000000001</v>
      </c>
      <c r="M2982">
        <v>0.76313599999999904</v>
      </c>
      <c r="N2982">
        <v>0</v>
      </c>
      <c r="O2982">
        <v>-0.64608900000000002</v>
      </c>
      <c r="P2982">
        <v>0.84497449999999996</v>
      </c>
      <c r="Q2982">
        <v>0.1628212</v>
      </c>
      <c r="R2982">
        <v>-0.50941859999999894</v>
      </c>
      <c r="S2982">
        <v>2.8852229999999999</v>
      </c>
      <c r="T2982">
        <v>-0.20090620000000001</v>
      </c>
      <c r="U2982">
        <v>-1.175629</v>
      </c>
      <c r="V2982">
        <v>-0.1595287</v>
      </c>
      <c r="W2982">
        <v>0.1742002</v>
      </c>
      <c r="X2982">
        <v>0.97170199999999995</v>
      </c>
      <c r="Y2982">
        <v>-0.30870049999999999</v>
      </c>
      <c r="Z2982">
        <v>4.9387680000000003E-2</v>
      </c>
      <c r="AA2982">
        <v>0.94987619999999895</v>
      </c>
      <c r="AB2982">
        <v>22</v>
      </c>
      <c r="AC2982">
        <v>15.856199999999999</v>
      </c>
      <c r="AD2982">
        <v>-1.11587022954</v>
      </c>
      <c r="AE2982">
        <v>-6.3976000000000104</v>
      </c>
      <c r="AF2982">
        <v>-5.3400493177823503</v>
      </c>
      <c r="AG2982">
        <v>-1.11587022954</v>
      </c>
      <c r="AH2982">
        <v>16.166561943119401</v>
      </c>
      <c r="AI2982">
        <v>93.749825977566104</v>
      </c>
      <c r="AJ2982">
        <v>108.279136708075</v>
      </c>
      <c r="AK2982">
        <v>17.062210236257101</v>
      </c>
      <c r="AL2982">
        <v>79.967881395492199</v>
      </c>
      <c r="AM2982">
        <v>99.3233354595245</v>
      </c>
      <c r="AN2982">
        <v>0.99999994630386302</v>
      </c>
    </row>
    <row r="2983" spans="1:40" x14ac:dyDescent="0.25">
      <c r="A2983" t="str">
        <f>"20190312172948001"</f>
        <v>20190312172948001</v>
      </c>
      <c r="B2983" t="str">
        <f>"1552382987990607"</f>
        <v>1552382987990607</v>
      </c>
      <c r="C2983" t="s">
        <v>40</v>
      </c>
      <c r="D2983">
        <v>2.945138</v>
      </c>
      <c r="E2983">
        <v>0.43968550000000001</v>
      </c>
      <c r="F2983" t="s">
        <v>47</v>
      </c>
      <c r="G2983">
        <v>-465.96870000000001</v>
      </c>
      <c r="H2983" s="1">
        <v>1.722928E-6</v>
      </c>
      <c r="I2983">
        <v>212.70650000000001</v>
      </c>
      <c r="J2983">
        <v>-481.74259999999998</v>
      </c>
      <c r="K2983">
        <v>1.1159049999999999</v>
      </c>
      <c r="L2983">
        <v>218.94110000000001</v>
      </c>
      <c r="M2983">
        <v>0.7689127</v>
      </c>
      <c r="N2983">
        <v>0</v>
      </c>
      <c r="O2983">
        <v>-0.63920350000000004</v>
      </c>
      <c r="P2983">
        <v>0.8493214</v>
      </c>
      <c r="Q2983">
        <v>0.16274720000000001</v>
      </c>
      <c r="R2983">
        <v>-0.50216249999999996</v>
      </c>
      <c r="S2983">
        <v>2.8931269999999998</v>
      </c>
      <c r="T2983">
        <v>-0.2024975</v>
      </c>
      <c r="U2983">
        <v>-1.154892</v>
      </c>
      <c r="V2983">
        <v>-0.15914020000000001</v>
      </c>
      <c r="W2983">
        <v>0.1741251</v>
      </c>
      <c r="X2983">
        <v>0.97177919999999995</v>
      </c>
      <c r="Y2983">
        <v>-0.3069057</v>
      </c>
      <c r="Z2983">
        <v>4.9349070000000002E-2</v>
      </c>
      <c r="AA2983">
        <v>0.95045970000000002</v>
      </c>
      <c r="AB2983">
        <v>22</v>
      </c>
      <c r="AC2983">
        <v>15.7738999999999</v>
      </c>
      <c r="AD2983">
        <v>-1.1159032770720001</v>
      </c>
      <c r="AE2983">
        <v>-6.2346000000000004</v>
      </c>
      <c r="AF2983">
        <v>-5.2665809350374104</v>
      </c>
      <c r="AG2983">
        <v>-1.1159032770720001</v>
      </c>
      <c r="AH2983">
        <v>16.046023822163001</v>
      </c>
      <c r="AI2983">
        <v>93.780372725971304</v>
      </c>
      <c r="AJ2983">
        <v>108.17072534825</v>
      </c>
      <c r="AK2983">
        <v>16.925040483570601</v>
      </c>
      <c r="AL2983">
        <v>79.972251469434298</v>
      </c>
      <c r="AM2983">
        <v>99.300301634467203</v>
      </c>
      <c r="AN2983">
        <v>0.99999998362934495</v>
      </c>
    </row>
    <row r="2984" spans="1:40" x14ac:dyDescent="0.25">
      <c r="A2984" t="str">
        <f>"20190312172948022"</f>
        <v>20190312172948022</v>
      </c>
      <c r="B2984" t="str">
        <f>"1552382988010130"</f>
        <v>1552382988010130</v>
      </c>
      <c r="C2984" t="s">
        <v>40</v>
      </c>
      <c r="D2984">
        <v>2.9740829999999998</v>
      </c>
      <c r="E2984">
        <v>0.4464069</v>
      </c>
      <c r="F2984" t="s">
        <v>47</v>
      </c>
      <c r="G2984">
        <v>-465.9083</v>
      </c>
      <c r="H2984" s="1">
        <v>1.6890010000000001E-6</v>
      </c>
      <c r="I2984">
        <v>212.7473</v>
      </c>
      <c r="J2984">
        <v>-481.57560000000001</v>
      </c>
      <c r="K2984">
        <v>1.115942</v>
      </c>
      <c r="L2984">
        <v>218.81549999999999</v>
      </c>
      <c r="M2984">
        <v>0.77457390000000004</v>
      </c>
      <c r="N2984">
        <v>0</v>
      </c>
      <c r="O2984">
        <v>-0.63233130000000004</v>
      </c>
      <c r="P2984">
        <v>0.85377999999999898</v>
      </c>
      <c r="Q2984">
        <v>0.1624302</v>
      </c>
      <c r="R2984">
        <v>-0.49464819999999998</v>
      </c>
      <c r="S2984">
        <v>2.900604</v>
      </c>
      <c r="T2984">
        <v>-0.20441699999999999</v>
      </c>
      <c r="U2984">
        <v>-1.1346130000000001</v>
      </c>
      <c r="V2984">
        <v>-0.15911330000000001</v>
      </c>
      <c r="W2984">
        <v>0.17380200000000001</v>
      </c>
      <c r="X2984">
        <v>0.97184150000000002</v>
      </c>
      <c r="Y2984">
        <v>-0.30500870000000002</v>
      </c>
      <c r="Z2984">
        <v>4.9380050000000002E-2</v>
      </c>
      <c r="AA2984">
        <v>0.95106849999999998</v>
      </c>
      <c r="AB2984">
        <v>22</v>
      </c>
      <c r="AC2984">
        <v>15.667299999999999</v>
      </c>
      <c r="AD2984">
        <v>-1.115940310999</v>
      </c>
      <c r="AE2984">
        <v>-6.0681999999999903</v>
      </c>
      <c r="AF2984">
        <v>-5.1842850929573299</v>
      </c>
      <c r="AG2984">
        <v>-1.115940310999</v>
      </c>
      <c r="AH2984">
        <v>15.903970196849199</v>
      </c>
      <c r="AI2984">
        <v>93.816687020913804</v>
      </c>
      <c r="AJ2984">
        <v>108.054635887163</v>
      </c>
      <c r="AK2984">
        <v>16.764796530976401</v>
      </c>
      <c r="AL2984">
        <v>79.991050943011899</v>
      </c>
      <c r="AM2984">
        <v>99.298171348714902</v>
      </c>
      <c r="AN2984">
        <v>1.00000003928156</v>
      </c>
    </row>
    <row r="2985" spans="1:40" x14ac:dyDescent="0.25">
      <c r="A2985" t="str">
        <f>"20190312172948045"</f>
        <v>20190312172948045</v>
      </c>
      <c r="B2985" t="str">
        <f>"1552382988040383"</f>
        <v>1552382988040383</v>
      </c>
      <c r="C2985" t="s">
        <v>40</v>
      </c>
      <c r="D2985">
        <v>2.985827</v>
      </c>
      <c r="E2985">
        <v>0.44828790000000002</v>
      </c>
      <c r="F2985" t="s">
        <v>47</v>
      </c>
      <c r="G2985">
        <v>-466.86419999999998</v>
      </c>
      <c r="H2985" s="1">
        <v>2.1901539999999998E-6</v>
      </c>
      <c r="I2985">
        <v>212.92019999999999</v>
      </c>
      <c r="J2985">
        <v>-481.40660000000003</v>
      </c>
      <c r="K2985">
        <v>1.115988</v>
      </c>
      <c r="L2985">
        <v>218.6909</v>
      </c>
      <c r="M2985">
        <v>0.78024669999999996</v>
      </c>
      <c r="N2985">
        <v>0</v>
      </c>
      <c r="O2985">
        <v>-0.62531759999999903</v>
      </c>
      <c r="P2985">
        <v>0.85818240000000001</v>
      </c>
      <c r="Q2985">
        <v>0.16259489999999999</v>
      </c>
      <c r="R2985">
        <v>-0.48691469999999998</v>
      </c>
      <c r="S2985">
        <v>2.885529</v>
      </c>
      <c r="T2985">
        <v>-0.2188842</v>
      </c>
      <c r="U2985">
        <v>-1.1563110000000001</v>
      </c>
      <c r="V2985">
        <v>-0.15912509999999999</v>
      </c>
      <c r="W2985">
        <v>0.17395829999999901</v>
      </c>
      <c r="X2985">
        <v>0.97181150000000005</v>
      </c>
      <c r="Y2985">
        <v>-0.28829589999999999</v>
      </c>
      <c r="Z2985">
        <v>5.2044489999999999E-2</v>
      </c>
      <c r="AA2985">
        <v>0.95612600000000003</v>
      </c>
      <c r="AB2985">
        <v>22</v>
      </c>
      <c r="AC2985">
        <v>14.542400000000001</v>
      </c>
      <c r="AD2985">
        <v>-1.1159858098459901</v>
      </c>
      <c r="AE2985">
        <v>-5.7706999999999997</v>
      </c>
      <c r="AF2985">
        <v>-4.5682493806079503</v>
      </c>
      <c r="AG2985">
        <v>-1.1159858098459901</v>
      </c>
      <c r="AH2985">
        <v>14.880910817909999</v>
      </c>
      <c r="AI2985">
        <v>94.100651490817697</v>
      </c>
      <c r="AJ2985">
        <v>107.06581681855999</v>
      </c>
      <c r="AK2985">
        <v>15.6062754525798</v>
      </c>
      <c r="AL2985">
        <v>79.981956075346403</v>
      </c>
      <c r="AM2985">
        <v>99.299130908495002</v>
      </c>
      <c r="AN2985">
        <v>0.99999993956057298</v>
      </c>
    </row>
    <row r="2986" spans="1:40" x14ac:dyDescent="0.25">
      <c r="A2986" t="str">
        <f>"20190312172948067"</f>
        <v>20190312172948067</v>
      </c>
      <c r="B2986" t="str">
        <f>"1552382988060879"</f>
        <v>1552382988060879</v>
      </c>
      <c r="C2986" t="s">
        <v>40</v>
      </c>
      <c r="D2986">
        <v>2.9783949999999999</v>
      </c>
      <c r="E2986">
        <v>0.44929930000000001</v>
      </c>
      <c r="F2986" t="s">
        <v>47</v>
      </c>
      <c r="G2986">
        <v>-466.72269999999997</v>
      </c>
      <c r="H2986" s="1">
        <v>2.1166339999999999E-6</v>
      </c>
      <c r="I2986">
        <v>212.8792</v>
      </c>
      <c r="J2986">
        <v>-481.22910000000002</v>
      </c>
      <c r="K2986">
        <v>1.1160300000000001</v>
      </c>
      <c r="L2986">
        <v>218.56280000000001</v>
      </c>
      <c r="M2986">
        <v>0.78615080000000004</v>
      </c>
      <c r="N2986">
        <v>0</v>
      </c>
      <c r="O2986">
        <v>-0.61787859999999994</v>
      </c>
      <c r="P2986">
        <v>0.86252119999999999</v>
      </c>
      <c r="Q2986">
        <v>0.1630722</v>
      </c>
      <c r="R2986">
        <v>-0.47902519999999998</v>
      </c>
      <c r="S2986">
        <v>2.8886720000000001</v>
      </c>
      <c r="T2986">
        <v>-0.21954070000000001</v>
      </c>
      <c r="U2986">
        <v>-1.143311</v>
      </c>
      <c r="V2986">
        <v>-0.1587732</v>
      </c>
      <c r="W2986">
        <v>0.17443349999999999</v>
      </c>
      <c r="X2986">
        <v>0.97178390000000003</v>
      </c>
      <c r="Y2986">
        <v>-0.28328490000000001</v>
      </c>
      <c r="Z2986">
        <v>5.1620480000000003E-2</v>
      </c>
      <c r="AA2986">
        <v>0.95764550000000004</v>
      </c>
      <c r="AB2986">
        <v>22</v>
      </c>
      <c r="AC2986">
        <v>14.506399999999999</v>
      </c>
      <c r="AD2986">
        <v>-1.11602788336599</v>
      </c>
      <c r="AE2986">
        <v>-5.68360000000001</v>
      </c>
      <c r="AF2986">
        <v>-4.47251225347346</v>
      </c>
      <c r="AG2986">
        <v>-1.11602788336599</v>
      </c>
      <c r="AH2986">
        <v>14.8412799279218</v>
      </c>
      <c r="AI2986">
        <v>94.118147425786006</v>
      </c>
      <c r="AJ2986">
        <v>106.770508043082</v>
      </c>
      <c r="AK2986">
        <v>15.540671606879</v>
      </c>
      <c r="AL2986">
        <v>79.954306607285005</v>
      </c>
      <c r="AM2986">
        <v>99.279183204796198</v>
      </c>
      <c r="AN2986">
        <v>0.99999996162984905</v>
      </c>
    </row>
    <row r="2987" spans="1:40" x14ac:dyDescent="0.25">
      <c r="A2987" t="str">
        <f>"20190312172948089"</f>
        <v>20190312172948089</v>
      </c>
      <c r="B2987" t="str">
        <f>"1552382988080400"</f>
        <v>1552382988080400</v>
      </c>
      <c r="C2987" t="s">
        <v>40</v>
      </c>
      <c r="D2987">
        <v>2.9690620000000001</v>
      </c>
      <c r="E2987">
        <v>0.44972879999999898</v>
      </c>
      <c r="F2987" t="s">
        <v>47</v>
      </c>
      <c r="G2987">
        <v>-466.46800000000002</v>
      </c>
      <c r="H2987" s="1">
        <v>1.983041E-6</v>
      </c>
      <c r="I2987">
        <v>212.8349</v>
      </c>
      <c r="J2987">
        <v>-481.05380000000002</v>
      </c>
      <c r="K2987">
        <v>1.1160600000000001</v>
      </c>
      <c r="L2987">
        <v>218.43870000000001</v>
      </c>
      <c r="M2987">
        <v>0.79191369999999905</v>
      </c>
      <c r="N2987">
        <v>0</v>
      </c>
      <c r="O2987">
        <v>-0.61047479999999998</v>
      </c>
      <c r="P2987">
        <v>0.86701980000000001</v>
      </c>
      <c r="Q2987">
        <v>0.162886999999999</v>
      </c>
      <c r="R2987">
        <v>-0.47089779999999998</v>
      </c>
      <c r="S2987">
        <v>2.8955380000000002</v>
      </c>
      <c r="T2987">
        <v>-0.21892</v>
      </c>
      <c r="U2987">
        <v>-1.1235809999999999</v>
      </c>
      <c r="V2987">
        <v>-0.1588194</v>
      </c>
      <c r="W2987">
        <v>0.17424479999999901</v>
      </c>
      <c r="X2987">
        <v>0.97181019999999896</v>
      </c>
      <c r="Y2987">
        <v>-0.280754</v>
      </c>
      <c r="Z2987">
        <v>5.0951330000000003E-2</v>
      </c>
      <c r="AA2987">
        <v>0.95842640000000001</v>
      </c>
      <c r="AB2987">
        <v>22</v>
      </c>
      <c r="AC2987">
        <v>14.585800000000001</v>
      </c>
      <c r="AD2987">
        <v>-1.116058016959</v>
      </c>
      <c r="AE2987">
        <v>-5.6037999999999997</v>
      </c>
      <c r="AF2987">
        <v>-4.4442951660525303</v>
      </c>
      <c r="AG2987">
        <v>-1.116058016959</v>
      </c>
      <c r="AH2987">
        <v>14.8971185382852</v>
      </c>
      <c r="AI2987">
        <v>94.106277371123994</v>
      </c>
      <c r="AJ2987">
        <v>106.611553968385</v>
      </c>
      <c r="AK2987">
        <v>15.585938719369301</v>
      </c>
      <c r="AL2987">
        <v>79.965286438722401</v>
      </c>
      <c r="AM2987">
        <v>99.281589464361403</v>
      </c>
      <c r="AN2987">
        <v>0.99999995848371903</v>
      </c>
    </row>
    <row r="2988" spans="1:40" x14ac:dyDescent="0.25">
      <c r="A2988" t="str">
        <f>"20190312172948112"</f>
        <v>20190312172948112</v>
      </c>
      <c r="B2988" t="str">
        <f>"1552382988100895"</f>
        <v>1552382988100895</v>
      </c>
      <c r="C2988" t="s">
        <v>40</v>
      </c>
      <c r="D2988">
        <v>2.9615339999999999</v>
      </c>
      <c r="E2988">
        <v>0.45535579999999998</v>
      </c>
      <c r="F2988" t="s">
        <v>47</v>
      </c>
      <c r="G2988">
        <v>-466.39350000000002</v>
      </c>
      <c r="H2988" s="1">
        <v>1.9410289999999999E-6</v>
      </c>
      <c r="I2988">
        <v>212.88890000000001</v>
      </c>
      <c r="J2988">
        <v>-480.87090000000001</v>
      </c>
      <c r="K2988">
        <v>1.11608</v>
      </c>
      <c r="L2988">
        <v>218.31209999999999</v>
      </c>
      <c r="M2988">
        <v>0.7978478</v>
      </c>
      <c r="N2988">
        <v>0</v>
      </c>
      <c r="O2988">
        <v>-0.60269849999999903</v>
      </c>
      <c r="P2988">
        <v>0.87164809999999904</v>
      </c>
      <c r="Q2988">
        <v>0.1627226</v>
      </c>
      <c r="R2988">
        <v>-0.46233249999999998</v>
      </c>
      <c r="S2988">
        <v>2.904541</v>
      </c>
      <c r="T2988">
        <v>-0.22111729999999999</v>
      </c>
      <c r="U2988">
        <v>-1.099548</v>
      </c>
      <c r="V2988">
        <v>-0.15891359999999999</v>
      </c>
      <c r="W2988">
        <v>0.17407719999999999</v>
      </c>
      <c r="X2988">
        <v>0.97182489999999999</v>
      </c>
      <c r="Y2988">
        <v>-0.2792674</v>
      </c>
      <c r="Z2988">
        <v>5.0927680000000003E-2</v>
      </c>
      <c r="AA2988">
        <v>0.95886190000000004</v>
      </c>
      <c r="AB2988">
        <v>22</v>
      </c>
      <c r="AC2988">
        <v>14.4773999999999</v>
      </c>
      <c r="AD2988">
        <v>-1.116078058971</v>
      </c>
      <c r="AE2988">
        <v>-5.42319999999998</v>
      </c>
      <c r="AF2988">
        <v>-4.3762368342688003</v>
      </c>
      <c r="AG2988">
        <v>-1.116078058971</v>
      </c>
      <c r="AH2988">
        <v>14.743908600583101</v>
      </c>
      <c r="AI2988">
        <v>94.150587047520006</v>
      </c>
      <c r="AJ2988">
        <v>106.531762799495</v>
      </c>
      <c r="AK2988">
        <v>15.4201141333543</v>
      </c>
      <c r="AL2988">
        <v>79.975038870313</v>
      </c>
      <c r="AM2988">
        <v>99.286860701331406</v>
      </c>
      <c r="AN2988">
        <v>1.0000000200424</v>
      </c>
    </row>
    <row r="2989" spans="1:40" x14ac:dyDescent="0.25">
      <c r="A2989" t="str">
        <f>"20190312172948134"</f>
        <v>20190312172948134</v>
      </c>
      <c r="B2989" t="str">
        <f>"1552382988130176"</f>
        <v>1552382988130176</v>
      </c>
      <c r="C2989" t="s">
        <v>40</v>
      </c>
      <c r="D2989">
        <v>2.9758179999999999</v>
      </c>
      <c r="E2989">
        <v>0.45459519999999998</v>
      </c>
      <c r="F2989" t="s">
        <v>47</v>
      </c>
      <c r="G2989">
        <v>-466.49459999999999</v>
      </c>
      <c r="H2989" s="1">
        <v>1.9988689999999998E-6</v>
      </c>
      <c r="I2989">
        <v>212.79580000000001</v>
      </c>
      <c r="J2989">
        <v>-480.69819999999999</v>
      </c>
      <c r="K2989">
        <v>1.116093</v>
      </c>
      <c r="L2989">
        <v>218.19489999999999</v>
      </c>
      <c r="M2989">
        <v>0.80338390000000004</v>
      </c>
      <c r="N2989">
        <v>0</v>
      </c>
      <c r="O2989">
        <v>-0.59529880000000002</v>
      </c>
      <c r="P2989">
        <v>0.87583169999999899</v>
      </c>
      <c r="Q2989">
        <v>0.16228779999999901</v>
      </c>
      <c r="R2989">
        <v>-0.45451249999999999</v>
      </c>
      <c r="S2989">
        <v>2.8945919999999998</v>
      </c>
      <c r="T2989">
        <v>-0.22471559999999999</v>
      </c>
      <c r="U2989">
        <v>-1.1106720000000001</v>
      </c>
      <c r="V2989">
        <v>-0.15867890000000001</v>
      </c>
      <c r="W2989">
        <v>0.173647</v>
      </c>
      <c r="X2989">
        <v>0.97194020000000003</v>
      </c>
      <c r="Y2989">
        <v>-0.26603500000000002</v>
      </c>
      <c r="Z2989">
        <v>5.0956639999999997E-2</v>
      </c>
      <c r="AA2989">
        <v>0.96261560000000002</v>
      </c>
      <c r="AB2989">
        <v>22</v>
      </c>
      <c r="AC2989">
        <v>14.2035999999999</v>
      </c>
      <c r="AD2989">
        <v>-1.1160910011309999</v>
      </c>
      <c r="AE2989">
        <v>-5.3990999999999696</v>
      </c>
      <c r="AF2989">
        <v>-4.0961362374958696</v>
      </c>
      <c r="AG2989">
        <v>-1.1160910011309999</v>
      </c>
      <c r="AH2989">
        <v>14.5479517558613</v>
      </c>
      <c r="AI2989">
        <v>94.223440799403804</v>
      </c>
      <c r="AJ2989">
        <v>105.7251507241</v>
      </c>
      <c r="AK2989">
        <v>15.1547646464668</v>
      </c>
      <c r="AL2989">
        <v>80.000068649054995</v>
      </c>
      <c r="AM2989">
        <v>99.272302376012703</v>
      </c>
      <c r="AN2989">
        <v>1.0000000131451201</v>
      </c>
    </row>
    <row r="2990" spans="1:40" x14ac:dyDescent="0.25">
      <c r="A2990" t="str">
        <f>"20190312172948159"</f>
        <v>20190312172948159</v>
      </c>
      <c r="B2990" t="str">
        <f>"1552382988150672"</f>
        <v>1552382988150672</v>
      </c>
      <c r="C2990" t="s">
        <v>40</v>
      </c>
      <c r="D2990">
        <v>2.9390619999999998</v>
      </c>
      <c r="E2990">
        <v>0.4566769</v>
      </c>
      <c r="F2990" t="s">
        <v>47</v>
      </c>
      <c r="G2990">
        <v>-463.61439999999999</v>
      </c>
      <c r="H2990" s="1">
        <v>5.0743920000000001E-7</v>
      </c>
      <c r="I2990">
        <v>211.8526</v>
      </c>
      <c r="J2990">
        <v>-480.49790000000002</v>
      </c>
      <c r="K2990">
        <v>1.11612</v>
      </c>
      <c r="L2990">
        <v>218.06190000000001</v>
      </c>
      <c r="M2990">
        <v>0.80971289999999996</v>
      </c>
      <c r="N2990">
        <v>0</v>
      </c>
      <c r="O2990">
        <v>-0.58666070000000003</v>
      </c>
      <c r="P2990">
        <v>0.88052730000000001</v>
      </c>
      <c r="Q2990">
        <v>0.162222799999999</v>
      </c>
      <c r="R2990">
        <v>-0.44537109999999902</v>
      </c>
      <c r="S2990">
        <v>2.9014890000000002</v>
      </c>
      <c r="T2990">
        <v>-0.18955620000000001</v>
      </c>
      <c r="U2990">
        <v>-1.077164</v>
      </c>
      <c r="V2990">
        <v>-0.1584015</v>
      </c>
      <c r="W2990">
        <v>0.17358689999999999</v>
      </c>
      <c r="X2990">
        <v>0.97199610000000003</v>
      </c>
      <c r="Y2990">
        <v>-0.26679399999999998</v>
      </c>
      <c r="Z2990">
        <v>4.2623010000000003E-2</v>
      </c>
      <c r="AA2990">
        <v>0.96281059999999996</v>
      </c>
      <c r="AB2990">
        <v>22</v>
      </c>
      <c r="AC2990">
        <v>16.883500000000002</v>
      </c>
      <c r="AD2990">
        <v>-1.1161194925608</v>
      </c>
      <c r="AE2990">
        <v>-6.2093000000000096</v>
      </c>
      <c r="AF2990">
        <v>-4.85890509916781</v>
      </c>
      <c r="AG2990">
        <v>-1.1161194925608</v>
      </c>
      <c r="AH2990">
        <v>17.248822777394299</v>
      </c>
      <c r="AI2990">
        <v>93.563950696071501</v>
      </c>
      <c r="AJ2990">
        <v>105.73225646943099</v>
      </c>
      <c r="AK2990">
        <v>17.954848055340001</v>
      </c>
      <c r="AL2990">
        <v>80.003564414905796</v>
      </c>
      <c r="AM2990">
        <v>99.255850371464902</v>
      </c>
      <c r="AN2990">
        <v>0.99999993273453203</v>
      </c>
    </row>
    <row r="2991" spans="1:40" x14ac:dyDescent="0.25">
      <c r="A2991" t="str">
        <f>"20190312172948181"</f>
        <v>20190312172948181</v>
      </c>
      <c r="B2991" t="str">
        <f>"1552382988170191"</f>
        <v>1552382988170191</v>
      </c>
      <c r="C2991" t="s">
        <v>40</v>
      </c>
      <c r="D2991">
        <v>2.9993799999999999</v>
      </c>
      <c r="E2991">
        <v>0.45758219999999999</v>
      </c>
      <c r="F2991" t="s">
        <v>47</v>
      </c>
      <c r="G2991">
        <v>-464.28289999999998</v>
      </c>
      <c r="H2991" s="1">
        <v>8.5071519999999898E-7</v>
      </c>
      <c r="I2991">
        <v>212.1371</v>
      </c>
      <c r="J2991">
        <v>-480.31650000000002</v>
      </c>
      <c r="K2991">
        <v>1.116142</v>
      </c>
      <c r="L2991">
        <v>217.94409999999999</v>
      </c>
      <c r="M2991">
        <v>0.81536309999999901</v>
      </c>
      <c r="N2991">
        <v>0</v>
      </c>
      <c r="O2991">
        <v>-0.57878229999999997</v>
      </c>
      <c r="P2991">
        <v>0.88477939999999999</v>
      </c>
      <c r="Q2991">
        <v>0.162024</v>
      </c>
      <c r="R2991">
        <v>-0.43693710000000002</v>
      </c>
      <c r="S2991">
        <v>2.9067080000000001</v>
      </c>
      <c r="T2991">
        <v>-0.20007539999999999</v>
      </c>
      <c r="U2991">
        <v>-1.0620879999999999</v>
      </c>
      <c r="V2991">
        <v>-0.158291299999999</v>
      </c>
      <c r="W2991">
        <v>0.17339019999999999</v>
      </c>
      <c r="X2991">
        <v>0.97204919999999995</v>
      </c>
      <c r="Y2991">
        <v>-0.26227159999999999</v>
      </c>
      <c r="Z2991">
        <v>4.4402339999999998E-2</v>
      </c>
      <c r="AA2991">
        <v>0.96397200000000005</v>
      </c>
      <c r="AB2991">
        <v>22</v>
      </c>
      <c r="AC2991">
        <v>16.0336</v>
      </c>
      <c r="AD2991">
        <v>-1.1161411492847999</v>
      </c>
      <c r="AE2991">
        <v>-5.80699999999998</v>
      </c>
      <c r="AF2991">
        <v>-4.5262012969200702</v>
      </c>
      <c r="AG2991">
        <v>-1.1161411492847999</v>
      </c>
      <c r="AH2991">
        <v>16.365679248367702</v>
      </c>
      <c r="AI2991">
        <v>93.760785538818297</v>
      </c>
      <c r="AJ2991">
        <v>105.459669887381</v>
      </c>
      <c r="AK2991">
        <v>17.016689645927698</v>
      </c>
      <c r="AL2991">
        <v>80.015008425544195</v>
      </c>
      <c r="AM2991">
        <v>99.249025864759602</v>
      </c>
      <c r="AN2991">
        <v>0.99999997216618397</v>
      </c>
    </row>
    <row r="2992" spans="1:40" x14ac:dyDescent="0.25">
      <c r="A2992" t="str">
        <f>"20190312172948202"</f>
        <v>20190312172948202</v>
      </c>
      <c r="B2992" t="str">
        <f>"1552382988190688"</f>
        <v>1552382988190688</v>
      </c>
      <c r="C2992" t="s">
        <v>40</v>
      </c>
      <c r="D2992">
        <v>2.9441639999999998</v>
      </c>
      <c r="E2992">
        <v>0.45914579999999999</v>
      </c>
      <c r="F2992" t="s">
        <v>47</v>
      </c>
      <c r="G2992">
        <v>-464.02519999999998</v>
      </c>
      <c r="H2992" s="1">
        <v>7.1406520000000005E-7</v>
      </c>
      <c r="I2992">
        <v>212.1259</v>
      </c>
      <c r="J2992">
        <v>-480.14789999999999</v>
      </c>
      <c r="K2992">
        <v>1.116161</v>
      </c>
      <c r="L2992">
        <v>217.83709999999999</v>
      </c>
      <c r="M2992">
        <v>0.82053860000000001</v>
      </c>
      <c r="N2992">
        <v>0</v>
      </c>
      <c r="O2992">
        <v>-0.57142090000000001</v>
      </c>
      <c r="P2992">
        <v>0.888582599999999</v>
      </c>
      <c r="Q2992">
        <v>0.16157189999999999</v>
      </c>
      <c r="R2992">
        <v>-0.42931989999999998</v>
      </c>
      <c r="S2992">
        <v>2.9133909999999998</v>
      </c>
      <c r="T2992">
        <v>-0.19960079999999999</v>
      </c>
      <c r="U2992">
        <v>-1.0404819999999999</v>
      </c>
      <c r="V2992">
        <v>-0.15794129999999901</v>
      </c>
      <c r="W2992">
        <v>0.1729445</v>
      </c>
      <c r="X2992">
        <v>0.97218559999999998</v>
      </c>
      <c r="Y2992">
        <v>-0.26064959999999998</v>
      </c>
      <c r="Z2992">
        <v>4.3837630000000002E-2</v>
      </c>
      <c r="AA2992">
        <v>0.96443769999999995</v>
      </c>
      <c r="AB2992">
        <v>22</v>
      </c>
      <c r="AC2992">
        <v>16.122699999999998</v>
      </c>
      <c r="AD2992">
        <v>-1.1161602859348001</v>
      </c>
      <c r="AE2992">
        <v>-5.7111999999999901</v>
      </c>
      <c r="AF2992">
        <v>-4.5078322690289596</v>
      </c>
      <c r="AG2992">
        <v>-1.1161602859348001</v>
      </c>
      <c r="AH2992">
        <v>16.424460623389798</v>
      </c>
      <c r="AI2992">
        <v>93.749446423007498</v>
      </c>
      <c r="AJ2992">
        <v>105.34740113714901</v>
      </c>
      <c r="AK2992">
        <v>17.0683705232479</v>
      </c>
      <c r="AL2992">
        <v>80.040937630424693</v>
      </c>
      <c r="AM2992">
        <v>99.227654934790706</v>
      </c>
      <c r="AN2992">
        <v>1.00000004758664</v>
      </c>
    </row>
    <row r="2993" spans="1:40" x14ac:dyDescent="0.25">
      <c r="A2993" t="str">
        <f>"20190312172948224"</f>
        <v>20190312172948224</v>
      </c>
      <c r="B2993" t="str">
        <f>"1552382988220943"</f>
        <v>1552382988220943</v>
      </c>
      <c r="C2993" t="s">
        <v>40</v>
      </c>
      <c r="D2993">
        <v>3.1158899999999998</v>
      </c>
      <c r="E2993">
        <v>0.46007169999999997</v>
      </c>
      <c r="F2993" t="s">
        <v>47</v>
      </c>
      <c r="G2993">
        <v>-464.5899</v>
      </c>
      <c r="H2993" s="1">
        <v>1.004227E-6</v>
      </c>
      <c r="I2993">
        <v>212.3631</v>
      </c>
      <c r="J2993">
        <v>-479.96589999999998</v>
      </c>
      <c r="K2993">
        <v>1.116177</v>
      </c>
      <c r="L2993">
        <v>217.72389999999999</v>
      </c>
      <c r="M2993">
        <v>0.82604789999999995</v>
      </c>
      <c r="N2993">
        <v>0</v>
      </c>
      <c r="O2993">
        <v>-0.56342740000000002</v>
      </c>
      <c r="P2993">
        <v>0.89255200000000001</v>
      </c>
      <c r="Q2993">
        <v>0.1616784</v>
      </c>
      <c r="R2993">
        <v>-0.42096440000000002</v>
      </c>
      <c r="S2993">
        <v>2.9181819999999998</v>
      </c>
      <c r="T2993">
        <v>-0.2093554</v>
      </c>
      <c r="U2993">
        <v>-1.0267489999999999</v>
      </c>
      <c r="V2993">
        <v>-0.15762209999999999</v>
      </c>
      <c r="W2993">
        <v>0.17305490000000001</v>
      </c>
      <c r="X2993">
        <v>0.97221769999999996</v>
      </c>
      <c r="Y2993">
        <v>-0.25568049999999998</v>
      </c>
      <c r="Z2993">
        <v>4.5338610000000001E-2</v>
      </c>
      <c r="AA2993">
        <v>0.96569760000000004</v>
      </c>
      <c r="AB2993">
        <v>22</v>
      </c>
      <c r="AC2993">
        <v>15.3759999999999</v>
      </c>
      <c r="AD2993">
        <v>-1.116175995773</v>
      </c>
      <c r="AE2993">
        <v>-5.3607999999999798</v>
      </c>
      <c r="AF2993">
        <v>-4.2155870047931199</v>
      </c>
      <c r="AG2993">
        <v>-1.116175995773</v>
      </c>
      <c r="AH2993">
        <v>15.649732668132</v>
      </c>
      <c r="AI2993">
        <v>93.939601055509399</v>
      </c>
      <c r="AJ2993">
        <v>105.075989280511</v>
      </c>
      <c r="AK2993">
        <v>16.245958119868401</v>
      </c>
      <c r="AL2993">
        <v>80.0345147659731</v>
      </c>
      <c r="AM2993">
        <v>99.209026810690006</v>
      </c>
      <c r="AN2993">
        <v>0.99999999050785404</v>
      </c>
    </row>
    <row r="2994" spans="1:40" x14ac:dyDescent="0.25">
      <c r="A2994" t="str">
        <f>"20190312172948246"</f>
        <v>20190312172948246</v>
      </c>
      <c r="B2994" t="str">
        <f>"1552382988240466"</f>
        <v>1552382988240466</v>
      </c>
      <c r="C2994" t="s">
        <v>40</v>
      </c>
      <c r="D2994">
        <v>3.0574720000000002</v>
      </c>
      <c r="E2994">
        <v>0.45945209999999997</v>
      </c>
      <c r="F2994" t="s">
        <v>47</v>
      </c>
      <c r="G2994">
        <v>-463.85759999999999</v>
      </c>
      <c r="H2994" s="1">
        <v>6.2236579999999999E-7</v>
      </c>
      <c r="I2994">
        <v>212.1832</v>
      </c>
      <c r="J2994">
        <v>-479.78300000000002</v>
      </c>
      <c r="K2994">
        <v>1.1161970000000001</v>
      </c>
      <c r="L2994">
        <v>217.61279999999999</v>
      </c>
      <c r="M2994">
        <v>0.83150299999999999</v>
      </c>
      <c r="N2994">
        <v>0</v>
      </c>
      <c r="O2994">
        <v>-0.55534519999999998</v>
      </c>
      <c r="P2994">
        <v>0.89642389999999905</v>
      </c>
      <c r="Q2994">
        <v>0.16166539999999999</v>
      </c>
      <c r="R2994">
        <v>-0.41266079999999999</v>
      </c>
      <c r="S2994">
        <v>2.9235530000000001</v>
      </c>
      <c r="T2994">
        <v>-0.20257820000000001</v>
      </c>
      <c r="U2994">
        <v>-1.0056</v>
      </c>
      <c r="V2994">
        <v>-0.15717339999999999</v>
      </c>
      <c r="W2994">
        <v>0.17304919999999999</v>
      </c>
      <c r="X2994">
        <v>0.97229140000000003</v>
      </c>
      <c r="Y2994">
        <v>-0.25316670000000002</v>
      </c>
      <c r="Z2994">
        <v>4.3347280000000002E-2</v>
      </c>
      <c r="AA2994">
        <v>0.96645099999999995</v>
      </c>
      <c r="AB2994">
        <v>22</v>
      </c>
      <c r="AC2994">
        <v>15.9254</v>
      </c>
      <c r="AD2994">
        <v>-1.1161963776342001</v>
      </c>
      <c r="AE2994">
        <v>-5.42959999999999</v>
      </c>
      <c r="AF2994">
        <v>-4.3108152537072897</v>
      </c>
      <c r="AG2994">
        <v>-1.1161963776342001</v>
      </c>
      <c r="AH2994">
        <v>16.187660661559502</v>
      </c>
      <c r="AI2994">
        <v>93.8120601889119</v>
      </c>
      <c r="AJ2994">
        <v>104.911937921996</v>
      </c>
      <c r="AK2994">
        <v>16.788966025304799</v>
      </c>
      <c r="AL2994">
        <v>80.034846801605298</v>
      </c>
      <c r="AM2994">
        <v>99.182574685897507</v>
      </c>
      <c r="AN2994">
        <v>1.00000003490107</v>
      </c>
    </row>
    <row r="2995" spans="1:40" x14ac:dyDescent="0.25">
      <c r="A2995" t="str">
        <f>"20190312172948267"</f>
        <v>20190312172948267</v>
      </c>
      <c r="B2995" t="str">
        <f>"1552382988260960"</f>
        <v>1552382988260960</v>
      </c>
      <c r="C2995" t="s">
        <v>40</v>
      </c>
      <c r="D2995">
        <v>3.0232809999999999</v>
      </c>
      <c r="E2995">
        <v>0.4289654</v>
      </c>
      <c r="F2995" t="s">
        <v>47</v>
      </c>
      <c r="G2995">
        <v>-463.48259999999999</v>
      </c>
      <c r="H2995" s="1">
        <v>4.2199760000000002E-7</v>
      </c>
      <c r="I2995">
        <v>212.2022</v>
      </c>
      <c r="J2995">
        <v>-479.6105</v>
      </c>
      <c r="K2995">
        <v>1.1162129999999999</v>
      </c>
      <c r="L2995">
        <v>217.5103</v>
      </c>
      <c r="M2995">
        <v>0.83656430000000004</v>
      </c>
      <c r="N2995">
        <v>0</v>
      </c>
      <c r="O2995">
        <v>-0.54769060000000003</v>
      </c>
      <c r="P2995">
        <v>0.90000910000000001</v>
      </c>
      <c r="Q2995">
        <v>0.16175789999999901</v>
      </c>
      <c r="R2995">
        <v>-0.4047443</v>
      </c>
      <c r="S2995">
        <v>2.9344790000000001</v>
      </c>
      <c r="T2995">
        <v>-0.2009437</v>
      </c>
      <c r="U2995">
        <v>-0.97404480000000004</v>
      </c>
      <c r="V2995">
        <v>-0.15681600000000001</v>
      </c>
      <c r="W2995">
        <v>0.1731483</v>
      </c>
      <c r="X2995">
        <v>0.97233139999999996</v>
      </c>
      <c r="Y2995">
        <v>-0.25476490000000002</v>
      </c>
      <c r="Z2995">
        <v>4.258642E-2</v>
      </c>
      <c r="AA2995">
        <v>0.96606479999999995</v>
      </c>
      <c r="AB2995">
        <v>22</v>
      </c>
      <c r="AC2995">
        <v>16.1279</v>
      </c>
      <c r="AD2995">
        <v>-1.1162125780023999</v>
      </c>
      <c r="AE2995">
        <v>-5.3080999999999898</v>
      </c>
      <c r="AF2995">
        <v>-4.3740568907215902</v>
      </c>
      <c r="AG2995">
        <v>-1.1162125780023999</v>
      </c>
      <c r="AH2995">
        <v>16.330245281597701</v>
      </c>
      <c r="AI2995">
        <v>93.777474076001695</v>
      </c>
      <c r="AJ2995">
        <v>104.994699535829</v>
      </c>
      <c r="AK2995">
        <v>16.942703891637301</v>
      </c>
      <c r="AL2995">
        <v>80.029081125528407</v>
      </c>
      <c r="AM2995">
        <v>99.161678238244207</v>
      </c>
      <c r="AN2995">
        <v>0.99999997153742404</v>
      </c>
    </row>
    <row r="2996" spans="1:40" x14ac:dyDescent="0.25">
      <c r="A2996" t="str">
        <f>"20190312172948292"</f>
        <v>20190312172948292</v>
      </c>
      <c r="B2996" t="str">
        <f>"1552382988280480"</f>
        <v>1552382988280480</v>
      </c>
      <c r="C2996" t="s">
        <v>40</v>
      </c>
      <c r="D2996">
        <v>3.0184609999999998</v>
      </c>
      <c r="E2996">
        <v>0.42433090000000001</v>
      </c>
      <c r="F2996" t="s">
        <v>47</v>
      </c>
      <c r="G2996">
        <v>-456.904</v>
      </c>
      <c r="H2996" s="1">
        <v>2.2475090000000001E-6</v>
      </c>
      <c r="I2996">
        <v>212.09190000000001</v>
      </c>
      <c r="J2996">
        <v>-479.40699999999998</v>
      </c>
      <c r="K2996">
        <v>1.1162129999999999</v>
      </c>
      <c r="L2996">
        <v>217.39230000000001</v>
      </c>
      <c r="M2996">
        <v>0.84243570000000001</v>
      </c>
      <c r="N2996">
        <v>0</v>
      </c>
      <c r="O2996">
        <v>-0.53861610000000004</v>
      </c>
      <c r="P2996">
        <v>0.90428750000000002</v>
      </c>
      <c r="Q2996">
        <v>0.16172149999999999</v>
      </c>
      <c r="R2996">
        <v>-0.39510889999999999</v>
      </c>
      <c r="S2996">
        <v>3.0345149999999999</v>
      </c>
      <c r="T2996">
        <v>-0.1491711</v>
      </c>
      <c r="U2996">
        <v>-0.72412109999999996</v>
      </c>
      <c r="V2996">
        <v>-0.1566968</v>
      </c>
      <c r="W2996">
        <v>0.1731164</v>
      </c>
      <c r="X2996">
        <v>0.97235629999999995</v>
      </c>
      <c r="Y2996">
        <v>-0.32749200000000001</v>
      </c>
      <c r="Z2996">
        <v>3.2519140000000002E-2</v>
      </c>
      <c r="AA2996">
        <v>0.94429419999999997</v>
      </c>
      <c r="AB2996">
        <v>22</v>
      </c>
      <c r="AC2996">
        <v>22.502999999999901</v>
      </c>
      <c r="AD2996">
        <v>-1.1162107524910001</v>
      </c>
      <c r="AE2996">
        <v>-5.30039999999999</v>
      </c>
      <c r="AF2996">
        <v>-7.63817222737989</v>
      </c>
      <c r="AG2996">
        <v>-1.1162107524910001</v>
      </c>
      <c r="AH2996">
        <v>21.763602813973598</v>
      </c>
      <c r="AI2996">
        <v>92.770613357753106</v>
      </c>
      <c r="AJ2996">
        <v>109.33907545584</v>
      </c>
      <c r="AK2996">
        <v>23.092033450163999</v>
      </c>
      <c r="AL2996">
        <v>80.030936916571093</v>
      </c>
      <c r="AM2996">
        <v>99.154601706384398</v>
      </c>
      <c r="AN2996">
        <v>0.99999997461444401</v>
      </c>
    </row>
    <row r="2997" spans="1:40" x14ac:dyDescent="0.25">
      <c r="A2997" t="str">
        <f>"20190312172948314"</f>
        <v>20190312172948314</v>
      </c>
      <c r="B2997" t="str">
        <f>"1552382988310736"</f>
        <v>1552382988310736</v>
      </c>
      <c r="C2997" t="s">
        <v>40</v>
      </c>
      <c r="D2997">
        <v>3.0305</v>
      </c>
      <c r="E2997">
        <v>0.42241770000000001</v>
      </c>
      <c r="F2997" t="s">
        <v>47</v>
      </c>
      <c r="G2997">
        <v>-454.23829999999998</v>
      </c>
      <c r="H2997" s="1">
        <v>8.3399819999999895E-7</v>
      </c>
      <c r="I2997">
        <v>211.9768</v>
      </c>
      <c r="J2997">
        <v>-479.22329999999999</v>
      </c>
      <c r="K2997">
        <v>1.1162219999999901</v>
      </c>
      <c r="L2997">
        <v>217.28819999999999</v>
      </c>
      <c r="M2997">
        <v>0.84764300000000004</v>
      </c>
      <c r="N2997">
        <v>0</v>
      </c>
      <c r="O2997">
        <v>-0.53038319999999906</v>
      </c>
      <c r="P2997">
        <v>0.90803789999999995</v>
      </c>
      <c r="Q2997">
        <v>0.16132959999999999</v>
      </c>
      <c r="R2997">
        <v>-0.38657540000000001</v>
      </c>
      <c r="S2997">
        <v>3.0545960000000001</v>
      </c>
      <c r="T2997">
        <v>-0.13546910000000001</v>
      </c>
      <c r="U2997">
        <v>-0.65724179999999999</v>
      </c>
      <c r="V2997">
        <v>-0.156414</v>
      </c>
      <c r="W2997">
        <v>0.17273269999999999</v>
      </c>
      <c r="X2997">
        <v>0.9724701</v>
      </c>
      <c r="Y2997">
        <v>-0.33949289999999999</v>
      </c>
      <c r="Z2997">
        <v>2.941245E-2</v>
      </c>
      <c r="AA2997">
        <v>0.94014869999999995</v>
      </c>
      <c r="AB2997">
        <v>22</v>
      </c>
      <c r="AC2997">
        <v>24.984999999999999</v>
      </c>
      <c r="AD2997">
        <v>-1.11622116600179</v>
      </c>
      <c r="AE2997">
        <v>-5.3113999999999901</v>
      </c>
      <c r="AF2997">
        <v>-8.7336285750328297</v>
      </c>
      <c r="AG2997">
        <v>-1.11622116600179</v>
      </c>
      <c r="AH2997">
        <v>23.952038477182299</v>
      </c>
      <c r="AI2997">
        <v>92.506956596623198</v>
      </c>
      <c r="AJ2997">
        <v>110.03336595418</v>
      </c>
      <c r="AK2997">
        <v>25.519058857851299</v>
      </c>
      <c r="AL2997">
        <v>80.053257924598995</v>
      </c>
      <c r="AM2997">
        <v>99.137307526464994</v>
      </c>
      <c r="AN2997">
        <v>1.00000001021965</v>
      </c>
    </row>
    <row r="2998" spans="1:40" x14ac:dyDescent="0.25">
      <c r="A2998" t="str">
        <f>"20190312172948338"</f>
        <v>20190312172948338</v>
      </c>
      <c r="B2998" t="str">
        <f>"1552382988330256"</f>
        <v>1552382988330256</v>
      </c>
      <c r="C2998" t="s">
        <v>40</v>
      </c>
      <c r="D2998">
        <v>3.001957</v>
      </c>
      <c r="E2998">
        <v>0.42239599999999999</v>
      </c>
      <c r="F2998" t="s">
        <v>47</v>
      </c>
      <c r="G2998">
        <v>-453.79579999999999</v>
      </c>
      <c r="H2998" s="1">
        <v>5.8899050000000005E-7</v>
      </c>
      <c r="I2998">
        <v>212.1952</v>
      </c>
      <c r="J2998">
        <v>-479.0335</v>
      </c>
      <c r="K2998">
        <v>1.1162270000000001</v>
      </c>
      <c r="L2998">
        <v>217.1831</v>
      </c>
      <c r="M2998">
        <v>0.85293019999999997</v>
      </c>
      <c r="N2998">
        <v>0</v>
      </c>
      <c r="O2998">
        <v>-0.52183780000000002</v>
      </c>
      <c r="P2998">
        <v>0.9118193</v>
      </c>
      <c r="Q2998">
        <v>0.16139990000000001</v>
      </c>
      <c r="R2998">
        <v>-0.37753890000000001</v>
      </c>
      <c r="S2998">
        <v>3.0662539999999998</v>
      </c>
      <c r="T2998">
        <v>-0.1346031</v>
      </c>
      <c r="U2998">
        <v>-0.614151</v>
      </c>
      <c r="V2998">
        <v>-0.15629460000000001</v>
      </c>
      <c r="W2998">
        <v>0.1728073</v>
      </c>
      <c r="X2998">
        <v>0.97247600000000001</v>
      </c>
      <c r="Y2998">
        <v>-0.34345609999999999</v>
      </c>
      <c r="Z2998">
        <v>2.8951959999999999E-2</v>
      </c>
      <c r="AA2998">
        <v>0.93872239999999996</v>
      </c>
      <c r="AB2998">
        <v>22</v>
      </c>
      <c r="AC2998">
        <v>25.2377</v>
      </c>
      <c r="AD2998">
        <v>-1.1162264110094999</v>
      </c>
      <c r="AE2998">
        <v>-4.98789999999999</v>
      </c>
      <c r="AF2998">
        <v>-8.8997714684072999</v>
      </c>
      <c r="AG2998">
        <v>-1.1162264110094999</v>
      </c>
      <c r="AH2998">
        <v>24.0858840844128</v>
      </c>
      <c r="AI2998">
        <v>92.489133986476801</v>
      </c>
      <c r="AJ2998">
        <v>110.279349430152</v>
      </c>
      <c r="AK2998">
        <v>25.701784096017199</v>
      </c>
      <c r="AL2998">
        <v>80.048917975680993</v>
      </c>
      <c r="AM2998">
        <v>99.130395551663099</v>
      </c>
      <c r="AN2998">
        <v>0.99999996774922395</v>
      </c>
    </row>
    <row r="2999" spans="1:40" x14ac:dyDescent="0.25">
      <c r="A2999" t="str">
        <f>"20190312172948362"</f>
        <v>20190312172948362</v>
      </c>
      <c r="B2999" t="str">
        <f>"1552382988350752"</f>
        <v>1552382988350752</v>
      </c>
      <c r="C2999" t="s">
        <v>40</v>
      </c>
      <c r="D2999">
        <v>2.9837699999999998</v>
      </c>
      <c r="E2999">
        <v>0.42272769999999998</v>
      </c>
      <c r="F2999" t="s">
        <v>47</v>
      </c>
      <c r="G2999">
        <v>-453.36410000000001</v>
      </c>
      <c r="H2999" s="1">
        <v>3.5445879999999899E-7</v>
      </c>
      <c r="I2999">
        <v>212.30449999999999</v>
      </c>
      <c r="J2999">
        <v>-478.82499999999999</v>
      </c>
      <c r="K2999">
        <v>1.1162379999999901</v>
      </c>
      <c r="L2999">
        <v>217.07040000000001</v>
      </c>
      <c r="M2999">
        <v>0.85863489999999998</v>
      </c>
      <c r="N2999">
        <v>0</v>
      </c>
      <c r="O2999">
        <v>-0.51239709999999905</v>
      </c>
      <c r="P2999">
        <v>0.91571880000000005</v>
      </c>
      <c r="Q2999">
        <v>0.16135869999999999</v>
      </c>
      <c r="R2999">
        <v>-0.36799860000000001</v>
      </c>
      <c r="S2999">
        <v>3.0719910000000001</v>
      </c>
      <c r="T2999">
        <v>-0.13358449999999999</v>
      </c>
      <c r="U2999">
        <v>-0.583847</v>
      </c>
      <c r="V2999">
        <v>-0.15572639999999999</v>
      </c>
      <c r="W2999">
        <v>0.17277729999999999</v>
      </c>
      <c r="X2999">
        <v>0.97257249999999995</v>
      </c>
      <c r="Y2999">
        <v>-0.3423755</v>
      </c>
      <c r="Z2999">
        <v>2.8353039999999999E-2</v>
      </c>
      <c r="AA2999">
        <v>0.93913530000000001</v>
      </c>
      <c r="AB2999">
        <v>22</v>
      </c>
      <c r="AC2999">
        <v>25.460899999999899</v>
      </c>
      <c r="AD2999">
        <v>-1.11623764554119</v>
      </c>
      <c r="AE2999">
        <v>-4.76590000000001</v>
      </c>
      <c r="AF2999">
        <v>-8.9381996813115396</v>
      </c>
      <c r="AG2999">
        <v>-1.11623764554119</v>
      </c>
      <c r="AH2999">
        <v>24.260972142901199</v>
      </c>
      <c r="AI2999">
        <v>92.472085410880993</v>
      </c>
      <c r="AJ2999">
        <v>110.22474877912499</v>
      </c>
      <c r="AK2999">
        <v>25.879184093455301</v>
      </c>
      <c r="AL2999">
        <v>80.050663296313701</v>
      </c>
      <c r="AM2999">
        <v>99.096871035924295</v>
      </c>
      <c r="AN2999">
        <v>0.99999998740425</v>
      </c>
    </row>
    <row r="3000" spans="1:40" x14ac:dyDescent="0.25">
      <c r="A3000" t="str">
        <f>"20190312172948382"</f>
        <v>20190312172948382</v>
      </c>
      <c r="B3000" t="str">
        <f>"1552382988370272"</f>
        <v>1552382988370272</v>
      </c>
      <c r="C3000" t="s">
        <v>40</v>
      </c>
      <c r="D3000">
        <v>3.024213</v>
      </c>
      <c r="E3000">
        <v>0.4234388</v>
      </c>
      <c r="F3000" t="s">
        <v>47</v>
      </c>
      <c r="G3000">
        <v>-453.06659999999999</v>
      </c>
      <c r="H3000" s="1">
        <v>1.9043760000000001E-7</v>
      </c>
      <c r="I3000">
        <v>212.43510000000001</v>
      </c>
      <c r="J3000">
        <v>-478.65179999999998</v>
      </c>
      <c r="K3000">
        <v>1.1162449999999999</v>
      </c>
      <c r="L3000">
        <v>216.97919999999999</v>
      </c>
      <c r="M3000">
        <v>0.8632843</v>
      </c>
      <c r="N3000">
        <v>0</v>
      </c>
      <c r="O3000">
        <v>-0.50452429999999904</v>
      </c>
      <c r="P3000">
        <v>0.91883040000000005</v>
      </c>
      <c r="Q3000">
        <v>0.16135160000000001</v>
      </c>
      <c r="R3000">
        <v>-0.36016219999999999</v>
      </c>
      <c r="S3000">
        <v>3.077118</v>
      </c>
      <c r="T3000">
        <v>-0.13334679999999999</v>
      </c>
      <c r="U3000">
        <v>-0.5537415</v>
      </c>
      <c r="V3000">
        <v>-0.1551457</v>
      </c>
      <c r="W3000">
        <v>0.17278060000000001</v>
      </c>
      <c r="X3000">
        <v>0.97266470000000005</v>
      </c>
      <c r="Y3000">
        <v>-0.34296569999999998</v>
      </c>
      <c r="Z3000">
        <v>2.8017960000000001E-2</v>
      </c>
      <c r="AA3000">
        <v>0.93893000000000004</v>
      </c>
      <c r="AB3000">
        <v>22</v>
      </c>
      <c r="AC3000">
        <v>25.585199999999901</v>
      </c>
      <c r="AD3000">
        <v>-1.1162448095624</v>
      </c>
      <c r="AE3000">
        <v>-4.5440999999999798</v>
      </c>
      <c r="AF3000">
        <v>-8.9698316458136098</v>
      </c>
      <c r="AG3000">
        <v>-1.1162448095624</v>
      </c>
      <c r="AH3000">
        <v>24.3373848173025</v>
      </c>
      <c r="AI3000">
        <v>92.464234941559795</v>
      </c>
      <c r="AJ3000">
        <v>110.23196223758499</v>
      </c>
      <c r="AK3000">
        <v>25.961744586498401</v>
      </c>
      <c r="AL3000">
        <v>80.050471171328795</v>
      </c>
      <c r="AM3000">
        <v>99.062668239262393</v>
      </c>
      <c r="AN3000">
        <v>0.99999997129546903</v>
      </c>
    </row>
    <row r="3001" spans="1:40" x14ac:dyDescent="0.25">
      <c r="A3001" t="str">
        <f>"20190312172948403"</f>
        <v>20190312172948403</v>
      </c>
      <c r="B3001" t="str">
        <f>"1552382988400528"</f>
        <v>1552382988400528</v>
      </c>
      <c r="C3001" t="s">
        <v>40</v>
      </c>
      <c r="D3001">
        <v>2.9965199999999999</v>
      </c>
      <c r="E3001">
        <v>0.42445709999999998</v>
      </c>
      <c r="F3001" t="s">
        <v>47</v>
      </c>
      <c r="G3001">
        <v>-453.15030000000002</v>
      </c>
      <c r="H3001" s="1">
        <v>2.2910100000000001E-7</v>
      </c>
      <c r="I3001">
        <v>212.5703</v>
      </c>
      <c r="J3001">
        <v>-478.47620000000001</v>
      </c>
      <c r="K3001">
        <v>1.116255</v>
      </c>
      <c r="L3001">
        <v>216.88890000000001</v>
      </c>
      <c r="M3001">
        <v>0.86792060000000004</v>
      </c>
      <c r="N3001">
        <v>0</v>
      </c>
      <c r="O3001">
        <v>-0.49650569999999999</v>
      </c>
      <c r="P3001">
        <v>0.92206999999999995</v>
      </c>
      <c r="Q3001">
        <v>0.16081189999999901</v>
      </c>
      <c r="R3001">
        <v>-0.35203190000000001</v>
      </c>
      <c r="S3001">
        <v>3.079987</v>
      </c>
      <c r="T3001">
        <v>-0.13481660000000001</v>
      </c>
      <c r="U3001">
        <v>-0.53250120000000001</v>
      </c>
      <c r="V3001">
        <v>-0.1547694</v>
      </c>
      <c r="W3001">
        <v>0.1722484</v>
      </c>
      <c r="X3001">
        <v>0.97281910000000005</v>
      </c>
      <c r="Y3001">
        <v>-0.34068920000000003</v>
      </c>
      <c r="Z3001">
        <v>2.7977309999999998E-2</v>
      </c>
      <c r="AA3001">
        <v>0.93975960000000003</v>
      </c>
      <c r="AB3001">
        <v>22</v>
      </c>
      <c r="AC3001">
        <v>25.325899999999901</v>
      </c>
      <c r="AD3001">
        <v>-1.116254770899</v>
      </c>
      <c r="AE3001">
        <v>-4.3186</v>
      </c>
      <c r="AF3001">
        <v>-8.8104844015465797</v>
      </c>
      <c r="AG3001">
        <v>-1.116254770899</v>
      </c>
      <c r="AH3001">
        <v>24.081982286621699</v>
      </c>
      <c r="AI3001">
        <v>92.492539378325702</v>
      </c>
      <c r="AJ3001">
        <v>110.09523764884899</v>
      </c>
      <c r="AK3001">
        <v>25.6673436677154</v>
      </c>
      <c r="AL3001">
        <v>80.081428812124997</v>
      </c>
      <c r="AM3001">
        <v>99.039639334839293</v>
      </c>
      <c r="AN3001">
        <v>1.00000003990186</v>
      </c>
    </row>
    <row r="3002" spans="1:40" x14ac:dyDescent="0.25">
      <c r="A3002" t="str">
        <f>"20190312172948425"</f>
        <v>20190312172948425</v>
      </c>
      <c r="B3002" t="str">
        <f>"1552382988420047"</f>
        <v>1552382988420047</v>
      </c>
      <c r="C3002" t="s">
        <v>40</v>
      </c>
      <c r="D3002">
        <v>3.0390779999999999</v>
      </c>
      <c r="E3002">
        <v>0.42521379999999998</v>
      </c>
      <c r="F3002" t="s">
        <v>47</v>
      </c>
      <c r="G3002">
        <v>-453.57429999999999</v>
      </c>
      <c r="H3002" s="1">
        <v>4.470658E-7</v>
      </c>
      <c r="I3002">
        <v>212.74510000000001</v>
      </c>
      <c r="J3002">
        <v>-478.29300000000001</v>
      </c>
      <c r="K3002">
        <v>1.1162529999999999</v>
      </c>
      <c r="L3002">
        <v>216.797</v>
      </c>
      <c r="M3002">
        <v>0.87266999999999995</v>
      </c>
      <c r="N3002">
        <v>0</v>
      </c>
      <c r="O3002">
        <v>-0.48810999999999999</v>
      </c>
      <c r="P3002">
        <v>0.92514980000000002</v>
      </c>
      <c r="Q3002">
        <v>0.16092999999999999</v>
      </c>
      <c r="R3002">
        <v>-0.34380159999999998</v>
      </c>
      <c r="S3002">
        <v>3.0818479999999999</v>
      </c>
      <c r="T3002">
        <v>-0.1381474</v>
      </c>
      <c r="U3002">
        <v>-0.51283259999999997</v>
      </c>
      <c r="V3002">
        <v>-0.1540472</v>
      </c>
      <c r="W3002">
        <v>0.17237849999999999</v>
      </c>
      <c r="X3002">
        <v>0.97291059999999996</v>
      </c>
      <c r="Y3002">
        <v>-0.33751730000000002</v>
      </c>
      <c r="Z3002">
        <v>2.8279950000000002E-2</v>
      </c>
      <c r="AA3002">
        <v>0.94089440000000002</v>
      </c>
      <c r="AB3002">
        <v>22</v>
      </c>
      <c r="AC3002">
        <v>24.718699999999998</v>
      </c>
      <c r="AD3002">
        <v>-1.1162525529342</v>
      </c>
      <c r="AE3002">
        <v>-4.0518999999999803</v>
      </c>
      <c r="AF3002">
        <v>-8.5134010141063801</v>
      </c>
      <c r="AG3002">
        <v>-1.1162525529342</v>
      </c>
      <c r="AH3002">
        <v>23.504667425181999</v>
      </c>
      <c r="AI3002">
        <v>92.556671828855599</v>
      </c>
      <c r="AJ3002">
        <v>109.91040940360401</v>
      </c>
      <c r="AK3002">
        <v>25.023856764242598</v>
      </c>
      <c r="AL3002">
        <v>80.073860652338993</v>
      </c>
      <c r="AM3002">
        <v>98.997317018280398</v>
      </c>
      <c r="AN3002">
        <v>0.99999996134122404</v>
      </c>
    </row>
    <row r="3003" spans="1:40" x14ac:dyDescent="0.25">
      <c r="A3003" t="str">
        <f>"20190312172948448"</f>
        <v>20190312172948448</v>
      </c>
      <c r="B3003" t="str">
        <f>"1552382988440545"</f>
        <v>1552382988440545</v>
      </c>
      <c r="C3003" t="s">
        <v>40</v>
      </c>
      <c r="D3003">
        <v>3.0679479999999999</v>
      </c>
      <c r="E3003">
        <v>0.43587409999999999</v>
      </c>
      <c r="F3003" t="s">
        <v>47</v>
      </c>
      <c r="G3003">
        <v>-453.5034</v>
      </c>
      <c r="H3003" s="1">
        <v>4.0465049999999997E-7</v>
      </c>
      <c r="I3003">
        <v>212.85290000000001</v>
      </c>
      <c r="J3003">
        <v>-478.09390000000002</v>
      </c>
      <c r="K3003">
        <v>1.116266</v>
      </c>
      <c r="L3003">
        <v>216.6996</v>
      </c>
      <c r="M3003">
        <v>0.877731699999999</v>
      </c>
      <c r="N3003">
        <v>0</v>
      </c>
      <c r="O3003">
        <v>-0.47894789999999998</v>
      </c>
      <c r="P3003">
        <v>0.92845580000000005</v>
      </c>
      <c r="Q3003">
        <v>0.16101979999999999</v>
      </c>
      <c r="R3003">
        <v>-0.33472839999999998</v>
      </c>
      <c r="S3003">
        <v>3.0845340000000001</v>
      </c>
      <c r="T3003">
        <v>-0.13889409999999999</v>
      </c>
      <c r="U3003">
        <v>-0.4907532</v>
      </c>
      <c r="V3003">
        <v>-0.15338089999999999</v>
      </c>
      <c r="W3003">
        <v>0.17248139999999901</v>
      </c>
      <c r="X3003">
        <v>0.97299769999999997</v>
      </c>
      <c r="Y3003">
        <v>-0.33435959999999998</v>
      </c>
      <c r="Z3003">
        <v>2.800538E-2</v>
      </c>
      <c r="AA3003">
        <v>0.94202940000000002</v>
      </c>
      <c r="AB3003">
        <v>22</v>
      </c>
      <c r="AC3003">
        <v>24.590499999999999</v>
      </c>
      <c r="AD3003">
        <v>-1.1162655953495</v>
      </c>
      <c r="AE3003">
        <v>-3.84669999999999</v>
      </c>
      <c r="AF3003">
        <v>-8.3851551276151497</v>
      </c>
      <c r="AG3003">
        <v>-1.1162655953495</v>
      </c>
      <c r="AH3003">
        <v>23.381496224660602</v>
      </c>
      <c r="AI3003">
        <v>92.573082220163997</v>
      </c>
      <c r="AJ3003">
        <v>109.729029083893</v>
      </c>
      <c r="AK3003">
        <v>24.864658475381201</v>
      </c>
      <c r="AL3003">
        <v>80.067875944960704</v>
      </c>
      <c r="AM3003">
        <v>98.958244533415595</v>
      </c>
      <c r="AN3003">
        <v>1.00000002901802</v>
      </c>
    </row>
    <row r="3004" spans="1:40" x14ac:dyDescent="0.25">
      <c r="A3004" t="str">
        <f>"20190312172948469"</f>
        <v>20190312172948469</v>
      </c>
      <c r="B3004" t="str">
        <f>"1552382988460064"</f>
        <v>1552382988460064</v>
      </c>
      <c r="C3004" t="s">
        <v>40</v>
      </c>
      <c r="D3004">
        <v>3.0269170000000001</v>
      </c>
      <c r="E3004">
        <v>0.43596230000000002</v>
      </c>
      <c r="F3004" t="s">
        <v>47</v>
      </c>
      <c r="G3004">
        <v>-456.48899999999998</v>
      </c>
      <c r="H3004" s="1">
        <v>1.99204E-6</v>
      </c>
      <c r="I3004">
        <v>212.88419999999999</v>
      </c>
      <c r="J3004">
        <v>-477.90530000000001</v>
      </c>
      <c r="K3004">
        <v>1.1162620000000001</v>
      </c>
      <c r="L3004">
        <v>216.60980000000001</v>
      </c>
      <c r="M3004">
        <v>0.88242529999999997</v>
      </c>
      <c r="N3004">
        <v>0</v>
      </c>
      <c r="O3004">
        <v>-0.4702441</v>
      </c>
      <c r="P3004">
        <v>0.93151689999999998</v>
      </c>
      <c r="Q3004">
        <v>0.1608561</v>
      </c>
      <c r="R3004">
        <v>-0.32619239999999999</v>
      </c>
      <c r="S3004">
        <v>3.0635379999999999</v>
      </c>
      <c r="T3004">
        <v>-0.15828439999999999</v>
      </c>
      <c r="U3004">
        <v>-0.54101560000000004</v>
      </c>
      <c r="V3004">
        <v>-0.15269739999999901</v>
      </c>
      <c r="W3004">
        <v>0.17233299999999999</v>
      </c>
      <c r="X3004">
        <v>0.97313150000000004</v>
      </c>
      <c r="Y3004">
        <v>-0.308699</v>
      </c>
      <c r="Z3004">
        <v>3.1010570000000001E-2</v>
      </c>
      <c r="AA3004">
        <v>0.95065409999999995</v>
      </c>
      <c r="AB3004">
        <v>22</v>
      </c>
      <c r="AC3004">
        <v>21.4162999999999</v>
      </c>
      <c r="AD3004">
        <v>-1.11626000796</v>
      </c>
      <c r="AE3004">
        <v>-3.7256000000000098</v>
      </c>
      <c r="AF3004">
        <v>-6.7661484732000998</v>
      </c>
      <c r="AG3004">
        <v>-1.11626000796</v>
      </c>
      <c r="AH3004">
        <v>20.597936439445299</v>
      </c>
      <c r="AI3004">
        <v>92.9473384276628</v>
      </c>
      <c r="AJ3004">
        <v>108.184664796411</v>
      </c>
      <c r="AK3004">
        <v>21.709486109306798</v>
      </c>
      <c r="AL3004">
        <v>80.076507981012895</v>
      </c>
      <c r="AM3004">
        <v>98.917761139247403</v>
      </c>
      <c r="AN3004">
        <v>1.0000000375739999</v>
      </c>
    </row>
    <row r="3005" spans="1:40" x14ac:dyDescent="0.25">
      <c r="A3005" t="str">
        <f>"20190312172948494"</f>
        <v>20190312172948494</v>
      </c>
      <c r="B3005" t="str">
        <f>"1552382988480559"</f>
        <v>1552382988480559</v>
      </c>
      <c r="C3005" t="s">
        <v>40</v>
      </c>
      <c r="D3005">
        <v>3.1175760000000001</v>
      </c>
      <c r="E3005">
        <v>0.43608730000000001</v>
      </c>
      <c r="F3005" t="s">
        <v>47</v>
      </c>
      <c r="G3005">
        <v>-455.77190000000002</v>
      </c>
      <c r="H3005" s="1">
        <v>1.6093659999999999E-6</v>
      </c>
      <c r="I3005">
        <v>212.90940000000001</v>
      </c>
      <c r="J3005">
        <v>-477.70159999999998</v>
      </c>
      <c r="K3005">
        <v>1.116252</v>
      </c>
      <c r="L3005">
        <v>216.5153</v>
      </c>
      <c r="M3005">
        <v>0.88738169999999905</v>
      </c>
      <c r="N3005">
        <v>0</v>
      </c>
      <c r="O3005">
        <v>-0.46082279999999998</v>
      </c>
      <c r="P3005">
        <v>0.93462290000000003</v>
      </c>
      <c r="Q3005">
        <v>0.160832</v>
      </c>
      <c r="R3005">
        <v>-0.31719619999999998</v>
      </c>
      <c r="S3005">
        <v>3.0676269999999999</v>
      </c>
      <c r="T3005">
        <v>-0.15471109999999999</v>
      </c>
      <c r="U3005">
        <v>-0.51286319999999996</v>
      </c>
      <c r="V3005">
        <v>-0.15171499999999999</v>
      </c>
      <c r="W3005">
        <v>0.1723297</v>
      </c>
      <c r="X3005">
        <v>0.97328570000000003</v>
      </c>
      <c r="Y3005">
        <v>-0.30731979999999998</v>
      </c>
      <c r="Z3005">
        <v>2.985662E-2</v>
      </c>
      <c r="AA3005">
        <v>0.95113780000000003</v>
      </c>
      <c r="AB3005">
        <v>22</v>
      </c>
      <c r="AC3005">
        <v>21.929699999999901</v>
      </c>
      <c r="AD3005">
        <v>-1.116250390634</v>
      </c>
      <c r="AE3005">
        <v>-3.6058999999999899</v>
      </c>
      <c r="AF3005">
        <v>-6.8891935768276298</v>
      </c>
      <c r="AG3005">
        <v>-1.116250390634</v>
      </c>
      <c r="AH3005">
        <v>21.0706107498008</v>
      </c>
      <c r="AI3005">
        <v>92.882611134831194</v>
      </c>
      <c r="AJ3005">
        <v>108.105543305257</v>
      </c>
      <c r="AK3005">
        <v>22.196342952009299</v>
      </c>
      <c r="AL3005">
        <v>80.076699655171794</v>
      </c>
      <c r="AM3005">
        <v>98.859919238850594</v>
      </c>
      <c r="AN3005">
        <v>1.00000001027579</v>
      </c>
    </row>
    <row r="3006" spans="1:40" x14ac:dyDescent="0.25">
      <c r="A3006" t="str">
        <f>"20190312172948515"</f>
        <v>20190312172948515</v>
      </c>
      <c r="B3006" t="str">
        <f>"1552382988510816"</f>
        <v>1552382988510816</v>
      </c>
      <c r="C3006" t="s">
        <v>40</v>
      </c>
      <c r="D3006">
        <v>3.1374689999999998</v>
      </c>
      <c r="E3006">
        <v>0.44313039999999998</v>
      </c>
      <c r="F3006" t="s">
        <v>47</v>
      </c>
      <c r="G3006">
        <v>-455.47160000000002</v>
      </c>
      <c r="H3006" s="1">
        <v>1.4449210000000001E-6</v>
      </c>
      <c r="I3006">
        <v>213.0147</v>
      </c>
      <c r="J3006">
        <v>-477.51519999999999</v>
      </c>
      <c r="K3006">
        <v>1.1162430000000001</v>
      </c>
      <c r="L3006">
        <v>216.43109999999999</v>
      </c>
      <c r="M3006">
        <v>0.89181679999999997</v>
      </c>
      <c r="N3006">
        <v>0</v>
      </c>
      <c r="O3006">
        <v>-0.45218019999999998</v>
      </c>
      <c r="P3006">
        <v>0.93715380000000004</v>
      </c>
      <c r="Q3006">
        <v>0.160501</v>
      </c>
      <c r="R3006">
        <v>-0.30981049999999999</v>
      </c>
      <c r="S3006">
        <v>3.0722049999999999</v>
      </c>
      <c r="T3006">
        <v>-0.1542664</v>
      </c>
      <c r="U3006">
        <v>-0.48379519999999998</v>
      </c>
      <c r="V3006">
        <v>-0.14995259999999999</v>
      </c>
      <c r="W3006">
        <v>0.17203379999999999</v>
      </c>
      <c r="X3006">
        <v>0.97361109999999995</v>
      </c>
      <c r="Y3006">
        <v>-0.3070909</v>
      </c>
      <c r="Z3006">
        <v>2.9373079999999999E-2</v>
      </c>
      <c r="AA3006">
        <v>0.95122680000000004</v>
      </c>
      <c r="AB3006">
        <v>22</v>
      </c>
      <c r="AC3006">
        <v>22.043599999999898</v>
      </c>
      <c r="AD3006">
        <v>-1.1162415550789999</v>
      </c>
      <c r="AE3006">
        <v>-3.4163999999999799</v>
      </c>
      <c r="AF3006">
        <v>-6.9042657859345402</v>
      </c>
      <c r="AG3006">
        <v>-1.1162415550789999</v>
      </c>
      <c r="AH3006">
        <v>21.1527904165427</v>
      </c>
      <c r="AI3006">
        <v>92.871880078055099</v>
      </c>
      <c r="AJ3006">
        <v>108.07667037060099</v>
      </c>
      <c r="AK3006">
        <v>22.279035519032099</v>
      </c>
      <c r="AL3006">
        <v>80.093910337324701</v>
      </c>
      <c r="AM3006">
        <v>98.755720956267396</v>
      </c>
      <c r="AN3006">
        <v>0.99999999231620396</v>
      </c>
    </row>
    <row r="3007" spans="1:40" x14ac:dyDescent="0.25">
      <c r="A3007" t="str">
        <f>"20190312172948549"</f>
        <v>20190312172948549</v>
      </c>
      <c r="B3007" t="str">
        <f>"1552382988540096"</f>
        <v>1552382988540096</v>
      </c>
      <c r="C3007" t="s">
        <v>40</v>
      </c>
      <c r="D3007">
        <v>3.1368520000000002</v>
      </c>
      <c r="E3007">
        <v>0.44804369999999999</v>
      </c>
      <c r="F3007" t="s">
        <v>47</v>
      </c>
      <c r="G3007">
        <v>-455.06599999999997</v>
      </c>
      <c r="H3007" s="1">
        <v>1.2441920000000001E-6</v>
      </c>
      <c r="I3007">
        <v>212.6694</v>
      </c>
      <c r="J3007">
        <v>-477.22160000000002</v>
      </c>
      <c r="K3007">
        <v>1.1162240000000001</v>
      </c>
      <c r="L3007">
        <v>216.303</v>
      </c>
      <c r="M3007">
        <v>0.89859609999999901</v>
      </c>
      <c r="N3007">
        <v>0</v>
      </c>
      <c r="O3007">
        <v>-0.43855309999999997</v>
      </c>
      <c r="P3007">
        <v>0.9412452</v>
      </c>
      <c r="Q3007">
        <v>0.16007560000000001</v>
      </c>
      <c r="R3007">
        <v>-0.29737730000000001</v>
      </c>
      <c r="S3007">
        <v>3.0578609999999999</v>
      </c>
      <c r="T3007">
        <v>-0.1520464</v>
      </c>
      <c r="U3007">
        <v>-0.51239009999999996</v>
      </c>
      <c r="V3007">
        <v>-0.14803479999999999</v>
      </c>
      <c r="W3007">
        <v>0.1716481</v>
      </c>
      <c r="X3007">
        <v>0.97397259999999997</v>
      </c>
      <c r="Y3007">
        <v>-0.28322409999999998</v>
      </c>
      <c r="Z3007">
        <v>2.7861859999999999E-2</v>
      </c>
      <c r="AA3007">
        <v>0.95864899999999997</v>
      </c>
      <c r="AB3007">
        <v>22</v>
      </c>
      <c r="AC3007">
        <v>22.1556</v>
      </c>
      <c r="AD3007">
        <v>-1.11622275580799</v>
      </c>
      <c r="AE3007">
        <v>-3.6335999999999999</v>
      </c>
      <c r="AF3007">
        <v>-6.4359930419440197</v>
      </c>
      <c r="AG3007">
        <v>-1.11622275580799</v>
      </c>
      <c r="AH3007">
        <v>21.451549038942598</v>
      </c>
      <c r="AI3007">
        <v>92.853247485280093</v>
      </c>
      <c r="AJ3007">
        <v>106.700538847156</v>
      </c>
      <c r="AK3007">
        <v>22.424025415761001</v>
      </c>
      <c r="AL3007">
        <v>80.116343078134193</v>
      </c>
      <c r="AM3007">
        <v>98.642283069325401</v>
      </c>
      <c r="AN3007">
        <v>0.99999999889770397</v>
      </c>
    </row>
    <row r="3008" spans="1:40" x14ac:dyDescent="0.25">
      <c r="A3008" t="str">
        <f>"20190312172948573"</f>
        <v>20190312172948573</v>
      </c>
      <c r="B3008" t="str">
        <f>"1552382988560592"</f>
        <v>1552382988560592</v>
      </c>
      <c r="C3008" t="s">
        <v>40</v>
      </c>
      <c r="D3008">
        <v>3.0818889999999999</v>
      </c>
      <c r="E3008">
        <v>0.448745</v>
      </c>
      <c r="F3008" t="s">
        <v>47</v>
      </c>
      <c r="G3008">
        <v>-456.4966</v>
      </c>
      <c r="H3008" s="1">
        <v>1.9976539999999999E-6</v>
      </c>
      <c r="I3008">
        <v>212.84819999999999</v>
      </c>
      <c r="J3008">
        <v>-477.02089999999998</v>
      </c>
      <c r="K3008">
        <v>1.1162099999999999</v>
      </c>
      <c r="L3008">
        <v>216.21850000000001</v>
      </c>
      <c r="M3008">
        <v>0.90309030000000001</v>
      </c>
      <c r="N3008">
        <v>0</v>
      </c>
      <c r="O3008">
        <v>-0.4292222</v>
      </c>
      <c r="P3008">
        <v>0.94385889999999995</v>
      </c>
      <c r="Q3008">
        <v>0.16026029999999999</v>
      </c>
      <c r="R3008">
        <v>-0.28887160000000001</v>
      </c>
      <c r="S3008">
        <v>3.0544129999999998</v>
      </c>
      <c r="T3008">
        <v>-0.1645064</v>
      </c>
      <c r="U3008">
        <v>-0.50915529999999998</v>
      </c>
      <c r="V3008">
        <v>-0.14671679999999901</v>
      </c>
      <c r="W3008">
        <v>0.17185429999999999</v>
      </c>
      <c r="X3008">
        <v>0.97413559999999999</v>
      </c>
      <c r="Y3008">
        <v>-0.27397179999999999</v>
      </c>
      <c r="Z3008">
        <v>2.9483550000000001E-2</v>
      </c>
      <c r="AA3008">
        <v>0.96128570000000002</v>
      </c>
      <c r="AB3008">
        <v>22</v>
      </c>
      <c r="AC3008">
        <v>20.524299999999901</v>
      </c>
      <c r="AD3008">
        <v>-1.1162080023459999</v>
      </c>
      <c r="AE3008">
        <v>-3.3703000000000101</v>
      </c>
      <c r="AF3008">
        <v>-5.7498060589748698</v>
      </c>
      <c r="AG3008">
        <v>-1.1162080023459999</v>
      </c>
      <c r="AH3008">
        <v>19.926475502499301</v>
      </c>
      <c r="AI3008">
        <v>93.080716733229593</v>
      </c>
      <c r="AJ3008">
        <v>106.095552569915</v>
      </c>
      <c r="AK3008">
        <v>20.769463545600601</v>
      </c>
      <c r="AL3008">
        <v>80.104349929066203</v>
      </c>
      <c r="AM3008">
        <v>98.565072564318498</v>
      </c>
      <c r="AN3008">
        <v>0.99999994350904298</v>
      </c>
    </row>
    <row r="3009" spans="1:40" x14ac:dyDescent="0.25">
      <c r="A3009" t="str">
        <f>"20190312172948616"</f>
        <v>20190312172948616</v>
      </c>
      <c r="B3009" t="str">
        <f>"1552382988610368"</f>
        <v>1552382988610368</v>
      </c>
      <c r="C3009" t="s">
        <v>40</v>
      </c>
      <c r="D3009">
        <v>3.1031559999999998</v>
      </c>
      <c r="E3009">
        <v>0.45080350000000002</v>
      </c>
      <c r="F3009" t="s">
        <v>47</v>
      </c>
      <c r="G3009">
        <v>-456.11770000000001</v>
      </c>
      <c r="H3009" s="1">
        <v>1.7941610000000001E-6</v>
      </c>
      <c r="I3009">
        <v>212.89089999999999</v>
      </c>
      <c r="J3009">
        <v>-476.64640000000003</v>
      </c>
      <c r="K3009">
        <v>1.116161</v>
      </c>
      <c r="L3009">
        <v>216.06720000000001</v>
      </c>
      <c r="M3009">
        <v>0.91121509999999994</v>
      </c>
      <c r="N3009">
        <v>0</v>
      </c>
      <c r="O3009">
        <v>-0.41170440000000003</v>
      </c>
      <c r="P3009">
        <v>0.94835029999999998</v>
      </c>
      <c r="Q3009">
        <v>0.16143370000000001</v>
      </c>
      <c r="R3009">
        <v>-0.27307730000000002</v>
      </c>
      <c r="S3009">
        <v>3.0571899999999999</v>
      </c>
      <c r="T3009">
        <v>-0.1632507</v>
      </c>
      <c r="U3009">
        <v>-0.48667909999999998</v>
      </c>
      <c r="V3009">
        <v>-0.14410329999999999</v>
      </c>
      <c r="W3009">
        <v>0.1727167</v>
      </c>
      <c r="X3009">
        <v>0.97437320000000005</v>
      </c>
      <c r="Y3009">
        <v>-0.26245990000000002</v>
      </c>
      <c r="Z3009">
        <v>2.8111379999999998E-2</v>
      </c>
      <c r="AA3009">
        <v>0.96453330000000004</v>
      </c>
      <c r="AB3009">
        <v>21</v>
      </c>
      <c r="AC3009">
        <v>20.528700000000001</v>
      </c>
      <c r="AD3009">
        <v>-1.116159205839</v>
      </c>
      <c r="AE3009">
        <v>-3.1763000000000199</v>
      </c>
      <c r="AF3009">
        <v>-5.5419819755825204</v>
      </c>
      <c r="AG3009">
        <v>-1.116159205839</v>
      </c>
      <c r="AH3009">
        <v>19.9580050908475</v>
      </c>
      <c r="AI3009">
        <v>93.084482531210099</v>
      </c>
      <c r="AJ3009">
        <v>105.519024852339</v>
      </c>
      <c r="AK3009">
        <v>20.743224021273999</v>
      </c>
      <c r="AL3009">
        <v>80.054188303915595</v>
      </c>
      <c r="AM3009">
        <v>98.412682207229196</v>
      </c>
      <c r="AN3009">
        <v>0.99999997620400904</v>
      </c>
    </row>
    <row r="3010" spans="1:40" x14ac:dyDescent="0.25">
      <c r="A3010" t="str">
        <f>"20190312172948638"</f>
        <v>20190312172948638</v>
      </c>
      <c r="B3010" t="str">
        <f>"1552382988630864"</f>
        <v>1552382988630864</v>
      </c>
      <c r="C3010" t="s">
        <v>40</v>
      </c>
      <c r="D3010">
        <v>3.1182409999999998</v>
      </c>
      <c r="E3010">
        <v>0.45639609999999903</v>
      </c>
      <c r="F3010" t="s">
        <v>47</v>
      </c>
      <c r="G3010">
        <v>-455.5154</v>
      </c>
      <c r="H3010" s="1">
        <v>1.4710129999999999E-6</v>
      </c>
      <c r="I3010">
        <v>212.95099999999999</v>
      </c>
      <c r="J3010">
        <v>-476.44060000000002</v>
      </c>
      <c r="K3010">
        <v>1.116131</v>
      </c>
      <c r="L3010">
        <v>215.98750000000001</v>
      </c>
      <c r="M3010">
        <v>0.91548229999999997</v>
      </c>
      <c r="N3010">
        <v>0</v>
      </c>
      <c r="O3010">
        <v>-0.40213270000000001</v>
      </c>
      <c r="P3010">
        <v>0.95091689999999995</v>
      </c>
      <c r="Q3010">
        <v>0.16164200000000001</v>
      </c>
      <c r="R3010">
        <v>-0.26387290000000002</v>
      </c>
      <c r="S3010">
        <v>3.0609130000000002</v>
      </c>
      <c r="T3010">
        <v>-0.1616805</v>
      </c>
      <c r="U3010">
        <v>-0.4513855</v>
      </c>
      <c r="V3010">
        <v>-0.14332420000000001</v>
      </c>
      <c r="W3010">
        <v>0.17274870000000001</v>
      </c>
      <c r="X3010">
        <v>0.97448250000000003</v>
      </c>
      <c r="Y3010">
        <v>-0.26342379999999999</v>
      </c>
      <c r="Z3010">
        <v>2.741068E-2</v>
      </c>
      <c r="AA3010">
        <v>0.96429069999999995</v>
      </c>
      <c r="AB3010">
        <v>22</v>
      </c>
      <c r="AC3010">
        <v>20.9252</v>
      </c>
      <c r="AD3010">
        <v>-1.1161295289869999</v>
      </c>
      <c r="AE3010">
        <v>-3.03650000000001</v>
      </c>
      <c r="AF3010">
        <v>-5.6196978685872496</v>
      </c>
      <c r="AG3010">
        <v>-1.1161295289869999</v>
      </c>
      <c r="AH3010">
        <v>20.322947810184701</v>
      </c>
      <c r="AI3010">
        <v>93.030022156057498</v>
      </c>
      <c r="AJ3010">
        <v>105.457176651227</v>
      </c>
      <c r="AK3010">
        <v>21.1151357313936</v>
      </c>
      <c r="AL3010">
        <v>80.052327512514495</v>
      </c>
      <c r="AM3010">
        <v>98.366919170426002</v>
      </c>
      <c r="AN3010">
        <v>1.00000004123178</v>
      </c>
    </row>
    <row r="3011" spans="1:40" x14ac:dyDescent="0.25">
      <c r="A3011" t="str">
        <f>"20190312172948659"</f>
        <v>20190312172948659</v>
      </c>
      <c r="B3011" t="str">
        <f>"1552382988650384"</f>
        <v>1552382988650384</v>
      </c>
      <c r="C3011" t="s">
        <v>40</v>
      </c>
      <c r="D3011">
        <v>3.1155819999999999</v>
      </c>
      <c r="E3011">
        <v>0.45626270000000002</v>
      </c>
      <c r="F3011" t="s">
        <v>47</v>
      </c>
      <c r="G3011">
        <v>-454.56369999999998</v>
      </c>
      <c r="H3011" s="1">
        <v>9.7738259999999994E-7</v>
      </c>
      <c r="I3011">
        <v>212.6585</v>
      </c>
      <c r="J3011">
        <v>-476.26139999999998</v>
      </c>
      <c r="K3011">
        <v>1.116109</v>
      </c>
      <c r="L3011">
        <v>215.9203</v>
      </c>
      <c r="M3011">
        <v>0.91909969999999996</v>
      </c>
      <c r="N3011">
        <v>0</v>
      </c>
      <c r="O3011">
        <v>-0.39379720000000001</v>
      </c>
      <c r="P3011">
        <v>0.95316789999999996</v>
      </c>
      <c r="Q3011">
        <v>0.16102520000000001</v>
      </c>
      <c r="R3011">
        <v>-0.25601210000000002</v>
      </c>
      <c r="S3011">
        <v>3.0523989999999999</v>
      </c>
      <c r="T3011">
        <v>-0.1557299</v>
      </c>
      <c r="U3011">
        <v>-0.46449279999999998</v>
      </c>
      <c r="V3011">
        <v>-0.14253360000000001</v>
      </c>
      <c r="W3011">
        <v>0.17209289999999999</v>
      </c>
      <c r="X3011">
        <v>0.97471439999999998</v>
      </c>
      <c r="Y3011">
        <v>-0.2502817</v>
      </c>
      <c r="Z3011">
        <v>2.5742379999999999E-2</v>
      </c>
      <c r="AA3011">
        <v>0.96783079999999999</v>
      </c>
      <c r="AB3011">
        <v>22</v>
      </c>
      <c r="AC3011">
        <v>21.697700000000001</v>
      </c>
      <c r="AD3011">
        <v>-1.1161080226173901</v>
      </c>
      <c r="AE3011">
        <v>-3.2617999999999898</v>
      </c>
      <c r="AF3011">
        <v>-5.5327560099491597</v>
      </c>
      <c r="AG3011">
        <v>-1.1161080226173901</v>
      </c>
      <c r="AH3011">
        <v>21.173955173402799</v>
      </c>
      <c r="AI3011">
        <v>92.919501416324707</v>
      </c>
      <c r="AJ3011">
        <v>104.643966124356</v>
      </c>
      <c r="AK3011">
        <v>21.913317043958699</v>
      </c>
      <c r="AL3011">
        <v>80.090472741582005</v>
      </c>
      <c r="AM3011">
        <v>98.319461820774507</v>
      </c>
      <c r="AN3011">
        <v>0.999999977463364</v>
      </c>
    </row>
    <row r="3012" spans="1:40" x14ac:dyDescent="0.25">
      <c r="A3012" t="str">
        <f>"20190312172948681"</f>
        <v>20190312172948681</v>
      </c>
      <c r="B3012" t="str">
        <f>"1552382988670880"</f>
        <v>1552382988670880</v>
      </c>
      <c r="C3012" t="s">
        <v>40</v>
      </c>
      <c r="D3012">
        <v>3.1227200000000002</v>
      </c>
      <c r="E3012">
        <v>0.4421448</v>
      </c>
      <c r="F3012" t="s">
        <v>47</v>
      </c>
      <c r="G3012">
        <v>-454.45359999999999</v>
      </c>
      <c r="H3012" s="1">
        <v>9.1280720000000004E-7</v>
      </c>
      <c r="I3012">
        <v>212.79560000000001</v>
      </c>
      <c r="J3012">
        <v>-476.0609</v>
      </c>
      <c r="K3012">
        <v>1.1160760000000001</v>
      </c>
      <c r="L3012">
        <v>215.84700000000001</v>
      </c>
      <c r="M3012">
        <v>0.92307249999999996</v>
      </c>
      <c r="N3012">
        <v>0</v>
      </c>
      <c r="O3012">
        <v>-0.38439420000000002</v>
      </c>
      <c r="P3012">
        <v>0.95537169999999905</v>
      </c>
      <c r="Q3012">
        <v>0.16073419999999999</v>
      </c>
      <c r="R3012">
        <v>-0.24785109999999999</v>
      </c>
      <c r="S3012">
        <v>3.0562130000000001</v>
      </c>
      <c r="T3012">
        <v>-0.15641529999999901</v>
      </c>
      <c r="U3012">
        <v>-0.43789670000000003</v>
      </c>
      <c r="V3012">
        <v>-0.14091400000000001</v>
      </c>
      <c r="W3012">
        <v>0.17179749999999999</v>
      </c>
      <c r="X3012">
        <v>0.97500200000000004</v>
      </c>
      <c r="Y3012">
        <v>-0.2488274</v>
      </c>
      <c r="Z3012">
        <v>2.5370380000000001E-2</v>
      </c>
      <c r="AA3012">
        <v>0.96821550000000001</v>
      </c>
      <c r="AB3012">
        <v>22</v>
      </c>
      <c r="AC3012">
        <v>21.607299999999999</v>
      </c>
      <c r="AD3012">
        <v>-1.1160750871928</v>
      </c>
      <c r="AE3012">
        <v>-3.0514000000000001</v>
      </c>
      <c r="AF3012">
        <v>-5.4752244075426804</v>
      </c>
      <c r="AG3012">
        <v>-1.1160750871928</v>
      </c>
      <c r="AH3012">
        <v>21.064825344148598</v>
      </c>
      <c r="AI3012">
        <v>92.935498442486804</v>
      </c>
      <c r="AJ3012">
        <v>104.570062829531</v>
      </c>
      <c r="AK3012">
        <v>21.793360748005099</v>
      </c>
      <c r="AL3012">
        <v>80.107654208209894</v>
      </c>
      <c r="AM3012">
        <v>98.223836042018604</v>
      </c>
      <c r="AN3012">
        <v>1.0000000182031199</v>
      </c>
    </row>
    <row r="3013" spans="1:40" x14ac:dyDescent="0.25">
      <c r="A3013" t="str">
        <f>"20190312172948705"</f>
        <v>20190312172948705</v>
      </c>
      <c r="B3013" t="str">
        <f>"1552382988700160"</f>
        <v>1552382988700160</v>
      </c>
      <c r="C3013" t="s">
        <v>40</v>
      </c>
      <c r="D3013">
        <v>3.1832760000000002</v>
      </c>
      <c r="E3013">
        <v>0.44302920000000001</v>
      </c>
      <c r="F3013" t="s">
        <v>47</v>
      </c>
      <c r="G3013">
        <v>-456.87479999999999</v>
      </c>
      <c r="H3013" s="1">
        <v>2.149856E-6</v>
      </c>
      <c r="I3013">
        <v>213.9709</v>
      </c>
      <c r="J3013">
        <v>-475.8571</v>
      </c>
      <c r="K3013">
        <v>1.116058</v>
      </c>
      <c r="L3013">
        <v>215.7749</v>
      </c>
      <c r="M3013">
        <v>0.9270157</v>
      </c>
      <c r="N3013">
        <v>0</v>
      </c>
      <c r="O3013">
        <v>-0.37478719999999999</v>
      </c>
      <c r="P3013">
        <v>0.9575825</v>
      </c>
      <c r="Q3013">
        <v>0.1604496</v>
      </c>
      <c r="R3013">
        <v>-0.2393574</v>
      </c>
      <c r="S3013">
        <v>3.0919490000000001</v>
      </c>
      <c r="T3013">
        <v>-0.17986170000000001</v>
      </c>
      <c r="U3013">
        <v>-0.30235289999999998</v>
      </c>
      <c r="V3013">
        <v>-0.13945080000000001</v>
      </c>
      <c r="W3013">
        <v>0.17147519999999999</v>
      </c>
      <c r="X3013">
        <v>0.97526900000000005</v>
      </c>
      <c r="Y3013">
        <v>-0.28174739999999998</v>
      </c>
      <c r="Z3013">
        <v>2.9392350000000001E-2</v>
      </c>
      <c r="AA3013">
        <v>0.95903830000000001</v>
      </c>
      <c r="AB3013">
        <v>21</v>
      </c>
      <c r="AC3013">
        <v>18.982299999999999</v>
      </c>
      <c r="AD3013">
        <v>-1.1160558501440001</v>
      </c>
      <c r="AE3013">
        <v>-1.804</v>
      </c>
      <c r="AF3013">
        <v>-5.4238854574156603</v>
      </c>
      <c r="AG3013">
        <v>-1.1160558501440001</v>
      </c>
      <c r="AH3013">
        <v>18.2122260537923</v>
      </c>
      <c r="AI3013">
        <v>93.3611971137354</v>
      </c>
      <c r="AJ3013">
        <v>106.584353705376</v>
      </c>
      <c r="AK3013">
        <v>19.0354745659318</v>
      </c>
      <c r="AL3013">
        <v>80.126398081354196</v>
      </c>
      <c r="AM3013">
        <v>98.137394344361994</v>
      </c>
      <c r="AN3013">
        <v>0.99999994609833798</v>
      </c>
    </row>
    <row r="3014" spans="1:40" x14ac:dyDescent="0.25">
      <c r="A3014" t="str">
        <f>"20190312172948727"</f>
        <v>20190312172948727</v>
      </c>
      <c r="B3014" t="str">
        <f>"1552382988720656"</f>
        <v>1552382988720656</v>
      </c>
      <c r="C3014" t="s">
        <v>40</v>
      </c>
      <c r="D3014">
        <v>3.2084929999999998</v>
      </c>
      <c r="E3014">
        <v>0.44425229999999999</v>
      </c>
      <c r="F3014" t="s">
        <v>47</v>
      </c>
      <c r="G3014">
        <v>-455.7054</v>
      </c>
      <c r="H3014" s="1">
        <v>1.5286709999999999E-6</v>
      </c>
      <c r="I3014">
        <v>213.94579999999999</v>
      </c>
      <c r="J3014">
        <v>-475.65550000000002</v>
      </c>
      <c r="K3014">
        <v>1.116063</v>
      </c>
      <c r="L3014">
        <v>215.70609999999999</v>
      </c>
      <c r="M3014">
        <v>0.93078300000000003</v>
      </c>
      <c r="N3014">
        <v>0</v>
      </c>
      <c r="O3014">
        <v>-0.36533310000000002</v>
      </c>
      <c r="P3014">
        <v>0.95955780000000002</v>
      </c>
      <c r="Q3014">
        <v>0.16028489999999901</v>
      </c>
      <c r="R3014">
        <v>-0.23142560000000001</v>
      </c>
      <c r="S3014">
        <v>3.0914609999999998</v>
      </c>
      <c r="T3014">
        <v>-0.1712137</v>
      </c>
      <c r="U3014">
        <v>-0.2806091</v>
      </c>
      <c r="V3014">
        <v>-0.1376029</v>
      </c>
      <c r="W3014">
        <v>0.17126849999999999</v>
      </c>
      <c r="X3014">
        <v>0.97556779999999998</v>
      </c>
      <c r="Y3014">
        <v>-0.27877020000000002</v>
      </c>
      <c r="Z3014">
        <v>2.7431799999999999E-2</v>
      </c>
      <c r="AA3014">
        <v>0.95996599999999999</v>
      </c>
      <c r="AB3014">
        <v>21</v>
      </c>
      <c r="AC3014">
        <v>19.950099999999999</v>
      </c>
      <c r="AD3014">
        <v>-1.116061471329</v>
      </c>
      <c r="AE3014">
        <v>-1.7603</v>
      </c>
      <c r="AF3014">
        <v>-5.6329755860244299</v>
      </c>
      <c r="AG3014">
        <v>-1.116061471329</v>
      </c>
      <c r="AH3014">
        <v>19.154506051508498</v>
      </c>
      <c r="AI3014">
        <v>93.199458362081003</v>
      </c>
      <c r="AJ3014">
        <v>106.38760581883901</v>
      </c>
      <c r="AK3014">
        <v>19.996777471327899</v>
      </c>
      <c r="AL3014">
        <v>80.138419436332001</v>
      </c>
      <c r="AM3014">
        <v>98.028551930473498</v>
      </c>
      <c r="AN3014">
        <v>0.99999999478874901</v>
      </c>
    </row>
    <row r="3015" spans="1:40" x14ac:dyDescent="0.25">
      <c r="A3015" t="str">
        <f>"20190312172948749"</f>
        <v>20190312172948749</v>
      </c>
      <c r="B3015" t="str">
        <f>"1552382988740176"</f>
        <v>1552382988740176</v>
      </c>
      <c r="C3015" t="s">
        <v>40</v>
      </c>
      <c r="D3015">
        <v>3.1849720000000001</v>
      </c>
      <c r="E3015">
        <v>0.4449264</v>
      </c>
      <c r="F3015" t="s">
        <v>47</v>
      </c>
      <c r="G3015">
        <v>-455.17779999999999</v>
      </c>
      <c r="H3015" s="1">
        <v>1.2472910000000001E-6</v>
      </c>
      <c r="I3015">
        <v>213.95920000000001</v>
      </c>
      <c r="J3015">
        <v>-475.45850000000002</v>
      </c>
      <c r="K3015">
        <v>1.1160840000000001</v>
      </c>
      <c r="L3015">
        <v>215.64099999999999</v>
      </c>
      <c r="M3015">
        <v>0.93433900000000003</v>
      </c>
      <c r="N3015">
        <v>0</v>
      </c>
      <c r="O3015">
        <v>-0.35614190000000001</v>
      </c>
      <c r="P3015">
        <v>0.96152820000000006</v>
      </c>
      <c r="Q3015">
        <v>0.15995379999999901</v>
      </c>
      <c r="R3015">
        <v>-0.22333449999999999</v>
      </c>
      <c r="S3015">
        <v>3.0910030000000002</v>
      </c>
      <c r="T3015">
        <v>-0.1684639</v>
      </c>
      <c r="U3015">
        <v>-0.26368709999999901</v>
      </c>
      <c r="V3015">
        <v>-0.1362247</v>
      </c>
      <c r="W3015">
        <v>0.17090439999999901</v>
      </c>
      <c r="X3015">
        <v>0.97582500000000005</v>
      </c>
      <c r="Y3015">
        <v>-0.27455429999999997</v>
      </c>
      <c r="Z3015">
        <v>2.6424019999999999E-2</v>
      </c>
      <c r="AA3015">
        <v>0.96120850000000002</v>
      </c>
      <c r="AB3015">
        <v>21</v>
      </c>
      <c r="AC3015">
        <v>20.2807</v>
      </c>
      <c r="AD3015">
        <v>-1.116082752709</v>
      </c>
      <c r="AE3015">
        <v>-1.68179999999998</v>
      </c>
      <c r="AF3015">
        <v>-5.6349773044782703</v>
      </c>
      <c r="AG3015">
        <v>-1.116082752709</v>
      </c>
      <c r="AH3015">
        <v>19.4910797067588</v>
      </c>
      <c r="AI3015">
        <v>93.148580298347795</v>
      </c>
      <c r="AJ3015">
        <v>106.124869663133</v>
      </c>
      <c r="AK3015">
        <v>20.319960582346202</v>
      </c>
      <c r="AL3015">
        <v>80.1595926343945</v>
      </c>
      <c r="AM3015">
        <v>97.947104344267501</v>
      </c>
      <c r="AN3015">
        <v>0.99999995672722397</v>
      </c>
    </row>
    <row r="3016" spans="1:40" x14ac:dyDescent="0.25">
      <c r="A3016" t="str">
        <f>"20190312172948773"</f>
        <v>20190312172948773</v>
      </c>
      <c r="B3016" t="str">
        <f>"1552382988760672"</f>
        <v>1552382988760672</v>
      </c>
      <c r="C3016" t="s">
        <v>40</v>
      </c>
      <c r="D3016">
        <v>3.206934</v>
      </c>
      <c r="E3016">
        <v>0.44564369999999998</v>
      </c>
      <c r="F3016" t="s">
        <v>47</v>
      </c>
      <c r="G3016">
        <v>-455.40280000000001</v>
      </c>
      <c r="H3016" s="1">
        <v>1.3622149999999901E-6</v>
      </c>
      <c r="I3016">
        <v>214.0692</v>
      </c>
      <c r="J3016">
        <v>-475.24310000000003</v>
      </c>
      <c r="K3016">
        <v>1.1160969999999999</v>
      </c>
      <c r="L3016">
        <v>215.57230000000001</v>
      </c>
      <c r="M3016">
        <v>0.93810830000000001</v>
      </c>
      <c r="N3016">
        <v>0</v>
      </c>
      <c r="O3016">
        <v>-0.34609329999999999</v>
      </c>
      <c r="P3016">
        <v>0.96370330000000004</v>
      </c>
      <c r="Q3016">
        <v>0.15899750000000001</v>
      </c>
      <c r="R3016">
        <v>-0.21446680000000001</v>
      </c>
      <c r="S3016">
        <v>3.0923769999999999</v>
      </c>
      <c r="T3016">
        <v>-0.17208789999999999</v>
      </c>
      <c r="U3016">
        <v>-0.2423553</v>
      </c>
      <c r="V3016">
        <v>-0.1347843</v>
      </c>
      <c r="W3016">
        <v>0.16992850000000001</v>
      </c>
      <c r="X3016">
        <v>0.97619540000000005</v>
      </c>
      <c r="Y3016">
        <v>-0.27083679999999999</v>
      </c>
      <c r="Z3016">
        <v>2.636459E-2</v>
      </c>
      <c r="AA3016">
        <v>0.96226420000000001</v>
      </c>
      <c r="AB3016">
        <v>21</v>
      </c>
      <c r="AC3016">
        <v>19.840299999999999</v>
      </c>
      <c r="AD3016">
        <v>-1.116095637785</v>
      </c>
      <c r="AE3016">
        <v>-1.5031000000000101</v>
      </c>
      <c r="AF3016">
        <v>-5.4398780015869699</v>
      </c>
      <c r="AG3016">
        <v>-1.116095637785</v>
      </c>
      <c r="AH3016">
        <v>19.0741949045334</v>
      </c>
      <c r="AI3016">
        <v>93.220621159704706</v>
      </c>
      <c r="AJ3016">
        <v>105.917920823047</v>
      </c>
      <c r="AK3016">
        <v>19.866123260489498</v>
      </c>
      <c r="AL3016">
        <v>80.216337887268693</v>
      </c>
      <c r="AM3016">
        <v>97.861184300856806</v>
      </c>
      <c r="AN3016">
        <v>0.99999998080994901</v>
      </c>
    </row>
    <row r="3017" spans="1:40" x14ac:dyDescent="0.25">
      <c r="A3017" t="str">
        <f>"20190312172948794"</f>
        <v>20190312172948794</v>
      </c>
      <c r="B3017" t="str">
        <f>"1552382988789952"</f>
        <v>1552382988789952</v>
      </c>
      <c r="C3017" t="s">
        <v>40</v>
      </c>
      <c r="D3017">
        <v>3.1574659999999999</v>
      </c>
      <c r="E3017">
        <v>0.44675169999999997</v>
      </c>
      <c r="F3017" t="s">
        <v>47</v>
      </c>
      <c r="G3017">
        <v>-455.86709999999999</v>
      </c>
      <c r="H3017" s="1">
        <v>1.603479E-6</v>
      </c>
      <c r="I3017">
        <v>214.2021</v>
      </c>
      <c r="J3017">
        <v>-475.04579999999999</v>
      </c>
      <c r="K3017">
        <v>1.1161000000000001</v>
      </c>
      <c r="L3017">
        <v>215.51159999999999</v>
      </c>
      <c r="M3017">
        <v>0.94146350000000001</v>
      </c>
      <c r="N3017">
        <v>0</v>
      </c>
      <c r="O3017">
        <v>-0.33686050000000001</v>
      </c>
      <c r="P3017">
        <v>0.96548219999999996</v>
      </c>
      <c r="Q3017">
        <v>0.158776799999999</v>
      </c>
      <c r="R3017">
        <v>-0.20648150000000001</v>
      </c>
      <c r="S3017">
        <v>3.093658</v>
      </c>
      <c r="T3017">
        <v>-0.17820039999999901</v>
      </c>
      <c r="U3017">
        <v>-0.21878049999999999</v>
      </c>
      <c r="V3017">
        <v>-0.1332817</v>
      </c>
      <c r="W3017">
        <v>0.16970109999999999</v>
      </c>
      <c r="X3017">
        <v>0.97644129999999996</v>
      </c>
      <c r="Y3017">
        <v>-0.26865480000000003</v>
      </c>
      <c r="Z3017">
        <v>2.6737830000000001E-2</v>
      </c>
      <c r="AA3017">
        <v>0.96286539999999998</v>
      </c>
      <c r="AB3017">
        <v>21</v>
      </c>
      <c r="AC3017">
        <v>19.1786999999999</v>
      </c>
      <c r="AD3017">
        <v>-1.1160983965210001</v>
      </c>
      <c r="AE3017">
        <v>-1.3094999999999799</v>
      </c>
      <c r="AF3017">
        <v>-5.2105839139590202</v>
      </c>
      <c r="AG3017">
        <v>-1.1160983965210001</v>
      </c>
      <c r="AH3017">
        <v>18.436602960961501</v>
      </c>
      <c r="AI3017">
        <v>93.334010035527697</v>
      </c>
      <c r="AJ3017">
        <v>105.781442841695</v>
      </c>
      <c r="AK3017">
        <v>19.191252931876601</v>
      </c>
      <c r="AL3017">
        <v>80.2295595906334</v>
      </c>
      <c r="AM3017">
        <v>97.772690137769899</v>
      </c>
      <c r="AN3017">
        <v>1.00000004362089</v>
      </c>
    </row>
    <row r="3018" spans="1:40" x14ac:dyDescent="0.25">
      <c r="A3018" t="str">
        <f>"20190312172948816"</f>
        <v>20190312172948816</v>
      </c>
      <c r="B3018" t="str">
        <f>"1552382988810448"</f>
        <v>1552382988810448</v>
      </c>
      <c r="C3018" t="s">
        <v>40</v>
      </c>
      <c r="D3018">
        <v>3.1942949999999999</v>
      </c>
      <c r="E3018">
        <v>0.44738790000000001</v>
      </c>
      <c r="F3018" t="s">
        <v>47</v>
      </c>
      <c r="G3018">
        <v>-455.74669999999998</v>
      </c>
      <c r="H3018" s="1">
        <v>1.536966E-6</v>
      </c>
      <c r="I3018">
        <v>214.25829999999999</v>
      </c>
      <c r="J3018">
        <v>-474.85430000000002</v>
      </c>
      <c r="K3018">
        <v>1.1160950000000001</v>
      </c>
      <c r="L3018">
        <v>215.4547</v>
      </c>
      <c r="M3018">
        <v>0.9446291</v>
      </c>
      <c r="N3018">
        <v>0</v>
      </c>
      <c r="O3018">
        <v>-0.3278797</v>
      </c>
      <c r="P3018">
        <v>0.96713419999999894</v>
      </c>
      <c r="Q3018">
        <v>0.1582721</v>
      </c>
      <c r="R3018">
        <v>-0.19900109999999999</v>
      </c>
      <c r="S3018">
        <v>3.0937190000000001</v>
      </c>
      <c r="T3018">
        <v>-0.17891499999999999</v>
      </c>
      <c r="U3018">
        <v>-0.20091249999999999</v>
      </c>
      <c r="V3018">
        <v>-0.13155529999999999</v>
      </c>
      <c r="W3018">
        <v>0.16920099999999999</v>
      </c>
      <c r="X3018">
        <v>0.97676209999999997</v>
      </c>
      <c r="Y3018">
        <v>-0.26503009999999999</v>
      </c>
      <c r="Z3018">
        <v>2.6257619999999999E-2</v>
      </c>
      <c r="AA3018">
        <v>0.96388260000000003</v>
      </c>
      <c r="AB3018">
        <v>21</v>
      </c>
      <c r="AC3018">
        <v>19.107600000000001</v>
      </c>
      <c r="AD3018">
        <v>-1.116093463034</v>
      </c>
      <c r="AE3018">
        <v>-1.1964000000000099</v>
      </c>
      <c r="AF3018">
        <v>-5.1178851610926097</v>
      </c>
      <c r="AG3018">
        <v>-1.116093463034</v>
      </c>
      <c r="AH3018">
        <v>18.380977011440201</v>
      </c>
      <c r="AI3018">
        <v>93.347697813954596</v>
      </c>
      <c r="AJ3018">
        <v>105.55899955906401</v>
      </c>
      <c r="AK3018">
        <v>19.112789671721199</v>
      </c>
      <c r="AL3018">
        <v>80.258633110355504</v>
      </c>
      <c r="AM3018">
        <v>97.670727463388502</v>
      </c>
      <c r="AN3018">
        <v>0.999999987677749</v>
      </c>
    </row>
    <row r="3019" spans="1:40" x14ac:dyDescent="0.25">
      <c r="A3019" t="str">
        <f>"20190312172948838"</f>
        <v>20190312172948838</v>
      </c>
      <c r="B3019" t="str">
        <f>"1552382988830944"</f>
        <v>1552382988830944</v>
      </c>
      <c r="C3019" t="s">
        <v>40</v>
      </c>
      <c r="D3019">
        <v>3.1591800000000001</v>
      </c>
      <c r="E3019">
        <v>0.4548835</v>
      </c>
      <c r="F3019" t="s">
        <v>47</v>
      </c>
      <c r="G3019">
        <v>-455.96230000000003</v>
      </c>
      <c r="H3019" s="1">
        <v>1.647827E-6</v>
      </c>
      <c r="I3019">
        <v>214.34719999999999</v>
      </c>
      <c r="J3019">
        <v>-474.65589999999997</v>
      </c>
      <c r="K3019">
        <v>1.116088</v>
      </c>
      <c r="L3019">
        <v>215.39789999999999</v>
      </c>
      <c r="M3019">
        <v>0.94781130000000002</v>
      </c>
      <c r="N3019">
        <v>0</v>
      </c>
      <c r="O3019">
        <v>-0.31856440000000003</v>
      </c>
      <c r="P3019">
        <v>0.96871240000000003</v>
      </c>
      <c r="Q3019">
        <v>0.15783939999999999</v>
      </c>
      <c r="R3019">
        <v>-0.1915278</v>
      </c>
      <c r="S3019">
        <v>3.0946039999999999</v>
      </c>
      <c r="T3019">
        <v>-0.18282190000000001</v>
      </c>
      <c r="U3019">
        <v>-0.18141170000000001</v>
      </c>
      <c r="V3019">
        <v>-0.1294891</v>
      </c>
      <c r="W3019">
        <v>0.16878180000000001</v>
      </c>
      <c r="X3019">
        <v>0.9771107</v>
      </c>
      <c r="Y3019">
        <v>-0.26158490000000001</v>
      </c>
      <c r="Z3019">
        <v>2.6207660000000001E-2</v>
      </c>
      <c r="AA3019">
        <v>0.96482460000000003</v>
      </c>
      <c r="AB3019">
        <v>21</v>
      </c>
      <c r="AC3019">
        <v>18.693599999999901</v>
      </c>
      <c r="AD3019">
        <v>-1.116086352173</v>
      </c>
      <c r="AE3019">
        <v>-1.0507</v>
      </c>
      <c r="AF3019">
        <v>-4.9421117438853202</v>
      </c>
      <c r="AG3019">
        <v>-1.116086352173</v>
      </c>
      <c r="AH3019">
        <v>17.9903335591958</v>
      </c>
      <c r="AI3019">
        <v>93.423464049483698</v>
      </c>
      <c r="AJ3019">
        <v>105.360764679075</v>
      </c>
      <c r="AK3019">
        <v>18.690163691249001</v>
      </c>
      <c r="AL3019">
        <v>80.283002318617903</v>
      </c>
      <c r="AM3019">
        <v>97.548989643697794</v>
      </c>
      <c r="AN3019">
        <v>1.00000002154226</v>
      </c>
    </row>
    <row r="3020" spans="1:40" x14ac:dyDescent="0.25">
      <c r="A3020" t="str">
        <f>"20190312172948861"</f>
        <v>20190312172948861</v>
      </c>
      <c r="B3020" t="str">
        <f>"1552382988850464"</f>
        <v>1552382988850464</v>
      </c>
      <c r="C3020" t="s">
        <v>40</v>
      </c>
      <c r="D3020">
        <v>3.17014</v>
      </c>
      <c r="E3020">
        <v>0.45582149999999999</v>
      </c>
      <c r="F3020" t="s">
        <v>47</v>
      </c>
      <c r="G3020">
        <v>-455.6755</v>
      </c>
      <c r="H3020" s="1">
        <v>1.5072270000000001E-6</v>
      </c>
      <c r="I3020">
        <v>214.07169999999999</v>
      </c>
      <c r="J3020">
        <v>-474.4486</v>
      </c>
      <c r="K3020">
        <v>1.116077</v>
      </c>
      <c r="L3020">
        <v>215.34059999999999</v>
      </c>
      <c r="M3020">
        <v>0.95102989999999998</v>
      </c>
      <c r="N3020">
        <v>0</v>
      </c>
      <c r="O3020">
        <v>-0.3088244</v>
      </c>
      <c r="P3020">
        <v>0.9702421</v>
      </c>
      <c r="Q3020">
        <v>0.1577007</v>
      </c>
      <c r="R3020">
        <v>-0.18374180000000001</v>
      </c>
      <c r="S3020">
        <v>3.0838320000000001</v>
      </c>
      <c r="T3020">
        <v>-0.181335</v>
      </c>
      <c r="U3020">
        <v>-0.21546940000000001</v>
      </c>
      <c r="V3020">
        <v>-0.12730859999999999</v>
      </c>
      <c r="W3020">
        <v>0.16866059999999999</v>
      </c>
      <c r="X3020">
        <v>0.97741809999999996</v>
      </c>
      <c r="Y3020">
        <v>-0.24087980000000001</v>
      </c>
      <c r="Z3020">
        <v>2.4914929999999998E-2</v>
      </c>
      <c r="AA3020">
        <v>0.97023510000000002</v>
      </c>
      <c r="AB3020">
        <v>21</v>
      </c>
      <c r="AC3020">
        <v>18.773099999999999</v>
      </c>
      <c r="AD3020">
        <v>-1.1160754927730001</v>
      </c>
      <c r="AE3020">
        <v>-1.2688999999999999</v>
      </c>
      <c r="AF3020">
        <v>-4.57512214766935</v>
      </c>
      <c r="AG3020">
        <v>-1.1160754927730001</v>
      </c>
      <c r="AH3020">
        <v>18.183219881531599</v>
      </c>
      <c r="AI3020">
        <v>93.406462278800205</v>
      </c>
      <c r="AJ3020">
        <v>104.123155518478</v>
      </c>
      <c r="AK3020">
        <v>18.783153420866</v>
      </c>
      <c r="AL3020">
        <v>80.290047454981902</v>
      </c>
      <c r="AM3020">
        <v>97.420991373408299</v>
      </c>
      <c r="AN3020">
        <v>1.0000000099169599</v>
      </c>
    </row>
    <row r="3021" spans="1:40" x14ac:dyDescent="0.25">
      <c r="A3021" t="str">
        <f>"20190312172948883"</f>
        <v>20190312172948883</v>
      </c>
      <c r="B3021" t="str">
        <f>"1552382988870963"</f>
        <v>1552382988870963</v>
      </c>
      <c r="C3021" t="s">
        <v>40</v>
      </c>
      <c r="D3021">
        <v>3.1835330000000002</v>
      </c>
      <c r="E3021">
        <v>0.45641860000000001</v>
      </c>
      <c r="F3021" t="s">
        <v>47</v>
      </c>
      <c r="G3021">
        <v>-455.39940000000001</v>
      </c>
      <c r="H3021" s="1">
        <v>1.3582219999999999E-6</v>
      </c>
      <c r="I3021">
        <v>214.11930000000001</v>
      </c>
      <c r="J3021">
        <v>-474.24740000000003</v>
      </c>
      <c r="K3021">
        <v>1.1160650000000001</v>
      </c>
      <c r="L3021">
        <v>215.28720000000001</v>
      </c>
      <c r="M3021">
        <v>0.95404820000000001</v>
      </c>
      <c r="N3021">
        <v>0</v>
      </c>
      <c r="O3021">
        <v>-0.299371</v>
      </c>
      <c r="P3021">
        <v>0.97164620000000002</v>
      </c>
      <c r="Q3021">
        <v>0.15720599999999901</v>
      </c>
      <c r="R3021">
        <v>-0.1766075</v>
      </c>
      <c r="S3021">
        <v>3.0839539999999999</v>
      </c>
      <c r="T3021">
        <v>-0.18068590000000001</v>
      </c>
      <c r="U3021">
        <v>-0.19772339999999999</v>
      </c>
      <c r="V3021">
        <v>-0.1247982</v>
      </c>
      <c r="W3021">
        <v>0.16819239999999999</v>
      </c>
      <c r="X3021">
        <v>0.97782239999999998</v>
      </c>
      <c r="Y3021">
        <v>-0.23683609999999999</v>
      </c>
      <c r="Z3021">
        <v>2.4185979999999999E-2</v>
      </c>
      <c r="AA3021">
        <v>0.97124849999999996</v>
      </c>
      <c r="AB3021">
        <v>21</v>
      </c>
      <c r="AC3021">
        <v>18.847999999999999</v>
      </c>
      <c r="AD3021">
        <v>-1.1160636417780001</v>
      </c>
      <c r="AE3021">
        <v>-1.1678999999999999</v>
      </c>
      <c r="AF3021">
        <v>-4.5129313824182802</v>
      </c>
      <c r="AG3021">
        <v>-1.1160636417780001</v>
      </c>
      <c r="AH3021">
        <v>18.269273118449401</v>
      </c>
      <c r="AI3021">
        <v>93.394064187958804</v>
      </c>
      <c r="AJ3021">
        <v>103.875597480232</v>
      </c>
      <c r="AK3021">
        <v>18.851485034113701</v>
      </c>
      <c r="AL3021">
        <v>80.317261634240694</v>
      </c>
      <c r="AM3021">
        <v>97.273264240600099</v>
      </c>
      <c r="AN3021">
        <v>0.99999996004137903</v>
      </c>
    </row>
    <row r="3022" spans="1:40" x14ac:dyDescent="0.25">
      <c r="A3022" t="str">
        <f>"20190312172948906"</f>
        <v>20190312172948906</v>
      </c>
      <c r="B3022" t="str">
        <f>"1552382988900240"</f>
        <v>1552382988900240</v>
      </c>
      <c r="C3022" t="s">
        <v>40</v>
      </c>
      <c r="D3022">
        <v>3.194267</v>
      </c>
      <c r="E3022">
        <v>0.45760000000000001</v>
      </c>
      <c r="F3022" t="s">
        <v>47</v>
      </c>
      <c r="G3022">
        <v>-455.4393</v>
      </c>
      <c r="H3022" s="1">
        <v>1.37612E-6</v>
      </c>
      <c r="I3022">
        <v>214.19550000000001</v>
      </c>
      <c r="J3022">
        <v>-474.04270000000002</v>
      </c>
      <c r="K3022">
        <v>1.1160300000000001</v>
      </c>
      <c r="L3022">
        <v>215.23519999999999</v>
      </c>
      <c r="M3022">
        <v>0.95698220000000001</v>
      </c>
      <c r="N3022">
        <v>0</v>
      </c>
      <c r="O3022">
        <v>-0.2898502</v>
      </c>
      <c r="P3022">
        <v>0.97302569999999999</v>
      </c>
      <c r="Q3022">
        <v>0.1562952</v>
      </c>
      <c r="R3022">
        <v>-0.1696849</v>
      </c>
      <c r="S3022">
        <v>3.0845950000000002</v>
      </c>
      <c r="T3022">
        <v>-0.1830378</v>
      </c>
      <c r="U3022">
        <v>-0.1790466</v>
      </c>
      <c r="V3022">
        <v>-0.1220178</v>
      </c>
      <c r="W3022">
        <v>0.1674417</v>
      </c>
      <c r="X3022">
        <v>0.97830209999999995</v>
      </c>
      <c r="Y3022">
        <v>-0.23302639999999999</v>
      </c>
      <c r="Z3022">
        <v>2.384901E-2</v>
      </c>
      <c r="AA3022">
        <v>0.97217790000000004</v>
      </c>
      <c r="AB3022">
        <v>21</v>
      </c>
      <c r="AC3022">
        <v>18.603400000000001</v>
      </c>
      <c r="AD3022">
        <v>-1.1160286238799999</v>
      </c>
      <c r="AE3022">
        <v>-1.0396999999999801</v>
      </c>
      <c r="AF3022">
        <v>-4.3818821578712202</v>
      </c>
      <c r="AG3022">
        <v>-1.1160286238799999</v>
      </c>
      <c r="AH3022">
        <v>18.041310326671098</v>
      </c>
      <c r="AI3022">
        <v>93.440024103900498</v>
      </c>
      <c r="AJ3022">
        <v>103.65168191490299</v>
      </c>
      <c r="AK3022">
        <v>18.599335725719801</v>
      </c>
      <c r="AL3022">
        <v>80.360893049161604</v>
      </c>
      <c r="AM3022">
        <v>97.109448290762401</v>
      </c>
      <c r="AN3022">
        <v>1.00000003264006</v>
      </c>
    </row>
    <row r="3023" spans="1:40" x14ac:dyDescent="0.25">
      <c r="A3023" t="str">
        <f>"20190312172948928"</f>
        <v>20190312172948928</v>
      </c>
      <c r="B3023" t="str">
        <f>"1552382988920736"</f>
        <v>1552382988920736</v>
      </c>
      <c r="C3023" t="s">
        <v>40</v>
      </c>
      <c r="D3023">
        <v>3.2093310000000002</v>
      </c>
      <c r="E3023">
        <v>0.45787640000000002</v>
      </c>
      <c r="F3023" t="s">
        <v>47</v>
      </c>
      <c r="G3023">
        <v>-455.27249999999998</v>
      </c>
      <c r="H3023" s="1">
        <v>1.2861099999999999E-6</v>
      </c>
      <c r="I3023">
        <v>214.2242</v>
      </c>
      <c r="J3023">
        <v>-473.8433</v>
      </c>
      <c r="K3023">
        <v>1.1158079999999999</v>
      </c>
      <c r="L3023">
        <v>215.18620000000001</v>
      </c>
      <c r="M3023">
        <v>0.95943069999999997</v>
      </c>
      <c r="N3023">
        <v>0</v>
      </c>
      <c r="O3023">
        <v>-0.28158420000000001</v>
      </c>
      <c r="P3023">
        <v>0.97424529999999998</v>
      </c>
      <c r="Q3023">
        <v>0.15469829999999901</v>
      </c>
      <c r="R3023">
        <v>-0.16405790000000001</v>
      </c>
      <c r="S3023">
        <v>3.0836790000000001</v>
      </c>
      <c r="T3023">
        <v>-0.18334810000000001</v>
      </c>
      <c r="U3023">
        <v>-0.16610720000000001</v>
      </c>
      <c r="V3023">
        <v>-0.1190799</v>
      </c>
      <c r="W3023">
        <v>0.1671648</v>
      </c>
      <c r="X3023">
        <v>0.97871140000000001</v>
      </c>
      <c r="Y3023">
        <v>-0.22870850000000001</v>
      </c>
      <c r="Z3023">
        <v>2.3301180000000001E-2</v>
      </c>
      <c r="AA3023">
        <v>0.97321610000000003</v>
      </c>
      <c r="AB3023">
        <v>21</v>
      </c>
      <c r="AC3023">
        <v>18.570799999999998</v>
      </c>
      <c r="AD3023">
        <v>-1.1158067138900001</v>
      </c>
      <c r="AE3023">
        <v>-0.96200000000001695</v>
      </c>
      <c r="AF3023">
        <v>-4.2912585094689701</v>
      </c>
      <c r="AG3023">
        <v>-1.1158067138900001</v>
      </c>
      <c r="AH3023">
        <v>18.0252182055434</v>
      </c>
      <c r="AI3023">
        <v>93.446162524576707</v>
      </c>
      <c r="AJ3023">
        <v>103.391113678214</v>
      </c>
      <c r="AK3023">
        <v>18.5625541231616</v>
      </c>
      <c r="AL3023">
        <v>80.376985215306505</v>
      </c>
      <c r="AM3023">
        <v>96.937085202476098</v>
      </c>
      <c r="AN3023">
        <v>1.0000000487164999</v>
      </c>
    </row>
    <row r="3024" spans="1:40" x14ac:dyDescent="0.25">
      <c r="A3024" t="str">
        <f>"20190312172948950"</f>
        <v>20190312172948950</v>
      </c>
      <c r="B3024" t="str">
        <f>"1552382988940256"</f>
        <v>1552382988940256</v>
      </c>
      <c r="C3024" t="s">
        <v>40</v>
      </c>
      <c r="D3024">
        <v>3.218159</v>
      </c>
      <c r="E3024">
        <v>0.46438699999999999</v>
      </c>
      <c r="F3024" t="s">
        <v>47</v>
      </c>
      <c r="G3024">
        <v>-455.29660000000001</v>
      </c>
      <c r="H3024" s="1">
        <v>1.29647699999999E-6</v>
      </c>
      <c r="I3024">
        <v>214.28100000000001</v>
      </c>
      <c r="J3024">
        <v>-473.65339999999998</v>
      </c>
      <c r="K3024">
        <v>1.115499</v>
      </c>
      <c r="L3024">
        <v>215.1405</v>
      </c>
      <c r="M3024">
        <v>0.96151260000000005</v>
      </c>
      <c r="N3024">
        <v>0</v>
      </c>
      <c r="O3024">
        <v>-0.27430559999999998</v>
      </c>
      <c r="P3024">
        <v>0.97537759999999996</v>
      </c>
      <c r="Q3024">
        <v>0.15269779999999999</v>
      </c>
      <c r="R3024">
        <v>-0.1591291</v>
      </c>
      <c r="S3024">
        <v>3.0833740000000001</v>
      </c>
      <c r="T3024">
        <v>-0.18550220000000001</v>
      </c>
      <c r="U3024">
        <v>-0.15048220000000001</v>
      </c>
      <c r="V3024">
        <v>-0.1164154</v>
      </c>
      <c r="W3024">
        <v>0.16691800000000001</v>
      </c>
      <c r="X3024">
        <v>0.97907390000000005</v>
      </c>
      <c r="Y3024">
        <v>-0.22624730000000001</v>
      </c>
      <c r="Z3024">
        <v>2.3087E-2</v>
      </c>
      <c r="AA3024">
        <v>0.9737962</v>
      </c>
      <c r="AB3024">
        <v>21</v>
      </c>
      <c r="AC3024">
        <v>18.3567999999999</v>
      </c>
      <c r="AD3024">
        <v>-1.115497703523</v>
      </c>
      <c r="AE3024">
        <v>-0.85950000000002502</v>
      </c>
      <c r="AF3024">
        <v>-4.1940257089983701</v>
      </c>
      <c r="AG3024">
        <v>-1.115497703523</v>
      </c>
      <c r="AH3024">
        <v>17.8226264063325</v>
      </c>
      <c r="AI3024">
        <v>93.486419143746701</v>
      </c>
      <c r="AJ3024">
        <v>103.241941094387</v>
      </c>
      <c r="AK3024">
        <v>18.343396599158101</v>
      </c>
      <c r="AL3024">
        <v>80.391326197623201</v>
      </c>
      <c r="AM3024">
        <v>96.780837408291504</v>
      </c>
      <c r="AN3024">
        <v>0.99999993287118205</v>
      </c>
    </row>
    <row r="3025" spans="1:40" x14ac:dyDescent="0.25">
      <c r="A3025" t="str">
        <f>"20190312172948974"</f>
        <v>20190312172948974</v>
      </c>
      <c r="B3025" t="str">
        <f>"1552382988970512"</f>
        <v>1552382988970512</v>
      </c>
      <c r="C3025" t="s">
        <v>40</v>
      </c>
      <c r="D3025">
        <v>3.2968419999999998</v>
      </c>
      <c r="E3025">
        <v>0.46566289999999999</v>
      </c>
      <c r="F3025" t="s">
        <v>47</v>
      </c>
      <c r="G3025">
        <v>-453.51740000000001</v>
      </c>
      <c r="H3025" s="1">
        <v>3.6566909999999998E-7</v>
      </c>
      <c r="I3025">
        <v>213.91480000000001</v>
      </c>
      <c r="J3025">
        <v>-473.44</v>
      </c>
      <c r="K3025">
        <v>1.115273</v>
      </c>
      <c r="L3025">
        <v>215.09010000000001</v>
      </c>
      <c r="M3025">
        <v>0.96361180000000002</v>
      </c>
      <c r="N3025">
        <v>0</v>
      </c>
      <c r="O3025">
        <v>-0.2667139</v>
      </c>
      <c r="P3025">
        <v>0.97641369999999905</v>
      </c>
      <c r="Q3025">
        <v>0.15089140000000001</v>
      </c>
      <c r="R3025">
        <v>-0.15442919999999999</v>
      </c>
      <c r="S3025">
        <v>3.0718380000000001</v>
      </c>
      <c r="T3025">
        <v>-0.17017409999999999</v>
      </c>
      <c r="U3025">
        <v>-0.18698119999999999</v>
      </c>
      <c r="V3025">
        <v>-0.1132312</v>
      </c>
      <c r="W3025">
        <v>0.16725880000000001</v>
      </c>
      <c r="X3025">
        <v>0.97938919999999996</v>
      </c>
      <c r="Y3025">
        <v>-0.2069945</v>
      </c>
      <c r="Z3025">
        <v>2.0310749999999999E-2</v>
      </c>
      <c r="AA3025">
        <v>0.97813119999999998</v>
      </c>
      <c r="AB3025">
        <v>21</v>
      </c>
      <c r="AC3025">
        <v>19.9225999999999</v>
      </c>
      <c r="AD3025">
        <v>-1.1152726343308901</v>
      </c>
      <c r="AE3025">
        <v>-1.17529999999999</v>
      </c>
      <c r="AF3025">
        <v>-4.1687434904997103</v>
      </c>
      <c r="AG3025">
        <v>-1.1152726343308901</v>
      </c>
      <c r="AH3025">
        <v>19.453453094822802</v>
      </c>
      <c r="AI3025">
        <v>93.208507897080295</v>
      </c>
      <c r="AJ3025">
        <v>102.09516933098</v>
      </c>
      <c r="AK3025">
        <v>19.926341677562</v>
      </c>
      <c r="AL3025">
        <v>80.371522106538094</v>
      </c>
      <c r="AM3025">
        <v>96.594920009403097</v>
      </c>
      <c r="AN3025">
        <v>1.0000000079537501</v>
      </c>
    </row>
    <row r="3026" spans="1:40" x14ac:dyDescent="0.25">
      <c r="A3026" t="str">
        <f>"20190312172948998"</f>
        <v>20190312172948998</v>
      </c>
      <c r="B3026" t="str">
        <f>"1552382988991008"</f>
        <v>1552382988991008</v>
      </c>
      <c r="C3026" t="s">
        <v>40</v>
      </c>
      <c r="D3026">
        <v>3.2829030000000001</v>
      </c>
      <c r="E3026">
        <v>0.47081149999999999</v>
      </c>
      <c r="F3026" t="s">
        <v>47</v>
      </c>
      <c r="G3026">
        <v>-454.2713</v>
      </c>
      <c r="H3026" s="1">
        <v>7.6526379999999998E-7</v>
      </c>
      <c r="I3026">
        <v>213.95089999999999</v>
      </c>
      <c r="J3026">
        <v>-473.23250000000002</v>
      </c>
      <c r="K3026">
        <v>1.1153299999999999</v>
      </c>
      <c r="L3026">
        <v>215.04259999999999</v>
      </c>
      <c r="M3026">
        <v>0.96566399999999997</v>
      </c>
      <c r="N3026">
        <v>0</v>
      </c>
      <c r="O3026">
        <v>-0.25905450000000002</v>
      </c>
      <c r="P3026">
        <v>0.97742609999999996</v>
      </c>
      <c r="Q3026">
        <v>0.14910300000000001</v>
      </c>
      <c r="R3026">
        <v>-0.1496886</v>
      </c>
      <c r="S3026">
        <v>3.0712280000000001</v>
      </c>
      <c r="T3026">
        <v>-0.17869019999999999</v>
      </c>
      <c r="U3026">
        <v>-0.18252560000000001</v>
      </c>
      <c r="V3026">
        <v>-0.11018459999999999</v>
      </c>
      <c r="W3026">
        <v>0.1673473</v>
      </c>
      <c r="X3026">
        <v>0.97972150000000002</v>
      </c>
      <c r="Y3026">
        <v>-0.2005837</v>
      </c>
      <c r="Z3026">
        <v>2.0714730000000001E-2</v>
      </c>
      <c r="AA3026">
        <v>0.97945760000000004</v>
      </c>
      <c r="AB3026">
        <v>20</v>
      </c>
      <c r="AC3026">
        <v>18.961200000000002</v>
      </c>
      <c r="AD3026">
        <v>-1.1153292347361901</v>
      </c>
      <c r="AE3026">
        <v>-1.0916999999999999</v>
      </c>
      <c r="AF3026">
        <v>-3.8452487705799498</v>
      </c>
      <c r="AG3026">
        <v>-1.1153292347361901</v>
      </c>
      <c r="AH3026">
        <v>18.532616336786301</v>
      </c>
      <c r="AI3026">
        <v>93.372364034786003</v>
      </c>
      <c r="AJ3026">
        <v>101.721723298241</v>
      </c>
      <c r="AK3026">
        <v>18.960162596771699</v>
      </c>
      <c r="AL3026">
        <v>80.366378777155603</v>
      </c>
      <c r="AM3026">
        <v>96.416819225336397</v>
      </c>
      <c r="AN3026">
        <v>0.99999999122835004</v>
      </c>
    </row>
    <row r="3027" spans="1:40" x14ac:dyDescent="0.25">
      <c r="A3027" t="str">
        <f>"20190312172949039"</f>
        <v>20190312172949039</v>
      </c>
      <c r="B3027" t="str">
        <f>"1552382989031024"</f>
        <v>1552382989031024</v>
      </c>
      <c r="C3027" t="s">
        <v>40</v>
      </c>
      <c r="D3027">
        <v>3.3017409999999998</v>
      </c>
      <c r="E3027">
        <v>0.47175089999999997</v>
      </c>
      <c r="F3027" t="s">
        <v>47</v>
      </c>
      <c r="G3027">
        <v>-455.15429999999998</v>
      </c>
      <c r="H3027" s="1">
        <v>1.2408400000000001E-6</v>
      </c>
      <c r="I3027">
        <v>213.82060000000001</v>
      </c>
      <c r="J3027">
        <v>-472.88529999999997</v>
      </c>
      <c r="K3027">
        <v>1.116015</v>
      </c>
      <c r="L3027">
        <v>214.96860000000001</v>
      </c>
      <c r="M3027">
        <v>0.96984369999999998</v>
      </c>
      <c r="N3027">
        <v>0</v>
      </c>
      <c r="O3027">
        <v>-0.24294540000000001</v>
      </c>
      <c r="P3027">
        <v>0.97874119999999998</v>
      </c>
      <c r="Q3027">
        <v>0.14926149999999999</v>
      </c>
      <c r="R3027">
        <v>-0.1406656</v>
      </c>
      <c r="S3027">
        <v>3.0664060000000002</v>
      </c>
      <c r="T3027">
        <v>-0.18918090000000001</v>
      </c>
      <c r="U3027">
        <v>-0.2072754</v>
      </c>
      <c r="V3027">
        <v>-0.1033263</v>
      </c>
      <c r="W3027">
        <v>0.1672381</v>
      </c>
      <c r="X3027">
        <v>0.9804872</v>
      </c>
      <c r="Y3027">
        <v>-0.1762349</v>
      </c>
      <c r="Z3027">
        <v>2.0240649999999999E-2</v>
      </c>
      <c r="AA3027">
        <v>0.98414000000000001</v>
      </c>
      <c r="AB3027">
        <v>20</v>
      </c>
      <c r="AC3027">
        <v>17.730999999999899</v>
      </c>
      <c r="AD3027">
        <v>-1.1160137591599999</v>
      </c>
      <c r="AE3027">
        <v>-1.1479999999999899</v>
      </c>
      <c r="AF3027">
        <v>-3.18233799335062</v>
      </c>
      <c r="AG3027">
        <v>-1.1160137591599999</v>
      </c>
      <c r="AH3027">
        <v>17.4098443403436</v>
      </c>
      <c r="AI3027">
        <v>93.608160956589202</v>
      </c>
      <c r="AJ3027">
        <v>100.35871278445801</v>
      </c>
      <c r="AK3027">
        <v>17.733455437944102</v>
      </c>
      <c r="AL3027">
        <v>80.372725266714795</v>
      </c>
      <c r="AM3027">
        <v>96.015774958918797</v>
      </c>
      <c r="AN3027">
        <v>1.0000000278635599</v>
      </c>
    </row>
    <row r="3028" spans="1:40" x14ac:dyDescent="0.25">
      <c r="A3028" t="str">
        <f>"20190312172949062"</f>
        <v>20190312172949062</v>
      </c>
      <c r="B3028" t="str">
        <f>"1552382989051520"</f>
        <v>1552382989051520</v>
      </c>
      <c r="C3028" t="s">
        <v>40</v>
      </c>
      <c r="D3028">
        <v>3.280872</v>
      </c>
      <c r="E3028">
        <v>0.47501260000000001</v>
      </c>
      <c r="F3028" t="s">
        <v>47</v>
      </c>
      <c r="G3028">
        <v>-455.1678</v>
      </c>
      <c r="H3028" s="1">
        <v>1.244249E-6</v>
      </c>
      <c r="I3028">
        <v>213.9067</v>
      </c>
      <c r="J3028">
        <v>-472.69170000000003</v>
      </c>
      <c r="K3028">
        <v>1.116406</v>
      </c>
      <c r="L3028">
        <v>214.9314</v>
      </c>
      <c r="M3028">
        <v>0.97198059999999997</v>
      </c>
      <c r="N3028">
        <v>0</v>
      </c>
      <c r="O3028">
        <v>-0.23431689999999999</v>
      </c>
      <c r="P3028">
        <v>0.97943690000000005</v>
      </c>
      <c r="Q3028">
        <v>0.1496304</v>
      </c>
      <c r="R3028">
        <v>-0.1353316</v>
      </c>
      <c r="S3028">
        <v>3.0682680000000002</v>
      </c>
      <c r="T3028">
        <v>-0.1932671</v>
      </c>
      <c r="U3028">
        <v>-0.1838989</v>
      </c>
      <c r="V3028">
        <v>-0.1002228</v>
      </c>
      <c r="W3028">
        <v>0.16666789999999901</v>
      </c>
      <c r="X3028">
        <v>0.98090630000000001</v>
      </c>
      <c r="Y3028">
        <v>-0.17497679999999999</v>
      </c>
      <c r="Z3028">
        <v>2.0104739999999999E-2</v>
      </c>
      <c r="AA3028">
        <v>0.98436729999999995</v>
      </c>
      <c r="AB3028">
        <v>20</v>
      </c>
      <c r="AC3028">
        <v>17.523900000000001</v>
      </c>
      <c r="AD3028">
        <v>-1.116404755751</v>
      </c>
      <c r="AE3028">
        <v>-1.02469999999999</v>
      </c>
      <c r="AF3028">
        <v>-3.0981691977627301</v>
      </c>
      <c r="AG3028">
        <v>-1.116404755751</v>
      </c>
      <c r="AH3028">
        <v>17.206416027678401</v>
      </c>
      <c r="AI3028">
        <v>93.653727674663998</v>
      </c>
      <c r="AJ3028">
        <v>100.207245257333</v>
      </c>
      <c r="AK3028">
        <v>17.518726108772299</v>
      </c>
      <c r="AL3028">
        <v>80.405859950556305</v>
      </c>
      <c r="AM3028">
        <v>95.833875638519203</v>
      </c>
      <c r="AN3028">
        <v>0.99999998395496903</v>
      </c>
    </row>
    <row r="3029" spans="1:40" x14ac:dyDescent="0.25">
      <c r="A3029" t="str">
        <f>"20190312172949084"</f>
        <v>20190312172949084</v>
      </c>
      <c r="B3029" t="str">
        <f>"1552382989080800"</f>
        <v>1552382989080800</v>
      </c>
      <c r="C3029" t="s">
        <v>40</v>
      </c>
      <c r="D3029">
        <v>3.308081</v>
      </c>
      <c r="E3029">
        <v>0.47604419999999997</v>
      </c>
      <c r="F3029" t="s">
        <v>47</v>
      </c>
      <c r="G3029">
        <v>-454.3913</v>
      </c>
      <c r="H3029" s="1">
        <v>8.362783E-7</v>
      </c>
      <c r="I3029">
        <v>213.7867</v>
      </c>
      <c r="J3029">
        <v>-472.5016</v>
      </c>
      <c r="K3029">
        <v>1.1164689999999999</v>
      </c>
      <c r="L3029">
        <v>214.89750000000001</v>
      </c>
      <c r="M3029">
        <v>0.97386589999999995</v>
      </c>
      <c r="N3029">
        <v>0</v>
      </c>
      <c r="O3029">
        <v>-0.2263838</v>
      </c>
      <c r="P3029">
        <v>0.98011610000000005</v>
      </c>
      <c r="Q3029">
        <v>0.14937590000000001</v>
      </c>
      <c r="R3029">
        <v>-0.13061199999999901</v>
      </c>
      <c r="S3029">
        <v>3.0650330000000001</v>
      </c>
      <c r="T3029">
        <v>-0.1869806</v>
      </c>
      <c r="U3029">
        <v>-0.1917114</v>
      </c>
      <c r="V3029">
        <v>-9.7023380000000006E-2</v>
      </c>
      <c r="W3029">
        <v>0.16605059999999999</v>
      </c>
      <c r="X3029">
        <v>0.9813326</v>
      </c>
      <c r="Y3029">
        <v>-0.16445969999999999</v>
      </c>
      <c r="Z3029">
        <v>1.867829E-2</v>
      </c>
      <c r="AA3029">
        <v>0.9862069</v>
      </c>
      <c r="AB3029">
        <v>20</v>
      </c>
      <c r="AC3029">
        <v>18.110299999999899</v>
      </c>
      <c r="AD3029">
        <v>-1.1164681637217</v>
      </c>
      <c r="AE3029">
        <v>-1.11080000000001</v>
      </c>
      <c r="AF3029">
        <v>-3.0072286780978401</v>
      </c>
      <c r="AG3029">
        <v>-1.1164681637217</v>
      </c>
      <c r="AH3029">
        <v>17.823986750560699</v>
      </c>
      <c r="AI3029">
        <v>93.534417391484297</v>
      </c>
      <c r="AJ3029">
        <v>99.576644215776895</v>
      </c>
      <c r="AK3029">
        <v>18.110340393464199</v>
      </c>
      <c r="AL3029">
        <v>80.441728658846401</v>
      </c>
      <c r="AM3029">
        <v>95.646426466132397</v>
      </c>
      <c r="AN3029">
        <v>1.0000000049248701</v>
      </c>
    </row>
    <row r="3030" spans="1:40" x14ac:dyDescent="0.25">
      <c r="A3030" t="str">
        <f>"20190312172949107"</f>
        <v>20190312172949107</v>
      </c>
      <c r="B3030" t="str">
        <f>"1552382989100320"</f>
        <v>1552382989100320</v>
      </c>
      <c r="C3030" t="s">
        <v>40</v>
      </c>
      <c r="D3030">
        <v>3.2930009999999998</v>
      </c>
      <c r="E3030">
        <v>0.48150860000000001</v>
      </c>
      <c r="F3030" t="s">
        <v>47</v>
      </c>
      <c r="G3030">
        <v>-453.70280000000002</v>
      </c>
      <c r="H3030" s="1">
        <v>4.7085740000000001E-7</v>
      </c>
      <c r="I3030">
        <v>213.7654</v>
      </c>
      <c r="J3030">
        <v>-472.30579999999998</v>
      </c>
      <c r="K3030">
        <v>1.1160760000000001</v>
      </c>
      <c r="L3030">
        <v>214.86439999999999</v>
      </c>
      <c r="M3030">
        <v>0.97583589999999998</v>
      </c>
      <c r="N3030">
        <v>0</v>
      </c>
      <c r="O3030">
        <v>-0.2177531</v>
      </c>
      <c r="P3030">
        <v>0.98080279999999997</v>
      </c>
      <c r="Q3030">
        <v>0.14936749999999999</v>
      </c>
      <c r="R3030">
        <v>-0.12536050000000001</v>
      </c>
      <c r="S3030">
        <v>3.0640260000000001</v>
      </c>
      <c r="T3030">
        <v>-0.1819733</v>
      </c>
      <c r="U3030">
        <v>-0.18452450000000001</v>
      </c>
      <c r="V3030">
        <v>-9.3441159999999995E-2</v>
      </c>
      <c r="W3030">
        <v>0.16596069999999999</v>
      </c>
      <c r="X3030">
        <v>0.9816954</v>
      </c>
      <c r="Y3030">
        <v>-0.15807079999999901</v>
      </c>
      <c r="Z3030">
        <v>1.7497499999999999E-2</v>
      </c>
      <c r="AA3030">
        <v>0.9872727</v>
      </c>
      <c r="AB3030">
        <v>20</v>
      </c>
      <c r="AC3030">
        <v>18.602999999999899</v>
      </c>
      <c r="AD3030">
        <v>-1.1160755291426001</v>
      </c>
      <c r="AE3030">
        <v>-1.09899999999998</v>
      </c>
      <c r="AF3030">
        <v>-2.9682590969106299</v>
      </c>
      <c r="AG3030">
        <v>-1.1160755291426001</v>
      </c>
      <c r="AH3030">
        <v>18.330055602599501</v>
      </c>
      <c r="AI3030">
        <v>93.439612246547398</v>
      </c>
      <c r="AJ3030">
        <v>99.198287925508893</v>
      </c>
      <c r="AK3030">
        <v>18.602341923734599</v>
      </c>
      <c r="AL3030">
        <v>80.446952279481195</v>
      </c>
      <c r="AM3030">
        <v>95.437229504765099</v>
      </c>
      <c r="AN3030">
        <v>1.0000000313538899</v>
      </c>
    </row>
    <row r="3031" spans="1:40" x14ac:dyDescent="0.25">
      <c r="A3031" t="str">
        <f>"20190312172949128"</f>
        <v>20190312172949128</v>
      </c>
      <c r="B3031" t="str">
        <f>"1552382989120817"</f>
        <v>1552382989120817</v>
      </c>
      <c r="C3031" t="s">
        <v>40</v>
      </c>
      <c r="D3031">
        <v>3.3213490000000001</v>
      </c>
      <c r="E3031">
        <v>0.47437980000000002</v>
      </c>
      <c r="F3031" t="s">
        <v>47</v>
      </c>
      <c r="G3031">
        <v>-454.68169999999998</v>
      </c>
      <c r="H3031" s="1">
        <v>9.9698039999999999E-7</v>
      </c>
      <c r="I3031">
        <v>213.6465</v>
      </c>
      <c r="J3031">
        <v>-472.12130000000002</v>
      </c>
      <c r="K3031">
        <v>1.115469</v>
      </c>
      <c r="L3031">
        <v>214.83420000000001</v>
      </c>
      <c r="M3031">
        <v>0.97777389999999997</v>
      </c>
      <c r="N3031">
        <v>0</v>
      </c>
      <c r="O3031">
        <v>-0.2089077</v>
      </c>
      <c r="P3031">
        <v>0.98134739999999998</v>
      </c>
      <c r="Q3031">
        <v>0.1505138</v>
      </c>
      <c r="R3031">
        <v>-0.1195946</v>
      </c>
      <c r="S3031">
        <v>3.061188</v>
      </c>
      <c r="T3031">
        <v>-0.19385549999999999</v>
      </c>
      <c r="U3031">
        <v>-0.21153259999999999</v>
      </c>
      <c r="V3031">
        <v>-9.0065019999999996E-2</v>
      </c>
      <c r="W3031">
        <v>0.1669368</v>
      </c>
      <c r="X3031">
        <v>0.98184539999999998</v>
      </c>
      <c r="Y3031">
        <v>-0.14033889999999999</v>
      </c>
      <c r="Z3031">
        <v>1.753911E-2</v>
      </c>
      <c r="AA3031">
        <v>0.98994819999999994</v>
      </c>
      <c r="AB3031">
        <v>20</v>
      </c>
      <c r="AC3031">
        <v>17.439599999999999</v>
      </c>
      <c r="AD3031">
        <v>-1.1154680030196</v>
      </c>
      <c r="AE3031">
        <v>-1.1877</v>
      </c>
      <c r="AF3031">
        <v>-2.4722889141817501</v>
      </c>
      <c r="AG3031">
        <v>-1.1154680030196</v>
      </c>
      <c r="AH3031">
        <v>17.2326622420128</v>
      </c>
      <c r="AI3031">
        <v>93.666148806110499</v>
      </c>
      <c r="AJ3031">
        <v>98.164246914086604</v>
      </c>
      <c r="AK3031">
        <v>17.444802357385399</v>
      </c>
      <c r="AL3031">
        <v>80.390234323328002</v>
      </c>
      <c r="AM3031">
        <v>95.241094301019004</v>
      </c>
      <c r="AN3031">
        <v>0.99999999626150005</v>
      </c>
    </row>
    <row r="3032" spans="1:40" x14ac:dyDescent="0.25">
      <c r="A3032" t="str">
        <f>"20190312172949151"</f>
        <v>20190312172949151</v>
      </c>
      <c r="B3032" t="str">
        <f>"1552382989140336"</f>
        <v>1552382989140336</v>
      </c>
      <c r="C3032" t="s">
        <v>40</v>
      </c>
      <c r="D3032">
        <v>3.2383489999999999</v>
      </c>
      <c r="E3032">
        <v>0.46859960000000001</v>
      </c>
      <c r="F3032" t="s">
        <v>47</v>
      </c>
      <c r="G3032">
        <v>-454.78480000000002</v>
      </c>
      <c r="H3032" s="1">
        <v>1.0338149999999999E-6</v>
      </c>
      <c r="I3032">
        <v>214.05869999999999</v>
      </c>
      <c r="J3032">
        <v>-471.9282</v>
      </c>
      <c r="K3032">
        <v>1.1149100000000001</v>
      </c>
      <c r="L3032">
        <v>214.80359999999999</v>
      </c>
      <c r="M3032">
        <v>0.97973290000000002</v>
      </c>
      <c r="N3032">
        <v>0</v>
      </c>
      <c r="O3032">
        <v>-0.19955909999999999</v>
      </c>
      <c r="P3032">
        <v>0.98201709999999998</v>
      </c>
      <c r="Q3032">
        <v>0.15120359999999999</v>
      </c>
      <c r="R3032">
        <v>-0.1130501</v>
      </c>
      <c r="S3032">
        <v>3.0705870000000002</v>
      </c>
      <c r="T3032">
        <v>-0.19756840000000001</v>
      </c>
      <c r="U3032">
        <v>-0.1373596</v>
      </c>
      <c r="V3032">
        <v>-8.7006330000000007E-2</v>
      </c>
      <c r="W3032">
        <v>0.16731949999999901</v>
      </c>
      <c r="X3032">
        <v>0.98205609999999999</v>
      </c>
      <c r="Y3032">
        <v>-0.15487379999999901</v>
      </c>
      <c r="Z3032">
        <v>1.7717710000000001E-2</v>
      </c>
      <c r="AA3032">
        <v>0.98777539999999997</v>
      </c>
      <c r="AB3032">
        <v>20</v>
      </c>
      <c r="AC3032">
        <v>17.1433999999999</v>
      </c>
      <c r="AD3032">
        <v>-1.114908966185</v>
      </c>
      <c r="AE3032">
        <v>-0.74490000000000101</v>
      </c>
      <c r="AF3032">
        <v>-2.6804063939330698</v>
      </c>
      <c r="AG3032">
        <v>-1.114908966185</v>
      </c>
      <c r="AH3032">
        <v>16.8759020854813</v>
      </c>
      <c r="AI3032">
        <v>93.733101905961206</v>
      </c>
      <c r="AJ3032">
        <v>99.024924977852294</v>
      </c>
      <c r="AK3032">
        <v>17.123775040518101</v>
      </c>
      <c r="AL3032">
        <v>80.367994951145306</v>
      </c>
      <c r="AM3032">
        <v>95.0629627672634</v>
      </c>
      <c r="AN3032">
        <v>1.00000005004376</v>
      </c>
    </row>
    <row r="3033" spans="1:40" x14ac:dyDescent="0.25">
      <c r="A3033" t="str">
        <f>"20190312172949176"</f>
        <v>20190312172949176</v>
      </c>
      <c r="B3033" t="str">
        <f>"1552382989170592"</f>
        <v>1552382989170592</v>
      </c>
      <c r="C3033" t="s">
        <v>40</v>
      </c>
      <c r="D3033">
        <v>3.1965629999999998</v>
      </c>
      <c r="E3033">
        <v>0.465225</v>
      </c>
      <c r="F3033" t="s">
        <v>47</v>
      </c>
      <c r="G3033">
        <v>-453.5763</v>
      </c>
      <c r="H3033" s="1">
        <v>3.7686969999999998E-7</v>
      </c>
      <c r="I3033">
        <v>214.37549999999999</v>
      </c>
      <c r="J3033">
        <v>-471.71769999999998</v>
      </c>
      <c r="K3033">
        <v>1.1145579999999999</v>
      </c>
      <c r="L3033">
        <v>214.77160000000001</v>
      </c>
      <c r="M3033">
        <v>0.98162839999999996</v>
      </c>
      <c r="N3033">
        <v>0</v>
      </c>
      <c r="O3033">
        <v>-0.19005810000000001</v>
      </c>
      <c r="P3033">
        <v>0.98264660000000004</v>
      </c>
      <c r="Q3033">
        <v>0.151976</v>
      </c>
      <c r="R3033">
        <v>-0.1063451</v>
      </c>
      <c r="S3033">
        <v>3.0754389999999998</v>
      </c>
      <c r="T3033">
        <v>-0.186838</v>
      </c>
      <c r="U3033">
        <v>-7.1746829999999998E-2</v>
      </c>
      <c r="V3033">
        <v>-8.4044690000000005E-2</v>
      </c>
      <c r="W3033">
        <v>0.16772899999999999</v>
      </c>
      <c r="X3033">
        <v>0.98224409999999895</v>
      </c>
      <c r="Y3033">
        <v>-0.16648289999999999</v>
      </c>
      <c r="Z3033">
        <v>1.6528000000000001E-2</v>
      </c>
      <c r="AA3033">
        <v>0.98590580000000005</v>
      </c>
      <c r="AB3033">
        <v>20</v>
      </c>
      <c r="AC3033">
        <v>18.141399999999901</v>
      </c>
      <c r="AD3033">
        <v>-1.1145576231303</v>
      </c>
      <c r="AE3033">
        <v>-0.39610000000001799</v>
      </c>
      <c r="AF3033">
        <v>-3.0480314635120198</v>
      </c>
      <c r="AG3033">
        <v>-1.1145576231303</v>
      </c>
      <c r="AH3033">
        <v>17.8187066169411</v>
      </c>
      <c r="AI3033">
        <v>93.528067426360906</v>
      </c>
      <c r="AJ3033">
        <v>99.706948588329396</v>
      </c>
      <c r="AK3033">
        <v>18.111848055857202</v>
      </c>
      <c r="AL3033">
        <v>80.344195511618096</v>
      </c>
      <c r="AM3033">
        <v>94.8905418506384</v>
      </c>
      <c r="AN3033">
        <v>0.99999999967150199</v>
      </c>
    </row>
    <row r="3034" spans="1:40" x14ac:dyDescent="0.25">
      <c r="A3034" t="str">
        <f>"20190312172949197"</f>
        <v>20190312172949197</v>
      </c>
      <c r="B3034" t="str">
        <f>"1552382989190112"</f>
        <v>1552382989190112</v>
      </c>
      <c r="C3034" t="s">
        <v>40</v>
      </c>
      <c r="D3034">
        <v>3.256202</v>
      </c>
      <c r="E3034">
        <v>0.46420820000000002</v>
      </c>
      <c r="F3034" t="s">
        <v>47</v>
      </c>
      <c r="G3034">
        <v>-452.59030000000001</v>
      </c>
      <c r="H3034" s="1">
        <v>-1.5849070000000001E-7</v>
      </c>
      <c r="I3034">
        <v>214.61930000000001</v>
      </c>
      <c r="J3034">
        <v>-471.52420000000001</v>
      </c>
      <c r="K3034">
        <v>1.114417</v>
      </c>
      <c r="L3034">
        <v>214.74359999999999</v>
      </c>
      <c r="M3034">
        <v>0.98313600000000001</v>
      </c>
      <c r="N3034">
        <v>0</v>
      </c>
      <c r="O3034">
        <v>-0.18213109999999999</v>
      </c>
      <c r="P3034">
        <v>0.98313810000000001</v>
      </c>
      <c r="Q3034">
        <v>0.15266250000000001</v>
      </c>
      <c r="R3034">
        <v>-0.10066559999999999</v>
      </c>
      <c r="S3034">
        <v>3.0780940000000001</v>
      </c>
      <c r="T3034">
        <v>-0.17936170000000001</v>
      </c>
      <c r="U3034">
        <v>-2.4505619999999999E-2</v>
      </c>
      <c r="V3034">
        <v>-8.1723950000000004E-2</v>
      </c>
      <c r="W3034">
        <v>0.16810829999999999</v>
      </c>
      <c r="X3034">
        <v>0.98237509999999995</v>
      </c>
      <c r="Y3034">
        <v>-0.1737215</v>
      </c>
      <c r="Z3034">
        <v>1.5615479999999999E-2</v>
      </c>
      <c r="AA3034">
        <v>0.98467099999999996</v>
      </c>
      <c r="AB3034">
        <v>20</v>
      </c>
      <c r="AC3034">
        <v>18.933899999999898</v>
      </c>
      <c r="AD3034">
        <v>-1.1144171584907001</v>
      </c>
      <c r="AE3034">
        <v>-0.124299999999976</v>
      </c>
      <c r="AF3034">
        <v>-3.3152160656276299</v>
      </c>
      <c r="AG3034">
        <v>-1.1144171584907001</v>
      </c>
      <c r="AH3034">
        <v>18.575423500559001</v>
      </c>
      <c r="AI3034">
        <v>93.3800151011135</v>
      </c>
      <c r="AJ3034">
        <v>100.119219768986</v>
      </c>
      <c r="AK3034">
        <v>18.901823758305799</v>
      </c>
      <c r="AL3034">
        <v>80.322150404305205</v>
      </c>
      <c r="AM3034">
        <v>94.755495418417894</v>
      </c>
      <c r="AN3034">
        <v>1.0000000208162501</v>
      </c>
    </row>
    <row r="3035" spans="1:40" x14ac:dyDescent="0.25">
      <c r="A3035" t="str">
        <f>"20190312172949218"</f>
        <v>20190312172949218</v>
      </c>
      <c r="B3035" t="str">
        <f>"1552382989210609"</f>
        <v>1552382989210609</v>
      </c>
      <c r="C3035" t="s">
        <v>40</v>
      </c>
      <c r="D3035">
        <v>3.21827</v>
      </c>
      <c r="E3035">
        <v>0.46368860000000001</v>
      </c>
      <c r="F3035" t="s">
        <v>47</v>
      </c>
      <c r="G3035">
        <v>-452.14420000000001</v>
      </c>
      <c r="H3035" s="1">
        <v>-4.0148099999999999E-7</v>
      </c>
      <c r="I3035">
        <v>214.74709999999999</v>
      </c>
      <c r="J3035">
        <v>-471.34980000000002</v>
      </c>
      <c r="K3035">
        <v>1.1143459999999901</v>
      </c>
      <c r="L3035">
        <v>214.71950000000001</v>
      </c>
      <c r="M3035">
        <v>0.98435209999999995</v>
      </c>
      <c r="N3035">
        <v>0</v>
      </c>
      <c r="O3035">
        <v>-0.1754677</v>
      </c>
      <c r="P3035">
        <v>0.98353829999999998</v>
      </c>
      <c r="Q3035">
        <v>0.15301719999999999</v>
      </c>
      <c r="R3035">
        <v>-9.611836E-2</v>
      </c>
      <c r="S3035">
        <v>3.0790099999999998</v>
      </c>
      <c r="T3035">
        <v>-0.17705389999999999</v>
      </c>
      <c r="U3035">
        <v>5.6457519999999995E-4</v>
      </c>
      <c r="V3035">
        <v>-7.9574199999999998E-2</v>
      </c>
      <c r="W3035">
        <v>0.16820370000000001</v>
      </c>
      <c r="X3035">
        <v>0.98253520000000005</v>
      </c>
      <c r="Y3035">
        <v>-0.17509439999999901</v>
      </c>
      <c r="Z3035">
        <v>1.5073710000000001E-2</v>
      </c>
      <c r="AA3035">
        <v>0.98443630000000004</v>
      </c>
      <c r="AB3035">
        <v>20</v>
      </c>
      <c r="AC3035">
        <v>19.2056</v>
      </c>
      <c r="AD3035">
        <v>-1.1143464014809901</v>
      </c>
      <c r="AE3035">
        <v>2.7599999999978302E-2</v>
      </c>
      <c r="AF3035">
        <v>-3.3861760417854501</v>
      </c>
      <c r="AG3035">
        <v>-1.1143464014809901</v>
      </c>
      <c r="AH3035">
        <v>18.839283278671601</v>
      </c>
      <c r="AI3035">
        <v>93.331840548287403</v>
      </c>
      <c r="AJ3035">
        <v>100.18955329736001</v>
      </c>
      <c r="AK3035">
        <v>19.173589923185801</v>
      </c>
      <c r="AL3035">
        <v>80.316605016256602</v>
      </c>
      <c r="AM3035">
        <v>94.630202098864203</v>
      </c>
      <c r="AN3035">
        <v>0.99999997861918399</v>
      </c>
    </row>
    <row r="3036" spans="1:40" x14ac:dyDescent="0.25">
      <c r="A3036" t="str">
        <f>"20190312172949241"</f>
        <v>20190312172949241</v>
      </c>
      <c r="B3036" t="str">
        <f>"1552382989230128"</f>
        <v>1552382989230128</v>
      </c>
      <c r="C3036" t="s">
        <v>40</v>
      </c>
      <c r="D3036">
        <v>3.2601789999999999</v>
      </c>
      <c r="E3036">
        <v>0.46327580000000002</v>
      </c>
      <c r="F3036" t="s">
        <v>47</v>
      </c>
      <c r="G3036">
        <v>-451.78339999999997</v>
      </c>
      <c r="H3036" s="1">
        <v>-5.9739359999999996E-7</v>
      </c>
      <c r="I3036">
        <v>214.83670000000001</v>
      </c>
      <c r="J3036">
        <v>-471.15280000000001</v>
      </c>
      <c r="K3036">
        <v>1.1142399999999999</v>
      </c>
      <c r="L3036">
        <v>214.6936</v>
      </c>
      <c r="M3036">
        <v>0.98562349999999999</v>
      </c>
      <c r="N3036">
        <v>0</v>
      </c>
      <c r="O3036">
        <v>-0.1682092</v>
      </c>
      <c r="P3036">
        <v>0.98404420000000004</v>
      </c>
      <c r="Q3036">
        <v>0.15328</v>
      </c>
      <c r="R3036">
        <v>-9.0346540000000003E-2</v>
      </c>
      <c r="S3036">
        <v>3.0793460000000001</v>
      </c>
      <c r="T3036">
        <v>-0.17537459999999999</v>
      </c>
      <c r="U3036">
        <v>1.843262E-2</v>
      </c>
      <c r="V3036">
        <v>-7.8048450000000005E-2</v>
      </c>
      <c r="W3036">
        <v>0.168184</v>
      </c>
      <c r="X3036">
        <v>0.98266089999999995</v>
      </c>
      <c r="Y3036">
        <v>-0.173575799999999</v>
      </c>
      <c r="Z3036">
        <v>1.4478710000000001E-2</v>
      </c>
      <c r="AA3036">
        <v>0.98471410000000004</v>
      </c>
      <c r="AB3036">
        <v>20</v>
      </c>
      <c r="AC3036">
        <v>19.369399999999999</v>
      </c>
      <c r="AD3036">
        <v>-1.11424059739359</v>
      </c>
      <c r="AE3036">
        <v>0.143100000000004</v>
      </c>
      <c r="AF3036">
        <v>-3.3883700943016102</v>
      </c>
      <c r="AG3036">
        <v>-1.11424059739359</v>
      </c>
      <c r="AH3036">
        <v>19.006374944682801</v>
      </c>
      <c r="AI3036">
        <v>93.303138637958597</v>
      </c>
      <c r="AJ3036">
        <v>100.108236683817</v>
      </c>
      <c r="AK3036">
        <v>19.338171385699901</v>
      </c>
      <c r="AL3036">
        <v>80.317749593807306</v>
      </c>
      <c r="AM3036">
        <v>94.541219430829301</v>
      </c>
      <c r="AN3036">
        <v>0.99999993139610299</v>
      </c>
    </row>
    <row r="3037" spans="1:40" x14ac:dyDescent="0.25">
      <c r="A3037" t="str">
        <f>"20190312172949263"</f>
        <v>20190312172949263</v>
      </c>
      <c r="B3037" t="str">
        <f>"1552382989250624"</f>
        <v>1552382989250624</v>
      </c>
      <c r="C3037" t="s">
        <v>40</v>
      </c>
      <c r="D3037">
        <v>3.265835</v>
      </c>
      <c r="E3037">
        <v>0.46303290000000003</v>
      </c>
      <c r="F3037" t="s">
        <v>47</v>
      </c>
      <c r="G3037">
        <v>-451.14830000000001</v>
      </c>
      <c r="H3037" s="1">
        <v>-9.4006720000000003E-7</v>
      </c>
      <c r="I3037">
        <v>214.94450000000001</v>
      </c>
      <c r="J3037">
        <v>-470.96620000000001</v>
      </c>
      <c r="K3037">
        <v>1.1141030000000001</v>
      </c>
      <c r="L3037">
        <v>214.6703</v>
      </c>
      <c r="M3037">
        <v>0.98675009999999996</v>
      </c>
      <c r="N3037">
        <v>0</v>
      </c>
      <c r="O3037">
        <v>-0.16149649999999999</v>
      </c>
      <c r="P3037">
        <v>0.98452649999999997</v>
      </c>
      <c r="Q3037">
        <v>0.15334020000000001</v>
      </c>
      <c r="R3037">
        <v>-8.4821160000000007E-2</v>
      </c>
      <c r="S3037">
        <v>3.0789179999999998</v>
      </c>
      <c r="T3037">
        <v>-0.17149449999999999</v>
      </c>
      <c r="U3037">
        <v>3.8620000000000002E-2</v>
      </c>
      <c r="V3037">
        <v>-7.6813599999999996E-2</v>
      </c>
      <c r="W3037">
        <v>0.16801569999999999</v>
      </c>
      <c r="X3037">
        <v>0.98278710000000002</v>
      </c>
      <c r="Y3037">
        <v>-0.1733635</v>
      </c>
      <c r="Z3037">
        <v>1.3785820000000001E-2</v>
      </c>
      <c r="AA3037">
        <v>0.98476140000000001</v>
      </c>
      <c r="AB3037">
        <v>20</v>
      </c>
      <c r="AC3037">
        <v>19.817900000000002</v>
      </c>
      <c r="AD3037">
        <v>-1.1141039400671999</v>
      </c>
      <c r="AE3037">
        <v>0.27420000000000699</v>
      </c>
      <c r="AF3037">
        <v>-3.4605758262725499</v>
      </c>
      <c r="AG3037">
        <v>-1.1141039400671999</v>
      </c>
      <c r="AH3037">
        <v>19.451941352011101</v>
      </c>
      <c r="AI3037">
        <v>93.227450281607403</v>
      </c>
      <c r="AJ3037">
        <v>100.087601567316</v>
      </c>
      <c r="AK3037">
        <v>19.788755266583401</v>
      </c>
      <c r="AL3037">
        <v>80.327532775598499</v>
      </c>
      <c r="AM3037">
        <v>94.469091994996006</v>
      </c>
      <c r="AN3037">
        <v>1.0000000442589201</v>
      </c>
    </row>
    <row r="3038" spans="1:40" x14ac:dyDescent="0.25">
      <c r="A3038" t="str">
        <f>"20190312172949286"</f>
        <v>20190312172949286</v>
      </c>
      <c r="B3038" t="str">
        <f>"1552382989280841"</f>
        <v>1552382989280841</v>
      </c>
      <c r="C3038" t="s">
        <v>40</v>
      </c>
      <c r="D3038">
        <v>3.284929</v>
      </c>
      <c r="E3038">
        <v>0.46315299999999998</v>
      </c>
      <c r="F3038" t="s">
        <v>47</v>
      </c>
      <c r="G3038">
        <v>-450.63900000000001</v>
      </c>
      <c r="H3038" s="1">
        <v>-1.215751E-6</v>
      </c>
      <c r="I3038">
        <v>215.05090000000001</v>
      </c>
      <c r="J3038">
        <v>-470.77069999999998</v>
      </c>
      <c r="K3038">
        <v>1.113936</v>
      </c>
      <c r="L3038">
        <v>214.64689999999999</v>
      </c>
      <c r="M3038">
        <v>0.9878498</v>
      </c>
      <c r="N3038">
        <v>0</v>
      </c>
      <c r="O3038">
        <v>-0.15465039999999999</v>
      </c>
      <c r="P3038">
        <v>0.98496899999999998</v>
      </c>
      <c r="Q3038">
        <v>0.15352349999999901</v>
      </c>
      <c r="R3038">
        <v>-7.9162930000000006E-2</v>
      </c>
      <c r="S3038">
        <v>3.0783999999999998</v>
      </c>
      <c r="T3038">
        <v>-0.16872200000000001</v>
      </c>
      <c r="U3038">
        <v>5.7647709999999998E-2</v>
      </c>
      <c r="V3038">
        <v>-7.5562920000000006E-2</v>
      </c>
      <c r="W3038">
        <v>0.16800489999999901</v>
      </c>
      <c r="X3038">
        <v>0.98288580000000003</v>
      </c>
      <c r="Y3038">
        <v>-0.17264939999999901</v>
      </c>
      <c r="Z3038">
        <v>1.31748E-2</v>
      </c>
      <c r="AA3038">
        <v>0.98489519999999997</v>
      </c>
      <c r="AB3038">
        <v>20</v>
      </c>
      <c r="AC3038">
        <v>20.131699999999899</v>
      </c>
      <c r="AD3038">
        <v>-1.1139372157509999</v>
      </c>
      <c r="AE3038">
        <v>0.40400000000002401</v>
      </c>
      <c r="AF3038">
        <v>-3.5021631632347101</v>
      </c>
      <c r="AG3038">
        <v>-1.1139372157509999</v>
      </c>
      <c r="AH3038">
        <v>19.7664627148846</v>
      </c>
      <c r="AI3038">
        <v>93.176123668182399</v>
      </c>
      <c r="AJ3038">
        <v>100.047228764461</v>
      </c>
      <c r="AK3038">
        <v>20.105199606108801</v>
      </c>
      <c r="AL3038">
        <v>80.328159558481303</v>
      </c>
      <c r="AM3038">
        <v>94.396174067578798</v>
      </c>
      <c r="AN3038">
        <v>0.99999994857228702</v>
      </c>
    </row>
    <row r="3039" spans="1:40" x14ac:dyDescent="0.25">
      <c r="A3039" t="str">
        <f>"20190312172949310"</f>
        <v>20190312172949310</v>
      </c>
      <c r="B3039" t="str">
        <f>"1552382989300361"</f>
        <v>1552382989300361</v>
      </c>
      <c r="C3039" t="s">
        <v>40</v>
      </c>
      <c r="D3039">
        <v>3.3367059999999999</v>
      </c>
      <c r="E3039">
        <v>0.46349249999999997</v>
      </c>
      <c r="F3039" t="s">
        <v>47</v>
      </c>
      <c r="G3039">
        <v>-450.15159999999997</v>
      </c>
      <c r="H3039" s="1">
        <v>-1.479047E-6</v>
      </c>
      <c r="I3039">
        <v>215.14070000000001</v>
      </c>
      <c r="J3039">
        <v>-470.56779999999998</v>
      </c>
      <c r="K3039">
        <v>1.1137600000000001</v>
      </c>
      <c r="L3039">
        <v>214.62379999999999</v>
      </c>
      <c r="M3039">
        <v>0.98890109999999998</v>
      </c>
      <c r="N3039">
        <v>0</v>
      </c>
      <c r="O3039">
        <v>-0.14780279999999901</v>
      </c>
      <c r="P3039">
        <v>0.98537660000000005</v>
      </c>
      <c r="Q3039">
        <v>0.15375899999999901</v>
      </c>
      <c r="R3039">
        <v>-7.3426110000000003E-2</v>
      </c>
      <c r="S3039">
        <v>3.0775760000000001</v>
      </c>
      <c r="T3039">
        <v>-0.16626479999999999</v>
      </c>
      <c r="U3039">
        <v>7.369995E-2</v>
      </c>
      <c r="V3039">
        <v>-7.4391780000000005E-2</v>
      </c>
      <c r="W3039">
        <v>0.16806650000000001</v>
      </c>
      <c r="X3039">
        <v>0.98296459999999997</v>
      </c>
      <c r="Y3039">
        <v>-0.170991</v>
      </c>
      <c r="Z3039">
        <v>1.257525E-2</v>
      </c>
      <c r="AA3039">
        <v>0.98519239999999997</v>
      </c>
      <c r="AB3039">
        <v>20</v>
      </c>
      <c r="AC3039">
        <v>20.4162</v>
      </c>
      <c r="AD3039">
        <v>-1.1137614790470001</v>
      </c>
      <c r="AE3039">
        <v>0.51690000000002101</v>
      </c>
      <c r="AF3039">
        <v>-3.5186736153856502</v>
      </c>
      <c r="AG3039">
        <v>-1.1137614790470001</v>
      </c>
      <c r="AH3039">
        <v>20.0558579687542</v>
      </c>
      <c r="AI3039">
        <v>93.130818820964095</v>
      </c>
      <c r="AJ3039">
        <v>99.950909497583297</v>
      </c>
      <c r="AK3039">
        <v>20.392620417853699</v>
      </c>
      <c r="AL3039">
        <v>80.324579195369495</v>
      </c>
      <c r="AM3039">
        <v>94.327953619888802</v>
      </c>
      <c r="AN3039">
        <v>0.999999945103487</v>
      </c>
    </row>
    <row r="3040" spans="1:40" x14ac:dyDescent="0.25">
      <c r="A3040" t="str">
        <f>"20190312172949331"</f>
        <v>20190312172949331</v>
      </c>
      <c r="B3040" t="str">
        <f>"1552382989320858"</f>
        <v>1552382989320858</v>
      </c>
      <c r="C3040" t="s">
        <v>40</v>
      </c>
      <c r="D3040">
        <v>3.3109540000000002</v>
      </c>
      <c r="E3040">
        <v>0.4638813</v>
      </c>
      <c r="F3040" t="s">
        <v>47</v>
      </c>
      <c r="G3040">
        <v>-449.87110000000001</v>
      </c>
      <c r="H3040" s="1">
        <v>3.6898959999999999E-6</v>
      </c>
      <c r="I3040">
        <v>215.21610000000001</v>
      </c>
      <c r="J3040">
        <v>-470.3879</v>
      </c>
      <c r="K3040">
        <v>1.1136299999999999</v>
      </c>
      <c r="L3040">
        <v>214.60419999999999</v>
      </c>
      <c r="M3040">
        <v>0.98976580000000003</v>
      </c>
      <c r="N3040">
        <v>0</v>
      </c>
      <c r="O3040">
        <v>-0.1419154</v>
      </c>
      <c r="P3040">
        <v>0.98560809999999999</v>
      </c>
      <c r="Q3040">
        <v>0.15418109999999999</v>
      </c>
      <c r="R3040">
        <v>-6.9320690000000004E-2</v>
      </c>
      <c r="S3040">
        <v>3.076965</v>
      </c>
      <c r="T3040">
        <v>-0.16558120000000001</v>
      </c>
      <c r="U3040">
        <v>8.805847E-2</v>
      </c>
      <c r="V3040">
        <v>-7.2567560000000003E-2</v>
      </c>
      <c r="W3040">
        <v>0.16835220000000001</v>
      </c>
      <c r="X3040">
        <v>0.98305209999999998</v>
      </c>
      <c r="Y3040">
        <v>-0.16974049999999999</v>
      </c>
      <c r="Z3040">
        <v>1.2178039999999999E-2</v>
      </c>
      <c r="AA3040">
        <v>0.9854136</v>
      </c>
      <c r="AB3040">
        <v>20</v>
      </c>
      <c r="AC3040">
        <v>20.5167999999999</v>
      </c>
      <c r="AD3040">
        <v>-1.11362631010399</v>
      </c>
      <c r="AE3040">
        <v>0.61190000000001898</v>
      </c>
      <c r="AF3040">
        <v>-3.50735687996798</v>
      </c>
      <c r="AG3040">
        <v>-1.11362631010399</v>
      </c>
      <c r="AH3040">
        <v>20.162899918664898</v>
      </c>
      <c r="AI3040">
        <v>93.114639834891406</v>
      </c>
      <c r="AJ3040">
        <v>99.867918594086703</v>
      </c>
      <c r="AK3040">
        <v>20.495956893302399</v>
      </c>
      <c r="AL3040">
        <v>80.3079734455671</v>
      </c>
      <c r="AM3040">
        <v>94.221838570425106</v>
      </c>
      <c r="AN3040">
        <v>0.99999997266180096</v>
      </c>
    </row>
    <row r="3041" spans="1:40" x14ac:dyDescent="0.25">
      <c r="A3041" t="str">
        <f>"20190312172949354"</f>
        <v>20190312172949354</v>
      </c>
      <c r="B3041" t="str">
        <f>"1552382989351113"</f>
        <v>1552382989351113</v>
      </c>
      <c r="C3041" t="s">
        <v>40</v>
      </c>
      <c r="D3041">
        <v>3.3429259999999998</v>
      </c>
      <c r="E3041">
        <v>0.4645396</v>
      </c>
      <c r="F3041" t="s">
        <v>47</v>
      </c>
      <c r="G3041">
        <v>-449.58580000000001</v>
      </c>
      <c r="H3041" s="1">
        <v>3.5360839999999999E-6</v>
      </c>
      <c r="I3041">
        <v>215.26220000000001</v>
      </c>
      <c r="J3041">
        <v>-470.18579999999997</v>
      </c>
      <c r="K3041">
        <v>1.1135109999999999</v>
      </c>
      <c r="L3041">
        <v>214.58320000000001</v>
      </c>
      <c r="M3041">
        <v>0.99066600000000005</v>
      </c>
      <c r="N3041">
        <v>0</v>
      </c>
      <c r="O3041">
        <v>-0.1355085</v>
      </c>
      <c r="P3041">
        <v>0.98588410000000004</v>
      </c>
      <c r="Q3041">
        <v>0.15430269999999999</v>
      </c>
      <c r="R3041">
        <v>-6.4985269999999998E-2</v>
      </c>
      <c r="S3041">
        <v>3.076416</v>
      </c>
      <c r="T3041">
        <v>-0.16469429999999999</v>
      </c>
      <c r="U3041">
        <v>9.7305299999999997E-2</v>
      </c>
      <c r="V3041">
        <v>-7.0468509999999998E-2</v>
      </c>
      <c r="W3041">
        <v>0.16833670000000001</v>
      </c>
      <c r="X3041">
        <v>0.98320750000000001</v>
      </c>
      <c r="Y3041">
        <v>-0.1663461</v>
      </c>
      <c r="Z3041">
        <v>1.1683580000000001E-2</v>
      </c>
      <c r="AA3041">
        <v>0.98599820000000005</v>
      </c>
      <c r="AB3041">
        <v>20</v>
      </c>
      <c r="AC3041">
        <v>20.599999999999898</v>
      </c>
      <c r="AD3041">
        <v>-1.1135074639160001</v>
      </c>
      <c r="AE3041">
        <v>0.67900000000000205</v>
      </c>
      <c r="AF3041">
        <v>-3.4544332855629798</v>
      </c>
      <c r="AG3041">
        <v>-1.1135074639160001</v>
      </c>
      <c r="AH3041">
        <v>20.258799280435401</v>
      </c>
      <c r="AI3041">
        <v>93.101373068894205</v>
      </c>
      <c r="AJ3041">
        <v>99.676732731066906</v>
      </c>
      <c r="AK3041">
        <v>20.5813497244853</v>
      </c>
      <c r="AL3041">
        <v>80.308874868649895</v>
      </c>
      <c r="AM3041">
        <v>94.099496768292596</v>
      </c>
      <c r="AN3041">
        <v>1.0000000217623699</v>
      </c>
    </row>
    <row r="3042" spans="1:40" x14ac:dyDescent="0.25">
      <c r="A3042" t="str">
        <f>"20190312172949376"</f>
        <v>20190312172949376</v>
      </c>
      <c r="B3042" t="str">
        <f>"1552382989370185"</f>
        <v>1552382989370185</v>
      </c>
      <c r="C3042" t="s">
        <v>40</v>
      </c>
      <c r="D3042">
        <v>3.357672</v>
      </c>
      <c r="E3042">
        <v>0.46480480000000002</v>
      </c>
      <c r="F3042" t="s">
        <v>47</v>
      </c>
      <c r="G3042">
        <v>-449.23169999999999</v>
      </c>
      <c r="H3042" s="1">
        <v>3.3457809999999999E-6</v>
      </c>
      <c r="I3042">
        <v>215.3047</v>
      </c>
      <c r="J3042">
        <v>-469.99099999999999</v>
      </c>
      <c r="K3042">
        <v>1.113394</v>
      </c>
      <c r="L3042">
        <v>214.56389999999999</v>
      </c>
      <c r="M3042">
        <v>0.9914674</v>
      </c>
      <c r="N3042">
        <v>0</v>
      </c>
      <c r="O3042">
        <v>-0.1295317</v>
      </c>
      <c r="P3042">
        <v>0.98607529999999999</v>
      </c>
      <c r="Q3042">
        <v>0.15438829999999901</v>
      </c>
      <c r="R3042">
        <v>-6.1805869999999999E-2</v>
      </c>
      <c r="S3042">
        <v>3.0755620000000001</v>
      </c>
      <c r="T3042">
        <v>-0.16343650000000001</v>
      </c>
      <c r="U3042">
        <v>0.105896</v>
      </c>
      <c r="V3042">
        <v>-6.7652669999999998E-2</v>
      </c>
      <c r="W3042">
        <v>0.16831650000000001</v>
      </c>
      <c r="X3042">
        <v>0.98340870000000002</v>
      </c>
      <c r="Y3042">
        <v>-0.16317770000000001</v>
      </c>
      <c r="Z3042">
        <v>1.1197810000000001E-2</v>
      </c>
      <c r="AA3042">
        <v>0.9865332</v>
      </c>
      <c r="AB3042">
        <v>20</v>
      </c>
      <c r="AC3042">
        <v>20.7593</v>
      </c>
      <c r="AD3042">
        <v>-1.113390654219</v>
      </c>
      <c r="AE3042">
        <v>0.74080000000000701</v>
      </c>
      <c r="AF3042">
        <v>-3.4140246524076598</v>
      </c>
      <c r="AG3042">
        <v>-1.113390654219</v>
      </c>
      <c r="AH3042">
        <v>20.429711758012498</v>
      </c>
      <c r="AI3042">
        <v>93.076870911936496</v>
      </c>
      <c r="AJ3042">
        <v>99.487077387042703</v>
      </c>
      <c r="AK3042">
        <v>20.742910248844701</v>
      </c>
      <c r="AL3042">
        <v>80.310048779685005</v>
      </c>
      <c r="AM3042">
        <v>93.935408428421397</v>
      </c>
      <c r="AN3042">
        <v>0.99999999958303398</v>
      </c>
    </row>
    <row r="3043" spans="1:40" x14ac:dyDescent="0.25">
      <c r="A3043" t="str">
        <f>"20190312172949401"</f>
        <v>20190312172949401</v>
      </c>
      <c r="B3043" t="str">
        <f>"1552382989390659"</f>
        <v>1552382989390659</v>
      </c>
      <c r="C3043" t="s">
        <v>40</v>
      </c>
      <c r="D3043">
        <v>3.3690099999999998</v>
      </c>
      <c r="E3043">
        <v>0.47355009999999997</v>
      </c>
      <c r="F3043" t="s">
        <v>47</v>
      </c>
      <c r="G3043">
        <v>-449.02620000000002</v>
      </c>
      <c r="H3043" s="1">
        <v>3.2349440000000001E-6</v>
      </c>
      <c r="I3043">
        <v>215.3381</v>
      </c>
      <c r="J3043">
        <v>-469.78949999999998</v>
      </c>
      <c r="K3043">
        <v>1.1132759999999999</v>
      </c>
      <c r="L3043">
        <v>214.54499999999999</v>
      </c>
      <c r="M3043">
        <v>0.99223289999999997</v>
      </c>
      <c r="N3043">
        <v>0</v>
      </c>
      <c r="O3043">
        <v>-0.12354800000000001</v>
      </c>
      <c r="P3043">
        <v>0.98630240000000002</v>
      </c>
      <c r="Q3043">
        <v>0.15409120000000001</v>
      </c>
      <c r="R3043">
        <v>-5.8851010000000002E-2</v>
      </c>
      <c r="S3043">
        <v>3.0749819999999999</v>
      </c>
      <c r="T3043">
        <v>-0.16330459999999999</v>
      </c>
      <c r="U3043">
        <v>0.11354060000000001</v>
      </c>
      <c r="V3043">
        <v>-6.4611009999999997E-2</v>
      </c>
      <c r="W3043">
        <v>0.1679292</v>
      </c>
      <c r="X3043">
        <v>0.98367939999999998</v>
      </c>
      <c r="Y3043">
        <v>-0.15969459999999999</v>
      </c>
      <c r="Z3043">
        <v>1.078235E-2</v>
      </c>
      <c r="AA3043">
        <v>0.98710759999999997</v>
      </c>
      <c r="AB3043">
        <v>20</v>
      </c>
      <c r="AC3043">
        <v>20.763299999999902</v>
      </c>
      <c r="AD3043">
        <v>-1.1132727650559999</v>
      </c>
      <c r="AE3043">
        <v>0.79310000000000902</v>
      </c>
      <c r="AF3043">
        <v>-3.3429593428049</v>
      </c>
      <c r="AG3043">
        <v>-1.1132727650559999</v>
      </c>
      <c r="AH3043">
        <v>20.447497096204799</v>
      </c>
      <c r="AI3043">
        <v>93.075662834082493</v>
      </c>
      <c r="AJ3043">
        <v>99.2851357433955</v>
      </c>
      <c r="AK3043">
        <v>20.748852761450799</v>
      </c>
      <c r="AL3043">
        <v>80.332559669597202</v>
      </c>
      <c r="AM3043">
        <v>93.757960386786394</v>
      </c>
      <c r="AN3043">
        <v>0.99999998040510896</v>
      </c>
    </row>
    <row r="3044" spans="1:40" x14ac:dyDescent="0.25">
      <c r="A3044" t="str">
        <f>"20190312172949419"</f>
        <v>20190312172949419</v>
      </c>
      <c r="B3044" t="str">
        <f>"1552382989410180"</f>
        <v>1552382989410180</v>
      </c>
      <c r="C3044" t="s">
        <v>40</v>
      </c>
      <c r="D3044">
        <v>3.3755570000000001</v>
      </c>
      <c r="E3044">
        <v>0.47401379999999999</v>
      </c>
      <c r="F3044" t="s">
        <v>47</v>
      </c>
      <c r="G3044">
        <v>-449.137</v>
      </c>
      <c r="H3044" s="1">
        <v>3.3127800000000002E-6</v>
      </c>
      <c r="I3044">
        <v>214.90629999999999</v>
      </c>
      <c r="J3044">
        <v>-469.62040000000002</v>
      </c>
      <c r="K3044">
        <v>1.1131690000000001</v>
      </c>
      <c r="L3044">
        <v>214.52979999999999</v>
      </c>
      <c r="M3044">
        <v>0.9928247</v>
      </c>
      <c r="N3044">
        <v>0</v>
      </c>
      <c r="O3044">
        <v>-0.1187098</v>
      </c>
      <c r="P3044">
        <v>0.98640779999999995</v>
      </c>
      <c r="Q3044">
        <v>0.15381900000000001</v>
      </c>
      <c r="R3044">
        <v>-5.7789409999999999E-2</v>
      </c>
      <c r="S3044">
        <v>3.0707399999999998</v>
      </c>
      <c r="T3044">
        <v>-0.16552809999999901</v>
      </c>
      <c r="U3044">
        <v>5.3726200000000002E-2</v>
      </c>
      <c r="V3044">
        <v>-6.082166E-2</v>
      </c>
      <c r="W3044">
        <v>0.16760249999999999</v>
      </c>
      <c r="X3044">
        <v>0.98397670000000004</v>
      </c>
      <c r="Y3044">
        <v>-0.13570479999999999</v>
      </c>
      <c r="Z3044">
        <v>1.003953E-2</v>
      </c>
      <c r="AA3044">
        <v>0.99069850000000004</v>
      </c>
      <c r="AB3044">
        <v>19</v>
      </c>
      <c r="AC3044">
        <v>20.4834</v>
      </c>
      <c r="AD3044">
        <v>-1.11316568722</v>
      </c>
      <c r="AE3044">
        <v>0.37649999999999201</v>
      </c>
      <c r="AF3044">
        <v>-2.7974104034507401</v>
      </c>
      <c r="AG3044">
        <v>-1.11316568722</v>
      </c>
      <c r="AH3044">
        <v>20.234094475330199</v>
      </c>
      <c r="AI3044">
        <v>93.119305973644401</v>
      </c>
      <c r="AJ3044">
        <v>97.871376860769502</v>
      </c>
      <c r="AK3044">
        <v>20.4568624683534</v>
      </c>
      <c r="AL3044">
        <v>80.351547596435097</v>
      </c>
      <c r="AM3044">
        <v>93.537071935547203</v>
      </c>
      <c r="AN3044">
        <v>1.0000000092371399</v>
      </c>
    </row>
    <row r="3045" spans="1:40" x14ac:dyDescent="0.25">
      <c r="A3045" t="str">
        <f>"20190312172949441"</f>
        <v>20190312172949441</v>
      </c>
      <c r="B3045" t="str">
        <f>"1552382989430675"</f>
        <v>1552382989430675</v>
      </c>
      <c r="C3045" t="s">
        <v>40</v>
      </c>
      <c r="D3045">
        <v>3.3637220000000001</v>
      </c>
      <c r="E3045">
        <v>0.47467039999999999</v>
      </c>
      <c r="F3045" t="s">
        <v>47</v>
      </c>
      <c r="G3045">
        <v>-449.0317</v>
      </c>
      <c r="H3045" s="1">
        <v>3.2575300000000001E-6</v>
      </c>
      <c r="I3045">
        <v>214.88919999999999</v>
      </c>
      <c r="J3045">
        <v>-469.43709999999999</v>
      </c>
      <c r="K3045">
        <v>1.113032</v>
      </c>
      <c r="L3045">
        <v>214.51400000000001</v>
      </c>
      <c r="M3045">
        <v>0.99341699999999999</v>
      </c>
      <c r="N3045">
        <v>0</v>
      </c>
      <c r="O3045">
        <v>-0.11365989999999999</v>
      </c>
      <c r="P3045">
        <v>0.98659030000000003</v>
      </c>
      <c r="Q3045">
        <v>0.15320739999999999</v>
      </c>
      <c r="R3045">
        <v>-5.6276020000000003E-2</v>
      </c>
      <c r="S3045">
        <v>3.0704039999999999</v>
      </c>
      <c r="T3045">
        <v>-0.16600780000000001</v>
      </c>
      <c r="U3045">
        <v>5.360413E-2</v>
      </c>
      <c r="V3045">
        <v>-5.7272730000000001E-2</v>
      </c>
      <c r="W3045">
        <v>0.16693629999999901</v>
      </c>
      <c r="X3045">
        <v>0.98430289999999998</v>
      </c>
      <c r="Y3045">
        <v>-0.13064029999999999</v>
      </c>
      <c r="Z3045">
        <v>9.6612910000000007E-3</v>
      </c>
      <c r="AA3045">
        <v>0.99138280000000001</v>
      </c>
      <c r="AB3045">
        <v>19</v>
      </c>
      <c r="AC3045">
        <v>20.405399999999901</v>
      </c>
      <c r="AD3045">
        <v>-1.1130287424700001</v>
      </c>
      <c r="AE3045">
        <v>0.375199999999978</v>
      </c>
      <c r="AF3045">
        <v>-2.6842967936237301</v>
      </c>
      <c r="AG3045">
        <v>-1.1130287424700001</v>
      </c>
      <c r="AH3045">
        <v>20.1704987305793</v>
      </c>
      <c r="AI3045">
        <v>93.130889243526397</v>
      </c>
      <c r="AJ3045">
        <v>97.580400543389302</v>
      </c>
      <c r="AK3045">
        <v>20.378746313208801</v>
      </c>
      <c r="AL3045">
        <v>80.390263865361305</v>
      </c>
      <c r="AM3045">
        <v>93.330062246766204</v>
      </c>
      <c r="AN3045">
        <v>1.0000000464038701</v>
      </c>
    </row>
    <row r="3046" spans="1:40" x14ac:dyDescent="0.25">
      <c r="A3046" t="str">
        <f>"20190312172949464"</f>
        <v>20190312172949464</v>
      </c>
      <c r="B3046" t="str">
        <f>"1552382989460932"</f>
        <v>1552382989460932</v>
      </c>
      <c r="C3046" t="s">
        <v>40</v>
      </c>
      <c r="D3046">
        <v>3.3893409999999999</v>
      </c>
      <c r="E3046">
        <v>0.47872169999999997</v>
      </c>
      <c r="F3046" t="s">
        <v>47</v>
      </c>
      <c r="G3046">
        <v>-449.36309999999997</v>
      </c>
      <c r="H3046" s="1">
        <v>3.4350269999999998E-6</v>
      </c>
      <c r="I3046">
        <v>214.8621</v>
      </c>
      <c r="J3046">
        <v>-469.24959999999999</v>
      </c>
      <c r="K3046">
        <v>1.112886</v>
      </c>
      <c r="L3046">
        <v>214.49860000000001</v>
      </c>
      <c r="M3046">
        <v>0.99397060000000004</v>
      </c>
      <c r="N3046">
        <v>0</v>
      </c>
      <c r="O3046">
        <v>-0.1087235</v>
      </c>
      <c r="P3046">
        <v>0.98684510000000003</v>
      </c>
      <c r="Q3046">
        <v>0.15186479999999999</v>
      </c>
      <c r="R3046">
        <v>-5.5442730000000003E-2</v>
      </c>
      <c r="S3046">
        <v>3.0702210000000001</v>
      </c>
      <c r="T3046">
        <v>-0.170232299999999</v>
      </c>
      <c r="U3046">
        <v>5.3237920000000001E-2</v>
      </c>
      <c r="V3046">
        <v>-5.3162510000000003E-2</v>
      </c>
      <c r="W3046">
        <v>0.16555110000000001</v>
      </c>
      <c r="X3046">
        <v>0.98476730000000001</v>
      </c>
      <c r="Y3046">
        <v>-0.12559329999999999</v>
      </c>
      <c r="Z3046">
        <v>9.4952019999999995E-3</v>
      </c>
      <c r="AA3046">
        <v>0.99203640000000004</v>
      </c>
      <c r="AB3046">
        <v>19</v>
      </c>
      <c r="AC3046">
        <v>19.886500000000002</v>
      </c>
      <c r="AD3046">
        <v>-1.1128825649730001</v>
      </c>
      <c r="AE3046">
        <v>0.363499999999987</v>
      </c>
      <c r="AF3046">
        <v>-2.5158164721990599</v>
      </c>
      <c r="AG3046">
        <v>-1.1128825649730001</v>
      </c>
      <c r="AH3046">
        <v>19.667492226281901</v>
      </c>
      <c r="AI3046">
        <v>93.212500126138195</v>
      </c>
      <c r="AJ3046">
        <v>97.289545656872406</v>
      </c>
      <c r="AK3046">
        <v>19.858954922051399</v>
      </c>
      <c r="AL3046">
        <v>80.470749785837199</v>
      </c>
      <c r="AM3046">
        <v>93.0901042069559</v>
      </c>
      <c r="AN3046">
        <v>1.00000002716499</v>
      </c>
    </row>
    <row r="3047" spans="1:40" x14ac:dyDescent="0.25">
      <c r="A3047" t="str">
        <f>"20190312172949487"</f>
        <v>20190312172949487</v>
      </c>
      <c r="B3047" t="str">
        <f>"1552382989480452"</f>
        <v>1552382989480452</v>
      </c>
      <c r="C3047" t="s">
        <v>40</v>
      </c>
      <c r="D3047">
        <v>3.3830420000000001</v>
      </c>
      <c r="E3047">
        <v>0.47902230000000001</v>
      </c>
      <c r="F3047" t="s">
        <v>47</v>
      </c>
      <c r="G3047">
        <v>-450.18220000000002</v>
      </c>
      <c r="H3047" s="1">
        <v>-1.441205E-6</v>
      </c>
      <c r="I3047">
        <v>214.64760000000001</v>
      </c>
      <c r="J3047">
        <v>-469.0505</v>
      </c>
      <c r="K3047">
        <v>1.1127389999999999</v>
      </c>
      <c r="L3047">
        <v>214.4829</v>
      </c>
      <c r="M3047">
        <v>0.99450179999999999</v>
      </c>
      <c r="N3047">
        <v>0</v>
      </c>
      <c r="O3047">
        <v>-0.1037657</v>
      </c>
      <c r="P3047">
        <v>0.98706139999999998</v>
      </c>
      <c r="Q3047">
        <v>0.1508246</v>
      </c>
      <c r="R3047">
        <v>-5.4425109999999999E-2</v>
      </c>
      <c r="S3047">
        <v>3.0688780000000002</v>
      </c>
      <c r="T3047">
        <v>-0.17911759999999999</v>
      </c>
      <c r="U3047">
        <v>2.3986819999999999E-2</v>
      </c>
      <c r="V3047">
        <v>-4.9209790000000003E-2</v>
      </c>
      <c r="W3047">
        <v>0.16447039999999999</v>
      </c>
      <c r="X3047">
        <v>0.98515370000000002</v>
      </c>
      <c r="Y3047">
        <v>-0.11118119999999999</v>
      </c>
      <c r="Z3047">
        <v>9.2859280000000006E-3</v>
      </c>
      <c r="AA3047">
        <v>0.9937568</v>
      </c>
      <c r="AB3047">
        <v>19</v>
      </c>
      <c r="AC3047">
        <v>18.868299999999898</v>
      </c>
      <c r="AD3047">
        <v>-1.1127404412049999</v>
      </c>
      <c r="AE3047">
        <v>0.16470000000001001</v>
      </c>
      <c r="AF3047">
        <v>-2.1145341178040802</v>
      </c>
      <c r="AG3047">
        <v>-1.1127404412049999</v>
      </c>
      <c r="AH3047">
        <v>18.6843542117252</v>
      </c>
      <c r="AI3047">
        <v>93.386637533199902</v>
      </c>
      <c r="AJ3047">
        <v>96.456770266607293</v>
      </c>
      <c r="AK3047">
        <v>18.836521391543201</v>
      </c>
      <c r="AL3047">
        <v>80.533529340386593</v>
      </c>
      <c r="AM3047">
        <v>92.859626629584</v>
      </c>
      <c r="AN3047">
        <v>0.99999996426584603</v>
      </c>
    </row>
    <row r="3048" spans="1:40" x14ac:dyDescent="0.25">
      <c r="A3048" t="str">
        <f>"20190312172949508"</f>
        <v>20190312172949508</v>
      </c>
      <c r="B3048" t="str">
        <f>"1552382989500948"</f>
        <v>1552382989500948</v>
      </c>
      <c r="C3048" t="s">
        <v>40</v>
      </c>
      <c r="D3048">
        <v>3.3844020000000001</v>
      </c>
      <c r="E3048">
        <v>0.47923939999999998</v>
      </c>
      <c r="F3048" t="s">
        <v>47</v>
      </c>
      <c r="G3048">
        <v>-450.4554</v>
      </c>
      <c r="H3048" s="1">
        <v>-1.29512E-6</v>
      </c>
      <c r="I3048">
        <v>214.63220000000001</v>
      </c>
      <c r="J3048">
        <v>-468.86579999999998</v>
      </c>
      <c r="K3048">
        <v>1.1126199999999999</v>
      </c>
      <c r="L3048">
        <v>214.46899999999999</v>
      </c>
      <c r="M3048">
        <v>0.99495239999999996</v>
      </c>
      <c r="N3048">
        <v>0</v>
      </c>
      <c r="O3048">
        <v>-9.9361489999999997E-2</v>
      </c>
      <c r="P3048">
        <v>0.98715560000000002</v>
      </c>
      <c r="Q3048">
        <v>0.150403799999999</v>
      </c>
      <c r="R3048">
        <v>-5.3875800000000001E-2</v>
      </c>
      <c r="S3048">
        <v>3.068756</v>
      </c>
      <c r="T3048">
        <v>-0.18363599999999999</v>
      </c>
      <c r="U3048">
        <v>2.4627690000000001E-2</v>
      </c>
      <c r="V3048">
        <v>-4.5344910000000002E-2</v>
      </c>
      <c r="W3048">
        <v>0.16401550000000001</v>
      </c>
      <c r="X3048">
        <v>0.98541500000000004</v>
      </c>
      <c r="Y3048">
        <v>-0.1069847</v>
      </c>
      <c r="Z3048">
        <v>9.1323310000000005E-3</v>
      </c>
      <c r="AA3048">
        <v>0.99421870000000001</v>
      </c>
      <c r="AB3048">
        <v>19</v>
      </c>
      <c r="AC3048">
        <v>18.4103999999999</v>
      </c>
      <c r="AD3048">
        <v>-1.1126212951200001</v>
      </c>
      <c r="AE3048">
        <v>0.16319999999998899</v>
      </c>
      <c r="AF3048">
        <v>-1.9846093806798699</v>
      </c>
      <c r="AG3048">
        <v>-1.1126212951200001</v>
      </c>
      <c r="AH3048">
        <v>18.236458888609601</v>
      </c>
      <c r="AI3048">
        <v>93.470892579376297</v>
      </c>
      <c r="AJ3048">
        <v>96.210855382460593</v>
      </c>
      <c r="AK3048">
        <v>18.377840823562099</v>
      </c>
      <c r="AL3048">
        <v>80.559952198578003</v>
      </c>
      <c r="AM3048">
        <v>92.634667125625498</v>
      </c>
      <c r="AN3048">
        <v>0.99999998366407805</v>
      </c>
    </row>
    <row r="3049" spans="1:40" x14ac:dyDescent="0.25">
      <c r="A3049" t="str">
        <f>"20190312172949531"</f>
        <v>20190312172949531</v>
      </c>
      <c r="B3049" t="str">
        <f>"1552382989520467"</f>
        <v>1552382989520467</v>
      </c>
      <c r="C3049" t="s">
        <v>40</v>
      </c>
      <c r="D3049">
        <v>3.3867449999999999</v>
      </c>
      <c r="E3049">
        <v>0.47965570000000002</v>
      </c>
      <c r="F3049" t="s">
        <v>47</v>
      </c>
      <c r="G3049">
        <v>-450.39249999999998</v>
      </c>
      <c r="H3049" s="1">
        <v>-1.3280179999999999E-6</v>
      </c>
      <c r="I3049">
        <v>214.6181</v>
      </c>
      <c r="J3049">
        <v>-468.6712</v>
      </c>
      <c r="K3049">
        <v>1.112514</v>
      </c>
      <c r="L3049">
        <v>214.45500000000001</v>
      </c>
      <c r="M3049">
        <v>0.99538590000000005</v>
      </c>
      <c r="N3049">
        <v>0</v>
      </c>
      <c r="O3049">
        <v>-9.4930829999999994E-2</v>
      </c>
      <c r="P3049">
        <v>0.98714170000000001</v>
      </c>
      <c r="Q3049">
        <v>0.15067249999999999</v>
      </c>
      <c r="R3049">
        <v>-5.3378149999999999E-2</v>
      </c>
      <c r="S3049">
        <v>3.0685419999999999</v>
      </c>
      <c r="T3049">
        <v>-0.18481410000000001</v>
      </c>
      <c r="U3049">
        <v>2.476501E-2</v>
      </c>
      <c r="V3049">
        <v>-4.140249E-2</v>
      </c>
      <c r="W3049">
        <v>0.16425029999999999</v>
      </c>
      <c r="X3049">
        <v>0.98554940000000002</v>
      </c>
      <c r="Y3049">
        <v>-0.1026133</v>
      </c>
      <c r="Z3049">
        <v>8.7941979999999996E-3</v>
      </c>
      <c r="AA3049">
        <v>0.99468239999999997</v>
      </c>
      <c r="AB3049">
        <v>19</v>
      </c>
      <c r="AC3049">
        <v>18.278700000000001</v>
      </c>
      <c r="AD3049">
        <v>-1.112515328018</v>
      </c>
      <c r="AE3049">
        <v>0.16309999999998501</v>
      </c>
      <c r="AF3049">
        <v>-1.8907411263097</v>
      </c>
      <c r="AG3049">
        <v>-1.112515328018</v>
      </c>
      <c r="AH3049">
        <v>18.113555108969202</v>
      </c>
      <c r="AI3049">
        <v>93.4956860295772</v>
      </c>
      <c r="AJ3049">
        <v>95.959105640219605</v>
      </c>
      <c r="AK3049">
        <v>18.245916558163302</v>
      </c>
      <c r="AL3049">
        <v>80.546314097228802</v>
      </c>
      <c r="AM3049">
        <v>92.405555655558999</v>
      </c>
      <c r="AN3049">
        <v>0.99999997353432402</v>
      </c>
    </row>
    <row r="3050" spans="1:40" x14ac:dyDescent="0.25">
      <c r="A3050" t="str">
        <f>"20190312172949553"</f>
        <v>20190312172949553</v>
      </c>
      <c r="B3050" t="str">
        <f>"1552382989550723"</f>
        <v>1552382989550723</v>
      </c>
      <c r="C3050" t="s">
        <v>40</v>
      </c>
      <c r="D3050">
        <v>3.404855</v>
      </c>
      <c r="E3050">
        <v>0.48019240000000002</v>
      </c>
      <c r="F3050" t="s">
        <v>47</v>
      </c>
      <c r="G3050">
        <v>-450.26620000000003</v>
      </c>
      <c r="H3050" s="1">
        <v>-1.3940459999999999E-6</v>
      </c>
      <c r="I3050">
        <v>214.59129999999999</v>
      </c>
      <c r="J3050">
        <v>-468.48379999999997</v>
      </c>
      <c r="K3050">
        <v>1.112414</v>
      </c>
      <c r="L3050">
        <v>214.44220000000001</v>
      </c>
      <c r="M3050">
        <v>0.99576520000000002</v>
      </c>
      <c r="N3050">
        <v>0</v>
      </c>
      <c r="O3050">
        <v>-9.0875769999999995E-2</v>
      </c>
      <c r="P3050">
        <v>0.9872261</v>
      </c>
      <c r="Q3050">
        <v>0.1502781</v>
      </c>
      <c r="R3050">
        <v>-5.2925300000000002E-2</v>
      </c>
      <c r="S3050">
        <v>3.0685730000000002</v>
      </c>
      <c r="T3050">
        <v>-0.18548390000000001</v>
      </c>
      <c r="U3050">
        <v>2.2720339999999999E-2</v>
      </c>
      <c r="V3050">
        <v>-3.7797600000000001E-2</v>
      </c>
      <c r="W3050">
        <v>0.16382829999999901</v>
      </c>
      <c r="X3050">
        <v>0.98576450000000004</v>
      </c>
      <c r="Y3050">
        <v>-9.7911150000000002E-2</v>
      </c>
      <c r="Z3050">
        <v>8.4397640000000006E-3</v>
      </c>
      <c r="AA3050">
        <v>0.99515940000000003</v>
      </c>
      <c r="AB3050">
        <v>19</v>
      </c>
      <c r="AC3050">
        <v>18.217599999999901</v>
      </c>
      <c r="AD3050">
        <v>-1.112415394046</v>
      </c>
      <c r="AE3050">
        <v>0.149099999999975</v>
      </c>
      <c r="AF3050">
        <v>-1.79747964202071</v>
      </c>
      <c r="AG3050">
        <v>-1.112415394046</v>
      </c>
      <c r="AH3050">
        <v>18.0613145792111</v>
      </c>
      <c r="AI3050">
        <v>93.507173393317402</v>
      </c>
      <c r="AJ3050">
        <v>95.683417500232594</v>
      </c>
      <c r="AK3050">
        <v>18.1845947274503</v>
      </c>
      <c r="AL3050">
        <v>80.570825292327896</v>
      </c>
      <c r="AM3050">
        <v>92.195841468886201</v>
      </c>
      <c r="AN3050">
        <v>1.0000000099534501</v>
      </c>
    </row>
    <row r="3051" spans="1:40" x14ac:dyDescent="0.25">
      <c r="A3051" t="str">
        <f>"20190312172949577"</f>
        <v>20190312172949577</v>
      </c>
      <c r="B3051" t="str">
        <f>"1552382989570243"</f>
        <v>1552382989570243</v>
      </c>
      <c r="C3051" t="s">
        <v>40</v>
      </c>
      <c r="D3051">
        <v>3.411368</v>
      </c>
      <c r="E3051">
        <v>0.48052709999999998</v>
      </c>
      <c r="F3051" t="s">
        <v>47</v>
      </c>
      <c r="G3051">
        <v>-450.36619999999999</v>
      </c>
      <c r="H3051" s="1">
        <v>-1.339292E-6</v>
      </c>
      <c r="I3051">
        <v>214.55600000000001</v>
      </c>
      <c r="J3051">
        <v>-468.28320000000002</v>
      </c>
      <c r="K3051">
        <v>1.112285</v>
      </c>
      <c r="L3051">
        <v>214.429</v>
      </c>
      <c r="M3051">
        <v>0.99613209999999996</v>
      </c>
      <c r="N3051">
        <v>0</v>
      </c>
      <c r="O3051">
        <v>-8.6770659999999999E-2</v>
      </c>
      <c r="P3051">
        <v>0.98728530000000003</v>
      </c>
      <c r="Q3051">
        <v>0.15032619999999999</v>
      </c>
      <c r="R3051">
        <v>-5.1672589999999997E-2</v>
      </c>
      <c r="S3051">
        <v>3.0685730000000002</v>
      </c>
      <c r="T3051">
        <v>-0.18840889999999999</v>
      </c>
      <c r="U3051">
        <v>1.927185E-2</v>
      </c>
      <c r="V3051">
        <v>-3.4932390000000001E-2</v>
      </c>
      <c r="W3051">
        <v>0.16384570000000001</v>
      </c>
      <c r="X3051">
        <v>0.9858673</v>
      </c>
      <c r="Y3051">
        <v>-9.2696139999999996E-2</v>
      </c>
      <c r="Z3051">
        <v>8.1614930000000006E-3</v>
      </c>
      <c r="AA3051">
        <v>0.99566100000000002</v>
      </c>
      <c r="AB3051">
        <v>19</v>
      </c>
      <c r="AC3051">
        <v>17.917000000000002</v>
      </c>
      <c r="AD3051">
        <v>-1.1122863392919999</v>
      </c>
      <c r="AE3051">
        <v>0.12699999999998099</v>
      </c>
      <c r="AF3051">
        <v>-1.67488530073556</v>
      </c>
      <c r="AG3051">
        <v>-1.1122863392919999</v>
      </c>
      <c r="AH3051">
        <v>17.769908428398001</v>
      </c>
      <c r="AI3051">
        <v>93.565925118910101</v>
      </c>
      <c r="AJ3051">
        <v>95.384450305580302</v>
      </c>
      <c r="AK3051">
        <v>17.883290167775201</v>
      </c>
      <c r="AL3051">
        <v>80.569814683185697</v>
      </c>
      <c r="AM3051">
        <v>92.0293213105452</v>
      </c>
      <c r="AN3051">
        <v>1.0000000092444401</v>
      </c>
    </row>
    <row r="3052" spans="1:40" x14ac:dyDescent="0.25">
      <c r="A3052" t="str">
        <f>"20190312172949600"</f>
        <v>20190312172949600</v>
      </c>
      <c r="B3052" t="str">
        <f>"1552382989590739"</f>
        <v>1552382989590739</v>
      </c>
      <c r="C3052" t="s">
        <v>40</v>
      </c>
      <c r="D3052">
        <v>3.377739</v>
      </c>
      <c r="E3052">
        <v>0.48080149999999999</v>
      </c>
      <c r="F3052" t="s">
        <v>47</v>
      </c>
      <c r="G3052">
        <v>-450.17899999999997</v>
      </c>
      <c r="H3052" s="1">
        <v>-1.438488E-6</v>
      </c>
      <c r="I3052">
        <v>214.54679999999999</v>
      </c>
      <c r="J3052">
        <v>-468.08539999999999</v>
      </c>
      <c r="K3052">
        <v>1.112144</v>
      </c>
      <c r="L3052">
        <v>214.41650000000001</v>
      </c>
      <c r="M3052">
        <v>0.99645629999999996</v>
      </c>
      <c r="N3052">
        <v>0</v>
      </c>
      <c r="O3052">
        <v>-8.2970429999999998E-2</v>
      </c>
      <c r="P3052">
        <v>0.9874212</v>
      </c>
      <c r="Q3052">
        <v>0.14956630000000001</v>
      </c>
      <c r="R3052">
        <v>-5.1276960000000003E-2</v>
      </c>
      <c r="S3052">
        <v>3.0683590000000001</v>
      </c>
      <c r="T3052">
        <v>-0.1885145</v>
      </c>
      <c r="U3052">
        <v>1.9973749999999998E-2</v>
      </c>
      <c r="V3052">
        <v>-3.1510700000000003E-2</v>
      </c>
      <c r="W3052">
        <v>0.163065299999999</v>
      </c>
      <c r="X3052">
        <v>0.98611190000000004</v>
      </c>
      <c r="Y3052">
        <v>-8.9139300000000005E-2</v>
      </c>
      <c r="Z3052">
        <v>7.8247980000000009E-3</v>
      </c>
      <c r="AA3052">
        <v>0.9959884</v>
      </c>
      <c r="AB3052">
        <v>19</v>
      </c>
      <c r="AC3052">
        <v>17.906399999999898</v>
      </c>
      <c r="AD3052">
        <v>-1.1121454384880001</v>
      </c>
      <c r="AE3052">
        <v>0.13029999999997699</v>
      </c>
      <c r="AF3052">
        <v>-1.60948579543575</v>
      </c>
      <c r="AG3052">
        <v>-1.1121454384880001</v>
      </c>
      <c r="AH3052">
        <v>17.765308869414898</v>
      </c>
      <c r="AI3052">
        <v>93.567587617460106</v>
      </c>
      <c r="AJ3052">
        <v>95.176700229535498</v>
      </c>
      <c r="AK3052">
        <v>17.872702963675401</v>
      </c>
      <c r="AL3052">
        <v>80.615137293337298</v>
      </c>
      <c r="AM3052">
        <v>91.830234473334102</v>
      </c>
      <c r="AN3052">
        <v>0.99999994780009305</v>
      </c>
    </row>
    <row r="3053" spans="1:40" x14ac:dyDescent="0.25">
      <c r="A3053" t="str">
        <f>"20190312172949620"</f>
        <v>20190312172949620</v>
      </c>
      <c r="B3053" t="str">
        <f>"1552382989610260"</f>
        <v>1552382989610260</v>
      </c>
      <c r="C3053" t="s">
        <v>40</v>
      </c>
      <c r="D3053">
        <v>3.395702</v>
      </c>
      <c r="E3053">
        <v>0.48095280000000001</v>
      </c>
      <c r="F3053" t="s">
        <v>47</v>
      </c>
      <c r="G3053">
        <v>-450.30959999999999</v>
      </c>
      <c r="H3053" s="1">
        <v>-1.3681909999999901E-6</v>
      </c>
      <c r="I3053">
        <v>214.52869999999999</v>
      </c>
      <c r="J3053">
        <v>-467.91699999999997</v>
      </c>
      <c r="K3053">
        <v>1.112009</v>
      </c>
      <c r="L3053">
        <v>214.40620000000001</v>
      </c>
      <c r="M3053">
        <v>0.9967049</v>
      </c>
      <c r="N3053">
        <v>0</v>
      </c>
      <c r="O3053">
        <v>-7.9938750000000003E-2</v>
      </c>
      <c r="P3053">
        <v>0.98758429999999997</v>
      </c>
      <c r="Q3053">
        <v>0.1484249</v>
      </c>
      <c r="R3053">
        <v>-5.1456899999999903E-2</v>
      </c>
      <c r="S3053">
        <v>3.068298</v>
      </c>
      <c r="T3053">
        <v>-0.19196830000000001</v>
      </c>
      <c r="U3053">
        <v>1.9378659999999999E-2</v>
      </c>
      <c r="V3053">
        <v>-2.8279970000000001E-2</v>
      </c>
      <c r="W3053">
        <v>0.1619111</v>
      </c>
      <c r="X3053">
        <v>0.98640000000000005</v>
      </c>
      <c r="Y3053">
        <v>-8.5916060000000002E-2</v>
      </c>
      <c r="Z3053">
        <v>7.6782400000000002E-3</v>
      </c>
      <c r="AA3053">
        <v>0.99627279999999996</v>
      </c>
      <c r="AB3053">
        <v>19</v>
      </c>
      <c r="AC3053">
        <v>17.607399999999899</v>
      </c>
      <c r="AD3053">
        <v>-1.1120103681910001</v>
      </c>
      <c r="AE3053">
        <v>0.12249999999997301</v>
      </c>
      <c r="AF3053">
        <v>-1.52367743184903</v>
      </c>
      <c r="AG3053">
        <v>-1.1120103681910001</v>
      </c>
      <c r="AH3053">
        <v>17.471563516429502</v>
      </c>
      <c r="AI3053">
        <v>93.6280516328288</v>
      </c>
      <c r="AJ3053">
        <v>94.984097300369001</v>
      </c>
      <c r="AK3053">
        <v>17.573095677310899</v>
      </c>
      <c r="AL3053">
        <v>80.682158891922796</v>
      </c>
      <c r="AM3053">
        <v>91.642213297438801</v>
      </c>
      <c r="AN3053">
        <v>0.99999996050320406</v>
      </c>
    </row>
    <row r="3054" spans="1:40" x14ac:dyDescent="0.25">
      <c r="A3054" t="str">
        <f>"20190312172949642"</f>
        <v>20190312172949642</v>
      </c>
      <c r="B3054" t="str">
        <f>"1552382989630759"</f>
        <v>1552382989630759</v>
      </c>
      <c r="C3054" t="s">
        <v>40</v>
      </c>
      <c r="D3054">
        <v>3.3966940000000001</v>
      </c>
      <c r="E3054">
        <v>0.48471710000000001</v>
      </c>
      <c r="F3054" t="s">
        <v>47</v>
      </c>
      <c r="G3054">
        <v>-450.50310000000002</v>
      </c>
      <c r="H3054" s="1">
        <v>-1.2643089999999999E-6</v>
      </c>
      <c r="I3054">
        <v>214.50810000000001</v>
      </c>
      <c r="J3054">
        <v>-467.72489999999999</v>
      </c>
      <c r="K3054">
        <v>1.1118459999999999</v>
      </c>
      <c r="L3054">
        <v>214.3948</v>
      </c>
      <c r="M3054">
        <v>0.9969595</v>
      </c>
      <c r="N3054">
        <v>0</v>
      </c>
      <c r="O3054">
        <v>-7.6702999999999993E-2</v>
      </c>
      <c r="P3054">
        <v>0.98776220000000003</v>
      </c>
      <c r="Q3054">
        <v>0.1469182</v>
      </c>
      <c r="R3054">
        <v>-5.2354129999999999E-2</v>
      </c>
      <c r="S3054">
        <v>3.0680540000000001</v>
      </c>
      <c r="T3054">
        <v>-0.19591919999999999</v>
      </c>
      <c r="U3054">
        <v>1.794434E-2</v>
      </c>
      <c r="V3054">
        <v>-2.4121759999999999E-2</v>
      </c>
      <c r="W3054">
        <v>0.16039439999999999</v>
      </c>
      <c r="X3054">
        <v>0.98675820000000003</v>
      </c>
      <c r="Y3054">
        <v>-8.2216860000000003E-2</v>
      </c>
      <c r="Z3054">
        <v>7.5125819999999899E-3</v>
      </c>
      <c r="AA3054">
        <v>0.99658610000000003</v>
      </c>
      <c r="AB3054">
        <v>19</v>
      </c>
      <c r="AC3054">
        <v>17.221799999999899</v>
      </c>
      <c r="AD3054">
        <v>-1.1118472643089901</v>
      </c>
      <c r="AE3054">
        <v>0.113300000000009</v>
      </c>
      <c r="AF3054">
        <v>-1.4281021874468001</v>
      </c>
      <c r="AG3054">
        <v>-1.1118472643089901</v>
      </c>
      <c r="AH3054">
        <v>17.091129838800899</v>
      </c>
      <c r="AI3054">
        <v>93.709188039645397</v>
      </c>
      <c r="AJ3054">
        <v>94.7764303237864</v>
      </c>
      <c r="AK3054">
        <v>17.186692507975199</v>
      </c>
      <c r="AL3054">
        <v>80.770210510717703</v>
      </c>
      <c r="AM3054">
        <v>91.4003429013095</v>
      </c>
      <c r="AN3054">
        <v>0.99999998406204804</v>
      </c>
    </row>
    <row r="3055" spans="1:40" x14ac:dyDescent="0.25">
      <c r="A3055" t="str">
        <f>"20190312172949665"</f>
        <v>20190312172949665</v>
      </c>
      <c r="B3055" t="str">
        <f>"1552382989661011"</f>
        <v>1552382989661011</v>
      </c>
      <c r="C3055" t="s">
        <v>40</v>
      </c>
      <c r="D3055">
        <v>3.4049629999999902</v>
      </c>
      <c r="E3055">
        <v>0.48449609999999899</v>
      </c>
      <c r="F3055" t="s">
        <v>47</v>
      </c>
      <c r="G3055">
        <v>-451.58139999999997</v>
      </c>
      <c r="H3055" s="1">
        <v>-6.8233450000000001E-7</v>
      </c>
      <c r="I3055">
        <v>214.3203</v>
      </c>
      <c r="J3055">
        <v>-467.53370000000001</v>
      </c>
      <c r="K3055">
        <v>1.111683</v>
      </c>
      <c r="L3055">
        <v>214.3837</v>
      </c>
      <c r="M3055">
        <v>0.99718260000000003</v>
      </c>
      <c r="N3055">
        <v>0</v>
      </c>
      <c r="O3055">
        <v>-7.3754669999999994E-2</v>
      </c>
      <c r="P3055">
        <v>0.98799689999999996</v>
      </c>
      <c r="Q3055">
        <v>0.1446182</v>
      </c>
      <c r="R3055">
        <v>-5.4295910000000003E-2</v>
      </c>
      <c r="S3055">
        <v>3.0678100000000001</v>
      </c>
      <c r="T3055">
        <v>-0.21128830000000001</v>
      </c>
      <c r="U3055">
        <v>-1.416016E-2</v>
      </c>
      <c r="V3055">
        <v>-1.921175E-2</v>
      </c>
      <c r="W3055">
        <v>0.15808910000000001</v>
      </c>
      <c r="X3055">
        <v>0.9872379</v>
      </c>
      <c r="Y3055">
        <v>-6.8820190000000003E-2</v>
      </c>
      <c r="Z3055">
        <v>7.4375400000000003E-3</v>
      </c>
      <c r="AA3055">
        <v>0.99760130000000002</v>
      </c>
      <c r="AB3055">
        <v>19</v>
      </c>
      <c r="AC3055">
        <v>15.952299999999999</v>
      </c>
      <c r="AD3055">
        <v>-1.1116836823345</v>
      </c>
      <c r="AE3055">
        <v>-6.34000000000014E-2</v>
      </c>
      <c r="AF3055">
        <v>-1.1080583119354701</v>
      </c>
      <c r="AG3055">
        <v>-1.1116836823345</v>
      </c>
      <c r="AH3055">
        <v>15.8366129431096</v>
      </c>
      <c r="AI3055">
        <v>94.005647547444795</v>
      </c>
      <c r="AJ3055">
        <v>94.002356251651406</v>
      </c>
      <c r="AK3055">
        <v>15.9142057088026</v>
      </c>
      <c r="AL3055">
        <v>80.9040015398554</v>
      </c>
      <c r="AM3055">
        <v>91.114840985778798</v>
      </c>
      <c r="AN3055">
        <v>0.99999996303663996</v>
      </c>
    </row>
    <row r="3056" spans="1:40" x14ac:dyDescent="0.25">
      <c r="A3056" t="str">
        <f>"20190312172949687"</f>
        <v>20190312172949687</v>
      </c>
      <c r="B3056" t="str">
        <f>"1552382989680532"</f>
        <v>1552382989680532</v>
      </c>
      <c r="C3056" t="s">
        <v>40</v>
      </c>
      <c r="D3056">
        <v>3.4837989999999999</v>
      </c>
      <c r="E3056">
        <v>0.48471809999999999</v>
      </c>
      <c r="F3056" t="s">
        <v>47</v>
      </c>
      <c r="G3056">
        <v>-451.8784</v>
      </c>
      <c r="H3056" s="1">
        <v>-5.2301159999999995E-7</v>
      </c>
      <c r="I3056">
        <v>214.2912</v>
      </c>
      <c r="J3056">
        <v>-467.34769999999997</v>
      </c>
      <c r="K3056">
        <v>1.111534</v>
      </c>
      <c r="L3056">
        <v>214.3732</v>
      </c>
      <c r="M3056">
        <v>0.99737339999999997</v>
      </c>
      <c r="N3056">
        <v>0</v>
      </c>
      <c r="O3056">
        <v>-7.1132870000000001E-2</v>
      </c>
      <c r="P3056">
        <v>0.98820719999999995</v>
      </c>
      <c r="Q3056">
        <v>0.142095</v>
      </c>
      <c r="R3056">
        <v>-5.7056040000000002E-2</v>
      </c>
      <c r="S3056">
        <v>3.0673520000000001</v>
      </c>
      <c r="T3056">
        <v>-0.21781239999999999</v>
      </c>
      <c r="U3056">
        <v>-1.8127440000000002E-2</v>
      </c>
      <c r="V3056">
        <v>-1.3814750000000001E-2</v>
      </c>
      <c r="W3056">
        <v>0.15556159999999999</v>
      </c>
      <c r="X3056">
        <v>0.98772959999999999</v>
      </c>
      <c r="Y3056">
        <v>-6.4901260000000002E-2</v>
      </c>
      <c r="Z3056">
        <v>7.3431429999999999E-3</v>
      </c>
      <c r="AA3056">
        <v>0.99786470000000005</v>
      </c>
      <c r="AB3056">
        <v>19</v>
      </c>
      <c r="AC3056">
        <v>15.469299999999899</v>
      </c>
      <c r="AD3056">
        <v>-1.1115345230116001</v>
      </c>
      <c r="AE3056">
        <v>-8.1999999999993606E-2</v>
      </c>
      <c r="AF3056">
        <v>-1.0134536970016601</v>
      </c>
      <c r="AG3056">
        <v>-1.1115345230116001</v>
      </c>
      <c r="AH3056">
        <v>15.356655416629399</v>
      </c>
      <c r="AI3056">
        <v>94.130967981077504</v>
      </c>
      <c r="AJ3056">
        <v>93.775727142542394</v>
      </c>
      <c r="AK3056">
        <v>15.430147859852299</v>
      </c>
      <c r="AL3056">
        <v>81.050631442351104</v>
      </c>
      <c r="AM3056">
        <v>90.801307628780705</v>
      </c>
      <c r="AN3056">
        <v>1.00000001071414</v>
      </c>
    </row>
    <row r="3057" spans="1:40" x14ac:dyDescent="0.25">
      <c r="A3057" t="str">
        <f>"20190312172949709"</f>
        <v>20190312172949709</v>
      </c>
      <c r="B3057" t="str">
        <f>"1552382989701028"</f>
        <v>1552382989701028</v>
      </c>
      <c r="C3057" t="s">
        <v>40</v>
      </c>
      <c r="D3057">
        <v>3.580673</v>
      </c>
      <c r="E3057">
        <v>0.51057359999999996</v>
      </c>
      <c r="F3057" t="s">
        <v>47</v>
      </c>
      <c r="G3057">
        <v>-452.10539999999997</v>
      </c>
      <c r="H3057" s="1">
        <v>-3.9958939999999999E-7</v>
      </c>
      <c r="I3057">
        <v>214.23159999999999</v>
      </c>
      <c r="J3057">
        <v>-467.15550000000002</v>
      </c>
      <c r="K3057">
        <v>1.111408</v>
      </c>
      <c r="L3057">
        <v>214.36269999999999</v>
      </c>
      <c r="M3057">
        <v>0.99754920000000002</v>
      </c>
      <c r="N3057">
        <v>0</v>
      </c>
      <c r="O3057">
        <v>-6.8629350000000006E-2</v>
      </c>
      <c r="P3057">
        <v>0.98844200000000004</v>
      </c>
      <c r="Q3057">
        <v>0.1387787</v>
      </c>
      <c r="R3057">
        <v>-6.1015529999999998E-2</v>
      </c>
      <c r="S3057">
        <v>3.066284</v>
      </c>
      <c r="T3057">
        <v>-0.22360720000000001</v>
      </c>
      <c r="U3057">
        <v>-2.8488159999999998E-2</v>
      </c>
      <c r="V3057">
        <v>-7.3498219999999998E-3</v>
      </c>
      <c r="W3057">
        <v>0.1522442</v>
      </c>
      <c r="X3057">
        <v>0.98831559999999896</v>
      </c>
      <c r="Y3057">
        <v>-5.9025599999999998E-2</v>
      </c>
      <c r="Z3057">
        <v>7.1444339999999999E-3</v>
      </c>
      <c r="AA3057">
        <v>0.99823090000000003</v>
      </c>
      <c r="AB3057">
        <v>19</v>
      </c>
      <c r="AC3057">
        <v>15.0501</v>
      </c>
      <c r="AD3057">
        <v>-1.11140839958939</v>
      </c>
      <c r="AE3057">
        <v>-0.13110000000000299</v>
      </c>
      <c r="AF3057">
        <v>-0.89729068197414796</v>
      </c>
      <c r="AG3057">
        <v>-1.11140839958939</v>
      </c>
      <c r="AH3057">
        <v>14.942127377903899</v>
      </c>
      <c r="AI3057">
        <v>94.246255128240804</v>
      </c>
      <c r="AJ3057">
        <v>93.436545742152802</v>
      </c>
      <c r="AK3057">
        <v>15.0102474921681</v>
      </c>
      <c r="AL3057">
        <v>81.242996484188694</v>
      </c>
      <c r="AM3057">
        <v>90.426084560270198</v>
      </c>
      <c r="AN3057">
        <v>1.00000002076021</v>
      </c>
    </row>
    <row r="3058" spans="1:40" x14ac:dyDescent="0.25">
      <c r="A3058" t="str">
        <f>"20190312172949732"</f>
        <v>20190312172949732</v>
      </c>
      <c r="B3058" t="str">
        <f>"1552382989720547"</f>
        <v>1552382989720547</v>
      </c>
      <c r="C3058" t="s">
        <v>40</v>
      </c>
      <c r="D3058">
        <v>3.5491429999999999</v>
      </c>
      <c r="E3058">
        <v>0.55809940000000002</v>
      </c>
      <c r="F3058" t="s">
        <v>42</v>
      </c>
      <c r="G3058">
        <v>-466.32889999999998</v>
      </c>
      <c r="H3058">
        <v>1.0062610000000001</v>
      </c>
      <c r="I3058">
        <v>214.29759999999999</v>
      </c>
      <c r="J3058">
        <v>-466.9676</v>
      </c>
      <c r="K3058">
        <v>1.1113040000000001</v>
      </c>
      <c r="L3058">
        <v>214.3526</v>
      </c>
      <c r="M3058">
        <v>0.99770300000000001</v>
      </c>
      <c r="N3058">
        <v>0</v>
      </c>
      <c r="O3058">
        <v>-6.6361550000000005E-2</v>
      </c>
      <c r="P3058">
        <v>0.98849589999999998</v>
      </c>
      <c r="Q3058">
        <v>0.13618150000000001</v>
      </c>
      <c r="R3058">
        <v>-6.5807820000000003E-2</v>
      </c>
      <c r="S3058">
        <v>3.0751949999999999</v>
      </c>
      <c r="T3058">
        <v>-0.39153559999999998</v>
      </c>
      <c r="U3058">
        <v>-0.24085999999999999</v>
      </c>
      <c r="V3058">
        <v>-2.8600799999999998E-4</v>
      </c>
      <c r="W3058">
        <v>0.149645</v>
      </c>
      <c r="X3058">
        <v>0.9887397</v>
      </c>
      <c r="Y3058">
        <v>1.218077E-2</v>
      </c>
      <c r="Z3058">
        <v>7.6220609999999899E-3</v>
      </c>
      <c r="AA3058">
        <v>0.99989680000000003</v>
      </c>
      <c r="AB3058">
        <v>19</v>
      </c>
      <c r="AC3058">
        <v>0.63870000000002802</v>
      </c>
      <c r="AD3058">
        <v>-0.105043</v>
      </c>
      <c r="AE3058">
        <v>-5.50000000000068E-2</v>
      </c>
      <c r="AF3058">
        <v>1.21631269491559E-2</v>
      </c>
      <c r="AG3058">
        <v>-0.105043</v>
      </c>
      <c r="AH3058">
        <v>0.62418320066272204</v>
      </c>
      <c r="AI3058">
        <v>99.550944313172295</v>
      </c>
      <c r="AJ3058">
        <v>88.883648822636005</v>
      </c>
      <c r="AK3058">
        <v>0.63307712128597804</v>
      </c>
      <c r="AL3058">
        <v>81.393645219337103</v>
      </c>
      <c r="AM3058">
        <v>90.016573675407102</v>
      </c>
      <c r="AN3058">
        <v>0.99999995109083095</v>
      </c>
    </row>
    <row r="3059" spans="1:40" x14ac:dyDescent="0.25">
      <c r="A3059" t="str">
        <f>"20190312172949753"</f>
        <v>20190312172949753</v>
      </c>
      <c r="B3059" t="str">
        <f>"1552382989750803"</f>
        <v>1552382989750803</v>
      </c>
      <c r="C3059" t="s">
        <v>40</v>
      </c>
      <c r="D3059">
        <v>3.4748420000000002</v>
      </c>
      <c r="E3059">
        <v>0.56088470000000001</v>
      </c>
      <c r="F3059" t="s">
        <v>42</v>
      </c>
      <c r="G3059">
        <v>-466.19659999999999</v>
      </c>
      <c r="H3059">
        <v>0.94369239999999999</v>
      </c>
      <c r="I3059">
        <v>214.1961</v>
      </c>
      <c r="J3059">
        <v>-466.78140000000002</v>
      </c>
      <c r="K3059">
        <v>1.1112059999999999</v>
      </c>
      <c r="L3059">
        <v>214.34280000000001</v>
      </c>
      <c r="M3059">
        <v>0.99783909999999998</v>
      </c>
      <c r="N3059">
        <v>0</v>
      </c>
      <c r="O3059">
        <v>-6.4286910000000003E-2</v>
      </c>
      <c r="P3059">
        <v>0.98857240000000002</v>
      </c>
      <c r="Q3059">
        <v>0.13353039999999999</v>
      </c>
      <c r="R3059">
        <v>-6.9959859999999999E-2</v>
      </c>
      <c r="S3059">
        <v>3.0858150000000002</v>
      </c>
      <c r="T3059">
        <v>-0.67121160000000002</v>
      </c>
      <c r="U3059">
        <v>-0.62455749999999999</v>
      </c>
      <c r="V3059">
        <v>5.9430209999999997E-3</v>
      </c>
      <c r="W3059">
        <v>0.14699010000000001</v>
      </c>
      <c r="X3059">
        <v>0.98912009999999995</v>
      </c>
      <c r="Y3059">
        <v>0.13339889999999999</v>
      </c>
      <c r="Z3059">
        <v>-5.4130140000000003E-4</v>
      </c>
      <c r="AA3059">
        <v>0.99106229999999995</v>
      </c>
      <c r="AB3059">
        <v>19</v>
      </c>
      <c r="AC3059">
        <v>0.58480000000002896</v>
      </c>
      <c r="AD3059">
        <v>-0.16751359999999901</v>
      </c>
      <c r="AE3059">
        <v>-0.14670000000000899</v>
      </c>
      <c r="AF3059">
        <v>0.10100137547435201</v>
      </c>
      <c r="AG3059">
        <v>-0.16751359999999901</v>
      </c>
      <c r="AH3059">
        <v>0.55052483993979495</v>
      </c>
      <c r="AI3059">
        <v>106.661637129421</v>
      </c>
      <c r="AJ3059">
        <v>79.603910609859597</v>
      </c>
      <c r="AK3059">
        <v>0.58424282915873904</v>
      </c>
      <c r="AL3059">
        <v>81.547461413205397</v>
      </c>
      <c r="AM3059">
        <v>89.655748656418595</v>
      </c>
      <c r="AN3059">
        <v>0.99999999061031297</v>
      </c>
    </row>
    <row r="3060" spans="1:40" x14ac:dyDescent="0.25">
      <c r="A3060" t="str">
        <f>"20190312172949779"</f>
        <v>20190312172949779</v>
      </c>
      <c r="B3060" t="str">
        <f>"1552382989770323"</f>
        <v>1552382989770323</v>
      </c>
      <c r="C3060" t="s">
        <v>40</v>
      </c>
      <c r="D3060">
        <v>3.5051749999999999</v>
      </c>
      <c r="E3060">
        <v>0.56176809999999999</v>
      </c>
      <c r="F3060" t="s">
        <v>42</v>
      </c>
      <c r="G3060">
        <v>-466.02890000000002</v>
      </c>
      <c r="H3060">
        <v>0.94071870000000002</v>
      </c>
      <c r="I3060">
        <v>214.18170000000001</v>
      </c>
      <c r="J3060">
        <v>-466.57139999999998</v>
      </c>
      <c r="K3060">
        <v>1.11111</v>
      </c>
      <c r="L3060">
        <v>214.3321</v>
      </c>
      <c r="M3060">
        <v>0.9979749</v>
      </c>
      <c r="N3060">
        <v>0</v>
      </c>
      <c r="O3060">
        <v>-6.2147729999999998E-2</v>
      </c>
      <c r="P3060">
        <v>0.98845810000000001</v>
      </c>
      <c r="Q3060">
        <v>0.13238989999999901</v>
      </c>
      <c r="R3060">
        <v>-7.3645470000000005E-2</v>
      </c>
      <c r="S3060">
        <v>3.0824579999999999</v>
      </c>
      <c r="T3060">
        <v>-0.6986483</v>
      </c>
      <c r="U3060">
        <v>-0.65852359999999999</v>
      </c>
      <c r="V3060">
        <v>1.1787229999999999E-2</v>
      </c>
      <c r="W3060">
        <v>0.1458382</v>
      </c>
      <c r="X3060">
        <v>0.98923819999999996</v>
      </c>
      <c r="Y3060">
        <v>0.14571289999999901</v>
      </c>
      <c r="Z3060">
        <v>-2.3987069999999999E-3</v>
      </c>
      <c r="AA3060">
        <v>0.98932399999999998</v>
      </c>
      <c r="AB3060">
        <v>19</v>
      </c>
      <c r="AC3060">
        <v>0.54249999999996101</v>
      </c>
      <c r="AD3060">
        <v>-0.1703913</v>
      </c>
      <c r="AE3060">
        <v>-0.15039999999998999</v>
      </c>
      <c r="AF3060">
        <v>0.106623355983856</v>
      </c>
      <c r="AG3060">
        <v>-0.1703913</v>
      </c>
      <c r="AH3060">
        <v>0.50457553619112205</v>
      </c>
      <c r="AI3060">
        <v>108.283363457071</v>
      </c>
      <c r="AJ3060">
        <v>78.068189622608799</v>
      </c>
      <c r="AK3060">
        <v>0.54313737385629102</v>
      </c>
      <c r="AL3060">
        <v>81.614179228612102</v>
      </c>
      <c r="AM3060">
        <v>89.317326633966601</v>
      </c>
      <c r="AN3060">
        <v>0.99999996785477496</v>
      </c>
    </row>
    <row r="3061" spans="1:40" x14ac:dyDescent="0.25">
      <c r="A3061" t="str">
        <f>"20190312172949801"</f>
        <v>20190312172949801</v>
      </c>
      <c r="B3061" t="str">
        <f>"1552382989790819"</f>
        <v>1552382989790819</v>
      </c>
      <c r="C3061" t="s">
        <v>40</v>
      </c>
      <c r="D3061">
        <v>3.4936579999999999</v>
      </c>
      <c r="E3061">
        <v>0.56213029999999997</v>
      </c>
      <c r="F3061" t="s">
        <v>42</v>
      </c>
      <c r="G3061">
        <v>-465.85660000000001</v>
      </c>
      <c r="H3061">
        <v>0.94712640000000003</v>
      </c>
      <c r="I3061">
        <v>214.17449999999999</v>
      </c>
      <c r="J3061">
        <v>-466.38279999999997</v>
      </c>
      <c r="K3061">
        <v>1.1110070000000001</v>
      </c>
      <c r="L3061">
        <v>214.32259999999999</v>
      </c>
      <c r="M3061">
        <v>0.99808220000000003</v>
      </c>
      <c r="N3061">
        <v>0</v>
      </c>
      <c r="O3061">
        <v>-6.0405540000000001E-2</v>
      </c>
      <c r="P3061">
        <v>0.98815850000000005</v>
      </c>
      <c r="Q3061">
        <v>0.1327421</v>
      </c>
      <c r="R3061">
        <v>-7.6957360000000002E-2</v>
      </c>
      <c r="S3061">
        <v>3.079224</v>
      </c>
      <c r="T3061">
        <v>-0.70680399999999999</v>
      </c>
      <c r="U3061">
        <v>-0.67726140000000001</v>
      </c>
      <c r="V3061">
        <v>1.6875879999999999E-2</v>
      </c>
      <c r="W3061">
        <v>0.1461769</v>
      </c>
      <c r="X3061">
        <v>0.98911450000000001</v>
      </c>
      <c r="Y3061">
        <v>0.15312300000000001</v>
      </c>
      <c r="Z3061">
        <v>-3.646083E-3</v>
      </c>
      <c r="AA3061">
        <v>0.98820039999999998</v>
      </c>
      <c r="AB3061">
        <v>19</v>
      </c>
      <c r="AC3061">
        <v>0.52619999999996003</v>
      </c>
      <c r="AD3061">
        <v>-0.16388059999999899</v>
      </c>
      <c r="AE3061">
        <v>-0.14809999999999901</v>
      </c>
      <c r="AF3061">
        <v>0.106471898265756</v>
      </c>
      <c r="AG3061">
        <v>-0.16388059999999899</v>
      </c>
      <c r="AH3061">
        <v>0.49013434070935802</v>
      </c>
      <c r="AI3061">
        <v>108.09419222658801</v>
      </c>
      <c r="AJ3061">
        <v>77.744049842650895</v>
      </c>
      <c r="AK3061">
        <v>0.52765972758897395</v>
      </c>
      <c r="AL3061">
        <v>81.594563097362993</v>
      </c>
      <c r="AM3061">
        <v>89.022536932438697</v>
      </c>
      <c r="AN3061">
        <v>0.99999998776481702</v>
      </c>
    </row>
    <row r="3062" spans="1:40" x14ac:dyDescent="0.25">
      <c r="A3062" t="str">
        <f>"20190312172949823"</f>
        <v>20190312172949823</v>
      </c>
      <c r="B3062" t="str">
        <f>"1552382989810341"</f>
        <v>1552382989810341</v>
      </c>
      <c r="C3062" t="s">
        <v>40</v>
      </c>
      <c r="D3062">
        <v>3.4727450000000002</v>
      </c>
      <c r="E3062">
        <v>0.56210930000000003</v>
      </c>
      <c r="F3062" t="s">
        <v>42</v>
      </c>
      <c r="G3062">
        <v>-465.6859</v>
      </c>
      <c r="H3062">
        <v>0.95072409999999996</v>
      </c>
      <c r="I3062">
        <v>214.16650000000001</v>
      </c>
      <c r="J3062">
        <v>-466.19810000000001</v>
      </c>
      <c r="K3062">
        <v>1.1108960000000001</v>
      </c>
      <c r="L3062">
        <v>214.3134</v>
      </c>
      <c r="M3062">
        <v>0.99817389999999995</v>
      </c>
      <c r="N3062">
        <v>0</v>
      </c>
      <c r="O3062">
        <v>-5.8874940000000001E-2</v>
      </c>
      <c r="P3062">
        <v>0.98788960000000003</v>
      </c>
      <c r="Q3062">
        <v>0.13299659999999999</v>
      </c>
      <c r="R3062">
        <v>-7.9913970000000001E-2</v>
      </c>
      <c r="S3062">
        <v>3.0773320000000002</v>
      </c>
      <c r="T3062">
        <v>-0.70783929999999995</v>
      </c>
      <c r="U3062">
        <v>-0.68934629999999997</v>
      </c>
      <c r="V3062">
        <v>2.1402299999999999E-2</v>
      </c>
      <c r="W3062">
        <v>0.1464152</v>
      </c>
      <c r="X3062">
        <v>0.98899170000000003</v>
      </c>
      <c r="Y3062">
        <v>0.1582885</v>
      </c>
      <c r="Z3062">
        <v>-4.5737379999999999E-3</v>
      </c>
      <c r="AA3062">
        <v>0.98738230000000005</v>
      </c>
      <c r="AB3062">
        <v>19</v>
      </c>
      <c r="AC3062">
        <v>0.51220000000000698</v>
      </c>
      <c r="AD3062">
        <v>-0.16017189999999901</v>
      </c>
      <c r="AE3062">
        <v>-0.14689999999998801</v>
      </c>
      <c r="AF3062">
        <v>0.106833445042138</v>
      </c>
      <c r="AG3062">
        <v>-0.16017189999999901</v>
      </c>
      <c r="AH3062">
        <v>0.476871964103949</v>
      </c>
      <c r="AI3062">
        <v>108.14687114386</v>
      </c>
      <c r="AJ3062">
        <v>77.372547100044898</v>
      </c>
      <c r="AK3062">
        <v>0.51427161371938401</v>
      </c>
      <c r="AL3062">
        <v>81.580761338108204</v>
      </c>
      <c r="AM3062">
        <v>88.760282729182904</v>
      </c>
      <c r="AN3062">
        <v>1.0000000259526001</v>
      </c>
    </row>
    <row r="3063" spans="1:40" x14ac:dyDescent="0.25">
      <c r="A3063" t="str">
        <f>"20190312172949844"</f>
        <v>20190312172949844</v>
      </c>
      <c r="B3063" t="str">
        <f>"1552382989840596"</f>
        <v>1552382989840596</v>
      </c>
      <c r="C3063" t="s">
        <v>40</v>
      </c>
      <c r="D3063">
        <v>3.490529</v>
      </c>
      <c r="E3063">
        <v>0.56206230000000001</v>
      </c>
      <c r="F3063" t="s">
        <v>42</v>
      </c>
      <c r="G3063">
        <v>-465.51569999999998</v>
      </c>
      <c r="H3063">
        <v>0.953905</v>
      </c>
      <c r="I3063">
        <v>214.1583</v>
      </c>
      <c r="J3063">
        <v>-466.01929999999999</v>
      </c>
      <c r="K3063">
        <v>1.110773</v>
      </c>
      <c r="L3063">
        <v>214.30449999999999</v>
      </c>
      <c r="M3063">
        <v>0.99824950000000001</v>
      </c>
      <c r="N3063">
        <v>0</v>
      </c>
      <c r="O3063">
        <v>-5.7581540000000001E-2</v>
      </c>
      <c r="P3063">
        <v>0.98792650000000004</v>
      </c>
      <c r="Q3063">
        <v>0.1312506</v>
      </c>
      <c r="R3063">
        <v>-8.2308359999999997E-2</v>
      </c>
      <c r="S3063">
        <v>3.0756839999999999</v>
      </c>
      <c r="T3063">
        <v>-0.70782690000000004</v>
      </c>
      <c r="U3063">
        <v>-0.69711299999999998</v>
      </c>
      <c r="V3063">
        <v>2.5117779999999999E-2</v>
      </c>
      <c r="W3063">
        <v>0.14465549999999999</v>
      </c>
      <c r="X3063">
        <v>0.98916320000000002</v>
      </c>
      <c r="Y3063">
        <v>0.16192879999999901</v>
      </c>
      <c r="Z3063">
        <v>-5.2725139999999998E-3</v>
      </c>
      <c r="AA3063">
        <v>0.98678840000000001</v>
      </c>
      <c r="AB3063">
        <v>19</v>
      </c>
      <c r="AC3063">
        <v>0.50360000000000504</v>
      </c>
      <c r="AD3063">
        <v>-0.15686800000000001</v>
      </c>
      <c r="AE3063">
        <v>-0.146199999999993</v>
      </c>
      <c r="AF3063">
        <v>0.107350306687995</v>
      </c>
      <c r="AG3063">
        <v>-0.15686800000000001</v>
      </c>
      <c r="AH3063">
        <v>0.46919683800609102</v>
      </c>
      <c r="AI3063">
        <v>108.051384721871</v>
      </c>
      <c r="AJ3063">
        <v>77.112777056927797</v>
      </c>
      <c r="AK3063">
        <v>0.506238412771019</v>
      </c>
      <c r="AL3063">
        <v>81.682669331177905</v>
      </c>
      <c r="AM3063">
        <v>88.545403242380402</v>
      </c>
      <c r="AN3063">
        <v>0.99999997639330895</v>
      </c>
    </row>
    <row r="3064" spans="1:40" x14ac:dyDescent="0.25">
      <c r="A3064" t="str">
        <f>"20190312172949865"</f>
        <v>20190312172949865</v>
      </c>
      <c r="B3064" t="str">
        <f>"1552382989860115"</f>
        <v>1552382989860115</v>
      </c>
      <c r="C3064" t="s">
        <v>40</v>
      </c>
      <c r="D3064">
        <v>3.4676740000000001</v>
      </c>
      <c r="E3064">
        <v>0.56172259999999996</v>
      </c>
      <c r="F3064" t="s">
        <v>42</v>
      </c>
      <c r="G3064">
        <v>-465.19490000000002</v>
      </c>
      <c r="H3064">
        <v>0.9192475</v>
      </c>
      <c r="I3064">
        <v>214.11529999999999</v>
      </c>
      <c r="J3064">
        <v>-465.8365</v>
      </c>
      <c r="K3064">
        <v>1.110657</v>
      </c>
      <c r="L3064">
        <v>214.2953</v>
      </c>
      <c r="M3064">
        <v>0.99831329999999996</v>
      </c>
      <c r="N3064">
        <v>0</v>
      </c>
      <c r="O3064">
        <v>-5.6463649999999997E-2</v>
      </c>
      <c r="P3064">
        <v>0.98799289999999995</v>
      </c>
      <c r="Q3064">
        <v>0.12956010000000001</v>
      </c>
      <c r="R3064">
        <v>-8.4169800000000003E-2</v>
      </c>
      <c r="S3064">
        <v>3.072937</v>
      </c>
      <c r="T3064">
        <v>-0.71413649999999995</v>
      </c>
      <c r="U3064">
        <v>-0.70373540000000001</v>
      </c>
      <c r="V3064">
        <v>2.8124179999999999E-2</v>
      </c>
      <c r="W3064">
        <v>0.14294960000000001</v>
      </c>
      <c r="X3064">
        <v>0.9893303</v>
      </c>
      <c r="Y3064">
        <v>0.1650874</v>
      </c>
      <c r="Z3064">
        <v>-5.9317340000000001E-3</v>
      </c>
      <c r="AA3064">
        <v>0.9862611</v>
      </c>
      <c r="AB3064">
        <v>19</v>
      </c>
      <c r="AC3064">
        <v>0.64159999999998196</v>
      </c>
      <c r="AD3064">
        <v>-0.19140950000000001</v>
      </c>
      <c r="AE3064">
        <v>-0.18000000000000599</v>
      </c>
      <c r="AF3064">
        <v>0.13254631009078999</v>
      </c>
      <c r="AG3064">
        <v>-0.19140950000000001</v>
      </c>
      <c r="AH3064">
        <v>0.60114178926323403</v>
      </c>
      <c r="AI3064">
        <v>107.272622146948</v>
      </c>
      <c r="AJ3064">
        <v>77.565754766380195</v>
      </c>
      <c r="AK3064">
        <v>0.64465306313360304</v>
      </c>
      <c r="AL3064">
        <v>81.781436961828106</v>
      </c>
      <c r="AM3064">
        <v>88.371663176574799</v>
      </c>
      <c r="AN3064">
        <v>1.00000000006946</v>
      </c>
    </row>
    <row r="3065" spans="1:40" x14ac:dyDescent="0.25">
      <c r="A3065" t="str">
        <f>"20190312172949888"</f>
        <v>20190312172949888</v>
      </c>
      <c r="B3065" t="str">
        <f>"1552382989880611"</f>
        <v>1552382989880611</v>
      </c>
      <c r="C3065" t="s">
        <v>40</v>
      </c>
      <c r="D3065">
        <v>3.4712420000000002</v>
      </c>
      <c r="E3065">
        <v>0.56196999999999997</v>
      </c>
      <c r="F3065" t="s">
        <v>42</v>
      </c>
      <c r="G3065">
        <v>-465.0258</v>
      </c>
      <c r="H3065">
        <v>0.92106750000000004</v>
      </c>
      <c r="I3065">
        <v>214.10830000000001</v>
      </c>
      <c r="J3065">
        <v>-465.64929999999998</v>
      </c>
      <c r="K3065">
        <v>1.110565</v>
      </c>
      <c r="L3065">
        <v>214.286</v>
      </c>
      <c r="M3065">
        <v>0.99836780000000003</v>
      </c>
      <c r="N3065">
        <v>0</v>
      </c>
      <c r="O3065">
        <v>-5.5498430000000001E-2</v>
      </c>
      <c r="P3065">
        <v>0.98794409999999999</v>
      </c>
      <c r="Q3065">
        <v>0.12899189999999999</v>
      </c>
      <c r="R3065">
        <v>-8.5602410000000004E-2</v>
      </c>
      <c r="S3065">
        <v>3.0702509999999998</v>
      </c>
      <c r="T3065">
        <v>-0.71796969999999904</v>
      </c>
      <c r="U3065">
        <v>-0.70834350000000001</v>
      </c>
      <c r="V3065">
        <v>3.0549150000000001E-2</v>
      </c>
      <c r="W3065">
        <v>0.14236489999999999</v>
      </c>
      <c r="X3065">
        <v>0.98934270000000002</v>
      </c>
      <c r="Y3065">
        <v>0.1675142</v>
      </c>
      <c r="Z3065">
        <v>-6.4624089999999997E-3</v>
      </c>
      <c r="AA3065">
        <v>0.98584850000000002</v>
      </c>
      <c r="AB3065">
        <v>19</v>
      </c>
      <c r="AC3065">
        <v>0.62349999999997796</v>
      </c>
      <c r="AD3065">
        <v>-0.18949750000000001</v>
      </c>
      <c r="AE3065">
        <v>-0.177699999999958</v>
      </c>
      <c r="AF3065">
        <v>0.13157871786032599</v>
      </c>
      <c r="AG3065">
        <v>-0.18949750000000001</v>
      </c>
      <c r="AH3065">
        <v>0.58262723142540696</v>
      </c>
      <c r="AI3065">
        <v>107.601981580084</v>
      </c>
      <c r="AJ3065">
        <v>77.273985328732607</v>
      </c>
      <c r="AK3065">
        <v>0.62663925212075</v>
      </c>
      <c r="AL3065">
        <v>81.815283958990406</v>
      </c>
      <c r="AM3065">
        <v>88.231369791677295</v>
      </c>
      <c r="AN3065">
        <v>0.99999999668051098</v>
      </c>
    </row>
    <row r="3066" spans="1:40" x14ac:dyDescent="0.25">
      <c r="A3066" t="str">
        <f>"20190312172949910"</f>
        <v>20190312172949910</v>
      </c>
      <c r="B3066" t="str">
        <f>"1552382989900131"</f>
        <v>1552382989900131</v>
      </c>
      <c r="C3066" t="s">
        <v>40</v>
      </c>
      <c r="D3066">
        <v>3.4836450000000001</v>
      </c>
      <c r="E3066">
        <v>0.57851419999999998</v>
      </c>
      <c r="F3066" t="s">
        <v>42</v>
      </c>
      <c r="G3066">
        <v>-464.85629999999998</v>
      </c>
      <c r="H3066">
        <v>0.92435999999999996</v>
      </c>
      <c r="I3066">
        <v>214.1011</v>
      </c>
      <c r="J3066">
        <v>-465.45659999999998</v>
      </c>
      <c r="K3066">
        <v>1.1104799999999999</v>
      </c>
      <c r="L3066">
        <v>214.2764</v>
      </c>
      <c r="M3066">
        <v>0.99841259999999998</v>
      </c>
      <c r="N3066">
        <v>0</v>
      </c>
      <c r="O3066">
        <v>-5.4687189999999997E-2</v>
      </c>
      <c r="P3066">
        <v>0.98786309999999999</v>
      </c>
      <c r="Q3066">
        <v>0.1287922</v>
      </c>
      <c r="R3066">
        <v>-8.6829310000000007E-2</v>
      </c>
      <c r="S3066">
        <v>3.0687259999999998</v>
      </c>
      <c r="T3066">
        <v>-0.72063449999999996</v>
      </c>
      <c r="U3066">
        <v>-0.71498109999999904</v>
      </c>
      <c r="V3066">
        <v>3.2610609999999998E-2</v>
      </c>
      <c r="W3066">
        <v>0.14214869999999999</v>
      </c>
      <c r="X3066">
        <v>0.98930799999999997</v>
      </c>
      <c r="Y3066">
        <v>0.1703297</v>
      </c>
      <c r="Z3066">
        <v>-6.9943150000000001E-3</v>
      </c>
      <c r="AA3066">
        <v>0.98536230000000002</v>
      </c>
      <c r="AB3066">
        <v>19</v>
      </c>
      <c r="AC3066">
        <v>0.60030000000000405</v>
      </c>
      <c r="AD3066">
        <v>-0.18611999999999901</v>
      </c>
      <c r="AE3066">
        <v>-0.17529999999999199</v>
      </c>
      <c r="AF3066">
        <v>0.13063498038312199</v>
      </c>
      <c r="AG3066">
        <v>-0.18611999999999901</v>
      </c>
      <c r="AH3066">
        <v>0.55943712717931504</v>
      </c>
      <c r="AI3066">
        <v>107.951077669318</v>
      </c>
      <c r="AJ3066">
        <v>76.856299129954493</v>
      </c>
      <c r="AK3066">
        <v>0.60388413770055605</v>
      </c>
      <c r="AL3066">
        <v>81.827798707661103</v>
      </c>
      <c r="AM3066">
        <v>88.112039898900605</v>
      </c>
      <c r="AN3066">
        <v>1.00000001183013</v>
      </c>
    </row>
    <row r="3067" spans="1:40" x14ac:dyDescent="0.25">
      <c r="A3067" t="str">
        <f>"20190312172949932"</f>
        <v>20190312172949932</v>
      </c>
      <c r="B3067" t="str">
        <f>"1552382989920631"</f>
        <v>1552382989920631</v>
      </c>
      <c r="C3067" t="s">
        <v>40</v>
      </c>
      <c r="D3067">
        <v>3.4999400000000001</v>
      </c>
      <c r="E3067">
        <v>0.57801340000000001</v>
      </c>
      <c r="F3067" t="s">
        <v>42</v>
      </c>
      <c r="G3067">
        <v>-464.68729999999999</v>
      </c>
      <c r="H3067">
        <v>0.92697050000000003</v>
      </c>
      <c r="I3067">
        <v>214.06290000000001</v>
      </c>
      <c r="J3067">
        <v>-465.274</v>
      </c>
      <c r="K3067">
        <v>1.110401</v>
      </c>
      <c r="L3067">
        <v>214.2672</v>
      </c>
      <c r="M3067">
        <v>0.99844549999999999</v>
      </c>
      <c r="N3067">
        <v>0</v>
      </c>
      <c r="O3067">
        <v>-5.4088810000000001E-2</v>
      </c>
      <c r="P3067">
        <v>0.98798580000000003</v>
      </c>
      <c r="Q3067">
        <v>0.12705569999999999</v>
      </c>
      <c r="R3067">
        <v>-8.7984060000000003E-2</v>
      </c>
      <c r="S3067">
        <v>3.0572810000000001</v>
      </c>
      <c r="T3067">
        <v>-0.72926389999999996</v>
      </c>
      <c r="U3067">
        <v>-0.84945680000000001</v>
      </c>
      <c r="V3067">
        <v>3.437407E-2</v>
      </c>
      <c r="W3067">
        <v>0.1404012</v>
      </c>
      <c r="X3067">
        <v>0.98949779999999998</v>
      </c>
      <c r="Y3067">
        <v>0.21111540000000001</v>
      </c>
      <c r="Z3067">
        <v>-1.191712E-2</v>
      </c>
      <c r="AA3067">
        <v>0.97738849999999999</v>
      </c>
      <c r="AB3067">
        <v>19</v>
      </c>
      <c r="AC3067">
        <v>0.58670000000000699</v>
      </c>
      <c r="AD3067">
        <v>-0.183430499999999</v>
      </c>
      <c r="AE3067">
        <v>-0.20429999999998899</v>
      </c>
      <c r="AF3067">
        <v>0.15845071250148199</v>
      </c>
      <c r="AG3067">
        <v>-0.183430499999999</v>
      </c>
      <c r="AH3067">
        <v>0.54902916953874903</v>
      </c>
      <c r="AI3067">
        <v>107.796574578427</v>
      </c>
      <c r="AJ3067">
        <v>73.901773937201696</v>
      </c>
      <c r="AK3067">
        <v>0.60015531791935794</v>
      </c>
      <c r="AL3067">
        <v>81.928937257983094</v>
      </c>
      <c r="AM3067">
        <v>88.010407446499599</v>
      </c>
      <c r="AN3067">
        <v>0.99999998492732201</v>
      </c>
    </row>
    <row r="3068" spans="1:40" x14ac:dyDescent="0.25">
      <c r="A3068" t="str">
        <f>"20190312172949954"</f>
        <v>20190312172949954</v>
      </c>
      <c r="B3068" t="str">
        <f>"1552382989950884"</f>
        <v>1552382989950884</v>
      </c>
      <c r="C3068" t="s">
        <v>40</v>
      </c>
      <c r="D3068">
        <v>3.4261210000000002</v>
      </c>
      <c r="E3068">
        <v>0.57733639999999997</v>
      </c>
      <c r="F3068" t="s">
        <v>42</v>
      </c>
      <c r="G3068">
        <v>-464.51960000000003</v>
      </c>
      <c r="H3068">
        <v>0.92704149999999996</v>
      </c>
      <c r="I3068">
        <v>214.05779999999999</v>
      </c>
      <c r="J3068">
        <v>-465.09269999999998</v>
      </c>
      <c r="K3068">
        <v>1.1103130000000001</v>
      </c>
      <c r="L3068">
        <v>214.25810000000001</v>
      </c>
      <c r="M3068">
        <v>0.99846889999999999</v>
      </c>
      <c r="N3068">
        <v>0</v>
      </c>
      <c r="O3068">
        <v>-5.3655130000000002E-2</v>
      </c>
      <c r="P3068">
        <v>0.98816059999999994</v>
      </c>
      <c r="Q3068">
        <v>0.124942</v>
      </c>
      <c r="R3068">
        <v>-8.9041110000000007E-2</v>
      </c>
      <c r="S3068">
        <v>3.0564879999999999</v>
      </c>
      <c r="T3068">
        <v>-0.74284669999999997</v>
      </c>
      <c r="U3068">
        <v>-0.847579999999999</v>
      </c>
      <c r="V3068">
        <v>3.5874580000000003E-2</v>
      </c>
      <c r="W3068">
        <v>0.13827629999999999</v>
      </c>
      <c r="X3068">
        <v>0.9897437</v>
      </c>
      <c r="Y3068">
        <v>0.21088779999999999</v>
      </c>
      <c r="Z3068">
        <v>-1.221182E-2</v>
      </c>
      <c r="AA3068">
        <v>0.97743400000000003</v>
      </c>
      <c r="AB3068">
        <v>19</v>
      </c>
      <c r="AC3068">
        <v>0.57309999999995398</v>
      </c>
      <c r="AD3068">
        <v>-0.183271499999999</v>
      </c>
      <c r="AE3068">
        <v>-0.20030000000002601</v>
      </c>
      <c r="AF3068">
        <v>0.155122088105449</v>
      </c>
      <c r="AG3068">
        <v>-0.183271499999999</v>
      </c>
      <c r="AH3068">
        <v>0.53432736966142602</v>
      </c>
      <c r="AI3068">
        <v>108.231604176323</v>
      </c>
      <c r="AJ3068">
        <v>73.811309256515003</v>
      </c>
      <c r="AK3068">
        <v>0.58579607620719198</v>
      </c>
      <c r="AL3068">
        <v>82.051884234133496</v>
      </c>
      <c r="AM3068">
        <v>87.924146845641502</v>
      </c>
      <c r="AN3068">
        <v>0.99999995616077697</v>
      </c>
    </row>
    <row r="3069" spans="1:40" x14ac:dyDescent="0.25">
      <c r="A3069" t="str">
        <f>"20190312172949980"</f>
        <v>20190312172949980</v>
      </c>
      <c r="B3069" t="str">
        <f>"1552382989970403"</f>
        <v>1552382989970403</v>
      </c>
      <c r="C3069" t="s">
        <v>40</v>
      </c>
      <c r="D3069">
        <v>3.483562</v>
      </c>
      <c r="E3069">
        <v>0.57732349999999999</v>
      </c>
      <c r="F3069" t="s">
        <v>42</v>
      </c>
      <c r="G3069">
        <v>-464.35149999999999</v>
      </c>
      <c r="H3069">
        <v>0.92837190000000003</v>
      </c>
      <c r="I3069">
        <v>214.05289999999999</v>
      </c>
      <c r="J3069">
        <v>-464.88749999999999</v>
      </c>
      <c r="K3069">
        <v>1.110204</v>
      </c>
      <c r="L3069">
        <v>214.24760000000001</v>
      </c>
      <c r="M3069">
        <v>0.99848570000000003</v>
      </c>
      <c r="N3069">
        <v>0</v>
      </c>
      <c r="O3069">
        <v>-5.334353E-2</v>
      </c>
      <c r="P3069">
        <v>0.98829509999999998</v>
      </c>
      <c r="Q3069">
        <v>0.1232451</v>
      </c>
      <c r="R3069">
        <v>-8.9908180000000004E-2</v>
      </c>
      <c r="S3069">
        <v>3.0545650000000002</v>
      </c>
      <c r="T3069">
        <v>-0.74983359999999899</v>
      </c>
      <c r="U3069">
        <v>-0.84553529999999999</v>
      </c>
      <c r="V3069">
        <v>3.7072840000000003E-2</v>
      </c>
      <c r="W3069">
        <v>0.1365661</v>
      </c>
      <c r="X3069">
        <v>0.98993699999999996</v>
      </c>
      <c r="Y3069">
        <v>0.21065600000000001</v>
      </c>
      <c r="Z3069">
        <v>-1.237799E-2</v>
      </c>
      <c r="AA3069">
        <v>0.97748190000000001</v>
      </c>
      <c r="AB3069">
        <v>19</v>
      </c>
      <c r="AC3069">
        <v>0.53600000000000103</v>
      </c>
      <c r="AD3069">
        <v>-0.1818321</v>
      </c>
      <c r="AE3069">
        <v>-0.194700000000011</v>
      </c>
      <c r="AF3069">
        <v>0.150524471896328</v>
      </c>
      <c r="AG3069">
        <v>-0.1818321</v>
      </c>
      <c r="AH3069">
        <v>0.495270393615311</v>
      </c>
      <c r="AI3069">
        <v>109.35494026584701</v>
      </c>
      <c r="AJ3069">
        <v>73.094723609746694</v>
      </c>
      <c r="AK3069">
        <v>0.54864678256774901</v>
      </c>
      <c r="AL3069">
        <v>82.150810216743906</v>
      </c>
      <c r="AM3069">
        <v>87.855292719791507</v>
      </c>
      <c r="AN3069">
        <v>0.99999997955193698</v>
      </c>
    </row>
    <row r="3070" spans="1:40" x14ac:dyDescent="0.25">
      <c r="A3070" t="str">
        <f>"20190312172950003"</f>
        <v>20190312172950003</v>
      </c>
      <c r="B3070" t="str">
        <f>"1552382989990899"</f>
        <v>1552382989990899</v>
      </c>
      <c r="C3070" t="s">
        <v>40</v>
      </c>
      <c r="D3070">
        <v>3.434091</v>
      </c>
      <c r="E3070">
        <v>0.57702140000000002</v>
      </c>
      <c r="F3070" t="s">
        <v>42</v>
      </c>
      <c r="G3070">
        <v>-464.18119999999999</v>
      </c>
      <c r="H3070">
        <v>0.93530809999999998</v>
      </c>
      <c r="I3070">
        <v>214.05090000000001</v>
      </c>
      <c r="J3070">
        <v>-464.68799999999999</v>
      </c>
      <c r="K3070">
        <v>1.1100969999999999</v>
      </c>
      <c r="L3070">
        <v>214.2372</v>
      </c>
      <c r="M3070">
        <v>0.99849299999999996</v>
      </c>
      <c r="N3070">
        <v>0</v>
      </c>
      <c r="O3070">
        <v>-5.3210140000000003E-2</v>
      </c>
      <c r="P3070">
        <v>0.98821820000000005</v>
      </c>
      <c r="Q3070">
        <v>0.1230846</v>
      </c>
      <c r="R3070">
        <v>-9.0966740000000004E-2</v>
      </c>
      <c r="S3070">
        <v>3.0526430000000002</v>
      </c>
      <c r="T3070">
        <v>-0.75597720000000002</v>
      </c>
      <c r="U3070">
        <v>-0.84812929999999997</v>
      </c>
      <c r="V3070">
        <v>3.8298390000000002E-2</v>
      </c>
      <c r="W3070">
        <v>0.13638939999999999</v>
      </c>
      <c r="X3070">
        <v>0.98991470000000004</v>
      </c>
      <c r="Y3070">
        <v>0.2116113</v>
      </c>
      <c r="Z3070">
        <v>-1.262897E-2</v>
      </c>
      <c r="AA3070">
        <v>0.97727229999999998</v>
      </c>
      <c r="AB3070">
        <v>19</v>
      </c>
      <c r="AC3070">
        <v>0.50680000000005498</v>
      </c>
      <c r="AD3070">
        <v>-0.174788899999999</v>
      </c>
      <c r="AE3070">
        <v>-0.186299999999988</v>
      </c>
      <c r="AF3070">
        <v>0.14397947102577999</v>
      </c>
      <c r="AG3070">
        <v>-0.174788899999999</v>
      </c>
      <c r="AH3070">
        <v>0.46705445678082802</v>
      </c>
      <c r="AI3070">
        <v>109.67853827511</v>
      </c>
      <c r="AJ3070">
        <v>72.8669727525414</v>
      </c>
      <c r="AK3070">
        <v>0.51905790933084495</v>
      </c>
      <c r="AL3070">
        <v>82.1610299641099</v>
      </c>
      <c r="AM3070">
        <v>87.784412879616795</v>
      </c>
      <c r="AN3070">
        <v>0.99999997419251996</v>
      </c>
    </row>
    <row r="3071" spans="1:40" x14ac:dyDescent="0.25">
      <c r="A3071" t="str">
        <f>"20190312172950025"</f>
        <v>20190312172950025</v>
      </c>
      <c r="B3071" t="str">
        <f>"1552382990020179"</f>
        <v>1552382990020179</v>
      </c>
      <c r="C3071" t="s">
        <v>40</v>
      </c>
      <c r="D3071">
        <v>3.4165290000000001</v>
      </c>
      <c r="E3071">
        <v>0.57638180000000006</v>
      </c>
      <c r="F3071" t="s">
        <v>42</v>
      </c>
      <c r="G3071">
        <v>-464.01089999999999</v>
      </c>
      <c r="H3071">
        <v>0.94235239999999998</v>
      </c>
      <c r="I3071">
        <v>214.0488</v>
      </c>
      <c r="J3071">
        <v>-464.51029999999997</v>
      </c>
      <c r="K3071">
        <v>1.1100129999999999</v>
      </c>
      <c r="L3071">
        <v>214.2278</v>
      </c>
      <c r="M3071">
        <v>0.99849149999999998</v>
      </c>
      <c r="N3071">
        <v>0</v>
      </c>
      <c r="O3071">
        <v>-5.3239990000000001E-2</v>
      </c>
      <c r="P3071">
        <v>0.98798710000000001</v>
      </c>
      <c r="Q3071">
        <v>0.1243417</v>
      </c>
      <c r="R3071">
        <v>-9.1766479999999997E-2</v>
      </c>
      <c r="S3071">
        <v>3.0519099999999999</v>
      </c>
      <c r="T3071">
        <v>-0.75610440000000001</v>
      </c>
      <c r="U3071">
        <v>-0.84811399999999904</v>
      </c>
      <c r="V3071">
        <v>3.910756E-2</v>
      </c>
      <c r="W3071">
        <v>0.13763069999999999</v>
      </c>
      <c r="X3071">
        <v>0.98971129999999996</v>
      </c>
      <c r="Y3071">
        <v>0.21163470000000001</v>
      </c>
      <c r="Z3071">
        <v>-1.262958E-2</v>
      </c>
      <c r="AA3071">
        <v>0.9772672</v>
      </c>
      <c r="AB3071">
        <v>19</v>
      </c>
      <c r="AC3071">
        <v>0.49939999999998003</v>
      </c>
      <c r="AD3071">
        <v>-0.16766059999999899</v>
      </c>
      <c r="AE3071">
        <v>-0.17900000000000199</v>
      </c>
      <c r="AF3071">
        <v>0.138338527981582</v>
      </c>
      <c r="AG3071">
        <v>-0.16766059999999899</v>
      </c>
      <c r="AH3071">
        <v>0.46207121073012303</v>
      </c>
      <c r="AI3071">
        <v>109.167541094464</v>
      </c>
      <c r="AJ3071">
        <v>73.332936345841603</v>
      </c>
      <c r="AK3071">
        <v>0.51064413136946196</v>
      </c>
      <c r="AL3071">
        <v>82.089232100124804</v>
      </c>
      <c r="AM3071">
        <v>87.737185536888902</v>
      </c>
      <c r="AN3071">
        <v>1.00000003408966</v>
      </c>
    </row>
    <row r="3072" spans="1:40" x14ac:dyDescent="0.25">
      <c r="A3072" t="str">
        <f>"20190312172950044"</f>
        <v>20190312172950044</v>
      </c>
      <c r="B3072" t="str">
        <f>"1552382990040675"</f>
        <v>1552382990040675</v>
      </c>
      <c r="C3072" t="s">
        <v>40</v>
      </c>
      <c r="D3072">
        <v>3.4348619999999999</v>
      </c>
      <c r="E3072">
        <v>0.57620629999999995</v>
      </c>
      <c r="F3072" t="s">
        <v>42</v>
      </c>
      <c r="G3072">
        <v>-463.69209999999998</v>
      </c>
      <c r="H3072">
        <v>0.90869390000000005</v>
      </c>
      <c r="I3072">
        <v>214.0016</v>
      </c>
      <c r="J3072">
        <v>-464.34160000000003</v>
      </c>
      <c r="K3072">
        <v>1.109939</v>
      </c>
      <c r="L3072">
        <v>214.21870000000001</v>
      </c>
      <c r="M3072">
        <v>0.99848309999999996</v>
      </c>
      <c r="N3072">
        <v>0</v>
      </c>
      <c r="O3072">
        <v>-5.3397590000000002E-2</v>
      </c>
      <c r="P3072">
        <v>0.98772559999999998</v>
      </c>
      <c r="Q3072">
        <v>0.12573799999999999</v>
      </c>
      <c r="R3072">
        <v>-9.2674290000000006E-2</v>
      </c>
      <c r="S3072">
        <v>3.0525820000000001</v>
      </c>
      <c r="T3072">
        <v>-0.75130839999999999</v>
      </c>
      <c r="U3072">
        <v>-0.84443659999999998</v>
      </c>
      <c r="V3072">
        <v>3.9896439999999998E-2</v>
      </c>
      <c r="W3072">
        <v>0.1390121</v>
      </c>
      <c r="X3072">
        <v>0.98948670000000005</v>
      </c>
      <c r="Y3072">
        <v>0.210425</v>
      </c>
      <c r="Z3072">
        <v>-1.2369430000000001E-2</v>
      </c>
      <c r="AA3072">
        <v>0.9775317</v>
      </c>
      <c r="AB3072">
        <v>19</v>
      </c>
      <c r="AC3072">
        <v>0.64950000000004504</v>
      </c>
      <c r="AD3072">
        <v>-0.20124509999999901</v>
      </c>
      <c r="AE3072">
        <v>-0.217100000000016</v>
      </c>
      <c r="AF3072">
        <v>0.16762949732759599</v>
      </c>
      <c r="AG3072">
        <v>-0.20124509999999901</v>
      </c>
      <c r="AH3072">
        <v>0.60768911157654304</v>
      </c>
      <c r="AI3072">
        <v>107.705235261707</v>
      </c>
      <c r="AJ3072">
        <v>74.578616572794999</v>
      </c>
      <c r="AK3072">
        <v>0.66172901929490802</v>
      </c>
      <c r="AL3072">
        <v>82.009315303101403</v>
      </c>
      <c r="AM3072">
        <v>87.691065391899798</v>
      </c>
      <c r="AN3072">
        <v>1.0000000096739801</v>
      </c>
    </row>
    <row r="3073" spans="1:40" x14ac:dyDescent="0.25">
      <c r="A3073" t="str">
        <f>"20190312172950067"</f>
        <v>20190312172950067</v>
      </c>
      <c r="B3073" t="str">
        <f>"1552382990060195"</f>
        <v>1552382990060195</v>
      </c>
      <c r="C3073" t="s">
        <v>40</v>
      </c>
      <c r="D3073">
        <v>3.4581979999999999</v>
      </c>
      <c r="E3073">
        <v>0.57597180000000003</v>
      </c>
      <c r="F3073" t="s">
        <v>42</v>
      </c>
      <c r="G3073">
        <v>-463.5249</v>
      </c>
      <c r="H3073">
        <v>0.91055850000000005</v>
      </c>
      <c r="I3073">
        <v>213.99189999999999</v>
      </c>
      <c r="J3073">
        <v>-464.1558</v>
      </c>
      <c r="K3073">
        <v>1.1098809999999999</v>
      </c>
      <c r="L3073">
        <v>214.20849999999999</v>
      </c>
      <c r="M3073">
        <v>0.99846699999999999</v>
      </c>
      <c r="N3073">
        <v>0</v>
      </c>
      <c r="O3073">
        <v>-5.3698629999999997E-2</v>
      </c>
      <c r="P3073">
        <v>0.98736489999999999</v>
      </c>
      <c r="Q3073">
        <v>0.1278956</v>
      </c>
      <c r="R3073">
        <v>-9.3561989999999998E-2</v>
      </c>
      <c r="S3073">
        <v>3.0527340000000001</v>
      </c>
      <c r="T3073">
        <v>-0.74534489999999998</v>
      </c>
      <c r="U3073">
        <v>-0.84648129999999999</v>
      </c>
      <c r="V3073">
        <v>4.0525430000000001E-2</v>
      </c>
      <c r="W3073">
        <v>0.14115510000000001</v>
      </c>
      <c r="X3073">
        <v>0.98915770000000003</v>
      </c>
      <c r="Y3073">
        <v>0.21079329999999999</v>
      </c>
      <c r="Z3073">
        <v>-1.224507E-2</v>
      </c>
      <c r="AA3073">
        <v>0.97745389999999999</v>
      </c>
      <c r="AB3073">
        <v>19</v>
      </c>
      <c r="AC3073">
        <v>0.63089999999999602</v>
      </c>
      <c r="AD3073">
        <v>-0.19932250000000001</v>
      </c>
      <c r="AE3073">
        <v>-0.21659999999999899</v>
      </c>
      <c r="AF3073">
        <v>0.16745400545890901</v>
      </c>
      <c r="AG3073">
        <v>-0.19932250000000001</v>
      </c>
      <c r="AH3073">
        <v>0.58902766723838895</v>
      </c>
      <c r="AI3073">
        <v>108.02979394227199</v>
      </c>
      <c r="AJ3073">
        <v>74.130139405326403</v>
      </c>
      <c r="AK3073">
        <v>0.64399060220066895</v>
      </c>
      <c r="AL3073">
        <v>81.885307704560901</v>
      </c>
      <c r="AM3073">
        <v>87.653924872657697</v>
      </c>
      <c r="AN3073">
        <v>1.0000000141009899</v>
      </c>
    </row>
    <row r="3074" spans="1:40" x14ac:dyDescent="0.25">
      <c r="A3074" t="str">
        <f>"20190312172950088"</f>
        <v>20190312172950088</v>
      </c>
      <c r="B3074" t="str">
        <f>"1552382990080691"</f>
        <v>1552382990080691</v>
      </c>
      <c r="C3074" t="s">
        <v>40</v>
      </c>
      <c r="D3074">
        <v>3.5195370000000001</v>
      </c>
      <c r="E3074">
        <v>0.57585940000000002</v>
      </c>
      <c r="F3074" t="s">
        <v>42</v>
      </c>
      <c r="G3074">
        <v>-463.35610000000003</v>
      </c>
      <c r="H3074">
        <v>0.9165816</v>
      </c>
      <c r="I3074">
        <v>213.98650000000001</v>
      </c>
      <c r="J3074">
        <v>-463.97179999999997</v>
      </c>
      <c r="K3074">
        <v>1.109831</v>
      </c>
      <c r="L3074">
        <v>214.19820000000001</v>
      </c>
      <c r="M3074">
        <v>0.99844489999999997</v>
      </c>
      <c r="N3074">
        <v>0</v>
      </c>
      <c r="O3074">
        <v>-5.4107889999999999E-2</v>
      </c>
      <c r="P3074">
        <v>0.98705609999999999</v>
      </c>
      <c r="Q3074">
        <v>0.1292111</v>
      </c>
      <c r="R3074">
        <v>-9.4999639999999996E-2</v>
      </c>
      <c r="S3074">
        <v>3.0537109999999998</v>
      </c>
      <c r="T3074">
        <v>-0.73818830000000002</v>
      </c>
      <c r="U3074">
        <v>-0.84735110000000002</v>
      </c>
      <c r="V3074">
        <v>4.158821E-2</v>
      </c>
      <c r="W3074">
        <v>0.14245829999999901</v>
      </c>
      <c r="X3074">
        <v>0.98892670000000005</v>
      </c>
      <c r="Y3074">
        <v>0.21066889999999999</v>
      </c>
      <c r="Z3074">
        <v>-1.201666E-2</v>
      </c>
      <c r="AA3074">
        <v>0.97748360000000001</v>
      </c>
      <c r="AB3074">
        <v>19</v>
      </c>
      <c r="AC3074">
        <v>0.61569999999994696</v>
      </c>
      <c r="AD3074">
        <v>-0.19324939999999999</v>
      </c>
      <c r="AE3074">
        <v>-0.21170000000000699</v>
      </c>
      <c r="AF3074">
        <v>0.163654820621283</v>
      </c>
      <c r="AG3074">
        <v>-0.19324939999999999</v>
      </c>
      <c r="AH3074">
        <v>0.57554850107743505</v>
      </c>
      <c r="AI3074">
        <v>107.898545775008</v>
      </c>
      <c r="AJ3074">
        <v>74.127119117317406</v>
      </c>
      <c r="AK3074">
        <v>0.62879591920226896</v>
      </c>
      <c r="AL3074">
        <v>81.809877307905197</v>
      </c>
      <c r="AM3074">
        <v>87.591908785265105</v>
      </c>
      <c r="AN3074">
        <v>0.99999998221139197</v>
      </c>
    </row>
    <row r="3075" spans="1:40" x14ac:dyDescent="0.25">
      <c r="A3075" t="str">
        <f>"20190312172950113"</f>
        <v>20190312172950113</v>
      </c>
      <c r="B3075" t="str">
        <f>"1552382990109972"</f>
        <v>1552382990109972</v>
      </c>
      <c r="C3075" t="s">
        <v>40</v>
      </c>
      <c r="D3075">
        <v>2.8191280000000001</v>
      </c>
      <c r="E3075">
        <v>0.55486530000000001</v>
      </c>
      <c r="F3075" t="s">
        <v>42</v>
      </c>
      <c r="G3075">
        <v>-463.18799999999999</v>
      </c>
      <c r="H3075">
        <v>0.92140650000000002</v>
      </c>
      <c r="I3075">
        <v>213.9794</v>
      </c>
      <c r="J3075">
        <v>-463.77370000000002</v>
      </c>
      <c r="K3075">
        <v>1.109785</v>
      </c>
      <c r="L3075">
        <v>214.18690000000001</v>
      </c>
      <c r="M3075">
        <v>0.99841460000000004</v>
      </c>
      <c r="N3075">
        <v>0</v>
      </c>
      <c r="O3075">
        <v>-5.466563E-2</v>
      </c>
      <c r="P3075">
        <v>0.98699680000000001</v>
      </c>
      <c r="Q3075">
        <v>0.1288647</v>
      </c>
      <c r="R3075">
        <v>-9.6081130000000001E-2</v>
      </c>
      <c r="S3075">
        <v>3.053528</v>
      </c>
      <c r="T3075">
        <v>-0.73414550000000001</v>
      </c>
      <c r="U3075">
        <v>-0.85110469999999905</v>
      </c>
      <c r="V3075">
        <v>4.2131839999999997E-2</v>
      </c>
      <c r="W3075">
        <v>0.14210339999999999</v>
      </c>
      <c r="X3075">
        <v>0.98895480000000002</v>
      </c>
      <c r="Y3075">
        <v>0.21129829999999999</v>
      </c>
      <c r="Z3075">
        <v>-1.189553E-2</v>
      </c>
      <c r="AA3075">
        <v>0.97734920000000003</v>
      </c>
      <c r="AB3075">
        <v>19</v>
      </c>
      <c r="AC3075">
        <v>0.58569999999997402</v>
      </c>
      <c r="AD3075">
        <v>-0.1883785</v>
      </c>
      <c r="AE3075">
        <v>-0.20750000000001001</v>
      </c>
      <c r="AF3075">
        <v>0.16042453760899</v>
      </c>
      <c r="AG3075">
        <v>-0.1883785</v>
      </c>
      <c r="AH3075">
        <v>0.54598664559969101</v>
      </c>
      <c r="AI3075">
        <v>108.316110236951</v>
      </c>
      <c r="AJ3075">
        <v>73.625892234648006</v>
      </c>
      <c r="AK3075">
        <v>0.599436325811601</v>
      </c>
      <c r="AL3075">
        <v>81.830420993373707</v>
      </c>
      <c r="AM3075">
        <v>87.560537876238698</v>
      </c>
      <c r="AN3075">
        <v>1.0000000323381899</v>
      </c>
    </row>
    <row r="3076" spans="1:40" x14ac:dyDescent="0.25">
      <c r="A3076" t="str">
        <f>"20190312172950202"</f>
        <v>20190312172950202</v>
      </c>
      <c r="B3076" t="str">
        <f>"1552382990200741"</f>
        <v>1552382990200741</v>
      </c>
      <c r="C3076" t="s">
        <v>40</v>
      </c>
      <c r="D3076">
        <v>3.3986070000000002</v>
      </c>
      <c r="E3076">
        <v>0.4784079</v>
      </c>
      <c r="F3076" t="s">
        <v>42</v>
      </c>
      <c r="G3076">
        <v>-463.02850000000001</v>
      </c>
      <c r="H3076">
        <v>0.90681820000000002</v>
      </c>
      <c r="I3076">
        <v>214.02080000000001</v>
      </c>
      <c r="J3076">
        <v>-463.03059999999999</v>
      </c>
      <c r="K3076">
        <v>1.109607</v>
      </c>
      <c r="L3076">
        <v>214.14189999999999</v>
      </c>
      <c r="M3076">
        <v>0.99824089999999999</v>
      </c>
      <c r="N3076">
        <v>0</v>
      </c>
      <c r="O3076">
        <v>-5.7752360000000003E-2</v>
      </c>
      <c r="P3076">
        <v>0.98656379999999999</v>
      </c>
      <c r="Q3076">
        <v>0.129391899999999</v>
      </c>
      <c r="R3076">
        <v>-9.9748370000000003E-2</v>
      </c>
      <c r="S3076">
        <v>3.0824579999999999</v>
      </c>
      <c r="T3076">
        <v>-0.83950020000000003</v>
      </c>
      <c r="U3076">
        <v>-0.68493649999999995</v>
      </c>
      <c r="V3076">
        <v>4.2817260000000003E-2</v>
      </c>
      <c r="W3076">
        <v>0.14260129999999999</v>
      </c>
      <c r="X3076">
        <v>0.9888536</v>
      </c>
      <c r="Y3076">
        <v>0.1567405</v>
      </c>
      <c r="Z3076">
        <v>-5.4805790000000002E-3</v>
      </c>
      <c r="AA3076">
        <v>0.98762459999999996</v>
      </c>
      <c r="AB3076">
        <v>19</v>
      </c>
      <c r="AC3076">
        <v>2.0999999999844398E-3</v>
      </c>
      <c r="AD3076">
        <v>-0.20278879999999999</v>
      </c>
      <c r="AE3076">
        <v>-0.121099999999984</v>
      </c>
      <c r="AF3076">
        <v>3.1755752687234497E-2</v>
      </c>
      <c r="AG3076">
        <v>-0.20278879999999999</v>
      </c>
      <c r="AH3076">
        <v>2.39027732235979E-3</v>
      </c>
      <c r="AI3076">
        <v>171.07526289153401</v>
      </c>
      <c r="AJ3076">
        <v>4.3045754908656599</v>
      </c>
      <c r="AK3076">
        <v>0.20527405744479801</v>
      </c>
      <c r="AL3076">
        <v>81.801599194998602</v>
      </c>
      <c r="AM3076">
        <v>87.520647315511297</v>
      </c>
      <c r="AN3076">
        <v>0.99999994537427705</v>
      </c>
    </row>
    <row r="3077" spans="1:40" x14ac:dyDescent="0.25">
      <c r="A3077" t="str">
        <f>"20190312172950224"</f>
        <v>20190312172950224</v>
      </c>
      <c r="B3077" t="str">
        <f>"1552382990220260"</f>
        <v>1552382990220260</v>
      </c>
      <c r="C3077" t="s">
        <v>40</v>
      </c>
      <c r="D3077">
        <v>3.6470479999999998</v>
      </c>
      <c r="E3077">
        <v>0.47942509999999999</v>
      </c>
      <c r="F3077" t="s">
        <v>42</v>
      </c>
      <c r="G3077">
        <v>-462.2962</v>
      </c>
      <c r="H3077">
        <v>1.032168</v>
      </c>
      <c r="I3077">
        <v>214.11619999999999</v>
      </c>
      <c r="J3077">
        <v>-462.85829999999999</v>
      </c>
      <c r="K3077">
        <v>1.1095680000000001</v>
      </c>
      <c r="L3077">
        <v>214.1309</v>
      </c>
      <c r="M3077">
        <v>0.99818589999999996</v>
      </c>
      <c r="N3077">
        <v>0</v>
      </c>
      <c r="O3077">
        <v>-5.8695990000000003E-2</v>
      </c>
      <c r="P3077">
        <v>0.98638780000000004</v>
      </c>
      <c r="Q3077">
        <v>0.12997529999999999</v>
      </c>
      <c r="R3077">
        <v>-0.1007263</v>
      </c>
      <c r="S3077">
        <v>3.072632</v>
      </c>
      <c r="T3077">
        <v>-0.32392359999999998</v>
      </c>
      <c r="U3077">
        <v>-0.1060181</v>
      </c>
      <c r="V3077">
        <v>4.2882030000000002E-2</v>
      </c>
      <c r="W3077">
        <v>0.14317849999999999</v>
      </c>
      <c r="X3077">
        <v>0.98876739999999996</v>
      </c>
      <c r="Y3077">
        <v>-2.3786290000000002E-2</v>
      </c>
      <c r="Z3077">
        <v>7.4152389999999997E-3</v>
      </c>
      <c r="AA3077">
        <v>0.99968959999999996</v>
      </c>
      <c r="AB3077">
        <v>18</v>
      </c>
      <c r="AC3077">
        <v>0.56209999999998606</v>
      </c>
      <c r="AD3077">
        <v>-7.7400000000000094E-2</v>
      </c>
      <c r="AE3077">
        <v>-1.47000000000048E-2</v>
      </c>
      <c r="AF3077">
        <v>-1.7980636649942001E-2</v>
      </c>
      <c r="AG3077">
        <v>-7.7400000000000094E-2</v>
      </c>
      <c r="AH3077">
        <v>0.55154311453926197</v>
      </c>
      <c r="AI3077">
        <v>97.984165922342697</v>
      </c>
      <c r="AJ3077">
        <v>91.8672155050333</v>
      </c>
      <c r="AK3077">
        <v>0.55723771452586301</v>
      </c>
      <c r="AL3077">
        <v>81.768185326219907</v>
      </c>
      <c r="AM3077">
        <v>87.516685266750898</v>
      </c>
      <c r="AN3077">
        <v>0.99999996133096403</v>
      </c>
    </row>
    <row r="3078" spans="1:40" x14ac:dyDescent="0.25">
      <c r="A3078" t="str">
        <f>"20190312172950245"</f>
        <v>20190312172950245</v>
      </c>
      <c r="B3078" t="str">
        <f>"1552382990240757"</f>
        <v>1552382990240757</v>
      </c>
      <c r="C3078" t="s">
        <v>40</v>
      </c>
      <c r="D3078">
        <v>3.4256609999999998</v>
      </c>
      <c r="E3078">
        <v>0.47951440000000001</v>
      </c>
      <c r="F3078" t="s">
        <v>47</v>
      </c>
      <c r="G3078">
        <v>-445.4742</v>
      </c>
      <c r="H3078" s="1">
        <v>1.4275699999999999E-6</v>
      </c>
      <c r="I3078">
        <v>213.44409999999999</v>
      </c>
      <c r="J3078">
        <v>-462.67899999999997</v>
      </c>
      <c r="K3078">
        <v>1.1095349999999999</v>
      </c>
      <c r="L3078">
        <v>214.119</v>
      </c>
      <c r="M3078">
        <v>0.99812210000000001</v>
      </c>
      <c r="N3078">
        <v>0</v>
      </c>
      <c r="O3078">
        <v>-5.9770900000000002E-2</v>
      </c>
      <c r="P3078">
        <v>0.98623720000000004</v>
      </c>
      <c r="Q3078">
        <v>0.13058510000000001</v>
      </c>
      <c r="R3078">
        <v>-0.1014091</v>
      </c>
      <c r="S3078">
        <v>3.0548099999999998</v>
      </c>
      <c r="T3078">
        <v>-0.19497800000000001</v>
      </c>
      <c r="U3078">
        <v>-0.12068180000000001</v>
      </c>
      <c r="V3078">
        <v>4.251928E-2</v>
      </c>
      <c r="W3078">
        <v>0.14378260000000001</v>
      </c>
      <c r="X3078">
        <v>0.9886954</v>
      </c>
      <c r="Y3078">
        <v>-2.016337E-2</v>
      </c>
      <c r="Z3078">
        <v>4.4497030000000002E-3</v>
      </c>
      <c r="AA3078">
        <v>0.99978679999999998</v>
      </c>
      <c r="AB3078">
        <v>18</v>
      </c>
      <c r="AC3078">
        <v>17.204799999999999</v>
      </c>
      <c r="AD3078">
        <v>-1.1095335724299999</v>
      </c>
      <c r="AE3078">
        <v>-0.67490000000003603</v>
      </c>
      <c r="AF3078">
        <v>-0.35327864881298798</v>
      </c>
      <c r="AG3078">
        <v>-1.1095335724299999</v>
      </c>
      <c r="AH3078">
        <v>17.143189592793501</v>
      </c>
      <c r="AI3078">
        <v>93.702322172070396</v>
      </c>
      <c r="AJ3078">
        <v>91.180556913759006</v>
      </c>
      <c r="AK3078">
        <v>17.182689544030001</v>
      </c>
      <c r="AL3078">
        <v>81.733211055699996</v>
      </c>
      <c r="AM3078">
        <v>87.537487197358004</v>
      </c>
      <c r="AN3078">
        <v>0.99999995960781796</v>
      </c>
    </row>
    <row r="3079" spans="1:40" x14ac:dyDescent="0.25">
      <c r="A3079" t="str">
        <f>"20190312172950268"</f>
        <v>20190312172950268</v>
      </c>
      <c r="B3079" t="str">
        <f>"1552382990260276"</f>
        <v>1552382990260276</v>
      </c>
      <c r="C3079" t="s">
        <v>40</v>
      </c>
      <c r="D3079">
        <v>3.4437850000000001</v>
      </c>
      <c r="E3079">
        <v>0.47978910000000002</v>
      </c>
      <c r="F3079" t="s">
        <v>47</v>
      </c>
      <c r="G3079">
        <v>-441.82049999999998</v>
      </c>
      <c r="H3079" s="1">
        <v>-5.0898509999999997E-7</v>
      </c>
      <c r="I3079">
        <v>213.26580000000001</v>
      </c>
      <c r="J3079">
        <v>-462.4948</v>
      </c>
      <c r="K3079">
        <v>1.109513</v>
      </c>
      <c r="L3079">
        <v>214.10659999999999</v>
      </c>
      <c r="M3079">
        <v>0.99805100000000002</v>
      </c>
      <c r="N3079">
        <v>0</v>
      </c>
      <c r="O3079">
        <v>-6.094658E-2</v>
      </c>
      <c r="P3079">
        <v>0.98607250000000002</v>
      </c>
      <c r="Q3079">
        <v>0.1311457</v>
      </c>
      <c r="R3079">
        <v>-0.1022827</v>
      </c>
      <c r="S3079">
        <v>3.0505369999999998</v>
      </c>
      <c r="T3079">
        <v>-0.16226860000000001</v>
      </c>
      <c r="U3079">
        <v>-0.12478640000000001</v>
      </c>
      <c r="V3079">
        <v>4.2244219999999999E-2</v>
      </c>
      <c r="W3079">
        <v>0.14433940000000001</v>
      </c>
      <c r="X3079">
        <v>0.98862609999999995</v>
      </c>
      <c r="Y3079">
        <v>-1.9990850000000001E-2</v>
      </c>
      <c r="Z3079">
        <v>3.7671879999999999E-3</v>
      </c>
      <c r="AA3079">
        <v>0.99979309999999999</v>
      </c>
      <c r="AB3079">
        <v>18</v>
      </c>
      <c r="AC3079">
        <v>20.674299999999999</v>
      </c>
      <c r="AD3079">
        <v>-1.1095135089851</v>
      </c>
      <c r="AE3079">
        <v>-0.84079999999997301</v>
      </c>
      <c r="AF3079">
        <v>-0.41969765723966301</v>
      </c>
      <c r="AG3079">
        <v>-1.1095135089851</v>
      </c>
      <c r="AH3079">
        <v>20.6277971851705</v>
      </c>
      <c r="AI3079">
        <v>93.078182623528207</v>
      </c>
      <c r="AJ3079">
        <v>91.165591595576998</v>
      </c>
      <c r="AK3079">
        <v>20.661877529949699</v>
      </c>
      <c r="AL3079">
        <v>81.700972823568193</v>
      </c>
      <c r="AM3079">
        <v>87.553226641310204</v>
      </c>
      <c r="AN3079">
        <v>1.00000000105848</v>
      </c>
    </row>
    <row r="3080" spans="1:40" x14ac:dyDescent="0.25">
      <c r="A3080" t="str">
        <f>"20190312172950292"</f>
        <v>20190312172950292</v>
      </c>
      <c r="B3080" t="str">
        <f>"1552382990280772"</f>
        <v>1552382990280772</v>
      </c>
      <c r="C3080" t="s">
        <v>40</v>
      </c>
      <c r="D3080">
        <v>3.3999109999999999</v>
      </c>
      <c r="E3080">
        <v>0.47990359999999999</v>
      </c>
      <c r="F3080" t="s">
        <v>47</v>
      </c>
      <c r="G3080">
        <v>-440.24250000000001</v>
      </c>
      <c r="H3080" s="1">
        <v>-1.344038E-6</v>
      </c>
      <c r="I3080">
        <v>213.15899999999999</v>
      </c>
      <c r="J3080">
        <v>-462.2928</v>
      </c>
      <c r="K3080">
        <v>1.1094949999999999</v>
      </c>
      <c r="L3080">
        <v>214.09270000000001</v>
      </c>
      <c r="M3080">
        <v>0.99796759999999995</v>
      </c>
      <c r="N3080">
        <v>0</v>
      </c>
      <c r="O3080">
        <v>-6.2300510000000003E-2</v>
      </c>
      <c r="P3080">
        <v>0.98575619999999997</v>
      </c>
      <c r="Q3080">
        <v>0.13233829999999999</v>
      </c>
      <c r="R3080">
        <v>-0.1037863</v>
      </c>
      <c r="S3080">
        <v>3.0491030000000001</v>
      </c>
      <c r="T3080">
        <v>-0.15203</v>
      </c>
      <c r="U3080">
        <v>-0.1298523</v>
      </c>
      <c r="V3080">
        <v>4.2427960000000001E-2</v>
      </c>
      <c r="W3080">
        <v>0.14552590000000001</v>
      </c>
      <c r="X3080">
        <v>0.98844430000000005</v>
      </c>
      <c r="Y3080">
        <v>-1.9682330000000001E-2</v>
      </c>
      <c r="Z3080">
        <v>3.5909079999999999E-3</v>
      </c>
      <c r="AA3080">
        <v>0.99979980000000002</v>
      </c>
      <c r="AB3080">
        <v>18</v>
      </c>
      <c r="AC3080">
        <v>22.0503</v>
      </c>
      <c r="AD3080">
        <v>-1.1094963440379999</v>
      </c>
      <c r="AE3080">
        <v>-0.93369999999998698</v>
      </c>
      <c r="AF3080">
        <v>-0.44086804163068399</v>
      </c>
      <c r="AG3080">
        <v>-1.1094963440379999</v>
      </c>
      <c r="AH3080">
        <v>22.0100090515629</v>
      </c>
      <c r="AI3080">
        <v>92.885186425037801</v>
      </c>
      <c r="AJ3080">
        <v>91.147500696175399</v>
      </c>
      <c r="AK3080">
        <v>22.042364782786901</v>
      </c>
      <c r="AL3080">
        <v>81.632266153601094</v>
      </c>
      <c r="AM3080">
        <v>87.542146065717901</v>
      </c>
      <c r="AN3080">
        <v>1.0000000267815301</v>
      </c>
    </row>
    <row r="3081" spans="1:40" x14ac:dyDescent="0.25">
      <c r="A3081" t="str">
        <f>"20190312172950314"</f>
        <v>20190312172950314</v>
      </c>
      <c r="B3081" t="str">
        <f>"1552382990311028"</f>
        <v>1552382990311028</v>
      </c>
      <c r="C3081" t="s">
        <v>40</v>
      </c>
      <c r="D3081">
        <v>3.4129429999999998</v>
      </c>
      <c r="E3081">
        <v>0.47993279999999999</v>
      </c>
      <c r="F3081" t="s">
        <v>48</v>
      </c>
      <c r="G3081">
        <v>-439.11130000000003</v>
      </c>
      <c r="H3081" s="1">
        <v>6.3930100000000003E-6</v>
      </c>
      <c r="I3081">
        <v>213.06610000000001</v>
      </c>
      <c r="J3081">
        <v>-462.11349999999999</v>
      </c>
      <c r="K3081">
        <v>1.109497</v>
      </c>
      <c r="L3081">
        <v>214.08</v>
      </c>
      <c r="M3081">
        <v>0.99788900000000003</v>
      </c>
      <c r="N3081">
        <v>0</v>
      </c>
      <c r="O3081">
        <v>-6.3545439999999995E-2</v>
      </c>
      <c r="P3081">
        <v>0.98546710000000004</v>
      </c>
      <c r="Q3081">
        <v>0.1335093</v>
      </c>
      <c r="R3081">
        <v>-0.1050247</v>
      </c>
      <c r="S3081">
        <v>3.0487669999999998</v>
      </c>
      <c r="T3081">
        <v>-0.14591680000000001</v>
      </c>
      <c r="U3081">
        <v>-0.13500980000000001</v>
      </c>
      <c r="V3081">
        <v>4.2450519999999999E-2</v>
      </c>
      <c r="W3081">
        <v>0.14669299999999999</v>
      </c>
      <c r="X3081">
        <v>0.9882708</v>
      </c>
      <c r="Y3081">
        <v>-1.9243860000000002E-2</v>
      </c>
      <c r="Z3081">
        <v>3.4958120000000001E-3</v>
      </c>
      <c r="AA3081">
        <v>0.99980869999999999</v>
      </c>
      <c r="AB3081">
        <v>18</v>
      </c>
      <c r="AC3081">
        <v>23.002199999999899</v>
      </c>
      <c r="AD3081">
        <v>-1.1094906069899999</v>
      </c>
      <c r="AE3081">
        <v>-1.0139</v>
      </c>
      <c r="AF3081">
        <v>-0.44892324601801098</v>
      </c>
      <c r="AG3081">
        <v>-1.1094906069899999</v>
      </c>
      <c r="AH3081">
        <v>22.966808130039801</v>
      </c>
      <c r="AI3081">
        <v>92.765192064794306</v>
      </c>
      <c r="AJ3081">
        <v>91.119795669246997</v>
      </c>
      <c r="AK3081">
        <v>22.997973327445099</v>
      </c>
      <c r="AL3081">
        <v>81.564670858023106</v>
      </c>
      <c r="AM3081">
        <v>87.540409569945396</v>
      </c>
      <c r="AN3081">
        <v>1.00000002851495</v>
      </c>
    </row>
    <row r="3082" spans="1:40" x14ac:dyDescent="0.25">
      <c r="A3082" t="str">
        <f>"20190312172950335"</f>
        <v>20190312172950335</v>
      </c>
      <c r="B3082" t="str">
        <f>"1552382990330548"</f>
        <v>1552382990330548</v>
      </c>
      <c r="C3082" t="s">
        <v>40</v>
      </c>
      <c r="D3082">
        <v>3.4845280000000001</v>
      </c>
      <c r="E3082">
        <v>0.48014299999999999</v>
      </c>
      <c r="F3082" t="s">
        <v>48</v>
      </c>
      <c r="G3082">
        <v>-437.68099999999998</v>
      </c>
      <c r="H3082" s="1">
        <v>5.7672919999999996E-6</v>
      </c>
      <c r="I3082">
        <v>212.96809999999999</v>
      </c>
      <c r="J3082">
        <v>-461.93900000000002</v>
      </c>
      <c r="K3082">
        <v>1.1094980000000001</v>
      </c>
      <c r="L3082">
        <v>214.06739999999999</v>
      </c>
      <c r="M3082">
        <v>0.99780950000000002</v>
      </c>
      <c r="N3082">
        <v>0</v>
      </c>
      <c r="O3082">
        <v>-6.4783720000000003E-2</v>
      </c>
      <c r="P3082">
        <v>0.98528990000000005</v>
      </c>
      <c r="Q3082">
        <v>0.13413520000000001</v>
      </c>
      <c r="R3082">
        <v>-0.10588640000000001</v>
      </c>
      <c r="S3082">
        <v>3.0481569999999998</v>
      </c>
      <c r="T3082">
        <v>-0.13841829999999999</v>
      </c>
      <c r="U3082">
        <v>-0.1387177</v>
      </c>
      <c r="V3082">
        <v>4.2094189999999997E-2</v>
      </c>
      <c r="W3082">
        <v>0.14731749999999999</v>
      </c>
      <c r="X3082">
        <v>0.98819310000000005</v>
      </c>
      <c r="Y3082">
        <v>-1.9270099999999998E-2</v>
      </c>
      <c r="Z3082">
        <v>3.3735449999999999E-3</v>
      </c>
      <c r="AA3082">
        <v>0.99980860000000005</v>
      </c>
      <c r="AB3082">
        <v>18</v>
      </c>
      <c r="AC3082">
        <v>24.257999999999999</v>
      </c>
      <c r="AD3082">
        <v>-1.1094922327079999</v>
      </c>
      <c r="AE3082">
        <v>-1.09929999999999</v>
      </c>
      <c r="AF3082">
        <v>-0.47368518018862399</v>
      </c>
      <c r="AG3082">
        <v>-1.1094922327079999</v>
      </c>
      <c r="AH3082">
        <v>24.227678154362199</v>
      </c>
      <c r="AI3082">
        <v>92.621494274246402</v>
      </c>
      <c r="AJ3082">
        <v>91.120070362749999</v>
      </c>
      <c r="AK3082">
        <v>24.257694437347599</v>
      </c>
      <c r="AL3082">
        <v>81.528496263594306</v>
      </c>
      <c r="AM3082">
        <v>87.560838813895302</v>
      </c>
      <c r="AN3082">
        <v>0.99999998476280805</v>
      </c>
    </row>
    <row r="3083" spans="1:40" x14ac:dyDescent="0.25">
      <c r="A3083" t="str">
        <f>"20190312172950356"</f>
        <v>20190312172950356</v>
      </c>
      <c r="B3083" t="str">
        <f>"1552382990351044"</f>
        <v>1552382990351044</v>
      </c>
      <c r="C3083" t="s">
        <v>40</v>
      </c>
      <c r="D3083">
        <v>3.4714149999999999</v>
      </c>
      <c r="E3083">
        <v>0.4804525</v>
      </c>
      <c r="F3083" t="s">
        <v>48</v>
      </c>
      <c r="G3083">
        <v>-436.64440000000002</v>
      </c>
      <c r="H3083" s="1">
        <v>5.3151430000000003E-6</v>
      </c>
      <c r="I3083">
        <v>212.8819</v>
      </c>
      <c r="J3083">
        <v>-461.76139999999998</v>
      </c>
      <c r="K3083">
        <v>1.109504</v>
      </c>
      <c r="L3083">
        <v>214.05439999999999</v>
      </c>
      <c r="M3083">
        <v>0.9977258</v>
      </c>
      <c r="N3083">
        <v>0</v>
      </c>
      <c r="O3083">
        <v>-6.6057329999999997E-2</v>
      </c>
      <c r="P3083">
        <v>0.9851586</v>
      </c>
      <c r="Q3083">
        <v>0.13449369999999999</v>
      </c>
      <c r="R3083">
        <v>-0.1066492</v>
      </c>
      <c r="S3083">
        <v>3.0476679999999998</v>
      </c>
      <c r="T3083">
        <v>-0.13367970000000001</v>
      </c>
      <c r="U3083">
        <v>-0.14283750000000001</v>
      </c>
      <c r="V3083">
        <v>4.159947E-2</v>
      </c>
      <c r="W3083">
        <v>0.1476749</v>
      </c>
      <c r="X3083">
        <v>0.9881607</v>
      </c>
      <c r="Y3083">
        <v>-1.919502E-2</v>
      </c>
      <c r="Z3083">
        <v>3.3125920000000001E-3</v>
      </c>
      <c r="AA3083">
        <v>0.99981030000000004</v>
      </c>
      <c r="AB3083">
        <v>18</v>
      </c>
      <c r="AC3083">
        <v>25.116999999999901</v>
      </c>
      <c r="AD3083">
        <v>-1.1094986848569901</v>
      </c>
      <c r="AE3083">
        <v>-1.1724999999999799</v>
      </c>
      <c r="AF3083">
        <v>-0.48842144741892002</v>
      </c>
      <c r="AG3083">
        <v>-1.1094986848569901</v>
      </c>
      <c r="AH3083">
        <v>25.0907370709538</v>
      </c>
      <c r="AI3083">
        <v>92.531459684479699</v>
      </c>
      <c r="AJ3083">
        <v>91.115190579494396</v>
      </c>
      <c r="AK3083">
        <v>25.1200045701774</v>
      </c>
      <c r="AL3083">
        <v>81.507792268152301</v>
      </c>
      <c r="AM3083">
        <v>87.589392561626596</v>
      </c>
      <c r="AN3083">
        <v>0.99999998050938999</v>
      </c>
    </row>
    <row r="3084" spans="1:40" x14ac:dyDescent="0.25">
      <c r="A3084" t="str">
        <f>"20190312172950379"</f>
        <v>20190312172950379</v>
      </c>
      <c r="B3084" t="str">
        <f>"1552382990370564"</f>
        <v>1552382990370564</v>
      </c>
      <c r="C3084" t="s">
        <v>40</v>
      </c>
      <c r="D3084">
        <v>3.4391150000000001</v>
      </c>
      <c r="E3084">
        <v>0.48060930000000002</v>
      </c>
      <c r="F3084" t="s">
        <v>48</v>
      </c>
      <c r="G3084">
        <v>-436.27910000000003</v>
      </c>
      <c r="H3084" s="1">
        <v>5.1587170000000001E-6</v>
      </c>
      <c r="I3084">
        <v>212.81790000000001</v>
      </c>
      <c r="J3084">
        <v>-461.58260000000001</v>
      </c>
      <c r="K3084">
        <v>1.1095029999999999</v>
      </c>
      <c r="L3084">
        <v>214.041</v>
      </c>
      <c r="M3084">
        <v>0.99764010000000003</v>
      </c>
      <c r="N3084">
        <v>0</v>
      </c>
      <c r="O3084">
        <v>-6.7342070000000004E-2</v>
      </c>
      <c r="P3084">
        <v>0.9849021</v>
      </c>
      <c r="Q3084">
        <v>0.13561570000000001</v>
      </c>
      <c r="R3084">
        <v>-0.1075953</v>
      </c>
      <c r="S3084">
        <v>3.047272</v>
      </c>
      <c r="T3084">
        <v>-0.1326783</v>
      </c>
      <c r="U3084">
        <v>-0.14785770000000001</v>
      </c>
      <c r="V3084">
        <v>4.1284790000000002E-2</v>
      </c>
      <c r="W3084">
        <v>0.1487945</v>
      </c>
      <c r="X3084">
        <v>0.98800589999999999</v>
      </c>
      <c r="Y3084">
        <v>-1.883338E-2</v>
      </c>
      <c r="Z3084">
        <v>3.3359370000000002E-3</v>
      </c>
      <c r="AA3084">
        <v>0.99981710000000001</v>
      </c>
      <c r="AB3084">
        <v>18</v>
      </c>
      <c r="AC3084">
        <v>25.3034999999999</v>
      </c>
      <c r="AD3084">
        <v>-1.1094978412829899</v>
      </c>
      <c r="AE3084">
        <v>-1.2230999999999801</v>
      </c>
      <c r="AF3084">
        <v>-0.482893579650294</v>
      </c>
      <c r="AG3084">
        <v>-1.1094978412829899</v>
      </c>
      <c r="AH3084">
        <v>25.2799326389739</v>
      </c>
      <c r="AI3084">
        <v>92.512554271608593</v>
      </c>
      <c r="AJ3084">
        <v>91.094322522691797</v>
      </c>
      <c r="AK3084">
        <v>25.308875239728401</v>
      </c>
      <c r="AL3084">
        <v>81.442927011651605</v>
      </c>
      <c r="AM3084">
        <v>87.607231977376898</v>
      </c>
      <c r="AN3084">
        <v>0.99999994777519996</v>
      </c>
    </row>
    <row r="3085" spans="1:40" x14ac:dyDescent="0.25">
      <c r="A3085" t="str">
        <f>"20190312172950404"</f>
        <v>20190312172950404</v>
      </c>
      <c r="B3085" t="str">
        <f>"1552382990400820"</f>
        <v>1552382990400820</v>
      </c>
      <c r="C3085" t="s">
        <v>40</v>
      </c>
      <c r="D3085">
        <v>3.4713069999999999</v>
      </c>
      <c r="E3085">
        <v>0.48071970000000003</v>
      </c>
      <c r="F3085" t="s">
        <v>48</v>
      </c>
      <c r="G3085">
        <v>-435.4325</v>
      </c>
      <c r="H3085" s="1">
        <v>4.7897869999999997E-6</v>
      </c>
      <c r="I3085">
        <v>212.7439</v>
      </c>
      <c r="J3085">
        <v>-461.38499999999999</v>
      </c>
      <c r="K3085">
        <v>1.1095170000000001</v>
      </c>
      <c r="L3085">
        <v>214.02590000000001</v>
      </c>
      <c r="M3085">
        <v>0.99754359999999997</v>
      </c>
      <c r="N3085">
        <v>0</v>
      </c>
      <c r="O3085">
        <v>-6.8756280000000003E-2</v>
      </c>
      <c r="P3085">
        <v>0.98478900000000003</v>
      </c>
      <c r="Q3085">
        <v>0.13589229999999899</v>
      </c>
      <c r="R3085">
        <v>-0.108279399999999</v>
      </c>
      <c r="S3085">
        <v>3.047272</v>
      </c>
      <c r="T3085">
        <v>-0.12929009999999999</v>
      </c>
      <c r="U3085">
        <v>-0.1511536</v>
      </c>
      <c r="V3085">
        <v>4.056734E-2</v>
      </c>
      <c r="W3085">
        <v>0.14907219999999999</v>
      </c>
      <c r="X3085">
        <v>0.98799380000000003</v>
      </c>
      <c r="Y3085">
        <v>-1.9174500000000001E-2</v>
      </c>
      <c r="Z3085">
        <v>3.3177319999999999E-3</v>
      </c>
      <c r="AA3085">
        <v>0.99981059999999999</v>
      </c>
      <c r="AB3085">
        <v>18</v>
      </c>
      <c r="AC3085">
        <v>25.952499999999901</v>
      </c>
      <c r="AD3085">
        <v>-1.1095122102129999</v>
      </c>
      <c r="AE3085">
        <v>-1.28200000000001</v>
      </c>
      <c r="AF3085">
        <v>-0.50467165504993705</v>
      </c>
      <c r="AG3085">
        <v>-1.1095122102129999</v>
      </c>
      <c r="AH3085">
        <v>25.931944954511401</v>
      </c>
      <c r="AI3085">
        <v>92.449473259559497</v>
      </c>
      <c r="AJ3085">
        <v>91.114914681771396</v>
      </c>
      <c r="AK3085">
        <v>25.960575493386699</v>
      </c>
      <c r="AL3085">
        <v>81.426836878544407</v>
      </c>
      <c r="AM3085">
        <v>87.648737826928496</v>
      </c>
      <c r="AN3085">
        <v>0.99999998936297696</v>
      </c>
    </row>
    <row r="3086" spans="1:40" x14ac:dyDescent="0.25">
      <c r="A3086" t="str">
        <f>"20190312172950426"</f>
        <v>20190312172950426</v>
      </c>
      <c r="B3086" t="str">
        <f>"1552382990420340"</f>
        <v>1552382990420340</v>
      </c>
      <c r="C3086" t="s">
        <v>40</v>
      </c>
      <c r="D3086">
        <v>3.4881929999999999</v>
      </c>
      <c r="E3086">
        <v>0.48084519999999997</v>
      </c>
      <c r="F3086" t="s">
        <v>48</v>
      </c>
      <c r="G3086">
        <v>-434.90910000000002</v>
      </c>
      <c r="H3086" s="1">
        <v>4.5621059999999997E-6</v>
      </c>
      <c r="I3086">
        <v>212.69319999999999</v>
      </c>
      <c r="J3086">
        <v>-461.20339999999999</v>
      </c>
      <c r="K3086">
        <v>1.1095299999999999</v>
      </c>
      <c r="L3086">
        <v>214.01179999999999</v>
      </c>
      <c r="M3086">
        <v>0.99745379999999995</v>
      </c>
      <c r="N3086">
        <v>0</v>
      </c>
      <c r="O3086">
        <v>-7.0047999999999999E-2</v>
      </c>
      <c r="P3086">
        <v>0.98492230000000003</v>
      </c>
      <c r="Q3086">
        <v>0.13518229999999901</v>
      </c>
      <c r="R3086">
        <v>-0.107955</v>
      </c>
      <c r="S3086">
        <v>3.0470890000000002</v>
      </c>
      <c r="T3086">
        <v>-0.1276929</v>
      </c>
      <c r="U3086">
        <v>-0.1533813</v>
      </c>
      <c r="V3086">
        <v>3.8945340000000002E-2</v>
      </c>
      <c r="W3086">
        <v>0.14836489999999999</v>
      </c>
      <c r="X3086">
        <v>0.98816559999999998</v>
      </c>
      <c r="Y3086">
        <v>-1.9737370000000001E-2</v>
      </c>
      <c r="Z3086">
        <v>3.3426160000000001E-3</v>
      </c>
      <c r="AA3086">
        <v>0.99979960000000001</v>
      </c>
      <c r="AB3086">
        <v>18</v>
      </c>
      <c r="AC3086">
        <v>26.2942999999999</v>
      </c>
      <c r="AD3086">
        <v>-1.1095254378939901</v>
      </c>
      <c r="AE3086">
        <v>-1.3186</v>
      </c>
      <c r="AF3086">
        <v>-0.52573399453076797</v>
      </c>
      <c r="AG3086">
        <v>-1.1095254378939901</v>
      </c>
      <c r="AH3086">
        <v>26.275406231028001</v>
      </c>
      <c r="AI3086">
        <v>92.417495715047494</v>
      </c>
      <c r="AJ3086">
        <v>91.146255169892001</v>
      </c>
      <c r="AK3086">
        <v>26.304076025131302</v>
      </c>
      <c r="AL3086">
        <v>81.467818588003595</v>
      </c>
      <c r="AM3086">
        <v>87.743040890148706</v>
      </c>
      <c r="AN3086">
        <v>1.00000006804154</v>
      </c>
    </row>
    <row r="3087" spans="1:40" x14ac:dyDescent="0.25">
      <c r="A3087" t="str">
        <f>"20190312172950446"</f>
        <v>20190312172950446</v>
      </c>
      <c r="B3087" t="str">
        <f>"1552382990440837"</f>
        <v>1552382990440837</v>
      </c>
      <c r="C3087" t="s">
        <v>40</v>
      </c>
      <c r="D3087">
        <v>3.505627</v>
      </c>
      <c r="E3087">
        <v>0.48099560000000002</v>
      </c>
      <c r="F3087" t="s">
        <v>48</v>
      </c>
      <c r="G3087">
        <v>-435.31470000000002</v>
      </c>
      <c r="H3087" s="1">
        <v>4.7410370000000004E-6</v>
      </c>
      <c r="I3087">
        <v>212.7037</v>
      </c>
      <c r="J3087">
        <v>-461.03140000000002</v>
      </c>
      <c r="K3087">
        <v>1.1095410000000001</v>
      </c>
      <c r="L3087">
        <v>213.9982</v>
      </c>
      <c r="M3087">
        <v>0.99736769999999997</v>
      </c>
      <c r="N3087">
        <v>0</v>
      </c>
      <c r="O3087">
        <v>-7.1265179999999997E-2</v>
      </c>
      <c r="P3087">
        <v>0.98487009999999997</v>
      </c>
      <c r="Q3087">
        <v>0.13500589999999901</v>
      </c>
      <c r="R3087">
        <v>-0.10864939999999999</v>
      </c>
      <c r="S3087">
        <v>3.046967</v>
      </c>
      <c r="T3087">
        <v>-0.13058519999999901</v>
      </c>
      <c r="U3087">
        <v>-0.15396119999999999</v>
      </c>
      <c r="V3087">
        <v>3.8427160000000002E-2</v>
      </c>
      <c r="W3087">
        <v>0.14818290000000001</v>
      </c>
      <c r="X3087">
        <v>0.98821309999999996</v>
      </c>
      <c r="Y3087">
        <v>-2.0760029999999999E-2</v>
      </c>
      <c r="Z3087">
        <v>3.4922320000000001E-3</v>
      </c>
      <c r="AA3087">
        <v>0.99977839999999996</v>
      </c>
      <c r="AB3087">
        <v>18</v>
      </c>
      <c r="AC3087">
        <v>25.716699999999999</v>
      </c>
      <c r="AD3087">
        <v>-1.10953625896299</v>
      </c>
      <c r="AE3087">
        <v>-1.29449999999999</v>
      </c>
      <c r="AF3087">
        <v>-0.54065736713096901</v>
      </c>
      <c r="AG3087">
        <v>-1.10953625896299</v>
      </c>
      <c r="AH3087">
        <v>25.695851372678799</v>
      </c>
      <c r="AI3087">
        <v>92.471925825030198</v>
      </c>
      <c r="AJ3087">
        <v>91.205362482168894</v>
      </c>
      <c r="AK3087">
        <v>25.725476844276098</v>
      </c>
      <c r="AL3087">
        <v>81.478362172328104</v>
      </c>
      <c r="AM3087">
        <v>87.773146937383899</v>
      </c>
      <c r="AN3087">
        <v>0.99999997474484204</v>
      </c>
    </row>
    <row r="3088" spans="1:40" x14ac:dyDescent="0.25">
      <c r="A3088" t="str">
        <f>"20190312172950470"</f>
        <v>20190312172950470</v>
      </c>
      <c r="B3088" t="str">
        <f>"1552382990460357"</f>
        <v>1552382990460357</v>
      </c>
      <c r="C3088" t="s">
        <v>40</v>
      </c>
      <c r="D3088">
        <v>3.5157189999999998</v>
      </c>
      <c r="E3088">
        <v>0.48112389999999999</v>
      </c>
      <c r="F3088" t="s">
        <v>48</v>
      </c>
      <c r="G3088">
        <v>-435.35300000000001</v>
      </c>
      <c r="H3088" s="1">
        <v>4.7612170000000001E-6</v>
      </c>
      <c r="I3088">
        <v>212.66730000000001</v>
      </c>
      <c r="J3088">
        <v>-460.84829999999999</v>
      </c>
      <c r="K3088">
        <v>1.1095520000000001</v>
      </c>
      <c r="L3088">
        <v>213.9836</v>
      </c>
      <c r="M3088">
        <v>0.99727509999999997</v>
      </c>
      <c r="N3088">
        <v>0</v>
      </c>
      <c r="O3088">
        <v>-7.2554469999999996E-2</v>
      </c>
      <c r="P3088">
        <v>0.98471629999999999</v>
      </c>
      <c r="Q3088">
        <v>0.135525799999999</v>
      </c>
      <c r="R3088">
        <v>-0.10939219999999999</v>
      </c>
      <c r="S3088">
        <v>3.0467219999999999</v>
      </c>
      <c r="T3088">
        <v>-0.13164589999999901</v>
      </c>
      <c r="U3088">
        <v>-0.1579132</v>
      </c>
      <c r="V3088">
        <v>3.7894520000000001E-2</v>
      </c>
      <c r="W3088">
        <v>0.14867279999999999</v>
      </c>
      <c r="X3088">
        <v>0.98816009999999999</v>
      </c>
      <c r="Y3088">
        <v>-2.0752409999999999E-2</v>
      </c>
      <c r="Z3088">
        <v>3.5760269999999999E-3</v>
      </c>
      <c r="AA3088">
        <v>0.99977830000000001</v>
      </c>
      <c r="AB3088">
        <v>18</v>
      </c>
      <c r="AC3088">
        <v>25.495299999999901</v>
      </c>
      <c r="AD3088">
        <v>-1.1095472387829901</v>
      </c>
      <c r="AE3088">
        <v>-1.31629999999998</v>
      </c>
      <c r="AF3088">
        <v>-0.53611994032039101</v>
      </c>
      <c r="AG3088">
        <v>-1.1095472387829901</v>
      </c>
      <c r="AH3088">
        <v>25.475484526454402</v>
      </c>
      <c r="AI3088">
        <v>92.493305932162798</v>
      </c>
      <c r="AJ3088">
        <v>91.205585567201297</v>
      </c>
      <c r="AK3088">
        <v>25.505270661632199</v>
      </c>
      <c r="AL3088">
        <v>81.449978699107405</v>
      </c>
      <c r="AM3088">
        <v>87.803865313313807</v>
      </c>
      <c r="AN3088">
        <v>0.99999998966893999</v>
      </c>
    </row>
    <row r="3089" spans="1:40" x14ac:dyDescent="0.25">
      <c r="A3089" t="str">
        <f>"20190312172950492"</f>
        <v>20190312172950492</v>
      </c>
      <c r="B3089" t="str">
        <f>"1552382990480853"</f>
        <v>1552382990480853</v>
      </c>
      <c r="C3089" t="s">
        <v>40</v>
      </c>
      <c r="D3089">
        <v>3.5184869999999999</v>
      </c>
      <c r="E3089">
        <v>0.48119590000000001</v>
      </c>
      <c r="F3089" t="s">
        <v>48</v>
      </c>
      <c r="G3089">
        <v>-434.8648</v>
      </c>
      <c r="H3089" s="1">
        <v>4.5499719999999997E-6</v>
      </c>
      <c r="I3089">
        <v>212.60730000000001</v>
      </c>
      <c r="J3089">
        <v>-460.66129999999998</v>
      </c>
      <c r="K3089">
        <v>1.1095469999999901</v>
      </c>
      <c r="L3089">
        <v>213.9683</v>
      </c>
      <c r="M3089">
        <v>0.9971797</v>
      </c>
      <c r="N3089">
        <v>0</v>
      </c>
      <c r="O3089">
        <v>-7.3867769999999999E-2</v>
      </c>
      <c r="P3089">
        <v>0.98445550000000004</v>
      </c>
      <c r="Q3089">
        <v>0.1365083</v>
      </c>
      <c r="R3089">
        <v>-0.1105138</v>
      </c>
      <c r="S3089">
        <v>3.0465390000000001</v>
      </c>
      <c r="T3089">
        <v>-0.1300933</v>
      </c>
      <c r="U3089">
        <v>-0.1613617</v>
      </c>
      <c r="V3089">
        <v>3.7726969999999999E-2</v>
      </c>
      <c r="W3089">
        <v>0.14957809999999999</v>
      </c>
      <c r="X3089">
        <v>0.98802990000000002</v>
      </c>
      <c r="Y3089">
        <v>-2.093797E-2</v>
      </c>
      <c r="Z3089">
        <v>3.5937740000000001E-3</v>
      </c>
      <c r="AA3089">
        <v>0.9997743</v>
      </c>
      <c r="AB3089">
        <v>18</v>
      </c>
      <c r="AC3089">
        <v>25.796499999999899</v>
      </c>
      <c r="AD3089">
        <v>-1.10954245002799</v>
      </c>
      <c r="AE3089">
        <v>-1.36099999999998</v>
      </c>
      <c r="AF3089">
        <v>-0.54740679549034799</v>
      </c>
      <c r="AG3089">
        <v>-1.10954245002799</v>
      </c>
      <c r="AH3089">
        <v>25.778997399040101</v>
      </c>
      <c r="AI3089">
        <v>92.463966513166099</v>
      </c>
      <c r="AJ3089">
        <v>91.216470359030794</v>
      </c>
      <c r="AK3089">
        <v>25.808669968595499</v>
      </c>
      <c r="AL3089">
        <v>81.397522431603903</v>
      </c>
      <c r="AM3089">
        <v>87.813278199094199</v>
      </c>
      <c r="AN3089">
        <v>1.0000000077794999</v>
      </c>
    </row>
    <row r="3090" spans="1:40" x14ac:dyDescent="0.25">
      <c r="A3090" t="str">
        <f>"20190312172950515"</f>
        <v>20190312172950515</v>
      </c>
      <c r="B3090" t="str">
        <f>"1552382990510132"</f>
        <v>1552382990510132</v>
      </c>
      <c r="C3090" t="s">
        <v>40</v>
      </c>
      <c r="D3090">
        <v>3.4951310000000002</v>
      </c>
      <c r="E3090">
        <v>0.48131020000000002</v>
      </c>
      <c r="F3090" t="s">
        <v>48</v>
      </c>
      <c r="G3090">
        <v>-434.11079999999998</v>
      </c>
      <c r="H3090" s="1">
        <v>4.222232E-6</v>
      </c>
      <c r="I3090">
        <v>212.53139999999999</v>
      </c>
      <c r="J3090">
        <v>-460.47820000000002</v>
      </c>
      <c r="K3090">
        <v>1.1095330000000001</v>
      </c>
      <c r="L3090">
        <v>213.95320000000001</v>
      </c>
      <c r="M3090">
        <v>0.99708580000000002</v>
      </c>
      <c r="N3090">
        <v>0</v>
      </c>
      <c r="O3090">
        <v>-7.5147320000000004E-2</v>
      </c>
      <c r="P3090">
        <v>0.98435059999999996</v>
      </c>
      <c r="Q3090">
        <v>0.13672870000000001</v>
      </c>
      <c r="R3090">
        <v>-0.1111742</v>
      </c>
      <c r="S3090">
        <v>3.0465390000000001</v>
      </c>
      <c r="T3090">
        <v>-0.12731480000000001</v>
      </c>
      <c r="U3090">
        <v>-0.16488649999999999</v>
      </c>
      <c r="V3090">
        <v>3.7121439999999999E-2</v>
      </c>
      <c r="W3090">
        <v>0.14968000000000001</v>
      </c>
      <c r="X3090">
        <v>0.98803739999999995</v>
      </c>
      <c r="Y3090">
        <v>-2.1069810000000001E-2</v>
      </c>
      <c r="Z3090">
        <v>3.5729400000000001E-3</v>
      </c>
      <c r="AA3090">
        <v>0.99977159999999998</v>
      </c>
      <c r="AB3090">
        <v>18</v>
      </c>
      <c r="AC3090">
        <v>26.3674</v>
      </c>
      <c r="AD3090">
        <v>-1.1095287777680001</v>
      </c>
      <c r="AE3090">
        <v>-1.4218000000000099</v>
      </c>
      <c r="AF3090">
        <v>-0.56283784669089698</v>
      </c>
      <c r="AG3090">
        <v>-1.1095287777680001</v>
      </c>
      <c r="AH3090">
        <v>26.353157467582701</v>
      </c>
      <c r="AI3090">
        <v>92.4103117704705</v>
      </c>
      <c r="AJ3090">
        <v>91.223509223715993</v>
      </c>
      <c r="AK3090">
        <v>26.382508392144398</v>
      </c>
      <c r="AL3090">
        <v>81.391617480454201</v>
      </c>
      <c r="AM3090">
        <v>87.848358847329493</v>
      </c>
      <c r="AN3090">
        <v>1.00000000375321</v>
      </c>
    </row>
    <row r="3091" spans="1:40" x14ac:dyDescent="0.25">
      <c r="A3091" t="str">
        <f>"20190312172950535"</f>
        <v>20190312172950535</v>
      </c>
      <c r="B3091" t="str">
        <f>"1552382990530628"</f>
        <v>1552382990530628</v>
      </c>
      <c r="C3091" t="s">
        <v>40</v>
      </c>
      <c r="D3091">
        <v>3.5045989999999998</v>
      </c>
      <c r="E3091">
        <v>0.48139690000000002</v>
      </c>
      <c r="F3091" t="s">
        <v>48</v>
      </c>
      <c r="G3091">
        <v>-433.88959999999997</v>
      </c>
      <c r="H3091" s="1">
        <v>4.1280019999999997E-6</v>
      </c>
      <c r="I3091">
        <v>212.48750000000001</v>
      </c>
      <c r="J3091">
        <v>-460.31119999999999</v>
      </c>
      <c r="K3091">
        <v>1.1095170000000001</v>
      </c>
      <c r="L3091">
        <v>213.9392</v>
      </c>
      <c r="M3091">
        <v>0.99699899999999997</v>
      </c>
      <c r="N3091">
        <v>0</v>
      </c>
      <c r="O3091">
        <v>-7.6314770000000004E-2</v>
      </c>
      <c r="P3091">
        <v>0.98418130000000004</v>
      </c>
      <c r="Q3091">
        <v>0.13719579999999901</v>
      </c>
      <c r="R3091">
        <v>-0.1120921</v>
      </c>
      <c r="S3091">
        <v>3.0464169999999999</v>
      </c>
      <c r="T3091">
        <v>-0.12712570000000001</v>
      </c>
      <c r="U3091">
        <v>-0.16793820000000001</v>
      </c>
      <c r="V3091">
        <v>3.6888669999999998E-2</v>
      </c>
      <c r="W3091">
        <v>0.15000479999999899</v>
      </c>
      <c r="X3091">
        <v>0.98799689999999996</v>
      </c>
      <c r="Y3091">
        <v>-2.1238699999999999E-2</v>
      </c>
      <c r="Z3091">
        <v>3.6196760000000001E-3</v>
      </c>
      <c r="AA3091">
        <v>0.99976790000000004</v>
      </c>
      <c r="AB3091">
        <v>18</v>
      </c>
      <c r="AC3091">
        <v>26.421600000000002</v>
      </c>
      <c r="AD3091">
        <v>-1.1095128719980001</v>
      </c>
      <c r="AE3091">
        <v>-1.45169999999998</v>
      </c>
      <c r="AF3091">
        <v>-0.56806428119506203</v>
      </c>
      <c r="AG3091">
        <v>-1.1095128719980001</v>
      </c>
      <c r="AH3091">
        <v>26.4089023300875</v>
      </c>
      <c r="AI3091">
        <v>92.405187673574801</v>
      </c>
      <c r="AJ3091">
        <v>91.232261262260494</v>
      </c>
      <c r="AK3091">
        <v>26.438302481831201</v>
      </c>
      <c r="AL3091">
        <v>81.372795658556797</v>
      </c>
      <c r="AM3091">
        <v>87.861750585458495</v>
      </c>
      <c r="AN3091">
        <v>1.0000000442035</v>
      </c>
    </row>
    <row r="3092" spans="1:40" x14ac:dyDescent="0.25">
      <c r="A3092" t="str">
        <f>"20190312172950559"</f>
        <v>20190312172950559</v>
      </c>
      <c r="B3092" t="str">
        <f>"1552382990550148"</f>
        <v>1552382990550148</v>
      </c>
      <c r="C3092" t="s">
        <v>40</v>
      </c>
      <c r="D3092">
        <v>3.4991650000000001</v>
      </c>
      <c r="E3092">
        <v>0.48146840000000002</v>
      </c>
      <c r="F3092" t="s">
        <v>48</v>
      </c>
      <c r="G3092">
        <v>-433.48230000000001</v>
      </c>
      <c r="H3092" s="1">
        <v>3.9521860000000001E-6</v>
      </c>
      <c r="I3092">
        <v>212.43199999999999</v>
      </c>
      <c r="J3092">
        <v>-460.11649999999997</v>
      </c>
      <c r="K3092">
        <v>1.1094930000000001</v>
      </c>
      <c r="L3092">
        <v>213.92259999999999</v>
      </c>
      <c r="M3092">
        <v>0.996896</v>
      </c>
      <c r="N3092">
        <v>0</v>
      </c>
      <c r="O3092">
        <v>-7.7681559999999997E-2</v>
      </c>
      <c r="P3092">
        <v>0.98398450000000004</v>
      </c>
      <c r="Q3092">
        <v>0.1378376</v>
      </c>
      <c r="R3092">
        <v>-0.1130269</v>
      </c>
      <c r="S3092">
        <v>3.046265</v>
      </c>
      <c r="T3092">
        <v>-0.12597839999999999</v>
      </c>
      <c r="U3092">
        <v>-0.17112729999999901</v>
      </c>
      <c r="V3092">
        <v>3.6475769999999998E-2</v>
      </c>
      <c r="W3092">
        <v>0.1504479</v>
      </c>
      <c r="X3092">
        <v>0.98794479999999996</v>
      </c>
      <c r="Y3092">
        <v>-2.1563079999999998E-2</v>
      </c>
      <c r="Z3092">
        <v>3.650042E-3</v>
      </c>
      <c r="AA3092">
        <v>0.99976080000000001</v>
      </c>
      <c r="AB3092">
        <v>18</v>
      </c>
      <c r="AC3092">
        <v>26.6341999999999</v>
      </c>
      <c r="AD3092">
        <v>-1.109489047814</v>
      </c>
      <c r="AE3092">
        <v>-1.4905999999999699</v>
      </c>
      <c r="AF3092">
        <v>-0.58205395699221696</v>
      </c>
      <c r="AG3092">
        <v>-1.109489047814</v>
      </c>
      <c r="AH3092">
        <v>26.6234511804095</v>
      </c>
      <c r="AI3092">
        <v>92.385758257152801</v>
      </c>
      <c r="AJ3092">
        <v>91.252426787397994</v>
      </c>
      <c r="AK3092">
        <v>26.652915516162899</v>
      </c>
      <c r="AL3092">
        <v>81.347116011276796</v>
      </c>
      <c r="AM3092">
        <v>87.885551062816802</v>
      </c>
      <c r="AN3092">
        <v>0.99999999012927099</v>
      </c>
    </row>
    <row r="3093" spans="1:40" x14ac:dyDescent="0.25">
      <c r="A3093" t="str">
        <f>"20190312172950581"</f>
        <v>20190312172950581</v>
      </c>
      <c r="B3093" t="str">
        <f>"1552382990570644"</f>
        <v>1552382990570644</v>
      </c>
      <c r="C3093" t="s">
        <v>40</v>
      </c>
      <c r="D3093">
        <v>3.4977010000000002</v>
      </c>
      <c r="E3093">
        <v>0.48159839999999998</v>
      </c>
      <c r="F3093" t="s">
        <v>48</v>
      </c>
      <c r="G3093">
        <v>-432.92809999999997</v>
      </c>
      <c r="H3093" s="1">
        <v>3.7115700000000002E-6</v>
      </c>
      <c r="I3093">
        <v>212.3734</v>
      </c>
      <c r="J3093">
        <v>-459.94600000000003</v>
      </c>
      <c r="K3093">
        <v>1.1094569999999999</v>
      </c>
      <c r="L3093">
        <v>213.90790000000001</v>
      </c>
      <c r="M3093">
        <v>0.99680440000000003</v>
      </c>
      <c r="N3093">
        <v>0</v>
      </c>
      <c r="O3093">
        <v>-7.8882170000000001E-2</v>
      </c>
      <c r="P3093">
        <v>0.98394879999999996</v>
      </c>
      <c r="Q3093">
        <v>0.13726050000000001</v>
      </c>
      <c r="R3093">
        <v>-0.1140384</v>
      </c>
      <c r="S3093">
        <v>3.0463260000000001</v>
      </c>
      <c r="T3093">
        <v>-0.12431300000000001</v>
      </c>
      <c r="U3093">
        <v>-0.17358399999999999</v>
      </c>
      <c r="V3093">
        <v>3.6291089999999998E-2</v>
      </c>
      <c r="W3093">
        <v>0.14967620000000001</v>
      </c>
      <c r="X3093">
        <v>0.98806879999999997</v>
      </c>
      <c r="Y3093">
        <v>-2.196536E-2</v>
      </c>
      <c r="Z3093">
        <v>3.6586119999999999E-3</v>
      </c>
      <c r="AA3093">
        <v>0.99975199999999997</v>
      </c>
      <c r="AB3093">
        <v>18</v>
      </c>
      <c r="AC3093">
        <v>27.017900000000001</v>
      </c>
      <c r="AD3093">
        <v>-1.1094532884299999</v>
      </c>
      <c r="AE3093">
        <v>-1.5345</v>
      </c>
      <c r="AF3093">
        <v>-0.60067233131243603</v>
      </c>
      <c r="AG3093">
        <v>-1.1094532884299999</v>
      </c>
      <c r="AH3093">
        <v>27.0093543602298</v>
      </c>
      <c r="AI3093">
        <v>92.351614435516694</v>
      </c>
      <c r="AJ3093">
        <v>91.274014799619096</v>
      </c>
      <c r="AK3093">
        <v>27.038803908554801</v>
      </c>
      <c r="AL3093">
        <v>81.391837485954397</v>
      </c>
      <c r="AM3093">
        <v>87.896510836273904</v>
      </c>
      <c r="AN3093">
        <v>0.99999998079663299</v>
      </c>
    </row>
    <row r="3094" spans="1:40" x14ac:dyDescent="0.25">
      <c r="A3094" t="str">
        <f>"20190312172950605"</f>
        <v>20190312172950605</v>
      </c>
      <c r="B3094" t="str">
        <f>"1552382990600900"</f>
        <v>1552382990600900</v>
      </c>
      <c r="C3094" t="s">
        <v>40</v>
      </c>
      <c r="D3094">
        <v>3.472693</v>
      </c>
      <c r="E3094">
        <v>0.4817475</v>
      </c>
      <c r="F3094" t="s">
        <v>48</v>
      </c>
      <c r="G3094">
        <v>-433.1798</v>
      </c>
      <c r="H3094" s="1">
        <v>3.8243529999999999E-6</v>
      </c>
      <c r="I3094">
        <v>212.36</v>
      </c>
      <c r="J3094">
        <v>-459.74990000000003</v>
      </c>
      <c r="K3094">
        <v>1.109413</v>
      </c>
      <c r="L3094">
        <v>213.89070000000001</v>
      </c>
      <c r="M3094">
        <v>0.9966971</v>
      </c>
      <c r="N3094">
        <v>0</v>
      </c>
      <c r="O3094">
        <v>-8.0263600000000004E-2</v>
      </c>
      <c r="P3094">
        <v>0.98400679999999996</v>
      </c>
      <c r="Q3094">
        <v>0.13583729999999999</v>
      </c>
      <c r="R3094">
        <v>-0.11523410000000001</v>
      </c>
      <c r="S3094">
        <v>3.0461429999999998</v>
      </c>
      <c r="T3094">
        <v>-0.12626189999999901</v>
      </c>
      <c r="U3094">
        <v>-0.17616270000000001</v>
      </c>
      <c r="V3094">
        <v>3.6102870000000002E-2</v>
      </c>
      <c r="W3094">
        <v>0.148006</v>
      </c>
      <c r="X3094">
        <v>0.98832730000000002</v>
      </c>
      <c r="Y3094">
        <v>-2.2499459999999999E-2</v>
      </c>
      <c r="Z3094">
        <v>3.7840629999999998E-3</v>
      </c>
      <c r="AA3094">
        <v>0.99973970000000001</v>
      </c>
      <c r="AB3094">
        <v>18</v>
      </c>
      <c r="AC3094">
        <v>26.5701</v>
      </c>
      <c r="AD3094">
        <v>-1.1094091756469999</v>
      </c>
      <c r="AE3094">
        <v>-1.53069999999999</v>
      </c>
      <c r="AF3094">
        <v>-0.60596102003017205</v>
      </c>
      <c r="AG3094">
        <v>-1.1094091756469999</v>
      </c>
      <c r="AH3094">
        <v>26.5610785069067</v>
      </c>
      <c r="AI3094">
        <v>92.391131484812504</v>
      </c>
      <c r="AJ3094">
        <v>91.306911819721606</v>
      </c>
      <c r="AK3094">
        <v>26.591142678096201</v>
      </c>
      <c r="AL3094">
        <v>81.488611215667603</v>
      </c>
      <c r="AM3094">
        <v>87.907957478708695</v>
      </c>
      <c r="AN3094">
        <v>1.00000002259176</v>
      </c>
    </row>
    <row r="3095" spans="1:40" x14ac:dyDescent="0.25">
      <c r="A3095" t="str">
        <f>"20190312172950629"</f>
        <v>20190312172950629</v>
      </c>
      <c r="B3095" t="str">
        <f>"1552382990620421"</f>
        <v>1552382990620421</v>
      </c>
      <c r="C3095" t="s">
        <v>40</v>
      </c>
      <c r="D3095">
        <v>3.4718429999999998</v>
      </c>
      <c r="E3095">
        <v>0.48182560000000002</v>
      </c>
      <c r="F3095" t="s">
        <v>48</v>
      </c>
      <c r="G3095">
        <v>-434.1617</v>
      </c>
      <c r="H3095" s="1">
        <v>4.2592550000000003E-6</v>
      </c>
      <c r="I3095">
        <v>212.36619999999999</v>
      </c>
      <c r="J3095">
        <v>-459.56049999999999</v>
      </c>
      <c r="K3095">
        <v>1.109364</v>
      </c>
      <c r="L3095">
        <v>213.87389999999999</v>
      </c>
      <c r="M3095">
        <v>0.99659219999999904</v>
      </c>
      <c r="N3095">
        <v>0</v>
      </c>
      <c r="O3095">
        <v>-8.1595749999999995E-2</v>
      </c>
      <c r="P3095">
        <v>0.98396989999999995</v>
      </c>
      <c r="Q3095">
        <v>0.13511779999999901</v>
      </c>
      <c r="R3095">
        <v>-0.11638999999999999</v>
      </c>
      <c r="S3095">
        <v>3.0457459999999998</v>
      </c>
      <c r="T3095">
        <v>-0.13205239999999999</v>
      </c>
      <c r="U3095">
        <v>-0.18145749999999999</v>
      </c>
      <c r="V3095">
        <v>3.5934239999999999E-2</v>
      </c>
      <c r="W3095">
        <v>0.14702599999999999</v>
      </c>
      <c r="X3095">
        <v>0.98847969999999996</v>
      </c>
      <c r="Y3095">
        <v>-2.208688E-2</v>
      </c>
      <c r="Z3095">
        <v>4.0062250000000004E-3</v>
      </c>
      <c r="AA3095">
        <v>0.99974810000000003</v>
      </c>
      <c r="AB3095">
        <v>18</v>
      </c>
      <c r="AC3095">
        <v>25.398799999999898</v>
      </c>
      <c r="AD3095">
        <v>-1.109359740745</v>
      </c>
      <c r="AE3095">
        <v>-1.50769999999999</v>
      </c>
      <c r="AF3095">
        <v>-0.56883234291958895</v>
      </c>
      <c r="AG3095">
        <v>-1.109359740745</v>
      </c>
      <c r="AH3095">
        <v>25.388861206851701</v>
      </c>
      <c r="AI3095">
        <v>92.501305939059094</v>
      </c>
      <c r="AJ3095">
        <v>91.283485717255402</v>
      </c>
      <c r="AK3095">
        <v>25.4194516591038</v>
      </c>
      <c r="AL3095">
        <v>81.545382115916794</v>
      </c>
      <c r="AM3095">
        <v>87.918041165681203</v>
      </c>
      <c r="AN3095">
        <v>1.0000000157962301</v>
      </c>
    </row>
    <row r="3096" spans="1:40" x14ac:dyDescent="0.25">
      <c r="A3096" t="str">
        <f>"20190312172950648"</f>
        <v>20190312172950648</v>
      </c>
      <c r="B3096" t="str">
        <f>"1552382990640917"</f>
        <v>1552382990640917</v>
      </c>
      <c r="C3096" t="s">
        <v>40</v>
      </c>
      <c r="D3096">
        <v>3.4838239999999998</v>
      </c>
      <c r="E3096">
        <v>0.48187000000000002</v>
      </c>
      <c r="F3096" t="s">
        <v>48</v>
      </c>
      <c r="G3096">
        <v>-434.68939999999998</v>
      </c>
      <c r="H3096" s="1">
        <v>4.4941989999999999E-6</v>
      </c>
      <c r="I3096">
        <v>212.35509999999999</v>
      </c>
      <c r="J3096">
        <v>-459.39139999999998</v>
      </c>
      <c r="K3096">
        <v>1.1093230000000001</v>
      </c>
      <c r="L3096">
        <v>213.8586</v>
      </c>
      <c r="M3096">
        <v>0.99649719999999997</v>
      </c>
      <c r="N3096">
        <v>0</v>
      </c>
      <c r="O3096">
        <v>-8.2781869999999994E-2</v>
      </c>
      <c r="P3096">
        <v>0.9836085</v>
      </c>
      <c r="Q3096">
        <v>0.13601849999999999</v>
      </c>
      <c r="R3096">
        <v>-0.118377</v>
      </c>
      <c r="S3096">
        <v>3.0455320000000001</v>
      </c>
      <c r="T3096">
        <v>-0.13584379999999999</v>
      </c>
      <c r="U3096">
        <v>-0.1859741</v>
      </c>
      <c r="V3096">
        <v>3.6769290000000003E-2</v>
      </c>
      <c r="W3096">
        <v>0.1476896</v>
      </c>
      <c r="X3096">
        <v>0.98834999999999995</v>
      </c>
      <c r="Y3096">
        <v>-2.178863E-2</v>
      </c>
      <c r="Z3096">
        <v>4.1671659999999999E-3</v>
      </c>
      <c r="AA3096">
        <v>0.99975389999999997</v>
      </c>
      <c r="AB3096">
        <v>18</v>
      </c>
      <c r="AC3096">
        <v>24.702000000000002</v>
      </c>
      <c r="AD3096">
        <v>-1.109318505801</v>
      </c>
      <c r="AE3096">
        <v>-1.5035000000000001</v>
      </c>
      <c r="AF3096">
        <v>-0.54558637567281199</v>
      </c>
      <c r="AG3096">
        <v>-1.109318505801</v>
      </c>
      <c r="AH3096">
        <v>24.692060964132398</v>
      </c>
      <c r="AI3096">
        <v>92.571720527697195</v>
      </c>
      <c r="AJ3096">
        <v>91.265779759708906</v>
      </c>
      <c r="AK3096">
        <v>24.722987818972499</v>
      </c>
      <c r="AL3096">
        <v>81.506940511801304</v>
      </c>
      <c r="AM3096">
        <v>87.869424791122896</v>
      </c>
      <c r="AN3096">
        <v>0.99999996056763096</v>
      </c>
    </row>
    <row r="3097" spans="1:40" x14ac:dyDescent="0.25">
      <c r="A3097" t="str">
        <f>"20190312172950670"</f>
        <v>20190312172950670</v>
      </c>
      <c r="B3097" t="str">
        <f>"1552382990660436"</f>
        <v>1552382990660436</v>
      </c>
      <c r="C3097" t="s">
        <v>40</v>
      </c>
      <c r="D3097">
        <v>3.4720170000000001</v>
      </c>
      <c r="E3097">
        <v>0.48190060000000001</v>
      </c>
      <c r="F3097" t="s">
        <v>48</v>
      </c>
      <c r="G3097">
        <v>-434.03</v>
      </c>
      <c r="H3097" s="1">
        <v>4.2099689999999997E-6</v>
      </c>
      <c r="I3097">
        <v>212.26179999999999</v>
      </c>
      <c r="J3097">
        <v>-459.214</v>
      </c>
      <c r="K3097">
        <v>1.1092850000000001</v>
      </c>
      <c r="L3097">
        <v>213.8424</v>
      </c>
      <c r="M3097">
        <v>0.99639619999999995</v>
      </c>
      <c r="N3097">
        <v>0</v>
      </c>
      <c r="O3097">
        <v>-8.4023890000000004E-2</v>
      </c>
      <c r="P3097">
        <v>0.98300180000000004</v>
      </c>
      <c r="Q3097">
        <v>0.1375595</v>
      </c>
      <c r="R3097">
        <v>-0.1215961</v>
      </c>
      <c r="S3097">
        <v>3.0453800000000002</v>
      </c>
      <c r="T3097">
        <v>-0.133206399999999</v>
      </c>
      <c r="U3097">
        <v>-0.19174189999999999</v>
      </c>
      <c r="V3097">
        <v>3.8798230000000003E-2</v>
      </c>
      <c r="W3097">
        <v>0.148978799999999</v>
      </c>
      <c r="X3097">
        <v>0.98807900000000004</v>
      </c>
      <c r="Y3097">
        <v>-2.1148670000000001E-2</v>
      </c>
      <c r="Z3097">
        <v>4.1262850000000004E-3</v>
      </c>
      <c r="AA3097">
        <v>0.99976779999999998</v>
      </c>
      <c r="AB3097">
        <v>18</v>
      </c>
      <c r="AC3097">
        <v>25.184000000000001</v>
      </c>
      <c r="AD3097">
        <v>-1.109280790031</v>
      </c>
      <c r="AE3097">
        <v>-1.5806</v>
      </c>
      <c r="AF3097">
        <v>-0.54014638597449804</v>
      </c>
      <c r="AG3097">
        <v>-1.109280790031</v>
      </c>
      <c r="AH3097">
        <v>25.179088587911899</v>
      </c>
      <c r="AI3097">
        <v>92.521991407299495</v>
      </c>
      <c r="AJ3097">
        <v>91.228930985263503</v>
      </c>
      <c r="AK3097">
        <v>25.209299159384202</v>
      </c>
      <c r="AL3097">
        <v>81.432249241770506</v>
      </c>
      <c r="AM3097">
        <v>87.751360575687599</v>
      </c>
      <c r="AN3097">
        <v>1.00000004787078</v>
      </c>
    </row>
    <row r="3098" spans="1:40" x14ac:dyDescent="0.25">
      <c r="A3098" t="str">
        <f>"20190312172950693"</f>
        <v>20190312172950693</v>
      </c>
      <c r="B3098" t="str">
        <f>"1552382990690691"</f>
        <v>1552382990690691</v>
      </c>
      <c r="C3098" t="s">
        <v>40</v>
      </c>
      <c r="D3098">
        <v>3.449481</v>
      </c>
      <c r="E3098">
        <v>0.48191319999999999</v>
      </c>
      <c r="F3098" t="s">
        <v>48</v>
      </c>
      <c r="G3098">
        <v>-432.85829999999999</v>
      </c>
      <c r="H3098" s="1">
        <v>3.7035939999999998E-6</v>
      </c>
      <c r="I3098">
        <v>212.11060000000001</v>
      </c>
      <c r="J3098">
        <v>-459.02789999999999</v>
      </c>
      <c r="K3098">
        <v>1.1092489999999999</v>
      </c>
      <c r="L3098">
        <v>213.82509999999999</v>
      </c>
      <c r="M3098">
        <v>0.99628839999999996</v>
      </c>
      <c r="N3098">
        <v>0</v>
      </c>
      <c r="O3098">
        <v>-8.5329000000000002E-2</v>
      </c>
      <c r="P3098">
        <v>0.98269280000000003</v>
      </c>
      <c r="Q3098">
        <v>0.13771410000000001</v>
      </c>
      <c r="R3098">
        <v>-0.12389509999999999</v>
      </c>
      <c r="S3098">
        <v>3.045105</v>
      </c>
      <c r="T3098">
        <v>-0.128165</v>
      </c>
      <c r="U3098">
        <v>-0.2000885</v>
      </c>
      <c r="V3098">
        <v>3.9821219999999997E-2</v>
      </c>
      <c r="W3098">
        <v>0.148869</v>
      </c>
      <c r="X3098">
        <v>0.98805480000000001</v>
      </c>
      <c r="Y3098">
        <v>-1.973082E-2</v>
      </c>
      <c r="Z3098">
        <v>3.9949909999999998E-3</v>
      </c>
      <c r="AA3098">
        <v>0.9997973</v>
      </c>
      <c r="AB3098">
        <v>18</v>
      </c>
      <c r="AC3098">
        <v>26.169599999999999</v>
      </c>
      <c r="AD3098">
        <v>-1.109245296406</v>
      </c>
      <c r="AE3098">
        <v>-1.7144999999999799</v>
      </c>
      <c r="AF3098">
        <v>-0.52398564400609104</v>
      </c>
      <c r="AG3098">
        <v>-1.109245296406</v>
      </c>
      <c r="AH3098">
        <v>26.173625102993601</v>
      </c>
      <c r="AI3098">
        <v>92.426272829234705</v>
      </c>
      <c r="AJ3098">
        <v>91.146885689920893</v>
      </c>
      <c r="AK3098">
        <v>26.202359380689</v>
      </c>
      <c r="AL3098">
        <v>81.438610835221397</v>
      </c>
      <c r="AM3098">
        <v>87.692077692884695</v>
      </c>
      <c r="AN3098">
        <v>0.99999999826316399</v>
      </c>
    </row>
    <row r="3099" spans="1:40" x14ac:dyDescent="0.25">
      <c r="A3099" t="str">
        <f>"20190312172950715"</f>
        <v>20190312172950715</v>
      </c>
      <c r="B3099" t="str">
        <f>"1552382990711189"</f>
        <v>1552382990711189</v>
      </c>
      <c r="C3099" t="s">
        <v>40</v>
      </c>
      <c r="D3099">
        <v>3.4626679999999999</v>
      </c>
      <c r="E3099">
        <v>0.48193849999999999</v>
      </c>
      <c r="F3099" t="s">
        <v>48</v>
      </c>
      <c r="G3099">
        <v>-432.7826</v>
      </c>
      <c r="H3099" s="1">
        <v>3.6760309999999998E-6</v>
      </c>
      <c r="I3099">
        <v>212.0419</v>
      </c>
      <c r="J3099">
        <v>-458.8546</v>
      </c>
      <c r="K3099">
        <v>1.1092169999999999</v>
      </c>
      <c r="L3099">
        <v>213.80889999999999</v>
      </c>
      <c r="M3099">
        <v>0.99618609999999996</v>
      </c>
      <c r="N3099">
        <v>0</v>
      </c>
      <c r="O3099">
        <v>-8.6545529999999996E-2</v>
      </c>
      <c r="P3099">
        <v>0.98267749999999998</v>
      </c>
      <c r="Q3099">
        <v>0.13663979999999901</v>
      </c>
      <c r="R3099">
        <v>-0.12519829999999901</v>
      </c>
      <c r="S3099">
        <v>3.0448</v>
      </c>
      <c r="T3099">
        <v>-0.128687</v>
      </c>
      <c r="U3099">
        <v>-0.2068787</v>
      </c>
      <c r="V3099">
        <v>3.9912309999999999E-2</v>
      </c>
      <c r="W3099">
        <v>0.1475514</v>
      </c>
      <c r="X3099">
        <v>0.98824880000000004</v>
      </c>
      <c r="Y3099">
        <v>-1.872426E-2</v>
      </c>
      <c r="Z3099">
        <v>4.041139E-3</v>
      </c>
      <c r="AA3099">
        <v>0.9998165</v>
      </c>
      <c r="AB3099">
        <v>18</v>
      </c>
      <c r="AC3099">
        <v>26.071999999999999</v>
      </c>
      <c r="AD3099">
        <v>-1.1092133239690001</v>
      </c>
      <c r="AE3099">
        <v>-1.7669999999999899</v>
      </c>
      <c r="AF3099">
        <v>-0.49529238070305298</v>
      </c>
      <c r="AG3099">
        <v>-1.1092133239690001</v>
      </c>
      <c r="AH3099">
        <v>26.0801089806391</v>
      </c>
      <c r="AI3099">
        <v>92.434940991956395</v>
      </c>
      <c r="AJ3099">
        <v>91.087984414655295</v>
      </c>
      <c r="AK3099">
        <v>26.108384729478399</v>
      </c>
      <c r="AL3099">
        <v>81.514947261306801</v>
      </c>
      <c r="AM3099">
        <v>87.687257712310995</v>
      </c>
      <c r="AN3099">
        <v>1.00000004941646</v>
      </c>
    </row>
    <row r="3100" spans="1:40" x14ac:dyDescent="0.25">
      <c r="A3100" t="str">
        <f>"20190312172950737"</f>
        <v>20190312172950737</v>
      </c>
      <c r="B3100" t="str">
        <f>"1552382990730709"</f>
        <v>1552382990730709</v>
      </c>
      <c r="C3100" t="s">
        <v>40</v>
      </c>
      <c r="D3100">
        <v>3.4823010000000001</v>
      </c>
      <c r="E3100">
        <v>0.4819196</v>
      </c>
      <c r="F3100" t="s">
        <v>48</v>
      </c>
      <c r="G3100">
        <v>-433.5831</v>
      </c>
      <c r="H3100" s="1">
        <v>4.0306019999999996E-6</v>
      </c>
      <c r="I3100">
        <v>212.04660000000001</v>
      </c>
      <c r="J3100">
        <v>-458.66090000000003</v>
      </c>
      <c r="K3100">
        <v>1.109183</v>
      </c>
      <c r="L3100">
        <v>213.79040000000001</v>
      </c>
      <c r="M3100">
        <v>0.99607000000000001</v>
      </c>
      <c r="N3100">
        <v>0</v>
      </c>
      <c r="O3100">
        <v>-8.7906090000000006E-2</v>
      </c>
      <c r="P3100">
        <v>0.98233619999999999</v>
      </c>
      <c r="Q3100">
        <v>0.13711119999999999</v>
      </c>
      <c r="R3100">
        <v>-0.12734210000000001</v>
      </c>
      <c r="S3100">
        <v>3.0443730000000002</v>
      </c>
      <c r="T3100">
        <v>-0.1336232</v>
      </c>
      <c r="U3100">
        <v>-0.2122955</v>
      </c>
      <c r="V3100">
        <v>4.0727930000000002E-2</v>
      </c>
      <c r="W3100">
        <v>0.1477551</v>
      </c>
      <c r="X3100">
        <v>0.98818499999999998</v>
      </c>
      <c r="Y3100">
        <v>-1.8301339999999999E-2</v>
      </c>
      <c r="Z3100">
        <v>4.246344E-3</v>
      </c>
      <c r="AA3100">
        <v>0.99982349999999998</v>
      </c>
      <c r="AB3100">
        <v>18</v>
      </c>
      <c r="AC3100">
        <v>25.0778</v>
      </c>
      <c r="AD3100">
        <v>-1.1091789693979901</v>
      </c>
      <c r="AE3100">
        <v>-1.74379999999999</v>
      </c>
      <c r="AF3100">
        <v>-0.466663331619039</v>
      </c>
      <c r="AG3100">
        <v>-1.1091789693979901</v>
      </c>
      <c r="AH3100">
        <v>25.085169472964498</v>
      </c>
      <c r="AI3100">
        <v>92.531333636924103</v>
      </c>
      <c r="AJ3100">
        <v>91.065759414947607</v>
      </c>
      <c r="AK3100">
        <v>25.114015611577901</v>
      </c>
      <c r="AL3100">
        <v>81.503146037836501</v>
      </c>
      <c r="AM3100">
        <v>87.639896840165093</v>
      </c>
      <c r="AN3100">
        <v>0.99999996404154601</v>
      </c>
    </row>
    <row r="3101" spans="1:40" x14ac:dyDescent="0.25">
      <c r="A3101" t="str">
        <f>"20190312172950759"</f>
        <v>20190312172950759</v>
      </c>
      <c r="B3101" t="str">
        <f>"1552382990750229"</f>
        <v>1552382990750229</v>
      </c>
      <c r="C3101" t="s">
        <v>40</v>
      </c>
      <c r="D3101">
        <v>3.4861909999999998</v>
      </c>
      <c r="E3101">
        <v>0.48192410000000002</v>
      </c>
      <c r="F3101" t="s">
        <v>48</v>
      </c>
      <c r="G3101">
        <v>-433.29610000000002</v>
      </c>
      <c r="H3101" s="1">
        <v>3.9102089999999999E-6</v>
      </c>
      <c r="I3101">
        <v>211.96809999999999</v>
      </c>
      <c r="J3101">
        <v>-458.48950000000002</v>
      </c>
      <c r="K3101">
        <v>1.109162</v>
      </c>
      <c r="L3101">
        <v>213.7739</v>
      </c>
      <c r="M3101">
        <v>0.99596560000000001</v>
      </c>
      <c r="N3101">
        <v>0</v>
      </c>
      <c r="O3101">
        <v>-8.9108820000000005E-2</v>
      </c>
      <c r="P3101">
        <v>0.98168520000000004</v>
      </c>
      <c r="Q3101">
        <v>0.13906879999999999</v>
      </c>
      <c r="R3101">
        <v>-0.1302082</v>
      </c>
      <c r="S3101">
        <v>3.0441889999999998</v>
      </c>
      <c r="T3101">
        <v>-0.13311970000000001</v>
      </c>
      <c r="U3101">
        <v>-0.21870419999999999</v>
      </c>
      <c r="V3101">
        <v>4.2449239999999999E-2</v>
      </c>
      <c r="W3101">
        <v>0.14948330000000001</v>
      </c>
      <c r="X3101">
        <v>0.98785259999999997</v>
      </c>
      <c r="Y3101">
        <v>-1.7410410000000001E-2</v>
      </c>
      <c r="Z3101">
        <v>4.2630200000000002E-3</v>
      </c>
      <c r="AA3101">
        <v>0.99983940000000004</v>
      </c>
      <c r="AB3101">
        <v>18</v>
      </c>
      <c r="AC3101">
        <v>25.1934</v>
      </c>
      <c r="AD3101">
        <v>-1.1091580897910001</v>
      </c>
      <c r="AE3101">
        <v>-1.8058000000000001</v>
      </c>
      <c r="AF3101">
        <v>-0.44560521305066503</v>
      </c>
      <c r="AG3101">
        <v>-1.1091580897910001</v>
      </c>
      <c r="AH3101">
        <v>25.205483303962499</v>
      </c>
      <c r="AI3101">
        <v>92.519261185849302</v>
      </c>
      <c r="AJ3101">
        <v>91.012820835342197</v>
      </c>
      <c r="AK3101">
        <v>25.233810339708501</v>
      </c>
      <c r="AL3101">
        <v>81.403015567926303</v>
      </c>
      <c r="AM3101">
        <v>87.539443703899906</v>
      </c>
      <c r="AN3101">
        <v>0.99999997714111299</v>
      </c>
    </row>
    <row r="3102" spans="1:40" x14ac:dyDescent="0.25">
      <c r="A3102" t="str">
        <f>"20190312172950781"</f>
        <v>20190312172950781</v>
      </c>
      <c r="B3102" t="str">
        <f>"1552382990770724"</f>
        <v>1552382990770724</v>
      </c>
      <c r="C3102" t="s">
        <v>40</v>
      </c>
      <c r="D3102">
        <v>3.5292029999999999</v>
      </c>
      <c r="E3102">
        <v>0.48199940000000002</v>
      </c>
      <c r="F3102" t="s">
        <v>48</v>
      </c>
      <c r="G3102">
        <v>-431.90350000000001</v>
      </c>
      <c r="H3102" s="1">
        <v>3.306263E-6</v>
      </c>
      <c r="I3102">
        <v>211.81229999999999</v>
      </c>
      <c r="J3102">
        <v>-458.298</v>
      </c>
      <c r="K3102">
        <v>1.1091420000000001</v>
      </c>
      <c r="L3102">
        <v>213.7552</v>
      </c>
      <c r="M3102">
        <v>0.99584790000000001</v>
      </c>
      <c r="N3102">
        <v>0</v>
      </c>
      <c r="O3102">
        <v>-9.0441740000000007E-2</v>
      </c>
      <c r="P3102">
        <v>0.98133760000000003</v>
      </c>
      <c r="Q3102">
        <v>0.13893739999999999</v>
      </c>
      <c r="R3102">
        <v>-0.13294</v>
      </c>
      <c r="S3102">
        <v>3.0441590000000001</v>
      </c>
      <c r="T3102">
        <v>-0.12700149999999999</v>
      </c>
      <c r="U3102">
        <v>-0.22460939999999999</v>
      </c>
      <c r="V3102">
        <v>4.3876169999999999E-2</v>
      </c>
      <c r="W3102">
        <v>0.1491104</v>
      </c>
      <c r="X3102">
        <v>0.98784660000000002</v>
      </c>
      <c r="Y3102">
        <v>-1.6826799999999999E-2</v>
      </c>
      <c r="Z3102">
        <v>4.1100319999999996E-3</v>
      </c>
      <c r="AA3102">
        <v>0.99985000000000002</v>
      </c>
      <c r="AB3102">
        <v>19</v>
      </c>
      <c r="AC3102">
        <v>26.394499999999901</v>
      </c>
      <c r="AD3102">
        <v>-1.109138693737</v>
      </c>
      <c r="AE3102">
        <v>-1.9429000000000001</v>
      </c>
      <c r="AF3102">
        <v>-0.45156280169782098</v>
      </c>
      <c r="AG3102">
        <v>-1.109138693737</v>
      </c>
      <c r="AH3102">
        <v>26.415652007802699</v>
      </c>
      <c r="AI3102">
        <v>92.403968423858799</v>
      </c>
      <c r="AJ3102">
        <v>90.979348265456395</v>
      </c>
      <c r="AK3102">
        <v>26.442782920924799</v>
      </c>
      <c r="AL3102">
        <v>81.424623251412996</v>
      </c>
      <c r="AM3102">
        <v>87.456823579123807</v>
      </c>
      <c r="AN3102">
        <v>0.99999996740679398</v>
      </c>
    </row>
    <row r="3103" spans="1:40" x14ac:dyDescent="0.25">
      <c r="A3103" t="str">
        <f>"20190312172950805"</f>
        <v>20190312172950805</v>
      </c>
      <c r="B3103" t="str">
        <f>"1552382990800980"</f>
        <v>1552382990800980</v>
      </c>
      <c r="C3103" t="s">
        <v>40</v>
      </c>
      <c r="D3103">
        <v>3.5966300000000002</v>
      </c>
      <c r="E3103">
        <v>0.50056809999999996</v>
      </c>
      <c r="F3103" t="s">
        <v>48</v>
      </c>
      <c r="G3103">
        <v>-431.86720000000003</v>
      </c>
      <c r="H3103" s="1">
        <v>3.2966879999999998E-6</v>
      </c>
      <c r="I3103">
        <v>211.73769999999999</v>
      </c>
      <c r="J3103">
        <v>-458.10140000000001</v>
      </c>
      <c r="K3103">
        <v>1.1091260000000001</v>
      </c>
      <c r="L3103">
        <v>213.73570000000001</v>
      </c>
      <c r="M3103">
        <v>0.99572799999999995</v>
      </c>
      <c r="N3103">
        <v>0</v>
      </c>
      <c r="O3103">
        <v>-9.1777020000000001E-2</v>
      </c>
      <c r="P3103">
        <v>0.9814235</v>
      </c>
      <c r="Q3103">
        <v>0.13755499999999901</v>
      </c>
      <c r="R3103">
        <v>-0.13373989999999999</v>
      </c>
      <c r="S3103">
        <v>3.0436399999999999</v>
      </c>
      <c r="T3103">
        <v>-0.1277229</v>
      </c>
      <c r="U3103">
        <v>-0.23233029999999999</v>
      </c>
      <c r="V3103">
        <v>4.3331550000000003E-2</v>
      </c>
      <c r="W3103">
        <v>0.14749389999999901</v>
      </c>
      <c r="X3103">
        <v>0.98811329999999997</v>
      </c>
      <c r="Y3103">
        <v>-1.5631470000000001E-2</v>
      </c>
      <c r="Z3103">
        <v>4.1641739999999997E-3</v>
      </c>
      <c r="AA3103">
        <v>0.99986920000000001</v>
      </c>
      <c r="AB3103">
        <v>19</v>
      </c>
      <c r="AC3103">
        <v>26.234199999999898</v>
      </c>
      <c r="AD3103">
        <v>-1.1091227033119999</v>
      </c>
      <c r="AE3103">
        <v>-1.99800000000001</v>
      </c>
      <c r="AF3103">
        <v>-0.41751167813856499</v>
      </c>
      <c r="AG3103">
        <v>-1.1091227033119999</v>
      </c>
      <c r="AH3103">
        <v>26.2601822938305</v>
      </c>
      <c r="AI3103">
        <v>92.418196733959505</v>
      </c>
      <c r="AJ3103">
        <v>90.910871122608896</v>
      </c>
      <c r="AK3103">
        <v>26.286910112784199</v>
      </c>
      <c r="AL3103">
        <v>81.518277651985997</v>
      </c>
      <c r="AM3103">
        <v>87.489027532730304</v>
      </c>
      <c r="AN3103">
        <v>0.99999998369975096</v>
      </c>
    </row>
    <row r="3104" spans="1:40" x14ac:dyDescent="0.25">
      <c r="A3104" t="str">
        <f>"20190312172950828"</f>
        <v>20190312172950828</v>
      </c>
      <c r="B3104" t="str">
        <f>"1552382990820501"</f>
        <v>1552382990820501</v>
      </c>
      <c r="C3104" t="s">
        <v>40</v>
      </c>
      <c r="D3104">
        <v>3.5915330000000001</v>
      </c>
      <c r="E3104">
        <v>0.50127549999999998</v>
      </c>
      <c r="F3104" t="s">
        <v>48</v>
      </c>
      <c r="G3104">
        <v>-435.90190000000001</v>
      </c>
      <c r="H3104" s="1">
        <v>5.1566709999999999E-6</v>
      </c>
      <c r="I3104">
        <v>210.9281</v>
      </c>
      <c r="J3104">
        <v>-457.90949999999998</v>
      </c>
      <c r="K3104">
        <v>1.1091359999999999</v>
      </c>
      <c r="L3104">
        <v>213.7165</v>
      </c>
      <c r="M3104">
        <v>0.99561569999999999</v>
      </c>
      <c r="N3104">
        <v>0</v>
      </c>
      <c r="O3104">
        <v>-9.3013410000000005E-2</v>
      </c>
      <c r="P3104">
        <v>0.98141210000000001</v>
      </c>
      <c r="Q3104">
        <v>0.1367659</v>
      </c>
      <c r="R3104">
        <v>-0.13463149999999999</v>
      </c>
      <c r="S3104">
        <v>3.0257869999999998</v>
      </c>
      <c r="T3104">
        <v>-0.1511728</v>
      </c>
      <c r="U3104">
        <v>-0.38267519999999999</v>
      </c>
      <c r="V3104">
        <v>4.2978229999999999E-2</v>
      </c>
      <c r="W3104">
        <v>0.1464821</v>
      </c>
      <c r="X3104">
        <v>0.98827920000000002</v>
      </c>
      <c r="Y3104">
        <v>3.2718490000000003E-2</v>
      </c>
      <c r="Z3104">
        <v>3.8006590000000001E-3</v>
      </c>
      <c r="AA3104">
        <v>0.99945740000000005</v>
      </c>
      <c r="AB3104">
        <v>19</v>
      </c>
      <c r="AC3104">
        <v>22.007599999999901</v>
      </c>
      <c r="AD3104">
        <v>-1.1091308433289999</v>
      </c>
      <c r="AE3104">
        <v>-2.78839999999999</v>
      </c>
      <c r="AF3104">
        <v>0.72739026194511902</v>
      </c>
      <c r="AG3104">
        <v>-1.1091308433289999</v>
      </c>
      <c r="AH3104">
        <v>22.116269760769001</v>
      </c>
      <c r="AI3104">
        <v>92.869428944631096</v>
      </c>
      <c r="AJ3104">
        <v>88.116256719811901</v>
      </c>
      <c r="AK3104">
        <v>22.156007220433501</v>
      </c>
      <c r="AL3104">
        <v>81.576885875194094</v>
      </c>
      <c r="AM3104">
        <v>87.509893351802404</v>
      </c>
      <c r="AN3104">
        <v>0.99999995551348997</v>
      </c>
    </row>
    <row r="3105" spans="1:40" x14ac:dyDescent="0.25">
      <c r="A3105" t="str">
        <f>"20190312172950848"</f>
        <v>20190312172950848</v>
      </c>
      <c r="B3105" t="str">
        <f>"1552382990840996"</f>
        <v>1552382990840996</v>
      </c>
      <c r="C3105" t="s">
        <v>40</v>
      </c>
      <c r="D3105">
        <v>3.5828180000000001</v>
      </c>
      <c r="E3105">
        <v>0.50146229999999903</v>
      </c>
      <c r="F3105" t="s">
        <v>48</v>
      </c>
      <c r="G3105">
        <v>-436.42680000000001</v>
      </c>
      <c r="H3105" s="1">
        <v>5.3893600000000002E-6</v>
      </c>
      <c r="I3105">
        <v>210.9289</v>
      </c>
      <c r="J3105">
        <v>-457.73860000000002</v>
      </c>
      <c r="K3105">
        <v>1.109151</v>
      </c>
      <c r="L3105">
        <v>213.69929999999999</v>
      </c>
      <c r="M3105">
        <v>0.99551970000000001</v>
      </c>
      <c r="N3105">
        <v>0</v>
      </c>
      <c r="O3105">
        <v>-9.4055630000000001E-2</v>
      </c>
      <c r="P3105">
        <v>0.98097290000000004</v>
      </c>
      <c r="Q3105">
        <v>0.13844310000000001</v>
      </c>
      <c r="R3105">
        <v>-0.13610899999999901</v>
      </c>
      <c r="S3105">
        <v>3.0247190000000002</v>
      </c>
      <c r="T3105">
        <v>-0.156163</v>
      </c>
      <c r="U3105">
        <v>-0.39248660000000002</v>
      </c>
      <c r="V3105">
        <v>4.3442179999999997E-2</v>
      </c>
      <c r="W3105">
        <v>0.1479692</v>
      </c>
      <c r="X3105">
        <v>0.98803739999999995</v>
      </c>
      <c r="Y3105">
        <v>3.4909269999999999E-2</v>
      </c>
      <c r="Z3105">
        <v>3.9232700000000004E-3</v>
      </c>
      <c r="AA3105">
        <v>0.99938280000000002</v>
      </c>
      <c r="AB3105">
        <v>19</v>
      </c>
      <c r="AC3105">
        <v>21.311800000000002</v>
      </c>
      <c r="AD3105">
        <v>-1.1091456106399999</v>
      </c>
      <c r="AE3105">
        <v>-2.7703999999999902</v>
      </c>
      <c r="AF3105">
        <v>0.75152672083494798</v>
      </c>
      <c r="AG3105">
        <v>-1.1091456106399999</v>
      </c>
      <c r="AH3105">
        <v>21.4208433614725</v>
      </c>
      <c r="AI3105">
        <v>92.962240526539006</v>
      </c>
      <c r="AJ3105">
        <v>87.990664762490297</v>
      </c>
      <c r="AK3105">
        <v>21.462700825256601</v>
      </c>
      <c r="AL3105">
        <v>81.490743028117294</v>
      </c>
      <c r="AM3105">
        <v>87.482431859521299</v>
      </c>
      <c r="AN3105">
        <v>1.00000000547527</v>
      </c>
    </row>
    <row r="3106" spans="1:40" x14ac:dyDescent="0.25">
      <c r="A3106" t="str">
        <f>"20190312172950871"</f>
        <v>20190312172950871</v>
      </c>
      <c r="B3106" t="str">
        <f>"1552382990860517"</f>
        <v>1552382990860517</v>
      </c>
      <c r="C3106" t="s">
        <v>40</v>
      </c>
      <c r="D3106">
        <v>3.5893120000000001</v>
      </c>
      <c r="E3106">
        <v>0.50164030000000004</v>
      </c>
      <c r="F3106" t="s">
        <v>48</v>
      </c>
      <c r="G3106">
        <v>-435.71010000000001</v>
      </c>
      <c r="H3106" s="1">
        <v>5.0817400000000002E-6</v>
      </c>
      <c r="I3106">
        <v>210.81209999999999</v>
      </c>
      <c r="J3106">
        <v>-457.5478</v>
      </c>
      <c r="K3106">
        <v>1.1091839999999999</v>
      </c>
      <c r="L3106">
        <v>213.68</v>
      </c>
      <c r="M3106">
        <v>0.99542050000000004</v>
      </c>
      <c r="N3106">
        <v>0</v>
      </c>
      <c r="O3106">
        <v>-9.5122109999999996E-2</v>
      </c>
      <c r="P3106">
        <v>0.98054529999999995</v>
      </c>
      <c r="Q3106">
        <v>0.13957249999999999</v>
      </c>
      <c r="R3106">
        <v>-0.1380255</v>
      </c>
      <c r="S3106">
        <v>3.024689</v>
      </c>
      <c r="T3106">
        <v>-0.1522944</v>
      </c>
      <c r="U3106">
        <v>-0.39643859999999997</v>
      </c>
      <c r="V3106">
        <v>4.4309550000000003E-2</v>
      </c>
      <c r="W3106">
        <v>0.14890239999999999</v>
      </c>
      <c r="X3106">
        <v>0.98785869999999998</v>
      </c>
      <c r="Y3106">
        <v>3.5121300000000001E-2</v>
      </c>
      <c r="Z3106">
        <v>3.8736199999999999E-3</v>
      </c>
      <c r="AA3106">
        <v>0.99937549999999997</v>
      </c>
      <c r="AB3106">
        <v>19</v>
      </c>
      <c r="AC3106">
        <v>21.837699999999899</v>
      </c>
      <c r="AD3106">
        <v>-1.10917891826</v>
      </c>
      <c r="AE3106">
        <v>-2.8679000000000201</v>
      </c>
      <c r="AF3106">
        <v>0.77558631898588704</v>
      </c>
      <c r="AG3106">
        <v>-1.10917891826</v>
      </c>
      <c r="AH3106">
        <v>21.955801750688899</v>
      </c>
      <c r="AI3106">
        <v>92.890250916787593</v>
      </c>
      <c r="AJ3106">
        <v>87.976874031987293</v>
      </c>
      <c r="AK3106">
        <v>21.997478094692202</v>
      </c>
      <c r="AL3106">
        <v>81.436675912766205</v>
      </c>
      <c r="AM3106">
        <v>87.431768638309194</v>
      </c>
      <c r="AN3106">
        <v>1.0000000360563199</v>
      </c>
    </row>
    <row r="3107" spans="1:40" x14ac:dyDescent="0.25">
      <c r="A3107" t="str">
        <f>"20190312172950893"</f>
        <v>20190312172950893</v>
      </c>
      <c r="B3107" t="str">
        <f>"1552382990881024"</f>
        <v>1552382990881024</v>
      </c>
      <c r="C3107" t="s">
        <v>40</v>
      </c>
      <c r="D3107">
        <v>3.5998109999999999</v>
      </c>
      <c r="E3107">
        <v>0.50185579999999996</v>
      </c>
      <c r="F3107" t="s">
        <v>48</v>
      </c>
      <c r="G3107">
        <v>-435.27699999999999</v>
      </c>
      <c r="H3107" s="1">
        <v>4.8969800000000002E-6</v>
      </c>
      <c r="I3107">
        <v>210.7287</v>
      </c>
      <c r="J3107">
        <v>-457.35989999999998</v>
      </c>
      <c r="K3107">
        <v>1.1092379999999999</v>
      </c>
      <c r="L3107">
        <v>213.6609</v>
      </c>
      <c r="M3107">
        <v>0.99533430000000001</v>
      </c>
      <c r="N3107">
        <v>0</v>
      </c>
      <c r="O3107">
        <v>-9.6038750000000006E-2</v>
      </c>
      <c r="P3107">
        <v>0.98075369999999995</v>
      </c>
      <c r="Q3107">
        <v>0.13800889999999999</v>
      </c>
      <c r="R3107">
        <v>-0.1381165</v>
      </c>
      <c r="S3107">
        <v>3.0245359999999999</v>
      </c>
      <c r="T3107">
        <v>-0.1506345</v>
      </c>
      <c r="U3107">
        <v>-0.40080260000000001</v>
      </c>
      <c r="V3107">
        <v>4.3438629999999999E-2</v>
      </c>
      <c r="W3107">
        <v>0.1471595</v>
      </c>
      <c r="X3107">
        <v>0.98815850000000005</v>
      </c>
      <c r="Y3107">
        <v>3.5623839999999997E-2</v>
      </c>
      <c r="Z3107">
        <v>3.8638729999999999E-3</v>
      </c>
      <c r="AA3107">
        <v>0.99935779999999996</v>
      </c>
      <c r="AB3107">
        <v>19</v>
      </c>
      <c r="AC3107">
        <v>22.082899999999899</v>
      </c>
      <c r="AD3107">
        <v>-1.10923310302</v>
      </c>
      <c r="AE3107">
        <v>-2.9321999999999901</v>
      </c>
      <c r="AF3107">
        <v>0.79576649357658102</v>
      </c>
      <c r="AG3107">
        <v>-1.10923310302</v>
      </c>
      <c r="AH3107">
        <v>22.207371535077399</v>
      </c>
      <c r="AI3107">
        <v>92.857651931660996</v>
      </c>
      <c r="AJ3107">
        <v>87.947773255691601</v>
      </c>
      <c r="AK3107">
        <v>22.249291963703001</v>
      </c>
      <c r="AL3107">
        <v>81.537649110327607</v>
      </c>
      <c r="AM3107">
        <v>87.482945434010105</v>
      </c>
      <c r="AN3107">
        <v>1.0000000270693801</v>
      </c>
    </row>
    <row r="3108" spans="1:40" x14ac:dyDescent="0.25">
      <c r="A3108" t="str">
        <f>"20190312172950916"</f>
        <v>20190312172950916</v>
      </c>
      <c r="B3108" t="str">
        <f>"1552382990910293"</f>
        <v>1552382990910293</v>
      </c>
      <c r="C3108" t="s">
        <v>40</v>
      </c>
      <c r="D3108">
        <v>3.5917750000000002</v>
      </c>
      <c r="E3108">
        <v>0.50182879999999996</v>
      </c>
      <c r="F3108" t="s">
        <v>48</v>
      </c>
      <c r="G3108">
        <v>-435.9264</v>
      </c>
      <c r="H3108" s="1">
        <v>5.1780750000000004E-6</v>
      </c>
      <c r="I3108">
        <v>210.8074</v>
      </c>
      <c r="J3108">
        <v>-457.16550000000001</v>
      </c>
      <c r="K3108">
        <v>1.109308</v>
      </c>
      <c r="L3108">
        <v>213.64109999999999</v>
      </c>
      <c r="M3108">
        <v>0.99526079999999995</v>
      </c>
      <c r="N3108">
        <v>0</v>
      </c>
      <c r="O3108">
        <v>-9.6815470000000001E-2</v>
      </c>
      <c r="P3108">
        <v>0.98119129999999999</v>
      </c>
      <c r="Q3108">
        <v>0.13614279999999901</v>
      </c>
      <c r="R3108">
        <v>-0.13685349999999999</v>
      </c>
      <c r="S3108">
        <v>3.0242</v>
      </c>
      <c r="T3108">
        <v>-0.15650939999999999</v>
      </c>
      <c r="U3108">
        <v>-0.40261839999999999</v>
      </c>
      <c r="V3108">
        <v>4.1328980000000001E-2</v>
      </c>
      <c r="W3108">
        <v>0.14511550000000001</v>
      </c>
      <c r="X3108">
        <v>0.98855110000000002</v>
      </c>
      <c r="Y3108">
        <v>3.5455269999999997E-2</v>
      </c>
      <c r="Z3108">
        <v>4.0586809999999997E-3</v>
      </c>
      <c r="AA3108">
        <v>0.999363</v>
      </c>
      <c r="AB3108">
        <v>19</v>
      </c>
      <c r="AC3108">
        <v>21.239100000000001</v>
      </c>
      <c r="AD3108">
        <v>-1.1093028219249901</v>
      </c>
      <c r="AE3108">
        <v>-2.8336999999999901</v>
      </c>
      <c r="AF3108">
        <v>0.76198640812295204</v>
      </c>
      <c r="AG3108">
        <v>-1.1093028219249901</v>
      </c>
      <c r="AH3108">
        <v>21.356435910779901</v>
      </c>
      <c r="AI3108">
        <v>92.971516119709506</v>
      </c>
      <c r="AJ3108">
        <v>87.956583514775005</v>
      </c>
      <c r="AK3108">
        <v>21.3987974159331</v>
      </c>
      <c r="AL3108">
        <v>81.656031861354194</v>
      </c>
      <c r="AM3108">
        <v>87.605993330890897</v>
      </c>
      <c r="AN3108">
        <v>0.99999993511964802</v>
      </c>
    </row>
    <row r="3109" spans="1:40" x14ac:dyDescent="0.25">
      <c r="A3109" t="str">
        <f>"20190312172950938"</f>
        <v>20190312172950938</v>
      </c>
      <c r="B3109" t="str">
        <f>"1552382990930788"</f>
        <v>1552382990930788</v>
      </c>
      <c r="C3109" t="s">
        <v>40</v>
      </c>
      <c r="D3109">
        <v>3.581833</v>
      </c>
      <c r="E3109">
        <v>0.50185440000000003</v>
      </c>
      <c r="F3109" t="s">
        <v>48</v>
      </c>
      <c r="G3109">
        <v>-436.7516</v>
      </c>
      <c r="H3109" s="1">
        <v>5.5321930000000002E-6</v>
      </c>
      <c r="I3109">
        <v>210.94280000000001</v>
      </c>
      <c r="J3109">
        <v>-456.97789999999998</v>
      </c>
      <c r="K3109">
        <v>1.1094040000000001</v>
      </c>
      <c r="L3109">
        <v>213.62209999999999</v>
      </c>
      <c r="M3109">
        <v>0.99520750000000002</v>
      </c>
      <c r="N3109">
        <v>0</v>
      </c>
      <c r="O3109">
        <v>-9.7378510000000001E-2</v>
      </c>
      <c r="P3109">
        <v>0.98132209999999997</v>
      </c>
      <c r="Q3109">
        <v>0.13574610000000001</v>
      </c>
      <c r="R3109">
        <v>-0.1363087</v>
      </c>
      <c r="S3109">
        <v>3.0245359999999999</v>
      </c>
      <c r="T3109">
        <v>-0.16435469999999999</v>
      </c>
      <c r="U3109">
        <v>-0.39978029999999998</v>
      </c>
      <c r="V3109">
        <v>4.0173819999999999E-2</v>
      </c>
      <c r="W3109">
        <v>0.1445555</v>
      </c>
      <c r="X3109">
        <v>0.98868080000000003</v>
      </c>
      <c r="Y3109">
        <v>3.3965120000000001E-2</v>
      </c>
      <c r="Z3109">
        <v>4.3322029999999997E-3</v>
      </c>
      <c r="AA3109">
        <v>0.99941360000000001</v>
      </c>
      <c r="AB3109">
        <v>19</v>
      </c>
      <c r="AC3109">
        <v>20.226299999999899</v>
      </c>
      <c r="AD3109">
        <v>-1.1093984678069999</v>
      </c>
      <c r="AE3109">
        <v>-2.67929999999998</v>
      </c>
      <c r="AF3109">
        <v>0.69482588587969696</v>
      </c>
      <c r="AG3109">
        <v>-1.1093984678069999</v>
      </c>
      <c r="AH3109">
        <v>20.3309719612013</v>
      </c>
      <c r="AI3109">
        <v>93.121537735339601</v>
      </c>
      <c r="AJ3109">
        <v>88.042636507933693</v>
      </c>
      <c r="AK3109">
        <v>20.3730696965189</v>
      </c>
      <c r="AL3109">
        <v>81.688459769891395</v>
      </c>
      <c r="AM3109">
        <v>87.673137016737797</v>
      </c>
      <c r="AN3109">
        <v>0.99999997634114002</v>
      </c>
    </row>
    <row r="3110" spans="1:40" x14ac:dyDescent="0.25">
      <c r="A3110" t="str">
        <f>"20190312172950959"</f>
        <v>20190312172950959</v>
      </c>
      <c r="B3110" t="str">
        <f>"1552382990950308"</f>
        <v>1552382990950308</v>
      </c>
      <c r="C3110" t="s">
        <v>40</v>
      </c>
      <c r="D3110">
        <v>3.6012089999999901</v>
      </c>
      <c r="E3110">
        <v>0.50195519999999905</v>
      </c>
      <c r="F3110" t="s">
        <v>48</v>
      </c>
      <c r="G3110">
        <v>-436.92059999999998</v>
      </c>
      <c r="H3110" s="1">
        <v>5.6039239999999996E-6</v>
      </c>
      <c r="I3110">
        <v>210.9794</v>
      </c>
      <c r="J3110">
        <v>-456.7946</v>
      </c>
      <c r="K3110">
        <v>1.1095079999999999</v>
      </c>
      <c r="L3110">
        <v>213.6036</v>
      </c>
      <c r="M3110">
        <v>0.99517409999999995</v>
      </c>
      <c r="N3110">
        <v>0</v>
      </c>
      <c r="O3110">
        <v>-9.7733029999999999E-2</v>
      </c>
      <c r="P3110">
        <v>0.98116789999999998</v>
      </c>
      <c r="Q3110">
        <v>0.13666700000000001</v>
      </c>
      <c r="R3110">
        <v>-0.13649749999999999</v>
      </c>
      <c r="S3110">
        <v>3.0248110000000001</v>
      </c>
      <c r="T3110">
        <v>-0.16730629999999999</v>
      </c>
      <c r="U3110">
        <v>-0.39854430000000002</v>
      </c>
      <c r="V3110">
        <v>3.9981250000000003E-2</v>
      </c>
      <c r="W3110">
        <v>0.14533160000000001</v>
      </c>
      <c r="X3110">
        <v>0.98857490000000003</v>
      </c>
      <c r="Y3110">
        <v>3.3201010000000003E-2</v>
      </c>
      <c r="Z3110">
        <v>4.4500319999999996E-3</v>
      </c>
      <c r="AA3110">
        <v>0.99943879999999996</v>
      </c>
      <c r="AB3110">
        <v>19</v>
      </c>
      <c r="AC3110">
        <v>19.873999999999999</v>
      </c>
      <c r="AD3110">
        <v>-1.109502396076</v>
      </c>
      <c r="AE3110">
        <v>-2.6242000000000001</v>
      </c>
      <c r="AF3110">
        <v>0.667171623509068</v>
      </c>
      <c r="AG3110">
        <v>-1.109502396076</v>
      </c>
      <c r="AH3110">
        <v>19.9741447617006</v>
      </c>
      <c r="AI3110">
        <v>93.177568918534504</v>
      </c>
      <c r="AJ3110">
        <v>88.086931270723895</v>
      </c>
      <c r="AK3110">
        <v>20.016057866210399</v>
      </c>
      <c r="AL3110">
        <v>81.643518574221403</v>
      </c>
      <c r="AM3110">
        <v>87.684030677970995</v>
      </c>
      <c r="AN3110">
        <v>1.0000000536100599</v>
      </c>
    </row>
    <row r="3111" spans="1:40" x14ac:dyDescent="0.25">
      <c r="A3111" t="str">
        <f>"20190312172950983"</f>
        <v>20190312172950983</v>
      </c>
      <c r="B3111" t="str">
        <f>"1552382990970808"</f>
        <v>1552382990970808</v>
      </c>
      <c r="C3111" t="s">
        <v>40</v>
      </c>
      <c r="D3111">
        <v>3.5958969999999999</v>
      </c>
      <c r="E3111">
        <v>0.50205299999999997</v>
      </c>
      <c r="F3111" t="s">
        <v>48</v>
      </c>
      <c r="G3111">
        <v>-436.41300000000001</v>
      </c>
      <c r="H3111" s="1">
        <v>5.3842019999999997E-6</v>
      </c>
      <c r="I3111">
        <v>210.9179</v>
      </c>
      <c r="J3111">
        <v>-456.58890000000002</v>
      </c>
      <c r="K3111">
        <v>1.1096330000000001</v>
      </c>
      <c r="L3111">
        <v>213.5831</v>
      </c>
      <c r="M3111">
        <v>0.99515799999999999</v>
      </c>
      <c r="N3111">
        <v>0</v>
      </c>
      <c r="O3111">
        <v>-9.7911890000000001E-2</v>
      </c>
      <c r="P3111">
        <v>0.98091340000000005</v>
      </c>
      <c r="Q3111">
        <v>0.13798550000000001</v>
      </c>
      <c r="R3111">
        <v>-0.1370014</v>
      </c>
      <c r="S3111">
        <v>3.025055</v>
      </c>
      <c r="T3111">
        <v>-0.1646734</v>
      </c>
      <c r="U3111">
        <v>-0.39862059999999999</v>
      </c>
      <c r="V3111">
        <v>4.0281110000000002E-2</v>
      </c>
      <c r="W3111">
        <v>0.14650339999999901</v>
      </c>
      <c r="X3111">
        <v>0.98838970000000004</v>
      </c>
      <c r="Y3111">
        <v>3.3033319999999998E-2</v>
      </c>
      <c r="Z3111">
        <v>4.3939030000000002E-3</v>
      </c>
      <c r="AA3111">
        <v>0.99944460000000002</v>
      </c>
      <c r="AB3111">
        <v>19</v>
      </c>
      <c r="AC3111">
        <v>20.175899999999999</v>
      </c>
      <c r="AD3111">
        <v>-1.1096276157979901</v>
      </c>
      <c r="AE3111">
        <v>-2.6651999999999898</v>
      </c>
      <c r="AF3111">
        <v>0.67485333252076996</v>
      </c>
      <c r="AG3111">
        <v>-1.1096276157979901</v>
      </c>
      <c r="AH3111">
        <v>20.279625139829498</v>
      </c>
      <c r="AI3111">
        <v>93.130165237488299</v>
      </c>
      <c r="AJ3111">
        <v>88.094048379332804</v>
      </c>
      <c r="AK3111">
        <v>20.321168674024602</v>
      </c>
      <c r="AL3111">
        <v>81.5756525985351</v>
      </c>
      <c r="AM3111">
        <v>87.666243275228098</v>
      </c>
      <c r="AN3111">
        <v>1.0000000065502399</v>
      </c>
    </row>
    <row r="3112" spans="1:40" x14ac:dyDescent="0.25">
      <c r="A3112" t="str">
        <f>"20190312172951008"</f>
        <v>20190312172951008</v>
      </c>
      <c r="B3112" t="str">
        <f>"1552382991001063"</f>
        <v>1552382991001063</v>
      </c>
      <c r="C3112" t="s">
        <v>40</v>
      </c>
      <c r="D3112">
        <v>3.616126</v>
      </c>
      <c r="E3112">
        <v>0.50219539999999996</v>
      </c>
      <c r="F3112" t="s">
        <v>48</v>
      </c>
      <c r="G3112">
        <v>-435.7115</v>
      </c>
      <c r="H3112" s="1">
        <v>5.081523E-6</v>
      </c>
      <c r="I3112">
        <v>210.8219</v>
      </c>
      <c r="J3112">
        <v>-456.3818</v>
      </c>
      <c r="K3112">
        <v>1.1097520000000001</v>
      </c>
      <c r="L3112">
        <v>213.56270000000001</v>
      </c>
      <c r="M3112">
        <v>0.99516800000000005</v>
      </c>
      <c r="N3112">
        <v>0</v>
      </c>
      <c r="O3112">
        <v>-9.7822770000000003E-2</v>
      </c>
      <c r="P3112">
        <v>0.98064200000000001</v>
      </c>
      <c r="Q3112">
        <v>0.1389532</v>
      </c>
      <c r="R3112">
        <v>-0.13796269999999999</v>
      </c>
      <c r="S3112">
        <v>3.0251160000000001</v>
      </c>
      <c r="T3112">
        <v>-0.16078390000000001</v>
      </c>
      <c r="U3112">
        <v>-0.40008539999999998</v>
      </c>
      <c r="V3112">
        <v>4.1305799999999997E-2</v>
      </c>
      <c r="W3112">
        <v>0.1473382</v>
      </c>
      <c r="X3112">
        <v>0.98822330000000003</v>
      </c>
      <c r="Y3112">
        <v>3.3590729999999999E-2</v>
      </c>
      <c r="Z3112">
        <v>4.270589E-3</v>
      </c>
      <c r="AA3112">
        <v>0.9994265</v>
      </c>
      <c r="AB3112">
        <v>19</v>
      </c>
      <c r="AC3112">
        <v>20.670300000000001</v>
      </c>
      <c r="AD3112">
        <v>-1.1097469184769999</v>
      </c>
      <c r="AE3112">
        <v>-2.7408000000000001</v>
      </c>
      <c r="AF3112">
        <v>0.70356271464914899</v>
      </c>
      <c r="AG3112">
        <v>-1.1097469184769999</v>
      </c>
      <c r="AH3112">
        <v>20.780414715901198</v>
      </c>
      <c r="AI3112">
        <v>93.055144233111207</v>
      </c>
      <c r="AJ3112">
        <v>88.060876914784203</v>
      </c>
      <c r="AK3112">
        <v>20.821915725536801</v>
      </c>
      <c r="AL3112">
        <v>81.527297307131604</v>
      </c>
      <c r="AM3112">
        <v>87.606541746132606</v>
      </c>
      <c r="AN3112">
        <v>1.0000000024778799</v>
      </c>
    </row>
    <row r="3113" spans="1:40" x14ac:dyDescent="0.25">
      <c r="A3113" t="str">
        <f>"20190312172951031"</f>
        <v>20190312172951031</v>
      </c>
      <c r="B3113" t="str">
        <f>"1552382991020583"</f>
        <v>1552382991020583</v>
      </c>
      <c r="C3113" t="s">
        <v>40</v>
      </c>
      <c r="D3113">
        <v>3.612574</v>
      </c>
      <c r="E3113">
        <v>0.50223819999999997</v>
      </c>
      <c r="F3113" t="s">
        <v>48</v>
      </c>
      <c r="G3113">
        <v>-435.14640000000003</v>
      </c>
      <c r="H3113" s="1">
        <v>4.8385600000000003E-6</v>
      </c>
      <c r="I3113">
        <v>210.73439999999999</v>
      </c>
      <c r="J3113">
        <v>-456.18119999999999</v>
      </c>
      <c r="K3113">
        <v>1.109856</v>
      </c>
      <c r="L3113">
        <v>213.54320000000001</v>
      </c>
      <c r="M3113">
        <v>0.99519880000000005</v>
      </c>
      <c r="N3113">
        <v>0</v>
      </c>
      <c r="O3113">
        <v>-9.7517950000000006E-2</v>
      </c>
      <c r="P3113">
        <v>0.98073920000000003</v>
      </c>
      <c r="Q3113">
        <v>0.13864899999999999</v>
      </c>
      <c r="R3113">
        <v>-0.137575</v>
      </c>
      <c r="S3113">
        <v>3.024902</v>
      </c>
      <c r="T3113">
        <v>-0.15807879999999999</v>
      </c>
      <c r="U3113">
        <v>-0.40287780000000001</v>
      </c>
      <c r="V3113">
        <v>4.117175E-2</v>
      </c>
      <c r="W3113">
        <v>0.14691989999999999</v>
      </c>
      <c r="X3113">
        <v>0.98829109999999998</v>
      </c>
      <c r="Y3113">
        <v>3.4807730000000002E-2</v>
      </c>
      <c r="Z3113">
        <v>4.1514359999999997E-3</v>
      </c>
      <c r="AA3113">
        <v>0.99938539999999998</v>
      </c>
      <c r="AB3113">
        <v>19</v>
      </c>
      <c r="AC3113">
        <v>21.034799999999901</v>
      </c>
      <c r="AD3113">
        <v>-1.10985116144</v>
      </c>
      <c r="AE3113">
        <v>-2.8088000000000202</v>
      </c>
      <c r="AF3113">
        <v>0.74204013534513502</v>
      </c>
      <c r="AG3113">
        <v>-1.10985116144</v>
      </c>
      <c r="AH3113">
        <v>21.150604627658399</v>
      </c>
      <c r="AI3113">
        <v>93.001924928214507</v>
      </c>
      <c r="AJ3113">
        <v>87.990679797165299</v>
      </c>
      <c r="AK3113">
        <v>21.192698489775601</v>
      </c>
      <c r="AL3113">
        <v>81.551527243914094</v>
      </c>
      <c r="AM3113">
        <v>87.614463741152704</v>
      </c>
      <c r="AN3113">
        <v>0.99999993417663902</v>
      </c>
    </row>
    <row r="3114" spans="1:40" x14ac:dyDescent="0.25">
      <c r="A3114" t="str">
        <f>"20190312172951050"</f>
        <v>20190312172951050</v>
      </c>
      <c r="B3114" t="str">
        <f>"1552382991041080"</f>
        <v>1552382991041080</v>
      </c>
      <c r="C3114" t="s">
        <v>40</v>
      </c>
      <c r="D3114">
        <v>3.6326999999999998</v>
      </c>
      <c r="E3114">
        <v>0.50219049999999998</v>
      </c>
      <c r="F3114" t="s">
        <v>48</v>
      </c>
      <c r="G3114">
        <v>-435.21870000000001</v>
      </c>
      <c r="H3114" s="1">
        <v>4.8684879999999997E-6</v>
      </c>
      <c r="I3114">
        <v>210.75890000000001</v>
      </c>
      <c r="J3114">
        <v>-456.0034</v>
      </c>
      <c r="K3114">
        <v>1.1099319999999999</v>
      </c>
      <c r="L3114">
        <v>213.52610000000001</v>
      </c>
      <c r="M3114">
        <v>0.99524080000000004</v>
      </c>
      <c r="N3114">
        <v>0</v>
      </c>
      <c r="O3114">
        <v>-9.7098409999999996E-2</v>
      </c>
      <c r="P3114">
        <v>0.98100920000000003</v>
      </c>
      <c r="Q3114">
        <v>0.13792270000000001</v>
      </c>
      <c r="R3114">
        <v>-0.13637579999999999</v>
      </c>
      <c r="S3114">
        <v>3.0252080000000001</v>
      </c>
      <c r="T3114">
        <v>-0.16016810000000001</v>
      </c>
      <c r="U3114">
        <v>-0.40180969999999999</v>
      </c>
      <c r="V3114">
        <v>4.0338400000000003E-2</v>
      </c>
      <c r="W3114">
        <v>0.14610339999999999</v>
      </c>
      <c r="X3114">
        <v>0.98844659999999995</v>
      </c>
      <c r="Y3114">
        <v>3.4870760000000001E-2</v>
      </c>
      <c r="Z3114">
        <v>4.182313E-3</v>
      </c>
      <c r="AA3114">
        <v>0.99938309999999997</v>
      </c>
      <c r="AB3114">
        <v>19</v>
      </c>
      <c r="AC3114">
        <v>20.784699999999901</v>
      </c>
      <c r="AD3114">
        <v>-1.1099271315119901</v>
      </c>
      <c r="AE3114">
        <v>-2.7671999999999999</v>
      </c>
      <c r="AF3114">
        <v>0.73383768498330704</v>
      </c>
      <c r="AG3114">
        <v>-1.1099271315119901</v>
      </c>
      <c r="AH3114">
        <v>20.8966282660828</v>
      </c>
      <c r="AI3114">
        <v>93.038546175772893</v>
      </c>
      <c r="AJ3114">
        <v>87.988741042221307</v>
      </c>
      <c r="AK3114">
        <v>20.938947654455301</v>
      </c>
      <c r="AL3114">
        <v>81.598820444365401</v>
      </c>
      <c r="AM3114">
        <v>87.663062141015104</v>
      </c>
      <c r="AN3114">
        <v>1.0000000355288301</v>
      </c>
    </row>
    <row r="3115" spans="1:40" x14ac:dyDescent="0.25">
      <c r="A3115" t="str">
        <f>"20190312172951073"</f>
        <v>20190312172951073</v>
      </c>
      <c r="B3115" t="str">
        <f>"1552382991060603"</f>
        <v>1552382991060603</v>
      </c>
      <c r="C3115" t="s">
        <v>40</v>
      </c>
      <c r="D3115">
        <v>3.6070950000000002</v>
      </c>
      <c r="E3115">
        <v>0.50209389999999998</v>
      </c>
      <c r="F3115" t="s">
        <v>48</v>
      </c>
      <c r="G3115">
        <v>-435.46820000000002</v>
      </c>
      <c r="H3115" s="1">
        <v>4.973904E-6</v>
      </c>
      <c r="I3115">
        <v>210.81899999999999</v>
      </c>
      <c r="J3115">
        <v>-455.8141</v>
      </c>
      <c r="K3115">
        <v>1.1100080000000001</v>
      </c>
      <c r="L3115">
        <v>213.50819999999999</v>
      </c>
      <c r="M3115">
        <v>0.9952995</v>
      </c>
      <c r="N3115">
        <v>0</v>
      </c>
      <c r="O3115">
        <v>-9.6502080000000004E-2</v>
      </c>
      <c r="P3115">
        <v>0.98150289999999996</v>
      </c>
      <c r="Q3115">
        <v>0.1367565</v>
      </c>
      <c r="R3115">
        <v>-0.1339767</v>
      </c>
      <c r="S3115">
        <v>3.025604</v>
      </c>
      <c r="T3115">
        <v>-0.16353380000000001</v>
      </c>
      <c r="U3115">
        <v>-0.39886470000000002</v>
      </c>
      <c r="V3115">
        <v>3.8467700000000001E-2</v>
      </c>
      <c r="W3115">
        <v>0.14485319999999999</v>
      </c>
      <c r="X3115">
        <v>0.9887051</v>
      </c>
      <c r="Y3115">
        <v>3.449982E-2</v>
      </c>
      <c r="Z3115">
        <v>4.2479680000000004E-3</v>
      </c>
      <c r="AA3115">
        <v>0.9993957</v>
      </c>
      <c r="AB3115">
        <v>20</v>
      </c>
      <c r="AC3115">
        <v>20.345899999999901</v>
      </c>
      <c r="AD3115">
        <v>-1.1100030260960001</v>
      </c>
      <c r="AE3115">
        <v>-2.6891999999999698</v>
      </c>
      <c r="AF3115">
        <v>0.71108123326357697</v>
      </c>
      <c r="AG3115">
        <v>-1.1100030260960001</v>
      </c>
      <c r="AH3115">
        <v>20.4506323711554</v>
      </c>
      <c r="AI3115">
        <v>93.104933189818894</v>
      </c>
      <c r="AJ3115">
        <v>88.008592313352096</v>
      </c>
      <c r="AK3115">
        <v>20.493074625794701</v>
      </c>
      <c r="AL3115">
        <v>81.6712215299288</v>
      </c>
      <c r="AM3115">
        <v>87.771908191636001</v>
      </c>
      <c r="AN3115">
        <v>0.99999999412976903</v>
      </c>
    </row>
    <row r="3116" spans="1:40" x14ac:dyDescent="0.25">
      <c r="A3116" t="str">
        <f>"20190312172951094"</f>
        <v>20190312172951094</v>
      </c>
      <c r="B3116" t="str">
        <f>"1552382991090844"</f>
        <v>1552382991090844</v>
      </c>
      <c r="C3116" t="s">
        <v>40</v>
      </c>
      <c r="D3116">
        <v>3.5748959999999999</v>
      </c>
      <c r="E3116">
        <v>0.50206499999999998</v>
      </c>
      <c r="F3116" t="s">
        <v>48</v>
      </c>
      <c r="G3116">
        <v>-435.77460000000002</v>
      </c>
      <c r="H3116" s="1">
        <v>5.1009160000000002E-6</v>
      </c>
      <c r="I3116">
        <v>210.92019999999999</v>
      </c>
      <c r="J3116">
        <v>-455.62549999999999</v>
      </c>
      <c r="K3116">
        <v>1.1100760000000001</v>
      </c>
      <c r="L3116">
        <v>213.4907</v>
      </c>
      <c r="M3116">
        <v>0.99537180000000003</v>
      </c>
      <c r="N3116">
        <v>0</v>
      </c>
      <c r="O3116">
        <v>-9.5761139999999995E-2</v>
      </c>
      <c r="P3116">
        <v>0.98172890000000002</v>
      </c>
      <c r="Q3116">
        <v>0.13717969999999999</v>
      </c>
      <c r="R3116">
        <v>-0.13187260000000001</v>
      </c>
      <c r="S3116">
        <v>3.0265810000000002</v>
      </c>
      <c r="T3116">
        <v>-0.1676443</v>
      </c>
      <c r="U3116">
        <v>-0.39086910000000002</v>
      </c>
      <c r="V3116">
        <v>3.7060290000000003E-2</v>
      </c>
      <c r="W3116">
        <v>0.14520039999999901</v>
      </c>
      <c r="X3116">
        <v>0.98870800000000003</v>
      </c>
      <c r="Y3116">
        <v>3.2612189999999999E-2</v>
      </c>
      <c r="Z3116">
        <v>4.3655439999999998E-3</v>
      </c>
      <c r="AA3116">
        <v>0.99945859999999997</v>
      </c>
      <c r="AB3116">
        <v>20</v>
      </c>
      <c r="AC3116">
        <v>19.8508999999999</v>
      </c>
      <c r="AD3116">
        <v>-1.110070899084</v>
      </c>
      <c r="AE3116">
        <v>-2.5705</v>
      </c>
      <c r="AF3116">
        <v>0.65566319314821897</v>
      </c>
      <c r="AG3116">
        <v>-1.110070899084</v>
      </c>
      <c r="AH3116">
        <v>19.9444883390446</v>
      </c>
      <c r="AI3116">
        <v>93.183966792354795</v>
      </c>
      <c r="AJ3116">
        <v>88.117113422123595</v>
      </c>
      <c r="AK3116">
        <v>19.986114347969899</v>
      </c>
      <c r="AL3116">
        <v>81.6511164706518</v>
      </c>
      <c r="AM3116">
        <v>87.853355518556995</v>
      </c>
      <c r="AN3116">
        <v>1.00000006525952</v>
      </c>
    </row>
    <row r="3117" spans="1:40" x14ac:dyDescent="0.25">
      <c r="A3117" t="str">
        <f>"20190312172951117"</f>
        <v>20190312172951117</v>
      </c>
      <c r="B3117" t="str">
        <f>"1552382991110364"</f>
        <v>1552382991110364</v>
      </c>
      <c r="C3117" t="s">
        <v>40</v>
      </c>
      <c r="D3117">
        <v>3.5946449999999999</v>
      </c>
      <c r="E3117">
        <v>0.50211139999999999</v>
      </c>
      <c r="F3117" t="s">
        <v>48</v>
      </c>
      <c r="G3117">
        <v>-435.52390000000003</v>
      </c>
      <c r="H3117" s="1">
        <v>4.9873270000000002E-6</v>
      </c>
      <c r="I3117">
        <v>210.9479</v>
      </c>
      <c r="J3117">
        <v>-455.42840000000001</v>
      </c>
      <c r="K3117">
        <v>1.110141</v>
      </c>
      <c r="L3117">
        <v>213.4726</v>
      </c>
      <c r="M3117">
        <v>0.99546049999999997</v>
      </c>
      <c r="N3117">
        <v>0</v>
      </c>
      <c r="O3117">
        <v>-9.4840839999999996E-2</v>
      </c>
      <c r="P3117">
        <v>0.98214679999999999</v>
      </c>
      <c r="Q3117">
        <v>0.13701099999999999</v>
      </c>
      <c r="R3117">
        <v>-0.12890309999999999</v>
      </c>
      <c r="S3117">
        <v>3.0277400000000001</v>
      </c>
      <c r="T3117">
        <v>-0.16720119999999999</v>
      </c>
      <c r="U3117">
        <v>-0.38299559999999999</v>
      </c>
      <c r="V3117">
        <v>3.4951089999999997E-2</v>
      </c>
      <c r="W3117">
        <v>0.1449627</v>
      </c>
      <c r="X3117">
        <v>0.98881960000000002</v>
      </c>
      <c r="Y3117">
        <v>3.093098E-2</v>
      </c>
      <c r="Z3117">
        <v>4.3491880000000004E-3</v>
      </c>
      <c r="AA3117">
        <v>0.99951210000000001</v>
      </c>
      <c r="AB3117">
        <v>20</v>
      </c>
      <c r="AC3117">
        <v>19.904499999999899</v>
      </c>
      <c r="AD3117">
        <v>-1.110136012673</v>
      </c>
      <c r="AE3117">
        <v>-2.52469999999999</v>
      </c>
      <c r="AF3117">
        <v>0.62359046633243198</v>
      </c>
      <c r="AG3117">
        <v>-1.110136012673</v>
      </c>
      <c r="AH3117">
        <v>19.993019629152599</v>
      </c>
      <c r="AI3117">
        <v>93.176610589779102</v>
      </c>
      <c r="AJ3117">
        <v>88.213500359945996</v>
      </c>
      <c r="AK3117">
        <v>20.033524426021899</v>
      </c>
      <c r="AL3117">
        <v>81.6648806155995</v>
      </c>
      <c r="AM3117">
        <v>87.975650358347195</v>
      </c>
      <c r="AN3117">
        <v>0.99999998221381803</v>
      </c>
    </row>
    <row r="3118" spans="1:40" x14ac:dyDescent="0.25">
      <c r="A3118" t="str">
        <f>"20190312172951138"</f>
        <v>20190312172951138</v>
      </c>
      <c r="B3118" t="str">
        <f>"1552382991130860"</f>
        <v>1552382991130860</v>
      </c>
      <c r="C3118" t="s">
        <v>40</v>
      </c>
      <c r="D3118">
        <v>3.551984</v>
      </c>
      <c r="E3118">
        <v>0.50215880000000002</v>
      </c>
      <c r="F3118" t="s">
        <v>48</v>
      </c>
      <c r="G3118">
        <v>-435.42899999999997</v>
      </c>
      <c r="H3118" s="1">
        <v>4.940654E-6</v>
      </c>
      <c r="I3118">
        <v>211.00020000000001</v>
      </c>
      <c r="J3118">
        <v>-455.23559999999998</v>
      </c>
      <c r="K3118">
        <v>1.1102099999999999</v>
      </c>
      <c r="L3118">
        <v>213.4554</v>
      </c>
      <c r="M3118">
        <v>0.99555859999999996</v>
      </c>
      <c r="N3118">
        <v>0</v>
      </c>
      <c r="O3118">
        <v>-9.3810840000000006E-2</v>
      </c>
      <c r="P3118">
        <v>0.98303280000000004</v>
      </c>
      <c r="Q3118">
        <v>0.13480349999999999</v>
      </c>
      <c r="R3118">
        <v>-0.1243976</v>
      </c>
      <c r="S3118">
        <v>3.0288390000000001</v>
      </c>
      <c r="T3118">
        <v>-0.168126</v>
      </c>
      <c r="U3118">
        <v>-0.37443539999999997</v>
      </c>
      <c r="V3118">
        <v>3.1383179999999997E-2</v>
      </c>
      <c r="W3118">
        <v>0.1426962</v>
      </c>
      <c r="X3118">
        <v>0.98926879999999995</v>
      </c>
      <c r="Y3118">
        <v>2.914081E-2</v>
      </c>
      <c r="Z3118">
        <v>4.3654699999999998E-3</v>
      </c>
      <c r="AA3118">
        <v>0.99956579999999995</v>
      </c>
      <c r="AB3118">
        <v>20</v>
      </c>
      <c r="AC3118">
        <v>19.8065999999999</v>
      </c>
      <c r="AD3118">
        <v>-1.110205059346</v>
      </c>
      <c r="AE3118">
        <v>-2.4551999999999898</v>
      </c>
      <c r="AF3118">
        <v>0.58443162735175702</v>
      </c>
      <c r="AG3118">
        <v>-1.110205059346</v>
      </c>
      <c r="AH3118">
        <v>19.8880399846595</v>
      </c>
      <c r="AI3118">
        <v>93.193716031114604</v>
      </c>
      <c r="AJ3118">
        <v>88.316785767913004</v>
      </c>
      <c r="AK3118">
        <v>19.927575116713601</v>
      </c>
      <c r="AL3118">
        <v>81.796105551340105</v>
      </c>
      <c r="AM3118">
        <v>88.182980275403594</v>
      </c>
      <c r="AN3118">
        <v>0.99999993406739396</v>
      </c>
    </row>
    <row r="3119" spans="1:40" x14ac:dyDescent="0.25">
      <c r="A3119" t="str">
        <f>"20190312172951162"</f>
        <v>20190312172951162</v>
      </c>
      <c r="B3119" t="str">
        <f>"1552382991151356"</f>
        <v>1552382991151356</v>
      </c>
      <c r="C3119" t="s">
        <v>40</v>
      </c>
      <c r="D3119">
        <v>3.5536989999999999</v>
      </c>
      <c r="E3119">
        <v>0.50226780000000004</v>
      </c>
      <c r="F3119" t="s">
        <v>48</v>
      </c>
      <c r="G3119">
        <v>-435.99430000000001</v>
      </c>
      <c r="H3119" s="1">
        <v>5.1774949999999996E-6</v>
      </c>
      <c r="I3119">
        <v>211.1584</v>
      </c>
      <c r="J3119">
        <v>-455.03</v>
      </c>
      <c r="K3119">
        <v>1.110276</v>
      </c>
      <c r="L3119">
        <v>213.43729999999999</v>
      </c>
      <c r="M3119">
        <v>0.99567320000000004</v>
      </c>
      <c r="N3119">
        <v>0</v>
      </c>
      <c r="O3119">
        <v>-9.2591359999999998E-2</v>
      </c>
      <c r="P3119">
        <v>0.98374740000000005</v>
      </c>
      <c r="Q3119">
        <v>0.13356509999999999</v>
      </c>
      <c r="R3119">
        <v>-0.12000570000000001</v>
      </c>
      <c r="S3119">
        <v>3.029938</v>
      </c>
      <c r="T3119">
        <v>-0.17482400000000001</v>
      </c>
      <c r="U3119">
        <v>-0.36169430000000002</v>
      </c>
      <c r="V3119">
        <v>2.8132839999999999E-2</v>
      </c>
      <c r="W3119">
        <v>0.141401</v>
      </c>
      <c r="X3119">
        <v>0.9895526</v>
      </c>
      <c r="Y3119">
        <v>2.6189549999999999E-2</v>
      </c>
      <c r="Z3119">
        <v>4.5540169999999996E-3</v>
      </c>
      <c r="AA3119">
        <v>0.99964660000000005</v>
      </c>
      <c r="AB3119">
        <v>20</v>
      </c>
      <c r="AC3119">
        <v>19.035699999999899</v>
      </c>
      <c r="AD3119">
        <v>-1.110270822505</v>
      </c>
      <c r="AE3119">
        <v>-2.2788999999999899</v>
      </c>
      <c r="AF3119">
        <v>0.50482085588363601</v>
      </c>
      <c r="AG3119">
        <v>-1.110270822505</v>
      </c>
      <c r="AH3119">
        <v>19.1008732929762</v>
      </c>
      <c r="AI3119">
        <v>93.325512975849307</v>
      </c>
      <c r="AJ3119">
        <v>88.486070646745304</v>
      </c>
      <c r="AK3119">
        <v>19.139772881363399</v>
      </c>
      <c r="AL3119">
        <v>81.871076006778694</v>
      </c>
      <c r="AM3119">
        <v>88.371527765487699</v>
      </c>
      <c r="AN3119">
        <v>1.0000000238271101</v>
      </c>
    </row>
    <row r="3120" spans="1:40" x14ac:dyDescent="0.25">
      <c r="A3120" t="str">
        <f>"20190312172951184"</f>
        <v>20190312172951184</v>
      </c>
      <c r="B3120" t="str">
        <f>"1552382991180636"</f>
        <v>1552382991180636</v>
      </c>
      <c r="C3120" t="s">
        <v>40</v>
      </c>
      <c r="D3120">
        <v>3.5380199999999902</v>
      </c>
      <c r="E3120">
        <v>0.5023668</v>
      </c>
      <c r="F3120" t="s">
        <v>48</v>
      </c>
      <c r="G3120">
        <v>-436.21300000000002</v>
      </c>
      <c r="H3120" s="1">
        <v>5.2650189999999999E-6</v>
      </c>
      <c r="I3120">
        <v>211.26689999999999</v>
      </c>
      <c r="J3120">
        <v>-454.83229999999998</v>
      </c>
      <c r="K3120">
        <v>1.1103289999999999</v>
      </c>
      <c r="L3120">
        <v>213.4203</v>
      </c>
      <c r="M3120">
        <v>0.99579139999999999</v>
      </c>
      <c r="N3120">
        <v>0</v>
      </c>
      <c r="O3120">
        <v>-9.1316010000000003E-2</v>
      </c>
      <c r="P3120">
        <v>0.9841974</v>
      </c>
      <c r="Q3120">
        <v>0.1337235</v>
      </c>
      <c r="R3120">
        <v>-0.1160765</v>
      </c>
      <c r="S3120">
        <v>3.0312190000000001</v>
      </c>
      <c r="T3120">
        <v>-0.17885290000000001</v>
      </c>
      <c r="U3120">
        <v>-0.34962459999999901</v>
      </c>
      <c r="V3120">
        <v>2.5427089999999999E-2</v>
      </c>
      <c r="W3120">
        <v>0.14151059999999999</v>
      </c>
      <c r="X3120">
        <v>0.98961010000000005</v>
      </c>
      <c r="Y3120">
        <v>2.350126E-2</v>
      </c>
      <c r="Z3120">
        <v>4.6626339999999997E-3</v>
      </c>
      <c r="AA3120">
        <v>0.99971290000000002</v>
      </c>
      <c r="AB3120">
        <v>20</v>
      </c>
      <c r="AC3120">
        <v>18.6192999999999</v>
      </c>
      <c r="AD3120">
        <v>-1.110323734981</v>
      </c>
      <c r="AE3120">
        <v>-2.1534</v>
      </c>
      <c r="AF3120">
        <v>0.442557532429875</v>
      </c>
      <c r="AG3120">
        <v>-1.110323734981</v>
      </c>
      <c r="AH3120">
        <v>18.672624005963399</v>
      </c>
      <c r="AI3120">
        <v>93.401998894604006</v>
      </c>
      <c r="AJ3120">
        <v>88.642294060556296</v>
      </c>
      <c r="AK3120">
        <v>18.710840794417901</v>
      </c>
      <c r="AL3120">
        <v>81.864732150060902</v>
      </c>
      <c r="AM3120">
        <v>88.528163294285307</v>
      </c>
      <c r="AN3120">
        <v>0.99999996842011796</v>
      </c>
    </row>
    <row r="3121" spans="1:40" x14ac:dyDescent="0.25">
      <c r="A3121" t="str">
        <f>"20190312172951208"</f>
        <v>20190312172951208</v>
      </c>
      <c r="B3121" t="str">
        <f>"1552382991201132"</f>
        <v>1552382991201132</v>
      </c>
      <c r="C3121" t="s">
        <v>40</v>
      </c>
      <c r="D3121">
        <v>3.543612</v>
      </c>
      <c r="E3121">
        <v>0.50634290000000004</v>
      </c>
      <c r="F3121" t="s">
        <v>48</v>
      </c>
      <c r="G3121">
        <v>-435.9522</v>
      </c>
      <c r="H3121" s="1">
        <v>5.1445959999999997E-6</v>
      </c>
      <c r="I3121">
        <v>211.32149999999999</v>
      </c>
      <c r="J3121">
        <v>-454.61340000000001</v>
      </c>
      <c r="K3121">
        <v>1.1103639999999999</v>
      </c>
      <c r="L3121">
        <v>213.40190000000001</v>
      </c>
      <c r="M3121">
        <v>0.9959287</v>
      </c>
      <c r="N3121">
        <v>0</v>
      </c>
      <c r="O3121">
        <v>-8.9809319999999998E-2</v>
      </c>
      <c r="P3121">
        <v>0.98464790000000002</v>
      </c>
      <c r="Q3121">
        <v>0.13401679999999999</v>
      </c>
      <c r="R3121">
        <v>-0.1118386</v>
      </c>
      <c r="S3121">
        <v>3.032654</v>
      </c>
      <c r="T3121">
        <v>-0.17834839999999999</v>
      </c>
      <c r="U3121">
        <v>-0.33712769999999997</v>
      </c>
      <c r="V3121">
        <v>2.2650380000000001E-2</v>
      </c>
      <c r="W3121">
        <v>0.14175460000000001</v>
      </c>
      <c r="X3121">
        <v>0.98964269999999999</v>
      </c>
      <c r="Y3121">
        <v>2.089365E-2</v>
      </c>
      <c r="Z3121">
        <v>4.6372519999999997E-3</v>
      </c>
      <c r="AA3121">
        <v>0.99977090000000002</v>
      </c>
      <c r="AB3121">
        <v>20</v>
      </c>
      <c r="AC3121">
        <v>18.661200000000001</v>
      </c>
      <c r="AD3121">
        <v>-1.11035885540399</v>
      </c>
      <c r="AE3121">
        <v>-2.08040000000002</v>
      </c>
      <c r="AF3121">
        <v>0.394612406214365</v>
      </c>
      <c r="AG3121">
        <v>-1.11035885540399</v>
      </c>
      <c r="AH3121">
        <v>18.707212806375001</v>
      </c>
      <c r="AI3121">
        <v>93.396028347828704</v>
      </c>
      <c r="AJ3121">
        <v>88.791574508132697</v>
      </c>
      <c r="AK3121">
        <v>18.744290509963601</v>
      </c>
      <c r="AL3121">
        <v>81.850610201517895</v>
      </c>
      <c r="AM3121">
        <v>88.688875647976403</v>
      </c>
      <c r="AN3121">
        <v>1.0000000399992901</v>
      </c>
    </row>
    <row r="3122" spans="1:40" x14ac:dyDescent="0.25">
      <c r="A3122" t="str">
        <f>"20190312172951230"</f>
        <v>20190312172951230</v>
      </c>
      <c r="B3122" t="str">
        <f>"1552382991220652"</f>
        <v>1552382991220652</v>
      </c>
      <c r="C3122" t="s">
        <v>40</v>
      </c>
      <c r="D3122">
        <v>3.4901970000000002</v>
      </c>
      <c r="E3122">
        <v>0.50644709999999904</v>
      </c>
      <c r="F3122" t="s">
        <v>48</v>
      </c>
      <c r="G3122">
        <v>-434.5772</v>
      </c>
      <c r="H3122" s="1">
        <v>4.558537E-6</v>
      </c>
      <c r="I3122">
        <v>211.05029999999999</v>
      </c>
      <c r="J3122">
        <v>-454.41500000000002</v>
      </c>
      <c r="K3122">
        <v>1.1103700000000001</v>
      </c>
      <c r="L3122">
        <v>213.38570000000001</v>
      </c>
      <c r="M3122">
        <v>0.99605549999999998</v>
      </c>
      <c r="N3122">
        <v>0</v>
      </c>
      <c r="O3122">
        <v>-8.8394619999999993E-2</v>
      </c>
      <c r="P3122">
        <v>0.98526349999999996</v>
      </c>
      <c r="Q3122">
        <v>0.13340560000000001</v>
      </c>
      <c r="R3122">
        <v>-0.10704660000000001</v>
      </c>
      <c r="S3122">
        <v>3.029236</v>
      </c>
      <c r="T3122">
        <v>-0.16787299999999999</v>
      </c>
      <c r="U3122">
        <v>-0.355545</v>
      </c>
      <c r="V3122">
        <v>1.9226179999999999E-2</v>
      </c>
      <c r="W3122">
        <v>0.1411017</v>
      </c>
      <c r="X3122">
        <v>0.98980840000000003</v>
      </c>
      <c r="Y3122">
        <v>2.8410359999999999E-2</v>
      </c>
      <c r="Z3122">
        <v>4.0833049999999997E-3</v>
      </c>
      <c r="AA3122">
        <v>0.99958800000000003</v>
      </c>
      <c r="AB3122">
        <v>20</v>
      </c>
      <c r="AC3122">
        <v>19.837800000000001</v>
      </c>
      <c r="AD3122">
        <v>-1.110365441463</v>
      </c>
      <c r="AE3122">
        <v>-2.3354000000000199</v>
      </c>
      <c r="AF3122">
        <v>0.57088627953079696</v>
      </c>
      <c r="AG3122">
        <v>-1.110365441463</v>
      </c>
      <c r="AH3122">
        <v>19.905075996832402</v>
      </c>
      <c r="AI3122">
        <v>93.191513517069097</v>
      </c>
      <c r="AJ3122">
        <v>88.357182345236794</v>
      </c>
      <c r="AK3122">
        <v>19.944193967102901</v>
      </c>
      <c r="AL3122">
        <v>81.888398134318606</v>
      </c>
      <c r="AM3122">
        <v>88.887218515647604</v>
      </c>
      <c r="AN3122">
        <v>1.0000000022254201</v>
      </c>
    </row>
    <row r="3123" spans="1:40" x14ac:dyDescent="0.25">
      <c r="A3123" t="str">
        <f>"20190312172951249"</f>
        <v>20190312172951249</v>
      </c>
      <c r="B3123" t="str">
        <f>"1552382991241149"</f>
        <v>1552382991241149</v>
      </c>
      <c r="C3123" t="s">
        <v>40</v>
      </c>
      <c r="D3123">
        <v>3.22723</v>
      </c>
      <c r="E3123">
        <v>0.47414580000000001</v>
      </c>
      <c r="F3123" t="s">
        <v>48</v>
      </c>
      <c r="G3123">
        <v>-434.57850000000002</v>
      </c>
      <c r="H3123" s="1">
        <v>4.5502909999999998E-6</v>
      </c>
      <c r="I3123">
        <v>211.1514</v>
      </c>
      <c r="J3123">
        <v>-454.23680000000002</v>
      </c>
      <c r="K3123">
        <v>1.11036</v>
      </c>
      <c r="L3123">
        <v>213.37129999999999</v>
      </c>
      <c r="M3123">
        <v>0.99616990000000005</v>
      </c>
      <c r="N3123">
        <v>0</v>
      </c>
      <c r="O3123">
        <v>-8.7099839999999998E-2</v>
      </c>
      <c r="P3123">
        <v>0.9858671</v>
      </c>
      <c r="Q3123">
        <v>0.1324631</v>
      </c>
      <c r="R3123">
        <v>-0.1025668</v>
      </c>
      <c r="S3123">
        <v>3.0307620000000002</v>
      </c>
      <c r="T3123">
        <v>-0.16964969999999999</v>
      </c>
      <c r="U3123">
        <v>-0.3413696</v>
      </c>
      <c r="V3123">
        <v>1.600118E-2</v>
      </c>
      <c r="W3123">
        <v>0.140125</v>
      </c>
      <c r="X3123">
        <v>0.99000449999999995</v>
      </c>
      <c r="Y3123">
        <v>2.5042129999999999E-2</v>
      </c>
      <c r="Z3123">
        <v>4.1478340000000004E-3</v>
      </c>
      <c r="AA3123">
        <v>0.99967779999999995</v>
      </c>
      <c r="AB3123">
        <v>20</v>
      </c>
      <c r="AC3123">
        <v>19.658300000000001</v>
      </c>
      <c r="AD3123">
        <v>-1.110355449709</v>
      </c>
      <c r="AE3123">
        <v>-2.2198999999999902</v>
      </c>
      <c r="AF3123">
        <v>0.49761000093845098</v>
      </c>
      <c r="AG3123">
        <v>-1.110355449709</v>
      </c>
      <c r="AH3123">
        <v>19.714840179215301</v>
      </c>
      <c r="AI3123">
        <v>93.222514109897801</v>
      </c>
      <c r="AJ3123">
        <v>88.554139906921193</v>
      </c>
      <c r="AK3123">
        <v>19.752352473306399</v>
      </c>
      <c r="AL3123">
        <v>81.944920331083296</v>
      </c>
      <c r="AM3123">
        <v>89.074024147743302</v>
      </c>
      <c r="AN3123">
        <v>0.99999998170332105</v>
      </c>
    </row>
    <row r="3124" spans="1:40" x14ac:dyDescent="0.25">
      <c r="A3124" t="str">
        <f>"20190312172951273"</f>
        <v>20190312172951273</v>
      </c>
      <c r="B3124" t="str">
        <f>"1552382991270428"</f>
        <v>1552382991270428</v>
      </c>
      <c r="C3124" t="s">
        <v>40</v>
      </c>
      <c r="D3124">
        <v>3.3660369999999999</v>
      </c>
      <c r="E3124">
        <v>0.45362730000000001</v>
      </c>
      <c r="F3124" t="s">
        <v>48</v>
      </c>
      <c r="G3124">
        <v>-435.50009999999997</v>
      </c>
      <c r="H3124" s="1">
        <v>4.8019749999999999E-6</v>
      </c>
      <c r="I3124">
        <v>212.947</v>
      </c>
      <c r="J3124">
        <v>-454.02839999999998</v>
      </c>
      <c r="K3124">
        <v>1.1103379999999901</v>
      </c>
      <c r="L3124">
        <v>213.35480000000001</v>
      </c>
      <c r="M3124">
        <v>0.99630209999999997</v>
      </c>
      <c r="N3124">
        <v>0</v>
      </c>
      <c r="O3124">
        <v>-8.5576970000000002E-2</v>
      </c>
      <c r="P3124">
        <v>0.98646239999999996</v>
      </c>
      <c r="Q3124">
        <v>0.1318357</v>
      </c>
      <c r="R3124">
        <v>-9.7526790000000002E-2</v>
      </c>
      <c r="S3124">
        <v>3.0601500000000001</v>
      </c>
      <c r="T3124">
        <v>-0.1813477</v>
      </c>
      <c r="U3124">
        <v>-6.9290160000000003E-2</v>
      </c>
      <c r="V3124">
        <v>1.244934E-2</v>
      </c>
      <c r="W3124">
        <v>0.13946159999999999</v>
      </c>
      <c r="X3124">
        <v>0.99014919999999995</v>
      </c>
      <c r="Y3124">
        <v>-6.2743989999999999E-2</v>
      </c>
      <c r="Z3124">
        <v>6.9178249999999998E-3</v>
      </c>
      <c r="AA3124">
        <v>0.9980057</v>
      </c>
      <c r="AB3124">
        <v>20</v>
      </c>
      <c r="AC3124">
        <v>18.528300000000002</v>
      </c>
      <c r="AD3124">
        <v>-1.11033319802499</v>
      </c>
      <c r="AE3124">
        <v>-0.40780000000000799</v>
      </c>
      <c r="AF3124">
        <v>-1.17512038623354</v>
      </c>
      <c r="AG3124">
        <v>-1.11033319802499</v>
      </c>
      <c r="AH3124">
        <v>18.4290755737171</v>
      </c>
      <c r="AI3124">
        <v>93.440873875335598</v>
      </c>
      <c r="AJ3124">
        <v>93.648496012061102</v>
      </c>
      <c r="AK3124">
        <v>18.499853357109501</v>
      </c>
      <c r="AL3124">
        <v>81.983307280550306</v>
      </c>
      <c r="AM3124">
        <v>89.279646889412504</v>
      </c>
      <c r="AN3124">
        <v>0.999999981100817</v>
      </c>
    </row>
    <row r="3125" spans="1:40" x14ac:dyDescent="0.25">
      <c r="A3125" t="str">
        <f>"20190312172951296"</f>
        <v>20190312172951296</v>
      </c>
      <c r="B3125" t="str">
        <f>"1552382991290456"</f>
        <v>1552382991290456</v>
      </c>
      <c r="C3125" t="s">
        <v>40</v>
      </c>
      <c r="D3125">
        <v>3.353097</v>
      </c>
      <c r="E3125">
        <v>0.44632939999999999</v>
      </c>
      <c r="F3125" t="s">
        <v>48</v>
      </c>
      <c r="G3125">
        <v>-434.11020000000002</v>
      </c>
      <c r="H3125" s="1">
        <v>4.0875859999999997E-6</v>
      </c>
      <c r="I3125">
        <v>214.0685</v>
      </c>
      <c r="J3125">
        <v>-453.82499999999999</v>
      </c>
      <c r="K3125">
        <v>1.1103099999999999</v>
      </c>
      <c r="L3125">
        <v>213.339</v>
      </c>
      <c r="M3125">
        <v>0.99642830000000004</v>
      </c>
      <c r="N3125">
        <v>0</v>
      </c>
      <c r="O3125">
        <v>-8.4097039999999998E-2</v>
      </c>
      <c r="P3125">
        <v>0.98725689999999999</v>
      </c>
      <c r="Q3125">
        <v>0.1297413</v>
      </c>
      <c r="R3125">
        <v>-9.2147309999999996E-2</v>
      </c>
      <c r="S3125">
        <v>3.0749819999999999</v>
      </c>
      <c r="T3125">
        <v>-0.17141429999999999</v>
      </c>
      <c r="U3125">
        <v>0.1101837</v>
      </c>
      <c r="V3125">
        <v>8.5042769999999993E-3</v>
      </c>
      <c r="W3125">
        <v>0.1373365</v>
      </c>
      <c r="X3125">
        <v>0.99048789999999998</v>
      </c>
      <c r="Y3125">
        <v>-0.1194125</v>
      </c>
      <c r="Z3125">
        <v>8.0052479999999995E-3</v>
      </c>
      <c r="AA3125">
        <v>0.99281249999999999</v>
      </c>
      <c r="AB3125">
        <v>20</v>
      </c>
      <c r="AC3125">
        <v>19.714799999999901</v>
      </c>
      <c r="AD3125">
        <v>-1.110305912414</v>
      </c>
      <c r="AE3125">
        <v>0.72949999999997295</v>
      </c>
      <c r="AF3125">
        <v>-2.3773901225804601</v>
      </c>
      <c r="AG3125">
        <v>-1.110305912414</v>
      </c>
      <c r="AH3125">
        <v>19.5217732797725</v>
      </c>
      <c r="AI3125">
        <v>93.231382819075606</v>
      </c>
      <c r="AJ3125">
        <v>96.9433735076353</v>
      </c>
      <c r="AK3125">
        <v>19.6973194877101</v>
      </c>
      <c r="AL3125">
        <v>82.106249519854401</v>
      </c>
      <c r="AM3125">
        <v>89.508073539209903</v>
      </c>
      <c r="AN3125">
        <v>0.99999995850297496</v>
      </c>
    </row>
    <row r="3126" spans="1:40" x14ac:dyDescent="0.25">
      <c r="A3126" t="str">
        <f>"20190312172951318"</f>
        <v>20190312172951318</v>
      </c>
      <c r="B3126" t="str">
        <f>"1552382991310951"</f>
        <v>1552382991310951</v>
      </c>
      <c r="C3126" t="s">
        <v>40</v>
      </c>
      <c r="D3126">
        <v>3.3556530000000002</v>
      </c>
      <c r="E3126">
        <v>0.44248700000000002</v>
      </c>
      <c r="F3126" t="s">
        <v>48</v>
      </c>
      <c r="G3126">
        <v>-433.87869999999998</v>
      </c>
      <c r="H3126" s="1">
        <v>3.9435789999999999E-6</v>
      </c>
      <c r="I3126">
        <v>214.54150000000001</v>
      </c>
      <c r="J3126">
        <v>-453.61939999999998</v>
      </c>
      <c r="K3126">
        <v>1.1102719999999999</v>
      </c>
      <c r="L3126">
        <v>213.32339999999999</v>
      </c>
      <c r="M3126">
        <v>0.99655210000000005</v>
      </c>
      <c r="N3126">
        <v>0</v>
      </c>
      <c r="O3126">
        <v>-8.2618810000000001E-2</v>
      </c>
      <c r="P3126">
        <v>0.98815730000000002</v>
      </c>
      <c r="Q3126">
        <v>0.12643399999999999</v>
      </c>
      <c r="R3126">
        <v>-8.6947449999999996E-2</v>
      </c>
      <c r="S3126">
        <v>3.0785520000000002</v>
      </c>
      <c r="T3126">
        <v>-0.1713674</v>
      </c>
      <c r="U3126">
        <v>0.1855927</v>
      </c>
      <c r="V3126">
        <v>4.7311819999999996E-3</v>
      </c>
      <c r="W3126">
        <v>0.13400300000000001</v>
      </c>
      <c r="X3126">
        <v>0.99096969999999995</v>
      </c>
      <c r="Y3126">
        <v>-0.14209539999999901</v>
      </c>
      <c r="Z3126">
        <v>8.5385429999999991E-3</v>
      </c>
      <c r="AA3126">
        <v>0.98981609999999998</v>
      </c>
      <c r="AB3126">
        <v>20</v>
      </c>
      <c r="AC3126">
        <v>19.7407</v>
      </c>
      <c r="AD3126">
        <v>-1.1102680564209999</v>
      </c>
      <c r="AE3126">
        <v>1.2181000000000199</v>
      </c>
      <c r="AF3126">
        <v>-2.83599893684138</v>
      </c>
      <c r="AG3126">
        <v>-1.1102680564209999</v>
      </c>
      <c r="AH3126">
        <v>19.511082198676299</v>
      </c>
      <c r="AI3126">
        <v>93.223077005426305</v>
      </c>
      <c r="AJ3126">
        <v>98.2702084086567</v>
      </c>
      <c r="AK3126">
        <v>19.7473520678185</v>
      </c>
      <c r="AL3126">
        <v>82.299028349135796</v>
      </c>
      <c r="AM3126">
        <v>89.726455106443098</v>
      </c>
      <c r="AN3126">
        <v>1.0000000672050999</v>
      </c>
    </row>
    <row r="3127" spans="1:40" x14ac:dyDescent="0.25">
      <c r="A3127" t="str">
        <f>"20190312172951340"</f>
        <v>20190312172951340</v>
      </c>
      <c r="B3127" t="str">
        <f>"1552382991330471"</f>
        <v>1552382991330471</v>
      </c>
      <c r="C3127" t="s">
        <v>40</v>
      </c>
      <c r="D3127">
        <v>3.332522</v>
      </c>
      <c r="E3127">
        <v>0.4402549</v>
      </c>
      <c r="F3127" t="s">
        <v>48</v>
      </c>
      <c r="G3127">
        <v>-434.6069</v>
      </c>
      <c r="H3127" s="1">
        <v>4.2471639999999996E-6</v>
      </c>
      <c r="I3127">
        <v>214.76259999999999</v>
      </c>
      <c r="J3127">
        <v>-453.41919999999999</v>
      </c>
      <c r="K3127">
        <v>1.110241</v>
      </c>
      <c r="L3127">
        <v>213.30850000000001</v>
      </c>
      <c r="M3127">
        <v>0.99666909999999997</v>
      </c>
      <c r="N3127">
        <v>0</v>
      </c>
      <c r="O3127">
        <v>-8.119933E-2</v>
      </c>
      <c r="P3127">
        <v>0.98904610000000004</v>
      </c>
      <c r="Q3127">
        <v>0.12300129999999999</v>
      </c>
      <c r="R3127">
        <v>-8.1601870000000007E-2</v>
      </c>
      <c r="S3127">
        <v>3.0794679999999999</v>
      </c>
      <c r="T3127">
        <v>-0.17983089999999999</v>
      </c>
      <c r="U3127">
        <v>0.2331085</v>
      </c>
      <c r="V3127">
        <v>7.5560389999999996E-4</v>
      </c>
      <c r="W3127">
        <v>0.13054749999999901</v>
      </c>
      <c r="X3127">
        <v>0.99144180000000004</v>
      </c>
      <c r="Y3127">
        <v>-0.15580060000000001</v>
      </c>
      <c r="Z3127">
        <v>9.2696189999999998E-3</v>
      </c>
      <c r="AA3127">
        <v>0.98774499999999998</v>
      </c>
      <c r="AB3127">
        <v>20</v>
      </c>
      <c r="AC3127">
        <v>18.8123</v>
      </c>
      <c r="AD3127">
        <v>-1.110236752836</v>
      </c>
      <c r="AE3127">
        <v>1.45409999999998</v>
      </c>
      <c r="AF3127">
        <v>-2.9666168767311301</v>
      </c>
      <c r="AG3127">
        <v>-1.110236752836</v>
      </c>
      <c r="AH3127">
        <v>18.5678139611692</v>
      </c>
      <c r="AI3127">
        <v>93.379091537947701</v>
      </c>
      <c r="AJ3127">
        <v>99.077539421192199</v>
      </c>
      <c r="AK3127">
        <v>18.8360600083256</v>
      </c>
      <c r="AL3127">
        <v>82.498768857226693</v>
      </c>
      <c r="AM3127">
        <v>89.956333386315094</v>
      </c>
      <c r="AN3127">
        <v>1.0000000317403701</v>
      </c>
    </row>
    <row r="3128" spans="1:40" x14ac:dyDescent="0.25">
      <c r="A3128" t="str">
        <f>"20190312172951362"</f>
        <v>20190312172951362</v>
      </c>
      <c r="B3128" t="str">
        <f>"1552382991360727"</f>
        <v>1552382991360727</v>
      </c>
      <c r="C3128" t="s">
        <v>40</v>
      </c>
      <c r="D3128">
        <v>3.3209550000000001</v>
      </c>
      <c r="E3128">
        <v>0.4382741</v>
      </c>
      <c r="F3128" t="s">
        <v>48</v>
      </c>
      <c r="G3128">
        <v>-435.36369999999999</v>
      </c>
      <c r="H3128" s="1">
        <v>4.5722609999999901E-6</v>
      </c>
      <c r="I3128">
        <v>214.88290000000001</v>
      </c>
      <c r="J3128">
        <v>-453.20589999999999</v>
      </c>
      <c r="K3128">
        <v>1.1102129999999999</v>
      </c>
      <c r="L3128">
        <v>213.2928</v>
      </c>
      <c r="M3128">
        <v>0.99678960000000005</v>
      </c>
      <c r="N3128">
        <v>0</v>
      </c>
      <c r="O3128">
        <v>-7.9705929999999994E-2</v>
      </c>
      <c r="P3128">
        <v>0.98986180000000001</v>
      </c>
      <c r="Q3128">
        <v>0.1194976</v>
      </c>
      <c r="R3128">
        <v>-7.6772119999999999E-2</v>
      </c>
      <c r="S3128">
        <v>3.0788880000000001</v>
      </c>
      <c r="T3128">
        <v>-0.1893215</v>
      </c>
      <c r="U3128">
        <v>0.26847840000000001</v>
      </c>
      <c r="V3128">
        <v>-2.6262519999999999E-3</v>
      </c>
      <c r="W3128">
        <v>0.12702369999999999</v>
      </c>
      <c r="X3128">
        <v>0.99189620000000001</v>
      </c>
      <c r="Y3128">
        <v>-0.1655404</v>
      </c>
      <c r="Z3128">
        <v>9.9629039999999999E-3</v>
      </c>
      <c r="AA3128">
        <v>0.98615269999999999</v>
      </c>
      <c r="AB3128">
        <v>21</v>
      </c>
      <c r="AC3128">
        <v>17.842199999999899</v>
      </c>
      <c r="AD3128">
        <v>-1.1102084277390001</v>
      </c>
      <c r="AE3128">
        <v>1.5901000000000001</v>
      </c>
      <c r="AF3128">
        <v>-2.9957033327868401</v>
      </c>
      <c r="AG3128">
        <v>-1.1102084277390001</v>
      </c>
      <c r="AH3128">
        <v>17.591113846467898</v>
      </c>
      <c r="AI3128">
        <v>93.560135418682407</v>
      </c>
      <c r="AJ3128">
        <v>99.664549882307099</v>
      </c>
      <c r="AK3128">
        <v>17.878872659384601</v>
      </c>
      <c r="AL3128">
        <v>82.702362997892607</v>
      </c>
      <c r="AM3128">
        <v>90.151702167944094</v>
      </c>
      <c r="AN3128">
        <v>0.99999999456784805</v>
      </c>
    </row>
    <row r="3129" spans="1:40" x14ac:dyDescent="0.25">
      <c r="A3129" t="str">
        <f>"20190312172951384"</f>
        <v>20190312172951384</v>
      </c>
      <c r="B3129" t="str">
        <f>"1552382991380763"</f>
        <v>1552382991380763</v>
      </c>
      <c r="C3129" t="s">
        <v>40</v>
      </c>
      <c r="D3129">
        <v>3.3415720000000002</v>
      </c>
      <c r="E3129">
        <v>0.43758530000000001</v>
      </c>
      <c r="F3129" t="s">
        <v>48</v>
      </c>
      <c r="G3129">
        <v>-436.04610000000002</v>
      </c>
      <c r="H3129" s="1">
        <v>4.867686E-6</v>
      </c>
      <c r="I3129">
        <v>214.96539999999999</v>
      </c>
      <c r="J3129">
        <v>-453.01319999999998</v>
      </c>
      <c r="K3129">
        <v>1.1101760000000001</v>
      </c>
      <c r="L3129">
        <v>213.279</v>
      </c>
      <c r="M3129">
        <v>0.99689559999999999</v>
      </c>
      <c r="N3129">
        <v>0</v>
      </c>
      <c r="O3129">
        <v>-7.8369149999999999E-2</v>
      </c>
      <c r="P3129">
        <v>0.99055919999999997</v>
      </c>
      <c r="Q3129">
        <v>0.1160366</v>
      </c>
      <c r="R3129">
        <v>-7.299303E-2</v>
      </c>
      <c r="S3129">
        <v>3.078033</v>
      </c>
      <c r="T3129">
        <v>-0.19914380000000001</v>
      </c>
      <c r="U3129">
        <v>0.30001830000000002</v>
      </c>
      <c r="V3129">
        <v>-5.1078249999999999E-3</v>
      </c>
      <c r="W3129">
        <v>0.1235475</v>
      </c>
      <c r="X3129">
        <v>0.99232549999999997</v>
      </c>
      <c r="Y3129">
        <v>-0.1741906</v>
      </c>
      <c r="Z3129">
        <v>1.0669970000000001E-2</v>
      </c>
      <c r="AA3129">
        <v>0.98465409999999998</v>
      </c>
      <c r="AB3129">
        <v>21</v>
      </c>
      <c r="AC3129">
        <v>16.967099999999899</v>
      </c>
      <c r="AD3129">
        <v>-1.110171132314</v>
      </c>
      <c r="AE3129">
        <v>1.6863999999999599</v>
      </c>
      <c r="AF3129">
        <v>-2.9982379538073101</v>
      </c>
      <c r="AG3129">
        <v>-1.110171132314</v>
      </c>
      <c r="AH3129">
        <v>16.711900643672202</v>
      </c>
      <c r="AI3129">
        <v>93.741017597418903</v>
      </c>
      <c r="AJ3129">
        <v>100.17108012539801</v>
      </c>
      <c r="AK3129">
        <v>17.014979691279301</v>
      </c>
      <c r="AL3129">
        <v>82.903116428877993</v>
      </c>
      <c r="AM3129">
        <v>90.294917575317996</v>
      </c>
      <c r="AN3129">
        <v>0.999999986291365</v>
      </c>
    </row>
    <row r="3130" spans="1:40" x14ac:dyDescent="0.25">
      <c r="A3130" t="str">
        <f>"20190312172951409"</f>
        <v>20190312172951409</v>
      </c>
      <c r="B3130" t="str">
        <f>"1552382991400273"</f>
        <v>1552382991400273</v>
      </c>
      <c r="C3130" t="s">
        <v>40</v>
      </c>
      <c r="D3130">
        <v>3.3046169999999999</v>
      </c>
      <c r="E3130">
        <v>0.43710840000000001</v>
      </c>
      <c r="F3130" t="s">
        <v>48</v>
      </c>
      <c r="G3130">
        <v>-436.60599999999999</v>
      </c>
      <c r="H3130" s="1">
        <v>5.1154350000000001E-6</v>
      </c>
      <c r="I3130">
        <v>214.97139999999999</v>
      </c>
      <c r="J3130">
        <v>-452.78489999999999</v>
      </c>
      <c r="K3130">
        <v>1.1101589999999999</v>
      </c>
      <c r="L3130">
        <v>213.2629</v>
      </c>
      <c r="M3130">
        <v>0.99701830000000002</v>
      </c>
      <c r="N3130">
        <v>0</v>
      </c>
      <c r="O3130">
        <v>-7.6795600000000006E-2</v>
      </c>
      <c r="P3130">
        <v>0.99111559999999999</v>
      </c>
      <c r="Q3130">
        <v>0.11342049999999999</v>
      </c>
      <c r="R3130">
        <v>-6.9469329999999996E-2</v>
      </c>
      <c r="S3130">
        <v>3.076355</v>
      </c>
      <c r="T3130">
        <v>-0.20815810000000001</v>
      </c>
      <c r="U3130">
        <v>0.31733699999999998</v>
      </c>
      <c r="V3130">
        <v>-7.0894290000000004E-3</v>
      </c>
      <c r="W3130">
        <v>0.1209171</v>
      </c>
      <c r="X3130">
        <v>0.99263729999999994</v>
      </c>
      <c r="Y3130">
        <v>-0.178120899999999</v>
      </c>
      <c r="Z3130">
        <v>1.118152E-2</v>
      </c>
      <c r="AA3130">
        <v>0.98394510000000002</v>
      </c>
      <c r="AB3130">
        <v>21</v>
      </c>
      <c r="AC3130">
        <v>16.178899999999999</v>
      </c>
      <c r="AD3130">
        <v>-1.1101538845649901</v>
      </c>
      <c r="AE3130">
        <v>1.7084999999999799</v>
      </c>
      <c r="AF3130">
        <v>-2.9323039393780999</v>
      </c>
      <c r="AG3130">
        <v>-1.1101538845649901</v>
      </c>
      <c r="AH3130">
        <v>15.9257526604313</v>
      </c>
      <c r="AI3130">
        <v>93.921816632953707</v>
      </c>
      <c r="AJ3130">
        <v>100.432647879226</v>
      </c>
      <c r="AK3130">
        <v>16.231464685651201</v>
      </c>
      <c r="AL3130">
        <v>83.054966082217604</v>
      </c>
      <c r="AM3130">
        <v>90.409200273486903</v>
      </c>
      <c r="AN3130">
        <v>1.0000000072136199</v>
      </c>
    </row>
    <row r="3131" spans="1:40" x14ac:dyDescent="0.25">
      <c r="A3131" t="str">
        <f>"20190312172951430"</f>
        <v>20190312172951430</v>
      </c>
      <c r="B3131" t="str">
        <f>"1552382991420769"</f>
        <v>1552382991420769</v>
      </c>
      <c r="C3131" t="s">
        <v>40</v>
      </c>
      <c r="D3131">
        <v>3.3410160000000002</v>
      </c>
      <c r="E3131">
        <v>0.4367991</v>
      </c>
      <c r="F3131" t="s">
        <v>48</v>
      </c>
      <c r="G3131">
        <v>-436.82510000000002</v>
      </c>
      <c r="H3131" s="1">
        <v>5.2109929999999998E-6</v>
      </c>
      <c r="I3131">
        <v>214.9898</v>
      </c>
      <c r="J3131">
        <v>-452.58179999999999</v>
      </c>
      <c r="K3131">
        <v>1.110147</v>
      </c>
      <c r="L3131">
        <v>213.24889999999999</v>
      </c>
      <c r="M3131">
        <v>0.99712489999999998</v>
      </c>
      <c r="N3131">
        <v>0</v>
      </c>
      <c r="O3131">
        <v>-7.5399309999999997E-2</v>
      </c>
      <c r="P3131">
        <v>0.99159540000000002</v>
      </c>
      <c r="Q3131">
        <v>0.1110453</v>
      </c>
      <c r="R3131">
        <v>-6.6391060000000002E-2</v>
      </c>
      <c r="S3131">
        <v>3.074646</v>
      </c>
      <c r="T3131">
        <v>-0.21387139999999999</v>
      </c>
      <c r="U3131">
        <v>0.33268740000000002</v>
      </c>
      <c r="V3131">
        <v>-8.7987840000000005E-3</v>
      </c>
      <c r="W3131">
        <v>0.1185307</v>
      </c>
      <c r="X3131">
        <v>0.9929114</v>
      </c>
      <c r="Y3131">
        <v>-0.18161830000000001</v>
      </c>
      <c r="Z3131">
        <v>1.151571E-2</v>
      </c>
      <c r="AA3131">
        <v>0.9833016</v>
      </c>
      <c r="AB3131">
        <v>21</v>
      </c>
      <c r="AC3131">
        <v>15.756699999999899</v>
      </c>
      <c r="AD3131">
        <v>-1.110141789007</v>
      </c>
      <c r="AE3131">
        <v>1.7409000000000101</v>
      </c>
      <c r="AF3131">
        <v>-2.90975256426132</v>
      </c>
      <c r="AG3131">
        <v>-1.110141789007</v>
      </c>
      <c r="AH3131">
        <v>15.5045429423953</v>
      </c>
      <c r="AI3131">
        <v>94.025411866435405</v>
      </c>
      <c r="AJ3131">
        <v>100.629117977448</v>
      </c>
      <c r="AK3131">
        <v>15.8142317748762</v>
      </c>
      <c r="AL3131">
        <v>83.192687290946196</v>
      </c>
      <c r="AM3131">
        <v>90.507719009455599</v>
      </c>
      <c r="AN3131">
        <v>0.99999999684616403</v>
      </c>
    </row>
    <row r="3132" spans="1:40" x14ac:dyDescent="0.25">
      <c r="A3132" t="str">
        <f>"20190312172951452"</f>
        <v>20190312172951452</v>
      </c>
      <c r="B3132" t="str">
        <f>"1552382991441265"</f>
        <v>1552382991441265</v>
      </c>
      <c r="C3132" t="s">
        <v>40</v>
      </c>
      <c r="D3132">
        <v>3.2956449999999902</v>
      </c>
      <c r="E3132">
        <v>0.4367142</v>
      </c>
      <c r="F3132" t="s">
        <v>48</v>
      </c>
      <c r="G3132">
        <v>-437.05959999999999</v>
      </c>
      <c r="H3132" s="1">
        <v>5.3150209999999999E-6</v>
      </c>
      <c r="I3132">
        <v>214.98949999999999</v>
      </c>
      <c r="J3132">
        <v>-452.37860000000001</v>
      </c>
      <c r="K3132">
        <v>1.110134</v>
      </c>
      <c r="L3132">
        <v>213.23519999999999</v>
      </c>
      <c r="M3132">
        <v>0.9972297</v>
      </c>
      <c r="N3132">
        <v>0</v>
      </c>
      <c r="O3132">
        <v>-7.40011E-2</v>
      </c>
      <c r="P3132">
        <v>0.99195029999999995</v>
      </c>
      <c r="Q3132">
        <v>0.10896500000000001</v>
      </c>
      <c r="R3132">
        <v>-6.4508679999999999E-2</v>
      </c>
      <c r="S3132">
        <v>3.0731199999999999</v>
      </c>
      <c r="T3132">
        <v>-0.21978809999999999</v>
      </c>
      <c r="U3132">
        <v>0.34460449999999998</v>
      </c>
      <c r="V3132">
        <v>-9.3048530000000001E-3</v>
      </c>
      <c r="W3132">
        <v>0.1164429</v>
      </c>
      <c r="X3132">
        <v>0.99315379999999998</v>
      </c>
      <c r="Y3132">
        <v>-0.1840214</v>
      </c>
      <c r="Z3132">
        <v>1.182302E-2</v>
      </c>
      <c r="AA3132">
        <v>0.98285109999999998</v>
      </c>
      <c r="AB3132">
        <v>21</v>
      </c>
      <c r="AC3132">
        <v>15.319000000000001</v>
      </c>
      <c r="AD3132">
        <v>-1.110128684979</v>
      </c>
      <c r="AE3132">
        <v>1.7543</v>
      </c>
      <c r="AF3132">
        <v>-2.8682768836454402</v>
      </c>
      <c r="AG3132">
        <v>-1.110128684979</v>
      </c>
      <c r="AH3132">
        <v>15.069060309637999</v>
      </c>
      <c r="AI3132">
        <v>94.139283759297797</v>
      </c>
      <c r="AJ3132">
        <v>100.776884947361</v>
      </c>
      <c r="AK3132">
        <v>15.379726154713399</v>
      </c>
      <c r="AL3132">
        <v>83.313143690312401</v>
      </c>
      <c r="AM3132">
        <v>90.536788166853597</v>
      </c>
      <c r="AN3132">
        <v>0.99999999985209997</v>
      </c>
    </row>
    <row r="3133" spans="1:40" x14ac:dyDescent="0.25">
      <c r="A3133" t="str">
        <f>"20190312172951473"</f>
        <v>20190312172951473</v>
      </c>
      <c r="B3133" t="str">
        <f>"1552382991470545"</f>
        <v>1552382991470545</v>
      </c>
      <c r="C3133" t="s">
        <v>40</v>
      </c>
      <c r="D3133">
        <v>3.3382399999999999</v>
      </c>
      <c r="E3133">
        <v>0.4367974</v>
      </c>
      <c r="F3133" t="s">
        <v>48</v>
      </c>
      <c r="G3133">
        <v>-437.1823</v>
      </c>
      <c r="H3133" s="1">
        <v>5.3710029999999998E-6</v>
      </c>
      <c r="I3133">
        <v>214.9716</v>
      </c>
      <c r="J3133">
        <v>-452.17529999999999</v>
      </c>
      <c r="K3133">
        <v>1.1101270000000001</v>
      </c>
      <c r="L3133">
        <v>213.2217</v>
      </c>
      <c r="M3133">
        <v>0.99733269999999996</v>
      </c>
      <c r="N3133">
        <v>0</v>
      </c>
      <c r="O3133">
        <v>-7.2601209999999999E-2</v>
      </c>
      <c r="P3133">
        <v>0.99225180000000002</v>
      </c>
      <c r="Q3133">
        <v>0.1067737</v>
      </c>
      <c r="R3133">
        <v>-6.3527539999999993E-2</v>
      </c>
      <c r="S3133">
        <v>3.0718380000000001</v>
      </c>
      <c r="T3133">
        <v>-0.22440579999999999</v>
      </c>
      <c r="U3133">
        <v>0.35099789999999997</v>
      </c>
      <c r="V3133">
        <v>-8.9060240000000002E-3</v>
      </c>
      <c r="W3133">
        <v>0.1142475</v>
      </c>
      <c r="X3133">
        <v>0.99341239999999997</v>
      </c>
      <c r="Y3133">
        <v>-0.18468080000000001</v>
      </c>
      <c r="Z3133">
        <v>1.1996629999999999E-2</v>
      </c>
      <c r="AA3133">
        <v>0.98272530000000002</v>
      </c>
      <c r="AB3133">
        <v>21</v>
      </c>
      <c r="AC3133">
        <v>14.992999999999901</v>
      </c>
      <c r="AD3133">
        <v>-1.110121628997</v>
      </c>
      <c r="AE3133">
        <v>1.74989999999999</v>
      </c>
      <c r="AF3133">
        <v>-2.8185778933476202</v>
      </c>
      <c r="AG3133">
        <v>-1.110121628997</v>
      </c>
      <c r="AH3133">
        <v>14.7466243832685</v>
      </c>
      <c r="AI3133">
        <v>94.228823822771801</v>
      </c>
      <c r="AJ3133">
        <v>100.820650835137</v>
      </c>
      <c r="AK3133">
        <v>15.0545568540972</v>
      </c>
      <c r="AL3133">
        <v>83.439776100731095</v>
      </c>
      <c r="AM3133">
        <v>90.513647622382393</v>
      </c>
      <c r="AN3133">
        <v>1.0000000024967399</v>
      </c>
    </row>
    <row r="3134" spans="1:40" x14ac:dyDescent="0.25">
      <c r="A3134" t="str">
        <f>"20190312172951495"</f>
        <v>20190312172951495</v>
      </c>
      <c r="B3134" t="str">
        <f>"1552382991491041"</f>
        <v>1552382991491041</v>
      </c>
      <c r="C3134" t="s">
        <v>40</v>
      </c>
      <c r="D3134">
        <v>3.29623</v>
      </c>
      <c r="E3134">
        <v>0.43695250000000002</v>
      </c>
      <c r="F3134" t="s">
        <v>48</v>
      </c>
      <c r="G3134">
        <v>-437.25659999999999</v>
      </c>
      <c r="H3134" s="1">
        <v>5.4068560000000003E-6</v>
      </c>
      <c r="I3134">
        <v>214.9383</v>
      </c>
      <c r="J3134">
        <v>-451.96480000000003</v>
      </c>
      <c r="K3134">
        <v>1.11012</v>
      </c>
      <c r="L3134">
        <v>213.2081</v>
      </c>
      <c r="M3134">
        <v>0.99743740000000003</v>
      </c>
      <c r="N3134">
        <v>0</v>
      </c>
      <c r="O3134">
        <v>-7.1150060000000001E-2</v>
      </c>
      <c r="P3134">
        <v>0.99257119999999999</v>
      </c>
      <c r="Q3134">
        <v>0.1043143</v>
      </c>
      <c r="R3134">
        <v>-6.2619510000000003E-2</v>
      </c>
      <c r="S3134">
        <v>3.0706479999999998</v>
      </c>
      <c r="T3134">
        <v>-0.228492</v>
      </c>
      <c r="U3134">
        <v>0.3533173</v>
      </c>
      <c r="V3134">
        <v>-8.3840049999999999E-3</v>
      </c>
      <c r="W3134">
        <v>0.1117843</v>
      </c>
      <c r="X3134">
        <v>0.9936971</v>
      </c>
      <c r="Y3134">
        <v>-0.18400710000000001</v>
      </c>
      <c r="Z3134">
        <v>1.208625E-2</v>
      </c>
      <c r="AA3134">
        <v>0.98285060000000002</v>
      </c>
      <c r="AB3134">
        <v>21</v>
      </c>
      <c r="AC3134">
        <v>14.7082</v>
      </c>
      <c r="AD3134">
        <v>-1.110114593144</v>
      </c>
      <c r="AE3134">
        <v>1.73019999999999</v>
      </c>
      <c r="AF3134">
        <v>-2.75684323836825</v>
      </c>
      <c r="AG3134">
        <v>-1.110114593144</v>
      </c>
      <c r="AH3134">
        <v>14.466529111928599</v>
      </c>
      <c r="AI3134">
        <v>94.310815947287395</v>
      </c>
      <c r="AJ3134">
        <v>100.78931933158201</v>
      </c>
      <c r="AK3134">
        <v>14.7686493491153</v>
      </c>
      <c r="AL3134">
        <v>83.581816949150905</v>
      </c>
      <c r="AM3134">
        <v>90.483403548121203</v>
      </c>
      <c r="AN3134">
        <v>0.99999997390736906</v>
      </c>
    </row>
    <row r="3135" spans="1:40" x14ac:dyDescent="0.25">
      <c r="A3135" t="str">
        <f>"20190312172951517"</f>
        <v>20190312172951517</v>
      </c>
      <c r="B3135" t="str">
        <f>"1552382991510562"</f>
        <v>1552382991510562</v>
      </c>
      <c r="C3135" t="s">
        <v>40</v>
      </c>
      <c r="D3135">
        <v>3.34409</v>
      </c>
      <c r="E3135">
        <v>0.43715009999999999</v>
      </c>
      <c r="F3135" t="s">
        <v>48</v>
      </c>
      <c r="G3135">
        <v>-437.48200000000003</v>
      </c>
      <c r="H3135" s="1">
        <v>5.5121280000000001E-6</v>
      </c>
      <c r="I3135">
        <v>214.87729999999999</v>
      </c>
      <c r="J3135">
        <v>-451.75839999999999</v>
      </c>
      <c r="K3135">
        <v>1.1101179999999999</v>
      </c>
      <c r="L3135">
        <v>213.19499999999999</v>
      </c>
      <c r="M3135">
        <v>0.99753800000000004</v>
      </c>
      <c r="N3135">
        <v>0</v>
      </c>
      <c r="O3135">
        <v>-6.9724530000000007E-2</v>
      </c>
      <c r="P3135">
        <v>0.99286529999999995</v>
      </c>
      <c r="Q3135">
        <v>0.1021922</v>
      </c>
      <c r="R3135">
        <v>-6.1446239999999999E-2</v>
      </c>
      <c r="S3135">
        <v>3.0695190000000001</v>
      </c>
      <c r="T3135">
        <v>-0.2352794</v>
      </c>
      <c r="U3135">
        <v>0.35377500000000001</v>
      </c>
      <c r="V3135">
        <v>-8.1504509999999995E-3</v>
      </c>
      <c r="W3135">
        <v>0.1096593</v>
      </c>
      <c r="X3135">
        <v>0.99393580000000004</v>
      </c>
      <c r="Y3135">
        <v>-0.18275340000000001</v>
      </c>
      <c r="Z3135">
        <v>1.22921E-2</v>
      </c>
      <c r="AA3135">
        <v>0.98308189999999995</v>
      </c>
      <c r="AB3135">
        <v>21</v>
      </c>
      <c r="AC3135">
        <v>14.276400000000001</v>
      </c>
      <c r="AD3135">
        <v>-1.1101124878719999</v>
      </c>
      <c r="AE3135">
        <v>1.6822999999999899</v>
      </c>
      <c r="AF3135">
        <v>-2.6577988793765202</v>
      </c>
      <c r="AG3135">
        <v>-1.1101124878719999</v>
      </c>
      <c r="AH3135">
        <v>14.040619984728201</v>
      </c>
      <c r="AI3135">
        <v>94.442089393657596</v>
      </c>
      <c r="AJ3135">
        <v>100.71889603147299</v>
      </c>
      <c r="AK3135">
        <v>14.3330127389357</v>
      </c>
      <c r="AL3135">
        <v>83.704323807300895</v>
      </c>
      <c r="AM3135">
        <v>90.469825089982507</v>
      </c>
      <c r="AN3135">
        <v>0.99999998322481598</v>
      </c>
    </row>
    <row r="3136" spans="1:40" x14ac:dyDescent="0.25">
      <c r="A3136" t="str">
        <f>"20190312172951539"</f>
        <v>20190312172951539</v>
      </c>
      <c r="B3136" t="str">
        <f>"1552382991531058"</f>
        <v>1552382991531058</v>
      </c>
      <c r="C3136" t="s">
        <v>40</v>
      </c>
      <c r="D3136">
        <v>3.3373529999999998</v>
      </c>
      <c r="E3136">
        <v>0.43735619999999997</v>
      </c>
      <c r="F3136" t="s">
        <v>48</v>
      </c>
      <c r="G3136">
        <v>-437.60250000000002</v>
      </c>
      <c r="H3136" s="1">
        <v>5.5694880000000003E-6</v>
      </c>
      <c r="I3136">
        <v>214.83269999999999</v>
      </c>
      <c r="J3136">
        <v>-451.54489999999998</v>
      </c>
      <c r="K3136">
        <v>1.1101129999999999</v>
      </c>
      <c r="L3136">
        <v>213.18170000000001</v>
      </c>
      <c r="M3136">
        <v>0.99764010000000003</v>
      </c>
      <c r="N3136">
        <v>0</v>
      </c>
      <c r="O3136">
        <v>-6.8247139999999998E-2</v>
      </c>
      <c r="P3136">
        <v>0.993116</v>
      </c>
      <c r="Q3136">
        <v>0.100064399999999</v>
      </c>
      <c r="R3136">
        <v>-6.08922E-2</v>
      </c>
      <c r="S3136">
        <v>3.0682680000000002</v>
      </c>
      <c r="T3136">
        <v>-0.24061540000000001</v>
      </c>
      <c r="U3136">
        <v>0.35496519999999998</v>
      </c>
      <c r="V3136">
        <v>-7.2440630000000002E-3</v>
      </c>
      <c r="W3136">
        <v>0.107531</v>
      </c>
      <c r="X3136">
        <v>0.99417529999999998</v>
      </c>
      <c r="Y3136">
        <v>-0.18169299999999999</v>
      </c>
      <c r="Z3136">
        <v>1.2418159999999999E-2</v>
      </c>
      <c r="AA3136">
        <v>0.98327690000000001</v>
      </c>
      <c r="AB3136">
        <v>21</v>
      </c>
      <c r="AC3136">
        <v>13.9423999999999</v>
      </c>
      <c r="AD3136">
        <v>-1.110107430512</v>
      </c>
      <c r="AE3136">
        <v>1.65099999999998</v>
      </c>
      <c r="AF3136">
        <v>-2.5825604811959399</v>
      </c>
      <c r="AG3136">
        <v>-1.110107430512</v>
      </c>
      <c r="AH3136">
        <v>13.7114895274849</v>
      </c>
      <c r="AI3136">
        <v>94.549033589670699</v>
      </c>
      <c r="AJ3136">
        <v>100.666701191028</v>
      </c>
      <c r="AK3136">
        <v>13.996674683961301</v>
      </c>
      <c r="AL3136">
        <v>83.826991747459104</v>
      </c>
      <c r="AM3136">
        <v>90.417478578625307</v>
      </c>
      <c r="AN3136">
        <v>0.99999995976991796</v>
      </c>
    </row>
    <row r="3137" spans="1:40" x14ac:dyDescent="0.25">
      <c r="A3137" t="str">
        <f>"20190312172951562"</f>
        <v>20190312172951562</v>
      </c>
      <c r="B3137" t="str">
        <f>"1552382991550577"</f>
        <v>1552382991550577</v>
      </c>
      <c r="C3137" t="s">
        <v>40</v>
      </c>
      <c r="D3137">
        <v>3.3337129999999999</v>
      </c>
      <c r="E3137">
        <v>0.43753029999999998</v>
      </c>
      <c r="F3137" t="s">
        <v>48</v>
      </c>
      <c r="G3137">
        <v>-437.6703</v>
      </c>
      <c r="H3137" s="1">
        <v>5.6036440000000004E-6</v>
      </c>
      <c r="I3137">
        <v>214.78550000000001</v>
      </c>
      <c r="J3137">
        <v>-451.33629999999999</v>
      </c>
      <c r="K3137">
        <v>1.110107</v>
      </c>
      <c r="L3137">
        <v>213.16909999999999</v>
      </c>
      <c r="M3137">
        <v>0.99773789999999996</v>
      </c>
      <c r="N3137">
        <v>0</v>
      </c>
      <c r="O3137">
        <v>-6.6804080000000002E-2</v>
      </c>
      <c r="P3137">
        <v>0.99331999999999998</v>
      </c>
      <c r="Q3137">
        <v>9.8162979999999997E-2</v>
      </c>
      <c r="R3137">
        <v>-6.0657999999999997E-2</v>
      </c>
      <c r="S3137">
        <v>3.067291</v>
      </c>
      <c r="T3137">
        <v>-0.2454143</v>
      </c>
      <c r="U3137">
        <v>0.35455320000000001</v>
      </c>
      <c r="V3137">
        <v>-6.0501919999999898E-3</v>
      </c>
      <c r="W3137">
        <v>0.10562970000000001</v>
      </c>
      <c r="X3137">
        <v>0.99438709999999997</v>
      </c>
      <c r="Y3137">
        <v>-0.1801545</v>
      </c>
      <c r="Z3137">
        <v>1.2492970000000001E-2</v>
      </c>
      <c r="AA3137">
        <v>0.98355899999999996</v>
      </c>
      <c r="AB3137">
        <v>21</v>
      </c>
      <c r="AC3137">
        <v>13.665999999999899</v>
      </c>
      <c r="AD3137">
        <v>-1.110101396356</v>
      </c>
      <c r="AE3137">
        <v>1.61640000000002</v>
      </c>
      <c r="AF3137">
        <v>-2.5094292870441599</v>
      </c>
      <c r="AG3137">
        <v>-1.110101396356</v>
      </c>
      <c r="AH3137">
        <v>13.440024929662499</v>
      </c>
      <c r="AI3137">
        <v>94.641863858771401</v>
      </c>
      <c r="AJ3137">
        <v>100.57609659236699</v>
      </c>
      <c r="AK3137">
        <v>13.717282185871101</v>
      </c>
      <c r="AL3137">
        <v>83.936552352646899</v>
      </c>
      <c r="AM3137">
        <v>90.3486028623675</v>
      </c>
      <c r="AN3137">
        <v>0.99999997149586795</v>
      </c>
    </row>
    <row r="3138" spans="1:40" x14ac:dyDescent="0.25">
      <c r="A3138" t="str">
        <f>"20190312172951585"</f>
        <v>20190312172951585</v>
      </c>
      <c r="B3138" t="str">
        <f>"1552382991580834"</f>
        <v>1552382991580834</v>
      </c>
      <c r="C3138" t="s">
        <v>40</v>
      </c>
      <c r="D3138">
        <v>3.3165619999999998</v>
      </c>
      <c r="E3138">
        <v>0.4377897</v>
      </c>
      <c r="F3138" t="s">
        <v>48</v>
      </c>
      <c r="G3138">
        <v>-437.64429999999999</v>
      </c>
      <c r="H3138" s="1">
        <v>5.5951799999999997E-6</v>
      </c>
      <c r="I3138">
        <v>214.75059999999999</v>
      </c>
      <c r="J3138">
        <v>-451.11930000000001</v>
      </c>
      <c r="K3138">
        <v>1.1101000000000001</v>
      </c>
      <c r="L3138">
        <v>213.15629999999999</v>
      </c>
      <c r="M3138">
        <v>0.99783719999999998</v>
      </c>
      <c r="N3138">
        <v>0</v>
      </c>
      <c r="O3138">
        <v>-6.5301659999999997E-2</v>
      </c>
      <c r="P3138">
        <v>0.99359790000000003</v>
      </c>
      <c r="Q3138">
        <v>9.5505309999999996E-2</v>
      </c>
      <c r="R3138">
        <v>-6.0347739999999997E-2</v>
      </c>
      <c r="S3138">
        <v>3.066376</v>
      </c>
      <c r="T3138">
        <v>-0.2486112</v>
      </c>
      <c r="U3138">
        <v>0.35417179999999998</v>
      </c>
      <c r="V3138">
        <v>-4.8756349999999997E-3</v>
      </c>
      <c r="W3138">
        <v>0.1029731</v>
      </c>
      <c r="X3138">
        <v>0.99467220000000001</v>
      </c>
      <c r="Y3138">
        <v>-0.17857519999999999</v>
      </c>
      <c r="Z3138">
        <v>1.247406E-2</v>
      </c>
      <c r="AA3138">
        <v>0.98384720000000003</v>
      </c>
      <c r="AB3138">
        <v>21</v>
      </c>
      <c r="AC3138">
        <v>13.475</v>
      </c>
      <c r="AD3138">
        <v>-1.1100944048200001</v>
      </c>
      <c r="AE3138">
        <v>1.5943000000000001</v>
      </c>
      <c r="AF3138">
        <v>-2.4544339792229599</v>
      </c>
      <c r="AG3138">
        <v>-1.1100944048200001</v>
      </c>
      <c r="AH3138">
        <v>13.253417557479301</v>
      </c>
      <c r="AI3138">
        <v>94.708180730554304</v>
      </c>
      <c r="AJ3138">
        <v>100.491884097064</v>
      </c>
      <c r="AK3138">
        <v>13.524408774466901</v>
      </c>
      <c r="AL3138">
        <v>84.0895993476732</v>
      </c>
      <c r="AM3138">
        <v>90.280847369236895</v>
      </c>
      <c r="AN3138">
        <v>1.0000000082965499</v>
      </c>
    </row>
    <row r="3139" spans="1:40" x14ac:dyDescent="0.25">
      <c r="A3139" t="str">
        <f>"20190312172951609"</f>
        <v>20190312172951609</v>
      </c>
      <c r="B3139" t="str">
        <f>"1552382991600354"</f>
        <v>1552382991600354</v>
      </c>
      <c r="C3139" t="s">
        <v>40</v>
      </c>
      <c r="D3139">
        <v>3.2993410000000001</v>
      </c>
      <c r="E3139">
        <v>0.43794880000000003</v>
      </c>
      <c r="F3139" t="s">
        <v>48</v>
      </c>
      <c r="G3139">
        <v>-437.65679999999998</v>
      </c>
      <c r="H3139" s="1">
        <v>5.6045570000000004E-6</v>
      </c>
      <c r="I3139">
        <v>214.70650000000001</v>
      </c>
      <c r="J3139">
        <v>-450.89179999999999</v>
      </c>
      <c r="K3139">
        <v>1.1100890000000001</v>
      </c>
      <c r="L3139">
        <v>213.14320000000001</v>
      </c>
      <c r="M3139">
        <v>0.99793909999999997</v>
      </c>
      <c r="N3139">
        <v>0</v>
      </c>
      <c r="O3139">
        <v>-6.3726630000000006E-2</v>
      </c>
      <c r="P3139">
        <v>0.99385140000000005</v>
      </c>
      <c r="Q3139">
        <v>9.3285839999999995E-2</v>
      </c>
      <c r="R3139">
        <v>-5.9643160000000001E-2</v>
      </c>
      <c r="S3139">
        <v>3.0650629999999999</v>
      </c>
      <c r="T3139">
        <v>-0.25273849999999998</v>
      </c>
      <c r="U3139">
        <v>0.35295100000000001</v>
      </c>
      <c r="V3139">
        <v>-4.0213940000000002E-3</v>
      </c>
      <c r="W3139">
        <v>0.1007545</v>
      </c>
      <c r="X3139">
        <v>0.99490319999999999</v>
      </c>
      <c r="Y3139">
        <v>-0.17666799999999999</v>
      </c>
      <c r="Z3139">
        <v>1.2478599999999999E-2</v>
      </c>
      <c r="AA3139">
        <v>0.98419140000000005</v>
      </c>
      <c r="AB3139">
        <v>22</v>
      </c>
      <c r="AC3139">
        <v>13.234999999999999</v>
      </c>
      <c r="AD3139">
        <v>-1.1100833954429901</v>
      </c>
      <c r="AE3139">
        <v>1.5632999999999899</v>
      </c>
      <c r="AF3139">
        <v>-2.3870065134287901</v>
      </c>
      <c r="AG3139">
        <v>-1.1100833954429901</v>
      </c>
      <c r="AH3139">
        <v>13.018147937960901</v>
      </c>
      <c r="AI3139">
        <v>94.794387186402304</v>
      </c>
      <c r="AJ3139">
        <v>100.390331360041</v>
      </c>
      <c r="AK3139">
        <v>13.281651289452901</v>
      </c>
      <c r="AL3139">
        <v>84.217380467066306</v>
      </c>
      <c r="AM3139">
        <v>90.231588006939404</v>
      </c>
      <c r="AN3139">
        <v>1.00000000912509</v>
      </c>
    </row>
    <row r="3140" spans="1:40" x14ac:dyDescent="0.25">
      <c r="A3140" t="str">
        <f>"20190312172951631"</f>
        <v>20190312172951631</v>
      </c>
      <c r="B3140" t="str">
        <f>"1552382991620850"</f>
        <v>1552382991620850</v>
      </c>
      <c r="C3140" t="s">
        <v>40</v>
      </c>
      <c r="D3140">
        <v>3.3249759999999999</v>
      </c>
      <c r="E3140">
        <v>0.43812980000000001</v>
      </c>
      <c r="F3140" t="s">
        <v>48</v>
      </c>
      <c r="G3140">
        <v>-437.6377</v>
      </c>
      <c r="H3140" s="1">
        <v>5.5989080000000001E-6</v>
      </c>
      <c r="I3140">
        <v>214.67429999999999</v>
      </c>
      <c r="J3140">
        <v>-450.66559999999998</v>
      </c>
      <c r="K3140">
        <v>1.11008</v>
      </c>
      <c r="L3140">
        <v>213.13059999999999</v>
      </c>
      <c r="M3140">
        <v>0.99803790000000003</v>
      </c>
      <c r="N3140">
        <v>0</v>
      </c>
      <c r="O3140">
        <v>-6.2161620000000001E-2</v>
      </c>
      <c r="P3140">
        <v>0.99416579999999999</v>
      </c>
      <c r="Q3140">
        <v>9.0273629999999994E-2</v>
      </c>
      <c r="R3140">
        <v>-5.903456E-2</v>
      </c>
      <c r="S3140">
        <v>3.0638730000000001</v>
      </c>
      <c r="T3140">
        <v>-0.25661089999999998</v>
      </c>
      <c r="U3140">
        <v>0.3539429</v>
      </c>
      <c r="V3140">
        <v>-3.0825230000000002E-3</v>
      </c>
      <c r="W3140">
        <v>9.7742949999999995E-2</v>
      </c>
      <c r="X3140">
        <v>0.99520690000000001</v>
      </c>
      <c r="Y3140">
        <v>-0.1754666</v>
      </c>
      <c r="Z3140">
        <v>1.2493270000000001E-2</v>
      </c>
      <c r="AA3140">
        <v>0.98440609999999995</v>
      </c>
      <c r="AB3140">
        <v>22</v>
      </c>
      <c r="AC3140">
        <v>13.027899999999899</v>
      </c>
      <c r="AD3140">
        <v>-1.1100744010920001</v>
      </c>
      <c r="AE3140">
        <v>1.5437000000000001</v>
      </c>
      <c r="AF3140">
        <v>-2.3338626649643799</v>
      </c>
      <c r="AG3140">
        <v>-1.1100744010920001</v>
      </c>
      <c r="AH3140">
        <v>12.8149896857018</v>
      </c>
      <c r="AI3140">
        <v>94.871054439028697</v>
      </c>
      <c r="AJ3140">
        <v>100.321571021271</v>
      </c>
      <c r="AK3140">
        <v>13.072992800407899</v>
      </c>
      <c r="AL3140">
        <v>84.390785635953193</v>
      </c>
      <c r="AM3140">
        <v>90.177465603741894</v>
      </c>
      <c r="AN3140">
        <v>0.99999998001517798</v>
      </c>
    </row>
    <row r="3141" spans="1:40" x14ac:dyDescent="0.25">
      <c r="A3141" t="str">
        <f>"20190312172951653"</f>
        <v>20190312172951653</v>
      </c>
      <c r="B3141" t="str">
        <f>"1552382991640370"</f>
        <v>1552382991640370</v>
      </c>
      <c r="C3141" t="s">
        <v>40</v>
      </c>
      <c r="D3141">
        <v>3.2741739999999999</v>
      </c>
      <c r="E3141">
        <v>0.43822689999999997</v>
      </c>
      <c r="F3141" t="s">
        <v>48</v>
      </c>
      <c r="G3141">
        <v>-437.72739999999999</v>
      </c>
      <c r="H3141" s="1">
        <v>5.6426019999999996E-6</v>
      </c>
      <c r="I3141">
        <v>214.62960000000001</v>
      </c>
      <c r="J3141">
        <v>-450.46480000000003</v>
      </c>
      <c r="K3141">
        <v>1.1100669999999999</v>
      </c>
      <c r="L3141">
        <v>213.11959999999999</v>
      </c>
      <c r="M3141">
        <v>0.9981236</v>
      </c>
      <c r="N3141">
        <v>0</v>
      </c>
      <c r="O3141">
        <v>-6.0772779999999998E-2</v>
      </c>
      <c r="P3141">
        <v>0.9945098</v>
      </c>
      <c r="Q3141">
        <v>8.686025E-2</v>
      </c>
      <c r="R3141">
        <v>-5.8358269999999997E-2</v>
      </c>
      <c r="S3141">
        <v>3.0625</v>
      </c>
      <c r="T3141">
        <v>-0.26275690000000002</v>
      </c>
      <c r="U3141">
        <v>0.35482789999999997</v>
      </c>
      <c r="V3141">
        <v>-2.3866719999999998E-3</v>
      </c>
      <c r="W3141">
        <v>9.4325590000000001E-2</v>
      </c>
      <c r="X3141">
        <v>0.99553849999999999</v>
      </c>
      <c r="Y3141">
        <v>-0.1743962</v>
      </c>
      <c r="Z3141">
        <v>1.2632630000000001E-2</v>
      </c>
      <c r="AA3141">
        <v>0.98459450000000004</v>
      </c>
      <c r="AB3141">
        <v>22</v>
      </c>
      <c r="AC3141">
        <v>12.737399999999999</v>
      </c>
      <c r="AD3141">
        <v>-1.1100613573979901</v>
      </c>
      <c r="AE3141">
        <v>1.51000000000001</v>
      </c>
      <c r="AF3141">
        <v>-2.2643580273414301</v>
      </c>
      <c r="AG3141">
        <v>-1.1100613573979901</v>
      </c>
      <c r="AH3141">
        <v>12.528251386324699</v>
      </c>
      <c r="AI3141">
        <v>94.983128100569999</v>
      </c>
      <c r="AJ3141">
        <v>100.245044971274</v>
      </c>
      <c r="AK3141">
        <v>12.7795397527501</v>
      </c>
      <c r="AL3141">
        <v>84.587495116254303</v>
      </c>
      <c r="AM3141">
        <v>90.137358796978404</v>
      </c>
      <c r="AN3141">
        <v>0.99999995905716599</v>
      </c>
    </row>
    <row r="3142" spans="1:40" x14ac:dyDescent="0.25">
      <c r="A3142" t="str">
        <f>"20190312172951674"</f>
        <v>20190312172951674</v>
      </c>
      <c r="B3142" t="str">
        <f>"1552382991670626"</f>
        <v>1552382991670626</v>
      </c>
      <c r="C3142" t="s">
        <v>40</v>
      </c>
      <c r="D3142">
        <v>3.2805029999999999</v>
      </c>
      <c r="E3142">
        <v>0.43836259999999999</v>
      </c>
      <c r="F3142" t="s">
        <v>48</v>
      </c>
      <c r="G3142">
        <v>-437.88159999999999</v>
      </c>
      <c r="H3142" s="1">
        <v>5.7149990000000001E-6</v>
      </c>
      <c r="I3142">
        <v>214.5838</v>
      </c>
      <c r="J3142">
        <v>-450.25369999999998</v>
      </c>
      <c r="K3142">
        <v>1.11006</v>
      </c>
      <c r="L3142">
        <v>213.10839999999999</v>
      </c>
      <c r="M3142">
        <v>0.99821139999999997</v>
      </c>
      <c r="N3142">
        <v>0</v>
      </c>
      <c r="O3142">
        <v>-5.9313499999999998E-2</v>
      </c>
      <c r="P3142">
        <v>0.99487009999999998</v>
      </c>
      <c r="Q3142">
        <v>8.2926949999999999E-2</v>
      </c>
      <c r="R3142">
        <v>-5.7937809999999999E-2</v>
      </c>
      <c r="S3142">
        <v>3.0610050000000002</v>
      </c>
      <c r="T3142">
        <v>-0.27003529999999998</v>
      </c>
      <c r="U3142">
        <v>0.35617070000000001</v>
      </c>
      <c r="V3142">
        <v>-1.365121E-3</v>
      </c>
      <c r="W3142">
        <v>9.0386190000000005E-2</v>
      </c>
      <c r="X3142">
        <v>0.99590590000000001</v>
      </c>
      <c r="Y3142">
        <v>-0.17339869999999999</v>
      </c>
      <c r="Z3142">
        <v>1.281533E-2</v>
      </c>
      <c r="AA3142">
        <v>0.98476830000000004</v>
      </c>
      <c r="AB3142">
        <v>22</v>
      </c>
      <c r="AC3142">
        <v>12.3720999999999</v>
      </c>
      <c r="AD3142">
        <v>-1.110054285001</v>
      </c>
      <c r="AE3142">
        <v>1.4754</v>
      </c>
      <c r="AF3142">
        <v>-2.18927853347618</v>
      </c>
      <c r="AG3142">
        <v>-1.110054285001</v>
      </c>
      <c r="AH3142">
        <v>12.166236715928401</v>
      </c>
      <c r="AI3142">
        <v>95.131298892269598</v>
      </c>
      <c r="AJ3142">
        <v>100.201035672367</v>
      </c>
      <c r="AK3142">
        <v>12.4113849686807</v>
      </c>
      <c r="AL3142">
        <v>84.814175529785004</v>
      </c>
      <c r="AM3142">
        <v>90.078537161832301</v>
      </c>
      <c r="AN3142">
        <v>1.0000000442764301</v>
      </c>
    </row>
    <row r="3143" spans="1:40" x14ac:dyDescent="0.25">
      <c r="A3143" t="str">
        <f>"20190312172951697"</f>
        <v>20190312172951697</v>
      </c>
      <c r="B3143" t="str">
        <f>"1552382991691122"</f>
        <v>1552382991691122</v>
      </c>
      <c r="C3143" t="s">
        <v>40</v>
      </c>
      <c r="D3143">
        <v>3.2040449999999998</v>
      </c>
      <c r="E3143">
        <v>0.45307540000000002</v>
      </c>
      <c r="F3143" t="s">
        <v>48</v>
      </c>
      <c r="G3143">
        <v>-438.05689999999998</v>
      </c>
      <c r="H3143" s="1">
        <v>5.7976820000000003E-6</v>
      </c>
      <c r="I3143">
        <v>214.5274</v>
      </c>
      <c r="J3143">
        <v>-450.02760000000001</v>
      </c>
      <c r="K3143">
        <v>1.1100479999999999</v>
      </c>
      <c r="L3143">
        <v>213.0967</v>
      </c>
      <c r="M3143">
        <v>0.99830319999999995</v>
      </c>
      <c r="N3143">
        <v>0</v>
      </c>
      <c r="O3143">
        <v>-5.7751089999999998E-2</v>
      </c>
      <c r="P3143">
        <v>0.99515679999999995</v>
      </c>
      <c r="Q3143">
        <v>7.990535E-2</v>
      </c>
      <c r="R3143">
        <v>-5.7259230000000001E-2</v>
      </c>
      <c r="S3143">
        <v>3.0594480000000002</v>
      </c>
      <c r="T3143">
        <v>-0.27844750000000001</v>
      </c>
      <c r="U3143">
        <v>0.35594179999999997</v>
      </c>
      <c r="V3143">
        <v>-4.9384050000000001E-4</v>
      </c>
      <c r="W3143">
        <v>8.7357899999999905E-2</v>
      </c>
      <c r="X3143">
        <v>0.99617679999999997</v>
      </c>
      <c r="Y3143">
        <v>-0.171797799999999</v>
      </c>
      <c r="Z3143">
        <v>1.30057E-2</v>
      </c>
      <c r="AA3143">
        <v>0.98504639999999999</v>
      </c>
      <c r="AB3143">
        <v>22</v>
      </c>
      <c r="AC3143">
        <v>11.970700000000001</v>
      </c>
      <c r="AD3143">
        <v>-1.1100422023180001</v>
      </c>
      <c r="AE3143">
        <v>1.4307000000000001</v>
      </c>
      <c r="AF3143">
        <v>-2.10183341543588</v>
      </c>
      <c r="AG3143">
        <v>-1.1100422023180001</v>
      </c>
      <c r="AH3143">
        <v>11.7683243508696</v>
      </c>
      <c r="AI3143">
        <v>95.305001497135194</v>
      </c>
      <c r="AJ3143">
        <v>100.126308501826</v>
      </c>
      <c r="AK3143">
        <v>12.0059716568231</v>
      </c>
      <c r="AL3143">
        <v>84.988372552000001</v>
      </c>
      <c r="AM3143">
        <v>90.028403566600602</v>
      </c>
      <c r="AN3143">
        <v>0.99999993171454205</v>
      </c>
    </row>
    <row r="3144" spans="1:40" x14ac:dyDescent="0.25">
      <c r="A3144" t="str">
        <f>"20190312172951720"</f>
        <v>20190312172951720</v>
      </c>
      <c r="B3144" t="str">
        <f>"1552382991710642"</f>
        <v>1552382991710642</v>
      </c>
      <c r="C3144" t="s">
        <v>40</v>
      </c>
      <c r="D3144">
        <v>3.3142089999999902</v>
      </c>
      <c r="E3144">
        <v>0.47796539999999998</v>
      </c>
      <c r="F3144" t="s">
        <v>48</v>
      </c>
      <c r="G3144">
        <v>-434.7636</v>
      </c>
      <c r="H3144" s="1">
        <v>4.3591439999999998E-6</v>
      </c>
      <c r="I3144">
        <v>214.27690000000001</v>
      </c>
      <c r="J3144">
        <v>-449.80619999999999</v>
      </c>
      <c r="K3144">
        <v>1.1100449999999999</v>
      </c>
      <c r="L3144">
        <v>213.0856</v>
      </c>
      <c r="M3144">
        <v>0.99839040000000001</v>
      </c>
      <c r="N3144">
        <v>0</v>
      </c>
      <c r="O3144">
        <v>-5.622183E-2</v>
      </c>
      <c r="P3144">
        <v>0.99542019999999998</v>
      </c>
      <c r="Q3144">
        <v>7.6721490000000003E-2</v>
      </c>
      <c r="R3144">
        <v>-5.7028620000000002E-2</v>
      </c>
      <c r="S3144">
        <v>3.0459589999999999</v>
      </c>
      <c r="T3144">
        <v>-0.22151219999999999</v>
      </c>
      <c r="U3144">
        <v>0.2355042</v>
      </c>
      <c r="V3144">
        <v>7.9340770000000001E-4</v>
      </c>
      <c r="W3144">
        <v>8.4169640000000004E-2</v>
      </c>
      <c r="X3144">
        <v>0.99645110000000003</v>
      </c>
      <c r="Y3144">
        <v>-0.13252510000000001</v>
      </c>
      <c r="Z3144">
        <v>8.8832269999999901E-3</v>
      </c>
      <c r="AA3144">
        <v>0.99113980000000002</v>
      </c>
      <c r="AB3144">
        <v>22</v>
      </c>
      <c r="AC3144">
        <v>15.042599999999901</v>
      </c>
      <c r="AD3144">
        <v>-1.110040640856</v>
      </c>
      <c r="AE3144">
        <v>1.19130000000001</v>
      </c>
      <c r="AF3144">
        <v>-2.0242077052160599</v>
      </c>
      <c r="AG3144">
        <v>-1.110040640856</v>
      </c>
      <c r="AH3144">
        <v>14.871350770749199</v>
      </c>
      <c r="AI3144">
        <v>94.229945378745001</v>
      </c>
      <c r="AJ3144">
        <v>97.751156333145502</v>
      </c>
      <c r="AK3144">
        <v>15.0494744361679</v>
      </c>
      <c r="AL3144">
        <v>85.171722252894995</v>
      </c>
      <c r="AM3144">
        <v>89.954379193282605</v>
      </c>
      <c r="AN3144">
        <v>0.99999997624235804</v>
      </c>
    </row>
    <row r="3145" spans="1:40" x14ac:dyDescent="0.25">
      <c r="A3145" t="str">
        <f>"20190312172951741"</f>
        <v>20190312172951741</v>
      </c>
      <c r="B3145" t="str">
        <f>"1552382991731138"</f>
        <v>1552382991731138</v>
      </c>
      <c r="C3145" t="s">
        <v>40</v>
      </c>
      <c r="D3145">
        <v>3.3404769999999901</v>
      </c>
      <c r="E3145">
        <v>0.47955419999999999</v>
      </c>
      <c r="F3145" t="s">
        <v>48</v>
      </c>
      <c r="G3145">
        <v>-433.12029999999999</v>
      </c>
      <c r="H3145" s="1">
        <v>3.717346E-6</v>
      </c>
      <c r="I3145">
        <v>213.28229999999999</v>
      </c>
      <c r="J3145">
        <v>-449.5915</v>
      </c>
      <c r="K3145">
        <v>1.1100319999999999</v>
      </c>
      <c r="L3145">
        <v>213.0752</v>
      </c>
      <c r="M3145">
        <v>0.9984729</v>
      </c>
      <c r="N3145">
        <v>0</v>
      </c>
      <c r="O3145">
        <v>-5.4740129999999998E-2</v>
      </c>
      <c r="P3145">
        <v>0.99562280000000003</v>
      </c>
      <c r="Q3145">
        <v>7.3902499999999996E-2</v>
      </c>
      <c r="R3145">
        <v>-5.7221109999999999E-2</v>
      </c>
      <c r="S3145">
        <v>3.0313720000000002</v>
      </c>
      <c r="T3145">
        <v>-0.20166490000000001</v>
      </c>
      <c r="U3145">
        <v>3.5720830000000002E-2</v>
      </c>
      <c r="V3145">
        <v>2.4589109999999998E-3</v>
      </c>
      <c r="W3145">
        <v>8.1344109999999997E-2</v>
      </c>
      <c r="X3145">
        <v>0.99668310000000004</v>
      </c>
      <c r="Y3145">
        <v>-6.6235769999999999E-2</v>
      </c>
      <c r="Z3145">
        <v>5.8372119999999996E-3</v>
      </c>
      <c r="AA3145">
        <v>0.99778690000000003</v>
      </c>
      <c r="AB3145">
        <v>22</v>
      </c>
      <c r="AC3145">
        <v>16.4712</v>
      </c>
      <c r="AD3145">
        <v>-1.110028282654</v>
      </c>
      <c r="AE3145">
        <v>0.20709999999999601</v>
      </c>
      <c r="AF3145">
        <v>-1.10343937484108</v>
      </c>
      <c r="AG3145">
        <v>-1.110028282654</v>
      </c>
      <c r="AH3145">
        <v>16.3608710164672</v>
      </c>
      <c r="AI3145">
        <v>93.872600718757695</v>
      </c>
      <c r="AJ3145">
        <v>93.858402196222201</v>
      </c>
      <c r="AK3145">
        <v>16.4355663626088</v>
      </c>
      <c r="AL3145">
        <v>85.334170865043205</v>
      </c>
      <c r="AM3145">
        <v>89.858646206939596</v>
      </c>
      <c r="AN3145">
        <v>1.0000000561503</v>
      </c>
    </row>
    <row r="3146" spans="1:40" x14ac:dyDescent="0.25">
      <c r="A3146" t="str">
        <f>"20190312172951764"</f>
        <v>20190312172951764</v>
      </c>
      <c r="B3146" t="str">
        <f>"1552382991750661"</f>
        <v>1552382991750661</v>
      </c>
      <c r="C3146" t="s">
        <v>40</v>
      </c>
      <c r="D3146">
        <v>3.2800989999999999</v>
      </c>
      <c r="E3146">
        <v>0.48034670000000002</v>
      </c>
      <c r="F3146" t="s">
        <v>48</v>
      </c>
      <c r="G3146">
        <v>-433.42869999999999</v>
      </c>
      <c r="H3146" s="1">
        <v>3.8620259999999999E-6</v>
      </c>
      <c r="I3146">
        <v>213.1918</v>
      </c>
      <c r="J3146">
        <v>-449.3784</v>
      </c>
      <c r="K3146">
        <v>1.110023</v>
      </c>
      <c r="L3146">
        <v>213.0652</v>
      </c>
      <c r="M3146">
        <v>0.99855240000000001</v>
      </c>
      <c r="N3146">
        <v>0</v>
      </c>
      <c r="O3146">
        <v>-5.3269860000000002E-2</v>
      </c>
      <c r="P3146">
        <v>0.99583750000000004</v>
      </c>
      <c r="Q3146">
        <v>7.1558709999999998E-2</v>
      </c>
      <c r="R3146">
        <v>-5.645464E-2</v>
      </c>
      <c r="S3146">
        <v>3.029938</v>
      </c>
      <c r="T3146">
        <v>-0.2080909</v>
      </c>
      <c r="U3146">
        <v>2.185059E-2</v>
      </c>
      <c r="V3146">
        <v>3.1544279999999999E-3</v>
      </c>
      <c r="W3146">
        <v>7.8987559999999998E-2</v>
      </c>
      <c r="X3146">
        <v>0.99687060000000005</v>
      </c>
      <c r="Y3146">
        <v>-6.020387E-2</v>
      </c>
      <c r="Z3146">
        <v>5.7179980000000002E-3</v>
      </c>
      <c r="AA3146">
        <v>0.99816970000000005</v>
      </c>
      <c r="AB3146">
        <v>22</v>
      </c>
      <c r="AC3146">
        <v>15.9497</v>
      </c>
      <c r="AD3146">
        <v>-1.1100191379739901</v>
      </c>
      <c r="AE3146">
        <v>0.12659999999999599</v>
      </c>
      <c r="AF3146">
        <v>-0.97137753687413497</v>
      </c>
      <c r="AG3146">
        <v>-1.1100191379739901</v>
      </c>
      <c r="AH3146">
        <v>15.843575537925799</v>
      </c>
      <c r="AI3146">
        <v>94.000172760234904</v>
      </c>
      <c r="AJ3146">
        <v>93.508441233182694</v>
      </c>
      <c r="AK3146">
        <v>15.912089826033901</v>
      </c>
      <c r="AL3146">
        <v>85.469626915100605</v>
      </c>
      <c r="AM3146">
        <v>89.818697825025893</v>
      </c>
      <c r="AN3146">
        <v>0.99999998909756005</v>
      </c>
    </row>
    <row r="3147" spans="1:40" x14ac:dyDescent="0.25">
      <c r="A3147" t="str">
        <f>"20190312172951786"</f>
        <v>20190312172951786</v>
      </c>
      <c r="B3147" t="str">
        <f>"1552382991780914"</f>
        <v>1552382991780914</v>
      </c>
      <c r="C3147" t="s">
        <v>40</v>
      </c>
      <c r="D3147">
        <v>3.2774030000000001</v>
      </c>
      <c r="E3147">
        <v>0.48102830000000002</v>
      </c>
      <c r="F3147" t="s">
        <v>48</v>
      </c>
      <c r="G3147">
        <v>-433.2398</v>
      </c>
      <c r="H3147" s="1">
        <v>3.7814829999999999E-6</v>
      </c>
      <c r="I3147">
        <v>213.15469999999999</v>
      </c>
      <c r="J3147">
        <v>-449.14449999999999</v>
      </c>
      <c r="K3147">
        <v>1.110015</v>
      </c>
      <c r="L3147">
        <v>213.05459999999999</v>
      </c>
      <c r="M3147">
        <v>0.99863729999999995</v>
      </c>
      <c r="N3147">
        <v>0</v>
      </c>
      <c r="O3147">
        <v>-5.1658460000000003E-2</v>
      </c>
      <c r="P3147">
        <v>0.99611740000000004</v>
      </c>
      <c r="Q3147">
        <v>6.831247E-2</v>
      </c>
      <c r="R3147">
        <v>-5.5529950000000002E-2</v>
      </c>
      <c r="S3147">
        <v>3.028473</v>
      </c>
      <c r="T3147">
        <v>-0.20829900000000001</v>
      </c>
      <c r="U3147">
        <v>1.6799930000000001E-2</v>
      </c>
      <c r="V3147">
        <v>3.8321060000000001E-3</v>
      </c>
      <c r="W3147">
        <v>7.5726260000000004E-2</v>
      </c>
      <c r="X3147">
        <v>0.99712129999999999</v>
      </c>
      <c r="Y3147">
        <v>-5.6942409999999999E-2</v>
      </c>
      <c r="Z3147">
        <v>5.503829E-3</v>
      </c>
      <c r="AA3147">
        <v>0.99836230000000004</v>
      </c>
      <c r="AB3147">
        <v>22</v>
      </c>
      <c r="AC3147">
        <v>15.904699999999901</v>
      </c>
      <c r="AD3147">
        <v>-1.1100112185169999</v>
      </c>
      <c r="AE3147">
        <v>0.100099999999997</v>
      </c>
      <c r="AF3147">
        <v>-0.91713418624967202</v>
      </c>
      <c r="AG3147">
        <v>-1.1100112185169999</v>
      </c>
      <c r="AH3147">
        <v>15.8013292065825</v>
      </c>
      <c r="AI3147">
        <v>94.011581379222605</v>
      </c>
      <c r="AJ3147">
        <v>93.321810979544594</v>
      </c>
      <c r="AK3147">
        <v>15.8667975570251</v>
      </c>
      <c r="AL3147">
        <v>85.657047470613904</v>
      </c>
      <c r="AM3147">
        <v>89.779803701439604</v>
      </c>
      <c r="AN3147">
        <v>1.0000000192018299</v>
      </c>
    </row>
    <row r="3148" spans="1:40" x14ac:dyDescent="0.25">
      <c r="A3148" t="str">
        <f>"20190312172951810"</f>
        <v>20190312172951810</v>
      </c>
      <c r="B3148" t="str">
        <f>"1552382991800434"</f>
        <v>1552382991800434</v>
      </c>
      <c r="C3148" t="s">
        <v>40</v>
      </c>
      <c r="D3148">
        <v>3.2909109999999999</v>
      </c>
      <c r="E3148">
        <v>0.48130430000000002</v>
      </c>
      <c r="F3148" t="s">
        <v>48</v>
      </c>
      <c r="G3148">
        <v>-433.48930000000001</v>
      </c>
      <c r="H3148" s="1">
        <v>3.8947010000000004E-6</v>
      </c>
      <c r="I3148">
        <v>213.1251</v>
      </c>
      <c r="J3148">
        <v>-448.92399999999998</v>
      </c>
      <c r="K3148">
        <v>1.1100030000000001</v>
      </c>
      <c r="L3148">
        <v>213.04490000000001</v>
      </c>
      <c r="M3148">
        <v>0.99871460000000001</v>
      </c>
      <c r="N3148">
        <v>0</v>
      </c>
      <c r="O3148">
        <v>-5.0143970000000003E-2</v>
      </c>
      <c r="P3148">
        <v>0.99637929999999997</v>
      </c>
      <c r="Q3148">
        <v>6.5047389999999997E-2</v>
      </c>
      <c r="R3148">
        <v>-5.474975E-2</v>
      </c>
      <c r="S3148">
        <v>3.027161</v>
      </c>
      <c r="T3148">
        <v>-0.2146363</v>
      </c>
      <c r="U3148">
        <v>1.36261E-2</v>
      </c>
      <c r="V3148">
        <v>4.5589460000000004E-3</v>
      </c>
      <c r="W3148">
        <v>7.244892E-2</v>
      </c>
      <c r="X3148">
        <v>0.99736170000000002</v>
      </c>
      <c r="Y3148">
        <v>-5.4378070000000001E-2</v>
      </c>
      <c r="Z3148">
        <v>5.4753579999999996E-3</v>
      </c>
      <c r="AA3148">
        <v>0.99850539999999999</v>
      </c>
      <c r="AB3148">
        <v>22</v>
      </c>
      <c r="AC3148">
        <v>15.434699999999999</v>
      </c>
      <c r="AD3148">
        <v>-1.1099991052989999</v>
      </c>
      <c r="AE3148">
        <v>8.0199999999990695E-2</v>
      </c>
      <c r="AF3148">
        <v>-0.84968307221568096</v>
      </c>
      <c r="AG3148">
        <v>-1.1099991052989999</v>
      </c>
      <c r="AH3148">
        <v>15.3319673916575</v>
      </c>
      <c r="AI3148">
        <v>94.134535590191902</v>
      </c>
      <c r="AJ3148">
        <v>93.172032951612195</v>
      </c>
      <c r="AK3148">
        <v>15.395560510609</v>
      </c>
      <c r="AL3148">
        <v>85.845342688350797</v>
      </c>
      <c r="AM3148">
        <v>89.738102490186293</v>
      </c>
      <c r="AN3148">
        <v>0.99999999531234296</v>
      </c>
    </row>
    <row r="3149" spans="1:40" x14ac:dyDescent="0.25">
      <c r="A3149" t="str">
        <f>"20190312172951832"</f>
        <v>20190312172951832</v>
      </c>
      <c r="B3149" t="str">
        <f>"1552382991820930"</f>
        <v>1552382991820930</v>
      </c>
      <c r="C3149" t="s">
        <v>40</v>
      </c>
      <c r="D3149">
        <v>3.3045</v>
      </c>
      <c r="E3149">
        <v>0.48210059999999899</v>
      </c>
      <c r="F3149" t="s">
        <v>48</v>
      </c>
      <c r="G3149">
        <v>-433.75229999999999</v>
      </c>
      <c r="H3149" s="1">
        <v>4.0125549999999997E-6</v>
      </c>
      <c r="I3149">
        <v>213.1113</v>
      </c>
      <c r="J3149">
        <v>-448.69040000000001</v>
      </c>
      <c r="K3149">
        <v>1.1099939999999999</v>
      </c>
      <c r="L3149">
        <v>213.035</v>
      </c>
      <c r="M3149">
        <v>0.99879370000000001</v>
      </c>
      <c r="N3149">
        <v>0</v>
      </c>
      <c r="O3149">
        <v>-4.8546640000000002E-2</v>
      </c>
      <c r="P3149">
        <v>0.9966294</v>
      </c>
      <c r="Q3149">
        <v>6.2146159999999999E-2</v>
      </c>
      <c r="R3149">
        <v>-5.3555310000000002E-2</v>
      </c>
      <c r="S3149">
        <v>3.0260929999999999</v>
      </c>
      <c r="T3149">
        <v>-0.22139729999999999</v>
      </c>
      <c r="U3149">
        <v>1.324463E-2</v>
      </c>
      <c r="V3149">
        <v>4.9556440000000004E-3</v>
      </c>
      <c r="W3149">
        <v>6.9529960000000002E-2</v>
      </c>
      <c r="X3149">
        <v>0.99756750000000005</v>
      </c>
      <c r="Y3149">
        <v>-5.2648689999999998E-2</v>
      </c>
      <c r="Z3149">
        <v>5.4695739999999996E-3</v>
      </c>
      <c r="AA3149">
        <v>0.99859810000000004</v>
      </c>
      <c r="AB3149">
        <v>22</v>
      </c>
      <c r="AC3149">
        <v>14.9381</v>
      </c>
      <c r="AD3149">
        <v>-1.1099899874449899</v>
      </c>
      <c r="AE3149">
        <v>7.6300000000003296E-2</v>
      </c>
      <c r="AF3149">
        <v>-0.79702375496104405</v>
      </c>
      <c r="AG3149">
        <v>-1.1099899874449899</v>
      </c>
      <c r="AH3149">
        <v>14.834874770280701</v>
      </c>
      <c r="AI3149">
        <v>94.272929520516499</v>
      </c>
      <c r="AJ3149">
        <v>93.075336681870496</v>
      </c>
      <c r="AK3149">
        <v>14.897678815443401</v>
      </c>
      <c r="AL3149">
        <v>86.013009651968602</v>
      </c>
      <c r="AM3149">
        <v>89.715372493286196</v>
      </c>
      <c r="AN3149">
        <v>0.99999994540065096</v>
      </c>
    </row>
    <row r="3150" spans="1:40" x14ac:dyDescent="0.25">
      <c r="A3150" t="str">
        <f>"20190312172951856"</f>
        <v>20190312172951856</v>
      </c>
      <c r="B3150" t="str">
        <f>"1552382991840450"</f>
        <v>1552382991840450</v>
      </c>
      <c r="C3150" t="s">
        <v>40</v>
      </c>
      <c r="D3150">
        <v>3.342749</v>
      </c>
      <c r="E3150">
        <v>0.48279680000000003</v>
      </c>
      <c r="F3150" t="s">
        <v>48</v>
      </c>
      <c r="G3150">
        <v>-434.33120000000002</v>
      </c>
      <c r="H3150" s="1">
        <v>4.2715760000000001E-6</v>
      </c>
      <c r="I3150">
        <v>213.08500000000001</v>
      </c>
      <c r="J3150">
        <v>-448.45389999999998</v>
      </c>
      <c r="K3150">
        <v>1.1099730000000001</v>
      </c>
      <c r="L3150">
        <v>213.02529999999999</v>
      </c>
      <c r="M3150">
        <v>0.99887079999999995</v>
      </c>
      <c r="N3150">
        <v>0</v>
      </c>
      <c r="O3150">
        <v>-4.6936909999999998E-2</v>
      </c>
      <c r="P3150">
        <v>0.99689890000000003</v>
      </c>
      <c r="Q3150">
        <v>5.8914300000000003E-2</v>
      </c>
      <c r="R3150">
        <v>-5.2173659999999997E-2</v>
      </c>
      <c r="S3150">
        <v>3.0253299999999999</v>
      </c>
      <c r="T3150">
        <v>-0.2338626</v>
      </c>
      <c r="U3150">
        <v>1.0528559999999999E-2</v>
      </c>
      <c r="V3150">
        <v>5.178251E-3</v>
      </c>
      <c r="W3150">
        <v>6.627545E-2</v>
      </c>
      <c r="X3150">
        <v>0.99778800000000001</v>
      </c>
      <c r="Y3150">
        <v>-5.0124670000000003E-2</v>
      </c>
      <c r="Z3150">
        <v>5.5565170000000004E-3</v>
      </c>
      <c r="AA3150">
        <v>0.99872749999999999</v>
      </c>
      <c r="AB3150">
        <v>22</v>
      </c>
      <c r="AC3150">
        <v>14.122699999999901</v>
      </c>
      <c r="AD3150">
        <v>-1.1099687284240001</v>
      </c>
      <c r="AE3150">
        <v>5.9700000000020702E-2</v>
      </c>
      <c r="AF3150">
        <v>-0.71809234954395296</v>
      </c>
      <c r="AG3150">
        <v>-1.1099687284240001</v>
      </c>
      <c r="AH3150">
        <v>14.0177439626015</v>
      </c>
      <c r="AI3150">
        <v>94.521507966841995</v>
      </c>
      <c r="AJ3150">
        <v>92.932549435552502</v>
      </c>
      <c r="AK3150">
        <v>14.079944353640199</v>
      </c>
      <c r="AL3150">
        <v>86.199911289981799</v>
      </c>
      <c r="AM3150">
        <v>89.702653004474797</v>
      </c>
      <c r="AN3150">
        <v>1.0000000712500501</v>
      </c>
    </row>
    <row r="3151" spans="1:40" x14ac:dyDescent="0.25">
      <c r="A3151" t="str">
        <f>"20190312172951876"</f>
        <v>20190312172951876</v>
      </c>
      <c r="B3151" t="str">
        <f>"1552382991870706"</f>
        <v>1552382991870706</v>
      </c>
      <c r="C3151" t="s">
        <v>40</v>
      </c>
      <c r="D3151">
        <v>3.2408610000000002</v>
      </c>
      <c r="E3151">
        <v>0.48331750000000001</v>
      </c>
      <c r="F3151" t="s">
        <v>48</v>
      </c>
      <c r="G3151">
        <v>-434.75700000000001</v>
      </c>
      <c r="H3151" s="1">
        <v>4.4621050000000004E-6</v>
      </c>
      <c r="I3151">
        <v>213.06540000000001</v>
      </c>
      <c r="J3151">
        <v>-448.24759999999998</v>
      </c>
      <c r="K3151">
        <v>1.1099490000000001</v>
      </c>
      <c r="L3151">
        <v>213.0172</v>
      </c>
      <c r="M3151">
        <v>0.99893549999999998</v>
      </c>
      <c r="N3151">
        <v>0</v>
      </c>
      <c r="O3151">
        <v>-4.5543550000000002E-2</v>
      </c>
      <c r="P3151">
        <v>0.99720350000000002</v>
      </c>
      <c r="Q3151">
        <v>5.4749680000000002E-2</v>
      </c>
      <c r="R3151">
        <v>-5.0869339999999999E-2</v>
      </c>
      <c r="S3151">
        <v>3.024292</v>
      </c>
      <c r="T3151">
        <v>-0.2450832</v>
      </c>
      <c r="U3151">
        <v>8.8500980000000007E-3</v>
      </c>
      <c r="V3151">
        <v>5.2633039999999999E-3</v>
      </c>
      <c r="W3151">
        <v>6.2087450000000002E-2</v>
      </c>
      <c r="X3151">
        <v>0.99805679999999997</v>
      </c>
      <c r="Y3151">
        <v>-4.816074E-2</v>
      </c>
      <c r="Z3151">
        <v>5.6321549999999998E-3</v>
      </c>
      <c r="AA3151">
        <v>0.99882369999999998</v>
      </c>
      <c r="AB3151">
        <v>23</v>
      </c>
      <c r="AC3151">
        <v>13.490600000000001</v>
      </c>
      <c r="AD3151">
        <v>-1.1099445378949999</v>
      </c>
      <c r="AE3151">
        <v>4.8200000000008403E-2</v>
      </c>
      <c r="AF3151">
        <v>-0.65812135550328499</v>
      </c>
      <c r="AG3151">
        <v>-1.1099445378949999</v>
      </c>
      <c r="AH3151">
        <v>13.3838084470363</v>
      </c>
      <c r="AI3151">
        <v>94.735103413339303</v>
      </c>
      <c r="AJ3151">
        <v>92.815135034219693</v>
      </c>
      <c r="AK3151">
        <v>13.445870337866999</v>
      </c>
      <c r="AL3151">
        <v>86.440361546930205</v>
      </c>
      <c r="AM3151">
        <v>89.697850553197298</v>
      </c>
      <c r="AN3151">
        <v>0.999999964921368</v>
      </c>
    </row>
    <row r="3152" spans="1:40" x14ac:dyDescent="0.25">
      <c r="A3152" t="str">
        <f>"20190312172951899"</f>
        <v>20190312172951899</v>
      </c>
      <c r="B3152" t="str">
        <f>"1552382991890226"</f>
        <v>1552382991890226</v>
      </c>
      <c r="C3152" t="s">
        <v>40</v>
      </c>
      <c r="D3152">
        <v>3.263449</v>
      </c>
      <c r="E3152">
        <v>0.48342390000000002</v>
      </c>
      <c r="F3152" t="s">
        <v>48</v>
      </c>
      <c r="G3152">
        <v>-435.04289999999997</v>
      </c>
      <c r="H3152" s="1">
        <v>4.5902149999999999E-6</v>
      </c>
      <c r="I3152">
        <v>213.05009999999999</v>
      </c>
      <c r="J3152">
        <v>-448.02120000000002</v>
      </c>
      <c r="K3152">
        <v>1.109931</v>
      </c>
      <c r="L3152">
        <v>213.0086</v>
      </c>
      <c r="M3152">
        <v>0.99900359999999999</v>
      </c>
      <c r="N3152">
        <v>0</v>
      </c>
      <c r="O3152">
        <v>-4.4027169999999997E-2</v>
      </c>
      <c r="P3152">
        <v>0.99746990000000002</v>
      </c>
      <c r="Q3152">
        <v>5.1235780000000002E-2</v>
      </c>
      <c r="R3152">
        <v>-4.9284509999999997E-2</v>
      </c>
      <c r="S3152">
        <v>3.0227659999999998</v>
      </c>
      <c r="T3152">
        <v>-0.25408399999999998</v>
      </c>
      <c r="U3152">
        <v>7.5225830000000002E-3</v>
      </c>
      <c r="V3152">
        <v>5.1917209999999998E-3</v>
      </c>
      <c r="W3152">
        <v>5.8547210000000002E-2</v>
      </c>
      <c r="X3152">
        <v>0.99827120000000003</v>
      </c>
      <c r="Y3152">
        <v>-4.6196319999999999E-2</v>
      </c>
      <c r="Z3152">
        <v>5.6316489999999999E-3</v>
      </c>
      <c r="AA3152">
        <v>0.99891649999999998</v>
      </c>
      <c r="AB3152">
        <v>23</v>
      </c>
      <c r="AC3152">
        <v>12.978300000000001</v>
      </c>
      <c r="AD3152">
        <v>-1.1099264097849999</v>
      </c>
      <c r="AE3152">
        <v>4.1499999999984903E-2</v>
      </c>
      <c r="AF3152">
        <v>-0.60842290145647004</v>
      </c>
      <c r="AG3152">
        <v>-1.1099264097849999</v>
      </c>
      <c r="AH3152">
        <v>12.869759553777</v>
      </c>
      <c r="AI3152">
        <v>94.923690110355494</v>
      </c>
      <c r="AJ3152">
        <v>92.706665087636694</v>
      </c>
      <c r="AK3152">
        <v>12.9318531554526</v>
      </c>
      <c r="AL3152">
        <v>86.643572784828507</v>
      </c>
      <c r="AM3152">
        <v>89.702023838933499</v>
      </c>
      <c r="AN3152">
        <v>1.00000005925758</v>
      </c>
    </row>
    <row r="3153" spans="1:40" x14ac:dyDescent="0.25">
      <c r="A3153" t="str">
        <f>"20190312172951921"</f>
        <v>20190312172951921</v>
      </c>
      <c r="B3153" t="str">
        <f>"1552382991910722"</f>
        <v>1552382991910722</v>
      </c>
      <c r="C3153" t="s">
        <v>40</v>
      </c>
      <c r="D3153">
        <v>3.2541099999999998</v>
      </c>
      <c r="E3153">
        <v>0.48357080000000002</v>
      </c>
      <c r="F3153" t="s">
        <v>48</v>
      </c>
      <c r="G3153">
        <v>-435.1789</v>
      </c>
      <c r="H3153" s="1">
        <v>4.6502860000000002E-6</v>
      </c>
      <c r="I3153">
        <v>213.053</v>
      </c>
      <c r="J3153">
        <v>-447.79079999999999</v>
      </c>
      <c r="K3153">
        <v>1.109909</v>
      </c>
      <c r="L3153">
        <v>213.00020000000001</v>
      </c>
      <c r="M3153">
        <v>0.99907000000000001</v>
      </c>
      <c r="N3153">
        <v>0</v>
      </c>
      <c r="O3153">
        <v>-4.2498149999999998E-2</v>
      </c>
      <c r="P3153">
        <v>0.99770669999999995</v>
      </c>
      <c r="Q3153">
        <v>4.8026609999999997E-2</v>
      </c>
      <c r="R3153">
        <v>-4.7698959999999999E-2</v>
      </c>
      <c r="S3153">
        <v>3.021576</v>
      </c>
      <c r="T3153">
        <v>-0.26114670000000001</v>
      </c>
      <c r="U3153">
        <v>1.043701E-2</v>
      </c>
      <c r="V3153">
        <v>5.1334279999999998E-3</v>
      </c>
      <c r="W3153">
        <v>5.530997E-2</v>
      </c>
      <c r="X3153">
        <v>0.99845609999999996</v>
      </c>
      <c r="Y3153">
        <v>-4.5621599999999998E-2</v>
      </c>
      <c r="Z3153">
        <v>5.6332930000000002E-3</v>
      </c>
      <c r="AA3153">
        <v>0.99894289999999997</v>
      </c>
      <c r="AB3153">
        <v>23</v>
      </c>
      <c r="AC3153">
        <v>12.611899999999901</v>
      </c>
      <c r="AD3153">
        <v>-1.109904349714</v>
      </c>
      <c r="AE3153">
        <v>5.2799999999990598E-2</v>
      </c>
      <c r="AF3153">
        <v>-0.58422430881230003</v>
      </c>
      <c r="AG3153">
        <v>-1.109904349714</v>
      </c>
      <c r="AH3153">
        <v>12.5014417175557</v>
      </c>
      <c r="AI3153">
        <v>95.068035423709205</v>
      </c>
      <c r="AJ3153">
        <v>92.675631484087205</v>
      </c>
      <c r="AK3153">
        <v>12.5642051370536</v>
      </c>
      <c r="AL3153">
        <v>86.829354351663895</v>
      </c>
      <c r="AM3153">
        <v>89.705424036882505</v>
      </c>
      <c r="AN3153">
        <v>1.00000006424581</v>
      </c>
    </row>
    <row r="3154" spans="1:40" x14ac:dyDescent="0.25">
      <c r="A3154" t="str">
        <f>"20190312172951942"</f>
        <v>20190312172951942</v>
      </c>
      <c r="B3154" t="str">
        <f>"1552382991931218"</f>
        <v>1552382991931218</v>
      </c>
      <c r="C3154" t="s">
        <v>40</v>
      </c>
      <c r="D3154">
        <v>3.2413949999999998</v>
      </c>
      <c r="E3154">
        <v>0.4835219</v>
      </c>
      <c r="F3154" t="s">
        <v>48</v>
      </c>
      <c r="G3154">
        <v>-435.23360000000002</v>
      </c>
      <c r="H3154" s="1">
        <v>4.6742190000000004E-6</v>
      </c>
      <c r="I3154">
        <v>213.0566</v>
      </c>
      <c r="J3154">
        <v>-447.57119999999998</v>
      </c>
      <c r="K3154">
        <v>1.10989</v>
      </c>
      <c r="L3154">
        <v>212.99250000000001</v>
      </c>
      <c r="M3154">
        <v>0.99913079999999999</v>
      </c>
      <c r="N3154">
        <v>0</v>
      </c>
      <c r="O3154">
        <v>-4.1053890000000003E-2</v>
      </c>
      <c r="P3154">
        <v>0.99792950000000002</v>
      </c>
      <c r="Q3154">
        <v>4.5003929999999998E-2</v>
      </c>
      <c r="R3154">
        <v>-4.5954429999999998E-2</v>
      </c>
      <c r="S3154">
        <v>3.0203859999999998</v>
      </c>
      <c r="T3154">
        <v>-0.26696439999999999</v>
      </c>
      <c r="U3154">
        <v>1.356506E-2</v>
      </c>
      <c r="V3154">
        <v>4.8320960000000001E-3</v>
      </c>
      <c r="W3154">
        <v>5.2257869999999998E-2</v>
      </c>
      <c r="X3154">
        <v>0.99862189999999995</v>
      </c>
      <c r="Y3154">
        <v>-4.5205660000000002E-2</v>
      </c>
      <c r="Z3154">
        <v>5.6148989999999996E-3</v>
      </c>
      <c r="AA3154">
        <v>0.99896189999999996</v>
      </c>
      <c r="AB3154">
        <v>23</v>
      </c>
      <c r="AC3154">
        <v>12.337599999999901</v>
      </c>
      <c r="AD3154">
        <v>-1.109885325781</v>
      </c>
      <c r="AE3154">
        <v>6.4099999999996202E-2</v>
      </c>
      <c r="AF3154">
        <v>-0.56598541459211205</v>
      </c>
      <c r="AG3154">
        <v>-1.109885325781</v>
      </c>
      <c r="AH3154">
        <v>12.225630409472201</v>
      </c>
      <c r="AI3154">
        <v>95.181771465148401</v>
      </c>
      <c r="AJ3154">
        <v>92.650614890865199</v>
      </c>
      <c r="AK3154">
        <v>12.288947222399701</v>
      </c>
      <c r="AL3154">
        <v>87.004480042867002</v>
      </c>
      <c r="AM3154">
        <v>89.722761391197494</v>
      </c>
      <c r="AN3154">
        <v>0.99999996664414903</v>
      </c>
    </row>
    <row r="3155" spans="1:40" x14ac:dyDescent="0.25">
      <c r="A3155" t="str">
        <f>"20190312172951965"</f>
        <v>20190312172951965</v>
      </c>
      <c r="B3155" t="str">
        <f>"1552382991960498"</f>
        <v>1552382991960498</v>
      </c>
      <c r="C3155" t="s">
        <v>40</v>
      </c>
      <c r="D3155">
        <v>3.2754319999999999</v>
      </c>
      <c r="E3155">
        <v>0.48455330000000002</v>
      </c>
      <c r="F3155" t="s">
        <v>48</v>
      </c>
      <c r="G3155">
        <v>-435.33839999999998</v>
      </c>
      <c r="H3155" s="1">
        <v>4.719803E-6</v>
      </c>
      <c r="I3155">
        <v>213.0667</v>
      </c>
      <c r="J3155">
        <v>-447.34899999999999</v>
      </c>
      <c r="K3155">
        <v>1.1098809999999999</v>
      </c>
      <c r="L3155">
        <v>212.98500000000001</v>
      </c>
      <c r="M3155">
        <v>0.99918940000000001</v>
      </c>
      <c r="N3155">
        <v>0</v>
      </c>
      <c r="O3155">
        <v>-3.9605920000000003E-2</v>
      </c>
      <c r="P3155">
        <v>0.99810500000000002</v>
      </c>
      <c r="Q3155">
        <v>4.3337880000000002E-2</v>
      </c>
      <c r="R3155">
        <v>-4.3685799999999997E-2</v>
      </c>
      <c r="S3155">
        <v>3.0194399999999999</v>
      </c>
      <c r="T3155">
        <v>-0.27395320000000001</v>
      </c>
      <c r="U3155">
        <v>1.8325810000000001E-2</v>
      </c>
      <c r="V3155">
        <v>4.0097939999999997E-3</v>
      </c>
      <c r="W3155">
        <v>5.0556379999999998E-2</v>
      </c>
      <c r="X3155">
        <v>0.99871310000000002</v>
      </c>
      <c r="Y3155">
        <v>-4.532183E-2</v>
      </c>
      <c r="Z3155">
        <v>5.6373229999999996E-3</v>
      </c>
      <c r="AA3155">
        <v>0.99895659999999997</v>
      </c>
      <c r="AB3155">
        <v>23</v>
      </c>
      <c r="AC3155">
        <v>12.0106</v>
      </c>
      <c r="AD3155">
        <v>-1.1098762801969999</v>
      </c>
      <c r="AE3155">
        <v>8.1699999999983605E-2</v>
      </c>
      <c r="AF3155">
        <v>-0.552620358676433</v>
      </c>
      <c r="AG3155">
        <v>-1.1098762801969999</v>
      </c>
      <c r="AH3155">
        <v>11.8963585581812</v>
      </c>
      <c r="AI3155">
        <v>95.324299371101503</v>
      </c>
      <c r="AJ3155">
        <v>92.659643179535095</v>
      </c>
      <c r="AK3155">
        <v>11.9607926812138</v>
      </c>
      <c r="AL3155">
        <v>87.102097251250399</v>
      </c>
      <c r="AM3155">
        <v>89.769960924270293</v>
      </c>
      <c r="AN3155">
        <v>0.99999994105911605</v>
      </c>
    </row>
    <row r="3156" spans="1:40" x14ac:dyDescent="0.25">
      <c r="A3156" t="str">
        <f>"20190312172951989"</f>
        <v>20190312172951989</v>
      </c>
      <c r="B3156" t="str">
        <f>"1552382991980995"</f>
        <v>1552382991980995</v>
      </c>
      <c r="C3156" t="s">
        <v>40</v>
      </c>
      <c r="D3156">
        <v>3.1890339999999999</v>
      </c>
      <c r="E3156">
        <v>0.48422159999999898</v>
      </c>
      <c r="F3156" t="s">
        <v>48</v>
      </c>
      <c r="G3156">
        <v>-431.0419</v>
      </c>
      <c r="H3156" s="1">
        <v>2.816024E-6</v>
      </c>
      <c r="I3156">
        <v>213.04939999999999</v>
      </c>
      <c r="J3156">
        <v>-447.0985</v>
      </c>
      <c r="K3156">
        <v>1.1098779999999999</v>
      </c>
      <c r="L3156">
        <v>212.9769</v>
      </c>
      <c r="M3156">
        <v>0.99925249999999999</v>
      </c>
      <c r="N3156">
        <v>0</v>
      </c>
      <c r="O3156">
        <v>-3.7989009999999997E-2</v>
      </c>
      <c r="P3156">
        <v>0.99819820000000004</v>
      </c>
      <c r="Q3156">
        <v>4.3106940000000003E-2</v>
      </c>
      <c r="R3156">
        <v>-4.1744700000000003E-2</v>
      </c>
      <c r="S3156">
        <v>3.0151669999999999</v>
      </c>
      <c r="T3156">
        <v>-0.20521629999999999</v>
      </c>
      <c r="U3156">
        <v>1.191711E-2</v>
      </c>
      <c r="V3156">
        <v>3.6837990000000002E-3</v>
      </c>
      <c r="W3156">
        <v>5.0285410000000003E-2</v>
      </c>
      <c r="X3156">
        <v>0.99872810000000001</v>
      </c>
      <c r="Y3156">
        <v>-4.1754729999999997E-2</v>
      </c>
      <c r="Z3156">
        <v>4.0015270000000004E-3</v>
      </c>
      <c r="AA3156">
        <v>0.99911989999999995</v>
      </c>
      <c r="AB3156">
        <v>23</v>
      </c>
      <c r="AC3156">
        <v>16.0566</v>
      </c>
      <c r="AD3156">
        <v>-1.1098751839759999</v>
      </c>
      <c r="AE3156">
        <v>7.2499999999990905E-2</v>
      </c>
      <c r="AF3156">
        <v>-0.67919256265803696</v>
      </c>
      <c r="AG3156">
        <v>-1.1098751839759999</v>
      </c>
      <c r="AH3156">
        <v>15.9659718150291</v>
      </c>
      <c r="AI3156">
        <v>93.972939715478006</v>
      </c>
      <c r="AJ3156">
        <v>92.435894231616004</v>
      </c>
      <c r="AK3156">
        <v>16.0189069995265</v>
      </c>
      <c r="AL3156">
        <v>87.117642647470007</v>
      </c>
      <c r="AM3156">
        <v>89.788666026218607</v>
      </c>
      <c r="AN3156">
        <v>1.0000000052817699</v>
      </c>
    </row>
    <row r="3157" spans="1:40" x14ac:dyDescent="0.25">
      <c r="A3157" t="str">
        <f>"20190312172952010"</f>
        <v>20190312172952010</v>
      </c>
      <c r="B3157" t="str">
        <f>"1552382992000514"</f>
        <v>1552382992000514</v>
      </c>
      <c r="C3157" t="s">
        <v>40</v>
      </c>
      <c r="D3157">
        <v>3.2038690000000001</v>
      </c>
      <c r="E3157">
        <v>0.48465160000000002</v>
      </c>
      <c r="F3157" t="s">
        <v>48</v>
      </c>
      <c r="G3157">
        <v>-430.45780000000002</v>
      </c>
      <c r="H3157" s="1">
        <v>2.5537249999999998E-6</v>
      </c>
      <c r="I3157">
        <v>213.08690000000001</v>
      </c>
      <c r="J3157">
        <v>-446.88310000000001</v>
      </c>
      <c r="K3157">
        <v>1.109872</v>
      </c>
      <c r="L3157">
        <v>212.97030000000001</v>
      </c>
      <c r="M3157">
        <v>0.99930430000000003</v>
      </c>
      <c r="N3157">
        <v>0</v>
      </c>
      <c r="O3157">
        <v>-3.6605989999999998E-2</v>
      </c>
      <c r="P3157">
        <v>0.99829579999999996</v>
      </c>
      <c r="Q3157">
        <v>4.2770799999999998E-2</v>
      </c>
      <c r="R3157">
        <v>-3.970833E-2</v>
      </c>
      <c r="S3157">
        <v>3.0148929999999998</v>
      </c>
      <c r="T3157">
        <v>-0.20108290000000001</v>
      </c>
      <c r="U3157">
        <v>1.9927980000000001E-2</v>
      </c>
      <c r="V3157">
        <v>3.0283010000000002E-3</v>
      </c>
      <c r="W3157">
        <v>4.9915380000000002E-2</v>
      </c>
      <c r="X3157">
        <v>0.99874879999999999</v>
      </c>
      <c r="Y3157">
        <v>-4.303448E-2</v>
      </c>
      <c r="Z3157">
        <v>3.8720019999999998E-3</v>
      </c>
      <c r="AA3157">
        <v>0.99906609999999996</v>
      </c>
      <c r="AB3157">
        <v>23</v>
      </c>
      <c r="AC3157">
        <v>16.425299999999901</v>
      </c>
      <c r="AD3157">
        <v>-1.1098694462750001</v>
      </c>
      <c r="AE3157">
        <v>0.11660000000000501</v>
      </c>
      <c r="AF3157">
        <v>-0.71453924245604605</v>
      </c>
      <c r="AG3157">
        <v>-1.1098694462750001</v>
      </c>
      <c r="AH3157">
        <v>16.335441793245799</v>
      </c>
      <c r="AI3157">
        <v>93.883138765592307</v>
      </c>
      <c r="AJ3157">
        <v>92.504615588625001</v>
      </c>
      <c r="AK3157">
        <v>16.3886861919223</v>
      </c>
      <c r="AL3157">
        <v>87.138870277828403</v>
      </c>
      <c r="AM3157">
        <v>89.826274299729207</v>
      </c>
      <c r="AN3157">
        <v>0.99999994063446296</v>
      </c>
    </row>
    <row r="3158" spans="1:40" x14ac:dyDescent="0.25">
      <c r="A3158" t="str">
        <f>"20190312172952033"</f>
        <v>20190312172952033</v>
      </c>
      <c r="B3158" t="str">
        <f>"1552382992021010"</f>
        <v>1552382992021010</v>
      </c>
      <c r="C3158" t="s">
        <v>40</v>
      </c>
      <c r="D3158">
        <v>3.1638799999999998</v>
      </c>
      <c r="E3158">
        <v>0.48500359999999998</v>
      </c>
      <c r="F3158" t="s">
        <v>48</v>
      </c>
      <c r="G3158">
        <v>-430.18</v>
      </c>
      <c r="H3158" s="1">
        <v>2.4300200000000002E-6</v>
      </c>
      <c r="I3158">
        <v>213.0925</v>
      </c>
      <c r="J3158">
        <v>-446.63819999999998</v>
      </c>
      <c r="K3158">
        <v>1.109869</v>
      </c>
      <c r="L3158">
        <v>212.9631</v>
      </c>
      <c r="M3158">
        <v>0.99936069999999999</v>
      </c>
      <c r="N3158">
        <v>0</v>
      </c>
      <c r="O3158">
        <v>-3.5039720000000003E-2</v>
      </c>
      <c r="P3158">
        <v>0.99843939999999998</v>
      </c>
      <c r="Q3158">
        <v>4.1888269999999998E-2</v>
      </c>
      <c r="R3158">
        <v>-3.6936950000000003E-2</v>
      </c>
      <c r="S3158">
        <v>3.0145569999999999</v>
      </c>
      <c r="T3158">
        <v>-0.20030829999999999</v>
      </c>
      <c r="U3158">
        <v>2.2064210000000001E-2</v>
      </c>
      <c r="V3158">
        <v>1.821378E-3</v>
      </c>
      <c r="W3158">
        <v>4.8990010000000001E-2</v>
      </c>
      <c r="X3158">
        <v>0.99879759999999995</v>
      </c>
      <c r="Y3158">
        <v>-4.218392E-2</v>
      </c>
      <c r="Z3158">
        <v>3.7253999999999998E-3</v>
      </c>
      <c r="AA3158">
        <v>0.99910290000000002</v>
      </c>
      <c r="AB3158">
        <v>23</v>
      </c>
      <c r="AC3158">
        <v>16.458199999999898</v>
      </c>
      <c r="AD3158">
        <v>-1.1098665699800001</v>
      </c>
      <c r="AE3158">
        <v>0.12940000000000301</v>
      </c>
      <c r="AF3158">
        <v>-0.70282983789402398</v>
      </c>
      <c r="AG3158">
        <v>-1.1098665699800001</v>
      </c>
      <c r="AH3158">
        <v>16.369123889546</v>
      </c>
      <c r="AI3158">
        <v>93.875297533479497</v>
      </c>
      <c r="AJ3158">
        <v>92.458559496427199</v>
      </c>
      <c r="AK3158">
        <v>16.421753575532001</v>
      </c>
      <c r="AL3158">
        <v>87.191955174051699</v>
      </c>
      <c r="AM3158">
        <v>89.895517213275895</v>
      </c>
      <c r="AN3158">
        <v>0.999999992131689</v>
      </c>
    </row>
    <row r="3159" spans="1:40" x14ac:dyDescent="0.25">
      <c r="A3159" t="str">
        <f>"20190312172952057"</f>
        <v>20190312172952057</v>
      </c>
      <c r="B3159" t="str">
        <f>"1552382992050290"</f>
        <v>1552382992050290</v>
      </c>
      <c r="C3159" t="s">
        <v>40</v>
      </c>
      <c r="D3159">
        <v>3.1798649999999999</v>
      </c>
      <c r="E3159">
        <v>0.48545549999999998</v>
      </c>
      <c r="F3159" t="s">
        <v>48</v>
      </c>
      <c r="G3159">
        <v>-429.79480000000001</v>
      </c>
      <c r="H3159" s="1">
        <v>2.358387E-6</v>
      </c>
      <c r="I3159">
        <v>213.11539999999999</v>
      </c>
      <c r="J3159">
        <v>-446.3999</v>
      </c>
      <c r="K3159">
        <v>1.1098619999999999</v>
      </c>
      <c r="L3159">
        <v>212.9564</v>
      </c>
      <c r="M3159">
        <v>0.9994132</v>
      </c>
      <c r="N3159">
        <v>0</v>
      </c>
      <c r="O3159">
        <v>-3.3520269999999998E-2</v>
      </c>
      <c r="P3159">
        <v>0.99854200000000004</v>
      </c>
      <c r="Q3159">
        <v>4.1362700000000002E-2</v>
      </c>
      <c r="R3159">
        <v>-3.4691520000000003E-2</v>
      </c>
      <c r="S3159">
        <v>3.014008</v>
      </c>
      <c r="T3159">
        <v>-0.1986028</v>
      </c>
      <c r="U3159">
        <v>2.7252200000000001E-2</v>
      </c>
      <c r="V3159">
        <v>1.0933060000000001E-3</v>
      </c>
      <c r="W3159">
        <v>4.841848E-2</v>
      </c>
      <c r="X3159">
        <v>0.99882660000000001</v>
      </c>
      <c r="Y3159">
        <v>-4.2391529999999997E-2</v>
      </c>
      <c r="Z3159">
        <v>3.6012679999999999E-3</v>
      </c>
      <c r="AA3159">
        <v>0.99909460000000005</v>
      </c>
      <c r="AB3159">
        <v>23</v>
      </c>
      <c r="AC3159">
        <v>16.605099999999901</v>
      </c>
      <c r="AD3159">
        <v>-1.109859641613</v>
      </c>
      <c r="AE3159">
        <v>0.15899999999999101</v>
      </c>
      <c r="AF3159">
        <v>-0.71234984904783505</v>
      </c>
      <c r="AG3159">
        <v>-1.109859641613</v>
      </c>
      <c r="AH3159">
        <v>16.5166587777614</v>
      </c>
      <c r="AI3159">
        <v>93.840729923551294</v>
      </c>
      <c r="AJ3159">
        <v>92.469589149765497</v>
      </c>
      <c r="AK3159">
        <v>16.569225929792999</v>
      </c>
      <c r="AL3159">
        <v>87.224740530046205</v>
      </c>
      <c r="AM3159">
        <v>89.937284615268794</v>
      </c>
      <c r="AN3159">
        <v>1.0000000606955299</v>
      </c>
    </row>
    <row r="3160" spans="1:40" x14ac:dyDescent="0.25">
      <c r="A3160" t="str">
        <f>"20190312172952078"</f>
        <v>20190312172952078</v>
      </c>
      <c r="B3160" t="str">
        <f>"1552382992070787"</f>
        <v>1552382992070787</v>
      </c>
      <c r="C3160" t="s">
        <v>40</v>
      </c>
      <c r="D3160">
        <v>3.1526809999999998</v>
      </c>
      <c r="E3160">
        <v>0.48558089999999998</v>
      </c>
      <c r="F3160" t="s">
        <v>48</v>
      </c>
      <c r="G3160">
        <v>-429.3211</v>
      </c>
      <c r="H3160" s="1">
        <v>2.4415560000000001E-6</v>
      </c>
      <c r="I3160">
        <v>213.1251</v>
      </c>
      <c r="J3160">
        <v>-446.173</v>
      </c>
      <c r="K3160">
        <v>1.1098600000000001</v>
      </c>
      <c r="L3160">
        <v>212.9504</v>
      </c>
      <c r="M3160">
        <v>0.99946080000000004</v>
      </c>
      <c r="N3160">
        <v>0</v>
      </c>
      <c r="O3160">
        <v>-3.2074980000000003E-2</v>
      </c>
      <c r="P3160">
        <v>0.99860769999999999</v>
      </c>
      <c r="Q3160">
        <v>4.1087029999999997E-2</v>
      </c>
      <c r="R3160">
        <v>-3.3081770000000003E-2</v>
      </c>
      <c r="S3160">
        <v>3.0135190000000001</v>
      </c>
      <c r="T3160">
        <v>-0.1958327</v>
      </c>
      <c r="U3160">
        <v>2.9754639999999999E-2</v>
      </c>
      <c r="V3160">
        <v>9.2721809999999998E-4</v>
      </c>
      <c r="W3160">
        <v>4.809795E-2</v>
      </c>
      <c r="X3160">
        <v>0.99884220000000001</v>
      </c>
      <c r="Y3160">
        <v>-4.1786589999999998E-2</v>
      </c>
      <c r="Z3160">
        <v>3.4382839999999998E-3</v>
      </c>
      <c r="AA3160">
        <v>0.99912069999999997</v>
      </c>
      <c r="AB3160">
        <v>23</v>
      </c>
      <c r="AC3160">
        <v>16.851900000000001</v>
      </c>
      <c r="AD3160">
        <v>-1.109857558444</v>
      </c>
      <c r="AE3160">
        <v>0.17470000000000099</v>
      </c>
      <c r="AF3160">
        <v>-0.71205958058264696</v>
      </c>
      <c r="AG3160">
        <v>-1.109857558444</v>
      </c>
      <c r="AH3160">
        <v>16.764915503480101</v>
      </c>
      <c r="AI3160">
        <v>93.784121100950699</v>
      </c>
      <c r="AJ3160">
        <v>92.432073243133303</v>
      </c>
      <c r="AK3160">
        <v>16.8166942198865</v>
      </c>
      <c r="AL3160">
        <v>87.2431268178849</v>
      </c>
      <c r="AM3160">
        <v>89.946812751245105</v>
      </c>
      <c r="AN3160">
        <v>1.0000000065142201</v>
      </c>
    </row>
    <row r="3161" spans="1:40" x14ac:dyDescent="0.25">
      <c r="A3161" t="str">
        <f>"20190312172952099"</f>
        <v>20190312172952099</v>
      </c>
      <c r="B3161" t="str">
        <f>"1552382992090307"</f>
        <v>1552382992090307</v>
      </c>
      <c r="C3161" t="s">
        <v>40</v>
      </c>
      <c r="D3161">
        <v>3.1138189999999999</v>
      </c>
      <c r="E3161">
        <v>0.4859098</v>
      </c>
      <c r="F3161" t="s">
        <v>48</v>
      </c>
      <c r="G3161">
        <v>-428.82429999999999</v>
      </c>
      <c r="H3161" s="1">
        <v>2.5281369999999999E-6</v>
      </c>
      <c r="I3161">
        <v>213.14269999999999</v>
      </c>
      <c r="J3161">
        <v>-445.95679999999999</v>
      </c>
      <c r="K3161">
        <v>1.1098570000000001</v>
      </c>
      <c r="L3161">
        <v>212.94499999999999</v>
      </c>
      <c r="M3161">
        <v>0.99950439999999996</v>
      </c>
      <c r="N3161">
        <v>0</v>
      </c>
      <c r="O3161">
        <v>-3.0699420000000002E-2</v>
      </c>
      <c r="P3161">
        <v>0.99867519999999999</v>
      </c>
      <c r="Q3161">
        <v>4.068695E-2</v>
      </c>
      <c r="R3161">
        <v>-3.1509910000000002E-2</v>
      </c>
      <c r="S3161">
        <v>3.0132140000000001</v>
      </c>
      <c r="T3161">
        <v>-0.19276650000000001</v>
      </c>
      <c r="U3161">
        <v>3.3401489999999999E-2</v>
      </c>
      <c r="V3161">
        <v>7.2902820000000001E-4</v>
      </c>
      <c r="W3161">
        <v>4.7654519999999999E-2</v>
      </c>
      <c r="X3161">
        <v>0.99886359999999996</v>
      </c>
      <c r="Y3161">
        <v>-4.1629529999999998E-2</v>
      </c>
      <c r="Z3161">
        <v>3.2919870000000001E-3</v>
      </c>
      <c r="AA3161">
        <v>0.99912769999999995</v>
      </c>
      <c r="AB3161">
        <v>23</v>
      </c>
      <c r="AC3161">
        <v>17.132499999999901</v>
      </c>
      <c r="AD3161">
        <v>-1.1098544718629999</v>
      </c>
      <c r="AE3161">
        <v>0.19769999999999699</v>
      </c>
      <c r="AF3161">
        <v>-0.72055395449620796</v>
      </c>
      <c r="AG3161">
        <v>-1.1098544718629999</v>
      </c>
      <c r="AH3161">
        <v>17.046826943968998</v>
      </c>
      <c r="AI3161">
        <v>93.721740369642205</v>
      </c>
      <c r="AJ3161">
        <v>92.420399966338096</v>
      </c>
      <c r="AK3161">
        <v>17.098107608963101</v>
      </c>
      <c r="AL3161">
        <v>87.2685626029471</v>
      </c>
      <c r="AM3161">
        <v>89.958182246716007</v>
      </c>
      <c r="AN3161">
        <v>0.99999998808175306</v>
      </c>
    </row>
    <row r="3162" spans="1:40" x14ac:dyDescent="0.25">
      <c r="A3162" t="str">
        <f>"20190312172952121"</f>
        <v>20190312172952121</v>
      </c>
      <c r="B3162" t="str">
        <f>"1552382992110802"</f>
        <v>1552382992110802</v>
      </c>
      <c r="C3162" t="s">
        <v>40</v>
      </c>
      <c r="D3162">
        <v>3.1506810000000001</v>
      </c>
      <c r="E3162">
        <v>0.48605120000000002</v>
      </c>
      <c r="F3162" t="s">
        <v>48</v>
      </c>
      <c r="G3162">
        <v>-428.49959999999999</v>
      </c>
      <c r="H3162" s="1">
        <v>2.5854109999999902E-6</v>
      </c>
      <c r="I3162">
        <v>213.1465</v>
      </c>
      <c r="J3162">
        <v>-445.71280000000002</v>
      </c>
      <c r="K3162">
        <v>1.1098429999999999</v>
      </c>
      <c r="L3162">
        <v>212.9392</v>
      </c>
      <c r="M3162">
        <v>0.99955119999999997</v>
      </c>
      <c r="N3162">
        <v>0</v>
      </c>
      <c r="O3162">
        <v>-2.914717E-2</v>
      </c>
      <c r="P3162">
        <v>0.99876730000000002</v>
      </c>
      <c r="Q3162">
        <v>3.9585870000000002E-2</v>
      </c>
      <c r="R3162">
        <v>-2.9949190000000001E-2</v>
      </c>
      <c r="S3162">
        <v>3.0128780000000002</v>
      </c>
      <c r="T3162">
        <v>-0.1915461</v>
      </c>
      <c r="U3162">
        <v>3.4774779999999998E-2</v>
      </c>
      <c r="V3162">
        <v>7.1987970000000001E-4</v>
      </c>
      <c r="W3162">
        <v>4.6503759999999998E-2</v>
      </c>
      <c r="X3162">
        <v>0.99891790000000003</v>
      </c>
      <c r="Y3162">
        <v>-4.0541630000000002E-2</v>
      </c>
      <c r="Z3162">
        <v>3.1384400000000002E-3</v>
      </c>
      <c r="AA3162">
        <v>0.99917290000000003</v>
      </c>
      <c r="AB3162">
        <v>24</v>
      </c>
      <c r="AC3162">
        <v>17.213200000000001</v>
      </c>
      <c r="AD3162">
        <v>-1.109840414589</v>
      </c>
      <c r="AE3162">
        <v>0.20730000000000301</v>
      </c>
      <c r="AF3162">
        <v>-0.70600542946851896</v>
      </c>
      <c r="AG3162">
        <v>-1.109840414589</v>
      </c>
      <c r="AH3162">
        <v>17.1286475587506</v>
      </c>
      <c r="AI3162">
        <v>93.704126893456703</v>
      </c>
      <c r="AJ3162">
        <v>92.360270828046794</v>
      </c>
      <c r="AK3162">
        <v>17.179079038300799</v>
      </c>
      <c r="AL3162">
        <v>87.334569639849406</v>
      </c>
      <c r="AM3162">
        <v>89.958709257861102</v>
      </c>
      <c r="AN3162">
        <v>1.00000004443066</v>
      </c>
    </row>
    <row r="3163" spans="1:40" x14ac:dyDescent="0.25">
      <c r="A3163" t="str">
        <f>"20190312172952154"</f>
        <v>20190312172952154</v>
      </c>
      <c r="B3163" t="str">
        <f>"1552382992150818"</f>
        <v>1552382992150818</v>
      </c>
      <c r="C3163" t="s">
        <v>40</v>
      </c>
      <c r="D3163">
        <v>3.1413310000000001</v>
      </c>
      <c r="E3163">
        <v>0.49430190000000002</v>
      </c>
      <c r="F3163" t="s">
        <v>48</v>
      </c>
      <c r="G3163">
        <v>-428.5093</v>
      </c>
      <c r="H3163" s="1">
        <v>2.582996E-6</v>
      </c>
      <c r="I3163">
        <v>213.15440000000001</v>
      </c>
      <c r="J3163">
        <v>-445.36880000000002</v>
      </c>
      <c r="K3163">
        <v>1.1098399999999999</v>
      </c>
      <c r="L3163">
        <v>212.93170000000001</v>
      </c>
      <c r="M3163">
        <v>0.99961290000000003</v>
      </c>
      <c r="N3163">
        <v>0</v>
      </c>
      <c r="O3163">
        <v>-2.6968570000000001E-2</v>
      </c>
      <c r="P3163">
        <v>0.9988397</v>
      </c>
      <c r="Q3163">
        <v>3.8724590000000003E-2</v>
      </c>
      <c r="R3163">
        <v>-2.8634840000000002E-2</v>
      </c>
      <c r="S3163">
        <v>3.0124819999999999</v>
      </c>
      <c r="T3163">
        <v>-0.19434319999999999</v>
      </c>
      <c r="U3163">
        <v>3.7673949999999998E-2</v>
      </c>
      <c r="V3163">
        <v>1.5831700000000001E-3</v>
      </c>
      <c r="W3163">
        <v>4.5573490000000001E-2</v>
      </c>
      <c r="X3163">
        <v>0.99895970000000001</v>
      </c>
      <c r="Y3163">
        <v>-3.9329719999999999E-2</v>
      </c>
      <c r="Z3163">
        <v>3.0051610000000001E-3</v>
      </c>
      <c r="AA3163">
        <v>0.99922169999999999</v>
      </c>
      <c r="AB3163">
        <v>24</v>
      </c>
      <c r="AC3163">
        <v>16.859500000000001</v>
      </c>
      <c r="AD3163">
        <v>-1.109837417004</v>
      </c>
      <c r="AE3163">
        <v>0.22270000000000301</v>
      </c>
      <c r="AF3163">
        <v>-0.67438435857427304</v>
      </c>
      <c r="AG3163">
        <v>-1.109837417004</v>
      </c>
      <c r="AH3163">
        <v>16.774682744679399</v>
      </c>
      <c r="AI3163">
        <v>93.782209084430093</v>
      </c>
      <c r="AJ3163">
        <v>92.302194408554598</v>
      </c>
      <c r="AK3163">
        <v>16.8248778462108</v>
      </c>
      <c r="AL3163">
        <v>87.387926555416996</v>
      </c>
      <c r="AM3163">
        <v>89.909196653970298</v>
      </c>
      <c r="AN3163">
        <v>0.99999996582105899</v>
      </c>
    </row>
    <row r="3164" spans="1:40" x14ac:dyDescent="0.25">
      <c r="A3164" t="str">
        <f>"20190312172952178"</f>
        <v>20190312172952178</v>
      </c>
      <c r="B3164" t="str">
        <f>"1552382992170338"</f>
        <v>1552382992170338</v>
      </c>
      <c r="C3164" t="s">
        <v>40</v>
      </c>
      <c r="D3164">
        <v>3.1294729999999999</v>
      </c>
      <c r="E3164">
        <v>0.49497010000000002</v>
      </c>
      <c r="F3164" t="s">
        <v>48</v>
      </c>
      <c r="G3164">
        <v>-418.44889999999998</v>
      </c>
      <c r="H3164" s="1">
        <v>3.873973E-6</v>
      </c>
      <c r="I3164">
        <v>212.6773</v>
      </c>
      <c r="J3164">
        <v>-445.11700000000002</v>
      </c>
      <c r="K3164">
        <v>1.109829</v>
      </c>
      <c r="L3164">
        <v>212.92670000000001</v>
      </c>
      <c r="M3164">
        <v>0.99965479999999995</v>
      </c>
      <c r="N3164">
        <v>0</v>
      </c>
      <c r="O3164">
        <v>-2.5381770000000001E-2</v>
      </c>
      <c r="P3164">
        <v>0.99885610000000002</v>
      </c>
      <c r="Q3164">
        <v>3.8690450000000001E-2</v>
      </c>
      <c r="R3164">
        <v>-2.8104469999999999E-2</v>
      </c>
      <c r="S3164">
        <v>3.0074770000000002</v>
      </c>
      <c r="T3164">
        <v>-0.1239905</v>
      </c>
      <c r="U3164">
        <v>-2.842712E-2</v>
      </c>
      <c r="V3164">
        <v>2.6385470000000002E-3</v>
      </c>
      <c r="W3164">
        <v>4.5488220000000003E-2</v>
      </c>
      <c r="X3164">
        <v>0.9989614</v>
      </c>
      <c r="Y3164">
        <v>-1.5897479999999999E-2</v>
      </c>
      <c r="Z3164">
        <v>1.3734260000000001E-3</v>
      </c>
      <c r="AA3164">
        <v>0.99987269999999995</v>
      </c>
      <c r="AB3164">
        <v>24</v>
      </c>
      <c r="AC3164">
        <v>26.6680999999999</v>
      </c>
      <c r="AD3164">
        <v>-1.109825126027</v>
      </c>
      <c r="AE3164">
        <v>-0.249400000000008</v>
      </c>
      <c r="AF3164">
        <v>-0.42684033404507699</v>
      </c>
      <c r="AG3164">
        <v>-1.109825126027</v>
      </c>
      <c r="AH3164">
        <v>26.619739405408801</v>
      </c>
      <c r="AI3164">
        <v>92.387075658458997</v>
      </c>
      <c r="AJ3164">
        <v>90.9186436284416</v>
      </c>
      <c r="AK3164">
        <v>26.646283615037198</v>
      </c>
      <c r="AL3164">
        <v>87.392817352341197</v>
      </c>
      <c r="AM3164">
        <v>89.848665568470196</v>
      </c>
      <c r="AN3164">
        <v>1.0000000093894901</v>
      </c>
    </row>
    <row r="3165" spans="1:40" x14ac:dyDescent="0.25">
      <c r="A3165" t="str">
        <f>"20190312172952199"</f>
        <v>20190312172952199</v>
      </c>
      <c r="B3165" t="str">
        <f>"1552382992190834"</f>
        <v>1552382992190834</v>
      </c>
      <c r="C3165" t="s">
        <v>40</v>
      </c>
      <c r="D3165">
        <v>3.1291890000000002</v>
      </c>
      <c r="E3165">
        <v>0.49546580000000001</v>
      </c>
      <c r="F3165" t="s">
        <v>48</v>
      </c>
      <c r="G3165">
        <v>-416.85860000000002</v>
      </c>
      <c r="H3165" s="1">
        <v>3.596768E-6</v>
      </c>
      <c r="I3165">
        <v>212.62110000000001</v>
      </c>
      <c r="J3165">
        <v>-444.88740000000001</v>
      </c>
      <c r="K3165">
        <v>1.1098239999999999</v>
      </c>
      <c r="L3165">
        <v>212.92240000000001</v>
      </c>
      <c r="M3165">
        <v>0.99969059999999998</v>
      </c>
      <c r="N3165">
        <v>0</v>
      </c>
      <c r="O3165">
        <v>-2.39446E-2</v>
      </c>
      <c r="P3165">
        <v>0.99887349999999997</v>
      </c>
      <c r="Q3165">
        <v>3.8871940000000001E-2</v>
      </c>
      <c r="R3165">
        <v>-2.722074E-2</v>
      </c>
      <c r="S3165">
        <v>3.0071110000000001</v>
      </c>
      <c r="T3165">
        <v>-0.1181016</v>
      </c>
      <c r="U3165">
        <v>-3.251648E-2</v>
      </c>
      <c r="V3165">
        <v>3.1906859999999999E-3</v>
      </c>
      <c r="W3165">
        <v>4.5621599999999998E-2</v>
      </c>
      <c r="X3165">
        <v>0.99895369999999994</v>
      </c>
      <c r="Y3165">
        <v>-1.3105729999999999E-2</v>
      </c>
      <c r="Z3165">
        <v>1.1971880000000001E-3</v>
      </c>
      <c r="AA3165">
        <v>0.99991339999999995</v>
      </c>
      <c r="AB3165">
        <v>24</v>
      </c>
      <c r="AC3165">
        <v>28.028799999999901</v>
      </c>
      <c r="AD3165">
        <v>-1.10982040323199</v>
      </c>
      <c r="AE3165">
        <v>-0.30129999999999701</v>
      </c>
      <c r="AF3165">
        <v>-0.36936099220115298</v>
      </c>
      <c r="AG3165">
        <v>-1.10982040323199</v>
      </c>
      <c r="AH3165">
        <v>27.984109087835801</v>
      </c>
      <c r="AI3165">
        <v>92.270902714427095</v>
      </c>
      <c r="AJ3165">
        <v>90.756200495417303</v>
      </c>
      <c r="AK3165">
        <v>28.008543166503401</v>
      </c>
      <c r="AL3165">
        <v>87.385167282094997</v>
      </c>
      <c r="AM3165">
        <v>89.816996303351104</v>
      </c>
      <c r="AN3165">
        <v>1.0000000028036999</v>
      </c>
    </row>
    <row r="3166" spans="1:40" x14ac:dyDescent="0.25">
      <c r="A3166" t="str">
        <f>"20190312172952224"</f>
        <v>20190312172952224</v>
      </c>
      <c r="B3166" t="str">
        <f>"1552382992210354"</f>
        <v>1552382992210354</v>
      </c>
      <c r="C3166" t="s">
        <v>40</v>
      </c>
      <c r="D3166">
        <v>3.1002939999999999</v>
      </c>
      <c r="E3166">
        <v>0.4960562</v>
      </c>
      <c r="F3166" t="s">
        <v>48</v>
      </c>
      <c r="G3166">
        <v>-415.3716</v>
      </c>
      <c r="H3166" s="1">
        <v>3.3360549999999999E-6</v>
      </c>
      <c r="I3166">
        <v>212.58629999999999</v>
      </c>
      <c r="J3166">
        <v>-444.62259999999998</v>
      </c>
      <c r="K3166">
        <v>1.109804</v>
      </c>
      <c r="L3166">
        <v>212.9179</v>
      </c>
      <c r="M3166">
        <v>0.99972890000000003</v>
      </c>
      <c r="N3166">
        <v>0</v>
      </c>
      <c r="O3166">
        <v>-2.2305729999999999E-2</v>
      </c>
      <c r="P3166">
        <v>0.99890040000000002</v>
      </c>
      <c r="Q3166">
        <v>3.8745910000000001E-2</v>
      </c>
      <c r="R3166">
        <v>-2.6405629999999999E-2</v>
      </c>
      <c r="S3166">
        <v>3.0068359999999998</v>
      </c>
      <c r="T3166">
        <v>-0.1130598</v>
      </c>
      <c r="U3166">
        <v>-3.4240720000000002E-2</v>
      </c>
      <c r="V3166">
        <v>4.013829E-3</v>
      </c>
      <c r="W3166">
        <v>4.5436770000000001E-2</v>
      </c>
      <c r="X3166">
        <v>0.99895909999999999</v>
      </c>
      <c r="Y3166">
        <v>-1.0897270000000001E-2</v>
      </c>
      <c r="Z3166">
        <v>1.043127E-3</v>
      </c>
      <c r="AA3166">
        <v>0.9999401</v>
      </c>
      <c r="AB3166">
        <v>24</v>
      </c>
      <c r="AC3166">
        <v>29.250999999999902</v>
      </c>
      <c r="AD3166">
        <v>-1.109800663945</v>
      </c>
      <c r="AE3166">
        <v>-0.331600000000008</v>
      </c>
      <c r="AF3166">
        <v>-0.32050066137954197</v>
      </c>
      <c r="AG3166">
        <v>-1.109800663945</v>
      </c>
      <c r="AH3166">
        <v>29.209077901604601</v>
      </c>
      <c r="AI3166">
        <v>92.175779059883297</v>
      </c>
      <c r="AJ3166">
        <v>90.628660663947301</v>
      </c>
      <c r="AK3166">
        <v>29.231910817626101</v>
      </c>
      <c r="AL3166">
        <v>87.395768109169097</v>
      </c>
      <c r="AM3166">
        <v>89.769786146607203</v>
      </c>
      <c r="AN3166">
        <v>0.99999994718203999</v>
      </c>
    </row>
    <row r="3167" spans="1:40" x14ac:dyDescent="0.25">
      <c r="A3167" t="str">
        <f>"20190312172952246"</f>
        <v>20190312172952246</v>
      </c>
      <c r="B3167" t="str">
        <f>"1552382992240610"</f>
        <v>1552382992240610</v>
      </c>
      <c r="C3167" t="s">
        <v>40</v>
      </c>
      <c r="D3167">
        <v>3.0962160000000001</v>
      </c>
      <c r="E3167">
        <v>0.49662679999999998</v>
      </c>
      <c r="F3167" t="s">
        <v>48</v>
      </c>
      <c r="G3167">
        <v>-413.87709999999998</v>
      </c>
      <c r="H3167" s="1">
        <v>3.0747509999999999E-6</v>
      </c>
      <c r="I3167">
        <v>212.5429</v>
      </c>
      <c r="J3167">
        <v>-444.38589999999999</v>
      </c>
      <c r="K3167">
        <v>1.1097870000000001</v>
      </c>
      <c r="L3167">
        <v>212.91419999999999</v>
      </c>
      <c r="M3167">
        <v>0.99976030000000005</v>
      </c>
      <c r="N3167">
        <v>0</v>
      </c>
      <c r="O3167">
        <v>-2.086787E-2</v>
      </c>
      <c r="P3167">
        <v>0.99889989999999995</v>
      </c>
      <c r="Q3167">
        <v>3.9009240000000001E-2</v>
      </c>
      <c r="R3167">
        <v>-2.6031180000000001E-2</v>
      </c>
      <c r="S3167">
        <v>3.0065</v>
      </c>
      <c r="T3167">
        <v>-0.108524</v>
      </c>
      <c r="U3167">
        <v>-3.6666869999999997E-2</v>
      </c>
      <c r="V3167">
        <v>5.0771039999999998E-3</v>
      </c>
      <c r="W3167">
        <v>4.5641609999999999E-2</v>
      </c>
      <c r="X3167">
        <v>0.99894499999999997</v>
      </c>
      <c r="Y3167">
        <v>-8.6552539999999994E-3</v>
      </c>
      <c r="Z3167">
        <v>9.0908959999999996E-4</v>
      </c>
      <c r="AA3167">
        <v>0.99996220000000002</v>
      </c>
      <c r="AB3167">
        <v>24</v>
      </c>
      <c r="AC3167">
        <v>30.508800000000001</v>
      </c>
      <c r="AD3167">
        <v>-1.109783925249</v>
      </c>
      <c r="AE3167">
        <v>-0.37129999999999003</v>
      </c>
      <c r="AF3167">
        <v>-0.265097769823539</v>
      </c>
      <c r="AG3167">
        <v>-1.109783925249</v>
      </c>
      <c r="AH3167">
        <v>30.4695930937851</v>
      </c>
      <c r="AI3167">
        <v>92.085864291427896</v>
      </c>
      <c r="AJ3167">
        <v>90.498483851957999</v>
      </c>
      <c r="AK3167">
        <v>30.490949484874101</v>
      </c>
      <c r="AL3167">
        <v>87.384019651669206</v>
      </c>
      <c r="AM3167">
        <v>89.708798655955803</v>
      </c>
      <c r="AN3167">
        <v>1.0000000232866999</v>
      </c>
    </row>
    <row r="3168" spans="1:40" x14ac:dyDescent="0.25">
      <c r="A3168" t="str">
        <f>"20190312172952269"</f>
        <v>20190312172952269</v>
      </c>
      <c r="B3168" t="str">
        <f>"1552382992261106"</f>
        <v>1552382992261106</v>
      </c>
      <c r="C3168" t="s">
        <v>40</v>
      </c>
      <c r="D3168">
        <v>3.0903559999999999</v>
      </c>
      <c r="E3168">
        <v>0.49690299999999998</v>
      </c>
      <c r="F3168" t="s">
        <v>48</v>
      </c>
      <c r="G3168">
        <v>-411.83199999999999</v>
      </c>
      <c r="H3168" s="1">
        <v>2.7176710000000001E-6</v>
      </c>
      <c r="I3168">
        <v>212.4778</v>
      </c>
      <c r="J3168">
        <v>-444.1268</v>
      </c>
      <c r="K3168">
        <v>1.109766</v>
      </c>
      <c r="L3168">
        <v>212.91050000000001</v>
      </c>
      <c r="M3168">
        <v>0.99979189999999996</v>
      </c>
      <c r="N3168">
        <v>0</v>
      </c>
      <c r="O3168">
        <v>-1.932058E-2</v>
      </c>
      <c r="P3168">
        <v>0.9989228</v>
      </c>
      <c r="Q3168">
        <v>3.8676809999999999E-2</v>
      </c>
      <c r="R3168">
        <v>-2.5645069999999999E-2</v>
      </c>
      <c r="S3168">
        <v>3.0062259999999998</v>
      </c>
      <c r="T3168">
        <v>-0.10248409999999999</v>
      </c>
      <c r="U3168">
        <v>-4.0298460000000001E-2</v>
      </c>
      <c r="V3168">
        <v>6.2391269999999997E-3</v>
      </c>
      <c r="W3168">
        <v>4.5244810000000003E-2</v>
      </c>
      <c r="X3168">
        <v>0.99895639999999997</v>
      </c>
      <c r="Y3168">
        <v>-5.9033119999999904E-3</v>
      </c>
      <c r="Z3168">
        <v>7.5898190000000003E-4</v>
      </c>
      <c r="AA3168">
        <v>0.99998229999999999</v>
      </c>
      <c r="AB3168">
        <v>24</v>
      </c>
      <c r="AC3168">
        <v>32.294800000000002</v>
      </c>
      <c r="AD3168">
        <v>-1.109763282329</v>
      </c>
      <c r="AE3168">
        <v>-0.43270000000001102</v>
      </c>
      <c r="AF3168">
        <v>-0.191122766419906</v>
      </c>
      <c r="AG3168">
        <v>-1.109763282329</v>
      </c>
      <c r="AH3168">
        <v>32.259045469680203</v>
      </c>
      <c r="AI3168">
        <v>91.9702558160607</v>
      </c>
      <c r="AJ3168">
        <v>90.339452070031001</v>
      </c>
      <c r="AK3168">
        <v>32.278694475916197</v>
      </c>
      <c r="AL3168">
        <v>87.406777948872005</v>
      </c>
      <c r="AM3168">
        <v>89.6421555566302</v>
      </c>
      <c r="AN3168">
        <v>0.99999995431930799</v>
      </c>
    </row>
    <row r="3169" spans="1:40" x14ac:dyDescent="0.25">
      <c r="A3169" t="str">
        <f>"20190312172952290"</f>
        <v>20190312172952290</v>
      </c>
      <c r="B3169" t="str">
        <f>"1552382992280626"</f>
        <v>1552382992280626</v>
      </c>
      <c r="C3169" t="s">
        <v>40</v>
      </c>
      <c r="D3169">
        <v>3.0704310000000001</v>
      </c>
      <c r="E3169">
        <v>0.49712460000000003</v>
      </c>
      <c r="F3169" t="s">
        <v>48</v>
      </c>
      <c r="G3169">
        <v>-411.08659999999998</v>
      </c>
      <c r="H3169" s="1">
        <v>2.5873109999999999E-6</v>
      </c>
      <c r="I3169">
        <v>212.45650000000001</v>
      </c>
      <c r="J3169">
        <v>-443.9024</v>
      </c>
      <c r="K3169">
        <v>1.109748</v>
      </c>
      <c r="L3169">
        <v>212.9076</v>
      </c>
      <c r="M3169">
        <v>0.99981679999999995</v>
      </c>
      <c r="N3169">
        <v>0</v>
      </c>
      <c r="O3169">
        <v>-1.800995E-2</v>
      </c>
      <c r="P3169">
        <v>0.99892899999999996</v>
      </c>
      <c r="Q3169">
        <v>3.8519499999999998E-2</v>
      </c>
      <c r="R3169">
        <v>-2.56381E-2</v>
      </c>
      <c r="S3169">
        <v>3.0060730000000002</v>
      </c>
      <c r="T3169">
        <v>-0.1009688</v>
      </c>
      <c r="U3169">
        <v>-4.1305540000000002E-2</v>
      </c>
      <c r="V3169">
        <v>7.5437029999999997E-3</v>
      </c>
      <c r="W3169">
        <v>4.503331E-2</v>
      </c>
      <c r="X3169">
        <v>0.99895699999999998</v>
      </c>
      <c r="Y3169">
        <v>-4.258899E-3</v>
      </c>
      <c r="Z3169">
        <v>6.7619469999999999E-4</v>
      </c>
      <c r="AA3169">
        <v>0.99999070000000001</v>
      </c>
      <c r="AB3169">
        <v>24</v>
      </c>
      <c r="AC3169">
        <v>32.815800000000003</v>
      </c>
      <c r="AD3169">
        <v>-1.1097454126890001</v>
      </c>
      <c r="AE3169">
        <v>-0.451099999999996</v>
      </c>
      <c r="AF3169">
        <v>-0.13983660990119801</v>
      </c>
      <c r="AG3169">
        <v>-1.1097454126890001</v>
      </c>
      <c r="AH3169">
        <v>32.781119791658803</v>
      </c>
      <c r="AI3169">
        <v>91.938886710939201</v>
      </c>
      <c r="AJ3169">
        <v>90.244408947053103</v>
      </c>
      <c r="AK3169">
        <v>32.800196706019001</v>
      </c>
      <c r="AL3169">
        <v>87.418908481838599</v>
      </c>
      <c r="AM3169">
        <v>89.567334601929403</v>
      </c>
      <c r="AN3169">
        <v>0.99999999715675403</v>
      </c>
    </row>
    <row r="3170" spans="1:40" x14ac:dyDescent="0.25">
      <c r="A3170" t="str">
        <f>"20190312172952312"</f>
        <v>20190312172952312</v>
      </c>
      <c r="B3170" t="str">
        <f>"1552382992301123"</f>
        <v>1552382992301123</v>
      </c>
      <c r="C3170" t="s">
        <v>40</v>
      </c>
      <c r="D3170">
        <v>3.0329290000000002</v>
      </c>
      <c r="E3170">
        <v>0.49736320000000001</v>
      </c>
      <c r="F3170" t="s">
        <v>48</v>
      </c>
      <c r="G3170">
        <v>-410.21910000000003</v>
      </c>
      <c r="H3170" s="1">
        <v>2.4362399999999999E-6</v>
      </c>
      <c r="I3170">
        <v>212.42439999999999</v>
      </c>
      <c r="J3170">
        <v>-443.65640000000002</v>
      </c>
      <c r="K3170">
        <v>1.109721</v>
      </c>
      <c r="L3170">
        <v>212.90469999999999</v>
      </c>
      <c r="M3170">
        <v>0.99984119999999999</v>
      </c>
      <c r="N3170">
        <v>0</v>
      </c>
      <c r="O3170">
        <v>-1.6617449999999999E-2</v>
      </c>
      <c r="P3170">
        <v>0.99893989999999999</v>
      </c>
      <c r="Q3170">
        <v>3.8533440000000002E-2</v>
      </c>
      <c r="R3170">
        <v>-2.5192530000000001E-2</v>
      </c>
      <c r="S3170">
        <v>3.00589</v>
      </c>
      <c r="T3170">
        <v>-9.9033469999999998E-2</v>
      </c>
      <c r="U3170">
        <v>-4.3121340000000001E-2</v>
      </c>
      <c r="V3170">
        <v>8.4917450000000002E-3</v>
      </c>
      <c r="W3170">
        <v>4.4987100000000002E-2</v>
      </c>
      <c r="X3170">
        <v>0.99895149999999999</v>
      </c>
      <c r="Y3170">
        <v>-2.2636850000000001E-3</v>
      </c>
      <c r="Z3170">
        <v>5.8456419999999897E-4</v>
      </c>
      <c r="AA3170">
        <v>0.99999729999999998</v>
      </c>
      <c r="AB3170">
        <v>24</v>
      </c>
      <c r="AC3170">
        <v>33.437299999999901</v>
      </c>
      <c r="AD3170">
        <v>-1.10971856376</v>
      </c>
      <c r="AE3170">
        <v>-0.48029999999999901</v>
      </c>
      <c r="AF3170">
        <v>-7.5337531948124495E-2</v>
      </c>
      <c r="AG3170">
        <v>-1.10971856376</v>
      </c>
      <c r="AH3170">
        <v>33.403879347486402</v>
      </c>
      <c r="AI3170">
        <v>91.902732691021697</v>
      </c>
      <c r="AJ3170">
        <v>90.129221976161702</v>
      </c>
      <c r="AK3170">
        <v>33.422392291634402</v>
      </c>
      <c r="AL3170">
        <v>87.4215588754344</v>
      </c>
      <c r="AM3170">
        <v>89.512959908100896</v>
      </c>
      <c r="AN3170">
        <v>1.0000000241258999</v>
      </c>
    </row>
    <row r="3171" spans="1:40" x14ac:dyDescent="0.25">
      <c r="A3171" t="str">
        <f>"20190312172952335"</f>
        <v>20190312172952335</v>
      </c>
      <c r="B3171" t="str">
        <f>"1552382992330405"</f>
        <v>1552382992330405</v>
      </c>
      <c r="C3171" t="s">
        <v>40</v>
      </c>
      <c r="D3171">
        <v>3.0343770000000001</v>
      </c>
      <c r="E3171">
        <v>0.49999009999999999</v>
      </c>
      <c r="F3171" t="s">
        <v>48</v>
      </c>
      <c r="G3171">
        <v>-409.20670000000001</v>
      </c>
      <c r="H3171" s="1">
        <v>4.7771980000000001E-6</v>
      </c>
      <c r="I3171">
        <v>212.40110000000001</v>
      </c>
      <c r="J3171">
        <v>-443.40910000000002</v>
      </c>
      <c r="K3171">
        <v>1.1096790000000001</v>
      </c>
      <c r="L3171">
        <v>212.90209999999999</v>
      </c>
      <c r="M3171">
        <v>0.99986299999999995</v>
      </c>
      <c r="N3171">
        <v>0</v>
      </c>
      <c r="O3171">
        <v>-1.5276609999999999E-2</v>
      </c>
      <c r="P3171">
        <v>0.99898140000000002</v>
      </c>
      <c r="Q3171">
        <v>3.7699530000000002E-2</v>
      </c>
      <c r="R3171">
        <v>-2.4799990000000001E-2</v>
      </c>
      <c r="S3171">
        <v>3.0058289999999999</v>
      </c>
      <c r="T3171">
        <v>-9.6825839999999996E-2</v>
      </c>
      <c r="U3171">
        <v>-4.3945310000000001E-2</v>
      </c>
      <c r="V3171">
        <v>9.4437619999999996E-3</v>
      </c>
      <c r="W3171">
        <v>4.4090579999999997E-2</v>
      </c>
      <c r="X3171">
        <v>0.99898290000000001</v>
      </c>
      <c r="Y3171">
        <v>-6.5026419999999997E-4</v>
      </c>
      <c r="Z3171">
        <v>5.0239890000000002E-4</v>
      </c>
      <c r="AA3171">
        <v>0.99999959999999999</v>
      </c>
      <c r="AB3171">
        <v>25</v>
      </c>
      <c r="AC3171">
        <v>34.202399999999997</v>
      </c>
      <c r="AD3171">
        <v>-1.109674222802</v>
      </c>
      <c r="AE3171">
        <v>-0.50099999999997602</v>
      </c>
      <c r="AF3171">
        <v>-2.1543128535677698E-2</v>
      </c>
      <c r="AG3171">
        <v>-1.109674222802</v>
      </c>
      <c r="AH3171">
        <v>34.170101421874897</v>
      </c>
      <c r="AI3171">
        <v>91.860026676817498</v>
      </c>
      <c r="AJ3171">
        <v>90.036123105513099</v>
      </c>
      <c r="AK3171">
        <v>34.188121799367003</v>
      </c>
      <c r="AL3171">
        <v>87.472976649429597</v>
      </c>
      <c r="AM3171">
        <v>89.458377527935497</v>
      </c>
      <c r="AN3171">
        <v>0.99999999918892901</v>
      </c>
    </row>
    <row r="3172" spans="1:40" x14ac:dyDescent="0.25">
      <c r="A3172" t="str">
        <f>"20190312172952357"</f>
        <v>20190312172952357</v>
      </c>
      <c r="B3172" t="str">
        <f>"1552382992350899"</f>
        <v>1552382992350899</v>
      </c>
      <c r="C3172" t="s">
        <v>40</v>
      </c>
      <c r="D3172">
        <v>3.0251579999999998</v>
      </c>
      <c r="E3172">
        <v>0.49986239999999998</v>
      </c>
      <c r="F3172" t="s">
        <v>48</v>
      </c>
      <c r="G3172">
        <v>-400.88240000000002</v>
      </c>
      <c r="H3172" s="1">
        <v>8.5538649999999903E-6</v>
      </c>
      <c r="I3172">
        <v>211.9889</v>
      </c>
      <c r="J3172">
        <v>-443.1585</v>
      </c>
      <c r="K3172">
        <v>1.1096250000000001</v>
      </c>
      <c r="L3172">
        <v>212.8997</v>
      </c>
      <c r="M3172">
        <v>0.9998823</v>
      </c>
      <c r="N3172">
        <v>0</v>
      </c>
      <c r="O3172">
        <v>-1.3989339999999999E-2</v>
      </c>
      <c r="P3172">
        <v>0.99902219999999997</v>
      </c>
      <c r="Q3172">
        <v>3.6880980000000001E-2</v>
      </c>
      <c r="R3172">
        <v>-2.4390040000000002E-2</v>
      </c>
      <c r="S3172">
        <v>3.0044559999999998</v>
      </c>
      <c r="T3172">
        <v>-7.8396800000000003E-2</v>
      </c>
      <c r="U3172">
        <v>-6.4514160000000001E-2</v>
      </c>
      <c r="V3172">
        <v>1.032566E-2</v>
      </c>
      <c r="W3172">
        <v>4.320309E-2</v>
      </c>
      <c r="X3172">
        <v>0.99901289999999998</v>
      </c>
      <c r="Y3172">
        <v>7.4816049999999997E-3</v>
      </c>
      <c r="Z3172">
        <v>2.6732850000000001E-4</v>
      </c>
      <c r="AA3172">
        <v>0.99997199999999997</v>
      </c>
      <c r="AB3172">
        <v>25</v>
      </c>
      <c r="AC3172">
        <v>42.2760999999999</v>
      </c>
      <c r="AD3172">
        <v>-1.109616446135</v>
      </c>
      <c r="AE3172">
        <v>-0.91079999999999395</v>
      </c>
      <c r="AF3172">
        <v>0.31906469588217101</v>
      </c>
      <c r="AG3172">
        <v>-1.109616446135</v>
      </c>
      <c r="AH3172">
        <v>42.255608259274297</v>
      </c>
      <c r="AI3172">
        <v>91.504177159603202</v>
      </c>
      <c r="AJ3172">
        <v>89.567377827480101</v>
      </c>
      <c r="AK3172">
        <v>42.271378973235997</v>
      </c>
      <c r="AL3172">
        <v>87.523874465963303</v>
      </c>
      <c r="AM3172">
        <v>89.407819786356498</v>
      </c>
      <c r="AN3172">
        <v>0.999999950303195</v>
      </c>
    </row>
    <row r="3173" spans="1:40" x14ac:dyDescent="0.25">
      <c r="A3173" t="str">
        <f>"20190312172952379"</f>
        <v>20190312172952379</v>
      </c>
      <c r="B3173" t="str">
        <f>"1552382992370419"</f>
        <v>1552382992370419</v>
      </c>
      <c r="C3173" t="s">
        <v>40</v>
      </c>
      <c r="D3173">
        <v>2.9963120000000001</v>
      </c>
      <c r="E3173">
        <v>0.50003120000000001</v>
      </c>
      <c r="F3173" t="s">
        <v>48</v>
      </c>
      <c r="G3173">
        <v>-402.13170000000002</v>
      </c>
      <c r="H3173" s="1">
        <v>7.9876059999999993E-6</v>
      </c>
      <c r="I3173">
        <v>212.04810000000001</v>
      </c>
      <c r="J3173">
        <v>-442.92239999999998</v>
      </c>
      <c r="K3173">
        <v>1.1095630000000001</v>
      </c>
      <c r="L3173">
        <v>212.89760000000001</v>
      </c>
      <c r="M3173">
        <v>0.99989799999999995</v>
      </c>
      <c r="N3173">
        <v>0</v>
      </c>
      <c r="O3173">
        <v>-1.285267E-2</v>
      </c>
      <c r="P3173">
        <v>0.99901740000000006</v>
      </c>
      <c r="Q3173">
        <v>3.6793270000000003E-2</v>
      </c>
      <c r="R3173">
        <v>-2.4712069999999999E-2</v>
      </c>
      <c r="S3173">
        <v>3.0043950000000001</v>
      </c>
      <c r="T3173">
        <v>-8.1257339999999997E-2</v>
      </c>
      <c r="U3173">
        <v>-6.2362670000000002E-2</v>
      </c>
      <c r="V3173">
        <v>1.1788939999999999E-2</v>
      </c>
      <c r="W3173">
        <v>4.3050169999999999E-2</v>
      </c>
      <c r="X3173">
        <v>0.99900339999999999</v>
      </c>
      <c r="Y3173">
        <v>7.9026310000000002E-3</v>
      </c>
      <c r="Z3173">
        <v>2.4066539999999999E-4</v>
      </c>
      <c r="AA3173">
        <v>0.99996879999999999</v>
      </c>
      <c r="AB3173">
        <v>25</v>
      </c>
      <c r="AC3173">
        <v>40.790699999999902</v>
      </c>
      <c r="AD3173">
        <v>-1.1095550123939999</v>
      </c>
      <c r="AE3173">
        <v>-0.84950000000000603</v>
      </c>
      <c r="AF3173">
        <v>0.32490995461086902</v>
      </c>
      <c r="AG3173">
        <v>-1.1095550123939999</v>
      </c>
      <c r="AH3173">
        <v>40.768097753626499</v>
      </c>
      <c r="AI3173">
        <v>91.558942305546495</v>
      </c>
      <c r="AJ3173">
        <v>89.5433788667453</v>
      </c>
      <c r="AK3173">
        <v>40.784488145045799</v>
      </c>
      <c r="AL3173">
        <v>87.532644529460299</v>
      </c>
      <c r="AM3173">
        <v>89.323901044138793</v>
      </c>
      <c r="AN3173">
        <v>1.00000004472745</v>
      </c>
    </row>
    <row r="3174" spans="1:40" x14ac:dyDescent="0.25">
      <c r="A3174" t="str">
        <f>"20190312172952400"</f>
        <v>20190312172952400</v>
      </c>
      <c r="B3174" t="str">
        <f>"1552382992390915"</f>
        <v>1552382992390915</v>
      </c>
      <c r="C3174" t="s">
        <v>40</v>
      </c>
      <c r="D3174">
        <v>2.9298000000000002</v>
      </c>
      <c r="E3174">
        <v>0.49997989999999998</v>
      </c>
      <c r="F3174" t="s">
        <v>48</v>
      </c>
      <c r="G3174">
        <v>-403.2303</v>
      </c>
      <c r="H3174" s="1">
        <v>7.5009410000000001E-6</v>
      </c>
      <c r="I3174">
        <v>212.0455</v>
      </c>
      <c r="J3174">
        <v>-442.67989999999998</v>
      </c>
      <c r="K3174">
        <v>1.109494</v>
      </c>
      <c r="L3174">
        <v>212.89570000000001</v>
      </c>
      <c r="M3174">
        <v>0.99991169999999996</v>
      </c>
      <c r="N3174">
        <v>0</v>
      </c>
      <c r="O3174">
        <v>-1.177542E-2</v>
      </c>
      <c r="P3174">
        <v>0.99904749999999998</v>
      </c>
      <c r="Q3174">
        <v>3.5652820000000002E-2</v>
      </c>
      <c r="R3174">
        <v>-2.516434E-2</v>
      </c>
      <c r="S3174">
        <v>3.0044249999999999</v>
      </c>
      <c r="T3174">
        <v>-8.3986039999999998E-2</v>
      </c>
      <c r="U3174">
        <v>-6.4498899999999998E-2</v>
      </c>
      <c r="V3174">
        <v>1.3325409999999999E-2</v>
      </c>
      <c r="W3174">
        <v>4.1842940000000002E-2</v>
      </c>
      <c r="X3174">
        <v>0.99903540000000002</v>
      </c>
      <c r="Y3174">
        <v>9.6894259999999992E-3</v>
      </c>
      <c r="Z3174">
        <v>1.9367169999999999E-4</v>
      </c>
      <c r="AA3174">
        <v>0.99995299999999998</v>
      </c>
      <c r="AB3174">
        <v>25</v>
      </c>
      <c r="AC3174">
        <v>39.449599999999897</v>
      </c>
      <c r="AD3174">
        <v>-1.1094864990590001</v>
      </c>
      <c r="AE3174">
        <v>-0.85020000000000095</v>
      </c>
      <c r="AF3174">
        <v>0.38529201962232001</v>
      </c>
      <c r="AG3174">
        <v>-1.1094864990590001</v>
      </c>
      <c r="AH3174">
        <v>39.4257064134028</v>
      </c>
      <c r="AI3174">
        <v>91.611869361779796</v>
      </c>
      <c r="AJ3174">
        <v>89.440088564439094</v>
      </c>
      <c r="AK3174">
        <v>39.443196326208302</v>
      </c>
      <c r="AL3174">
        <v>87.601876157231402</v>
      </c>
      <c r="AM3174">
        <v>89.235818389692596</v>
      </c>
      <c r="AN3174">
        <v>1.00000006431633</v>
      </c>
    </row>
    <row r="3175" spans="1:40" x14ac:dyDescent="0.25">
      <c r="A3175" t="str">
        <f>"20190312172952556"</f>
        <v>20190312172952556</v>
      </c>
      <c r="B3175" t="str">
        <f>"1552382992550979"</f>
        <v>1552382992550979</v>
      </c>
      <c r="C3175" t="s">
        <v>40</v>
      </c>
      <c r="D3175">
        <v>2.9797319999999998</v>
      </c>
      <c r="E3175">
        <v>0.51763459999999994</v>
      </c>
      <c r="F3175" t="s">
        <v>48</v>
      </c>
      <c r="G3175">
        <v>-405.06819999999999</v>
      </c>
      <c r="H3175" s="1">
        <v>6.6794359999999899E-6</v>
      </c>
      <c r="I3175">
        <v>212.077</v>
      </c>
      <c r="J3175">
        <v>-440.89699999999999</v>
      </c>
      <c r="K3175">
        <v>1.1089119999999999</v>
      </c>
      <c r="L3175">
        <v>212.8845</v>
      </c>
      <c r="M3175">
        <v>0.99995849999999997</v>
      </c>
      <c r="N3175">
        <v>0</v>
      </c>
      <c r="O3175">
        <v>-7.1139200000000001E-3</v>
      </c>
      <c r="P3175">
        <v>0.99876240000000005</v>
      </c>
      <c r="Q3175">
        <v>3.4312490000000001E-2</v>
      </c>
      <c r="R3175">
        <v>-3.6006370000000003E-2</v>
      </c>
      <c r="S3175">
        <v>3.0043639999999998</v>
      </c>
      <c r="T3175">
        <v>-8.8624120000000001E-2</v>
      </c>
      <c r="U3175">
        <v>-6.5399170000000006E-2</v>
      </c>
      <c r="V3175">
        <v>2.8879620000000002E-2</v>
      </c>
      <c r="W3175">
        <v>4.0021050000000002E-2</v>
      </c>
      <c r="X3175">
        <v>0.99878140000000004</v>
      </c>
      <c r="Y3175">
        <v>1.464673E-2</v>
      </c>
      <c r="Z3175" s="1">
        <v>-6.1782049999999999E-6</v>
      </c>
      <c r="AA3175">
        <v>0.99989269999999997</v>
      </c>
      <c r="AB3175">
        <v>26</v>
      </c>
      <c r="AC3175">
        <v>35.828800000000001</v>
      </c>
      <c r="AD3175">
        <v>-1.108905320564</v>
      </c>
      <c r="AE3175">
        <v>-0.80750000000000399</v>
      </c>
      <c r="AF3175">
        <v>0.552063662814265</v>
      </c>
      <c r="AG3175">
        <v>-1.108905320564</v>
      </c>
      <c r="AH3175">
        <v>35.799362799146003</v>
      </c>
      <c r="AI3175">
        <v>91.773990789507707</v>
      </c>
      <c r="AJ3175">
        <v>89.116509110292498</v>
      </c>
      <c r="AK3175">
        <v>35.820787569826699</v>
      </c>
      <c r="AL3175">
        <v>87.706350183513607</v>
      </c>
      <c r="AM3175">
        <v>88.343762279827104</v>
      </c>
      <c r="AN3175">
        <v>1.0000000009401999</v>
      </c>
    </row>
    <row r="3176" spans="1:40" x14ac:dyDescent="0.25">
      <c r="A3176" t="str">
        <f>"20190312172952579"</f>
        <v>20190312172952579</v>
      </c>
      <c r="B3176" t="str">
        <f>"1552382992570499"</f>
        <v>1552382992570499</v>
      </c>
      <c r="C3176" t="s">
        <v>40</v>
      </c>
      <c r="D3176">
        <v>3.0235569999999998</v>
      </c>
      <c r="E3176">
        <v>0.5206075</v>
      </c>
      <c r="F3176" t="s">
        <v>49</v>
      </c>
      <c r="G3176">
        <v>-281.31740000000002</v>
      </c>
      <c r="H3176">
        <v>0.22925290000000001</v>
      </c>
      <c r="I3176">
        <v>199.97300000000001</v>
      </c>
      <c r="J3176">
        <v>-440.64240000000001</v>
      </c>
      <c r="K3176">
        <v>1.1088260000000001</v>
      </c>
      <c r="L3176">
        <v>212.88300000000001</v>
      </c>
      <c r="M3176">
        <v>0.99996039999999997</v>
      </c>
      <c r="N3176">
        <v>0</v>
      </c>
      <c r="O3176">
        <v>-6.9017059999999996E-3</v>
      </c>
      <c r="P3176">
        <v>0.99870219999999998</v>
      </c>
      <c r="Q3176">
        <v>3.4063049999999997E-2</v>
      </c>
      <c r="R3176">
        <v>-3.786784E-2</v>
      </c>
      <c r="S3176">
        <v>2.9955750000000001</v>
      </c>
      <c r="T3176">
        <v>-1.651275E-2</v>
      </c>
      <c r="U3176">
        <v>-0.24237059999999999</v>
      </c>
      <c r="V3176">
        <v>3.0960939999999999E-2</v>
      </c>
      <c r="W3176">
        <v>3.970754E-2</v>
      </c>
      <c r="X3176">
        <v>0.99873160000000005</v>
      </c>
      <c r="Y3176">
        <v>7.3763739999999994E-2</v>
      </c>
      <c r="Z3176">
        <v>-1.64993499999999E-4</v>
      </c>
      <c r="AA3176">
        <v>0.99727569999999999</v>
      </c>
      <c r="AB3176">
        <v>26</v>
      </c>
      <c r="AC3176">
        <v>159.32499999999999</v>
      </c>
      <c r="AD3176">
        <v>-0.8795731</v>
      </c>
      <c r="AE3176">
        <v>-12.909999999999901</v>
      </c>
      <c r="AF3176">
        <v>11.8097032689315</v>
      </c>
      <c r="AG3176">
        <v>-0.8795731</v>
      </c>
      <c r="AH3176">
        <v>159.40548110493299</v>
      </c>
      <c r="AI3176">
        <v>90.315281388797104</v>
      </c>
      <c r="AJ3176">
        <v>85.762929630322404</v>
      </c>
      <c r="AK3176">
        <v>159.84476890543999</v>
      </c>
      <c r="AL3176">
        <v>87.724327359287599</v>
      </c>
      <c r="AM3176">
        <v>88.224384549015895</v>
      </c>
      <c r="AN3176">
        <v>1.0000000386885399</v>
      </c>
    </row>
    <row r="3177" spans="1:40" x14ac:dyDescent="0.25">
      <c r="A3177" t="str">
        <f>"20190312172952601"</f>
        <v>20190312172952601</v>
      </c>
      <c r="B3177" t="str">
        <f>"1552382992591001"</f>
        <v>1552382992591001</v>
      </c>
      <c r="C3177" t="s">
        <v>40</v>
      </c>
      <c r="D3177">
        <v>3.0204719999999998</v>
      </c>
      <c r="E3177">
        <v>0.52183040000000003</v>
      </c>
      <c r="F3177" t="s">
        <v>50</v>
      </c>
      <c r="G3177">
        <v>-279.2355</v>
      </c>
      <c r="H3177">
        <v>0.26429219999999998</v>
      </c>
      <c r="I3177">
        <v>198.2287</v>
      </c>
      <c r="J3177">
        <v>-440.37400000000002</v>
      </c>
      <c r="K3177">
        <v>1.1087400000000001</v>
      </c>
      <c r="L3177">
        <v>212.88130000000001</v>
      </c>
      <c r="M3177">
        <v>0.9999614</v>
      </c>
      <c r="N3177">
        <v>0</v>
      </c>
      <c r="O3177">
        <v>-6.7772300000000004E-3</v>
      </c>
      <c r="P3177">
        <v>0.99866129999999997</v>
      </c>
      <c r="Q3177">
        <v>3.3673729999999999E-2</v>
      </c>
      <c r="R3177">
        <v>-3.9264159999999999E-2</v>
      </c>
      <c r="S3177">
        <v>2.9940799999999999</v>
      </c>
      <c r="T3177">
        <v>-1.5666010000000001E-2</v>
      </c>
      <c r="U3177">
        <v>-0.2718353</v>
      </c>
      <c r="V3177">
        <v>3.2489369999999997E-2</v>
      </c>
      <c r="W3177">
        <v>3.9253459999999997E-2</v>
      </c>
      <c r="X3177">
        <v>0.99870099999999995</v>
      </c>
      <c r="Y3177">
        <v>8.3666379999999999E-2</v>
      </c>
      <c r="Z3177">
        <v>-1.8304899999999999E-4</v>
      </c>
      <c r="AA3177">
        <v>0.99649379999999999</v>
      </c>
      <c r="AB3177">
        <v>26</v>
      </c>
      <c r="AC3177">
        <v>161.13849999999999</v>
      </c>
      <c r="AD3177">
        <v>-0.84444779999999997</v>
      </c>
      <c r="AE3177">
        <v>-14.6526</v>
      </c>
      <c r="AF3177">
        <v>13.5598043942614</v>
      </c>
      <c r="AG3177">
        <v>-0.84444779999999997</v>
      </c>
      <c r="AH3177">
        <v>161.229713290982</v>
      </c>
      <c r="AI3177">
        <v>90.299030780270201</v>
      </c>
      <c r="AJ3177">
        <v>85.192601230034597</v>
      </c>
      <c r="AK3177">
        <v>161.80111815185299</v>
      </c>
      <c r="AL3177">
        <v>87.750364529897695</v>
      </c>
      <c r="AM3177">
        <v>88.136732099029899</v>
      </c>
      <c r="AN3177">
        <v>1.0000000403429801</v>
      </c>
    </row>
    <row r="3178" spans="1:40" x14ac:dyDescent="0.25">
      <c r="A3178" t="str">
        <f>"20190312172952625"</f>
        <v>20190312172952625</v>
      </c>
      <c r="B3178" t="str">
        <f>"1552382992620276"</f>
        <v>1552382992620276</v>
      </c>
      <c r="C3178" t="s">
        <v>40</v>
      </c>
      <c r="D3178">
        <v>3.052365</v>
      </c>
      <c r="E3178">
        <v>0.52300740000000001</v>
      </c>
      <c r="F3178" t="s">
        <v>43</v>
      </c>
      <c r="G3178">
        <v>-304.9966</v>
      </c>
      <c r="H3178">
        <v>-0.05</v>
      </c>
      <c r="I3178">
        <v>199.98</v>
      </c>
      <c r="J3178">
        <v>-440.1078</v>
      </c>
      <c r="K3178">
        <v>1.1086659999999999</v>
      </c>
      <c r="L3178">
        <v>212.87960000000001</v>
      </c>
      <c r="M3178">
        <v>0.99996220000000002</v>
      </c>
      <c r="N3178">
        <v>0</v>
      </c>
      <c r="O3178">
        <v>-6.7295380000000002E-3</v>
      </c>
      <c r="P3178">
        <v>0.99861160000000004</v>
      </c>
      <c r="Q3178">
        <v>3.3576490000000001E-2</v>
      </c>
      <c r="R3178">
        <v>-4.0588100000000002E-2</v>
      </c>
      <c r="S3178">
        <v>2.9936829999999999</v>
      </c>
      <c r="T3178">
        <v>-2.5623920000000001E-2</v>
      </c>
      <c r="U3178">
        <v>-0.28529359999999998</v>
      </c>
      <c r="V3178">
        <v>3.3866590000000002E-2</v>
      </c>
      <c r="W3178">
        <v>3.9095280000000003E-2</v>
      </c>
      <c r="X3178">
        <v>0.99866140000000003</v>
      </c>
      <c r="Y3178">
        <v>8.8164339999999994E-2</v>
      </c>
      <c r="Z3178">
        <v>-3.1898920000000001E-4</v>
      </c>
      <c r="AA3178">
        <v>0.99610589999999999</v>
      </c>
      <c r="AB3178">
        <v>26</v>
      </c>
      <c r="AC3178">
        <v>135.1112</v>
      </c>
      <c r="AD3178">
        <v>-1.158666</v>
      </c>
      <c r="AE3178">
        <v>-12.8996</v>
      </c>
      <c r="AF3178">
        <v>11.989184421592499</v>
      </c>
      <c r="AG3178">
        <v>-1.158666</v>
      </c>
      <c r="AH3178">
        <v>135.18509822533201</v>
      </c>
      <c r="AI3178">
        <v>90.489147966123795</v>
      </c>
      <c r="AJ3178">
        <v>84.9318591145299</v>
      </c>
      <c r="AK3178">
        <v>135.72064630035899</v>
      </c>
      <c r="AL3178">
        <v>87.7594344238491</v>
      </c>
      <c r="AM3178">
        <v>88.057730731558607</v>
      </c>
      <c r="AN3178">
        <v>0.99999998934323298</v>
      </c>
    </row>
    <row r="3179" spans="1:40" x14ac:dyDescent="0.25">
      <c r="A3179" t="str">
        <f>"20190312172952649"</f>
        <v>20190312172952649</v>
      </c>
      <c r="B3179" t="str">
        <f>"1552382992640770"</f>
        <v>1552382992640770</v>
      </c>
      <c r="C3179" t="s">
        <v>40</v>
      </c>
      <c r="D3179">
        <v>3.0670470000000001</v>
      </c>
      <c r="E3179">
        <v>0.52331479999999997</v>
      </c>
      <c r="F3179" t="s">
        <v>43</v>
      </c>
      <c r="G3179">
        <v>-338.72770000000003</v>
      </c>
      <c r="H3179">
        <v>-0.05</v>
      </c>
      <c r="I3179">
        <v>202.77670000000001</v>
      </c>
      <c r="J3179">
        <v>-439.81740000000002</v>
      </c>
      <c r="K3179">
        <v>1.1086149999999999</v>
      </c>
      <c r="L3179">
        <v>212.8777</v>
      </c>
      <c r="M3179">
        <v>0.99996229999999997</v>
      </c>
      <c r="N3179">
        <v>0</v>
      </c>
      <c r="O3179">
        <v>-6.7429880000000001E-3</v>
      </c>
      <c r="P3179">
        <v>0.99858919999999995</v>
      </c>
      <c r="Q3179">
        <v>3.3071620000000003E-2</v>
      </c>
      <c r="R3179">
        <v>-4.1542929999999999E-2</v>
      </c>
      <c r="S3179">
        <v>2.9931640000000002</v>
      </c>
      <c r="T3179">
        <v>-3.4208660000000002E-2</v>
      </c>
      <c r="U3179">
        <v>-0.29827880000000001</v>
      </c>
      <c r="V3179">
        <v>3.4811809999999999E-2</v>
      </c>
      <c r="W3179">
        <v>3.8526360000000003E-2</v>
      </c>
      <c r="X3179">
        <v>0.99865099999999996</v>
      </c>
      <c r="Y3179">
        <v>9.2444540000000006E-2</v>
      </c>
      <c r="Z3179">
        <v>-4.5008230000000003E-4</v>
      </c>
      <c r="AA3179">
        <v>0.99571770000000004</v>
      </c>
      <c r="AB3179">
        <v>26</v>
      </c>
      <c r="AC3179">
        <v>101.08969999999999</v>
      </c>
      <c r="AD3179">
        <v>-1.158615</v>
      </c>
      <c r="AE3179">
        <v>-10.101000000000001</v>
      </c>
      <c r="AF3179">
        <v>9.4178886117332006</v>
      </c>
      <c r="AG3179">
        <v>-1.158615</v>
      </c>
      <c r="AH3179">
        <v>101.142358917717</v>
      </c>
      <c r="AI3179">
        <v>90.653484397148404</v>
      </c>
      <c r="AJ3179">
        <v>84.6802328848526</v>
      </c>
      <c r="AK3179">
        <v>101.586494092775</v>
      </c>
      <c r="AL3179">
        <v>87.792055699110705</v>
      </c>
      <c r="AM3179">
        <v>88.003544295279099</v>
      </c>
      <c r="AN3179">
        <v>0.99999998116566202</v>
      </c>
    </row>
    <row r="3180" spans="1:40" x14ac:dyDescent="0.25">
      <c r="A3180" t="str">
        <f>"20190312172952670"</f>
        <v>20190312172952670</v>
      </c>
      <c r="B3180" t="str">
        <f>"1552382992660291"</f>
        <v>1552382992660291</v>
      </c>
      <c r="C3180" t="s">
        <v>40</v>
      </c>
      <c r="D3180">
        <v>3.0503589999999998</v>
      </c>
      <c r="E3180">
        <v>0.52356939999999996</v>
      </c>
      <c r="F3180" t="s">
        <v>47</v>
      </c>
      <c r="G3180">
        <v>-358.89519999999999</v>
      </c>
      <c r="H3180">
        <v>8.0000749999999995E-2</v>
      </c>
      <c r="I3180">
        <v>204.66589999999999</v>
      </c>
      <c r="J3180">
        <v>-439.56740000000002</v>
      </c>
      <c r="K3180">
        <v>1.108584</v>
      </c>
      <c r="L3180">
        <v>212.876</v>
      </c>
      <c r="M3180">
        <v>0.99996240000000003</v>
      </c>
      <c r="N3180">
        <v>0</v>
      </c>
      <c r="O3180">
        <v>-6.7869640000000004E-3</v>
      </c>
      <c r="P3180">
        <v>0.99858880000000005</v>
      </c>
      <c r="Q3180">
        <v>3.2603310000000003E-2</v>
      </c>
      <c r="R3180">
        <v>-4.192593E-2</v>
      </c>
      <c r="S3180">
        <v>2.9928889999999999</v>
      </c>
      <c r="T3180">
        <v>-3.8043019999999997E-2</v>
      </c>
      <c r="U3180">
        <v>-0.30371090000000001</v>
      </c>
      <c r="V3180">
        <v>3.5152530000000001E-2</v>
      </c>
      <c r="W3180">
        <v>3.8006039999999998E-2</v>
      </c>
      <c r="X3180">
        <v>0.99865899999999996</v>
      </c>
      <c r="Y3180">
        <v>9.4197310000000006E-2</v>
      </c>
      <c r="Z3180">
        <v>-5.1108109999999996E-4</v>
      </c>
      <c r="AA3180">
        <v>0.99555340000000003</v>
      </c>
      <c r="AB3180">
        <v>26</v>
      </c>
      <c r="AC3180">
        <v>80.672200000000004</v>
      </c>
      <c r="AD3180">
        <v>-1.0285832500000001</v>
      </c>
      <c r="AE3180">
        <v>-8.2100999999999793</v>
      </c>
      <c r="AF3180">
        <v>7.6611509290308204</v>
      </c>
      <c r="AG3180">
        <v>-1.0285832500000001</v>
      </c>
      <c r="AH3180">
        <v>80.713077657015404</v>
      </c>
      <c r="AI3180">
        <v>90.726854106620493</v>
      </c>
      <c r="AJ3180">
        <v>84.577824756576007</v>
      </c>
      <c r="AK3180">
        <v>81.082378615374694</v>
      </c>
      <c r="AL3180">
        <v>87.821889685976302</v>
      </c>
      <c r="AM3180">
        <v>87.984036200550406</v>
      </c>
      <c r="AN3180">
        <v>0.99999997886143999</v>
      </c>
    </row>
    <row r="3181" spans="1:40" x14ac:dyDescent="0.25">
      <c r="A3181" t="str">
        <f>"20190312172952691"</f>
        <v>20190312172952691</v>
      </c>
      <c r="B3181" t="str">
        <f>"1552382992680787"</f>
        <v>1552382992680787</v>
      </c>
      <c r="C3181" t="s">
        <v>40</v>
      </c>
      <c r="D3181">
        <v>3.0492910000000002</v>
      </c>
      <c r="E3181">
        <v>0.52388389999999996</v>
      </c>
      <c r="F3181" t="s">
        <v>47</v>
      </c>
      <c r="G3181">
        <v>-364.70499999999998</v>
      </c>
      <c r="H3181">
        <v>8.0000080000000001E-2</v>
      </c>
      <c r="I3181">
        <v>205.20650000000001</v>
      </c>
      <c r="J3181">
        <v>-439.3091</v>
      </c>
      <c r="K3181">
        <v>1.1085640000000001</v>
      </c>
      <c r="L3181">
        <v>212.8742</v>
      </c>
      <c r="M3181">
        <v>0.99996220000000002</v>
      </c>
      <c r="N3181">
        <v>0</v>
      </c>
      <c r="O3181">
        <v>-6.8534099999999999E-3</v>
      </c>
      <c r="P3181">
        <v>0.99856120000000004</v>
      </c>
      <c r="Q3181">
        <v>3.2560079999999998E-2</v>
      </c>
      <c r="R3181">
        <v>-4.2608779999999999E-2</v>
      </c>
      <c r="S3181">
        <v>2.9927060000000001</v>
      </c>
      <c r="T3181">
        <v>-4.1118740000000001E-2</v>
      </c>
      <c r="U3181">
        <v>-0.3065948</v>
      </c>
      <c r="V3181">
        <v>3.5770169999999997E-2</v>
      </c>
      <c r="W3181">
        <v>3.7910260000000001E-2</v>
      </c>
      <c r="X3181">
        <v>0.99864070000000005</v>
      </c>
      <c r="Y3181">
        <v>9.5085500000000003E-2</v>
      </c>
      <c r="Z3181">
        <v>-5.5757940000000002E-4</v>
      </c>
      <c r="AA3181">
        <v>0.99546900000000005</v>
      </c>
      <c r="AB3181">
        <v>27</v>
      </c>
      <c r="AC3181">
        <v>74.604100000000003</v>
      </c>
      <c r="AD3181">
        <v>-1.0285639200000001</v>
      </c>
      <c r="AE3181">
        <v>-7.6676999999999902</v>
      </c>
      <c r="AF3181">
        <v>7.1548743308443603</v>
      </c>
      <c r="AG3181">
        <v>-1.0285639200000001</v>
      </c>
      <c r="AH3181">
        <v>74.640859070363405</v>
      </c>
      <c r="AI3181">
        <v>90.785893826902793</v>
      </c>
      <c r="AJ3181">
        <v>84.524508744197107</v>
      </c>
      <c r="AK3181">
        <v>74.990052761613299</v>
      </c>
      <c r="AL3181">
        <v>87.8273814149549</v>
      </c>
      <c r="AM3181">
        <v>87.948607582505403</v>
      </c>
      <c r="AN3181">
        <v>0.99999997028579302</v>
      </c>
    </row>
    <row r="3182" spans="1:40" x14ac:dyDescent="0.25">
      <c r="A3182" t="str">
        <f>"20190312172952713"</f>
        <v>20190312172952713</v>
      </c>
      <c r="B3182" t="str">
        <f>"1552382992700307"</f>
        <v>1552382992700307</v>
      </c>
      <c r="C3182" t="s">
        <v>40</v>
      </c>
      <c r="D3182">
        <v>3.0799859999999999</v>
      </c>
      <c r="E3182">
        <v>0.52434519999999996</v>
      </c>
      <c r="F3182" t="s">
        <v>47</v>
      </c>
      <c r="G3182">
        <v>-366.46660000000003</v>
      </c>
      <c r="H3182">
        <v>8.0001030000000001E-2</v>
      </c>
      <c r="I3182">
        <v>205.2996</v>
      </c>
      <c r="J3182">
        <v>-439.04329999999999</v>
      </c>
      <c r="K3182">
        <v>1.1085469999999999</v>
      </c>
      <c r="L3182">
        <v>212.8723</v>
      </c>
      <c r="M3182">
        <v>0.99996200000000002</v>
      </c>
      <c r="N3182">
        <v>0</v>
      </c>
      <c r="O3182">
        <v>-6.9328219999999999E-3</v>
      </c>
      <c r="P3182">
        <v>0.99854900000000002</v>
      </c>
      <c r="Q3182">
        <v>3.3262390000000003E-2</v>
      </c>
      <c r="R3182">
        <v>-4.2348049999999998E-2</v>
      </c>
      <c r="S3182">
        <v>2.992432</v>
      </c>
      <c r="T3182">
        <v>-4.225421E-2</v>
      </c>
      <c r="U3182">
        <v>-0.31117250000000002</v>
      </c>
      <c r="V3182">
        <v>3.5431129999999998E-2</v>
      </c>
      <c r="W3182">
        <v>3.8560190000000001E-2</v>
      </c>
      <c r="X3182">
        <v>0.99862799999999996</v>
      </c>
      <c r="Y3182">
        <v>9.6521750000000003E-2</v>
      </c>
      <c r="Z3182">
        <v>-5.8197700000000002E-4</v>
      </c>
      <c r="AA3182">
        <v>0.99533070000000001</v>
      </c>
      <c r="AB3182">
        <v>27</v>
      </c>
      <c r="AC3182">
        <v>72.576699999999903</v>
      </c>
      <c r="AD3182">
        <v>-1.0285459699999999</v>
      </c>
      <c r="AE3182">
        <v>-7.5726999999999904</v>
      </c>
      <c r="AF3182">
        <v>7.0679453879444996</v>
      </c>
      <c r="AG3182">
        <v>-1.0285459699999999</v>
      </c>
      <c r="AH3182">
        <v>72.613030049231</v>
      </c>
      <c r="AI3182">
        <v>90.807709755191198</v>
      </c>
      <c r="AJ3182">
        <v>84.440505828832201</v>
      </c>
      <c r="AK3182">
        <v>72.963455864904603</v>
      </c>
      <c r="AL3182">
        <v>87.790116133038893</v>
      </c>
      <c r="AM3182">
        <v>87.968009075390796</v>
      </c>
      <c r="AN3182">
        <v>1.0000000678049501</v>
      </c>
    </row>
    <row r="3183" spans="1:40" x14ac:dyDescent="0.25">
      <c r="A3183" t="str">
        <f>"20190312172952735"</f>
        <v>20190312172952735</v>
      </c>
      <c r="B3183" t="str">
        <f>"1552382992730563"</f>
        <v>1552382992730563</v>
      </c>
      <c r="C3183" t="s">
        <v>40</v>
      </c>
      <c r="D3183">
        <v>3.1345070000000002</v>
      </c>
      <c r="E3183">
        <v>0.55517289999999997</v>
      </c>
      <c r="F3183" t="s">
        <v>47</v>
      </c>
      <c r="G3183">
        <v>-366.38279999999997</v>
      </c>
      <c r="H3183">
        <v>8.0001059999999999E-2</v>
      </c>
      <c r="I3183">
        <v>205.24600000000001</v>
      </c>
      <c r="J3183">
        <v>-438.78339999999997</v>
      </c>
      <c r="K3183">
        <v>1.108541</v>
      </c>
      <c r="L3183">
        <v>212.87049999999999</v>
      </c>
      <c r="M3183">
        <v>0.99996160000000001</v>
      </c>
      <c r="N3183">
        <v>0</v>
      </c>
      <c r="O3183">
        <v>-7.0133019999999999E-3</v>
      </c>
      <c r="P3183">
        <v>0.99853000000000003</v>
      </c>
      <c r="Q3183">
        <v>3.4633619999999997E-2</v>
      </c>
      <c r="R3183">
        <v>-4.1699689999999998E-2</v>
      </c>
      <c r="S3183">
        <v>2.9924620000000002</v>
      </c>
      <c r="T3183">
        <v>-4.2359830000000001E-2</v>
      </c>
      <c r="U3183">
        <v>-0.3140869</v>
      </c>
      <c r="V3183">
        <v>3.4702909999999997E-2</v>
      </c>
      <c r="W3183">
        <v>3.9880980000000003E-2</v>
      </c>
      <c r="X3183">
        <v>0.99860159999999998</v>
      </c>
      <c r="Y3183">
        <v>9.7399330000000006E-2</v>
      </c>
      <c r="Z3183">
        <v>-5.8845449999999895E-4</v>
      </c>
      <c r="AA3183">
        <v>0.99524520000000005</v>
      </c>
      <c r="AB3183">
        <v>27</v>
      </c>
      <c r="AC3183">
        <v>72.400599999999997</v>
      </c>
      <c r="AD3183">
        <v>-1.0285399399999999</v>
      </c>
      <c r="AE3183">
        <v>-7.62450000000001</v>
      </c>
      <c r="AF3183">
        <v>7.1151179961662798</v>
      </c>
      <c r="AG3183">
        <v>-1.0285399399999999</v>
      </c>
      <c r="AH3183">
        <v>72.437834182172594</v>
      </c>
      <c r="AI3183">
        <v>90.809588734210394</v>
      </c>
      <c r="AJ3183">
        <v>84.390186684263497</v>
      </c>
      <c r="AK3183">
        <v>72.793699037152095</v>
      </c>
      <c r="AL3183">
        <v>87.714381944949494</v>
      </c>
      <c r="AM3183">
        <v>88.009686299775893</v>
      </c>
      <c r="AN3183">
        <v>0.99999997002539298</v>
      </c>
    </row>
    <row r="3184" spans="1:40" x14ac:dyDescent="0.25">
      <c r="A3184" t="str">
        <f>"20190312172952756"</f>
        <v>20190312172952756</v>
      </c>
      <c r="B3184" t="str">
        <f>"1552382992751059"</f>
        <v>1552382992751059</v>
      </c>
      <c r="C3184" t="s">
        <v>40</v>
      </c>
      <c r="D3184">
        <v>3.0752459999999999</v>
      </c>
      <c r="E3184">
        <v>0.55870799999999998</v>
      </c>
      <c r="F3184" t="s">
        <v>47</v>
      </c>
      <c r="G3184">
        <v>-396.80040000000002</v>
      </c>
      <c r="H3184">
        <v>8.0000940000000006E-2</v>
      </c>
      <c r="I3184">
        <v>205.04390000000001</v>
      </c>
      <c r="J3184">
        <v>-438.51780000000002</v>
      </c>
      <c r="K3184">
        <v>1.1085339999999999</v>
      </c>
      <c r="L3184">
        <v>212.86850000000001</v>
      </c>
      <c r="M3184">
        <v>0.9999614</v>
      </c>
      <c r="N3184">
        <v>0</v>
      </c>
      <c r="O3184">
        <v>-7.0936630000000001E-3</v>
      </c>
      <c r="P3184">
        <v>0.99853250000000005</v>
      </c>
      <c r="Q3184">
        <v>3.574037E-2</v>
      </c>
      <c r="R3184">
        <v>-4.0691610000000003E-2</v>
      </c>
      <c r="S3184">
        <v>2.9837039999999999</v>
      </c>
      <c r="T3184">
        <v>-7.3097590000000004E-2</v>
      </c>
      <c r="U3184">
        <v>-0.55622859999999996</v>
      </c>
      <c r="V3184">
        <v>3.3615279999999997E-2</v>
      </c>
      <c r="W3184">
        <v>4.0940110000000002E-2</v>
      </c>
      <c r="X3184">
        <v>0.99859600000000004</v>
      </c>
      <c r="Y3184">
        <v>0.17623759999999999</v>
      </c>
      <c r="Z3184">
        <v>-1.9678159999999998E-3</v>
      </c>
      <c r="AA3184">
        <v>0.98434569999999999</v>
      </c>
      <c r="AB3184">
        <v>27</v>
      </c>
      <c r="AC3184">
        <v>41.717399999999998</v>
      </c>
      <c r="AD3184">
        <v>-1.02853306</v>
      </c>
      <c r="AE3184">
        <v>-7.8246000000000002</v>
      </c>
      <c r="AF3184">
        <v>7.5240518445155198</v>
      </c>
      <c r="AG3184">
        <v>-1.02853306</v>
      </c>
      <c r="AH3184">
        <v>41.747342111268701</v>
      </c>
      <c r="AI3184">
        <v>91.388947016618005</v>
      </c>
      <c r="AJ3184">
        <v>79.7833575369974</v>
      </c>
      <c r="AK3184">
        <v>42.432414611588797</v>
      </c>
      <c r="AL3184">
        <v>87.653648782038701</v>
      </c>
      <c r="AM3184">
        <v>88.072006429867002</v>
      </c>
      <c r="AN3184">
        <v>1.0000000254361401</v>
      </c>
    </row>
    <row r="3185" spans="1:40" x14ac:dyDescent="0.25">
      <c r="A3185" t="str">
        <f>"20190312172952780"</f>
        <v>20190312172952780</v>
      </c>
      <c r="B3185" t="str">
        <f>"1552382992770579"</f>
        <v>1552382992770579</v>
      </c>
      <c r="C3185" t="s">
        <v>40</v>
      </c>
      <c r="D3185">
        <v>3.1254339999999998</v>
      </c>
      <c r="E3185">
        <v>0.55986599999999997</v>
      </c>
      <c r="F3185" t="s">
        <v>43</v>
      </c>
      <c r="G3185">
        <v>-390.35329999999999</v>
      </c>
      <c r="H3185">
        <v>-0.05</v>
      </c>
      <c r="I3185">
        <v>203.4776</v>
      </c>
      <c r="J3185">
        <v>-438.23219999999998</v>
      </c>
      <c r="K3185">
        <v>1.1085290000000001</v>
      </c>
      <c r="L3185">
        <v>212.8664</v>
      </c>
      <c r="M3185">
        <v>0.99996099999999999</v>
      </c>
      <c r="N3185">
        <v>0</v>
      </c>
      <c r="O3185">
        <v>-7.1766349999999998E-3</v>
      </c>
      <c r="P3185">
        <v>0.99853009999999998</v>
      </c>
      <c r="Q3185">
        <v>3.6630000000000003E-2</v>
      </c>
      <c r="R3185">
        <v>-3.9949230000000002E-2</v>
      </c>
      <c r="S3185">
        <v>2.9832459999999998</v>
      </c>
      <c r="T3185">
        <v>-7.1758150000000007E-2</v>
      </c>
      <c r="U3185">
        <v>-0.58166499999999999</v>
      </c>
      <c r="V3185">
        <v>3.2790550000000002E-2</v>
      </c>
      <c r="W3185">
        <v>4.1780539999999998E-2</v>
      </c>
      <c r="X3185">
        <v>0.99858860000000005</v>
      </c>
      <c r="Y3185">
        <v>0.1842752</v>
      </c>
      <c r="Z3185">
        <v>-2.0243090000000002E-3</v>
      </c>
      <c r="AA3185">
        <v>0.98287259999999999</v>
      </c>
      <c r="AB3185">
        <v>27</v>
      </c>
      <c r="AC3185">
        <v>47.878899999999902</v>
      </c>
      <c r="AD3185">
        <v>-1.1585289999999999</v>
      </c>
      <c r="AE3185">
        <v>-9.3887999999999998</v>
      </c>
      <c r="AF3185">
        <v>9.0398474436457494</v>
      </c>
      <c r="AG3185">
        <v>-1.1585289999999999</v>
      </c>
      <c r="AH3185">
        <v>47.918030828721598</v>
      </c>
      <c r="AI3185">
        <v>91.360990287372601</v>
      </c>
      <c r="AJ3185">
        <v>79.316577559683395</v>
      </c>
      <c r="AK3185">
        <v>48.777030554868197</v>
      </c>
      <c r="AL3185">
        <v>87.605454419657093</v>
      </c>
      <c r="AM3185">
        <v>88.119260229496106</v>
      </c>
      <c r="AN3185">
        <v>1.0000000128709701</v>
      </c>
    </row>
    <row r="3186" spans="1:40" x14ac:dyDescent="0.25">
      <c r="A3186" t="str">
        <f>"20190312172952802"</f>
        <v>20190312172952802</v>
      </c>
      <c r="B3186" t="str">
        <f>"1552382992791078"</f>
        <v>1552382992791078</v>
      </c>
      <c r="C3186" t="s">
        <v>40</v>
      </c>
      <c r="D3186">
        <v>3.1046819999999999</v>
      </c>
      <c r="E3186">
        <v>0.56066640000000001</v>
      </c>
      <c r="F3186" t="s">
        <v>47</v>
      </c>
      <c r="G3186">
        <v>-397.65179999999998</v>
      </c>
      <c r="H3186">
        <v>8.0000680000000005E-2</v>
      </c>
      <c r="I3186">
        <v>204.86519999999999</v>
      </c>
      <c r="J3186">
        <v>-437.9588</v>
      </c>
      <c r="K3186">
        <v>1.1085210000000001</v>
      </c>
      <c r="L3186">
        <v>212.86439999999999</v>
      </c>
      <c r="M3186">
        <v>0.99996059999999998</v>
      </c>
      <c r="N3186">
        <v>0</v>
      </c>
      <c r="O3186">
        <v>-7.2535250000000003E-3</v>
      </c>
      <c r="P3186">
        <v>0.99854240000000005</v>
      </c>
      <c r="Q3186">
        <v>3.6831509999999998E-2</v>
      </c>
      <c r="R3186">
        <v>-3.9451750000000001E-2</v>
      </c>
      <c r="S3186">
        <v>2.9836429999999998</v>
      </c>
      <c r="T3186">
        <v>-7.5621720000000003E-2</v>
      </c>
      <c r="U3186">
        <v>-0.58828740000000002</v>
      </c>
      <c r="V3186">
        <v>3.2216160000000001E-2</v>
      </c>
      <c r="W3186">
        <v>4.1936800000000003E-2</v>
      </c>
      <c r="X3186">
        <v>0.99860070000000001</v>
      </c>
      <c r="Y3186">
        <v>0.1862695</v>
      </c>
      <c r="Z3186">
        <v>-2.1556380000000001E-3</v>
      </c>
      <c r="AA3186">
        <v>0.98249629999999999</v>
      </c>
      <c r="AB3186">
        <v>27</v>
      </c>
      <c r="AC3186">
        <v>40.307000000000002</v>
      </c>
      <c r="AD3186">
        <v>-1.0285203199999999</v>
      </c>
      <c r="AE3186">
        <v>-7.9992000000000001</v>
      </c>
      <c r="AF3186">
        <v>7.7017930888992003</v>
      </c>
      <c r="AG3186">
        <v>-1.0285203199999999</v>
      </c>
      <c r="AH3186">
        <v>40.338692482353203</v>
      </c>
      <c r="AI3186">
        <v>91.434656692126694</v>
      </c>
      <c r="AJ3186">
        <v>79.190713868472798</v>
      </c>
      <c r="AK3186">
        <v>41.080233470840099</v>
      </c>
      <c r="AL3186">
        <v>87.596493417333406</v>
      </c>
      <c r="AM3186">
        <v>88.152204361618104</v>
      </c>
      <c r="AN3186">
        <v>0.99999996709993699</v>
      </c>
    </row>
    <row r="3187" spans="1:40" x14ac:dyDescent="0.25">
      <c r="A3187" t="str">
        <f>"20190312172952824"</f>
        <v>20190312172952824</v>
      </c>
      <c r="B3187" t="str">
        <f>"1552382992820355"</f>
        <v>1552382992820355</v>
      </c>
      <c r="C3187" t="s">
        <v>40</v>
      </c>
      <c r="D3187">
        <v>3.157168</v>
      </c>
      <c r="E3187">
        <v>0.56179889999999999</v>
      </c>
      <c r="F3187" t="s">
        <v>47</v>
      </c>
      <c r="G3187">
        <v>-399.1499</v>
      </c>
      <c r="H3187">
        <v>8.000024E-2</v>
      </c>
      <c r="I3187">
        <v>205.1499</v>
      </c>
      <c r="J3187">
        <v>-437.70499999999998</v>
      </c>
      <c r="K3187">
        <v>1.1085149999999999</v>
      </c>
      <c r="L3187">
        <v>212.86250000000001</v>
      </c>
      <c r="M3187">
        <v>0.99996039999999997</v>
      </c>
      <c r="N3187">
        <v>0</v>
      </c>
      <c r="O3187">
        <v>-7.3233819999999998E-3</v>
      </c>
      <c r="P3187">
        <v>0.99854679999999996</v>
      </c>
      <c r="Q3187">
        <v>3.7197340000000002E-2</v>
      </c>
      <c r="R3187">
        <v>-3.8998850000000002E-2</v>
      </c>
      <c r="S3187">
        <v>2.9838559999999998</v>
      </c>
      <c r="T3187">
        <v>-7.9078789999999996E-2</v>
      </c>
      <c r="U3187">
        <v>-0.59313959999999999</v>
      </c>
      <c r="V3187">
        <v>3.1693270000000003E-2</v>
      </c>
      <c r="W3187">
        <v>4.2260279999999997E-2</v>
      </c>
      <c r="X3187">
        <v>0.99860380000000004</v>
      </c>
      <c r="Y3187">
        <v>0.1877191</v>
      </c>
      <c r="Z3187">
        <v>-2.2708279999999999E-3</v>
      </c>
      <c r="AA3187">
        <v>0.98222010000000004</v>
      </c>
      <c r="AB3187">
        <v>27</v>
      </c>
      <c r="AC3187">
        <v>38.555099999999896</v>
      </c>
      <c r="AD3187">
        <v>-1.02851476</v>
      </c>
      <c r="AE3187">
        <v>-7.7126000000000001</v>
      </c>
      <c r="AF3187">
        <v>7.4249552826281002</v>
      </c>
      <c r="AG3187">
        <v>-1.02851476</v>
      </c>
      <c r="AH3187">
        <v>38.584147756777703</v>
      </c>
      <c r="AI3187">
        <v>91.499440159812394</v>
      </c>
      <c r="AJ3187">
        <v>79.107417847729707</v>
      </c>
      <c r="AK3187">
        <v>39.305524569421799</v>
      </c>
      <c r="AL3187">
        <v>87.5779429440814</v>
      </c>
      <c r="AM3187">
        <v>88.182180682351202</v>
      </c>
      <c r="AN3187">
        <v>0.99999997200170498</v>
      </c>
    </row>
    <row r="3188" spans="1:40" x14ac:dyDescent="0.25">
      <c r="A3188" t="str">
        <f>"20190312172952847"</f>
        <v>20190312172952847</v>
      </c>
      <c r="B3188" t="str">
        <f>"1552382992840851"</f>
        <v>1552382992840851</v>
      </c>
      <c r="C3188" t="s">
        <v>40</v>
      </c>
      <c r="D3188">
        <v>3.1187119999999999</v>
      </c>
      <c r="E3188">
        <v>0.56228449999999996</v>
      </c>
      <c r="F3188" t="s">
        <v>47</v>
      </c>
      <c r="G3188">
        <v>-399.83319999999998</v>
      </c>
      <c r="H3188">
        <v>8.0000039999999994E-2</v>
      </c>
      <c r="I3188">
        <v>205.23410000000001</v>
      </c>
      <c r="J3188">
        <v>-437.4085</v>
      </c>
      <c r="K3188">
        <v>1.1085020000000001</v>
      </c>
      <c r="L3188">
        <v>212.8603</v>
      </c>
      <c r="M3188">
        <v>0.99996010000000002</v>
      </c>
      <c r="N3188">
        <v>0</v>
      </c>
      <c r="O3188">
        <v>-7.4041760000000002E-3</v>
      </c>
      <c r="P3188">
        <v>0.99857680000000004</v>
      </c>
      <c r="Q3188">
        <v>3.6877699999999999E-2</v>
      </c>
      <c r="R3188">
        <v>-3.8536430000000003E-2</v>
      </c>
      <c r="S3188">
        <v>2.9839169999999999</v>
      </c>
      <c r="T3188">
        <v>-8.1036810000000001E-2</v>
      </c>
      <c r="U3188">
        <v>-0.60104369999999996</v>
      </c>
      <c r="V3188">
        <v>3.1149759999999999E-2</v>
      </c>
      <c r="W3188">
        <v>4.1888199999999903E-2</v>
      </c>
      <c r="X3188">
        <v>0.99863659999999999</v>
      </c>
      <c r="Y3188">
        <v>0.1901331</v>
      </c>
      <c r="Z3188">
        <v>-2.3566659999999999E-3</v>
      </c>
      <c r="AA3188">
        <v>0.9817555</v>
      </c>
      <c r="AB3188">
        <v>27</v>
      </c>
      <c r="AC3188">
        <v>37.575299999999999</v>
      </c>
      <c r="AD3188">
        <v>-1.02850196</v>
      </c>
      <c r="AE3188">
        <v>-7.6261999999999803</v>
      </c>
      <c r="AF3188">
        <v>7.3424898879620102</v>
      </c>
      <c r="AG3188">
        <v>-1.02850196</v>
      </c>
      <c r="AH3188">
        <v>37.603677846048299</v>
      </c>
      <c r="AI3188">
        <v>91.537687287104603</v>
      </c>
      <c r="AJ3188">
        <v>78.951446734847394</v>
      </c>
      <c r="AK3188">
        <v>38.3276213922274</v>
      </c>
      <c r="AL3188">
        <v>87.599280505574498</v>
      </c>
      <c r="AM3188">
        <v>88.213392850632601</v>
      </c>
      <c r="AN3188">
        <v>0.99999999385342797</v>
      </c>
    </row>
    <row r="3189" spans="1:40" x14ac:dyDescent="0.25">
      <c r="A3189" t="str">
        <f>"20190312172952870"</f>
        <v>20190312172952870</v>
      </c>
      <c r="B3189" t="str">
        <f>"1552382992860371"</f>
        <v>1552382992860371</v>
      </c>
      <c r="C3189" t="s">
        <v>40</v>
      </c>
      <c r="D3189">
        <v>3.1172819999999999</v>
      </c>
      <c r="E3189">
        <v>0.56263799999999997</v>
      </c>
      <c r="F3189" t="s">
        <v>48</v>
      </c>
      <c r="G3189">
        <v>-401.06180000000001</v>
      </c>
      <c r="H3189">
        <v>8.0001939999999994E-2</v>
      </c>
      <c r="I3189">
        <v>205.51499999999999</v>
      </c>
      <c r="J3189">
        <v>-437.12920000000003</v>
      </c>
      <c r="K3189">
        <v>1.108493</v>
      </c>
      <c r="L3189">
        <v>212.85810000000001</v>
      </c>
      <c r="M3189">
        <v>0.99995959999999995</v>
      </c>
      <c r="N3189">
        <v>0</v>
      </c>
      <c r="O3189">
        <v>-7.4787819999999998E-3</v>
      </c>
      <c r="P3189">
        <v>0.998614</v>
      </c>
      <c r="Q3189">
        <v>3.6407910000000002E-2</v>
      </c>
      <c r="R3189">
        <v>-3.8010519999999999E-2</v>
      </c>
      <c r="S3189">
        <v>2.9841310000000001</v>
      </c>
      <c r="T3189">
        <v>-8.4441779999999994E-2</v>
      </c>
      <c r="U3189">
        <v>-0.60305790000000004</v>
      </c>
      <c r="V3189">
        <v>3.0548769999999999E-2</v>
      </c>
      <c r="W3189">
        <v>4.136985E-2</v>
      </c>
      <c r="X3189">
        <v>0.99867680000000003</v>
      </c>
      <c r="Y3189">
        <v>0.19067729999999999</v>
      </c>
      <c r="Z3189">
        <v>-2.4608469999999999E-3</v>
      </c>
      <c r="AA3189">
        <v>0.98164969999999996</v>
      </c>
      <c r="AB3189">
        <v>28</v>
      </c>
      <c r="AC3189">
        <v>36.067399999999999</v>
      </c>
      <c r="AD3189">
        <v>-1.0284910599999999</v>
      </c>
      <c r="AE3189">
        <v>-7.3431000000000202</v>
      </c>
      <c r="AF3189">
        <v>7.0676327404345596</v>
      </c>
      <c r="AG3189">
        <v>-1.0284910599999999</v>
      </c>
      <c r="AH3189">
        <v>36.093128366138401</v>
      </c>
      <c r="AI3189">
        <v>91.601824022133002</v>
      </c>
      <c r="AJ3189">
        <v>78.9207255537154</v>
      </c>
      <c r="AK3189">
        <v>36.7929767981433</v>
      </c>
      <c r="AL3189">
        <v>87.629005606180101</v>
      </c>
      <c r="AM3189">
        <v>88.247911664681297</v>
      </c>
      <c r="AN3189">
        <v>1.0000000213478799</v>
      </c>
    </row>
    <row r="3190" spans="1:40" x14ac:dyDescent="0.25">
      <c r="A3190" t="str">
        <f>"20190312172952892"</f>
        <v>20190312172952892</v>
      </c>
      <c r="B3190" t="str">
        <f>"1552382992880869"</f>
        <v>1552382992880869</v>
      </c>
      <c r="C3190" t="s">
        <v>40</v>
      </c>
      <c r="D3190">
        <v>3.125794</v>
      </c>
      <c r="E3190">
        <v>0.56305519999999998</v>
      </c>
      <c r="F3190" t="s">
        <v>48</v>
      </c>
      <c r="G3190">
        <v>-401.78089999999997</v>
      </c>
      <c r="H3190">
        <v>8.0001790000000003E-2</v>
      </c>
      <c r="I3190">
        <v>205.6986</v>
      </c>
      <c r="J3190">
        <v>-436.85340000000002</v>
      </c>
      <c r="K3190">
        <v>1.1084909999999999</v>
      </c>
      <c r="L3190">
        <v>212.85599999999999</v>
      </c>
      <c r="M3190">
        <v>0.99995940000000005</v>
      </c>
      <c r="N3190">
        <v>0</v>
      </c>
      <c r="O3190">
        <v>-7.5519690000000004E-3</v>
      </c>
      <c r="P3190">
        <v>0.9986739</v>
      </c>
      <c r="Q3190">
        <v>3.5514200000000003E-2</v>
      </c>
      <c r="R3190">
        <v>-3.7273050000000002E-2</v>
      </c>
      <c r="S3190">
        <v>2.984375</v>
      </c>
      <c r="T3190">
        <v>-8.6832999999999994E-2</v>
      </c>
      <c r="U3190">
        <v>-0.60446169999999899</v>
      </c>
      <c r="V3190">
        <v>2.97375E-2</v>
      </c>
      <c r="W3190">
        <v>4.0431740000000001E-2</v>
      </c>
      <c r="X3190">
        <v>0.99873970000000001</v>
      </c>
      <c r="Y3190">
        <v>0.19102930000000001</v>
      </c>
      <c r="Z3190">
        <v>-2.5331479999999998E-3</v>
      </c>
      <c r="AA3190">
        <v>0.98158109999999998</v>
      </c>
      <c r="AB3190">
        <v>28</v>
      </c>
      <c r="AC3190">
        <v>35.072499999999998</v>
      </c>
      <c r="AD3190">
        <v>-1.0284892099999901</v>
      </c>
      <c r="AE3190">
        <v>-7.1573999999999902</v>
      </c>
      <c r="AF3190">
        <v>6.8866409605280703</v>
      </c>
      <c r="AG3190">
        <v>-1.0284892099999901</v>
      </c>
      <c r="AH3190">
        <v>35.096578808906202</v>
      </c>
      <c r="AI3190">
        <v>91.647154042566498</v>
      </c>
      <c r="AJ3190">
        <v>78.898481519907605</v>
      </c>
      <c r="AK3190">
        <v>35.780629645997998</v>
      </c>
      <c r="AL3190">
        <v>87.682800354122804</v>
      </c>
      <c r="AM3190">
        <v>88.294520585696205</v>
      </c>
      <c r="AN3190">
        <v>1.00000001643088</v>
      </c>
    </row>
    <row r="3191" spans="1:40" x14ac:dyDescent="0.25">
      <c r="A3191" t="str">
        <f>"20190312172952913"</f>
        <v>20190312172952913</v>
      </c>
      <c r="B3191" t="str">
        <f>"1552382992910610"</f>
        <v>1552382992910610</v>
      </c>
      <c r="C3191" t="s">
        <v>40</v>
      </c>
      <c r="D3191">
        <v>3.1265200000000002</v>
      </c>
      <c r="E3191">
        <v>0.56397379999999997</v>
      </c>
      <c r="F3191" t="s">
        <v>48</v>
      </c>
      <c r="G3191">
        <v>-402.92020000000002</v>
      </c>
      <c r="H3191">
        <v>8.0001559999999999E-2</v>
      </c>
      <c r="I3191">
        <v>205.97049999999999</v>
      </c>
      <c r="J3191">
        <v>-436.5838</v>
      </c>
      <c r="K3191">
        <v>1.108479</v>
      </c>
      <c r="L3191">
        <v>212.85390000000001</v>
      </c>
      <c r="M3191">
        <v>0.99995900000000004</v>
      </c>
      <c r="N3191">
        <v>0</v>
      </c>
      <c r="O3191">
        <v>-7.62278E-3</v>
      </c>
      <c r="P3191">
        <v>0.99870159999999997</v>
      </c>
      <c r="Q3191">
        <v>3.5185019999999997E-2</v>
      </c>
      <c r="R3191">
        <v>-3.683641E-2</v>
      </c>
      <c r="S3191">
        <v>2.9845890000000002</v>
      </c>
      <c r="T3191">
        <v>-9.0460659999999998E-2</v>
      </c>
      <c r="U3191">
        <v>-0.60560609999999904</v>
      </c>
      <c r="V3191">
        <v>2.9229850000000002E-2</v>
      </c>
      <c r="W3191">
        <v>4.0059629999999999E-2</v>
      </c>
      <c r="X3191">
        <v>0.99876960000000004</v>
      </c>
      <c r="Y3191">
        <v>0.1913012</v>
      </c>
      <c r="Z3191">
        <v>-2.6406009999999998E-3</v>
      </c>
      <c r="AA3191">
        <v>0.98152779999999995</v>
      </c>
      <c r="AB3191">
        <v>28</v>
      </c>
      <c r="AC3191">
        <v>33.663599999999903</v>
      </c>
      <c r="AD3191">
        <v>-1.0284774400000001</v>
      </c>
      <c r="AE3191">
        <v>-6.8834000000000204</v>
      </c>
      <c r="AF3191">
        <v>6.6206550035824998</v>
      </c>
      <c r="AG3191">
        <v>-1.0284774400000001</v>
      </c>
      <c r="AH3191">
        <v>33.684913475488798</v>
      </c>
      <c r="AI3191">
        <v>91.716016794796701</v>
      </c>
      <c r="AJ3191">
        <v>78.880448649904196</v>
      </c>
      <c r="AK3191">
        <v>34.344784675001499</v>
      </c>
      <c r="AL3191">
        <v>87.704137789055906</v>
      </c>
      <c r="AM3191">
        <v>88.323668290072106</v>
      </c>
      <c r="AN3191">
        <v>0.999999935985457</v>
      </c>
    </row>
    <row r="3192" spans="1:40" x14ac:dyDescent="0.25">
      <c r="A3192" t="str">
        <f>"20190312172952936"</f>
        <v>20190312172952936</v>
      </c>
      <c r="B3192" t="str">
        <f>"1552382992931108"</f>
        <v>1552382992931108</v>
      </c>
      <c r="C3192" t="s">
        <v>40</v>
      </c>
      <c r="D3192">
        <v>3.082611</v>
      </c>
      <c r="E3192">
        <v>0.57036469999999995</v>
      </c>
      <c r="F3192" t="s">
        <v>48</v>
      </c>
      <c r="G3192">
        <v>-403.65370000000001</v>
      </c>
      <c r="H3192">
        <v>8.0001409999999995E-2</v>
      </c>
      <c r="I3192">
        <v>206.1036</v>
      </c>
      <c r="J3192">
        <v>-436.29140000000001</v>
      </c>
      <c r="K3192">
        <v>1.108471</v>
      </c>
      <c r="L3192">
        <v>212.85159999999999</v>
      </c>
      <c r="M3192">
        <v>0.99995860000000003</v>
      </c>
      <c r="N3192">
        <v>0</v>
      </c>
      <c r="O3192">
        <v>-7.69931E-3</v>
      </c>
      <c r="P3192">
        <v>0.99869810000000003</v>
      </c>
      <c r="Q3192">
        <v>3.5131179999999998E-2</v>
      </c>
      <c r="R3192">
        <v>-3.6988800000000002E-2</v>
      </c>
      <c r="S3192">
        <v>2.9845890000000002</v>
      </c>
      <c r="T3192">
        <v>-9.3214870000000005E-2</v>
      </c>
      <c r="U3192">
        <v>-0.61180109999999999</v>
      </c>
      <c r="V3192">
        <v>2.9305589999999999E-2</v>
      </c>
      <c r="W3192">
        <v>3.9959099999999997E-2</v>
      </c>
      <c r="X3192">
        <v>0.99877150000000003</v>
      </c>
      <c r="Y3192">
        <v>0.19317590000000001</v>
      </c>
      <c r="Z3192">
        <v>-2.7470049999999998E-3</v>
      </c>
      <c r="AA3192">
        <v>0.98116029999999999</v>
      </c>
      <c r="AB3192">
        <v>28</v>
      </c>
      <c r="AC3192">
        <v>32.637699999999903</v>
      </c>
      <c r="AD3192">
        <v>-1.02846959</v>
      </c>
      <c r="AE3192">
        <v>-6.7479999999999896</v>
      </c>
      <c r="AF3192">
        <v>6.4903286487482603</v>
      </c>
      <c r="AG3192">
        <v>-1.02846959</v>
      </c>
      <c r="AH3192">
        <v>32.657588978909502</v>
      </c>
      <c r="AI3192">
        <v>91.769213589461202</v>
      </c>
      <c r="AJ3192">
        <v>78.759568854978099</v>
      </c>
      <c r="AK3192">
        <v>33.312163447931503</v>
      </c>
      <c r="AL3192">
        <v>87.709902561194497</v>
      </c>
      <c r="AM3192">
        <v>88.3193302849443</v>
      </c>
      <c r="AN3192">
        <v>1.00000002824515</v>
      </c>
    </row>
    <row r="3193" spans="1:40" x14ac:dyDescent="0.25">
      <c r="A3193" t="str">
        <f>"20190312172952958"</f>
        <v>20190312172952958</v>
      </c>
      <c r="B3193" t="str">
        <f>"1552382992950627"</f>
        <v>1552382992950627</v>
      </c>
      <c r="C3193" t="s">
        <v>40</v>
      </c>
      <c r="D3193">
        <v>3.095056</v>
      </c>
      <c r="E3193">
        <v>0.57113780000000003</v>
      </c>
      <c r="F3193" t="s">
        <v>48</v>
      </c>
      <c r="G3193">
        <v>-407.9203</v>
      </c>
      <c r="H3193">
        <v>8.0001500000000003E-2</v>
      </c>
      <c r="I3193">
        <v>206.5496</v>
      </c>
      <c r="J3193">
        <v>-436.02199999999999</v>
      </c>
      <c r="K3193">
        <v>1.108466</v>
      </c>
      <c r="L3193">
        <v>212.8494</v>
      </c>
      <c r="M3193">
        <v>0.99995849999999997</v>
      </c>
      <c r="N3193">
        <v>0</v>
      </c>
      <c r="O3193">
        <v>-7.7694159999999899E-3</v>
      </c>
      <c r="P3193">
        <v>0.99870959999999998</v>
      </c>
      <c r="Q3193">
        <v>3.511856E-2</v>
      </c>
      <c r="R3193">
        <v>-3.6689899999999998E-2</v>
      </c>
      <c r="S3193">
        <v>2.9831539999999999</v>
      </c>
      <c r="T3193">
        <v>-0.1081414</v>
      </c>
      <c r="U3193">
        <v>-0.66264339999999999</v>
      </c>
      <c r="V3193">
        <v>2.8936549999999998E-2</v>
      </c>
      <c r="W3193">
        <v>3.990432E-2</v>
      </c>
      <c r="X3193">
        <v>0.99878440000000002</v>
      </c>
      <c r="Y3193">
        <v>0.20912600000000001</v>
      </c>
      <c r="Z3193">
        <v>-3.46555E-3</v>
      </c>
      <c r="AA3193">
        <v>0.97788260000000005</v>
      </c>
      <c r="AB3193">
        <v>28</v>
      </c>
      <c r="AC3193">
        <v>28.101699999999902</v>
      </c>
      <c r="AD3193">
        <v>-1.0284644999999999</v>
      </c>
      <c r="AE3193">
        <v>-6.2998000000000003</v>
      </c>
      <c r="AF3193">
        <v>6.0735279093313199</v>
      </c>
      <c r="AG3193">
        <v>-1.0284644999999999</v>
      </c>
      <c r="AH3193">
        <v>28.1139439281982</v>
      </c>
      <c r="AI3193">
        <v>92.047860030610906</v>
      </c>
      <c r="AJ3193">
        <v>77.809583190424704</v>
      </c>
      <c r="AK3193">
        <v>28.780884692640399</v>
      </c>
      <c r="AL3193">
        <v>87.713043614715104</v>
      </c>
      <c r="AM3193">
        <v>88.340504166688902</v>
      </c>
      <c r="AN3193">
        <v>0.99999997818196196</v>
      </c>
    </row>
    <row r="3194" spans="1:40" x14ac:dyDescent="0.25">
      <c r="A3194" t="str">
        <f>"20190312172952980"</f>
        <v>20190312172952980</v>
      </c>
      <c r="B3194" t="str">
        <f>"1552382992971123"</f>
        <v>1552382992971123</v>
      </c>
      <c r="C3194" t="s">
        <v>40</v>
      </c>
      <c r="D3194">
        <v>3.0501149999999999</v>
      </c>
      <c r="E3194">
        <v>0.57188869999999903</v>
      </c>
      <c r="F3194" t="s">
        <v>48</v>
      </c>
      <c r="G3194">
        <v>-407.3691</v>
      </c>
      <c r="H3194">
        <v>8.0001459999999996E-2</v>
      </c>
      <c r="I3194">
        <v>206.43440000000001</v>
      </c>
      <c r="J3194">
        <v>-435.7355</v>
      </c>
      <c r="K3194">
        <v>1.1084620000000001</v>
      </c>
      <c r="L3194">
        <v>212.84710000000001</v>
      </c>
      <c r="M3194">
        <v>0.99995809999999996</v>
      </c>
      <c r="N3194">
        <v>0</v>
      </c>
      <c r="O3194">
        <v>-7.843928E-3</v>
      </c>
      <c r="P3194">
        <v>0.99868900000000005</v>
      </c>
      <c r="Q3194">
        <v>3.568035E-2</v>
      </c>
      <c r="R3194">
        <v>-3.6711090000000002E-2</v>
      </c>
      <c r="S3194">
        <v>2.9830930000000002</v>
      </c>
      <c r="T3194">
        <v>-0.107075</v>
      </c>
      <c r="U3194">
        <v>-0.66787719999999995</v>
      </c>
      <c r="V3194">
        <v>2.8883510000000001E-2</v>
      </c>
      <c r="W3194">
        <v>4.0420789999999998E-2</v>
      </c>
      <c r="X3194">
        <v>0.99876520000000002</v>
      </c>
      <c r="Y3194">
        <v>0.21069309999999999</v>
      </c>
      <c r="Z3194">
        <v>-3.4559500000000002E-3</v>
      </c>
      <c r="AA3194">
        <v>0.97754620000000003</v>
      </c>
      <c r="AB3194">
        <v>28</v>
      </c>
      <c r="AC3194">
        <v>28.366399999999999</v>
      </c>
      <c r="AD3194">
        <v>-1.02846054</v>
      </c>
      <c r="AE3194">
        <v>-6.4127000000000001</v>
      </c>
      <c r="AF3194">
        <v>6.1822646654708002</v>
      </c>
      <c r="AG3194">
        <v>-1.02846054</v>
      </c>
      <c r="AH3194">
        <v>28.380336035651499</v>
      </c>
      <c r="AI3194">
        <v>92.027888825757699</v>
      </c>
      <c r="AJ3194">
        <v>77.710887968245004</v>
      </c>
      <c r="AK3194">
        <v>29.0640947041666</v>
      </c>
      <c r="AL3194">
        <v>87.683428243773093</v>
      </c>
      <c r="AM3194">
        <v>88.343512460880802</v>
      </c>
      <c r="AN3194">
        <v>1.00000001107259</v>
      </c>
    </row>
    <row r="3195" spans="1:40" x14ac:dyDescent="0.25">
      <c r="A3195" t="str">
        <f>"20190312172953003"</f>
        <v>20190312172953003</v>
      </c>
      <c r="B3195" t="str">
        <f>"1552382992990642"</f>
        <v>1552382992990642</v>
      </c>
      <c r="C3195" t="s">
        <v>40</v>
      </c>
      <c r="D3195">
        <v>2.9967670000000002</v>
      </c>
      <c r="E3195">
        <v>0.57247789999999998</v>
      </c>
      <c r="F3195" t="s">
        <v>48</v>
      </c>
      <c r="G3195">
        <v>-406.16469999999998</v>
      </c>
      <c r="H3195">
        <v>8.0001320000000001E-2</v>
      </c>
      <c r="I3195">
        <v>206.16640000000001</v>
      </c>
      <c r="J3195">
        <v>-435.45030000000003</v>
      </c>
      <c r="K3195">
        <v>1.1084529999999999</v>
      </c>
      <c r="L3195">
        <v>212.84479999999999</v>
      </c>
      <c r="M3195">
        <v>0.99995769999999995</v>
      </c>
      <c r="N3195">
        <v>0</v>
      </c>
      <c r="O3195">
        <v>-7.9180880000000002E-3</v>
      </c>
      <c r="P3195">
        <v>0.99865789999999999</v>
      </c>
      <c r="Q3195">
        <v>3.6252449999999999E-2</v>
      </c>
      <c r="R3195">
        <v>-3.699148E-2</v>
      </c>
      <c r="S3195">
        <v>2.9828800000000002</v>
      </c>
      <c r="T3195">
        <v>-0.10374360000000001</v>
      </c>
      <c r="U3195">
        <v>-0.67390439999999996</v>
      </c>
      <c r="V3195">
        <v>2.9090100000000001E-2</v>
      </c>
      <c r="W3195">
        <v>4.0948209999999999E-2</v>
      </c>
      <c r="X3195">
        <v>0.99873769999999995</v>
      </c>
      <c r="Y3195">
        <v>0.21252199999999999</v>
      </c>
      <c r="Z3195">
        <v>-3.3768449999999998E-3</v>
      </c>
      <c r="AA3195">
        <v>0.97715039999999997</v>
      </c>
      <c r="AB3195">
        <v>28</v>
      </c>
      <c r="AC3195">
        <v>29.285599999999999</v>
      </c>
      <c r="AD3195">
        <v>-1.0284516800000001</v>
      </c>
      <c r="AE3195">
        <v>-6.6783999999999804</v>
      </c>
      <c r="AF3195">
        <v>6.4387539298659497</v>
      </c>
      <c r="AG3195">
        <v>-1.0284516800000001</v>
      </c>
      <c r="AH3195">
        <v>29.303210235873198</v>
      </c>
      <c r="AI3195">
        <v>91.963281230740606</v>
      </c>
      <c r="AJ3195">
        <v>77.607413451551096</v>
      </c>
      <c r="AK3195">
        <v>30.019883330140399</v>
      </c>
      <c r="AL3195">
        <v>87.653184217309601</v>
      </c>
      <c r="AM3195">
        <v>88.331625154862294</v>
      </c>
      <c r="AN3195">
        <v>0.99999999161075104</v>
      </c>
    </row>
    <row r="3196" spans="1:40" x14ac:dyDescent="0.25">
      <c r="A3196" t="str">
        <f>"20190312172953025"</f>
        <v>20190312172953025</v>
      </c>
      <c r="B3196" t="str">
        <f>"1552382993020899"</f>
        <v>1552382993020899</v>
      </c>
      <c r="C3196" t="s">
        <v>40</v>
      </c>
      <c r="D3196">
        <v>2.970297</v>
      </c>
      <c r="E3196">
        <v>0.57327229999999996</v>
      </c>
      <c r="F3196" t="s">
        <v>48</v>
      </c>
      <c r="G3196">
        <v>-404.13529999999997</v>
      </c>
      <c r="H3196">
        <v>8.0001340000000004E-2</v>
      </c>
      <c r="I3196">
        <v>205.7072</v>
      </c>
      <c r="J3196">
        <v>-435.16640000000001</v>
      </c>
      <c r="K3196">
        <v>1.1084449999999999</v>
      </c>
      <c r="L3196">
        <v>212.8425</v>
      </c>
      <c r="M3196">
        <v>0.99995730000000005</v>
      </c>
      <c r="N3196">
        <v>0</v>
      </c>
      <c r="O3196">
        <v>-7.9917809999999999E-3</v>
      </c>
      <c r="P3196">
        <v>0.99865079999999995</v>
      </c>
      <c r="Q3196">
        <v>3.659167E-2</v>
      </c>
      <c r="R3196">
        <v>-3.684929E-2</v>
      </c>
      <c r="S3196">
        <v>2.9824519999999999</v>
      </c>
      <c r="T3196">
        <v>-9.7950220000000005E-2</v>
      </c>
      <c r="U3196">
        <v>-0.67979429999999996</v>
      </c>
      <c r="V3196">
        <v>2.887439E-2</v>
      </c>
      <c r="W3196">
        <v>4.1246459999999999E-2</v>
      </c>
      <c r="X3196">
        <v>0.9987317</v>
      </c>
      <c r="Y3196">
        <v>0.21432680000000001</v>
      </c>
      <c r="Z3196">
        <v>-3.2149969999999998E-3</v>
      </c>
      <c r="AA3196">
        <v>0.97675670000000003</v>
      </c>
      <c r="AB3196">
        <v>28</v>
      </c>
      <c r="AC3196">
        <v>31.031099999999999</v>
      </c>
      <c r="AD3196">
        <v>-1.02844366</v>
      </c>
      <c r="AE3196">
        <v>-7.1353</v>
      </c>
      <c r="AF3196">
        <v>6.8798982109682596</v>
      </c>
      <c r="AG3196">
        <v>-1.02844366</v>
      </c>
      <c r="AH3196">
        <v>31.054735338245798</v>
      </c>
      <c r="AI3196">
        <v>91.851908985629194</v>
      </c>
      <c r="AJ3196">
        <v>77.508390133972696</v>
      </c>
      <c r="AK3196">
        <v>31.824319045088298</v>
      </c>
      <c r="AL3196">
        <v>87.636081332436603</v>
      </c>
      <c r="AM3196">
        <v>88.343979693031102</v>
      </c>
      <c r="AN3196">
        <v>1.0000000047226401</v>
      </c>
    </row>
    <row r="3197" spans="1:40" x14ac:dyDescent="0.25">
      <c r="A3197" t="str">
        <f>"20190312172953049"</f>
        <v>20190312172953049</v>
      </c>
      <c r="B3197" t="str">
        <f>"1552382993040419"</f>
        <v>1552382993040419</v>
      </c>
      <c r="C3197" t="s">
        <v>40</v>
      </c>
      <c r="D3197">
        <v>2.9790420000000002</v>
      </c>
      <c r="E3197">
        <v>0.57365859999999902</v>
      </c>
      <c r="F3197" t="s">
        <v>48</v>
      </c>
      <c r="G3197">
        <v>-402.57310000000001</v>
      </c>
      <c r="H3197">
        <v>8.0001649999999994E-2</v>
      </c>
      <c r="I3197">
        <v>205.34710000000001</v>
      </c>
      <c r="J3197">
        <v>-434.85680000000002</v>
      </c>
      <c r="K3197">
        <v>1.1084400000000001</v>
      </c>
      <c r="L3197">
        <v>212.8399</v>
      </c>
      <c r="M3197">
        <v>0.99995679999999998</v>
      </c>
      <c r="N3197">
        <v>0</v>
      </c>
      <c r="O3197">
        <v>-8.0725039999999994E-3</v>
      </c>
      <c r="P3197">
        <v>0.9986621</v>
      </c>
      <c r="Q3197">
        <v>3.6598859999999997E-2</v>
      </c>
      <c r="R3197">
        <v>-3.6535529999999997E-2</v>
      </c>
      <c r="S3197">
        <v>2.982208</v>
      </c>
      <c r="T3197">
        <v>-9.4100119999999995E-2</v>
      </c>
      <c r="U3197">
        <v>-0.68580629999999998</v>
      </c>
      <c r="V3197">
        <v>2.8480180000000001E-2</v>
      </c>
      <c r="W3197">
        <v>4.1210730000000001E-2</v>
      </c>
      <c r="X3197">
        <v>0.99874450000000004</v>
      </c>
      <c r="Y3197">
        <v>0.21614330000000001</v>
      </c>
      <c r="Z3197">
        <v>-3.114019E-3</v>
      </c>
      <c r="AA3197">
        <v>0.97635669999999997</v>
      </c>
      <c r="AB3197">
        <v>29</v>
      </c>
      <c r="AC3197">
        <v>32.283700000000003</v>
      </c>
      <c r="AD3197">
        <v>-1.0284383499999901</v>
      </c>
      <c r="AE3197">
        <v>-7.4927999999999804</v>
      </c>
      <c r="AF3197">
        <v>7.2249854845838897</v>
      </c>
      <c r="AG3197">
        <v>-1.0284383499999901</v>
      </c>
      <c r="AH3197">
        <v>32.312019481569699</v>
      </c>
      <c r="AI3197">
        <v>91.779111264714501</v>
      </c>
      <c r="AJ3197">
        <v>77.395958010645103</v>
      </c>
      <c r="AK3197">
        <v>33.125891741499402</v>
      </c>
      <c r="AL3197">
        <v>87.638130266633695</v>
      </c>
      <c r="AM3197">
        <v>88.366597237281894</v>
      </c>
      <c r="AN3197">
        <v>1.0000000106000999</v>
      </c>
    </row>
    <row r="3198" spans="1:40" x14ac:dyDescent="0.25">
      <c r="A3198" t="str">
        <f>"20190312172953071"</f>
        <v>20190312172953071</v>
      </c>
      <c r="B3198" t="str">
        <f>"1552382993060915"</f>
        <v>1552382993060915</v>
      </c>
      <c r="C3198" t="s">
        <v>40</v>
      </c>
      <c r="D3198">
        <v>2.9676619999999998</v>
      </c>
      <c r="E3198">
        <v>0.57398689999999997</v>
      </c>
      <c r="F3198" t="s">
        <v>48</v>
      </c>
      <c r="G3198">
        <v>-401.2647</v>
      </c>
      <c r="H3198">
        <v>8.0001920000000004E-2</v>
      </c>
      <c r="I3198">
        <v>205.08690000000001</v>
      </c>
      <c r="J3198">
        <v>-434.56049999999999</v>
      </c>
      <c r="K3198">
        <v>1.10843</v>
      </c>
      <c r="L3198">
        <v>212.83750000000001</v>
      </c>
      <c r="M3198">
        <v>0.99995639999999997</v>
      </c>
      <c r="N3198">
        <v>0</v>
      </c>
      <c r="O3198">
        <v>-8.1496569999999994E-3</v>
      </c>
      <c r="P3198">
        <v>0.99868290000000004</v>
      </c>
      <c r="Q3198">
        <v>3.6796370000000002E-2</v>
      </c>
      <c r="R3198">
        <v>-3.5763820000000002E-2</v>
      </c>
      <c r="S3198">
        <v>2.9821469999999999</v>
      </c>
      <c r="T3198">
        <v>-9.1299889999999995E-2</v>
      </c>
      <c r="U3198">
        <v>-0.68827819999999995</v>
      </c>
      <c r="V3198">
        <v>2.763123E-2</v>
      </c>
      <c r="W3198">
        <v>4.1367960000000002E-2</v>
      </c>
      <c r="X3198">
        <v>0.99876180000000003</v>
      </c>
      <c r="Y3198">
        <v>0.21684629999999999</v>
      </c>
      <c r="Z3198">
        <v>-3.0294670000000001E-3</v>
      </c>
      <c r="AA3198">
        <v>0.97620110000000004</v>
      </c>
      <c r="AB3198">
        <v>29</v>
      </c>
      <c r="AC3198">
        <v>33.2957999999999</v>
      </c>
      <c r="AD3198">
        <v>-1.0284280800000001</v>
      </c>
      <c r="AE3198">
        <v>-7.7505999999999897</v>
      </c>
      <c r="AF3198">
        <v>7.47222802463578</v>
      </c>
      <c r="AG3198">
        <v>-1.0284280800000001</v>
      </c>
      <c r="AH3198">
        <v>33.3276978777848</v>
      </c>
      <c r="AI3198">
        <v>91.724685949446794</v>
      </c>
      <c r="AJ3198">
        <v>77.362993043701493</v>
      </c>
      <c r="AK3198">
        <v>34.170561918130502</v>
      </c>
      <c r="AL3198">
        <v>87.629113849715495</v>
      </c>
      <c r="AM3198">
        <v>88.415288667318407</v>
      </c>
      <c r="AN3198">
        <v>0.99999996306255601</v>
      </c>
    </row>
    <row r="3199" spans="1:40" x14ac:dyDescent="0.25">
      <c r="A3199" t="str">
        <f>"20190312172953093"</f>
        <v>20190312172953093</v>
      </c>
      <c r="B3199" t="str">
        <f>"1552382993090717"</f>
        <v>1552382993090717</v>
      </c>
      <c r="C3199" t="s">
        <v>40</v>
      </c>
      <c r="D3199">
        <v>2.910501</v>
      </c>
      <c r="E3199">
        <v>0.57688119999999998</v>
      </c>
      <c r="F3199" t="s">
        <v>48</v>
      </c>
      <c r="G3199">
        <v>-400.04700000000003</v>
      </c>
      <c r="H3199">
        <v>8.0002149999999994E-2</v>
      </c>
      <c r="I3199">
        <v>204.8657</v>
      </c>
      <c r="J3199">
        <v>-434.27629999999999</v>
      </c>
      <c r="K3199">
        <v>1.1084240000000001</v>
      </c>
      <c r="L3199">
        <v>212.83510000000001</v>
      </c>
      <c r="M3199">
        <v>0.99995599999999996</v>
      </c>
      <c r="N3199">
        <v>0</v>
      </c>
      <c r="O3199">
        <v>-8.2235969999999992E-3</v>
      </c>
      <c r="P3199">
        <v>0.99868319999999999</v>
      </c>
      <c r="Q3199">
        <v>3.725498E-2</v>
      </c>
      <c r="R3199">
        <v>-3.5277179999999998E-2</v>
      </c>
      <c r="S3199">
        <v>2.9825740000000001</v>
      </c>
      <c r="T3199">
        <v>-8.8874220000000004E-2</v>
      </c>
      <c r="U3199">
        <v>-0.68890379999999996</v>
      </c>
      <c r="V3199">
        <v>2.7070759999999999E-2</v>
      </c>
      <c r="W3199">
        <v>4.1787680000000001E-2</v>
      </c>
      <c r="X3199">
        <v>0.99875970000000003</v>
      </c>
      <c r="Y3199">
        <v>0.21694279999999999</v>
      </c>
      <c r="Z3199">
        <v>-2.947781E-3</v>
      </c>
      <c r="AA3199">
        <v>0.97617980000000004</v>
      </c>
      <c r="AB3199">
        <v>29</v>
      </c>
      <c r="AC3199">
        <v>34.229300000000002</v>
      </c>
      <c r="AD3199">
        <v>-1.02842185</v>
      </c>
      <c r="AE3199">
        <v>-7.9694000000000003</v>
      </c>
      <c r="AF3199">
        <v>7.6810624647286501</v>
      </c>
      <c r="AG3199">
        <v>-1.02842185</v>
      </c>
      <c r="AH3199">
        <v>34.264340138532503</v>
      </c>
      <c r="AI3199">
        <v>91.677569655572</v>
      </c>
      <c r="AJ3199">
        <v>77.364848213831095</v>
      </c>
      <c r="AK3199">
        <v>35.129779065881898</v>
      </c>
      <c r="AL3199">
        <v>87.605044908921201</v>
      </c>
      <c r="AM3199">
        <v>88.447413686162903</v>
      </c>
      <c r="AN3199">
        <v>0.99999998729542405</v>
      </c>
    </row>
    <row r="3200" spans="1:40" x14ac:dyDescent="0.25">
      <c r="A3200" t="str">
        <f>"20190312172953114"</f>
        <v>20190312172953114</v>
      </c>
      <c r="B3200" t="str">
        <f>"1552382993111197"</f>
        <v>1552382993111197</v>
      </c>
      <c r="C3200" t="s">
        <v>40</v>
      </c>
      <c r="D3200">
        <v>2.8857810000000002</v>
      </c>
      <c r="E3200">
        <v>0.57927280000000003</v>
      </c>
      <c r="F3200" t="s">
        <v>43</v>
      </c>
      <c r="G3200">
        <v>-382.20639999999997</v>
      </c>
      <c r="H3200">
        <v>-0.05</v>
      </c>
      <c r="I3200">
        <v>200.4084</v>
      </c>
      <c r="J3200">
        <v>-434.00380000000001</v>
      </c>
      <c r="K3200">
        <v>1.1084160000000001</v>
      </c>
      <c r="L3200">
        <v>212.83279999999999</v>
      </c>
      <c r="M3200">
        <v>0.9999555</v>
      </c>
      <c r="N3200">
        <v>0</v>
      </c>
      <c r="O3200">
        <v>-8.2944409999999996E-3</v>
      </c>
      <c r="P3200">
        <v>0.99868579999999996</v>
      </c>
      <c r="Q3200">
        <v>3.7437650000000003E-2</v>
      </c>
      <c r="R3200">
        <v>-3.4999849999999999E-2</v>
      </c>
      <c r="S3200">
        <v>2.9812620000000001</v>
      </c>
      <c r="T3200">
        <v>-6.6325549999999997E-2</v>
      </c>
      <c r="U3200">
        <v>-0.71148679999999997</v>
      </c>
      <c r="V3200">
        <v>2.6722849999999999E-2</v>
      </c>
      <c r="W3200">
        <v>4.1932990000000003E-2</v>
      </c>
      <c r="X3200">
        <v>0.99876299999999996</v>
      </c>
      <c r="Y3200">
        <v>0.2240074</v>
      </c>
      <c r="Z3200">
        <v>-2.2750940000000001E-3</v>
      </c>
      <c r="AA3200">
        <v>0.97458480000000003</v>
      </c>
      <c r="AB3200">
        <v>29</v>
      </c>
      <c r="AC3200">
        <v>51.797400000000003</v>
      </c>
      <c r="AD3200">
        <v>-1.1584159999999999</v>
      </c>
      <c r="AE3200">
        <v>-12.424399999999901</v>
      </c>
      <c r="AF3200">
        <v>11.9886677008859</v>
      </c>
      <c r="AG3200">
        <v>-1.1584159999999999</v>
      </c>
      <c r="AH3200">
        <v>51.874138609012199</v>
      </c>
      <c r="AI3200">
        <v>91.246432035414898</v>
      </c>
      <c r="AJ3200">
        <v>76.986809904361806</v>
      </c>
      <c r="AK3200">
        <v>53.254073433854103</v>
      </c>
      <c r="AL3200">
        <v>87.596712005446904</v>
      </c>
      <c r="AM3200">
        <v>88.467362812589897</v>
      </c>
      <c r="AN3200">
        <v>1.0000000082657301</v>
      </c>
    </row>
    <row r="3201" spans="1:40" x14ac:dyDescent="0.25">
      <c r="A3201" t="str">
        <f>"20190312172953137"</f>
        <v>20190312172953137</v>
      </c>
      <c r="B3201" t="str">
        <f>"1552382993130718"</f>
        <v>1552382993130718</v>
      </c>
      <c r="C3201" t="s">
        <v>40</v>
      </c>
      <c r="D3201">
        <v>2.88408</v>
      </c>
      <c r="E3201">
        <v>0.57937299999999903</v>
      </c>
      <c r="F3201" t="s">
        <v>43</v>
      </c>
      <c r="G3201">
        <v>-385.21170000000001</v>
      </c>
      <c r="H3201">
        <v>-0.05</v>
      </c>
      <c r="I3201">
        <v>200.89570000000001</v>
      </c>
      <c r="J3201">
        <v>-433.70400000000001</v>
      </c>
      <c r="K3201">
        <v>1.108403</v>
      </c>
      <c r="L3201">
        <v>212.83019999999999</v>
      </c>
      <c r="M3201">
        <v>0.99995509999999999</v>
      </c>
      <c r="N3201">
        <v>0</v>
      </c>
      <c r="O3201">
        <v>-8.3725450000000003E-3</v>
      </c>
      <c r="P3201">
        <v>0.99871929999999998</v>
      </c>
      <c r="Q3201">
        <v>3.7121800000000003E-2</v>
      </c>
      <c r="R3201">
        <v>-3.4376289999999997E-2</v>
      </c>
      <c r="S3201">
        <v>2.9810180000000002</v>
      </c>
      <c r="T3201">
        <v>-7.0774909999999996E-2</v>
      </c>
      <c r="U3201">
        <v>-0.72930909999999904</v>
      </c>
      <c r="V3201">
        <v>2.6021079999999999E-2</v>
      </c>
      <c r="W3201">
        <v>4.1574239999999998E-2</v>
      </c>
      <c r="X3201">
        <v>0.99879649999999998</v>
      </c>
      <c r="Y3201">
        <v>0.22944249999999999</v>
      </c>
      <c r="Z3201">
        <v>-2.4879379999999999E-3</v>
      </c>
      <c r="AA3201">
        <v>0.97331909999999999</v>
      </c>
      <c r="AB3201">
        <v>29</v>
      </c>
      <c r="AC3201">
        <v>48.4923</v>
      </c>
      <c r="AD3201">
        <v>-1.1584030000000001</v>
      </c>
      <c r="AE3201">
        <v>-11.9344999999999</v>
      </c>
      <c r="AF3201">
        <v>11.5218742117159</v>
      </c>
      <c r="AG3201">
        <v>-1.1584030000000001</v>
      </c>
      <c r="AH3201">
        <v>48.564392652404003</v>
      </c>
      <c r="AI3201">
        <v>91.329521481693902</v>
      </c>
      <c r="AJ3201">
        <v>76.653372655009207</v>
      </c>
      <c r="AK3201">
        <v>49.925902260829297</v>
      </c>
      <c r="AL3201">
        <v>87.617284742585696</v>
      </c>
      <c r="AM3201">
        <v>88.507643054157199</v>
      </c>
      <c r="AN3201">
        <v>0.99999998122409595</v>
      </c>
    </row>
    <row r="3202" spans="1:40" x14ac:dyDescent="0.25">
      <c r="A3202" t="str">
        <f>"20190312172953159"</f>
        <v>20190312172953159</v>
      </c>
      <c r="B3202" t="str">
        <f>"1552382993151214"</f>
        <v>1552382993151214</v>
      </c>
      <c r="C3202" t="s">
        <v>40</v>
      </c>
      <c r="D3202">
        <v>2.8921770000000002</v>
      </c>
      <c r="E3202">
        <v>0.57947309999999996</v>
      </c>
      <c r="F3202" t="s">
        <v>43</v>
      </c>
      <c r="G3202">
        <v>-386.18939999999998</v>
      </c>
      <c r="H3202">
        <v>-0.05</v>
      </c>
      <c r="I3202">
        <v>201.22120000000001</v>
      </c>
      <c r="J3202">
        <v>-433.41300000000001</v>
      </c>
      <c r="K3202">
        <v>1.1083909999999999</v>
      </c>
      <c r="L3202">
        <v>212.82769999999999</v>
      </c>
      <c r="M3202">
        <v>0.99995460000000003</v>
      </c>
      <c r="N3202">
        <v>0</v>
      </c>
      <c r="O3202">
        <v>-8.4479080000000005E-3</v>
      </c>
      <c r="P3202">
        <v>0.99873889999999999</v>
      </c>
      <c r="Q3202">
        <v>3.7011240000000001E-2</v>
      </c>
      <c r="R3202">
        <v>-3.3923910000000002E-2</v>
      </c>
      <c r="S3202">
        <v>2.981506</v>
      </c>
      <c r="T3202">
        <v>-7.2688820000000001E-2</v>
      </c>
      <c r="U3202">
        <v>-0.72845459999999995</v>
      </c>
      <c r="V3202">
        <v>2.5493080000000001E-2</v>
      </c>
      <c r="W3202">
        <v>4.1420360000000003E-2</v>
      </c>
      <c r="X3202">
        <v>0.9988165</v>
      </c>
      <c r="Y3202">
        <v>0.22906609999999999</v>
      </c>
      <c r="Z3202">
        <v>-2.548547E-3</v>
      </c>
      <c r="AA3202">
        <v>0.97340749999999998</v>
      </c>
      <c r="AB3202">
        <v>29</v>
      </c>
      <c r="AC3202">
        <v>47.223599999999998</v>
      </c>
      <c r="AD3202">
        <v>-1.1583909999999999</v>
      </c>
      <c r="AE3202">
        <v>-11.606499999999899</v>
      </c>
      <c r="AF3202">
        <v>11.200785548198199</v>
      </c>
      <c r="AG3202">
        <v>-1.1583909999999999</v>
      </c>
      <c r="AH3202">
        <v>47.293130425666</v>
      </c>
      <c r="AI3202">
        <v>91.3653583567704</v>
      </c>
      <c r="AJ3202">
        <v>76.675719995381698</v>
      </c>
      <c r="AK3202">
        <v>48.615220374535603</v>
      </c>
      <c r="AL3202">
        <v>87.626108996518596</v>
      </c>
      <c r="AM3202">
        <v>88.5379408117428</v>
      </c>
      <c r="AN3202">
        <v>0.99999997201133195</v>
      </c>
    </row>
    <row r="3203" spans="1:40" x14ac:dyDescent="0.25">
      <c r="A3203" t="str">
        <f>"20190312172953181"</f>
        <v>20190312172953181</v>
      </c>
      <c r="B3203" t="str">
        <f>"1552382993170737"</f>
        <v>1552382993170737</v>
      </c>
      <c r="C3203" t="s">
        <v>40</v>
      </c>
      <c r="D3203">
        <v>2.8686449999999999</v>
      </c>
      <c r="E3203">
        <v>0.58177389999999995</v>
      </c>
      <c r="F3203" t="s">
        <v>43</v>
      </c>
      <c r="G3203">
        <v>-386.57510000000002</v>
      </c>
      <c r="H3203">
        <v>-0.05</v>
      </c>
      <c r="I3203">
        <v>201.39410000000001</v>
      </c>
      <c r="J3203">
        <v>-433.11090000000002</v>
      </c>
      <c r="K3203">
        <v>1.108376</v>
      </c>
      <c r="L3203">
        <v>212.82509999999999</v>
      </c>
      <c r="M3203">
        <v>0.99995420000000002</v>
      </c>
      <c r="N3203">
        <v>0</v>
      </c>
      <c r="O3203">
        <v>-8.5262459999999995E-3</v>
      </c>
      <c r="P3203">
        <v>0.99873020000000001</v>
      </c>
      <c r="Q3203">
        <v>3.7094809999999999E-2</v>
      </c>
      <c r="R3203">
        <v>-3.4090839999999997E-2</v>
      </c>
      <c r="S3203">
        <v>2.9818120000000001</v>
      </c>
      <c r="T3203">
        <v>-7.374609E-2</v>
      </c>
      <c r="U3203">
        <v>-0.72788999999999904</v>
      </c>
      <c r="V3203">
        <v>2.5581940000000001E-2</v>
      </c>
      <c r="W3203">
        <v>4.145799E-2</v>
      </c>
      <c r="X3203">
        <v>0.9988127</v>
      </c>
      <c r="Y3203">
        <v>0.2287912</v>
      </c>
      <c r="Z3203">
        <v>-2.580148E-3</v>
      </c>
      <c r="AA3203">
        <v>0.97347209999999995</v>
      </c>
      <c r="AB3203">
        <v>30</v>
      </c>
      <c r="AC3203">
        <v>46.535800000000002</v>
      </c>
      <c r="AD3203">
        <v>-1.1583760000000001</v>
      </c>
      <c r="AE3203">
        <v>-11.4309999999999</v>
      </c>
      <c r="AF3203">
        <v>11.027361112253001</v>
      </c>
      <c r="AG3203">
        <v>-1.1583760000000001</v>
      </c>
      <c r="AH3203">
        <v>46.604339177123698</v>
      </c>
      <c r="AI3203">
        <v>91.385580567652497</v>
      </c>
      <c r="AJ3203">
        <v>76.687702619959694</v>
      </c>
      <c r="AK3203">
        <v>47.905208048747603</v>
      </c>
      <c r="AL3203">
        <v>87.623951181454501</v>
      </c>
      <c r="AM3203">
        <v>88.532841226718801</v>
      </c>
      <c r="AN3203">
        <v>1.0000000051351401</v>
      </c>
    </row>
    <row r="3204" spans="1:40" x14ac:dyDescent="0.25">
      <c r="A3204" t="str">
        <f>"20190312172953202"</f>
        <v>20190312172953202</v>
      </c>
      <c r="B3204" t="str">
        <f>"1552382993191276"</f>
        <v>1552382993191276</v>
      </c>
      <c r="C3204" t="s">
        <v>40</v>
      </c>
      <c r="D3204">
        <v>2.8226659999999999</v>
      </c>
      <c r="E3204">
        <v>0.58225150000000003</v>
      </c>
      <c r="F3204" t="s">
        <v>43</v>
      </c>
      <c r="G3204">
        <v>-386.46140000000003</v>
      </c>
      <c r="H3204">
        <v>-0.05</v>
      </c>
      <c r="I3204">
        <v>201.14279999999999</v>
      </c>
      <c r="J3204">
        <v>-432.82209999999998</v>
      </c>
      <c r="K3204">
        <v>1.10836</v>
      </c>
      <c r="L3204">
        <v>212.82249999999999</v>
      </c>
      <c r="M3204">
        <v>0.99995369999999995</v>
      </c>
      <c r="N3204">
        <v>0</v>
      </c>
      <c r="O3204">
        <v>-8.6011330000000004E-3</v>
      </c>
      <c r="P3204">
        <v>0.99872590000000006</v>
      </c>
      <c r="Q3204">
        <v>3.7256030000000002E-2</v>
      </c>
      <c r="R3204">
        <v>-3.4038550000000001E-2</v>
      </c>
      <c r="S3204">
        <v>2.9811100000000001</v>
      </c>
      <c r="T3204">
        <v>-7.4025389999999996E-2</v>
      </c>
      <c r="U3204">
        <v>-0.74655150000000003</v>
      </c>
      <c r="V3204">
        <v>2.5454899999999999E-2</v>
      </c>
      <c r="W3204">
        <v>4.1576139999999998E-2</v>
      </c>
      <c r="X3204">
        <v>0.998811</v>
      </c>
      <c r="Y3204">
        <v>0.23450779999999999</v>
      </c>
      <c r="Z3204">
        <v>-2.65665E-3</v>
      </c>
      <c r="AA3204">
        <v>0.97211060000000005</v>
      </c>
      <c r="AB3204">
        <v>30</v>
      </c>
      <c r="AC3204">
        <v>46.360699999999902</v>
      </c>
      <c r="AD3204">
        <v>-1.1583600000000001</v>
      </c>
      <c r="AE3204">
        <v>-11.679699999999899</v>
      </c>
      <c r="AF3204">
        <v>11.2738915545388</v>
      </c>
      <c r="AG3204">
        <v>-1.1583600000000001</v>
      </c>
      <c r="AH3204">
        <v>46.432187448000498</v>
      </c>
      <c r="AI3204">
        <v>91.388748301095504</v>
      </c>
      <c r="AJ3204">
        <v>76.352490305724302</v>
      </c>
      <c r="AK3204">
        <v>47.795297466166602</v>
      </c>
      <c r="AL3204">
        <v>87.617175760914407</v>
      </c>
      <c r="AM3204">
        <v>88.540121497591898</v>
      </c>
      <c r="AN3204">
        <v>0.99999997053615397</v>
      </c>
    </row>
    <row r="3205" spans="1:40" x14ac:dyDescent="0.25">
      <c r="A3205" t="str">
        <f>"20190312172953226"</f>
        <v>20190312172953226</v>
      </c>
      <c r="B3205" t="str">
        <f>"1552382993220510"</f>
        <v>1552382993220510</v>
      </c>
      <c r="C3205" t="s">
        <v>40</v>
      </c>
      <c r="D3205">
        <v>2.8408639999999998</v>
      </c>
      <c r="E3205">
        <v>0.58552469999999901</v>
      </c>
      <c r="F3205" t="s">
        <v>43</v>
      </c>
      <c r="G3205">
        <v>-384.22519999999997</v>
      </c>
      <c r="H3205">
        <v>-0.05</v>
      </c>
      <c r="I3205">
        <v>200.59010000000001</v>
      </c>
      <c r="J3205">
        <v>-432.51459999999997</v>
      </c>
      <c r="K3205">
        <v>1.1083480000000001</v>
      </c>
      <c r="L3205">
        <v>212.81979999999999</v>
      </c>
      <c r="M3205">
        <v>0.99995319999999999</v>
      </c>
      <c r="N3205">
        <v>0</v>
      </c>
      <c r="O3205">
        <v>-8.6806639999999994E-3</v>
      </c>
      <c r="P3205">
        <v>0.998726</v>
      </c>
      <c r="Q3205">
        <v>3.7171019999999999E-2</v>
      </c>
      <c r="R3205">
        <v>-3.4128579999999999E-2</v>
      </c>
      <c r="S3205">
        <v>2.9808650000000001</v>
      </c>
      <c r="T3205">
        <v>-7.1052069999999995E-2</v>
      </c>
      <c r="U3205">
        <v>-0.7503204</v>
      </c>
      <c r="V3205">
        <v>2.5465769999999999E-2</v>
      </c>
      <c r="W3205">
        <v>4.144465E-2</v>
      </c>
      <c r="X3205">
        <v>0.99881620000000004</v>
      </c>
      <c r="Y3205">
        <v>0.23561019999999999</v>
      </c>
      <c r="Z3205">
        <v>-2.560859E-3</v>
      </c>
      <c r="AA3205">
        <v>0.97184429999999999</v>
      </c>
      <c r="AB3205">
        <v>30</v>
      </c>
      <c r="AC3205">
        <v>48.289400000000001</v>
      </c>
      <c r="AD3205">
        <v>-1.1583479999999999</v>
      </c>
      <c r="AE3205">
        <v>-12.2296999999999</v>
      </c>
      <c r="AF3205">
        <v>11.803668796021899</v>
      </c>
      <c r="AG3205">
        <v>-1.1583479999999999</v>
      </c>
      <c r="AH3205">
        <v>48.367589894886798</v>
      </c>
      <c r="AI3205">
        <v>91.332806024701796</v>
      </c>
      <c r="AJ3205">
        <v>76.285552976655396</v>
      </c>
      <c r="AK3205">
        <v>49.8005232841507</v>
      </c>
      <c r="AL3205">
        <v>87.624716111833294</v>
      </c>
      <c r="AM3205">
        <v>88.539505956288806</v>
      </c>
      <c r="AN3205">
        <v>0.99999998291887704</v>
      </c>
    </row>
    <row r="3206" spans="1:40" x14ac:dyDescent="0.25">
      <c r="A3206" t="str">
        <f>"20190312172953248"</f>
        <v>20190312172953248</v>
      </c>
      <c r="B3206" t="str">
        <f>"1552382993241006"</f>
        <v>1552382993241006</v>
      </c>
      <c r="C3206" t="s">
        <v>40</v>
      </c>
      <c r="D3206">
        <v>2.785676</v>
      </c>
      <c r="E3206">
        <v>0.58356439999999998</v>
      </c>
      <c r="F3206" t="s">
        <v>43</v>
      </c>
      <c r="G3206">
        <v>-382.31450000000001</v>
      </c>
      <c r="H3206">
        <v>-0.05</v>
      </c>
      <c r="I3206">
        <v>199.73320000000001</v>
      </c>
      <c r="J3206">
        <v>-432.21449999999999</v>
      </c>
      <c r="K3206">
        <v>1.1083419999999999</v>
      </c>
      <c r="L3206">
        <v>212.81710000000001</v>
      </c>
      <c r="M3206">
        <v>0.99995279999999998</v>
      </c>
      <c r="N3206">
        <v>0</v>
      </c>
      <c r="O3206">
        <v>-8.7580580000000009E-3</v>
      </c>
      <c r="P3206">
        <v>0.99875040000000004</v>
      </c>
      <c r="Q3206">
        <v>3.6917569999999997E-2</v>
      </c>
      <c r="R3206">
        <v>-3.3689570000000002E-2</v>
      </c>
      <c r="S3206">
        <v>2.9798279999999999</v>
      </c>
      <c r="T3206">
        <v>-6.8758369999999999E-2</v>
      </c>
      <c r="U3206">
        <v>-0.77680969999999905</v>
      </c>
      <c r="V3206">
        <v>2.4949140000000002E-2</v>
      </c>
      <c r="W3206">
        <v>4.1148320000000002E-2</v>
      </c>
      <c r="X3206">
        <v>0.99884150000000005</v>
      </c>
      <c r="Y3206">
        <v>0.24371570000000001</v>
      </c>
      <c r="Z3206">
        <v>-2.5665710000000001E-3</v>
      </c>
      <c r="AA3206">
        <v>0.96984329999999996</v>
      </c>
      <c r="AB3206">
        <v>30</v>
      </c>
      <c r="AC3206">
        <v>49.899999999999899</v>
      </c>
      <c r="AD3206">
        <v>-1.158342</v>
      </c>
      <c r="AE3206">
        <v>-13.0839</v>
      </c>
      <c r="AF3206">
        <v>12.639994240044601</v>
      </c>
      <c r="AG3206">
        <v>-1.158342</v>
      </c>
      <c r="AH3206">
        <v>49.987473436754897</v>
      </c>
      <c r="AI3206">
        <v>91.286964809509797</v>
      </c>
      <c r="AJ3206">
        <v>75.809459652463701</v>
      </c>
      <c r="AK3206">
        <v>51.573818078241999</v>
      </c>
      <c r="AL3206">
        <v>87.641709090328305</v>
      </c>
      <c r="AM3206">
        <v>88.569159121468701</v>
      </c>
      <c r="AN3206">
        <v>0.99999999297390596</v>
      </c>
    </row>
    <row r="3207" spans="1:40" x14ac:dyDescent="0.25">
      <c r="A3207" t="str">
        <f>"20190312172953349"</f>
        <v>20190312172953349</v>
      </c>
      <c r="B3207" t="str">
        <f>"1552382993340558"</f>
        <v>1552382993340558</v>
      </c>
      <c r="C3207" t="s">
        <v>40</v>
      </c>
      <c r="D3207">
        <v>2.5979040000000002</v>
      </c>
      <c r="E3207">
        <v>0.46078370000000002</v>
      </c>
      <c r="F3207" t="s">
        <v>50</v>
      </c>
      <c r="G3207">
        <v>-380.3537</v>
      </c>
      <c r="H3207">
        <v>0.31537470000000001</v>
      </c>
      <c r="I3207">
        <v>199.57599999999999</v>
      </c>
      <c r="J3207">
        <v>-430.83670000000001</v>
      </c>
      <c r="K3207">
        <v>1.1082970000000001</v>
      </c>
      <c r="L3207">
        <v>212.80449999999999</v>
      </c>
      <c r="M3207">
        <v>0.99995040000000002</v>
      </c>
      <c r="N3207">
        <v>0</v>
      </c>
      <c r="O3207">
        <v>-9.1130389999999999E-3</v>
      </c>
      <c r="P3207">
        <v>0.99886810000000004</v>
      </c>
      <c r="Q3207">
        <v>3.672222E-2</v>
      </c>
      <c r="R3207">
        <v>-3.023727E-2</v>
      </c>
      <c r="S3207">
        <v>2.9797359999999999</v>
      </c>
      <c r="T3207">
        <v>-4.5561079999999997E-2</v>
      </c>
      <c r="U3207">
        <v>-0.76078800000000002</v>
      </c>
      <c r="V3207">
        <v>2.1141429999999999E-2</v>
      </c>
      <c r="W3207">
        <v>4.0770969999999997E-2</v>
      </c>
      <c r="X3207">
        <v>0.99894479999999997</v>
      </c>
      <c r="Y3207">
        <v>0.23851929999999999</v>
      </c>
      <c r="Z3207">
        <v>-1.657534E-3</v>
      </c>
      <c r="AA3207">
        <v>0.97113629999999995</v>
      </c>
      <c r="AB3207">
        <v>31</v>
      </c>
      <c r="AC3207">
        <v>50.482999999999997</v>
      </c>
      <c r="AD3207">
        <v>-0.79292229999999897</v>
      </c>
      <c r="AE3207">
        <v>-13.228499999999899</v>
      </c>
      <c r="AF3207">
        <v>12.764946633666399</v>
      </c>
      <c r="AG3207">
        <v>-0.79292229999999897</v>
      </c>
      <c r="AH3207">
        <v>50.589777845250502</v>
      </c>
      <c r="AI3207">
        <v>90.870671394027099</v>
      </c>
      <c r="AJ3207">
        <v>75.838575408039404</v>
      </c>
      <c r="AK3207">
        <v>52.181397171463203</v>
      </c>
      <c r="AL3207">
        <v>87.663347764911805</v>
      </c>
      <c r="AM3207">
        <v>88.787586752316301</v>
      </c>
      <c r="AN3207">
        <v>0.99999997275211205</v>
      </c>
    </row>
    <row r="3208" spans="1:40" x14ac:dyDescent="0.25">
      <c r="A3208" t="str">
        <f>"20190312172953370"</f>
        <v>20190312172953370</v>
      </c>
      <c r="B3208" t="str">
        <f>"1552382993361057"</f>
        <v>1552382993361057</v>
      </c>
      <c r="C3208" t="s">
        <v>40</v>
      </c>
      <c r="D3208">
        <v>2.590325</v>
      </c>
      <c r="E3208">
        <v>0.46300479999999999</v>
      </c>
      <c r="F3208" t="s">
        <v>48</v>
      </c>
      <c r="G3208">
        <v>-402.59030000000001</v>
      </c>
      <c r="H3208" s="1">
        <v>7.1770780000000001E-6</v>
      </c>
      <c r="I3208">
        <v>214.98650000000001</v>
      </c>
      <c r="J3208">
        <v>-430.52589999999998</v>
      </c>
      <c r="K3208">
        <v>1.1082799999999999</v>
      </c>
      <c r="L3208">
        <v>212.80160000000001</v>
      </c>
      <c r="M3208">
        <v>0.9999498</v>
      </c>
      <c r="N3208">
        <v>0</v>
      </c>
      <c r="O3208">
        <v>-9.1924569999999994E-3</v>
      </c>
      <c r="P3208">
        <v>0.99886269999999999</v>
      </c>
      <c r="Q3208">
        <v>3.7027280000000003E-2</v>
      </c>
      <c r="R3208">
        <v>-3.003933E-2</v>
      </c>
      <c r="S3208">
        <v>3.0147710000000001</v>
      </c>
      <c r="T3208">
        <v>-0.1182889</v>
      </c>
      <c r="U3208">
        <v>0.23287959999999999</v>
      </c>
      <c r="V3208">
        <v>2.086433E-2</v>
      </c>
      <c r="W3208">
        <v>4.1030160000000003E-2</v>
      </c>
      <c r="X3208">
        <v>0.9989401</v>
      </c>
      <c r="Y3208">
        <v>-8.6105860000000006E-2</v>
      </c>
      <c r="Z3208">
        <v>2.046122E-3</v>
      </c>
      <c r="AA3208">
        <v>0.9962839</v>
      </c>
      <c r="AB3208">
        <v>31</v>
      </c>
      <c r="AC3208">
        <v>27.935599999999901</v>
      </c>
      <c r="AD3208">
        <v>-1.108272822922</v>
      </c>
      <c r="AE3208">
        <v>2.1848999999999901</v>
      </c>
      <c r="AF3208">
        <v>-2.4377930093596598</v>
      </c>
      <c r="AG3208">
        <v>-1.108272822922</v>
      </c>
      <c r="AH3208">
        <v>27.870735827609401</v>
      </c>
      <c r="AI3208">
        <v>92.268500489890002</v>
      </c>
      <c r="AJ3208">
        <v>94.998815853145501</v>
      </c>
      <c r="AK3208">
        <v>27.999089609822999</v>
      </c>
      <c r="AL3208">
        <v>87.648485036951698</v>
      </c>
      <c r="AM3208">
        <v>88.803467532819298</v>
      </c>
      <c r="AN3208">
        <v>1.0000000588419899</v>
      </c>
    </row>
    <row r="3209" spans="1:40" x14ac:dyDescent="0.25">
      <c r="A3209" t="str">
        <f>"20190312172953393"</f>
        <v>20190312172953393</v>
      </c>
      <c r="B3209" t="str">
        <f>"1552382993380577"</f>
        <v>1552382993380577</v>
      </c>
      <c r="C3209" t="s">
        <v>40</v>
      </c>
      <c r="D3209">
        <v>2.570074</v>
      </c>
      <c r="E3209">
        <v>0.46437519999999999</v>
      </c>
      <c r="F3209" t="s">
        <v>47</v>
      </c>
      <c r="G3209">
        <v>-394.09429999999998</v>
      </c>
      <c r="H3209" s="1">
        <v>6.4199340000000004E-7</v>
      </c>
      <c r="I3209">
        <v>215.39490000000001</v>
      </c>
      <c r="J3209">
        <v>-430.21559999999999</v>
      </c>
      <c r="K3209">
        <v>1.1082719999999999</v>
      </c>
      <c r="L3209">
        <v>212.7987</v>
      </c>
      <c r="M3209">
        <v>0.99994910000000004</v>
      </c>
      <c r="N3209">
        <v>0</v>
      </c>
      <c r="O3209">
        <v>-9.2718760000000001E-3</v>
      </c>
      <c r="P3209">
        <v>0.99888120000000002</v>
      </c>
      <c r="Q3209">
        <v>3.6907269999999999E-2</v>
      </c>
      <c r="R3209">
        <v>-2.9560360000000001E-2</v>
      </c>
      <c r="S3209">
        <v>3.013306</v>
      </c>
      <c r="T3209">
        <v>-9.1667180000000001E-2</v>
      </c>
      <c r="U3209">
        <v>0.21449280000000001</v>
      </c>
      <c r="V3209">
        <v>2.0306069999999999E-2</v>
      </c>
      <c r="W3209">
        <v>4.0863410000000003E-2</v>
      </c>
      <c r="X3209">
        <v>0.99895840000000002</v>
      </c>
      <c r="Y3209">
        <v>-8.0206559999999996E-2</v>
      </c>
      <c r="Z3209">
        <v>1.499811E-3</v>
      </c>
      <c r="AA3209">
        <v>0.99677709999999997</v>
      </c>
      <c r="AB3209">
        <v>31</v>
      </c>
      <c r="AC3209">
        <v>36.121299999999998</v>
      </c>
      <c r="AD3209">
        <v>-1.1082713580065999</v>
      </c>
      <c r="AE3209">
        <v>2.5962000000000098</v>
      </c>
      <c r="AF3209">
        <v>-2.9282608244589299</v>
      </c>
      <c r="AG3209">
        <v>-1.1082713580065999</v>
      </c>
      <c r="AH3209">
        <v>36.061901953914003</v>
      </c>
      <c r="AI3209">
        <v>91.754515684865297</v>
      </c>
      <c r="AJ3209">
        <v>94.642286688383805</v>
      </c>
      <c r="AK3209">
        <v>36.197565517486801</v>
      </c>
      <c r="AL3209">
        <v>87.658047035699497</v>
      </c>
      <c r="AM3209">
        <v>88.835495147429498</v>
      </c>
      <c r="AN3209">
        <v>1.00000001984311</v>
      </c>
    </row>
    <row r="3210" spans="1:40" x14ac:dyDescent="0.25">
      <c r="A3210" t="str">
        <f>"20190312172953416"</f>
        <v>20190312172953416</v>
      </c>
      <c r="B3210" t="str">
        <f>"1552382993410830"</f>
        <v>1552382993410830</v>
      </c>
      <c r="C3210" t="s">
        <v>40</v>
      </c>
      <c r="D3210">
        <v>2.5895790000000001</v>
      </c>
      <c r="E3210">
        <v>0.46717320000000001</v>
      </c>
      <c r="F3210" t="s">
        <v>47</v>
      </c>
      <c r="G3210">
        <v>-384.8689</v>
      </c>
      <c r="H3210" s="1">
        <v>9.992068E-7</v>
      </c>
      <c r="I3210">
        <v>215.874</v>
      </c>
      <c r="J3210">
        <v>-429.89069999999998</v>
      </c>
      <c r="K3210">
        <v>1.108263</v>
      </c>
      <c r="L3210">
        <v>212.79560000000001</v>
      </c>
      <c r="M3210">
        <v>0.99994870000000002</v>
      </c>
      <c r="N3210">
        <v>0</v>
      </c>
      <c r="O3210">
        <v>-9.3552210000000004E-3</v>
      </c>
      <c r="P3210">
        <v>0.99886390000000003</v>
      </c>
      <c r="Q3210">
        <v>3.7150330000000002E-2</v>
      </c>
      <c r="R3210">
        <v>-2.9848090000000001E-2</v>
      </c>
      <c r="S3210">
        <v>3.0120849999999999</v>
      </c>
      <c r="T3210">
        <v>-7.3615189999999997E-2</v>
      </c>
      <c r="U3210">
        <v>0.20426939999999999</v>
      </c>
      <c r="V3210">
        <v>2.0510569999999999E-2</v>
      </c>
      <c r="W3210">
        <v>4.1055410000000001E-2</v>
      </c>
      <c r="X3210">
        <v>0.99894629999999995</v>
      </c>
      <c r="Y3210">
        <v>-7.6966450000000006E-2</v>
      </c>
      <c r="Z3210">
        <v>1.1676709999999999E-3</v>
      </c>
      <c r="AA3210">
        <v>0.99703299999999995</v>
      </c>
      <c r="AB3210">
        <v>31</v>
      </c>
      <c r="AC3210">
        <v>45.021799999999899</v>
      </c>
      <c r="AD3210">
        <v>-1.1082620007932</v>
      </c>
      <c r="AE3210">
        <v>3.07840000000001</v>
      </c>
      <c r="AF3210">
        <v>-3.4973479801768499</v>
      </c>
      <c r="AG3210">
        <v>-1.1082620007932</v>
      </c>
      <c r="AH3210">
        <v>44.963911197553998</v>
      </c>
      <c r="AI3210">
        <v>91.407679654166003</v>
      </c>
      <c r="AJ3210">
        <v>94.447581029850497</v>
      </c>
      <c r="AK3210">
        <v>45.1133350323203</v>
      </c>
      <c r="AL3210">
        <v>87.647036889933602</v>
      </c>
      <c r="AM3210">
        <v>88.823756593396695</v>
      </c>
      <c r="AN3210">
        <v>0.99999997022784104</v>
      </c>
    </row>
    <row r="3211" spans="1:40" x14ac:dyDescent="0.25">
      <c r="A3211" t="str">
        <f>"20190312172953439"</f>
        <v>20190312172953439</v>
      </c>
      <c r="B3211" t="str">
        <f>"1552382993431326"</f>
        <v>1552382993431326</v>
      </c>
      <c r="C3211" t="s">
        <v>40</v>
      </c>
      <c r="D3211">
        <v>2.6821570000000001</v>
      </c>
      <c r="E3211">
        <v>0.46822849999999999</v>
      </c>
      <c r="F3211" t="s">
        <v>47</v>
      </c>
      <c r="G3211">
        <v>-381.0849</v>
      </c>
      <c r="H3211" s="1">
        <v>-1.007805E-6</v>
      </c>
      <c r="I3211">
        <v>215.72200000000001</v>
      </c>
      <c r="J3211">
        <v>-429.57479999999998</v>
      </c>
      <c r="K3211">
        <v>1.1082559999999999</v>
      </c>
      <c r="L3211">
        <v>212.79259999999999</v>
      </c>
      <c r="M3211">
        <v>0.99994799999999995</v>
      </c>
      <c r="N3211">
        <v>0</v>
      </c>
      <c r="O3211">
        <v>-9.4360650000000004E-3</v>
      </c>
      <c r="P3211">
        <v>0.99881050000000005</v>
      </c>
      <c r="Q3211">
        <v>3.8030660000000001E-2</v>
      </c>
      <c r="R3211">
        <v>-3.0514619999999999E-2</v>
      </c>
      <c r="S3211">
        <v>3.0113219999999998</v>
      </c>
      <c r="T3211">
        <v>-6.8379880000000004E-2</v>
      </c>
      <c r="U3211">
        <v>0.1805573</v>
      </c>
      <c r="V3211">
        <v>2.1097069999999999E-2</v>
      </c>
      <c r="W3211">
        <v>4.1885810000000002E-2</v>
      </c>
      <c r="X3211">
        <v>0.9988996</v>
      </c>
      <c r="Y3211">
        <v>-6.9248320000000002E-2</v>
      </c>
      <c r="Z3211">
        <v>9.9948989999999998E-4</v>
      </c>
      <c r="AA3211">
        <v>0.99759889999999996</v>
      </c>
      <c r="AB3211">
        <v>31</v>
      </c>
      <c r="AC3211">
        <v>48.489899999999899</v>
      </c>
      <c r="AD3211">
        <v>-1.10825700780499</v>
      </c>
      <c r="AE3211">
        <v>2.92940000000001</v>
      </c>
      <c r="AF3211">
        <v>-3.3850650225753198</v>
      </c>
      <c r="AG3211">
        <v>-1.10825700780499</v>
      </c>
      <c r="AH3211">
        <v>48.434890011445802</v>
      </c>
      <c r="AI3211">
        <v>91.307589204322994</v>
      </c>
      <c r="AJ3211">
        <v>93.9978428879012</v>
      </c>
      <c r="AK3211">
        <v>48.565682011305697</v>
      </c>
      <c r="AL3211">
        <v>87.599417479445407</v>
      </c>
      <c r="AM3211">
        <v>88.790075211053903</v>
      </c>
      <c r="AN3211">
        <v>0.999999959161049</v>
      </c>
    </row>
    <row r="3212" spans="1:40" x14ac:dyDescent="0.25">
      <c r="A3212" t="str">
        <f>"20190312172953462"</f>
        <v>20190312172953462</v>
      </c>
      <c r="B3212" t="str">
        <f>"1552382993450863"</f>
        <v>1552382993450863</v>
      </c>
      <c r="C3212" t="s">
        <v>40</v>
      </c>
      <c r="D3212">
        <v>2.6945299999999999</v>
      </c>
      <c r="E3212">
        <v>0.46901039999999999</v>
      </c>
      <c r="F3212" t="s">
        <v>47</v>
      </c>
      <c r="G3212">
        <v>-379.74700000000001</v>
      </c>
      <c r="H3212" s="1">
        <v>3.6501E-6</v>
      </c>
      <c r="I3212">
        <v>215.6086</v>
      </c>
      <c r="J3212">
        <v>-429.24529999999999</v>
      </c>
      <c r="K3212">
        <v>1.108252</v>
      </c>
      <c r="L3212">
        <v>212.7894</v>
      </c>
      <c r="M3212">
        <v>0.99994740000000004</v>
      </c>
      <c r="N3212">
        <v>0</v>
      </c>
      <c r="O3212">
        <v>-9.5204820000000003E-3</v>
      </c>
      <c r="P3212">
        <v>0.99872620000000001</v>
      </c>
      <c r="Q3212">
        <v>3.9563109999999999E-2</v>
      </c>
      <c r="R3212">
        <v>-3.1320250000000001E-2</v>
      </c>
      <c r="S3212">
        <v>3.0113219999999998</v>
      </c>
      <c r="T3212">
        <v>-6.6976789999999994E-2</v>
      </c>
      <c r="U3212">
        <v>0.17018129999999901</v>
      </c>
      <c r="V3212">
        <v>2.1819450000000001E-2</v>
      </c>
      <c r="W3212">
        <v>4.3365540000000001E-2</v>
      </c>
      <c r="X3212">
        <v>0.99882099999999996</v>
      </c>
      <c r="Y3212">
        <v>-6.5908010000000003E-2</v>
      </c>
      <c r="Z3212">
        <v>9.4384670000000005E-4</v>
      </c>
      <c r="AA3212">
        <v>0.99782530000000003</v>
      </c>
      <c r="AB3212">
        <v>31</v>
      </c>
      <c r="AC3212">
        <v>49.4983</v>
      </c>
      <c r="AD3212">
        <v>-1.1082483499</v>
      </c>
      <c r="AE3212">
        <v>2.8191999999999902</v>
      </c>
      <c r="AF3212">
        <v>-3.288680064882</v>
      </c>
      <c r="AG3212">
        <v>-1.1082483499</v>
      </c>
      <c r="AH3212">
        <v>49.444510170965302</v>
      </c>
      <c r="AI3212">
        <v>91.281181715659301</v>
      </c>
      <c r="AJ3212">
        <v>93.8052831316744</v>
      </c>
      <c r="AK3212">
        <v>49.5661499112136</v>
      </c>
      <c r="AL3212">
        <v>87.514558218604705</v>
      </c>
      <c r="AM3212">
        <v>88.748560964743504</v>
      </c>
      <c r="AN3212">
        <v>1.0000000242493901</v>
      </c>
    </row>
    <row r="3213" spans="1:40" x14ac:dyDescent="0.25">
      <c r="A3213" t="str">
        <f>"20190312172953485"</f>
        <v>20190312172953485</v>
      </c>
      <c r="B3213" t="str">
        <f>"1552382993481102"</f>
        <v>1552382993481102</v>
      </c>
      <c r="C3213" t="s">
        <v>40</v>
      </c>
      <c r="D3213">
        <v>2.716062</v>
      </c>
      <c r="E3213">
        <v>0.46982269999999998</v>
      </c>
      <c r="F3213" t="s">
        <v>47</v>
      </c>
      <c r="G3213">
        <v>-378.52229999999997</v>
      </c>
      <c r="H3213" s="1">
        <v>2.9983620000000002E-6</v>
      </c>
      <c r="I3213">
        <v>215.51310000000001</v>
      </c>
      <c r="J3213">
        <v>-428.91219999999998</v>
      </c>
      <c r="K3213">
        <v>1.1082430000000001</v>
      </c>
      <c r="L3213">
        <v>212.7861</v>
      </c>
      <c r="M3213">
        <v>0.99994689999999997</v>
      </c>
      <c r="N3213">
        <v>0</v>
      </c>
      <c r="O3213">
        <v>-9.6053709999999997E-3</v>
      </c>
      <c r="P3213">
        <v>0.99868089999999998</v>
      </c>
      <c r="Q3213">
        <v>4.0316909999999997E-2</v>
      </c>
      <c r="R3213">
        <v>-3.1802120000000003E-2</v>
      </c>
      <c r="S3213">
        <v>3.0115050000000001</v>
      </c>
      <c r="T3213">
        <v>-6.5798519999999999E-2</v>
      </c>
      <c r="U3213">
        <v>0.16171259999999901</v>
      </c>
      <c r="V3213">
        <v>2.2216940000000001E-2</v>
      </c>
      <c r="W3213">
        <v>4.4064859999999997E-2</v>
      </c>
      <c r="X3213">
        <v>0.99878160000000005</v>
      </c>
      <c r="Y3213">
        <v>-6.3192849999999995E-2</v>
      </c>
      <c r="Z3213">
        <v>8.9947750000000004E-4</v>
      </c>
      <c r="AA3213">
        <v>0.99800089999999997</v>
      </c>
      <c r="AB3213">
        <v>32</v>
      </c>
      <c r="AC3213">
        <v>50.389899999999997</v>
      </c>
      <c r="AD3213">
        <v>-1.1082400016380001</v>
      </c>
      <c r="AE3213">
        <v>2.7269999999999999</v>
      </c>
      <c r="AF3213">
        <v>-3.2093434083914101</v>
      </c>
      <c r="AG3213">
        <v>-1.1082400016380001</v>
      </c>
      <c r="AH3213">
        <v>50.337104108219698</v>
      </c>
      <c r="AI3213">
        <v>91.258686141757593</v>
      </c>
      <c r="AJ3213">
        <v>93.648070032256598</v>
      </c>
      <c r="AK3213">
        <v>50.4514829416933</v>
      </c>
      <c r="AL3213">
        <v>87.474451718411899</v>
      </c>
      <c r="AM3213">
        <v>88.725720408369597</v>
      </c>
      <c r="AN3213">
        <v>0.99999999440417098</v>
      </c>
    </row>
    <row r="3214" spans="1:40" x14ac:dyDescent="0.25">
      <c r="A3214" t="str">
        <f>"20190312172953507"</f>
        <v>20190312172953507</v>
      </c>
      <c r="B3214" t="str">
        <f>"1552382993500622"</f>
        <v>1552382993500622</v>
      </c>
      <c r="C3214" t="s">
        <v>40</v>
      </c>
      <c r="D3214">
        <v>2.7249840000000001</v>
      </c>
      <c r="E3214">
        <v>0.47024519999999997</v>
      </c>
      <c r="F3214" t="s">
        <v>47</v>
      </c>
      <c r="G3214">
        <v>-379.32</v>
      </c>
      <c r="H3214" s="1">
        <v>3.4228500000000002E-6</v>
      </c>
      <c r="I3214">
        <v>215.31790000000001</v>
      </c>
      <c r="J3214">
        <v>-428.59699999999998</v>
      </c>
      <c r="K3214">
        <v>1.1082399999999999</v>
      </c>
      <c r="L3214">
        <v>212.78299999999999</v>
      </c>
      <c r="M3214">
        <v>0.99994640000000001</v>
      </c>
      <c r="N3214">
        <v>0</v>
      </c>
      <c r="O3214">
        <v>-9.6835919999999995E-3</v>
      </c>
      <c r="P3214">
        <v>0.99865230000000005</v>
      </c>
      <c r="Q3214">
        <v>4.0884190000000001E-2</v>
      </c>
      <c r="R3214">
        <v>-3.1973090000000003E-2</v>
      </c>
      <c r="S3214">
        <v>3.0115660000000002</v>
      </c>
      <c r="T3214">
        <v>-6.7299600000000001E-2</v>
      </c>
      <c r="U3214">
        <v>0.15374760000000001</v>
      </c>
      <c r="V3214">
        <v>2.2310279999999998E-2</v>
      </c>
      <c r="W3214">
        <v>4.4582200000000002E-2</v>
      </c>
      <c r="X3214">
        <v>0.99875659999999999</v>
      </c>
      <c r="Y3214">
        <v>-6.0637120000000003E-2</v>
      </c>
      <c r="Z3214">
        <v>8.932492E-4</v>
      </c>
      <c r="AA3214">
        <v>0.99815949999999998</v>
      </c>
      <c r="AB3214">
        <v>32</v>
      </c>
      <c r="AC3214">
        <v>49.277000000000001</v>
      </c>
      <c r="AD3214">
        <v>-1.10823657714999</v>
      </c>
      <c r="AE3214">
        <v>2.5349000000000199</v>
      </c>
      <c r="AF3214">
        <v>-3.01044405499495</v>
      </c>
      <c r="AG3214">
        <v>-1.10823657714999</v>
      </c>
      <c r="AH3214">
        <v>49.225310100135303</v>
      </c>
      <c r="AI3214">
        <v>91.287309357691996</v>
      </c>
      <c r="AJ3214">
        <v>93.499646447672205</v>
      </c>
      <c r="AK3214">
        <v>49.329728523210797</v>
      </c>
      <c r="AL3214">
        <v>87.444781260200202</v>
      </c>
      <c r="AM3214">
        <v>88.720336535633905</v>
      </c>
      <c r="AN3214">
        <v>1.00000003359703</v>
      </c>
    </row>
    <row r="3215" spans="1:40" x14ac:dyDescent="0.25">
      <c r="A3215" t="str">
        <f>"20190312172953528"</f>
        <v>20190312172953528</v>
      </c>
      <c r="B3215" t="str">
        <f>"1552382993521119"</f>
        <v>1552382993521119</v>
      </c>
      <c r="C3215" t="s">
        <v>40</v>
      </c>
      <c r="D3215">
        <v>2.7373850000000002</v>
      </c>
      <c r="E3215">
        <v>0.47066720000000001</v>
      </c>
      <c r="F3215" t="s">
        <v>47</v>
      </c>
      <c r="G3215">
        <v>-379.98649999999998</v>
      </c>
      <c r="H3215" s="1">
        <v>-1.5697739999999999E-6</v>
      </c>
      <c r="I3215">
        <v>215.2063</v>
      </c>
      <c r="J3215">
        <v>-428.29919999999998</v>
      </c>
      <c r="K3215">
        <v>1.1082339999999999</v>
      </c>
      <c r="L3215">
        <v>212.7801</v>
      </c>
      <c r="M3215">
        <v>0.99994590000000005</v>
      </c>
      <c r="N3215">
        <v>0</v>
      </c>
      <c r="O3215">
        <v>-9.7556259999999999E-3</v>
      </c>
      <c r="P3215">
        <v>0.99861029999999995</v>
      </c>
      <c r="Q3215">
        <v>4.2054210000000002E-2</v>
      </c>
      <c r="R3215">
        <v>-3.1767410000000003E-2</v>
      </c>
      <c r="S3215">
        <v>3.0116580000000002</v>
      </c>
      <c r="T3215">
        <v>-6.8660860000000004E-2</v>
      </c>
      <c r="U3215">
        <v>0.15013119999999999</v>
      </c>
      <c r="V3215">
        <v>2.2033069999999998E-2</v>
      </c>
      <c r="W3215">
        <v>4.5708289999999999E-2</v>
      </c>
      <c r="X3215">
        <v>0.99871180000000004</v>
      </c>
      <c r="Y3215">
        <v>-5.9511479999999999E-2</v>
      </c>
      <c r="Z3215">
        <v>9.0013099999999998E-4</v>
      </c>
      <c r="AA3215">
        <v>0.99822719999999998</v>
      </c>
      <c r="AB3215">
        <v>32</v>
      </c>
      <c r="AC3215">
        <v>48.3127</v>
      </c>
      <c r="AD3215">
        <v>-1.1082355697739901</v>
      </c>
      <c r="AE3215">
        <v>2.4261999999999899</v>
      </c>
      <c r="AF3215">
        <v>-2.8958882933924599</v>
      </c>
      <c r="AG3215">
        <v>-1.1082355697739901</v>
      </c>
      <c r="AH3215">
        <v>48.261400923609898</v>
      </c>
      <c r="AI3215">
        <v>91.313101545394503</v>
      </c>
      <c r="AJ3215">
        <v>93.433871963292304</v>
      </c>
      <c r="AK3215">
        <v>48.360905431922298</v>
      </c>
      <c r="AL3215">
        <v>87.380195068771002</v>
      </c>
      <c r="AM3215">
        <v>88.736174767425894</v>
      </c>
      <c r="AN3215">
        <v>0.99999998170379401</v>
      </c>
    </row>
    <row r="3216" spans="1:40" x14ac:dyDescent="0.25">
      <c r="A3216" t="str">
        <f>"20190312172953551"</f>
        <v>20190312172953551</v>
      </c>
      <c r="B3216" t="str">
        <f>"1552382993541614"</f>
        <v>1552382993541614</v>
      </c>
      <c r="C3216" t="s">
        <v>40</v>
      </c>
      <c r="D3216">
        <v>2.7363019999999998</v>
      </c>
      <c r="E3216">
        <v>0.47099809999999998</v>
      </c>
      <c r="F3216" t="s">
        <v>47</v>
      </c>
      <c r="G3216">
        <v>-379.36040000000003</v>
      </c>
      <c r="H3216" s="1">
        <v>3.4443370000000002E-6</v>
      </c>
      <c r="I3216">
        <v>215.1738</v>
      </c>
      <c r="J3216">
        <v>-427.96929999999998</v>
      </c>
      <c r="K3216">
        <v>1.108228</v>
      </c>
      <c r="L3216">
        <v>212.77680000000001</v>
      </c>
      <c r="M3216">
        <v>0.99994510000000003</v>
      </c>
      <c r="N3216">
        <v>0</v>
      </c>
      <c r="O3216">
        <v>-9.8313529999999993E-3</v>
      </c>
      <c r="P3216">
        <v>0.99854889999999996</v>
      </c>
      <c r="Q3216">
        <v>4.3453560000000002E-2</v>
      </c>
      <c r="R3216">
        <v>-3.1814059999999998E-2</v>
      </c>
      <c r="S3216">
        <v>3.011749</v>
      </c>
      <c r="T3216">
        <v>-6.8201780000000004E-2</v>
      </c>
      <c r="U3216">
        <v>0.147308299999999</v>
      </c>
      <c r="V3216">
        <v>2.2004800000000001E-2</v>
      </c>
      <c r="W3216">
        <v>4.706486E-2</v>
      </c>
      <c r="X3216">
        <v>0.99864940000000002</v>
      </c>
      <c r="Y3216">
        <v>-5.8652629999999997E-2</v>
      </c>
      <c r="Z3216">
        <v>8.8610380000000001E-4</v>
      </c>
      <c r="AA3216">
        <v>0.99827809999999995</v>
      </c>
      <c r="AB3216">
        <v>32</v>
      </c>
      <c r="AC3216">
        <v>48.608899999999899</v>
      </c>
      <c r="AD3216">
        <v>-1.1082245556629999</v>
      </c>
      <c r="AE3216">
        <v>2.39699999999999</v>
      </c>
      <c r="AF3216">
        <v>-2.8732886788296699</v>
      </c>
      <c r="AG3216">
        <v>-1.1082245556629999</v>
      </c>
      <c r="AH3216">
        <v>48.557806439560501</v>
      </c>
      <c r="AI3216">
        <v>91.3051403829366</v>
      </c>
      <c r="AJ3216">
        <v>93.386388057576099</v>
      </c>
      <c r="AK3216">
        <v>48.655364716745098</v>
      </c>
      <c r="AL3216">
        <v>87.302385532264196</v>
      </c>
      <c r="AM3216">
        <v>88.737716977855101</v>
      </c>
      <c r="AN3216">
        <v>0.99999996819510895</v>
      </c>
    </row>
    <row r="3217" spans="1:40" x14ac:dyDescent="0.25">
      <c r="A3217" t="str">
        <f>"20190312172953572"</f>
        <v>20190312172953572</v>
      </c>
      <c r="B3217" t="str">
        <f>"1552382993561134"</f>
        <v>1552382993561134</v>
      </c>
      <c r="C3217" t="s">
        <v>40</v>
      </c>
      <c r="D3217">
        <v>2.700596</v>
      </c>
      <c r="E3217">
        <v>0.47131479999999998</v>
      </c>
      <c r="F3217" t="s">
        <v>47</v>
      </c>
      <c r="G3217">
        <v>-378.17950000000002</v>
      </c>
      <c r="H3217" s="1">
        <v>2.8159570000000001E-6</v>
      </c>
      <c r="I3217">
        <v>215.17310000000001</v>
      </c>
      <c r="J3217">
        <v>-427.6481</v>
      </c>
      <c r="K3217">
        <v>1.108233</v>
      </c>
      <c r="L3217">
        <v>212.77359999999999</v>
      </c>
      <c r="M3217">
        <v>0.99994459999999996</v>
      </c>
      <c r="N3217">
        <v>0</v>
      </c>
      <c r="O3217">
        <v>-9.8957490000000006E-3</v>
      </c>
      <c r="P3217">
        <v>0.99851140000000005</v>
      </c>
      <c r="Q3217">
        <v>4.439282E-2</v>
      </c>
      <c r="R3217">
        <v>-3.168961E-2</v>
      </c>
      <c r="S3217">
        <v>3.0118710000000002</v>
      </c>
      <c r="T3217">
        <v>-6.7038539999999994E-2</v>
      </c>
      <c r="U3217">
        <v>0.14495849999999999</v>
      </c>
      <c r="V3217">
        <v>2.1815930000000001E-2</v>
      </c>
      <c r="W3217">
        <v>4.7964109999999997E-2</v>
      </c>
      <c r="X3217">
        <v>0.99861080000000002</v>
      </c>
      <c r="Y3217">
        <v>-5.7938650000000001E-2</v>
      </c>
      <c r="Z3217">
        <v>8.6446739999999998E-4</v>
      </c>
      <c r="AA3217">
        <v>0.99831970000000003</v>
      </c>
      <c r="AB3217">
        <v>32</v>
      </c>
      <c r="AC3217">
        <v>49.468599999999903</v>
      </c>
      <c r="AD3217">
        <v>-1.108230184043</v>
      </c>
      <c r="AE3217">
        <v>2.39950000000001</v>
      </c>
      <c r="AF3217">
        <v>-2.8874687444907101</v>
      </c>
      <c r="AG3217">
        <v>-1.108230184043</v>
      </c>
      <c r="AH3217">
        <v>49.417689199295303</v>
      </c>
      <c r="AI3217">
        <v>91.282500501561003</v>
      </c>
      <c r="AJ3217">
        <v>93.343982423910504</v>
      </c>
      <c r="AK3217">
        <v>49.514378272269298</v>
      </c>
      <c r="AL3217">
        <v>87.250804156119202</v>
      </c>
      <c r="AM3217">
        <v>88.748499495464998</v>
      </c>
      <c r="AN3217">
        <v>1.00000001026324</v>
      </c>
    </row>
    <row r="3218" spans="1:40" x14ac:dyDescent="0.25">
      <c r="A3218" t="str">
        <f>"20190312172953595"</f>
        <v>20190312172953595</v>
      </c>
      <c r="B3218" t="str">
        <f>"1552382993590414"</f>
        <v>1552382993590414</v>
      </c>
      <c r="C3218" t="s">
        <v>40</v>
      </c>
      <c r="D3218">
        <v>2.798362</v>
      </c>
      <c r="E3218">
        <v>0.47163949999999999</v>
      </c>
      <c r="F3218" t="s">
        <v>47</v>
      </c>
      <c r="G3218">
        <v>-377.20569999999998</v>
      </c>
      <c r="H3218" s="1">
        <v>2.2977579999999999E-6</v>
      </c>
      <c r="I3218">
        <v>215.17060000000001</v>
      </c>
      <c r="J3218">
        <v>-427.32040000000001</v>
      </c>
      <c r="K3218">
        <v>1.1082270000000001</v>
      </c>
      <c r="L3218">
        <v>212.77029999999999</v>
      </c>
      <c r="M3218">
        <v>0.99994430000000001</v>
      </c>
      <c r="N3218">
        <v>0</v>
      </c>
      <c r="O3218">
        <v>-9.9464180000000003E-3</v>
      </c>
      <c r="P3218">
        <v>0.99847839999999999</v>
      </c>
      <c r="Q3218">
        <v>4.4918810000000003E-2</v>
      </c>
      <c r="R3218">
        <v>-3.1992779999999998E-2</v>
      </c>
      <c r="S3218">
        <v>3.0119630000000002</v>
      </c>
      <c r="T3218">
        <v>-6.6173549999999998E-2</v>
      </c>
      <c r="U3218">
        <v>0.14312739999999999</v>
      </c>
      <c r="V3218">
        <v>2.206806E-2</v>
      </c>
      <c r="W3218">
        <v>4.8452299999999997E-2</v>
      </c>
      <c r="X3218">
        <v>0.99858170000000002</v>
      </c>
      <c r="Y3218">
        <v>-5.7382799999999998E-2</v>
      </c>
      <c r="Z3218">
        <v>8.4831269999999996E-4</v>
      </c>
      <c r="AA3218">
        <v>0.99835189999999996</v>
      </c>
      <c r="AB3218">
        <v>32</v>
      </c>
      <c r="AC3218">
        <v>50.114699999999999</v>
      </c>
      <c r="AD3218">
        <v>-1.108224702242</v>
      </c>
      <c r="AE3218">
        <v>2.4003000000000099</v>
      </c>
      <c r="AF3218">
        <v>-2.8972325663962502</v>
      </c>
      <c r="AG3218">
        <v>-1.108224702242</v>
      </c>
      <c r="AH3218">
        <v>50.063920263443798</v>
      </c>
      <c r="AI3218">
        <v>91.265986008058903</v>
      </c>
      <c r="AJ3218">
        <v>93.312051027865905</v>
      </c>
      <c r="AK3218">
        <v>50.159926541801397</v>
      </c>
      <c r="AL3218">
        <v>87.222800391575703</v>
      </c>
      <c r="AM3218">
        <v>88.734003515363497</v>
      </c>
      <c r="AN3218">
        <v>1.0000000181111699</v>
      </c>
    </row>
    <row r="3219" spans="1:40" x14ac:dyDescent="0.25">
      <c r="A3219" t="str">
        <f>"20190312172953617"</f>
        <v>20190312172953617</v>
      </c>
      <c r="B3219" t="str">
        <f>"1552382993610910"</f>
        <v>1552382993610910</v>
      </c>
      <c r="C3219" t="s">
        <v>40</v>
      </c>
      <c r="D3219">
        <v>2.7429359999999998</v>
      </c>
      <c r="E3219">
        <v>0.47192499999999998</v>
      </c>
      <c r="F3219" t="s">
        <v>47</v>
      </c>
      <c r="G3219">
        <v>-376.55939999999998</v>
      </c>
      <c r="H3219" s="1">
        <v>1.953792E-6</v>
      </c>
      <c r="I3219">
        <v>215.1268</v>
      </c>
      <c r="J3219">
        <v>-426.98950000000002</v>
      </c>
      <c r="K3219">
        <v>1.108228</v>
      </c>
      <c r="L3219">
        <v>212.767</v>
      </c>
      <c r="M3219">
        <v>0.99994419999999995</v>
      </c>
      <c r="N3219">
        <v>0</v>
      </c>
      <c r="O3219">
        <v>-9.9820589999999997E-3</v>
      </c>
      <c r="P3219">
        <v>0.99849469999999996</v>
      </c>
      <c r="Q3219">
        <v>4.482999E-2</v>
      </c>
      <c r="R3219">
        <v>-3.160611E-2</v>
      </c>
      <c r="S3219">
        <v>3.012054</v>
      </c>
      <c r="T3219">
        <v>-6.5759780000000004E-2</v>
      </c>
      <c r="U3219">
        <v>0.1398315</v>
      </c>
      <c r="V3219">
        <v>2.164396E-2</v>
      </c>
      <c r="W3219">
        <v>4.832703E-2</v>
      </c>
      <c r="X3219">
        <v>0.99859699999999996</v>
      </c>
      <c r="Y3219">
        <v>-5.6327339999999997E-2</v>
      </c>
      <c r="Z3219">
        <v>8.3226920000000002E-4</v>
      </c>
      <c r="AA3219">
        <v>0.99841199999999997</v>
      </c>
      <c r="AB3219">
        <v>33</v>
      </c>
      <c r="AC3219">
        <v>50.430100000000003</v>
      </c>
      <c r="AD3219">
        <v>-1.108226046208</v>
      </c>
      <c r="AE3219">
        <v>2.3597999999999999</v>
      </c>
      <c r="AF3219">
        <v>-2.8617027114428901</v>
      </c>
      <c r="AG3219">
        <v>-1.108226046208</v>
      </c>
      <c r="AH3219">
        <v>50.3797552991145</v>
      </c>
      <c r="AI3219">
        <v>91.258130281799396</v>
      </c>
      <c r="AJ3219">
        <v>93.251057539994406</v>
      </c>
      <c r="AK3219">
        <v>50.4731339563617</v>
      </c>
      <c r="AL3219">
        <v>87.229986106228907</v>
      </c>
      <c r="AM3219">
        <v>88.758344534578598</v>
      </c>
      <c r="AN3219">
        <v>0.99999996562104998</v>
      </c>
    </row>
    <row r="3220" spans="1:40" x14ac:dyDescent="0.25">
      <c r="A3220" t="str">
        <f>"20190312172953639"</f>
        <v>20190312172953639</v>
      </c>
      <c r="B3220" t="str">
        <f>"1552382993630429"</f>
        <v>1552382993630429</v>
      </c>
      <c r="C3220" t="s">
        <v>40</v>
      </c>
      <c r="D3220">
        <v>2.7823199999999999</v>
      </c>
      <c r="E3220">
        <v>0.47214980000000001</v>
      </c>
      <c r="F3220" t="s">
        <v>47</v>
      </c>
      <c r="G3220">
        <v>-377.56729999999999</v>
      </c>
      <c r="H3220" s="1">
        <v>2.4901550000000001E-6</v>
      </c>
      <c r="I3220">
        <v>215.04069999999999</v>
      </c>
      <c r="J3220">
        <v>-426.67160000000001</v>
      </c>
      <c r="K3220">
        <v>1.1082289999999999</v>
      </c>
      <c r="L3220">
        <v>212.7638</v>
      </c>
      <c r="M3220">
        <v>0.9999441</v>
      </c>
      <c r="N3220">
        <v>0</v>
      </c>
      <c r="O3220">
        <v>-9.9945650000000004E-3</v>
      </c>
      <c r="P3220">
        <v>0.99849030000000005</v>
      </c>
      <c r="Q3220">
        <v>4.5020369999999997E-2</v>
      </c>
      <c r="R3220">
        <v>-3.146769E-2</v>
      </c>
      <c r="S3220">
        <v>3.0119020000000001</v>
      </c>
      <c r="T3220">
        <v>-6.7537780000000006E-2</v>
      </c>
      <c r="U3220">
        <v>0.1385651</v>
      </c>
      <c r="V3220">
        <v>2.1491590000000001E-2</v>
      </c>
      <c r="W3220">
        <v>4.8483739999999997E-2</v>
      </c>
      <c r="X3220">
        <v>0.9985927</v>
      </c>
      <c r="Y3220">
        <v>-5.592246E-2</v>
      </c>
      <c r="Z3220">
        <v>8.5056170000000003E-4</v>
      </c>
      <c r="AA3220">
        <v>0.99843479999999996</v>
      </c>
      <c r="AB3220">
        <v>33</v>
      </c>
      <c r="AC3220">
        <v>49.104300000000002</v>
      </c>
      <c r="AD3220">
        <v>-1.1082265098449999</v>
      </c>
      <c r="AE3220">
        <v>2.2768999999999799</v>
      </c>
      <c r="AF3220">
        <v>-2.7661593881372002</v>
      </c>
      <c r="AG3220">
        <v>-1.1082265098449999</v>
      </c>
      <c r="AH3220">
        <v>49.054158373750397</v>
      </c>
      <c r="AI3220">
        <v>91.292148142477302</v>
      </c>
      <c r="AJ3220">
        <v>93.227485584176605</v>
      </c>
      <c r="AK3220">
        <v>49.144585230874497</v>
      </c>
      <c r="AL3220">
        <v>87.220996761656295</v>
      </c>
      <c r="AM3220">
        <v>88.767077574492603</v>
      </c>
      <c r="AN3220">
        <v>0.99999997098920201</v>
      </c>
    </row>
    <row r="3221" spans="1:40" x14ac:dyDescent="0.25">
      <c r="A3221" t="str">
        <f>"20190312172953663"</f>
        <v>20190312172953663</v>
      </c>
      <c r="B3221" t="str">
        <f>"1552382993650929"</f>
        <v>1552382993650929</v>
      </c>
      <c r="C3221" t="s">
        <v>40</v>
      </c>
      <c r="D3221">
        <v>2.8687010000000002</v>
      </c>
      <c r="E3221">
        <v>0.49318519999999999</v>
      </c>
      <c r="F3221" t="s">
        <v>47</v>
      </c>
      <c r="G3221">
        <v>-377.14400000000001</v>
      </c>
      <c r="H3221" s="1">
        <v>2.2648809999999998E-6</v>
      </c>
      <c r="I3221">
        <v>215.02070000000001</v>
      </c>
      <c r="J3221">
        <v>-426.32569999999998</v>
      </c>
      <c r="K3221">
        <v>1.1082399999999999</v>
      </c>
      <c r="L3221">
        <v>212.7603</v>
      </c>
      <c r="M3221">
        <v>0.99994459999999996</v>
      </c>
      <c r="N3221">
        <v>0</v>
      </c>
      <c r="O3221">
        <v>-9.9662499999999994E-3</v>
      </c>
      <c r="P3221">
        <v>0.9984866</v>
      </c>
      <c r="Q3221">
        <v>4.5160680000000002E-2</v>
      </c>
      <c r="R3221">
        <v>-3.1385690000000001E-2</v>
      </c>
      <c r="S3221">
        <v>3.0119020000000001</v>
      </c>
      <c r="T3221">
        <v>-6.7394140000000005E-2</v>
      </c>
      <c r="U3221">
        <v>0.13725279999999901</v>
      </c>
      <c r="V3221">
        <v>2.14348E-2</v>
      </c>
      <c r="W3221">
        <v>4.8585660000000003E-2</v>
      </c>
      <c r="X3221">
        <v>0.99858899999999995</v>
      </c>
      <c r="Y3221">
        <v>-5.5460269999999999E-2</v>
      </c>
      <c r="Z3221">
        <v>8.4296060000000001E-4</v>
      </c>
      <c r="AA3221">
        <v>0.99846049999999997</v>
      </c>
      <c r="AB3221">
        <v>33</v>
      </c>
      <c r="AC3221">
        <v>49.1816999999999</v>
      </c>
      <c r="AD3221">
        <v>-1.10823773511899</v>
      </c>
      <c r="AE3221">
        <v>2.2604000000000002</v>
      </c>
      <c r="AF3221">
        <v>-2.7490547476995899</v>
      </c>
      <c r="AG3221">
        <v>-1.10823773511899</v>
      </c>
      <c r="AH3221">
        <v>49.131834944004602</v>
      </c>
      <c r="AI3221">
        <v>91.290150612317902</v>
      </c>
      <c r="AJ3221">
        <v>93.202509570390504</v>
      </c>
      <c r="AK3221">
        <v>49.2211610778159</v>
      </c>
      <c r="AL3221">
        <v>87.215150377450897</v>
      </c>
      <c r="AM3221">
        <v>88.770329927994794</v>
      </c>
      <c r="AN3221">
        <v>1.00000000396483</v>
      </c>
    </row>
    <row r="3222" spans="1:40" x14ac:dyDescent="0.25">
      <c r="A3222" t="str">
        <f>"20190312172953686"</f>
        <v>20190312172953686</v>
      </c>
      <c r="B3222" t="str">
        <f>"1552382993681183"</f>
        <v>1552382993681183</v>
      </c>
      <c r="C3222" t="s">
        <v>40</v>
      </c>
      <c r="D3222">
        <v>2.8601160000000001</v>
      </c>
      <c r="E3222">
        <v>0.4974538</v>
      </c>
      <c r="F3222" t="s">
        <v>47</v>
      </c>
      <c r="G3222">
        <v>-369.14359999999999</v>
      </c>
      <c r="H3222" s="1">
        <v>3.3290039999999999E-6</v>
      </c>
      <c r="I3222">
        <v>212.17699999999999</v>
      </c>
      <c r="J3222">
        <v>-425.98939999999999</v>
      </c>
      <c r="K3222">
        <v>1.1082689999999999</v>
      </c>
      <c r="L3222">
        <v>212.75700000000001</v>
      </c>
      <c r="M3222">
        <v>0.99994570000000005</v>
      </c>
      <c r="N3222">
        <v>0</v>
      </c>
      <c r="O3222">
        <v>-9.8729119999999993E-3</v>
      </c>
      <c r="P3222">
        <v>0.99852730000000001</v>
      </c>
      <c r="Q3222">
        <v>4.493552E-2</v>
      </c>
      <c r="R3222">
        <v>-3.039799E-2</v>
      </c>
      <c r="S3222">
        <v>3.006195</v>
      </c>
      <c r="T3222">
        <v>-5.8262590000000003E-2</v>
      </c>
      <c r="U3222">
        <v>-3.067017E-2</v>
      </c>
      <c r="V3222">
        <v>2.053514E-2</v>
      </c>
      <c r="W3222">
        <v>4.8321320000000001E-2</v>
      </c>
      <c r="X3222">
        <v>0.99862070000000003</v>
      </c>
      <c r="Y3222">
        <v>3.3063169999999998E-4</v>
      </c>
      <c r="Z3222">
        <v>1.8811509999999999E-4</v>
      </c>
      <c r="AA3222">
        <v>0.99999990000000005</v>
      </c>
      <c r="AB3222">
        <v>33</v>
      </c>
      <c r="AC3222">
        <v>56.845799999999997</v>
      </c>
      <c r="AD3222">
        <v>-1.1082656709959999</v>
      </c>
      <c r="AE3222">
        <v>-0.57999999999998397</v>
      </c>
      <c r="AF3222">
        <v>1.8727911596772999E-2</v>
      </c>
      <c r="AG3222">
        <v>-1.1082656709959999</v>
      </c>
      <c r="AH3222">
        <v>56.827158304896003</v>
      </c>
      <c r="AI3222">
        <v>91.117263212566201</v>
      </c>
      <c r="AJ3222">
        <v>89.981117650666505</v>
      </c>
      <c r="AK3222">
        <v>56.837967280171902</v>
      </c>
      <c r="AL3222">
        <v>87.230313666056006</v>
      </c>
      <c r="AM3222">
        <v>88.821964080796505</v>
      </c>
      <c r="AN3222">
        <v>0.99999997220492498</v>
      </c>
    </row>
    <row r="3223" spans="1:40" x14ac:dyDescent="0.25">
      <c r="A3223" t="str">
        <f>"20190312172953706"</f>
        <v>20190312172953706</v>
      </c>
      <c r="B3223" t="str">
        <f>"1552382993700703"</f>
        <v>1552382993700703</v>
      </c>
      <c r="C3223" t="s">
        <v>40</v>
      </c>
      <c r="D3223">
        <v>2.8848799999999999</v>
      </c>
      <c r="E3223">
        <v>0.49852279999999999</v>
      </c>
      <c r="F3223" t="s">
        <v>47</v>
      </c>
      <c r="G3223">
        <v>-369.1542</v>
      </c>
      <c r="H3223" s="1">
        <v>3.3346050000000002E-6</v>
      </c>
      <c r="I3223">
        <v>211.58629999999999</v>
      </c>
      <c r="J3223">
        <v>-425.67270000000002</v>
      </c>
      <c r="K3223">
        <v>1.108312</v>
      </c>
      <c r="L3223">
        <v>212.75399999999999</v>
      </c>
      <c r="M3223">
        <v>0.99994720000000004</v>
      </c>
      <c r="N3223">
        <v>0</v>
      </c>
      <c r="O3223">
        <v>-9.7224540000000002E-3</v>
      </c>
      <c r="P3223">
        <v>0.99851140000000005</v>
      </c>
      <c r="Q3223">
        <v>4.5571479999999998E-2</v>
      </c>
      <c r="R3223">
        <v>-2.99787E-2</v>
      </c>
      <c r="S3223">
        <v>3.0051269999999999</v>
      </c>
      <c r="T3223">
        <v>-5.8598879999999999E-2</v>
      </c>
      <c r="U3223">
        <v>-6.190491E-2</v>
      </c>
      <c r="V3223">
        <v>2.0260420000000001E-2</v>
      </c>
      <c r="W3223">
        <v>4.8917620000000002E-2</v>
      </c>
      <c r="X3223">
        <v>0.99859730000000002</v>
      </c>
      <c r="Y3223">
        <v>1.087376E-2</v>
      </c>
      <c r="Z3223" s="1">
        <v>8.3544389999999999E-5</v>
      </c>
      <c r="AA3223">
        <v>0.99994090000000002</v>
      </c>
      <c r="AB3223">
        <v>33</v>
      </c>
      <c r="AC3223">
        <v>56.518500000000003</v>
      </c>
      <c r="AD3223">
        <v>-1.1083086653950001</v>
      </c>
      <c r="AE3223">
        <v>-1.1677000000000199</v>
      </c>
      <c r="AF3223">
        <v>0.61790574344178995</v>
      </c>
      <c r="AG3223">
        <v>-1.1083086653950001</v>
      </c>
      <c r="AH3223">
        <v>56.505462369129198</v>
      </c>
      <c r="AI3223">
        <v>91.123598848796902</v>
      </c>
      <c r="AJ3223">
        <v>89.373476852370402</v>
      </c>
      <c r="AK3223">
        <v>56.519708360488302</v>
      </c>
      <c r="AL3223">
        <v>87.196107796437502</v>
      </c>
      <c r="AM3223">
        <v>88.837692316240506</v>
      </c>
      <c r="AN3223">
        <v>0.99999999286616503</v>
      </c>
    </row>
    <row r="3224" spans="1:40" x14ac:dyDescent="0.25">
      <c r="A3224" t="str">
        <f>"20190312172953729"</f>
        <v>20190312172953729</v>
      </c>
      <c r="B3224" t="str">
        <f>"1552382993721198"</f>
        <v>1552382993721198</v>
      </c>
      <c r="C3224" t="s">
        <v>40</v>
      </c>
      <c r="D3224">
        <v>2.9044300000000001</v>
      </c>
      <c r="E3224">
        <v>0.49934499999999998</v>
      </c>
      <c r="F3224" t="s">
        <v>47</v>
      </c>
      <c r="G3224">
        <v>-370.27300000000002</v>
      </c>
      <c r="H3224" s="1">
        <v>-1.3914970000000001E-6</v>
      </c>
      <c r="I3224">
        <v>211.47669999999999</v>
      </c>
      <c r="J3224">
        <v>-425.3322</v>
      </c>
      <c r="K3224">
        <v>1.1083609999999999</v>
      </c>
      <c r="L3224">
        <v>212.7509</v>
      </c>
      <c r="M3224">
        <v>0.99994950000000005</v>
      </c>
      <c r="N3224">
        <v>0</v>
      </c>
      <c r="O3224">
        <v>-9.4992659999999993E-3</v>
      </c>
      <c r="P3224">
        <v>0.99848630000000005</v>
      </c>
      <c r="Q3224">
        <v>4.6647380000000002E-2</v>
      </c>
      <c r="R3224">
        <v>-2.9142169999999998E-2</v>
      </c>
      <c r="S3224">
        <v>3.0051269999999999</v>
      </c>
      <c r="T3224">
        <v>-6.0119869999999999E-2</v>
      </c>
      <c r="U3224">
        <v>-6.9290160000000003E-2</v>
      </c>
      <c r="V3224">
        <v>1.9640609999999999E-2</v>
      </c>
      <c r="W3224">
        <v>4.9950609999999999E-2</v>
      </c>
      <c r="X3224">
        <v>0.99855859999999996</v>
      </c>
      <c r="Y3224">
        <v>1.355255E-2</v>
      </c>
      <c r="Z3224" s="1">
        <v>5.445656E-5</v>
      </c>
      <c r="AA3224">
        <v>0.99990809999999997</v>
      </c>
      <c r="AB3224">
        <v>34</v>
      </c>
      <c r="AC3224">
        <v>55.059199999999898</v>
      </c>
      <c r="AD3224">
        <v>-1.108362391497</v>
      </c>
      <c r="AE3224">
        <v>-1.2742</v>
      </c>
      <c r="AF3224">
        <v>0.75081361703416305</v>
      </c>
      <c r="AG3224">
        <v>-1.108362391497</v>
      </c>
      <c r="AH3224">
        <v>55.046525109659797</v>
      </c>
      <c r="AI3224">
        <v>91.153388034058196</v>
      </c>
      <c r="AJ3224">
        <v>89.218555867732604</v>
      </c>
      <c r="AK3224">
        <v>55.062801553560803</v>
      </c>
      <c r="AL3224">
        <v>87.136849531978896</v>
      </c>
      <c r="AM3224">
        <v>88.8731968494981</v>
      </c>
      <c r="AN3224">
        <v>1.0000000473172499</v>
      </c>
    </row>
    <row r="3225" spans="1:40" x14ac:dyDescent="0.25">
      <c r="A3225" t="str">
        <f>"20190312172953752"</f>
        <v>20190312172953752</v>
      </c>
      <c r="B3225" t="str">
        <f>"1552382993740722"</f>
        <v>1552382993740722</v>
      </c>
      <c r="C3225" t="s">
        <v>40</v>
      </c>
      <c r="D3225">
        <v>2.9091369999999999</v>
      </c>
      <c r="E3225">
        <v>0.49985570000000001</v>
      </c>
      <c r="F3225" t="s">
        <v>47</v>
      </c>
      <c r="G3225">
        <v>-368.64550000000003</v>
      </c>
      <c r="H3225" s="1">
        <v>3.0639279999999999E-6</v>
      </c>
      <c r="I3225">
        <v>211.36709999999999</v>
      </c>
      <c r="J3225">
        <v>-424.98719999999997</v>
      </c>
      <c r="K3225">
        <v>1.108409</v>
      </c>
      <c r="L3225">
        <v>212.74789999999999</v>
      </c>
      <c r="M3225">
        <v>0.99995239999999996</v>
      </c>
      <c r="N3225">
        <v>0</v>
      </c>
      <c r="O3225">
        <v>-9.2087430000000001E-3</v>
      </c>
      <c r="P3225">
        <v>0.99845309999999998</v>
      </c>
      <c r="Q3225">
        <v>4.807434E-2</v>
      </c>
      <c r="R3225">
        <v>-2.7937050000000001E-2</v>
      </c>
      <c r="S3225">
        <v>3.0051570000000001</v>
      </c>
      <c r="T3225">
        <v>-5.8757900000000002E-2</v>
      </c>
      <c r="U3225">
        <v>-7.3364260000000001E-2</v>
      </c>
      <c r="V3225">
        <v>1.8719019999999999E-2</v>
      </c>
      <c r="W3225">
        <v>5.1337380000000002E-2</v>
      </c>
      <c r="X3225">
        <v>0.99850589999999995</v>
      </c>
      <c r="Y3225">
        <v>1.519729E-2</v>
      </c>
      <c r="Z3225" s="1">
        <v>3.1467539999999999E-5</v>
      </c>
      <c r="AA3225">
        <v>0.99988449999999995</v>
      </c>
      <c r="AB3225">
        <v>34</v>
      </c>
      <c r="AC3225">
        <v>56.341699999999904</v>
      </c>
      <c r="AD3225">
        <v>-1.108405936072</v>
      </c>
      <c r="AE3225">
        <v>-1.38079999999999</v>
      </c>
      <c r="AF3225">
        <v>0.86156927120784299</v>
      </c>
      <c r="AG3225">
        <v>-1.108405936072</v>
      </c>
      <c r="AH3225">
        <v>56.330238445635501</v>
      </c>
      <c r="AI3225">
        <v>91.127127550463996</v>
      </c>
      <c r="AJ3225">
        <v>89.123731133788596</v>
      </c>
      <c r="AK3225">
        <v>56.347729578665003</v>
      </c>
      <c r="AL3225">
        <v>87.057291172361701</v>
      </c>
      <c r="AM3225">
        <v>88.926000113881898</v>
      </c>
      <c r="AN3225">
        <v>0.99999998031491699</v>
      </c>
    </row>
    <row r="3226" spans="1:40" x14ac:dyDescent="0.25">
      <c r="A3226" t="str">
        <f>"20190312172953772"</f>
        <v>20190312172953772</v>
      </c>
      <c r="B3226" t="str">
        <f>"1552382993761219"</f>
        <v>1552382993761219</v>
      </c>
      <c r="C3226" t="s">
        <v>40</v>
      </c>
      <c r="D3226">
        <v>2.9074409999999999</v>
      </c>
      <c r="E3226">
        <v>0.50023909999999905</v>
      </c>
      <c r="F3226" t="s">
        <v>47</v>
      </c>
      <c r="G3226">
        <v>-364.78429999999997</v>
      </c>
      <c r="H3226" s="1">
        <v>1.0091729999999999E-6</v>
      </c>
      <c r="I3226">
        <v>211.2681</v>
      </c>
      <c r="J3226">
        <v>-424.66890000000001</v>
      </c>
      <c r="K3226">
        <v>1.108457</v>
      </c>
      <c r="L3226">
        <v>212.74520000000001</v>
      </c>
      <c r="M3226">
        <v>0.9999555</v>
      </c>
      <c r="N3226">
        <v>0</v>
      </c>
      <c r="O3226">
        <v>-8.8826110000000003E-3</v>
      </c>
      <c r="P3226">
        <v>0.99836910000000001</v>
      </c>
      <c r="Q3226">
        <v>5.0300829999999998E-2</v>
      </c>
      <c r="R3226">
        <v>-2.7005459999999998E-2</v>
      </c>
      <c r="S3226">
        <v>3.00528</v>
      </c>
      <c r="T3226">
        <v>-5.5330869999999997E-2</v>
      </c>
      <c r="U3226">
        <v>-7.3867799999999997E-2</v>
      </c>
      <c r="V3226">
        <v>1.8106509999999999E-2</v>
      </c>
      <c r="W3226">
        <v>5.3526860000000002E-2</v>
      </c>
      <c r="X3226">
        <v>0.99840220000000002</v>
      </c>
      <c r="Y3226">
        <v>1.5689829999999998E-2</v>
      </c>
      <c r="Z3226" s="1">
        <v>1.90955E-5</v>
      </c>
      <c r="AA3226">
        <v>0.99987689999999996</v>
      </c>
      <c r="AB3226">
        <v>34</v>
      </c>
      <c r="AC3226">
        <v>59.884599999999999</v>
      </c>
      <c r="AD3226">
        <v>-1.108455990827</v>
      </c>
      <c r="AE3226">
        <v>-1.4771000000000001</v>
      </c>
      <c r="AF3226">
        <v>0.94478393335883804</v>
      </c>
      <c r="AG3226">
        <v>-1.108455990827</v>
      </c>
      <c r="AH3226">
        <v>59.874856468020297</v>
      </c>
      <c r="AI3226">
        <v>91.060456716104397</v>
      </c>
      <c r="AJ3226">
        <v>89.095987145998507</v>
      </c>
      <c r="AK3226">
        <v>59.892568223698298</v>
      </c>
      <c r="AL3226">
        <v>86.931670331471807</v>
      </c>
      <c r="AM3226">
        <v>88.961027036962804</v>
      </c>
      <c r="AN3226">
        <v>0.999999961705339</v>
      </c>
    </row>
    <row r="3227" spans="1:40" x14ac:dyDescent="0.25">
      <c r="A3227" t="str">
        <f>"20190312172953796"</f>
        <v>20190312172953796</v>
      </c>
      <c r="B3227" t="str">
        <f>"1552382993790494"</f>
        <v>1552382993790494</v>
      </c>
      <c r="C3227" t="s">
        <v>40</v>
      </c>
      <c r="D3227">
        <v>2.9279419999999998</v>
      </c>
      <c r="E3227">
        <v>0.50072289999999997</v>
      </c>
      <c r="F3227" t="s">
        <v>47</v>
      </c>
      <c r="G3227">
        <v>-358.61270000000002</v>
      </c>
      <c r="H3227" s="1">
        <v>3.199528E-6</v>
      </c>
      <c r="I3227">
        <v>211.11429999999999</v>
      </c>
      <c r="J3227">
        <v>-424.31560000000002</v>
      </c>
      <c r="K3227">
        <v>1.1085050000000001</v>
      </c>
      <c r="L3227">
        <v>212.7424</v>
      </c>
      <c r="M3227">
        <v>0.99995919999999905</v>
      </c>
      <c r="N3227">
        <v>0</v>
      </c>
      <c r="O3227">
        <v>-8.4541849999999995E-3</v>
      </c>
      <c r="P3227">
        <v>0.99833019999999995</v>
      </c>
      <c r="Q3227">
        <v>5.1466129999999999E-2</v>
      </c>
      <c r="R3227">
        <v>-2.623468E-2</v>
      </c>
      <c r="S3227">
        <v>3.0054630000000002</v>
      </c>
      <c r="T3227">
        <v>-5.0433039999999998E-2</v>
      </c>
      <c r="U3227">
        <v>-7.4203489999999997E-2</v>
      </c>
      <c r="V3227">
        <v>1.7756029999999999E-2</v>
      </c>
      <c r="W3227">
        <v>5.46496E-2</v>
      </c>
      <c r="X3227">
        <v>0.99834769999999995</v>
      </c>
      <c r="Y3227">
        <v>1.6228389999999999E-2</v>
      </c>
      <c r="Z3227" s="1">
        <v>5.699651E-6</v>
      </c>
      <c r="AA3227">
        <v>0.99986830000000004</v>
      </c>
      <c r="AB3227">
        <v>34</v>
      </c>
      <c r="AC3227">
        <v>65.7029</v>
      </c>
      <c r="AD3227">
        <v>-1.10850180047199</v>
      </c>
      <c r="AE3227">
        <v>-1.6281000000000101</v>
      </c>
      <c r="AF3227">
        <v>1.07226950288228</v>
      </c>
      <c r="AG3227">
        <v>-1.10850180047199</v>
      </c>
      <c r="AH3227">
        <v>65.695627798993002</v>
      </c>
      <c r="AI3227">
        <v>90.966548225828902</v>
      </c>
      <c r="AJ3227">
        <v>89.064913992398601</v>
      </c>
      <c r="AK3227">
        <v>65.713728018065396</v>
      </c>
      <c r="AL3227">
        <v>86.867247855085495</v>
      </c>
      <c r="AM3227">
        <v>88.981078104364599</v>
      </c>
      <c r="AN3227">
        <v>0.99999999273840501</v>
      </c>
    </row>
    <row r="3228" spans="1:40" x14ac:dyDescent="0.25">
      <c r="A3228" t="str">
        <f>"20190312172953817"</f>
        <v>20190312172953817</v>
      </c>
      <c r="B3228" t="str">
        <f>"1552382993810991"</f>
        <v>1552382993810991</v>
      </c>
      <c r="C3228" t="s">
        <v>40</v>
      </c>
      <c r="D3228">
        <v>2.920093</v>
      </c>
      <c r="E3228">
        <v>0.50101700000000005</v>
      </c>
      <c r="F3228" t="s">
        <v>47</v>
      </c>
      <c r="G3228">
        <v>-356.67849999999999</v>
      </c>
      <c r="H3228" s="1">
        <v>2.173362E-6</v>
      </c>
      <c r="I3228">
        <v>211.04339999999999</v>
      </c>
      <c r="J3228">
        <v>-423.98160000000001</v>
      </c>
      <c r="K3228">
        <v>1.108549</v>
      </c>
      <c r="L3228">
        <v>212.74</v>
      </c>
      <c r="M3228">
        <v>0.9999633</v>
      </c>
      <c r="N3228">
        <v>0</v>
      </c>
      <c r="O3228">
        <v>-7.9828599999999996E-3</v>
      </c>
      <c r="P3228">
        <v>0.9983284</v>
      </c>
      <c r="Q3228">
        <v>5.210704E-2</v>
      </c>
      <c r="R3228">
        <v>-2.500867E-2</v>
      </c>
      <c r="S3228">
        <v>3.005585</v>
      </c>
      <c r="T3228">
        <v>-4.9258469999999999E-2</v>
      </c>
      <c r="U3228">
        <v>-7.5500490000000003E-2</v>
      </c>
      <c r="V3228">
        <v>1.69932E-2</v>
      </c>
      <c r="W3228">
        <v>5.5247600000000001E-2</v>
      </c>
      <c r="X3228">
        <v>0.99832810000000005</v>
      </c>
      <c r="Y3228">
        <v>1.7129740000000001E-2</v>
      </c>
      <c r="Z3228" s="1">
        <v>-9.5400759999999997E-6</v>
      </c>
      <c r="AA3228">
        <v>0.99985329999999994</v>
      </c>
      <c r="AB3228">
        <v>34</v>
      </c>
      <c r="AC3228">
        <v>67.303100000000001</v>
      </c>
      <c r="AD3228">
        <v>-1.1085468266380001</v>
      </c>
      <c r="AE3228">
        <v>-1.6966000000000101</v>
      </c>
      <c r="AF3228">
        <v>1.15895789948456</v>
      </c>
      <c r="AG3228">
        <v>-1.1085468266380001</v>
      </c>
      <c r="AH3228">
        <v>67.296253868860504</v>
      </c>
      <c r="AI3228">
        <v>90.943587387133604</v>
      </c>
      <c r="AJ3228">
        <v>89.013365101200606</v>
      </c>
      <c r="AK3228">
        <v>67.315361131481296</v>
      </c>
      <c r="AL3228">
        <v>86.832933255307907</v>
      </c>
      <c r="AM3228">
        <v>89.024824981121</v>
      </c>
      <c r="AN3228">
        <v>1.0000000307007999</v>
      </c>
    </row>
    <row r="3229" spans="1:40" x14ac:dyDescent="0.25">
      <c r="A3229" t="str">
        <f>"20190312172953840"</f>
        <v>20190312172953840</v>
      </c>
      <c r="B3229" t="str">
        <f>"1552382993830513"</f>
        <v>1552382993830513</v>
      </c>
      <c r="C3229" t="s">
        <v>40</v>
      </c>
      <c r="D3229">
        <v>2.9025569999999998</v>
      </c>
      <c r="E3229">
        <v>0.50129499999999905</v>
      </c>
      <c r="F3229" t="s">
        <v>47</v>
      </c>
      <c r="G3229">
        <v>-354.78160000000003</v>
      </c>
      <c r="H3229" s="1">
        <v>1.1646409999999999E-6</v>
      </c>
      <c r="I3229">
        <v>211.02629999999999</v>
      </c>
      <c r="J3229">
        <v>-423.62779999999998</v>
      </c>
      <c r="K3229">
        <v>1.1085969999999901</v>
      </c>
      <c r="L3229">
        <v>212.73759999999999</v>
      </c>
      <c r="M3229">
        <v>0.99996779999999996</v>
      </c>
      <c r="N3229">
        <v>0</v>
      </c>
      <c r="O3229">
        <v>-7.4103160000000001E-3</v>
      </c>
      <c r="P3229">
        <v>0.99832759999999998</v>
      </c>
      <c r="Q3229">
        <v>5.2373860000000001E-2</v>
      </c>
      <c r="R3229">
        <v>-2.4476669999999999E-2</v>
      </c>
      <c r="S3229">
        <v>3.0056759999999998</v>
      </c>
      <c r="T3229">
        <v>-4.814935E-2</v>
      </c>
      <c r="U3229">
        <v>-7.4432369999999998E-2</v>
      </c>
      <c r="V3229">
        <v>1.702412E-2</v>
      </c>
      <c r="W3229">
        <v>5.5468980000000001E-2</v>
      </c>
      <c r="X3229">
        <v>0.99831530000000002</v>
      </c>
      <c r="Y3229">
        <v>1.734631E-2</v>
      </c>
      <c r="Z3229" s="1">
        <v>-2.0228600000000001E-5</v>
      </c>
      <c r="AA3229">
        <v>0.99984960000000001</v>
      </c>
      <c r="AB3229">
        <v>34</v>
      </c>
      <c r="AC3229">
        <v>68.846199999999897</v>
      </c>
      <c r="AD3229">
        <v>-1.10859583535899</v>
      </c>
      <c r="AE3229">
        <v>-1.7112999999999901</v>
      </c>
      <c r="AF3229">
        <v>1.20076734031375</v>
      </c>
      <c r="AG3229">
        <v>-1.10859583535899</v>
      </c>
      <c r="AH3229">
        <v>68.839152707916199</v>
      </c>
      <c r="AI3229">
        <v>90.922479600939397</v>
      </c>
      <c r="AJ3229">
        <v>89.000686067005205</v>
      </c>
      <c r="AK3229">
        <v>68.858549015177104</v>
      </c>
      <c r="AL3229">
        <v>86.820229643992903</v>
      </c>
      <c r="AM3229">
        <v>89.023038420061397</v>
      </c>
      <c r="AN3229">
        <v>1.00000003330905</v>
      </c>
    </row>
    <row r="3230" spans="1:40" x14ac:dyDescent="0.25">
      <c r="A3230" t="str">
        <f>"20190312172953863"</f>
        <v>20190312172953863</v>
      </c>
      <c r="B3230" t="str">
        <f>"1552382993860766"</f>
        <v>1552382993860766</v>
      </c>
      <c r="C3230" t="s">
        <v>40</v>
      </c>
      <c r="D3230">
        <v>2.9735659999999999</v>
      </c>
      <c r="E3230">
        <v>0.50165799999999905</v>
      </c>
      <c r="F3230" t="s">
        <v>47</v>
      </c>
      <c r="G3230">
        <v>-352.25799999999998</v>
      </c>
      <c r="H3230" s="1">
        <v>-1.751829E-7</v>
      </c>
      <c r="I3230">
        <v>210.95599999999999</v>
      </c>
      <c r="J3230">
        <v>-423.26749999999998</v>
      </c>
      <c r="K3230">
        <v>1.1086579999999999</v>
      </c>
      <c r="L3230">
        <v>212.7355</v>
      </c>
      <c r="M3230">
        <v>0.99997259999999999</v>
      </c>
      <c r="N3230">
        <v>0</v>
      </c>
      <c r="O3230">
        <v>-6.7406150000000001E-3</v>
      </c>
      <c r="P3230">
        <v>0.99832030000000005</v>
      </c>
      <c r="Q3230">
        <v>5.2911939999999998E-2</v>
      </c>
      <c r="R3230">
        <v>-2.3597360000000001E-2</v>
      </c>
      <c r="S3230">
        <v>3.005585</v>
      </c>
      <c r="T3230">
        <v>-4.6686169999999999E-2</v>
      </c>
      <c r="U3230">
        <v>-7.5027469999999999E-2</v>
      </c>
      <c r="V3230">
        <v>1.6803450000000001E-2</v>
      </c>
      <c r="W3230">
        <v>5.5962230000000002E-2</v>
      </c>
      <c r="X3230">
        <v>0.9982915</v>
      </c>
      <c r="Y3230">
        <v>1.8214419999999999E-2</v>
      </c>
      <c r="Z3230" s="1">
        <v>-3.6754990000000002E-5</v>
      </c>
      <c r="AA3230">
        <v>0.99983409999999995</v>
      </c>
      <c r="AB3230">
        <v>34</v>
      </c>
      <c r="AC3230">
        <v>71.009499999999903</v>
      </c>
      <c r="AD3230">
        <v>-1.1086581751829001</v>
      </c>
      <c r="AE3230">
        <v>-1.7795000000000101</v>
      </c>
      <c r="AF3230">
        <v>1.3004928216895599</v>
      </c>
      <c r="AG3230">
        <v>-1.1086581751829001</v>
      </c>
      <c r="AH3230">
        <v>71.002585030399501</v>
      </c>
      <c r="AI3230">
        <v>90.894412829087102</v>
      </c>
      <c r="AJ3230">
        <v>88.950680188842696</v>
      </c>
      <c r="AK3230">
        <v>71.0231475332358</v>
      </c>
      <c r="AL3230">
        <v>86.791924501527902</v>
      </c>
      <c r="AM3230">
        <v>89.035676596479306</v>
      </c>
      <c r="AN3230">
        <v>1.0000000230453601</v>
      </c>
    </row>
    <row r="3231" spans="1:40" x14ac:dyDescent="0.25">
      <c r="A3231" t="str">
        <f>"20190312172953888"</f>
        <v>20190312172953888</v>
      </c>
      <c r="B3231" t="str">
        <f>"1552382993881262"</f>
        <v>1552382993881262</v>
      </c>
      <c r="C3231" t="s">
        <v>40</v>
      </c>
      <c r="D3231">
        <v>2.9684629999999999</v>
      </c>
      <c r="E3231">
        <v>0.50185379999999902</v>
      </c>
      <c r="F3231" t="s">
        <v>47</v>
      </c>
      <c r="G3231">
        <v>-351.99590000000001</v>
      </c>
      <c r="H3231" s="1">
        <v>-3.1442490000000002E-7</v>
      </c>
      <c r="I3231">
        <v>210.94990000000001</v>
      </c>
      <c r="J3231">
        <v>-422.8895</v>
      </c>
      <c r="K3231">
        <v>1.10873</v>
      </c>
      <c r="L3231">
        <v>212.7336</v>
      </c>
      <c r="M3231">
        <v>0.99997809999999998</v>
      </c>
      <c r="N3231">
        <v>0</v>
      </c>
      <c r="O3231">
        <v>-5.9240469999999896E-3</v>
      </c>
      <c r="P3231">
        <v>0.99830830000000004</v>
      </c>
      <c r="Q3231">
        <v>5.3435980000000001E-2</v>
      </c>
      <c r="R3231">
        <v>-2.2927409999999999E-2</v>
      </c>
      <c r="S3231">
        <v>3.0057369999999999</v>
      </c>
      <c r="T3231">
        <v>-4.6755430000000001E-2</v>
      </c>
      <c r="U3231">
        <v>-7.530212E-2</v>
      </c>
      <c r="V3231">
        <v>1.6936349999999999E-2</v>
      </c>
      <c r="W3231">
        <v>5.644308E-2</v>
      </c>
      <c r="X3231">
        <v>0.99826219999999999</v>
      </c>
      <c r="Y3231">
        <v>1.9120689999999999E-2</v>
      </c>
      <c r="Z3231" s="1">
        <v>-5.6553459999999997E-5</v>
      </c>
      <c r="AA3231">
        <v>0.99981719999999996</v>
      </c>
      <c r="AB3231">
        <v>35</v>
      </c>
      <c r="AC3231">
        <v>70.893599999999907</v>
      </c>
      <c r="AD3231">
        <v>-1.1087303144249001</v>
      </c>
      <c r="AE3231">
        <v>-1.7836999999999801</v>
      </c>
      <c r="AF3231">
        <v>1.3633566024430599</v>
      </c>
      <c r="AG3231">
        <v>-1.1087303144249001</v>
      </c>
      <c r="AH3231">
        <v>70.885595862269497</v>
      </c>
      <c r="AI3231">
        <v>90.895931589459394</v>
      </c>
      <c r="AJ3231">
        <v>88.898154857301407</v>
      </c>
      <c r="AK3231">
        <v>70.9073742630803</v>
      </c>
      <c r="AL3231">
        <v>86.764330267102096</v>
      </c>
      <c r="AM3231">
        <v>89.028022610956299</v>
      </c>
      <c r="AN3231">
        <v>1.00000004059002</v>
      </c>
    </row>
    <row r="3232" spans="1:40" x14ac:dyDescent="0.25">
      <c r="A3232" t="str">
        <f>"20190312172953908"</f>
        <v>20190312172953908</v>
      </c>
      <c r="B3232" t="str">
        <f>"1552382993900782"</f>
        <v>1552382993900782</v>
      </c>
      <c r="C3232" t="s">
        <v>40</v>
      </c>
      <c r="D3232">
        <v>2.993303</v>
      </c>
      <c r="E3232">
        <v>0.5020618</v>
      </c>
      <c r="F3232" t="s">
        <v>47</v>
      </c>
      <c r="G3232">
        <v>-350.58620000000002</v>
      </c>
      <c r="H3232" s="1">
        <v>-1.0638469999999999E-6</v>
      </c>
      <c r="I3232">
        <v>210.9333</v>
      </c>
      <c r="J3232">
        <v>-422.56990000000002</v>
      </c>
      <c r="K3232">
        <v>1.1088009999999999</v>
      </c>
      <c r="L3232">
        <v>212.73230000000001</v>
      </c>
      <c r="M3232">
        <v>0.99998240000000005</v>
      </c>
      <c r="N3232">
        <v>0</v>
      </c>
      <c r="O3232">
        <v>-5.1629730000000004E-3</v>
      </c>
      <c r="P3232">
        <v>0.99831239999999999</v>
      </c>
      <c r="Q3232">
        <v>5.3771220000000002E-2</v>
      </c>
      <c r="R3232">
        <v>-2.193322E-2</v>
      </c>
      <c r="S3232">
        <v>3.0058590000000001</v>
      </c>
      <c r="T3232">
        <v>-4.6093229999999999E-2</v>
      </c>
      <c r="U3232">
        <v>-7.4844359999999999E-2</v>
      </c>
      <c r="V3232">
        <v>1.6691629999999999E-2</v>
      </c>
      <c r="W3232">
        <v>5.6745379999999998E-2</v>
      </c>
      <c r="X3232">
        <v>0.9982491</v>
      </c>
      <c r="Y3232">
        <v>1.9728329999999999E-2</v>
      </c>
      <c r="Z3232" s="1">
        <v>-7.2076039999999995E-5</v>
      </c>
      <c r="AA3232">
        <v>0.99980539999999996</v>
      </c>
      <c r="AB3232">
        <v>35</v>
      </c>
      <c r="AC3232">
        <v>71.983699999999999</v>
      </c>
      <c r="AD3232">
        <v>-1.108802063847</v>
      </c>
      <c r="AE3232">
        <v>-1.7989999999999999</v>
      </c>
      <c r="AF3232">
        <v>1.42698616793253</v>
      </c>
      <c r="AG3232">
        <v>-1.108802063847</v>
      </c>
      <c r="AH3232">
        <v>71.9749620870558</v>
      </c>
      <c r="AI3232">
        <v>90.882420390967695</v>
      </c>
      <c r="AJ3232">
        <v>88.864194265197895</v>
      </c>
      <c r="AK3232">
        <v>71.997645093248593</v>
      </c>
      <c r="AL3232">
        <v>86.746981677087106</v>
      </c>
      <c r="AM3232">
        <v>89.042051890663899</v>
      </c>
      <c r="AN3232">
        <v>0.99999995715710399</v>
      </c>
    </row>
    <row r="3233" spans="1:40" x14ac:dyDescent="0.25">
      <c r="A3233" t="str">
        <f>"20190312172953930"</f>
        <v>20190312172953930</v>
      </c>
      <c r="B3233" t="str">
        <f>"1552382993921278"</f>
        <v>1552382993921278</v>
      </c>
      <c r="C3233" t="s">
        <v>40</v>
      </c>
      <c r="D3233">
        <v>3.007952</v>
      </c>
      <c r="E3233">
        <v>0.50227670000000002</v>
      </c>
      <c r="F3233" t="s">
        <v>47</v>
      </c>
      <c r="G3233">
        <v>-350.66759999999999</v>
      </c>
      <c r="H3233" s="1">
        <v>-1.0224430000000001E-6</v>
      </c>
      <c r="I3233">
        <v>210.97669999999999</v>
      </c>
      <c r="J3233">
        <v>-422.22109999999998</v>
      </c>
      <c r="K3233">
        <v>1.108878</v>
      </c>
      <c r="L3233">
        <v>212.7313</v>
      </c>
      <c r="M3233">
        <v>0.99998659999999995</v>
      </c>
      <c r="N3233">
        <v>0</v>
      </c>
      <c r="O3233">
        <v>-4.245268E-3</v>
      </c>
      <c r="P3233">
        <v>0.99831210000000004</v>
      </c>
      <c r="Q3233">
        <v>5.4291859999999997E-2</v>
      </c>
      <c r="R3233">
        <v>-2.0623679999999998E-2</v>
      </c>
      <c r="S3233">
        <v>3.00589</v>
      </c>
      <c r="T3233">
        <v>-4.6353699999999998E-2</v>
      </c>
      <c r="U3233">
        <v>-7.3394780000000007E-2</v>
      </c>
      <c r="V3233">
        <v>1.6285999999999998E-2</v>
      </c>
      <c r="W3233">
        <v>5.7234769999999997E-2</v>
      </c>
      <c r="X3233">
        <v>0.99822789999999995</v>
      </c>
      <c r="Y3233">
        <v>2.016358E-2</v>
      </c>
      <c r="Z3233" s="1">
        <v>-8.9986709999999998E-5</v>
      </c>
      <c r="AA3233">
        <v>0.99979669999999998</v>
      </c>
      <c r="AB3233">
        <v>35</v>
      </c>
      <c r="AC3233">
        <v>71.5534999999999</v>
      </c>
      <c r="AD3233">
        <v>-1.1088790224429901</v>
      </c>
      <c r="AE3233">
        <v>-1.7546000000000099</v>
      </c>
      <c r="AF3233">
        <v>1.4504709313426301</v>
      </c>
      <c r="AG3233">
        <v>-1.1088790224429901</v>
      </c>
      <c r="AH3233">
        <v>71.543132285511604</v>
      </c>
      <c r="AI3233">
        <v>90.887799411523304</v>
      </c>
      <c r="AJ3233">
        <v>88.838540104906301</v>
      </c>
      <c r="AK3233">
        <v>71.566425478930398</v>
      </c>
      <c r="AL3233">
        <v>86.718896177032505</v>
      </c>
      <c r="AM3233">
        <v>89.065307344181306</v>
      </c>
      <c r="AN3233">
        <v>0.99999999651568094</v>
      </c>
    </row>
    <row r="3234" spans="1:40" x14ac:dyDescent="0.25">
      <c r="A3234" t="str">
        <f>"20190312172953952"</f>
        <v>20190312172953952</v>
      </c>
      <c r="B3234" t="str">
        <f>"1552382993940802"</f>
        <v>1552382993940802</v>
      </c>
      <c r="C3234" t="s">
        <v>40</v>
      </c>
      <c r="D3234">
        <v>2.981398</v>
      </c>
      <c r="E3234">
        <v>0.50242100000000001</v>
      </c>
      <c r="F3234" t="s">
        <v>47</v>
      </c>
      <c r="G3234">
        <v>-349.26310000000001</v>
      </c>
      <c r="H3234" s="1">
        <v>3.392558E-6</v>
      </c>
      <c r="I3234">
        <v>211.00290000000001</v>
      </c>
      <c r="J3234">
        <v>-421.87400000000002</v>
      </c>
      <c r="K3234">
        <v>1.108962</v>
      </c>
      <c r="L3234">
        <v>212.73060000000001</v>
      </c>
      <c r="M3234">
        <v>0.99999059999999995</v>
      </c>
      <c r="N3234">
        <v>0</v>
      </c>
      <c r="O3234">
        <v>-3.2329329999999999E-3</v>
      </c>
      <c r="P3234">
        <v>0.99831899999999996</v>
      </c>
      <c r="Q3234">
        <v>5.4750550000000002E-2</v>
      </c>
      <c r="R3234">
        <v>-1.9025190000000001E-2</v>
      </c>
      <c r="S3234">
        <v>3.0060730000000002</v>
      </c>
      <c r="T3234">
        <v>-4.568875E-2</v>
      </c>
      <c r="U3234">
        <v>-7.1212769999999995E-2</v>
      </c>
      <c r="V3234">
        <v>1.5684879999999998E-2</v>
      </c>
      <c r="W3234">
        <v>5.766607E-2</v>
      </c>
      <c r="X3234">
        <v>0.99821269999999995</v>
      </c>
      <c r="Y3234">
        <v>2.0448839999999999E-2</v>
      </c>
      <c r="Z3234">
        <v>-1.062416E-4</v>
      </c>
      <c r="AA3234">
        <v>0.99979090000000004</v>
      </c>
      <c r="AB3234">
        <v>35</v>
      </c>
      <c r="AC3234">
        <v>72.610900000000001</v>
      </c>
      <c r="AD3234">
        <v>-1.1089586074419999</v>
      </c>
      <c r="AE3234">
        <v>-1.72769999999999</v>
      </c>
      <c r="AF3234">
        <v>1.49259586115038</v>
      </c>
      <c r="AG3234">
        <v>-1.1089586074419999</v>
      </c>
      <c r="AH3234">
        <v>72.599181711026901</v>
      </c>
      <c r="AI3234">
        <v>90.874944925140397</v>
      </c>
      <c r="AJ3234">
        <v>88.8221988867585</v>
      </c>
      <c r="AK3234">
        <v>72.622990965041097</v>
      </c>
      <c r="AL3234">
        <v>86.694143612348</v>
      </c>
      <c r="AM3234">
        <v>89.099787573529198</v>
      </c>
      <c r="AN3234">
        <v>0.99999999276557405</v>
      </c>
    </row>
    <row r="3235" spans="1:40" x14ac:dyDescent="0.25">
      <c r="A3235" t="str">
        <f>"20190312172953974"</f>
        <v>20190312172953974</v>
      </c>
      <c r="B3235" t="str">
        <f>"1552382993971055"</f>
        <v>1552382993971055</v>
      </c>
      <c r="C3235" t="s">
        <v>40</v>
      </c>
      <c r="D3235">
        <v>3.02189</v>
      </c>
      <c r="E3235">
        <v>0.50266179999999905</v>
      </c>
      <c r="F3235" t="s">
        <v>47</v>
      </c>
      <c r="G3235">
        <v>-348.2312</v>
      </c>
      <c r="H3235" s="1">
        <v>2.8434690000000002E-6</v>
      </c>
      <c r="I3235">
        <v>211.07730000000001</v>
      </c>
      <c r="J3235">
        <v>-421.51929999999999</v>
      </c>
      <c r="K3235">
        <v>1.1090519999999999</v>
      </c>
      <c r="L3235">
        <v>212.7304</v>
      </c>
      <c r="M3235">
        <v>0.99999369999999999</v>
      </c>
      <c r="N3235">
        <v>0</v>
      </c>
      <c r="O3235">
        <v>-2.0900879999999999E-3</v>
      </c>
      <c r="P3235">
        <v>0.99828899999999998</v>
      </c>
      <c r="Q3235">
        <v>5.5806979999999999E-2</v>
      </c>
      <c r="R3235">
        <v>-1.745246E-2</v>
      </c>
      <c r="S3235">
        <v>3.006256</v>
      </c>
      <c r="T3235">
        <v>-4.5270089999999999E-2</v>
      </c>
      <c r="U3235">
        <v>-6.748962E-2</v>
      </c>
      <c r="V3235">
        <v>1.52373E-2</v>
      </c>
      <c r="W3235">
        <v>5.869858E-2</v>
      </c>
      <c r="X3235">
        <v>0.99815949999999998</v>
      </c>
      <c r="Y3235">
        <v>2.035238E-2</v>
      </c>
      <c r="Z3235">
        <v>-1.217434E-4</v>
      </c>
      <c r="AA3235">
        <v>0.99979289999999998</v>
      </c>
      <c r="AB3235">
        <v>35</v>
      </c>
      <c r="AC3235">
        <v>73.288099999999901</v>
      </c>
      <c r="AD3235">
        <v>-1.1090491565309999</v>
      </c>
      <c r="AE3235">
        <v>-1.65309999999999</v>
      </c>
      <c r="AF3235">
        <v>1.49957395324598</v>
      </c>
      <c r="AG3235">
        <v>-1.1090491565309999</v>
      </c>
      <c r="AH3235">
        <v>73.274623734480699</v>
      </c>
      <c r="AI3235">
        <v>90.866953408382003</v>
      </c>
      <c r="AJ3235">
        <v>88.827598665265597</v>
      </c>
      <c r="AK3235">
        <v>73.298357386114603</v>
      </c>
      <c r="AL3235">
        <v>86.634884927205903</v>
      </c>
      <c r="AM3235">
        <v>89.125425169334406</v>
      </c>
      <c r="AN3235">
        <v>1.00000004302277</v>
      </c>
    </row>
    <row r="3236" spans="1:40" x14ac:dyDescent="0.25">
      <c r="A3236" t="str">
        <f>"20190312172953997"</f>
        <v>20190312172953997</v>
      </c>
      <c r="B3236" t="str">
        <f>"1552382993990575"</f>
        <v>1552382993990575</v>
      </c>
      <c r="C3236" t="s">
        <v>40</v>
      </c>
      <c r="D3236">
        <v>3.0214240000000001</v>
      </c>
      <c r="E3236">
        <v>0.50274620000000003</v>
      </c>
      <c r="F3236" t="s">
        <v>47</v>
      </c>
      <c r="G3236">
        <v>-344.50400000000002</v>
      </c>
      <c r="H3236" s="1">
        <v>8.6002139999999898E-7</v>
      </c>
      <c r="I3236">
        <v>211.08279999999999</v>
      </c>
      <c r="J3236">
        <v>-421.15370000000001</v>
      </c>
      <c r="K3236">
        <v>1.109156</v>
      </c>
      <c r="L3236">
        <v>212.73060000000001</v>
      </c>
      <c r="M3236">
        <v>0.99999559999999998</v>
      </c>
      <c r="N3236">
        <v>0</v>
      </c>
      <c r="O3236">
        <v>-7.975476E-4</v>
      </c>
      <c r="P3236">
        <v>0.99824049999999998</v>
      </c>
      <c r="Q3236">
        <v>5.7145050000000003E-2</v>
      </c>
      <c r="R3236">
        <v>-1.5825209999999999E-2</v>
      </c>
      <c r="S3236">
        <v>3.0064389999999999</v>
      </c>
      <c r="T3236">
        <v>-4.3293949999999998E-2</v>
      </c>
      <c r="U3236">
        <v>-6.4315800000000006E-2</v>
      </c>
      <c r="V3236">
        <v>1.488183E-2</v>
      </c>
      <c r="W3236">
        <v>6.0017559999999998E-2</v>
      </c>
      <c r="X3236">
        <v>0.99808640000000004</v>
      </c>
      <c r="Y3236">
        <v>2.058836E-2</v>
      </c>
      <c r="Z3236">
        <v>-1.367327E-4</v>
      </c>
      <c r="AA3236">
        <v>0.99978800000000001</v>
      </c>
      <c r="AB3236">
        <v>36</v>
      </c>
      <c r="AC3236">
        <v>76.649699999999996</v>
      </c>
      <c r="AD3236">
        <v>-1.1091551399785999</v>
      </c>
      <c r="AE3236">
        <v>-1.6478000000000099</v>
      </c>
      <c r="AF3236">
        <v>1.5863354268638701</v>
      </c>
      <c r="AG3236">
        <v>-1.1091551399785999</v>
      </c>
      <c r="AH3236">
        <v>76.634950360955898</v>
      </c>
      <c r="AI3236">
        <v>90.829019440317495</v>
      </c>
      <c r="AJ3236">
        <v>88.814152732840498</v>
      </c>
      <c r="AK3236">
        <v>76.659391479695699</v>
      </c>
      <c r="AL3236">
        <v>86.559179368017496</v>
      </c>
      <c r="AM3236">
        <v>89.145762460113801</v>
      </c>
      <c r="AN3236">
        <v>1.0000000191187299</v>
      </c>
    </row>
    <row r="3237" spans="1:40" x14ac:dyDescent="0.25">
      <c r="A3237" t="str">
        <f>"20190312172954019"</f>
        <v>20190312172954019</v>
      </c>
      <c r="B3237" t="str">
        <f>"1552382994011071"</f>
        <v>1552382994011071</v>
      </c>
      <c r="C3237" t="s">
        <v>40</v>
      </c>
      <c r="D3237">
        <v>2.9985469999999999</v>
      </c>
      <c r="E3237">
        <v>0.50660240000000001</v>
      </c>
      <c r="F3237" t="s">
        <v>47</v>
      </c>
      <c r="G3237">
        <v>-337.2287</v>
      </c>
      <c r="H3237" s="1">
        <v>2.4658059999999999E-6</v>
      </c>
      <c r="I3237">
        <v>211.05160000000001</v>
      </c>
      <c r="J3237">
        <v>-420.79500000000002</v>
      </c>
      <c r="K3237">
        <v>1.1092580000000001</v>
      </c>
      <c r="L3237">
        <v>212.73140000000001</v>
      </c>
      <c r="M3237">
        <v>0.99999579999999999</v>
      </c>
      <c r="N3237">
        <v>0</v>
      </c>
      <c r="O3237">
        <v>5.807249E-4</v>
      </c>
      <c r="P3237">
        <v>0.99818689999999999</v>
      </c>
      <c r="Q3237">
        <v>5.8379769999999997E-2</v>
      </c>
      <c r="R3237">
        <v>-1.46556E-2</v>
      </c>
      <c r="S3237">
        <v>3.0066220000000001</v>
      </c>
      <c r="T3237">
        <v>-3.9735560000000003E-2</v>
      </c>
      <c r="U3237">
        <v>-6.0150149999999999E-2</v>
      </c>
      <c r="V3237">
        <v>1.5069259999999999E-2</v>
      </c>
      <c r="W3237">
        <v>6.1238870000000001E-2</v>
      </c>
      <c r="X3237">
        <v>0.99800940000000005</v>
      </c>
      <c r="Y3237">
        <v>2.0580649999999999E-2</v>
      </c>
      <c r="Z3237">
        <v>-1.436513E-4</v>
      </c>
      <c r="AA3237">
        <v>0.99978820000000002</v>
      </c>
      <c r="AB3237">
        <v>36</v>
      </c>
      <c r="AC3237">
        <v>83.566299999999998</v>
      </c>
      <c r="AD3237">
        <v>-1.109255534194</v>
      </c>
      <c r="AE3237">
        <v>-1.6798</v>
      </c>
      <c r="AF3237">
        <v>1.72802459217991</v>
      </c>
      <c r="AG3237">
        <v>-1.109255534194</v>
      </c>
      <c r="AH3237">
        <v>83.550594905424603</v>
      </c>
      <c r="AI3237">
        <v>90.760477411715499</v>
      </c>
      <c r="AJ3237">
        <v>88.815156224224793</v>
      </c>
      <c r="AK3237">
        <v>83.575824410422001</v>
      </c>
      <c r="AL3237">
        <v>86.489074503413207</v>
      </c>
      <c r="AM3237">
        <v>89.134938617170704</v>
      </c>
      <c r="AN3237">
        <v>1.0000000221420899</v>
      </c>
    </row>
    <row r="3238" spans="1:40" x14ac:dyDescent="0.25">
      <c r="A3238" t="str">
        <f>"20190312172954042"</f>
        <v>20190312172954042</v>
      </c>
      <c r="B3238" t="str">
        <f>"1552382994030594"</f>
        <v>1552382994030594</v>
      </c>
      <c r="C3238" t="s">
        <v>40</v>
      </c>
      <c r="D3238">
        <v>3.0299360000000002</v>
      </c>
      <c r="E3238">
        <v>0.50724629999999904</v>
      </c>
      <c r="F3238" t="s">
        <v>47</v>
      </c>
      <c r="G3238">
        <v>-353.18029999999999</v>
      </c>
      <c r="H3238" s="1">
        <v>3.2332470000000002E-7</v>
      </c>
      <c r="I3238">
        <v>210.77950000000001</v>
      </c>
      <c r="J3238">
        <v>-420.43520000000001</v>
      </c>
      <c r="K3238">
        <v>1.1093649999999999</v>
      </c>
      <c r="L3238">
        <v>212.7328</v>
      </c>
      <c r="M3238">
        <v>0.9999941</v>
      </c>
      <c r="N3238">
        <v>0</v>
      </c>
      <c r="O3238">
        <v>2.062613E-3</v>
      </c>
      <c r="P3238">
        <v>0.99815920000000002</v>
      </c>
      <c r="Q3238">
        <v>5.917965E-2</v>
      </c>
      <c r="R3238">
        <v>-1.327249E-2</v>
      </c>
      <c r="S3238">
        <v>3.00705</v>
      </c>
      <c r="T3238">
        <v>-4.9332380000000002E-2</v>
      </c>
      <c r="U3238">
        <v>-8.6807250000000002E-2</v>
      </c>
      <c r="V3238">
        <v>1.514743E-2</v>
      </c>
      <c r="W3238">
        <v>6.202796E-2</v>
      </c>
      <c r="X3238">
        <v>0.99795940000000005</v>
      </c>
      <c r="Y3238">
        <v>3.0913159999999999E-2</v>
      </c>
      <c r="Z3238">
        <v>-2.8733369999999999E-4</v>
      </c>
      <c r="AA3238">
        <v>0.99952200000000002</v>
      </c>
      <c r="AB3238">
        <v>36</v>
      </c>
      <c r="AC3238">
        <v>67.254900000000006</v>
      </c>
      <c r="AD3238">
        <v>-1.1093646766753</v>
      </c>
      <c r="AE3238">
        <v>-1.9532999999999801</v>
      </c>
      <c r="AF3238">
        <v>2.0914486321178001</v>
      </c>
      <c r="AG3238">
        <v>-1.1093646766753</v>
      </c>
      <c r="AH3238">
        <v>67.232450653573906</v>
      </c>
      <c r="AI3238">
        <v>90.944862521315898</v>
      </c>
      <c r="AJ3238">
        <v>88.218233192711097</v>
      </c>
      <c r="AK3238">
        <v>67.274120345433701</v>
      </c>
      <c r="AL3238">
        <v>86.443776560418797</v>
      </c>
      <c r="AM3238">
        <v>89.130408341404703</v>
      </c>
      <c r="AN3238">
        <v>0.99999993825286104</v>
      </c>
    </row>
    <row r="3239" spans="1:40" x14ac:dyDescent="0.25">
      <c r="A3239" t="str">
        <f>"20190312172954064"</f>
        <v>20190312172954064</v>
      </c>
      <c r="B3239" t="str">
        <f>"1552382994051090"</f>
        <v>1552382994051090</v>
      </c>
      <c r="C3239" t="s">
        <v>40</v>
      </c>
      <c r="D3239">
        <v>2.9766270000000001</v>
      </c>
      <c r="E3239">
        <v>0.50752989999999998</v>
      </c>
      <c r="F3239" t="s">
        <v>47</v>
      </c>
      <c r="G3239">
        <v>-351.04759999999999</v>
      </c>
      <c r="H3239" s="1">
        <v>-8.0827830000000001E-7</v>
      </c>
      <c r="I3239">
        <v>210.70410000000001</v>
      </c>
      <c r="J3239">
        <v>-420.07510000000002</v>
      </c>
      <c r="K3239">
        <v>1.1094550000000001</v>
      </c>
      <c r="L3239">
        <v>212.7347</v>
      </c>
      <c r="M3239">
        <v>0.99998949999999998</v>
      </c>
      <c r="N3239">
        <v>0</v>
      </c>
      <c r="O3239">
        <v>3.6334599999999998E-3</v>
      </c>
      <c r="P3239">
        <v>0.99811039999999995</v>
      </c>
      <c r="Q3239">
        <v>6.0306440000000003E-2</v>
      </c>
      <c r="R3239">
        <v>-1.1785749999999999E-2</v>
      </c>
      <c r="S3239">
        <v>3.0072019999999999</v>
      </c>
      <c r="T3239">
        <v>-4.8079009999999998E-2</v>
      </c>
      <c r="U3239">
        <v>-8.7921139999999995E-2</v>
      </c>
      <c r="V3239">
        <v>1.52102E-2</v>
      </c>
      <c r="W3239">
        <v>6.3145870000000007E-2</v>
      </c>
      <c r="X3239">
        <v>0.99788840000000001</v>
      </c>
      <c r="Y3239">
        <v>3.2851449999999997E-2</v>
      </c>
      <c r="Z3239">
        <v>-3.2061729999999998E-4</v>
      </c>
      <c r="AA3239">
        <v>0.99946020000000002</v>
      </c>
      <c r="AB3239">
        <v>36</v>
      </c>
      <c r="AC3239">
        <v>69.027500000000003</v>
      </c>
      <c r="AD3239">
        <v>-1.1094558082782999</v>
      </c>
      <c r="AE3239">
        <v>-2.03059999999999</v>
      </c>
      <c r="AF3239">
        <v>2.2808075410994899</v>
      </c>
      <c r="AG3239">
        <v>-1.1094558082782999</v>
      </c>
      <c r="AH3239">
        <v>69.001856337114603</v>
      </c>
      <c r="AI3239">
        <v>90.920655948261199</v>
      </c>
      <c r="AJ3239">
        <v>88.106817833544099</v>
      </c>
      <c r="AK3239">
        <v>69.048455110870194</v>
      </c>
      <c r="AL3239">
        <v>86.379599451456897</v>
      </c>
      <c r="AM3239">
        <v>89.126743246514195</v>
      </c>
      <c r="AN3239">
        <v>1.00000000496832</v>
      </c>
    </row>
    <row r="3240" spans="1:40" x14ac:dyDescent="0.25">
      <c r="A3240" t="str">
        <f>"20190312172954087"</f>
        <v>20190312172954087</v>
      </c>
      <c r="B3240" t="str">
        <f>"1552382994080367"</f>
        <v>1552382994080367</v>
      </c>
      <c r="C3240" t="s">
        <v>40</v>
      </c>
      <c r="D3240">
        <v>3.005795</v>
      </c>
      <c r="E3240">
        <v>0.50815339999999998</v>
      </c>
      <c r="F3240" t="s">
        <v>47</v>
      </c>
      <c r="G3240">
        <v>-344.88279999999997</v>
      </c>
      <c r="H3240" s="1">
        <v>1.0616060000000001E-6</v>
      </c>
      <c r="I3240">
        <v>210.5796</v>
      </c>
      <c r="J3240">
        <v>-419.70499999999998</v>
      </c>
      <c r="K3240">
        <v>1.1095360000000001</v>
      </c>
      <c r="L3240">
        <v>212.73750000000001</v>
      </c>
      <c r="M3240">
        <v>0.99998200000000004</v>
      </c>
      <c r="N3240">
        <v>0</v>
      </c>
      <c r="O3240">
        <v>5.3177160000000001E-3</v>
      </c>
      <c r="P3240">
        <v>0.99807089999999998</v>
      </c>
      <c r="Q3240">
        <v>6.1213820000000002E-2</v>
      </c>
      <c r="R3240">
        <v>-1.036514E-2</v>
      </c>
      <c r="S3240">
        <v>3.007355</v>
      </c>
      <c r="T3240">
        <v>-4.437315E-2</v>
      </c>
      <c r="U3240">
        <v>-8.6196899999999896E-2</v>
      </c>
      <c r="V3240">
        <v>1.545435E-2</v>
      </c>
      <c r="W3240">
        <v>6.404907E-2</v>
      </c>
      <c r="X3240">
        <v>0.99782709999999997</v>
      </c>
      <c r="Y3240">
        <v>3.3961140000000001E-2</v>
      </c>
      <c r="Z3240">
        <v>-3.2892460000000001E-4</v>
      </c>
      <c r="AA3240">
        <v>0.99942310000000001</v>
      </c>
      <c r="AB3240">
        <v>36</v>
      </c>
      <c r="AC3240">
        <v>74.822199999999995</v>
      </c>
      <c r="AD3240">
        <v>-1.1095349383939901</v>
      </c>
      <c r="AE3240">
        <v>-2.1579000000000099</v>
      </c>
      <c r="AF3240">
        <v>2.5551928206491401</v>
      </c>
      <c r="AG3240">
        <v>-1.1095349383939901</v>
      </c>
      <c r="AH3240">
        <v>74.793233721742595</v>
      </c>
      <c r="AI3240">
        <v>90.849407698683095</v>
      </c>
      <c r="AJ3240">
        <v>88.043341089212305</v>
      </c>
      <c r="AK3240">
        <v>74.845092615918603</v>
      </c>
      <c r="AL3240">
        <v>86.327744987807506</v>
      </c>
      <c r="AM3240">
        <v>89.112673689945694</v>
      </c>
      <c r="AN3240">
        <v>1.0000000208980899</v>
      </c>
    </row>
    <row r="3241" spans="1:40" x14ac:dyDescent="0.25">
      <c r="A3241" t="str">
        <f>"20190312172954109"</f>
        <v>20190312172954109</v>
      </c>
      <c r="B3241" t="str">
        <f>"1552382994100863"</f>
        <v>1552382994100863</v>
      </c>
      <c r="C3241" t="s">
        <v>40</v>
      </c>
      <c r="D3241">
        <v>3.000788</v>
      </c>
      <c r="E3241">
        <v>0.50848499999999996</v>
      </c>
      <c r="F3241" t="s">
        <v>47</v>
      </c>
      <c r="G3241">
        <v>-342.44889999999998</v>
      </c>
      <c r="H3241" s="1">
        <v>-2.335838E-7</v>
      </c>
      <c r="I3241">
        <v>210.5009</v>
      </c>
      <c r="J3241">
        <v>-419.33499999999998</v>
      </c>
      <c r="K3241">
        <v>1.10959599999999</v>
      </c>
      <c r="L3241">
        <v>212.74080000000001</v>
      </c>
      <c r="M3241">
        <v>0.99997130000000001</v>
      </c>
      <c r="N3241">
        <v>0</v>
      </c>
      <c r="O3241">
        <v>7.045656E-3</v>
      </c>
      <c r="P3241">
        <v>0.99805330000000003</v>
      </c>
      <c r="Q3241">
        <v>6.1797419999999999E-2</v>
      </c>
      <c r="R3241">
        <v>-8.3958750000000006E-3</v>
      </c>
      <c r="S3241">
        <v>3.0075069999999999</v>
      </c>
      <c r="T3241">
        <v>-4.3193219999999997E-2</v>
      </c>
      <c r="U3241">
        <v>-8.7066649999999995E-2</v>
      </c>
      <c r="V3241">
        <v>1.51965E-2</v>
      </c>
      <c r="W3241">
        <v>6.4629140000000002E-2</v>
      </c>
      <c r="X3241">
        <v>0.99779359999999995</v>
      </c>
      <c r="Y3241">
        <v>3.5975229999999997E-2</v>
      </c>
      <c r="Z3241">
        <v>-3.5943139999999998E-4</v>
      </c>
      <c r="AA3241">
        <v>0.99935260000000004</v>
      </c>
      <c r="AB3241">
        <v>37</v>
      </c>
      <c r="AC3241">
        <v>76.886099999999999</v>
      </c>
      <c r="AD3241">
        <v>-1.1095962335838001</v>
      </c>
      <c r="AE3241">
        <v>-2.2399</v>
      </c>
      <c r="AF3241">
        <v>2.7809808024136702</v>
      </c>
      <c r="AG3241">
        <v>-1.1095962335838001</v>
      </c>
      <c r="AH3241">
        <v>76.852417215138601</v>
      </c>
      <c r="AI3241">
        <v>90.826638802716005</v>
      </c>
      <c r="AJ3241">
        <v>87.927599730187694</v>
      </c>
      <c r="AK3241">
        <v>76.910721553205505</v>
      </c>
      <c r="AL3241">
        <v>86.294440209289306</v>
      </c>
      <c r="AM3241">
        <v>89.127446796892102</v>
      </c>
      <c r="AN3241">
        <v>0.99999996377517397</v>
      </c>
    </row>
    <row r="3242" spans="1:40" x14ac:dyDescent="0.25">
      <c r="A3242" t="str">
        <f>"20190312172954132"</f>
        <v>20190312172954132</v>
      </c>
      <c r="B3242" t="str">
        <f>"1552382994120382"</f>
        <v>1552382994120382</v>
      </c>
      <c r="C3242" t="s">
        <v>40</v>
      </c>
      <c r="D3242">
        <v>3.0193430000000001</v>
      </c>
      <c r="E3242">
        <v>0.50873259999999998</v>
      </c>
      <c r="F3242" t="s">
        <v>47</v>
      </c>
      <c r="G3242">
        <v>-341.72059999999999</v>
      </c>
      <c r="H3242" s="1">
        <v>-6.2118729999999997E-7</v>
      </c>
      <c r="I3242">
        <v>210.5788</v>
      </c>
      <c r="J3242">
        <v>-418.96300000000002</v>
      </c>
      <c r="K3242">
        <v>1.109645</v>
      </c>
      <c r="L3242">
        <v>212.7448</v>
      </c>
      <c r="M3242">
        <v>0.9999574</v>
      </c>
      <c r="N3242">
        <v>0</v>
      </c>
      <c r="O3242">
        <v>8.8107889999999994E-3</v>
      </c>
      <c r="P3242">
        <v>0.99802809999999997</v>
      </c>
      <c r="Q3242">
        <v>6.2432620000000001E-2</v>
      </c>
      <c r="R3242">
        <v>-6.5000830000000002E-3</v>
      </c>
      <c r="S3242">
        <v>3.0078429999999998</v>
      </c>
      <c r="T3242">
        <v>-4.3000940000000001E-2</v>
      </c>
      <c r="U3242">
        <v>-8.3786009999999994E-2</v>
      </c>
      <c r="V3242">
        <v>1.50505E-2</v>
      </c>
      <c r="W3242">
        <v>6.5262470000000003E-2</v>
      </c>
      <c r="X3242">
        <v>0.99775460000000005</v>
      </c>
      <c r="Y3242">
        <v>3.6646730000000002E-2</v>
      </c>
      <c r="Z3242">
        <v>-3.8782539999999998E-4</v>
      </c>
      <c r="AA3242">
        <v>0.9993282</v>
      </c>
      <c r="AB3242">
        <v>37</v>
      </c>
      <c r="AC3242">
        <v>77.242400000000004</v>
      </c>
      <c r="AD3242">
        <v>-1.1096456211873</v>
      </c>
      <c r="AE3242">
        <v>-2.1659999999999902</v>
      </c>
      <c r="AF3242">
        <v>2.84589812727013</v>
      </c>
      <c r="AG3242">
        <v>-1.1096456211873</v>
      </c>
      <c r="AH3242">
        <v>77.204396975357</v>
      </c>
      <c r="AI3242">
        <v>90.822886959842094</v>
      </c>
      <c r="AJ3242">
        <v>87.888926486982996</v>
      </c>
      <c r="AK3242">
        <v>77.264800277253897</v>
      </c>
      <c r="AL3242">
        <v>86.258076340425106</v>
      </c>
      <c r="AM3242">
        <v>89.135794779465996</v>
      </c>
      <c r="AN3242">
        <v>0.99999997468095503</v>
      </c>
    </row>
    <row r="3243" spans="1:40" x14ac:dyDescent="0.25">
      <c r="A3243" t="str">
        <f>"20190312172954152"</f>
        <v>20190312172954152</v>
      </c>
      <c r="B3243" t="str">
        <f>"1552382994140882"</f>
        <v>1552382994140882</v>
      </c>
      <c r="C3243" t="s">
        <v>40</v>
      </c>
      <c r="D3243">
        <v>3.002704</v>
      </c>
      <c r="E3243">
        <v>0.50887309999999997</v>
      </c>
      <c r="F3243" t="s">
        <v>47</v>
      </c>
      <c r="G3243">
        <v>-341.02789999999999</v>
      </c>
      <c r="H3243" s="1">
        <v>-9.8980340000000009E-7</v>
      </c>
      <c r="I3243">
        <v>210.6756</v>
      </c>
      <c r="J3243">
        <v>-418.61829999999998</v>
      </c>
      <c r="K3243">
        <v>1.109685</v>
      </c>
      <c r="L3243">
        <v>212.7491</v>
      </c>
      <c r="M3243">
        <v>0.99994150000000004</v>
      </c>
      <c r="N3243">
        <v>0</v>
      </c>
      <c r="O3243">
        <v>1.046125E-2</v>
      </c>
      <c r="P3243">
        <v>0.99800480000000003</v>
      </c>
      <c r="Q3243">
        <v>6.2956819999999997E-2</v>
      </c>
      <c r="R3243">
        <v>-4.8008209999999898E-3</v>
      </c>
      <c r="S3243">
        <v>3.0080870000000002</v>
      </c>
      <c r="T3243">
        <v>-4.2829390000000002E-2</v>
      </c>
      <c r="U3243">
        <v>-7.9864500000000005E-2</v>
      </c>
      <c r="V3243">
        <v>1.498934E-2</v>
      </c>
      <c r="W3243">
        <v>6.5784419999999996E-2</v>
      </c>
      <c r="X3243">
        <v>0.99772130000000003</v>
      </c>
      <c r="Y3243">
        <v>3.6991919999999998E-2</v>
      </c>
      <c r="Z3243">
        <v>-4.1220539999999999E-4</v>
      </c>
      <c r="AA3243">
        <v>0.99931550000000002</v>
      </c>
      <c r="AB3243">
        <v>37</v>
      </c>
      <c r="AC3243">
        <v>77.590399999999903</v>
      </c>
      <c r="AD3243">
        <v>-1.1096859898033999</v>
      </c>
      <c r="AE3243">
        <v>-2.0734999999999899</v>
      </c>
      <c r="AF3243">
        <v>2.8844925950104998</v>
      </c>
      <c r="AG3243">
        <v>-1.1096859898033999</v>
      </c>
      <c r="AH3243">
        <v>77.548612017020005</v>
      </c>
      <c r="AI3243">
        <v>90.819254590761602</v>
      </c>
      <c r="AJ3243">
        <v>87.869812341823405</v>
      </c>
      <c r="AK3243">
        <v>77.610172827361694</v>
      </c>
      <c r="AL3243">
        <v>86.228106616769495</v>
      </c>
      <c r="AM3243">
        <v>89.139277357443305</v>
      </c>
      <c r="AN3243">
        <v>1.00000003135103</v>
      </c>
    </row>
    <row r="3244" spans="1:40" x14ac:dyDescent="0.25">
      <c r="A3244" t="str">
        <f>"20190312172954176"</f>
        <v>20190312172954176</v>
      </c>
      <c r="B3244" t="str">
        <f>"1552382994161374"</f>
        <v>1552382994161374</v>
      </c>
      <c r="C3244" t="s">
        <v>40</v>
      </c>
      <c r="D3244">
        <v>3.000086</v>
      </c>
      <c r="E3244">
        <v>0.51184099999999999</v>
      </c>
      <c r="F3244" t="s">
        <v>47</v>
      </c>
      <c r="G3244">
        <v>-338.03930000000003</v>
      </c>
      <c r="H3244" s="1">
        <v>2.911606E-6</v>
      </c>
      <c r="I3244">
        <v>210.721</v>
      </c>
      <c r="J3244">
        <v>-418.24200000000002</v>
      </c>
      <c r="K3244">
        <v>1.1097159999999999</v>
      </c>
      <c r="L3244">
        <v>212.7544</v>
      </c>
      <c r="M3244">
        <v>0.99992080000000005</v>
      </c>
      <c r="N3244">
        <v>0</v>
      </c>
      <c r="O3244">
        <v>1.2271270000000001E-2</v>
      </c>
      <c r="P3244">
        <v>0.99803330000000001</v>
      </c>
      <c r="Q3244">
        <v>6.2624860000000004E-2</v>
      </c>
      <c r="R3244">
        <v>-2.7951450000000002E-3</v>
      </c>
      <c r="S3244">
        <v>3.00827</v>
      </c>
      <c r="T3244">
        <v>-4.1427970000000001E-2</v>
      </c>
      <c r="U3244">
        <v>-7.5714110000000001E-2</v>
      </c>
      <c r="V3244">
        <v>1.478495E-2</v>
      </c>
      <c r="W3244">
        <v>6.5448989999999999E-2</v>
      </c>
      <c r="X3244">
        <v>0.99774640000000003</v>
      </c>
      <c r="Y3244">
        <v>3.7421509999999998E-2</v>
      </c>
      <c r="Z3244">
        <v>-4.2658079999999997E-4</v>
      </c>
      <c r="AA3244">
        <v>0.99929950000000001</v>
      </c>
      <c r="AB3244">
        <v>37</v>
      </c>
      <c r="AC3244">
        <v>80.202699999999894</v>
      </c>
      <c r="AD3244">
        <v>-1.1097130883939901</v>
      </c>
      <c r="AE3244">
        <v>-2.0334000000000199</v>
      </c>
      <c r="AF3244">
        <v>3.0168625323092702</v>
      </c>
      <c r="AG3244">
        <v>-1.1097130883939901</v>
      </c>
      <c r="AH3244">
        <v>80.156372944831105</v>
      </c>
      <c r="AI3244">
        <v>90.7926111803867</v>
      </c>
      <c r="AJ3244">
        <v>87.844563890291695</v>
      </c>
      <c r="AK3244">
        <v>80.220801830624097</v>
      </c>
      <c r="AL3244">
        <v>86.247366811658196</v>
      </c>
      <c r="AM3244">
        <v>89.151033529813205</v>
      </c>
      <c r="AN3244">
        <v>1.0000000218757401</v>
      </c>
    </row>
    <row r="3245" spans="1:40" x14ac:dyDescent="0.25">
      <c r="A3245" t="str">
        <f>"20190312172954197"</f>
        <v>20190312172954197</v>
      </c>
      <c r="B3245" t="str">
        <f>"1552382994190655"</f>
        <v>1552382994190655</v>
      </c>
      <c r="C3245" t="s">
        <v>40</v>
      </c>
      <c r="D3245">
        <v>3.0056440000000002</v>
      </c>
      <c r="E3245">
        <v>0.51232270000000002</v>
      </c>
      <c r="F3245" t="s">
        <v>47</v>
      </c>
      <c r="G3245">
        <v>-349.3374</v>
      </c>
      <c r="H3245" s="1">
        <v>3.4320899999999999E-6</v>
      </c>
      <c r="I3245">
        <v>210.62620000000001</v>
      </c>
      <c r="J3245">
        <v>-417.87670000000003</v>
      </c>
      <c r="K3245">
        <v>1.1097429999999999</v>
      </c>
      <c r="L3245">
        <v>212.7602</v>
      </c>
      <c r="M3245">
        <v>0.99989779999999995</v>
      </c>
      <c r="N3245">
        <v>0</v>
      </c>
      <c r="O3245">
        <v>1.40295E-2</v>
      </c>
      <c r="P3245">
        <v>0.99806479999999997</v>
      </c>
      <c r="Q3245">
        <v>6.2179060000000001E-2</v>
      </c>
      <c r="R3245">
        <v>-5.6486459999999998E-4</v>
      </c>
      <c r="S3245">
        <v>3.008667</v>
      </c>
      <c r="T3245">
        <v>-4.8454759999999999E-2</v>
      </c>
      <c r="U3245">
        <v>-9.2926030000000007E-2</v>
      </c>
      <c r="V3245">
        <v>1.430644E-2</v>
      </c>
      <c r="W3245">
        <v>6.4999340000000003E-2</v>
      </c>
      <c r="X3245">
        <v>0.99778279999999997</v>
      </c>
      <c r="Y3245">
        <v>4.4883590000000001E-2</v>
      </c>
      <c r="Z3245">
        <v>-5.8720199999999999E-4</v>
      </c>
      <c r="AA3245">
        <v>0.99899199999999999</v>
      </c>
      <c r="AB3245">
        <v>37</v>
      </c>
      <c r="AC3245">
        <v>68.539299999999997</v>
      </c>
      <c r="AD3245">
        <v>-1.1097395679099999</v>
      </c>
      <c r="AE3245">
        <v>-2.1339999999999799</v>
      </c>
      <c r="AF3245">
        <v>3.0945552430481902</v>
      </c>
      <c r="AG3245">
        <v>-1.1097395679099999</v>
      </c>
      <c r="AH3245">
        <v>68.484678956712798</v>
      </c>
      <c r="AI3245">
        <v>90.927405001514003</v>
      </c>
      <c r="AJ3245">
        <v>87.412787320429302</v>
      </c>
      <c r="AK3245">
        <v>68.563540208079104</v>
      </c>
      <c r="AL3245">
        <v>86.273184947687994</v>
      </c>
      <c r="AM3245">
        <v>89.178536184185404</v>
      </c>
      <c r="AN3245">
        <v>1.0000000522008701</v>
      </c>
    </row>
    <row r="3246" spans="1:40" x14ac:dyDescent="0.25">
      <c r="A3246" t="str">
        <f>"20190312172954219"</f>
        <v>20190312172954219</v>
      </c>
      <c r="B3246" t="str">
        <f>"1552382994211151"</f>
        <v>1552382994211151</v>
      </c>
      <c r="C3246" t="s">
        <v>40</v>
      </c>
      <c r="D3246">
        <v>3.0710570000000001</v>
      </c>
      <c r="E3246">
        <v>0.5121021</v>
      </c>
      <c r="F3246" t="s">
        <v>47</v>
      </c>
      <c r="G3246">
        <v>-357.03210000000001</v>
      </c>
      <c r="H3246" s="1">
        <v>2.3660950000000002E-6</v>
      </c>
      <c r="I3246">
        <v>210.93870000000001</v>
      </c>
      <c r="J3246">
        <v>-417.50299999999999</v>
      </c>
      <c r="K3246">
        <v>1.1097729999999999</v>
      </c>
      <c r="L3246">
        <v>212.76679999999999</v>
      </c>
      <c r="M3246">
        <v>0.99987099999999995</v>
      </c>
      <c r="N3246">
        <v>0</v>
      </c>
      <c r="O3246">
        <v>1.5827910000000001E-2</v>
      </c>
      <c r="P3246">
        <v>0.99807109999999999</v>
      </c>
      <c r="Q3246">
        <v>6.2051340000000003E-2</v>
      </c>
      <c r="R3246">
        <v>1.9358680000000001E-3</v>
      </c>
      <c r="S3246">
        <v>3.0091860000000001</v>
      </c>
      <c r="T3246">
        <v>-5.4884309999999999E-2</v>
      </c>
      <c r="U3246">
        <v>-9.0087890000000004E-2</v>
      </c>
      <c r="V3246">
        <v>1.3596270000000001E-2</v>
      </c>
      <c r="W3246">
        <v>6.4868960000000003E-2</v>
      </c>
      <c r="X3246">
        <v>0.99780119999999894</v>
      </c>
      <c r="Y3246">
        <v>4.573112E-2</v>
      </c>
      <c r="Z3246">
        <v>-7.0551969999999996E-4</v>
      </c>
      <c r="AA3246">
        <v>0.99895350000000005</v>
      </c>
      <c r="AB3246">
        <v>37</v>
      </c>
      <c r="AC3246">
        <v>60.4709</v>
      </c>
      <c r="AD3246">
        <v>-1.109770633905</v>
      </c>
      <c r="AE3246">
        <v>-1.8280999999999701</v>
      </c>
      <c r="AF3246">
        <v>2.7840657064539802</v>
      </c>
      <c r="AG3246">
        <v>-1.109770633905</v>
      </c>
      <c r="AH3246">
        <v>60.414060743773099</v>
      </c>
      <c r="AI3246">
        <v>91.051255883086398</v>
      </c>
      <c r="AJ3246">
        <v>87.361500974886496</v>
      </c>
      <c r="AK3246">
        <v>60.488357129864497</v>
      </c>
      <c r="AL3246">
        <v>86.280670915614905</v>
      </c>
      <c r="AM3246">
        <v>89.219322767355706</v>
      </c>
      <c r="AN3246">
        <v>1.0000000376254099</v>
      </c>
    </row>
    <row r="3247" spans="1:40" x14ac:dyDescent="0.25">
      <c r="A3247" t="str">
        <f>"20190312172954242"</f>
        <v>20190312172954242</v>
      </c>
      <c r="B3247" t="str">
        <f>"1552382994230674"</f>
        <v>1552382994230674</v>
      </c>
      <c r="C3247" t="s">
        <v>40</v>
      </c>
      <c r="D3247">
        <v>3.0521579999999999</v>
      </c>
      <c r="E3247">
        <v>0.51202449999999999</v>
      </c>
      <c r="F3247" t="s">
        <v>47</v>
      </c>
      <c r="G3247">
        <v>-359.8879</v>
      </c>
      <c r="H3247" s="1">
        <v>3.873191E-6</v>
      </c>
      <c r="I3247">
        <v>211.2277</v>
      </c>
      <c r="J3247">
        <v>-417.12619999999998</v>
      </c>
      <c r="K3247">
        <v>1.1097950000000001</v>
      </c>
      <c r="L3247">
        <v>212.7741</v>
      </c>
      <c r="M3247">
        <v>0.99984070000000003</v>
      </c>
      <c r="N3247">
        <v>0</v>
      </c>
      <c r="O3247">
        <v>1.763847E-2</v>
      </c>
      <c r="P3247">
        <v>0.99802740000000001</v>
      </c>
      <c r="Q3247">
        <v>6.2653230000000004E-2</v>
      </c>
      <c r="R3247">
        <v>3.9936449999999997E-3</v>
      </c>
      <c r="S3247">
        <v>3.0095519999999998</v>
      </c>
      <c r="T3247">
        <v>-5.7969329999999999E-2</v>
      </c>
      <c r="U3247">
        <v>-8.0398559999999994E-2</v>
      </c>
      <c r="V3247">
        <v>1.3338030000000001E-2</v>
      </c>
      <c r="W3247">
        <v>6.5473240000000002E-2</v>
      </c>
      <c r="X3247">
        <v>0.99776520000000002</v>
      </c>
      <c r="Y3247">
        <v>4.432154E-2</v>
      </c>
      <c r="Z3247">
        <v>-7.6640460000000003E-4</v>
      </c>
      <c r="AA3247">
        <v>0.99901700000000004</v>
      </c>
      <c r="AB3247">
        <v>37</v>
      </c>
      <c r="AC3247">
        <v>57.238299999999903</v>
      </c>
      <c r="AD3247">
        <v>-1.1097911268089999</v>
      </c>
      <c r="AE3247">
        <v>-1.5464</v>
      </c>
      <c r="AF3247">
        <v>2.5547994977926902</v>
      </c>
      <c r="AG3247">
        <v>-1.1097911268089999</v>
      </c>
      <c r="AH3247">
        <v>57.180638803807398</v>
      </c>
      <c r="AI3247">
        <v>91.110778371763104</v>
      </c>
      <c r="AJ3247">
        <v>87.441757473382395</v>
      </c>
      <c r="AK3247">
        <v>57.248441820110301</v>
      </c>
      <c r="AL3247">
        <v>86.245974400192907</v>
      </c>
      <c r="AM3247">
        <v>89.234121104778893</v>
      </c>
      <c r="AN3247">
        <v>1.0000000212657001</v>
      </c>
    </row>
    <row r="3248" spans="1:40" x14ac:dyDescent="0.25">
      <c r="A3248" t="str">
        <f>"20190312172954265"</f>
        <v>20190312172954265</v>
      </c>
      <c r="B3248" t="str">
        <f>"1552382994260927"</f>
        <v>1552382994260927</v>
      </c>
      <c r="C3248" t="s">
        <v>40</v>
      </c>
      <c r="D3248">
        <v>2.9966759999999999</v>
      </c>
      <c r="E3248">
        <v>0.50968469999999999</v>
      </c>
      <c r="F3248" t="s">
        <v>47</v>
      </c>
      <c r="G3248">
        <v>-358.73160000000001</v>
      </c>
      <c r="H3248" s="1">
        <v>3.2526169999999998E-6</v>
      </c>
      <c r="I3248">
        <v>211.34719999999999</v>
      </c>
      <c r="J3248">
        <v>-416.73180000000002</v>
      </c>
      <c r="K3248">
        <v>1.109818</v>
      </c>
      <c r="L3248">
        <v>212.7825</v>
      </c>
      <c r="M3248">
        <v>0.99980550000000001</v>
      </c>
      <c r="N3248">
        <v>0</v>
      </c>
      <c r="O3248">
        <v>1.9529689999999999E-2</v>
      </c>
      <c r="P3248">
        <v>0.99800979999999995</v>
      </c>
      <c r="Q3248">
        <v>6.2805340000000001E-2</v>
      </c>
      <c r="R3248">
        <v>5.6997699999999998E-3</v>
      </c>
      <c r="S3248">
        <v>3.0098569999999998</v>
      </c>
      <c r="T3248">
        <v>-5.7202459999999997E-2</v>
      </c>
      <c r="U3248">
        <v>-7.3547360000000006E-2</v>
      </c>
      <c r="V3248">
        <v>1.351422E-2</v>
      </c>
      <c r="W3248">
        <v>6.5633129999999998E-2</v>
      </c>
      <c r="X3248">
        <v>0.99775230000000004</v>
      </c>
      <c r="Y3248">
        <v>4.3936030000000001E-2</v>
      </c>
      <c r="Z3248">
        <v>-7.8848259999999995E-4</v>
      </c>
      <c r="AA3248">
        <v>0.99903399999999998</v>
      </c>
      <c r="AB3248">
        <v>38</v>
      </c>
      <c r="AC3248">
        <v>58.0002</v>
      </c>
      <c r="AD3248">
        <v>-1.109814747383</v>
      </c>
      <c r="AE3248">
        <v>-1.43530000000001</v>
      </c>
      <c r="AF3248">
        <v>2.56681722963725</v>
      </c>
      <c r="AG3248">
        <v>-1.109814747383</v>
      </c>
      <c r="AH3248">
        <v>57.939906017361899</v>
      </c>
      <c r="AI3248">
        <v>91.0962675979994</v>
      </c>
      <c r="AJ3248">
        <v>87.463377057888295</v>
      </c>
      <c r="AK3248">
        <v>58.007352540558202</v>
      </c>
      <c r="AL3248">
        <v>86.236793539710206</v>
      </c>
      <c r="AM3248">
        <v>89.223995350694395</v>
      </c>
      <c r="AN3248">
        <v>0.99999999702554698</v>
      </c>
    </row>
    <row r="3249" spans="1:40" x14ac:dyDescent="0.25">
      <c r="A3249" t="str">
        <f>"20190312172954289"</f>
        <v>20190312172954289</v>
      </c>
      <c r="B3249" t="str">
        <f>"1552382994280447"</f>
        <v>1552382994280447</v>
      </c>
      <c r="C3249" t="s">
        <v>40</v>
      </c>
      <c r="D3249">
        <v>2.9999669999999998</v>
      </c>
      <c r="E3249">
        <v>0.4704139</v>
      </c>
      <c r="F3249" t="s">
        <v>47</v>
      </c>
      <c r="G3249">
        <v>-357.03570000000002</v>
      </c>
      <c r="H3249" s="1">
        <v>2.3302729999999998E-6</v>
      </c>
      <c r="I3249">
        <v>211.80260000000001</v>
      </c>
      <c r="J3249">
        <v>-416.33179999999999</v>
      </c>
      <c r="K3249">
        <v>1.109839</v>
      </c>
      <c r="L3249">
        <v>212.79179999999999</v>
      </c>
      <c r="M3249">
        <v>0.9997663</v>
      </c>
      <c r="N3249">
        <v>0</v>
      </c>
      <c r="O3249">
        <v>2.1439639999999999E-2</v>
      </c>
      <c r="P3249">
        <v>0.99796410000000002</v>
      </c>
      <c r="Q3249">
        <v>6.3341480000000006E-2</v>
      </c>
      <c r="R3249">
        <v>7.4760590000000002E-3</v>
      </c>
      <c r="S3249">
        <v>3.0097960000000001</v>
      </c>
      <c r="T3249">
        <v>-5.5955409999999997E-2</v>
      </c>
      <c r="U3249">
        <v>-4.9407960000000001E-2</v>
      </c>
      <c r="V3249">
        <v>1.36378E-2</v>
      </c>
      <c r="W3249">
        <v>6.6181240000000002E-2</v>
      </c>
      <c r="X3249">
        <v>0.9977144</v>
      </c>
      <c r="Y3249">
        <v>3.783632E-2</v>
      </c>
      <c r="Z3249">
        <v>-7.5017659999999996E-4</v>
      </c>
      <c r="AA3249">
        <v>0.9992837</v>
      </c>
      <c r="AB3249">
        <v>38</v>
      </c>
      <c r="AC3249">
        <v>59.296099999999903</v>
      </c>
      <c r="AD3249">
        <v>-1.1098366697269999</v>
      </c>
      <c r="AE3249">
        <v>-0.98919999999998198</v>
      </c>
      <c r="AF3249">
        <v>2.2594732287938899</v>
      </c>
      <c r="AG3249">
        <v>-1.1098366697269999</v>
      </c>
      <c r="AH3249">
        <v>59.240514778796303</v>
      </c>
      <c r="AI3249">
        <v>91.072498007390806</v>
      </c>
      <c r="AJ3249">
        <v>87.815759023168695</v>
      </c>
      <c r="AK3249">
        <v>59.293975646450797</v>
      </c>
      <c r="AL3249">
        <v>86.2053206744352</v>
      </c>
      <c r="AM3249">
        <v>89.2168703571636</v>
      </c>
      <c r="AN3249">
        <v>0.999999985042068</v>
      </c>
    </row>
    <row r="3250" spans="1:40" x14ac:dyDescent="0.25">
      <c r="A3250" t="str">
        <f>"20190312172954312"</f>
        <v>20190312172954312</v>
      </c>
      <c r="B3250" t="str">
        <f>"1552382994300943"</f>
        <v>1552382994300943</v>
      </c>
      <c r="C3250" t="s">
        <v>40</v>
      </c>
      <c r="D3250">
        <v>2.9573130000000001</v>
      </c>
      <c r="E3250">
        <v>0.46947149999999999</v>
      </c>
      <c r="F3250" t="s">
        <v>47</v>
      </c>
      <c r="G3250">
        <v>-370.75459999999998</v>
      </c>
      <c r="H3250" s="1">
        <v>-1.1352229999999999E-6</v>
      </c>
      <c r="I3250">
        <v>216.88579999999999</v>
      </c>
      <c r="J3250">
        <v>-415.93180000000001</v>
      </c>
      <c r="K3250">
        <v>1.1098490000000001</v>
      </c>
      <c r="L3250">
        <v>212.80179999999999</v>
      </c>
      <c r="M3250">
        <v>0.99972380000000005</v>
      </c>
      <c r="N3250">
        <v>0</v>
      </c>
      <c r="O3250">
        <v>2.3338330000000001E-2</v>
      </c>
      <c r="P3250">
        <v>0.99793639999999995</v>
      </c>
      <c r="Q3250">
        <v>6.356415E-2</v>
      </c>
      <c r="R3250">
        <v>9.0991519999999992E-3</v>
      </c>
      <c r="S3250">
        <v>3.0087280000000001</v>
      </c>
      <c r="T3250">
        <v>-7.3264960000000004E-2</v>
      </c>
      <c r="U3250">
        <v>0.2702637</v>
      </c>
      <c r="V3250">
        <v>1.390565E-2</v>
      </c>
      <c r="W3250">
        <v>6.6419130000000007E-2</v>
      </c>
      <c r="X3250">
        <v>0.99769490000000005</v>
      </c>
      <c r="Y3250">
        <v>-6.6184549999999995E-2</v>
      </c>
      <c r="Z3250">
        <v>2.3718900000000001E-4</v>
      </c>
      <c r="AA3250">
        <v>0.99780740000000001</v>
      </c>
      <c r="AB3250">
        <v>38</v>
      </c>
      <c r="AC3250">
        <v>45.177199999999999</v>
      </c>
      <c r="AD3250">
        <v>-1.1098501352229999</v>
      </c>
      <c r="AE3250">
        <v>4.0839999999999996</v>
      </c>
      <c r="AF3250">
        <v>-3.0267113079841299</v>
      </c>
      <c r="AG3250">
        <v>-1.1098501352229999</v>
      </c>
      <c r="AH3250">
        <v>45.233131111955899</v>
      </c>
      <c r="AI3250">
        <v>91.402405117717805</v>
      </c>
      <c r="AJ3250">
        <v>93.828159816984098</v>
      </c>
      <c r="AK3250">
        <v>45.347865427778601</v>
      </c>
      <c r="AL3250">
        <v>86.191660546698103</v>
      </c>
      <c r="AM3250">
        <v>89.2014758512763</v>
      </c>
      <c r="AN3250">
        <v>0.99999999070894396</v>
      </c>
    </row>
    <row r="3251" spans="1:40" x14ac:dyDescent="0.25">
      <c r="A3251" t="str">
        <f>"20190312172954334"</f>
        <v>20190312172954334</v>
      </c>
      <c r="B3251" t="str">
        <f>"1552382994331199"</f>
        <v>1552382994331199</v>
      </c>
      <c r="C3251" t="s">
        <v>40</v>
      </c>
      <c r="D3251">
        <v>2.9527040000000002</v>
      </c>
      <c r="E3251">
        <v>0.46878209999999998</v>
      </c>
      <c r="F3251" t="s">
        <v>47</v>
      </c>
      <c r="G3251">
        <v>-372.70330000000001</v>
      </c>
      <c r="H3251" s="1">
        <v>-9.8206269999999999E-8</v>
      </c>
      <c r="I3251">
        <v>216.8682</v>
      </c>
      <c r="J3251">
        <v>-415.56009999999998</v>
      </c>
      <c r="K3251">
        <v>1.109856</v>
      </c>
      <c r="L3251">
        <v>212.81180000000001</v>
      </c>
      <c r="M3251">
        <v>0.9996815</v>
      </c>
      <c r="N3251">
        <v>0</v>
      </c>
      <c r="O3251">
        <v>2.5085639999999999E-2</v>
      </c>
      <c r="P3251">
        <v>0.997946</v>
      </c>
      <c r="Q3251">
        <v>6.3249340000000001E-2</v>
      </c>
      <c r="R3251">
        <v>1.0166079999999999E-2</v>
      </c>
      <c r="S3251">
        <v>3.0085449999999998</v>
      </c>
      <c r="T3251">
        <v>-7.7241420000000005E-2</v>
      </c>
      <c r="U3251">
        <v>0.2830048</v>
      </c>
      <c r="V3251">
        <v>1.4583230000000001E-2</v>
      </c>
      <c r="W3251">
        <v>6.6123189999999998E-2</v>
      </c>
      <c r="X3251">
        <v>0.99770490000000001</v>
      </c>
      <c r="Y3251">
        <v>-6.863437E-2</v>
      </c>
      <c r="Z3251">
        <v>2.3668739999999999E-4</v>
      </c>
      <c r="AA3251">
        <v>0.99764189999999997</v>
      </c>
      <c r="AB3251">
        <v>38</v>
      </c>
      <c r="AC3251">
        <v>42.8567999999999</v>
      </c>
      <c r="AD3251">
        <v>-1.10985609820627</v>
      </c>
      <c r="AE3251">
        <v>4.0563999999999902</v>
      </c>
      <c r="AF3251">
        <v>-2.9780496321324801</v>
      </c>
      <c r="AG3251">
        <v>-1.10985609820627</v>
      </c>
      <c r="AH3251">
        <v>42.916544601824</v>
      </c>
      <c r="AI3251">
        <v>91.477832233797301</v>
      </c>
      <c r="AJ3251">
        <v>93.969485269444903</v>
      </c>
      <c r="AK3251">
        <v>43.034060472264599</v>
      </c>
      <c r="AL3251">
        <v>86.208654079994901</v>
      </c>
      <c r="AM3251">
        <v>89.162580004742594</v>
      </c>
      <c r="AN3251">
        <v>1.0000000071685</v>
      </c>
    </row>
    <row r="3252" spans="1:40" x14ac:dyDescent="0.25">
      <c r="A3252" t="str">
        <f>"20190312172954355"</f>
        <v>20190312172954355</v>
      </c>
      <c r="B3252" t="str">
        <f>"1552382994340958"</f>
        <v>1552382994340958</v>
      </c>
      <c r="C3252" t="s">
        <v>40</v>
      </c>
      <c r="D3252">
        <v>2.9867370000000002</v>
      </c>
      <c r="E3252">
        <v>0.46874880000000002</v>
      </c>
      <c r="F3252" t="s">
        <v>47</v>
      </c>
      <c r="G3252">
        <v>-377.26979999999998</v>
      </c>
      <c r="H3252" s="1">
        <v>2.33185E-6</v>
      </c>
      <c r="I3252">
        <v>216.53030000000001</v>
      </c>
      <c r="J3252">
        <v>-415.19869999999997</v>
      </c>
      <c r="K3252">
        <v>1.109855</v>
      </c>
      <c r="L3252">
        <v>212.82210000000001</v>
      </c>
      <c r="M3252">
        <v>0.99963789999999997</v>
      </c>
      <c r="N3252">
        <v>0</v>
      </c>
      <c r="O3252">
        <v>2.675816E-2</v>
      </c>
      <c r="P3252">
        <v>0.99793739999999997</v>
      </c>
      <c r="Q3252">
        <v>6.3219730000000002E-2</v>
      </c>
      <c r="R3252">
        <v>1.11486E-2</v>
      </c>
      <c r="S3252">
        <v>3.008759</v>
      </c>
      <c r="T3252">
        <v>-8.7209700000000001E-2</v>
      </c>
      <c r="U3252">
        <v>0.29219060000000002</v>
      </c>
      <c r="V3252">
        <v>1.5269970000000001E-2</v>
      </c>
      <c r="W3252">
        <v>6.6114160000000005E-2</v>
      </c>
      <c r="X3252">
        <v>0.9976952</v>
      </c>
      <c r="Y3252">
        <v>-6.9973049999999995E-2</v>
      </c>
      <c r="Z3252">
        <v>2.3820889999999999E-4</v>
      </c>
      <c r="AA3252">
        <v>0.99754889999999996</v>
      </c>
      <c r="AB3252">
        <v>38</v>
      </c>
      <c r="AC3252">
        <v>37.928899999999999</v>
      </c>
      <c r="AD3252">
        <v>-1.1098526681500001</v>
      </c>
      <c r="AE3252">
        <v>3.7082000000000002</v>
      </c>
      <c r="AF3252">
        <v>-2.68967936944621</v>
      </c>
      <c r="AG3252">
        <v>-1.1098526681500001</v>
      </c>
      <c r="AH3252">
        <v>37.982330260177399</v>
      </c>
      <c r="AI3252">
        <v>91.669541529504997</v>
      </c>
      <c r="AJ3252">
        <v>94.050579598293893</v>
      </c>
      <c r="AK3252">
        <v>38.093615738711499</v>
      </c>
      <c r="AL3252">
        <v>86.209172504215104</v>
      </c>
      <c r="AM3252">
        <v>89.123142490564206</v>
      </c>
      <c r="AN3252">
        <v>0.99999998311967297</v>
      </c>
    </row>
    <row r="3253" spans="1:40" x14ac:dyDescent="0.25">
      <c r="A3253" t="str">
        <f>"20190312172954388"</f>
        <v>20190312172954388</v>
      </c>
      <c r="B3253" t="str">
        <f>"1552382994380975"</f>
        <v>1552382994380975</v>
      </c>
      <c r="C3253" t="s">
        <v>40</v>
      </c>
      <c r="D3253">
        <v>2.967956</v>
      </c>
      <c r="E3253">
        <v>0.46893829999999997</v>
      </c>
      <c r="F3253" t="s">
        <v>47</v>
      </c>
      <c r="G3253">
        <v>-377.70030000000003</v>
      </c>
      <c r="H3253" s="1">
        <v>2.5609369999999999E-6</v>
      </c>
      <c r="I3253">
        <v>216.50720000000001</v>
      </c>
      <c r="J3253">
        <v>-414.62200000000001</v>
      </c>
      <c r="K3253">
        <v>1.1098330000000001</v>
      </c>
      <c r="L3253">
        <v>212.83959999999999</v>
      </c>
      <c r="M3253">
        <v>0.99956520000000004</v>
      </c>
      <c r="N3253">
        <v>0</v>
      </c>
      <c r="O3253">
        <v>2.9343569999999999E-2</v>
      </c>
      <c r="P3253">
        <v>0.99794729999999998</v>
      </c>
      <c r="Q3253">
        <v>6.2623579999999998E-2</v>
      </c>
      <c r="R3253">
        <v>1.3387970000000001E-2</v>
      </c>
      <c r="S3253">
        <v>3.008575</v>
      </c>
      <c r="T3253">
        <v>-8.9045760000000002E-2</v>
      </c>
      <c r="U3253">
        <v>0.29566959999999998</v>
      </c>
      <c r="V3253">
        <v>1.561859E-2</v>
      </c>
      <c r="W3253">
        <v>6.5550800000000006E-2</v>
      </c>
      <c r="X3253">
        <v>0.99772700000000003</v>
      </c>
      <c r="Y3253">
        <v>-6.8542320000000004E-2</v>
      </c>
      <c r="Z3253">
        <v>1.4586229999999999E-4</v>
      </c>
      <c r="AA3253">
        <v>0.99764819999999999</v>
      </c>
      <c r="AB3253">
        <v>39</v>
      </c>
      <c r="AC3253">
        <v>36.921699999999902</v>
      </c>
      <c r="AD3253">
        <v>-1.1098304390629901</v>
      </c>
      <c r="AE3253">
        <v>3.6676000000000202</v>
      </c>
      <c r="AF3253">
        <v>-2.58029301059769</v>
      </c>
      <c r="AG3253">
        <v>-1.1098304390629901</v>
      </c>
      <c r="AH3253">
        <v>36.9803348229023</v>
      </c>
      <c r="AI3253">
        <v>91.714841958495896</v>
      </c>
      <c r="AJ3253">
        <v>93.991328860230993</v>
      </c>
      <c r="AK3253">
        <v>37.086854803797699</v>
      </c>
      <c r="AL3253">
        <v>86.2415209194874</v>
      </c>
      <c r="AM3253">
        <v>89.103155269884994</v>
      </c>
      <c r="AN3253">
        <v>1.00000000713161</v>
      </c>
    </row>
    <row r="3254" spans="1:40" x14ac:dyDescent="0.25">
      <c r="A3254" t="str">
        <f>"20190312172954409"</f>
        <v>20190312172954409</v>
      </c>
      <c r="B3254" t="str">
        <f>"1552382994400494"</f>
        <v>1552382994400494</v>
      </c>
      <c r="C3254" t="s">
        <v>40</v>
      </c>
      <c r="D3254">
        <v>2.970437</v>
      </c>
      <c r="E3254">
        <v>0.46915509999999999</v>
      </c>
      <c r="F3254" t="s">
        <v>47</v>
      </c>
      <c r="G3254">
        <v>-379.88589999999999</v>
      </c>
      <c r="H3254" s="1">
        <v>3.7239789999999999E-6</v>
      </c>
      <c r="I3254">
        <v>216.31120000000001</v>
      </c>
      <c r="J3254">
        <v>-414.24489999999997</v>
      </c>
      <c r="K3254">
        <v>1.1097969999999999</v>
      </c>
      <c r="L3254">
        <v>212.8519</v>
      </c>
      <c r="M3254">
        <v>0.99951650000000003</v>
      </c>
      <c r="N3254">
        <v>0</v>
      </c>
      <c r="O3254">
        <v>3.0959219999999999E-2</v>
      </c>
      <c r="P3254">
        <v>0.99793209999999999</v>
      </c>
      <c r="Q3254">
        <v>6.245125E-2</v>
      </c>
      <c r="R3254">
        <v>1.521261E-2</v>
      </c>
      <c r="S3254">
        <v>3.0082089999999999</v>
      </c>
      <c r="T3254">
        <v>-9.6113089999999998E-2</v>
      </c>
      <c r="U3254">
        <v>0.30064390000000002</v>
      </c>
      <c r="V3254">
        <v>1.5412159999999999E-2</v>
      </c>
      <c r="W3254">
        <v>6.5399490000000005E-2</v>
      </c>
      <c r="X3254">
        <v>0.99774010000000002</v>
      </c>
      <c r="Y3254">
        <v>-6.8573209999999996E-2</v>
      </c>
      <c r="Z3254">
        <v>1.065145E-4</v>
      </c>
      <c r="AA3254">
        <v>0.99764609999999998</v>
      </c>
      <c r="AB3254">
        <v>39</v>
      </c>
      <c r="AC3254">
        <v>34.358999999999902</v>
      </c>
      <c r="AD3254">
        <v>-1.1097932760210001</v>
      </c>
      <c r="AE3254">
        <v>3.45930000000001</v>
      </c>
      <c r="AF3254">
        <v>-2.3914395973715599</v>
      </c>
      <c r="AG3254">
        <v>-1.1097932760210001</v>
      </c>
      <c r="AH3254">
        <v>34.414084076713202</v>
      </c>
      <c r="AI3254">
        <v>91.842606906158693</v>
      </c>
      <c r="AJ3254">
        <v>93.975101656854406</v>
      </c>
      <c r="AK3254">
        <v>34.514921516678399</v>
      </c>
      <c r="AL3254">
        <v>86.250208838077697</v>
      </c>
      <c r="AM3254">
        <v>89.115018534712604</v>
      </c>
      <c r="AN3254">
        <v>0.99999996755806697</v>
      </c>
    </row>
    <row r="3255" spans="1:40" x14ac:dyDescent="0.25">
      <c r="A3255" t="str">
        <f>"20190312172954431"</f>
        <v>20190312172954431</v>
      </c>
      <c r="B3255" t="str">
        <f>"1552382994420994"</f>
        <v>1552382994420994</v>
      </c>
      <c r="C3255" t="s">
        <v>40</v>
      </c>
      <c r="D3255">
        <v>2.9822959999999998</v>
      </c>
      <c r="E3255">
        <v>0.46929110000000002</v>
      </c>
      <c r="F3255" t="s">
        <v>47</v>
      </c>
      <c r="G3255">
        <v>-380.53739999999999</v>
      </c>
      <c r="H3255" s="1">
        <v>-1.3227700000000001E-6</v>
      </c>
      <c r="I3255">
        <v>216.2621</v>
      </c>
      <c r="J3255">
        <v>-413.8528</v>
      </c>
      <c r="K3255">
        <v>1.1097570000000001</v>
      </c>
      <c r="L3255">
        <v>212.86519999999999</v>
      </c>
      <c r="M3255">
        <v>0.9994653</v>
      </c>
      <c r="N3255">
        <v>0</v>
      </c>
      <c r="O3255">
        <v>3.2571049999999997E-2</v>
      </c>
      <c r="P3255">
        <v>0.99790219999999996</v>
      </c>
      <c r="Q3255">
        <v>6.2409159999999998E-2</v>
      </c>
      <c r="R3255">
        <v>1.7226930000000001E-2</v>
      </c>
      <c r="S3255">
        <v>3.0078130000000001</v>
      </c>
      <c r="T3255">
        <v>-9.9030259999999995E-2</v>
      </c>
      <c r="U3255">
        <v>0.30430600000000002</v>
      </c>
      <c r="V3255">
        <v>1.5013210000000001E-2</v>
      </c>
      <c r="W3255">
        <v>6.5380450000000007E-2</v>
      </c>
      <c r="X3255">
        <v>0.99774750000000001</v>
      </c>
      <c r="Y3255">
        <v>-6.8179770000000001E-2</v>
      </c>
      <c r="Z3255" s="1">
        <v>5.0442180000000002E-5</v>
      </c>
      <c r="AA3255">
        <v>0.99767300000000003</v>
      </c>
      <c r="AB3255">
        <v>39</v>
      </c>
      <c r="AC3255">
        <v>33.315399999999997</v>
      </c>
      <c r="AD3255">
        <v>-1.1097583227700001</v>
      </c>
      <c r="AE3255">
        <v>3.3969000000000098</v>
      </c>
      <c r="AF3255">
        <v>-2.3074416413413301</v>
      </c>
      <c r="AG3255">
        <v>-1.1097583227700001</v>
      </c>
      <c r="AH3255">
        <v>33.371716232288897</v>
      </c>
      <c r="AI3255">
        <v>91.900104893604293</v>
      </c>
      <c r="AJ3255">
        <v>93.955342977169906</v>
      </c>
      <c r="AK3255">
        <v>33.469796753962598</v>
      </c>
      <c r="AL3255">
        <v>86.251302349247197</v>
      </c>
      <c r="AM3255">
        <v>89.137929527835894</v>
      </c>
      <c r="AN3255">
        <v>1.0000000367364701</v>
      </c>
    </row>
    <row r="3256" spans="1:40" x14ac:dyDescent="0.25">
      <c r="A3256" t="str">
        <f>"20190312172954456"</f>
        <v>20190312172954456</v>
      </c>
      <c r="B3256" t="str">
        <f>"1552382994450271"</f>
        <v>1552382994450271</v>
      </c>
      <c r="C3256" t="s">
        <v>40</v>
      </c>
      <c r="D3256">
        <v>2.9818989999999999</v>
      </c>
      <c r="E3256">
        <v>0.4693754</v>
      </c>
      <c r="F3256" t="s">
        <v>47</v>
      </c>
      <c r="G3256">
        <v>-380.75369999999998</v>
      </c>
      <c r="H3256" s="1">
        <v>-1.2080520000000001E-6</v>
      </c>
      <c r="I3256">
        <v>216.27109999999999</v>
      </c>
      <c r="J3256">
        <v>-413.43549999999999</v>
      </c>
      <c r="K3256">
        <v>1.109702</v>
      </c>
      <c r="L3256">
        <v>212.88</v>
      </c>
      <c r="M3256">
        <v>0.99941150000000001</v>
      </c>
      <c r="N3256">
        <v>0</v>
      </c>
      <c r="O3256">
        <v>3.4177609999999997E-2</v>
      </c>
      <c r="P3256">
        <v>0.99788160000000004</v>
      </c>
      <c r="Q3256">
        <v>6.2221220000000001E-2</v>
      </c>
      <c r="R3256">
        <v>1.8999829999999999E-2</v>
      </c>
      <c r="S3256">
        <v>3.007263</v>
      </c>
      <c r="T3256">
        <v>-0.1008285</v>
      </c>
      <c r="U3256">
        <v>0.30944820000000001</v>
      </c>
      <c r="V3256">
        <v>1.485475E-2</v>
      </c>
      <c r="W3256">
        <v>6.5218209999999999E-2</v>
      </c>
      <c r="X3256">
        <v>0.99776050000000005</v>
      </c>
      <c r="Y3256">
        <v>-6.8282799999999894E-2</v>
      </c>
      <c r="Z3256" s="1">
        <v>-5.484326E-7</v>
      </c>
      <c r="AA3256">
        <v>0.99766600000000005</v>
      </c>
      <c r="AB3256">
        <v>39</v>
      </c>
      <c r="AC3256">
        <v>32.681800000000003</v>
      </c>
      <c r="AD3256">
        <v>-1.109703208052</v>
      </c>
      <c r="AE3256">
        <v>3.39109999999999</v>
      </c>
      <c r="AF3256">
        <v>-2.2695394888054499</v>
      </c>
      <c r="AG3256">
        <v>-1.109703208052</v>
      </c>
      <c r="AH3256">
        <v>32.741260300352501</v>
      </c>
      <c r="AI3256">
        <v>91.936545868286402</v>
      </c>
      <c r="AJ3256">
        <v>93.965252489270298</v>
      </c>
      <c r="AK3256">
        <v>32.838580614220298</v>
      </c>
      <c r="AL3256">
        <v>86.2606179363584</v>
      </c>
      <c r="AM3256">
        <v>89.147038187610093</v>
      </c>
      <c r="AN3256">
        <v>1.0000000469367001</v>
      </c>
    </row>
    <row r="3257" spans="1:40" x14ac:dyDescent="0.25">
      <c r="A3257" t="str">
        <f>"20190312172954477"</f>
        <v>20190312172954477</v>
      </c>
      <c r="B3257" t="str">
        <f>"1552382994470767"</f>
        <v>1552382994470767</v>
      </c>
      <c r="C3257" t="s">
        <v>40</v>
      </c>
      <c r="D3257">
        <v>3.0203389999999999</v>
      </c>
      <c r="E3257">
        <v>0.469443</v>
      </c>
      <c r="F3257" t="s">
        <v>47</v>
      </c>
      <c r="G3257">
        <v>-380.91059999999999</v>
      </c>
      <c r="H3257" s="1">
        <v>-1.1247439999999999E-6</v>
      </c>
      <c r="I3257">
        <v>216.2764</v>
      </c>
      <c r="J3257">
        <v>-413.05919999999998</v>
      </c>
      <c r="K3257">
        <v>1.1096269999999999</v>
      </c>
      <c r="L3257">
        <v>212.8938</v>
      </c>
      <c r="M3257">
        <v>0.99936519999999995</v>
      </c>
      <c r="N3257">
        <v>0</v>
      </c>
      <c r="O3257">
        <v>3.5502890000000002E-2</v>
      </c>
      <c r="P3257">
        <v>0.99782179999999998</v>
      </c>
      <c r="Q3257">
        <v>6.2745679999999998E-2</v>
      </c>
      <c r="R3257">
        <v>2.0369490000000001E-2</v>
      </c>
      <c r="S3257">
        <v>3.0067750000000002</v>
      </c>
      <c r="T3257">
        <v>-0.10258689999999999</v>
      </c>
      <c r="U3257">
        <v>0.31398009999999998</v>
      </c>
      <c r="V3257">
        <v>1.481679E-2</v>
      </c>
      <c r="W3257">
        <v>6.5767309999999995E-2</v>
      </c>
      <c r="X3257">
        <v>0.99772499999999997</v>
      </c>
      <c r="Y3257">
        <v>-6.8463999999999997E-2</v>
      </c>
      <c r="Z3257" s="1">
        <v>-4.2488329999999898E-5</v>
      </c>
      <c r="AA3257">
        <v>0.99765360000000003</v>
      </c>
      <c r="AB3257">
        <v>39</v>
      </c>
      <c r="AC3257">
        <v>32.148599999999902</v>
      </c>
      <c r="AD3257">
        <v>-1.1096281247440001</v>
      </c>
      <c r="AE3257">
        <v>3.3825999999999898</v>
      </c>
      <c r="AF3257">
        <v>-2.2364591235077902</v>
      </c>
      <c r="AG3257">
        <v>-1.1096281247440001</v>
      </c>
      <c r="AH3257">
        <v>32.210472081244703</v>
      </c>
      <c r="AI3257">
        <v>91.968284084677293</v>
      </c>
      <c r="AJ3257">
        <v>93.971824631588802</v>
      </c>
      <c r="AK3257">
        <v>32.307081819362601</v>
      </c>
      <c r="AL3257">
        <v>86.229089054824001</v>
      </c>
      <c r="AM3257">
        <v>89.149187268102295</v>
      </c>
      <c r="AN3257">
        <v>1.0000000259777599</v>
      </c>
    </row>
    <row r="3258" spans="1:40" x14ac:dyDescent="0.25">
      <c r="A3258" t="str">
        <f>"20190312172954501"</f>
        <v>20190312172954501</v>
      </c>
      <c r="B3258" t="str">
        <f>"1552382994491263"</f>
        <v>1552382994491263</v>
      </c>
      <c r="C3258" t="s">
        <v>40</v>
      </c>
      <c r="D3258">
        <v>2.9928569999999999</v>
      </c>
      <c r="E3258">
        <v>0.46958820000000001</v>
      </c>
      <c r="F3258" t="s">
        <v>47</v>
      </c>
      <c r="G3258">
        <v>-380.44220000000001</v>
      </c>
      <c r="H3258" s="1">
        <v>-1.3767629999999999E-6</v>
      </c>
      <c r="I3258">
        <v>216.33840000000001</v>
      </c>
      <c r="J3258">
        <v>-412.64089999999999</v>
      </c>
      <c r="K3258">
        <v>1.1095200000000001</v>
      </c>
      <c r="L3258">
        <v>212.90960000000001</v>
      </c>
      <c r="M3258">
        <v>0.99931760000000003</v>
      </c>
      <c r="N3258">
        <v>0</v>
      </c>
      <c r="O3258">
        <v>3.6813980000000003E-2</v>
      </c>
      <c r="P3258">
        <v>0.9977665</v>
      </c>
      <c r="Q3258">
        <v>6.3453399999999993E-2</v>
      </c>
      <c r="R3258">
        <v>2.088067E-2</v>
      </c>
      <c r="S3258">
        <v>3.0065</v>
      </c>
      <c r="T3258">
        <v>-0.10228089999999999</v>
      </c>
      <c r="U3258">
        <v>0.31750489999999998</v>
      </c>
      <c r="V3258">
        <v>1.562769E-2</v>
      </c>
      <c r="W3258">
        <v>6.6504779999999999E-2</v>
      </c>
      <c r="X3258">
        <v>0.99766370000000004</v>
      </c>
      <c r="Y3258">
        <v>-6.8322350000000004E-2</v>
      </c>
      <c r="Z3258" s="1">
        <v>-8.9161680000000002E-5</v>
      </c>
      <c r="AA3258">
        <v>0.99766330000000003</v>
      </c>
      <c r="AB3258">
        <v>40</v>
      </c>
      <c r="AC3258">
        <v>32.198699999999903</v>
      </c>
      <c r="AD3258">
        <v>-1.1095213767629999</v>
      </c>
      <c r="AE3258">
        <v>3.4287999999999901</v>
      </c>
      <c r="AF3258">
        <v>-2.2384798935119199</v>
      </c>
      <c r="AG3258">
        <v>-1.1095213767629999</v>
      </c>
      <c r="AH3258">
        <v>32.265219862203097</v>
      </c>
      <c r="AI3258">
        <v>91.964765511344197</v>
      </c>
      <c r="AJ3258">
        <v>93.968677995203706</v>
      </c>
      <c r="AK3258">
        <v>32.361802216122904</v>
      </c>
      <c r="AL3258">
        <v>86.186742264491301</v>
      </c>
      <c r="AM3258">
        <v>89.102575891519706</v>
      </c>
      <c r="AN3258">
        <v>0.99999998437763704</v>
      </c>
    </row>
    <row r="3259" spans="1:40" x14ac:dyDescent="0.25">
      <c r="A3259" t="str">
        <f>"20190312172954522"</f>
        <v>20190312172954522</v>
      </c>
      <c r="B3259" t="str">
        <f>"1552382994510783"</f>
        <v>1552382994510783</v>
      </c>
      <c r="C3259" t="s">
        <v>40</v>
      </c>
      <c r="D3259">
        <v>3.0137710000000002</v>
      </c>
      <c r="E3259">
        <v>0.46978350000000002</v>
      </c>
      <c r="F3259" t="s">
        <v>47</v>
      </c>
      <c r="G3259">
        <v>-379.72710000000001</v>
      </c>
      <c r="H3259" s="1">
        <v>3.6394950000000001E-6</v>
      </c>
      <c r="I3259">
        <v>216.39019999999999</v>
      </c>
      <c r="J3259">
        <v>-412.25839999999999</v>
      </c>
      <c r="K3259">
        <v>1.1094010000000001</v>
      </c>
      <c r="L3259">
        <v>212.92439999999999</v>
      </c>
      <c r="M3259">
        <v>0.99927940000000004</v>
      </c>
      <c r="N3259">
        <v>0</v>
      </c>
      <c r="O3259">
        <v>3.7835590000000002E-2</v>
      </c>
      <c r="P3259">
        <v>0.9977376</v>
      </c>
      <c r="Q3259">
        <v>6.3864779999999996E-2</v>
      </c>
      <c r="R3259">
        <v>2.1000069999999999E-2</v>
      </c>
      <c r="S3259">
        <v>3.0065</v>
      </c>
      <c r="T3259">
        <v>-0.10134849999999999</v>
      </c>
      <c r="U3259">
        <v>0.3179321</v>
      </c>
      <c r="V3259">
        <v>1.654605E-2</v>
      </c>
      <c r="W3259">
        <v>6.6944390000000006E-2</v>
      </c>
      <c r="X3259">
        <v>0.99761949999999999</v>
      </c>
      <c r="Y3259">
        <v>-6.7443980000000001E-2</v>
      </c>
      <c r="Z3259">
        <v>-1.373891E-4</v>
      </c>
      <c r="AA3259">
        <v>0.99772300000000003</v>
      </c>
      <c r="AB3259">
        <v>40</v>
      </c>
      <c r="AC3259">
        <v>32.531299999999902</v>
      </c>
      <c r="AD3259">
        <v>-1.109397360505</v>
      </c>
      <c r="AE3259">
        <v>3.4658000000000002</v>
      </c>
      <c r="AF3259">
        <v>-2.2299075994152902</v>
      </c>
      <c r="AG3259">
        <v>-1.109397360505</v>
      </c>
      <c r="AH3259">
        <v>32.601648359821901</v>
      </c>
      <c r="AI3259">
        <v>91.944419227421804</v>
      </c>
      <c r="AJ3259">
        <v>93.912857633943602</v>
      </c>
      <c r="AK3259">
        <v>32.696647017437499</v>
      </c>
      <c r="AL3259">
        <v>86.161498248801294</v>
      </c>
      <c r="AM3259">
        <v>89.049806143532706</v>
      </c>
      <c r="AN3259">
        <v>0.99999999495166203</v>
      </c>
    </row>
    <row r="3260" spans="1:40" x14ac:dyDescent="0.25">
      <c r="A3260" t="str">
        <f>"20190312172954544"</f>
        <v>20190312172954544</v>
      </c>
      <c r="B3260" t="str">
        <f>"1552382994541039"</f>
        <v>1552382994541039</v>
      </c>
      <c r="C3260" t="s">
        <v>40</v>
      </c>
      <c r="D3260">
        <v>3.004775</v>
      </c>
      <c r="E3260">
        <v>0.47009659999999898</v>
      </c>
      <c r="F3260" t="s">
        <v>47</v>
      </c>
      <c r="G3260">
        <v>-379.42989999999998</v>
      </c>
      <c r="H3260" s="1">
        <v>3.4813469999999998E-6</v>
      </c>
      <c r="I3260">
        <v>216.38399999999999</v>
      </c>
      <c r="J3260">
        <v>-411.86970000000002</v>
      </c>
      <c r="K3260">
        <v>1.109248</v>
      </c>
      <c r="L3260">
        <v>212.93969999999999</v>
      </c>
      <c r="M3260">
        <v>0.99924710000000005</v>
      </c>
      <c r="N3260">
        <v>0</v>
      </c>
      <c r="O3260">
        <v>3.8677610000000001E-2</v>
      </c>
      <c r="P3260">
        <v>0.9977298</v>
      </c>
      <c r="Q3260">
        <v>6.4109669999999994E-2</v>
      </c>
      <c r="R3260">
        <v>2.062928E-2</v>
      </c>
      <c r="S3260">
        <v>3.0065919999999999</v>
      </c>
      <c r="T3260">
        <v>-0.101604</v>
      </c>
      <c r="U3260">
        <v>0.31684879999999999</v>
      </c>
      <c r="V3260">
        <v>1.7780569999999999E-2</v>
      </c>
      <c r="W3260">
        <v>6.7217959999999993E-2</v>
      </c>
      <c r="X3260">
        <v>0.99757989999999996</v>
      </c>
      <c r="Y3260">
        <v>-6.6245559999999995E-2</v>
      </c>
      <c r="Z3260">
        <v>-1.8624829999999999E-4</v>
      </c>
      <c r="AA3260">
        <v>0.99780329999999995</v>
      </c>
      <c r="AB3260">
        <v>40</v>
      </c>
      <c r="AC3260">
        <v>32.439799999999998</v>
      </c>
      <c r="AD3260">
        <v>-1.109244518653</v>
      </c>
      <c r="AE3260">
        <v>3.4443000000000201</v>
      </c>
      <c r="AF3260">
        <v>-2.1844972995036098</v>
      </c>
      <c r="AG3260">
        <v>-1.109244518653</v>
      </c>
      <c r="AH3260">
        <v>32.511155201247497</v>
      </c>
      <c r="AI3260">
        <v>91.949717430207002</v>
      </c>
      <c r="AJ3260">
        <v>93.844053599426701</v>
      </c>
      <c r="AK3260">
        <v>32.603338239715598</v>
      </c>
      <c r="AL3260">
        <v>86.145788591004305</v>
      </c>
      <c r="AM3260">
        <v>88.978885041314001</v>
      </c>
      <c r="AN3260">
        <v>1.00000002985004</v>
      </c>
    </row>
    <row r="3261" spans="1:40" x14ac:dyDescent="0.25">
      <c r="A3261" t="str">
        <f>"20190312172954565"</f>
        <v>20190312172954565</v>
      </c>
      <c r="B3261" t="str">
        <f>"1552382994560559"</f>
        <v>1552382994560559</v>
      </c>
      <c r="C3261" t="s">
        <v>40</v>
      </c>
      <c r="D3261">
        <v>3.0118049999999998</v>
      </c>
      <c r="E3261">
        <v>0.47026089999999998</v>
      </c>
      <c r="F3261" t="s">
        <v>47</v>
      </c>
      <c r="G3261">
        <v>-379.45609999999999</v>
      </c>
      <c r="H3261" s="1">
        <v>3.4952969999999999E-6</v>
      </c>
      <c r="I3261">
        <v>216.31649999999999</v>
      </c>
      <c r="J3261">
        <v>-411.47989999999999</v>
      </c>
      <c r="K3261">
        <v>1.1090789999999999</v>
      </c>
      <c r="L3261">
        <v>212.95519999999999</v>
      </c>
      <c r="M3261">
        <v>0.99922259999999996</v>
      </c>
      <c r="N3261">
        <v>0</v>
      </c>
      <c r="O3261">
        <v>3.9300729999999999E-2</v>
      </c>
      <c r="P3261">
        <v>0.99774370000000001</v>
      </c>
      <c r="Q3261">
        <v>6.3983899999999996E-2</v>
      </c>
      <c r="R3261">
        <v>2.0343420000000001E-2</v>
      </c>
      <c r="S3261">
        <v>3.006958</v>
      </c>
      <c r="T3261">
        <v>-0.10290299999999999</v>
      </c>
      <c r="U3261">
        <v>0.31326290000000001</v>
      </c>
      <c r="V3261">
        <v>1.871685E-2</v>
      </c>
      <c r="W3261">
        <v>6.7120899999999997E-2</v>
      </c>
      <c r="X3261">
        <v>0.99756929999999999</v>
      </c>
      <c r="Y3261">
        <v>-6.4434610000000003E-2</v>
      </c>
      <c r="Z3261">
        <v>-2.4074599999999999E-4</v>
      </c>
      <c r="AA3261">
        <v>0.99792190000000003</v>
      </c>
      <c r="AB3261">
        <v>40</v>
      </c>
      <c r="AC3261">
        <v>32.023799999999902</v>
      </c>
      <c r="AD3261">
        <v>-1.1090755047030001</v>
      </c>
      <c r="AE3261">
        <v>3.3613</v>
      </c>
      <c r="AF3261">
        <v>-2.09764976310441</v>
      </c>
      <c r="AG3261">
        <v>-1.1090755047030001</v>
      </c>
      <c r="AH3261">
        <v>32.093087162070397</v>
      </c>
      <c r="AI3261">
        <v>91.975033585772493</v>
      </c>
      <c r="AJ3261">
        <v>93.7396142328883</v>
      </c>
      <c r="AK3261">
        <v>32.1806840604117</v>
      </c>
      <c r="AL3261">
        <v>86.151362276700198</v>
      </c>
      <c r="AM3261">
        <v>88.925116582016202</v>
      </c>
      <c r="AN3261">
        <v>1.0000000219966101</v>
      </c>
    </row>
    <row r="3262" spans="1:40" x14ac:dyDescent="0.25">
      <c r="A3262" t="str">
        <f>"20190312172954587"</f>
        <v>20190312172954587</v>
      </c>
      <c r="B3262" t="str">
        <f>"1552382994581055"</f>
        <v>1552382994581055</v>
      </c>
      <c r="C3262" t="s">
        <v>40</v>
      </c>
      <c r="D3262">
        <v>3.050036</v>
      </c>
      <c r="E3262">
        <v>0.4704313</v>
      </c>
      <c r="F3262" t="s">
        <v>47</v>
      </c>
      <c r="G3262">
        <v>-379.53960000000001</v>
      </c>
      <c r="H3262" s="1">
        <v>3.5397140000000001E-6</v>
      </c>
      <c r="I3262">
        <v>216.25919999999999</v>
      </c>
      <c r="J3262">
        <v>-411.0754</v>
      </c>
      <c r="K3262">
        <v>1.1089100000000001</v>
      </c>
      <c r="L3262">
        <v>212.97139999999999</v>
      </c>
      <c r="M3262">
        <v>0.9992046</v>
      </c>
      <c r="N3262">
        <v>0</v>
      </c>
      <c r="O3262">
        <v>3.9756199999999998E-2</v>
      </c>
      <c r="P3262">
        <v>0.99774830000000003</v>
      </c>
      <c r="Q3262">
        <v>6.4057489999999995E-2</v>
      </c>
      <c r="R3262">
        <v>1.988287E-2</v>
      </c>
      <c r="S3262">
        <v>3.0071409999999998</v>
      </c>
      <c r="T3262">
        <v>-0.10441830000000001</v>
      </c>
      <c r="U3262">
        <v>0.3110657</v>
      </c>
      <c r="V3262">
        <v>1.9659929999999999E-2</v>
      </c>
      <c r="W3262">
        <v>6.7223669999999999E-2</v>
      </c>
      <c r="X3262">
        <v>0.99754419999999999</v>
      </c>
      <c r="Y3262">
        <v>-6.3252580000000003E-2</v>
      </c>
      <c r="Z3262">
        <v>-2.804932E-4</v>
      </c>
      <c r="AA3262">
        <v>0.99799749999999998</v>
      </c>
      <c r="AB3262">
        <v>40</v>
      </c>
      <c r="AC3262">
        <v>31.535799999999899</v>
      </c>
      <c r="AD3262">
        <v>-1.1089064602859999</v>
      </c>
      <c r="AE3262">
        <v>3.2877999999999998</v>
      </c>
      <c r="AF3262">
        <v>-2.0289692990319801</v>
      </c>
      <c r="AG3262">
        <v>-1.1089064602859999</v>
      </c>
      <c r="AH3262">
        <v>31.6029231550284</v>
      </c>
      <c r="AI3262">
        <v>92.005486126857207</v>
      </c>
      <c r="AJ3262">
        <v>93.673459120944898</v>
      </c>
      <c r="AK3262">
        <v>31.6873972092488</v>
      </c>
      <c r="AL3262">
        <v>86.145460508830396</v>
      </c>
      <c r="AM3262">
        <v>88.870942053117105</v>
      </c>
      <c r="AN3262">
        <v>0.99999998280475599</v>
      </c>
    </row>
    <row r="3263" spans="1:40" x14ac:dyDescent="0.25">
      <c r="A3263" t="str">
        <f>"20190312172954611"</f>
        <v>20190312172954611</v>
      </c>
      <c r="B3263" t="str">
        <f>"1552382994600337"</f>
        <v>1552382994600337</v>
      </c>
      <c r="C3263" t="s">
        <v>40</v>
      </c>
      <c r="D3263">
        <v>3.0534300000000001</v>
      </c>
      <c r="E3263">
        <v>0.47062209999999899</v>
      </c>
      <c r="F3263" t="s">
        <v>47</v>
      </c>
      <c r="G3263">
        <v>-379.46820000000002</v>
      </c>
      <c r="H3263" s="1">
        <v>3.501704E-6</v>
      </c>
      <c r="I3263">
        <v>216.21019999999999</v>
      </c>
      <c r="J3263">
        <v>-410.65280000000001</v>
      </c>
      <c r="K3263">
        <v>1.1087340000000001</v>
      </c>
      <c r="L3263">
        <v>212.98840000000001</v>
      </c>
      <c r="M3263">
        <v>0.99919270000000004</v>
      </c>
      <c r="N3263">
        <v>0</v>
      </c>
      <c r="O3263">
        <v>4.0052909999999997E-2</v>
      </c>
      <c r="P3263">
        <v>0.99776240000000005</v>
      </c>
      <c r="Q3263">
        <v>6.3968410000000003E-2</v>
      </c>
      <c r="R3263">
        <v>1.945388E-2</v>
      </c>
      <c r="S3263">
        <v>3.0073850000000002</v>
      </c>
      <c r="T3263">
        <v>-0.1055111</v>
      </c>
      <c r="U3263">
        <v>0.30816650000000001</v>
      </c>
      <c r="V3263">
        <v>2.0412929999999999E-2</v>
      </c>
      <c r="W3263">
        <v>6.7166100000000006E-2</v>
      </c>
      <c r="X3263">
        <v>0.997533</v>
      </c>
      <c r="Y3263">
        <v>-6.1996519999999999E-2</v>
      </c>
      <c r="Z3263">
        <v>-3.1575670000000001E-4</v>
      </c>
      <c r="AA3263">
        <v>0.99807630000000003</v>
      </c>
      <c r="AB3263">
        <v>40</v>
      </c>
      <c r="AC3263">
        <v>31.1845999999999</v>
      </c>
      <c r="AD3263">
        <v>-1.108730498296</v>
      </c>
      <c r="AE3263">
        <v>3.2217999999999698</v>
      </c>
      <c r="AF3263">
        <v>-1.9677135696661201</v>
      </c>
      <c r="AG3263">
        <v>-1.108730498296</v>
      </c>
      <c r="AH3263">
        <v>31.249534618386502</v>
      </c>
      <c r="AI3263">
        <v>92.027983343899507</v>
      </c>
      <c r="AJ3263">
        <v>93.603030669180697</v>
      </c>
      <c r="AK3263">
        <v>31.331048400521802</v>
      </c>
      <c r="AL3263">
        <v>86.148766678582405</v>
      </c>
      <c r="AM3263">
        <v>88.827696403165106</v>
      </c>
      <c r="AN3263">
        <v>1.00000002939469</v>
      </c>
    </row>
    <row r="3264" spans="1:40" x14ac:dyDescent="0.25">
      <c r="A3264" t="str">
        <f>"20190312172954633"</f>
        <v>20190312172954633</v>
      </c>
      <c r="B3264" t="str">
        <f>"1552382994620837"</f>
        <v>1552382994620837</v>
      </c>
      <c r="C3264" t="s">
        <v>40</v>
      </c>
      <c r="D3264">
        <v>3.067116</v>
      </c>
      <c r="E3264">
        <v>0.47080040000000001</v>
      </c>
      <c r="F3264" t="s">
        <v>47</v>
      </c>
      <c r="G3264">
        <v>-379.38889999999998</v>
      </c>
      <c r="H3264" s="1">
        <v>3.4594849999999999E-6</v>
      </c>
      <c r="I3264">
        <v>216.16730000000001</v>
      </c>
      <c r="J3264">
        <v>-410.25670000000002</v>
      </c>
      <c r="K3264">
        <v>1.1085739999999999</v>
      </c>
      <c r="L3264">
        <v>213.0043</v>
      </c>
      <c r="M3264">
        <v>0.99918799999999997</v>
      </c>
      <c r="N3264">
        <v>0</v>
      </c>
      <c r="O3264">
        <v>4.0165199999999998E-2</v>
      </c>
      <c r="P3264">
        <v>0.99779660000000003</v>
      </c>
      <c r="Q3264">
        <v>6.3686919999999994E-2</v>
      </c>
      <c r="R3264">
        <v>1.860794E-2</v>
      </c>
      <c r="S3264">
        <v>3.0075989999999999</v>
      </c>
      <c r="T3264">
        <v>-0.10666009999999999</v>
      </c>
      <c r="U3264">
        <v>0.3058167</v>
      </c>
      <c r="V3264">
        <v>2.1397139999999999E-2</v>
      </c>
      <c r="W3264">
        <v>6.6914890000000005E-2</v>
      </c>
      <c r="X3264">
        <v>0.9975292</v>
      </c>
      <c r="Y3264">
        <v>-6.1105710000000001E-2</v>
      </c>
      <c r="Z3264">
        <v>-3.389035E-4</v>
      </c>
      <c r="AA3264">
        <v>0.9981312</v>
      </c>
      <c r="AB3264">
        <v>41</v>
      </c>
      <c r="AC3264">
        <v>30.867799999999999</v>
      </c>
      <c r="AD3264">
        <v>-1.1085705405149999</v>
      </c>
      <c r="AE3264">
        <v>3.16300000000001</v>
      </c>
      <c r="AF3264">
        <v>-1.91818165689989</v>
      </c>
      <c r="AG3264">
        <v>-1.1085705405149999</v>
      </c>
      <c r="AH3264">
        <v>30.930455305704601</v>
      </c>
      <c r="AI3264">
        <v>92.048712263706506</v>
      </c>
      <c r="AJ3264">
        <v>93.548707597880295</v>
      </c>
      <c r="AK3264">
        <v>31.009698723630901</v>
      </c>
      <c r="AL3264">
        <v>86.1631921864643</v>
      </c>
      <c r="AM3264">
        <v>88.771186004588401</v>
      </c>
      <c r="AN3264">
        <v>0.999999972478265</v>
      </c>
    </row>
    <row r="3265" spans="1:40" x14ac:dyDescent="0.25">
      <c r="A3265" t="str">
        <f>"20190312172954655"</f>
        <v>20190312172954655</v>
      </c>
      <c r="B3265" t="str">
        <f>"1552382994651089"</f>
        <v>1552382994651089</v>
      </c>
      <c r="C3265" t="s">
        <v>40</v>
      </c>
      <c r="D3265">
        <v>3.0943459999999998</v>
      </c>
      <c r="E3265">
        <v>0.47104109999999999</v>
      </c>
      <c r="F3265" t="s">
        <v>47</v>
      </c>
      <c r="G3265">
        <v>-379.4237</v>
      </c>
      <c r="H3265" s="1">
        <v>3.4780559999999998E-6</v>
      </c>
      <c r="I3265">
        <v>216.1028</v>
      </c>
      <c r="J3265">
        <v>-409.83139999999997</v>
      </c>
      <c r="K3265">
        <v>1.108403</v>
      </c>
      <c r="L3265">
        <v>213.0214</v>
      </c>
      <c r="M3265">
        <v>0.99919029999999998</v>
      </c>
      <c r="N3265">
        <v>0</v>
      </c>
      <c r="O3265">
        <v>4.010391E-2</v>
      </c>
      <c r="P3265">
        <v>0.9978534</v>
      </c>
      <c r="Q3265">
        <v>6.3117889999999996E-2</v>
      </c>
      <c r="R3265">
        <v>1.74580999999999E-2</v>
      </c>
      <c r="S3265">
        <v>3.0079349999999998</v>
      </c>
      <c r="T3265">
        <v>-0.10814749999999999</v>
      </c>
      <c r="U3265">
        <v>0.30227659999999901</v>
      </c>
      <c r="V3265">
        <v>2.2515179999999999E-2</v>
      </c>
      <c r="W3265">
        <v>6.6377740000000005E-2</v>
      </c>
      <c r="X3265">
        <v>0.99754050000000005</v>
      </c>
      <c r="Y3265">
        <v>-5.9993159999999997E-2</v>
      </c>
      <c r="Z3265">
        <v>-3.6136719999999998E-4</v>
      </c>
      <c r="AA3265">
        <v>0.99819869999999999</v>
      </c>
      <c r="AB3265">
        <v>41</v>
      </c>
      <c r="AC3265">
        <v>30.407699999999899</v>
      </c>
      <c r="AD3265">
        <v>-1.1083995219439999</v>
      </c>
      <c r="AE3265">
        <v>3.0813999999999999</v>
      </c>
      <c r="AF3265">
        <v>-1.8570047008785799</v>
      </c>
      <c r="AG3265">
        <v>-1.1083995219439999</v>
      </c>
      <c r="AH3265">
        <v>30.466744470520901</v>
      </c>
      <c r="AI3265">
        <v>92.079681801819007</v>
      </c>
      <c r="AJ3265">
        <v>93.487969103565703</v>
      </c>
      <c r="AK3265">
        <v>30.543404109420202</v>
      </c>
      <c r="AL3265">
        <v>86.194037274330498</v>
      </c>
      <c r="AM3265">
        <v>88.707014107044998</v>
      </c>
      <c r="AN3265">
        <v>0.99999999341909496</v>
      </c>
    </row>
    <row r="3266" spans="1:40" x14ac:dyDescent="0.25">
      <c r="A3266" t="str">
        <f>"20190312172954678"</f>
        <v>20190312172954678</v>
      </c>
      <c r="B3266" t="str">
        <f>"1552382994670610"</f>
        <v>1552382994670610</v>
      </c>
      <c r="C3266" t="s">
        <v>40</v>
      </c>
      <c r="D3266">
        <v>3.0751949999999999</v>
      </c>
      <c r="E3266">
        <v>0.47117419999999999</v>
      </c>
      <c r="F3266" t="s">
        <v>47</v>
      </c>
      <c r="G3266">
        <v>-379.90179999999998</v>
      </c>
      <c r="H3266" s="1">
        <v>3.7324480000000001E-6</v>
      </c>
      <c r="I3266">
        <v>215.97669999999999</v>
      </c>
      <c r="J3266">
        <v>-409.43310000000002</v>
      </c>
      <c r="K3266">
        <v>1.1082419999999999</v>
      </c>
      <c r="L3266">
        <v>213.03720000000001</v>
      </c>
      <c r="M3266">
        <v>0.99919899999999995</v>
      </c>
      <c r="N3266">
        <v>0</v>
      </c>
      <c r="O3266">
        <v>3.9881369999999999E-2</v>
      </c>
      <c r="P3266">
        <v>0.99789799999999995</v>
      </c>
      <c r="Q3266">
        <v>6.2802819999999995E-2</v>
      </c>
      <c r="R3266">
        <v>1.5974039999999998E-2</v>
      </c>
      <c r="S3266">
        <v>3.0083009999999999</v>
      </c>
      <c r="T3266">
        <v>-0.11140799999999999</v>
      </c>
      <c r="U3266">
        <v>0.2970428</v>
      </c>
      <c r="V3266">
        <v>2.380411E-2</v>
      </c>
      <c r="W3266">
        <v>6.6092739999999997E-2</v>
      </c>
      <c r="X3266">
        <v>0.99752949999999996</v>
      </c>
      <c r="Y3266">
        <v>-5.8483819999999999E-2</v>
      </c>
      <c r="Z3266">
        <v>-3.9191969999999998E-4</v>
      </c>
      <c r="AA3266">
        <v>0.99828830000000002</v>
      </c>
      <c r="AB3266">
        <v>41</v>
      </c>
      <c r="AC3266">
        <v>29.531300000000002</v>
      </c>
      <c r="AD3266">
        <v>-1.1082382675519999</v>
      </c>
      <c r="AE3266">
        <v>2.9394999999999798</v>
      </c>
      <c r="AF3266">
        <v>-1.7569562096801601</v>
      </c>
      <c r="AG3266">
        <v>-1.1082382675519999</v>
      </c>
      <c r="AH3266">
        <v>29.583782539031301</v>
      </c>
      <c r="AI3266">
        <v>92.141584479360304</v>
      </c>
      <c r="AJ3266">
        <v>93.398756497125504</v>
      </c>
      <c r="AK3266">
        <v>29.656622810041899</v>
      </c>
      <c r="AL3266">
        <v>86.210402513811601</v>
      </c>
      <c r="AM3266">
        <v>88.633006600633493</v>
      </c>
      <c r="AN3266">
        <v>0.99999999465192402</v>
      </c>
    </row>
    <row r="3267" spans="1:40" x14ac:dyDescent="0.25">
      <c r="A3267" t="str">
        <f>"20190312172954701"</f>
        <v>20190312172954701</v>
      </c>
      <c r="B3267" t="str">
        <f>"1552382994691106"</f>
        <v>1552382994691106</v>
      </c>
      <c r="C3267" t="s">
        <v>40</v>
      </c>
      <c r="D3267">
        <v>3.0713509999999999</v>
      </c>
      <c r="E3267">
        <v>0.47130610000000001</v>
      </c>
      <c r="F3267" t="s">
        <v>47</v>
      </c>
      <c r="G3267">
        <v>-380.06729999999999</v>
      </c>
      <c r="H3267" s="1">
        <v>-1.5564619999999901E-6</v>
      </c>
      <c r="I3267">
        <v>215.88499999999999</v>
      </c>
      <c r="J3267">
        <v>-408.995</v>
      </c>
      <c r="K3267">
        <v>1.1080559999999999</v>
      </c>
      <c r="L3267">
        <v>213.05449999999999</v>
      </c>
      <c r="M3267">
        <v>0.99921510000000002</v>
      </c>
      <c r="N3267">
        <v>0</v>
      </c>
      <c r="O3267">
        <v>3.947353E-2</v>
      </c>
      <c r="P3267">
        <v>0.99791459999999998</v>
      </c>
      <c r="Q3267">
        <v>6.2913070000000001E-2</v>
      </c>
      <c r="R3267">
        <v>1.443376E-2</v>
      </c>
      <c r="S3267">
        <v>3.008759</v>
      </c>
      <c r="T3267">
        <v>-0.113548</v>
      </c>
      <c r="U3267">
        <v>0.291778599999999</v>
      </c>
      <c r="V3267">
        <v>2.4965939999999999E-2</v>
      </c>
      <c r="W3267">
        <v>6.6234539999999995E-2</v>
      </c>
      <c r="X3267">
        <v>0.99749169999999998</v>
      </c>
      <c r="Y3267">
        <v>-5.7146460000000003E-2</v>
      </c>
      <c r="Z3267">
        <v>-4.0927079999999999E-4</v>
      </c>
      <c r="AA3267">
        <v>0.99836570000000002</v>
      </c>
      <c r="AB3267">
        <v>41</v>
      </c>
      <c r="AC3267">
        <v>28.927700000000002</v>
      </c>
      <c r="AD3267">
        <v>-1.1080575564620001</v>
      </c>
      <c r="AE3267">
        <v>2.8304999999999998</v>
      </c>
      <c r="AF3267">
        <v>-1.6839618819030699</v>
      </c>
      <c r="AG3267">
        <v>-1.1080575564620001</v>
      </c>
      <c r="AH3267">
        <v>28.974775056227301</v>
      </c>
      <c r="AI3267">
        <v>92.186360558334698</v>
      </c>
      <c r="AJ3267">
        <v>93.326186176705903</v>
      </c>
      <c r="AK3267">
        <v>29.0448120793905</v>
      </c>
      <c r="AL3267">
        <v>86.202260158500295</v>
      </c>
      <c r="AM3267">
        <v>88.566259336543993</v>
      </c>
      <c r="AN3267">
        <v>1.0000000020089901</v>
      </c>
    </row>
    <row r="3268" spans="1:40" x14ac:dyDescent="0.25">
      <c r="A3268" t="str">
        <f>"20190312172954724"</f>
        <v>20190312172954724</v>
      </c>
      <c r="B3268" t="str">
        <f>"1552382994720386"</f>
        <v>1552382994720386</v>
      </c>
      <c r="C3268" t="s">
        <v>40</v>
      </c>
      <c r="D3268">
        <v>3.0785960000000001</v>
      </c>
      <c r="E3268">
        <v>0.47146290000000002</v>
      </c>
      <c r="F3268" t="s">
        <v>47</v>
      </c>
      <c r="G3268">
        <v>-379.82530000000003</v>
      </c>
      <c r="H3268" s="1">
        <v>3.6917600000000001E-6</v>
      </c>
      <c r="I3268">
        <v>215.82830000000001</v>
      </c>
      <c r="J3268">
        <v>-408.58839999999998</v>
      </c>
      <c r="K3268">
        <v>1.1078950000000001</v>
      </c>
      <c r="L3268">
        <v>213.0702</v>
      </c>
      <c r="M3268">
        <v>0.9992354</v>
      </c>
      <c r="N3268">
        <v>0</v>
      </c>
      <c r="O3268">
        <v>3.8951590000000001E-2</v>
      </c>
      <c r="P3268">
        <v>0.99791629999999998</v>
      </c>
      <c r="Q3268">
        <v>6.3214359999999997E-2</v>
      </c>
      <c r="R3268">
        <v>1.2923560000000001E-2</v>
      </c>
      <c r="S3268">
        <v>3.0093380000000001</v>
      </c>
      <c r="T3268">
        <v>-0.114314</v>
      </c>
      <c r="U3268">
        <v>0.28616329999999901</v>
      </c>
      <c r="V3268">
        <v>2.598023E-2</v>
      </c>
      <c r="W3268">
        <v>6.6565669999999993E-2</v>
      </c>
      <c r="X3268">
        <v>0.99744370000000004</v>
      </c>
      <c r="Y3268">
        <v>-5.5803980000000003E-2</v>
      </c>
      <c r="Z3268">
        <v>-4.1768749999999998E-4</v>
      </c>
      <c r="AA3268">
        <v>0.99844160000000004</v>
      </c>
      <c r="AB3268">
        <v>41</v>
      </c>
      <c r="AC3268">
        <v>28.763099999999898</v>
      </c>
      <c r="AD3268">
        <v>-1.1078913082399999</v>
      </c>
      <c r="AE3268">
        <v>2.75810000000001</v>
      </c>
      <c r="AF3268">
        <v>-1.6332309742425499</v>
      </c>
      <c r="AG3268">
        <v>-1.1078913082399999</v>
      </c>
      <c r="AH3268">
        <v>28.806356073413401</v>
      </c>
      <c r="AI3268">
        <v>92.198979826780302</v>
      </c>
      <c r="AJ3268">
        <v>93.245018748782201</v>
      </c>
      <c r="AK3268">
        <v>28.8738812215189</v>
      </c>
      <c r="AL3268">
        <v>86.183245636357697</v>
      </c>
      <c r="AM3268">
        <v>88.507964874449101</v>
      </c>
      <c r="AN3268">
        <v>0.99999994772154399</v>
      </c>
    </row>
    <row r="3269" spans="1:40" x14ac:dyDescent="0.25">
      <c r="A3269" t="str">
        <f>"20190312172954745"</f>
        <v>20190312172954745</v>
      </c>
      <c r="B3269" t="str">
        <f>"1552382994740882"</f>
        <v>1552382994740882</v>
      </c>
      <c r="C3269" t="s">
        <v>40</v>
      </c>
      <c r="D3269">
        <v>3.0753870000000001</v>
      </c>
      <c r="E3269">
        <v>0.47151340000000003</v>
      </c>
      <c r="F3269" t="s">
        <v>47</v>
      </c>
      <c r="G3269">
        <v>-379.6173</v>
      </c>
      <c r="H3269" s="1">
        <v>3.581056E-6</v>
      </c>
      <c r="I3269">
        <v>215.77010000000001</v>
      </c>
      <c r="J3269">
        <v>-408.1773</v>
      </c>
      <c r="K3269">
        <v>1.1077440000000001</v>
      </c>
      <c r="L3269">
        <v>213.08580000000001</v>
      </c>
      <c r="M3269">
        <v>0.99926060000000005</v>
      </c>
      <c r="N3269">
        <v>0</v>
      </c>
      <c r="O3269">
        <v>3.829983E-2</v>
      </c>
      <c r="P3269">
        <v>0.9978899</v>
      </c>
      <c r="Q3269">
        <v>6.3981440000000001E-2</v>
      </c>
      <c r="R3269">
        <v>1.1064610000000001E-2</v>
      </c>
      <c r="S3269">
        <v>3.0099179999999999</v>
      </c>
      <c r="T3269">
        <v>-0.11510289999999999</v>
      </c>
      <c r="U3269">
        <v>0.28050229999999998</v>
      </c>
      <c r="V3269">
        <v>2.7211510000000001E-2</v>
      </c>
      <c r="W3269">
        <v>6.7362110000000003E-2</v>
      </c>
      <c r="X3269">
        <v>0.99735739999999995</v>
      </c>
      <c r="Y3269">
        <v>-5.457592E-2</v>
      </c>
      <c r="Z3269">
        <v>-4.1913470000000001E-4</v>
      </c>
      <c r="AA3269">
        <v>0.99850950000000005</v>
      </c>
      <c r="AB3269">
        <v>41</v>
      </c>
      <c r="AC3269">
        <v>28.56</v>
      </c>
      <c r="AD3269">
        <v>-1.1077404189440001</v>
      </c>
      <c r="AE3269">
        <v>2.6842999999999999</v>
      </c>
      <c r="AF3269">
        <v>-1.58611588102553</v>
      </c>
      <c r="AG3269">
        <v>-1.1077404189440001</v>
      </c>
      <c r="AH3269">
        <v>28.599206350742001</v>
      </c>
      <c r="AI3269">
        <v>92.214743276209106</v>
      </c>
      <c r="AJ3269">
        <v>93.174379789845602</v>
      </c>
      <c r="AK3269">
        <v>28.6645679596976</v>
      </c>
      <c r="AL3269">
        <v>86.137510340134099</v>
      </c>
      <c r="AM3269">
        <v>88.4371520315119</v>
      </c>
      <c r="AN3269">
        <v>0.99999995173744405</v>
      </c>
    </row>
    <row r="3270" spans="1:40" x14ac:dyDescent="0.25">
      <c r="A3270" t="str">
        <f>"20190312172954768"</f>
        <v>20190312172954768</v>
      </c>
      <c r="B3270" t="str">
        <f>"1552382994760401"</f>
        <v>1552382994760401</v>
      </c>
      <c r="C3270" t="s">
        <v>40</v>
      </c>
      <c r="D3270">
        <v>3.078411</v>
      </c>
      <c r="E3270">
        <v>0.47154600000000002</v>
      </c>
      <c r="F3270" t="s">
        <v>47</v>
      </c>
      <c r="G3270">
        <v>-378.81970000000001</v>
      </c>
      <c r="H3270" s="1">
        <v>3.1566340000000001E-6</v>
      </c>
      <c r="I3270">
        <v>215.76079999999999</v>
      </c>
      <c r="J3270">
        <v>-407.7654</v>
      </c>
      <c r="K3270">
        <v>1.1076109999999999</v>
      </c>
      <c r="L3270">
        <v>213.10120000000001</v>
      </c>
      <c r="M3270">
        <v>0.99928859999999997</v>
      </c>
      <c r="N3270">
        <v>0</v>
      </c>
      <c r="O3270">
        <v>3.7556060000000002E-2</v>
      </c>
      <c r="P3270">
        <v>0.99788270000000001</v>
      </c>
      <c r="Q3270">
        <v>6.4356930000000007E-2</v>
      </c>
      <c r="R3270">
        <v>9.3966499999999994E-3</v>
      </c>
      <c r="S3270">
        <v>3.0106199999999999</v>
      </c>
      <c r="T3270">
        <v>-0.1135989</v>
      </c>
      <c r="U3270">
        <v>0.27432250000000002</v>
      </c>
      <c r="V3270">
        <v>2.815838E-2</v>
      </c>
      <c r="W3270">
        <v>6.7767919999999995E-2</v>
      </c>
      <c r="X3270">
        <v>0.99730370000000002</v>
      </c>
      <c r="Y3270">
        <v>-5.3265920000000001E-2</v>
      </c>
      <c r="Z3270">
        <v>-4.1031729999999999E-4</v>
      </c>
      <c r="AA3270">
        <v>0.99858029999999998</v>
      </c>
      <c r="AB3270">
        <v>42</v>
      </c>
      <c r="AC3270">
        <v>28.945699999999899</v>
      </c>
      <c r="AD3270">
        <v>-1.1076078433659999</v>
      </c>
      <c r="AE3270">
        <v>2.6595999999999802</v>
      </c>
      <c r="AF3270">
        <v>-1.56835363257892</v>
      </c>
      <c r="AG3270">
        <v>-1.1076078433659999</v>
      </c>
      <c r="AH3270">
        <v>28.983081801070401</v>
      </c>
      <c r="AI3270">
        <v>92.185337427656293</v>
      </c>
      <c r="AJ3270">
        <v>93.0974100444935</v>
      </c>
      <c r="AK3270">
        <v>29.046610110975902</v>
      </c>
      <c r="AL3270">
        <v>86.114206180518707</v>
      </c>
      <c r="AM3270">
        <v>88.382711483928901</v>
      </c>
      <c r="AN3270">
        <v>1.00000002768952</v>
      </c>
    </row>
    <row r="3271" spans="1:40" x14ac:dyDescent="0.25">
      <c r="A3271" t="str">
        <f>"20190312172954789"</f>
        <v>20190312172954789</v>
      </c>
      <c r="B3271" t="str">
        <f>"1552382994780898"</f>
        <v>1552382994780898</v>
      </c>
      <c r="C3271" t="s">
        <v>40</v>
      </c>
      <c r="D3271">
        <v>3.0946940000000001</v>
      </c>
      <c r="E3271">
        <v>0.4715647</v>
      </c>
      <c r="F3271" t="s">
        <v>47</v>
      </c>
      <c r="G3271">
        <v>-378.26909999999998</v>
      </c>
      <c r="H3271" s="1">
        <v>2.863609E-6</v>
      </c>
      <c r="I3271">
        <v>215.7364</v>
      </c>
      <c r="J3271">
        <v>-407.3503</v>
      </c>
      <c r="K3271">
        <v>1.1074850000000001</v>
      </c>
      <c r="L3271">
        <v>213.11619999999999</v>
      </c>
      <c r="M3271">
        <v>0.99931910000000002</v>
      </c>
      <c r="N3271">
        <v>0</v>
      </c>
      <c r="O3271">
        <v>3.6731310000000003E-2</v>
      </c>
      <c r="P3271">
        <v>0.99784669999999998</v>
      </c>
      <c r="Q3271">
        <v>6.509326E-2</v>
      </c>
      <c r="R3271">
        <v>8.0689130000000005E-3</v>
      </c>
      <c r="S3271">
        <v>3.0111080000000001</v>
      </c>
      <c r="T3271">
        <v>-0.1130695</v>
      </c>
      <c r="U3271">
        <v>0.26901249999999999</v>
      </c>
      <c r="V3271">
        <v>2.8681479999999999E-2</v>
      </c>
      <c r="W3271">
        <v>6.8536710000000001E-2</v>
      </c>
      <c r="X3271">
        <v>0.99723629999999996</v>
      </c>
      <c r="Y3271">
        <v>-5.2328819999999998E-2</v>
      </c>
      <c r="Z3271">
        <v>-3.950817E-4</v>
      </c>
      <c r="AA3271">
        <v>0.99862980000000001</v>
      </c>
      <c r="AB3271">
        <v>42</v>
      </c>
      <c r="AC3271">
        <v>29.081199999999999</v>
      </c>
      <c r="AD3271">
        <v>-1.1074821363909999</v>
      </c>
      <c r="AE3271">
        <v>2.6202000000000099</v>
      </c>
      <c r="AF3271">
        <v>-1.54800779819007</v>
      </c>
      <c r="AG3271">
        <v>-1.1074821363909999</v>
      </c>
      <c r="AH3271">
        <v>29.1159331501864</v>
      </c>
      <c r="AI3271">
        <v>92.175238947078995</v>
      </c>
      <c r="AJ3271">
        <v>93.043381187881906</v>
      </c>
      <c r="AK3271">
        <v>29.178080951834499</v>
      </c>
      <c r="AL3271">
        <v>86.070055282124699</v>
      </c>
      <c r="AM3271">
        <v>88.352572141198607</v>
      </c>
      <c r="AN3271">
        <v>1.0000000729751399</v>
      </c>
    </row>
    <row r="3272" spans="1:40" x14ac:dyDescent="0.25">
      <c r="A3272" t="str">
        <f>"20190312172954812"</f>
        <v>20190312172954812</v>
      </c>
      <c r="B3272" t="str">
        <f>"1552382994800417"</f>
        <v>1552382994800417</v>
      </c>
      <c r="C3272" t="s">
        <v>40</v>
      </c>
      <c r="D3272">
        <v>3.073814</v>
      </c>
      <c r="E3272">
        <v>0.47156130000000002</v>
      </c>
      <c r="F3272" t="s">
        <v>47</v>
      </c>
      <c r="G3272">
        <v>-377.50040000000001</v>
      </c>
      <c r="H3272" s="1">
        <v>2.4545349999999999E-6</v>
      </c>
      <c r="I3272">
        <v>215.73830000000001</v>
      </c>
      <c r="J3272">
        <v>-406.93970000000002</v>
      </c>
      <c r="K3272">
        <v>1.107383</v>
      </c>
      <c r="L3272">
        <v>213.13079999999999</v>
      </c>
      <c r="M3272">
        <v>0.99935079999999998</v>
      </c>
      <c r="N3272">
        <v>0</v>
      </c>
      <c r="O3272">
        <v>3.5855230000000002E-2</v>
      </c>
      <c r="P3272">
        <v>0.997776</v>
      </c>
      <c r="Q3272">
        <v>6.6339889999999999E-2</v>
      </c>
      <c r="R3272">
        <v>6.5184129999999998E-3</v>
      </c>
      <c r="S3272">
        <v>3.0116879999999999</v>
      </c>
      <c r="T3272">
        <v>-0.1117387</v>
      </c>
      <c r="U3272">
        <v>0.26455689999999998</v>
      </c>
      <c r="V3272">
        <v>2.937356E-2</v>
      </c>
      <c r="W3272">
        <v>6.9814420000000002E-2</v>
      </c>
      <c r="X3272">
        <v>0.99712750000000006</v>
      </c>
      <c r="Y3272">
        <v>-5.1721410000000002E-2</v>
      </c>
      <c r="Z3272">
        <v>-3.6924819999999999E-4</v>
      </c>
      <c r="AA3272">
        <v>0.99866149999999998</v>
      </c>
      <c r="AB3272">
        <v>42</v>
      </c>
      <c r="AC3272">
        <v>29.439299999999999</v>
      </c>
      <c r="AD3272">
        <v>-1.1073805454649901</v>
      </c>
      <c r="AE3272">
        <v>2.6075000000000101</v>
      </c>
      <c r="AF3272">
        <v>-1.54809052660998</v>
      </c>
      <c r="AG3272">
        <v>-1.1073805454649901</v>
      </c>
      <c r="AH3272">
        <v>29.472485954592798</v>
      </c>
      <c r="AI3272">
        <v>92.148823632357093</v>
      </c>
      <c r="AJ3272">
        <v>93.006791263759695</v>
      </c>
      <c r="AK3272">
        <v>29.533884002865701</v>
      </c>
      <c r="AL3272">
        <v>85.996672031642703</v>
      </c>
      <c r="AM3272">
        <v>88.312658662912597</v>
      </c>
      <c r="AN3272">
        <v>1.0000000552616199</v>
      </c>
    </row>
    <row r="3273" spans="1:40" x14ac:dyDescent="0.25">
      <c r="A3273" t="str">
        <f>"20190312172954834"</f>
        <v>20190312172954834</v>
      </c>
      <c r="B3273" t="str">
        <f>"1552382994820917"</f>
        <v>1552382994820917</v>
      </c>
      <c r="C3273" t="s">
        <v>40</v>
      </c>
      <c r="D3273">
        <v>3.0794480000000002</v>
      </c>
      <c r="E3273">
        <v>0.47156749999999997</v>
      </c>
      <c r="F3273" t="s">
        <v>47</v>
      </c>
      <c r="G3273">
        <v>-376.23110000000003</v>
      </c>
      <c r="H3273" s="1">
        <v>1.779091E-6</v>
      </c>
      <c r="I3273">
        <v>215.7818</v>
      </c>
      <c r="J3273">
        <v>-406.52120000000002</v>
      </c>
      <c r="K3273">
        <v>1.107291</v>
      </c>
      <c r="L3273">
        <v>213.14519999999999</v>
      </c>
      <c r="M3273">
        <v>0.99938400000000005</v>
      </c>
      <c r="N3273">
        <v>0</v>
      </c>
      <c r="O3273">
        <v>3.4913899999999998E-2</v>
      </c>
      <c r="P3273">
        <v>0.99773239999999996</v>
      </c>
      <c r="Q3273">
        <v>6.7101540000000001E-2</v>
      </c>
      <c r="R3273">
        <v>5.2454669999999898E-3</v>
      </c>
      <c r="S3273">
        <v>3.012238</v>
      </c>
      <c r="T3273">
        <v>-0.1086241</v>
      </c>
      <c r="U3273">
        <v>0.2600403</v>
      </c>
      <c r="V3273">
        <v>2.9722309999999998E-2</v>
      </c>
      <c r="W3273">
        <v>7.0609729999999996E-2</v>
      </c>
      <c r="X3273">
        <v>0.99706110000000003</v>
      </c>
      <c r="Y3273">
        <v>-5.1160400000000002E-2</v>
      </c>
      <c r="Z3273">
        <v>-3.3519289999999998E-4</v>
      </c>
      <c r="AA3273">
        <v>0.99869039999999998</v>
      </c>
      <c r="AB3273">
        <v>42</v>
      </c>
      <c r="AC3273">
        <v>30.290099999999899</v>
      </c>
      <c r="AD3273">
        <v>-1.1072892209089999</v>
      </c>
      <c r="AE3273">
        <v>2.6366000000000098</v>
      </c>
      <c r="AF3273">
        <v>-1.57535090984509</v>
      </c>
      <c r="AG3273">
        <v>-1.1072892209089999</v>
      </c>
      <c r="AH3273">
        <v>30.323469097822301</v>
      </c>
      <c r="AI3273">
        <v>92.088464688613996</v>
      </c>
      <c r="AJ3273">
        <v>92.973930380292103</v>
      </c>
      <c r="AK3273">
        <v>30.3845453814019</v>
      </c>
      <c r="AL3273">
        <v>85.950991139830293</v>
      </c>
      <c r="AM3273">
        <v>88.292523142446896</v>
      </c>
      <c r="AN3273">
        <v>0.99999999340780898</v>
      </c>
    </row>
    <row r="3274" spans="1:40" x14ac:dyDescent="0.25">
      <c r="A3274" t="str">
        <f>"20190312172954857"</f>
        <v>20190312172954857</v>
      </c>
      <c r="B3274" t="str">
        <f>"1552382994851170"</f>
        <v>1552382994851170</v>
      </c>
      <c r="C3274" t="s">
        <v>40</v>
      </c>
      <c r="D3274">
        <v>3.0584690000000001</v>
      </c>
      <c r="E3274">
        <v>0.47152579999999999</v>
      </c>
      <c r="F3274" t="s">
        <v>47</v>
      </c>
      <c r="G3274">
        <v>-375.30990000000003</v>
      </c>
      <c r="H3274" s="1">
        <v>1.2888999999999899E-6</v>
      </c>
      <c r="I3274">
        <v>215.79859999999999</v>
      </c>
      <c r="J3274">
        <v>-406.09609999999998</v>
      </c>
      <c r="K3274">
        <v>1.1072139999999999</v>
      </c>
      <c r="L3274">
        <v>213.15950000000001</v>
      </c>
      <c r="M3274">
        <v>0.99941809999999998</v>
      </c>
      <c r="N3274">
        <v>0</v>
      </c>
      <c r="O3274">
        <v>3.3918879999999998E-2</v>
      </c>
      <c r="P3274">
        <v>0.99771310000000002</v>
      </c>
      <c r="Q3274">
        <v>6.7433000000000007E-2</v>
      </c>
      <c r="R3274">
        <v>4.6599409999999999E-3</v>
      </c>
      <c r="S3274">
        <v>3.0126650000000001</v>
      </c>
      <c r="T3274">
        <v>-0.1068809</v>
      </c>
      <c r="U3274">
        <v>0.25611879999999998</v>
      </c>
      <c r="V3274">
        <v>2.9329419999999998E-2</v>
      </c>
      <c r="W3274">
        <v>7.0977390000000001E-2</v>
      </c>
      <c r="X3274">
        <v>0.99704660000000001</v>
      </c>
      <c r="Y3274">
        <v>-5.0851960000000002E-2</v>
      </c>
      <c r="Z3274">
        <v>-3.0007139999999998E-4</v>
      </c>
      <c r="AA3274">
        <v>0.99870619999999999</v>
      </c>
      <c r="AB3274">
        <v>42</v>
      </c>
      <c r="AC3274">
        <v>30.786199999999901</v>
      </c>
      <c r="AD3274">
        <v>-1.1072127111000001</v>
      </c>
      <c r="AE3274">
        <v>2.63909999999998</v>
      </c>
      <c r="AF3274">
        <v>-1.5912979669228899</v>
      </c>
      <c r="AG3274">
        <v>-1.1072127111000001</v>
      </c>
      <c r="AH3274">
        <v>30.818429620660599</v>
      </c>
      <c r="AI3274">
        <v>92.054843556809104</v>
      </c>
      <c r="AJ3274">
        <v>92.955820915886207</v>
      </c>
      <c r="AK3274">
        <v>30.879341856502801</v>
      </c>
      <c r="AL3274">
        <v>85.929872665841003</v>
      </c>
      <c r="AM3274">
        <v>88.315056162584696</v>
      </c>
      <c r="AN3274">
        <v>0.99999996367015298</v>
      </c>
    </row>
    <row r="3275" spans="1:40" x14ac:dyDescent="0.25">
      <c r="A3275" t="str">
        <f>"20190312172954878"</f>
        <v>20190312172954878</v>
      </c>
      <c r="B3275" t="str">
        <f>"1552382994870690"</f>
        <v>1552382994870690</v>
      </c>
      <c r="C3275" t="s">
        <v>40</v>
      </c>
      <c r="D3275">
        <v>3.0530789999999999</v>
      </c>
      <c r="E3275">
        <v>0.47149819999999998</v>
      </c>
      <c r="F3275" t="s">
        <v>47</v>
      </c>
      <c r="G3275">
        <v>-374.87909999999999</v>
      </c>
      <c r="H3275" s="1">
        <v>1.059608E-6</v>
      </c>
      <c r="I3275">
        <v>215.79519999999999</v>
      </c>
      <c r="J3275">
        <v>-405.67290000000003</v>
      </c>
      <c r="K3275">
        <v>1.1071409999999999</v>
      </c>
      <c r="L3275">
        <v>213.17330000000001</v>
      </c>
      <c r="M3275">
        <v>0.99945209999999995</v>
      </c>
      <c r="N3275">
        <v>0</v>
      </c>
      <c r="O3275">
        <v>3.2898280000000002E-2</v>
      </c>
      <c r="P3275">
        <v>0.99772510000000003</v>
      </c>
      <c r="Q3275">
        <v>6.7270469999999999E-2</v>
      </c>
      <c r="R3275">
        <v>4.4150329999999996E-3</v>
      </c>
      <c r="S3275">
        <v>3.0129090000000001</v>
      </c>
      <c r="T3275">
        <v>-0.1068624</v>
      </c>
      <c r="U3275">
        <v>0.25437929999999997</v>
      </c>
      <c r="V3275">
        <v>2.856916E-2</v>
      </c>
      <c r="W3275">
        <v>7.0853250000000007E-2</v>
      </c>
      <c r="X3275">
        <v>0.99707749999999995</v>
      </c>
      <c r="Y3275">
        <v>-5.1291580000000003E-2</v>
      </c>
      <c r="Z3275">
        <v>-2.5614250000000001E-4</v>
      </c>
      <c r="AA3275">
        <v>0.99868369999999995</v>
      </c>
      <c r="AB3275">
        <v>42</v>
      </c>
      <c r="AC3275">
        <v>30.793800000000001</v>
      </c>
      <c r="AD3275">
        <v>-1.1071399403919999</v>
      </c>
      <c r="AE3275">
        <v>2.6218999999999801</v>
      </c>
      <c r="AF3275">
        <v>-1.6053508082182799</v>
      </c>
      <c r="AG3275">
        <v>-1.1071399403919999</v>
      </c>
      <c r="AH3275">
        <v>30.823830395781499</v>
      </c>
      <c r="AI3275">
        <v>92.054301476532501</v>
      </c>
      <c r="AJ3275">
        <v>92.981355508037893</v>
      </c>
      <c r="AK3275">
        <v>30.885456615257699</v>
      </c>
      <c r="AL3275">
        <v>85.937003303718996</v>
      </c>
      <c r="AM3275">
        <v>88.358758916789597</v>
      </c>
      <c r="AN3275">
        <v>0.99999996047245798</v>
      </c>
    </row>
    <row r="3276" spans="1:40" x14ac:dyDescent="0.25">
      <c r="A3276" t="str">
        <f>"20190312172954904"</f>
        <v>20190312172954904</v>
      </c>
      <c r="B3276" t="str">
        <f>"1552382994891186"</f>
        <v>1552382994891186</v>
      </c>
      <c r="C3276" t="s">
        <v>40</v>
      </c>
      <c r="D3276">
        <v>3.0376080000000001</v>
      </c>
      <c r="E3276">
        <v>0.471443</v>
      </c>
      <c r="F3276" t="s">
        <v>47</v>
      </c>
      <c r="G3276">
        <v>-374.85129999999998</v>
      </c>
      <c r="H3276" s="1">
        <v>1.0448280000000001E-6</v>
      </c>
      <c r="I3276">
        <v>215.76609999999999</v>
      </c>
      <c r="J3276">
        <v>-405.20080000000002</v>
      </c>
      <c r="K3276">
        <v>1.1070679999999999</v>
      </c>
      <c r="L3276">
        <v>213.18809999999999</v>
      </c>
      <c r="M3276">
        <v>0.99948959999999998</v>
      </c>
      <c r="N3276">
        <v>0</v>
      </c>
      <c r="O3276">
        <v>3.1732200000000002E-2</v>
      </c>
      <c r="P3276">
        <v>0.99767790000000001</v>
      </c>
      <c r="Q3276">
        <v>6.7997440000000006E-2</v>
      </c>
      <c r="R3276">
        <v>3.9196630000000003E-3</v>
      </c>
      <c r="S3276">
        <v>3.0130309999999998</v>
      </c>
      <c r="T3276">
        <v>-0.1082308</v>
      </c>
      <c r="U3276">
        <v>0.25346370000000001</v>
      </c>
      <c r="V3276">
        <v>2.791416E-2</v>
      </c>
      <c r="W3276">
        <v>7.1622809999999995E-2</v>
      </c>
      <c r="X3276">
        <v>0.99704110000000001</v>
      </c>
      <c r="Y3276">
        <v>-5.2150420000000003E-2</v>
      </c>
      <c r="Z3276">
        <v>-2.0226700000000001E-4</v>
      </c>
      <c r="AA3276">
        <v>0.99863919999999995</v>
      </c>
      <c r="AB3276">
        <v>42</v>
      </c>
      <c r="AC3276">
        <v>30.349499999999999</v>
      </c>
      <c r="AD3276">
        <v>-1.1070669551719901</v>
      </c>
      <c r="AE3276">
        <v>2.5779999999999998</v>
      </c>
      <c r="AF3276">
        <v>-1.6115098631803799</v>
      </c>
      <c r="AG3276">
        <v>-1.1070669551719901</v>
      </c>
      <c r="AH3276">
        <v>30.375893804839102</v>
      </c>
      <c r="AI3276">
        <v>92.084325318902202</v>
      </c>
      <c r="AJ3276">
        <v>93.0368237263271</v>
      </c>
      <c r="AK3276">
        <v>30.438749739850099</v>
      </c>
      <c r="AL3276">
        <v>85.892798577731796</v>
      </c>
      <c r="AM3276">
        <v>88.396308962979703</v>
      </c>
      <c r="AN3276">
        <v>0.99999999116500504</v>
      </c>
    </row>
    <row r="3277" spans="1:40" x14ac:dyDescent="0.25">
      <c r="A3277" t="str">
        <f>"20190312172954924"</f>
        <v>20190312172954924</v>
      </c>
      <c r="B3277" t="str">
        <f>"1552382994920972"</f>
        <v>1552382994920972</v>
      </c>
      <c r="C3277" t="s">
        <v>40</v>
      </c>
      <c r="D3277">
        <v>3.0548660000000001</v>
      </c>
      <c r="E3277">
        <v>0.4714042</v>
      </c>
      <c r="F3277" t="s">
        <v>47</v>
      </c>
      <c r="G3277">
        <v>-373.97489999999999</v>
      </c>
      <c r="H3277" s="1">
        <v>5.7844259999999999E-7</v>
      </c>
      <c r="I3277">
        <v>215.80289999999999</v>
      </c>
      <c r="J3277">
        <v>-404.79300000000001</v>
      </c>
      <c r="K3277">
        <v>1.107016</v>
      </c>
      <c r="L3277">
        <v>213.2004</v>
      </c>
      <c r="M3277">
        <v>0.99952160000000001</v>
      </c>
      <c r="N3277">
        <v>0</v>
      </c>
      <c r="O3277">
        <v>3.0702199999999999E-2</v>
      </c>
      <c r="P3277">
        <v>0.99764520000000001</v>
      </c>
      <c r="Q3277">
        <v>6.8501919999999994E-2</v>
      </c>
      <c r="R3277">
        <v>3.4393330000000001E-3</v>
      </c>
      <c r="S3277">
        <v>3.0132140000000001</v>
      </c>
      <c r="T3277">
        <v>-0.1068288</v>
      </c>
      <c r="U3277">
        <v>0.25231930000000002</v>
      </c>
      <c r="V3277">
        <v>2.7376950000000001E-2</v>
      </c>
      <c r="W3277">
        <v>7.2164989999999998E-2</v>
      </c>
      <c r="X3277">
        <v>0.99701689999999998</v>
      </c>
      <c r="Y3277">
        <v>-5.2797110000000001E-2</v>
      </c>
      <c r="Z3277">
        <v>-1.5179660000000001E-4</v>
      </c>
      <c r="AA3277">
        <v>0.99860530000000003</v>
      </c>
      <c r="AB3277">
        <v>43</v>
      </c>
      <c r="AC3277">
        <v>30.818100000000001</v>
      </c>
      <c r="AD3277">
        <v>-1.1070154215574</v>
      </c>
      <c r="AE3277">
        <v>2.6024999999999898</v>
      </c>
      <c r="AF3277">
        <v>-1.6529652921504701</v>
      </c>
      <c r="AG3277">
        <v>-1.1070154215574</v>
      </c>
      <c r="AH3277">
        <v>30.8439578437855</v>
      </c>
      <c r="AI3277">
        <v>92.052568235758301</v>
      </c>
      <c r="AJ3277">
        <v>93.067616149214501</v>
      </c>
      <c r="AK3277">
        <v>30.908049321654602</v>
      </c>
      <c r="AL3277">
        <v>85.861653355825794</v>
      </c>
      <c r="AM3277">
        <v>88.427118299090395</v>
      </c>
      <c r="AN3277">
        <v>0.99999999102930603</v>
      </c>
    </row>
    <row r="3278" spans="1:40" x14ac:dyDescent="0.25">
      <c r="A3278" t="str">
        <f>"20190312172954947"</f>
        <v>20190312172954947</v>
      </c>
      <c r="B3278" t="str">
        <f>"1552382994940492"</f>
        <v>1552382994940492</v>
      </c>
      <c r="C3278" t="s">
        <v>40</v>
      </c>
      <c r="D3278">
        <v>3.0918860000000001</v>
      </c>
      <c r="E3278">
        <v>0.50063040000000003</v>
      </c>
      <c r="F3278" t="s">
        <v>47</v>
      </c>
      <c r="G3278">
        <v>-373.17110000000002</v>
      </c>
      <c r="H3278" s="1">
        <v>1.50706E-7</v>
      </c>
      <c r="I3278">
        <v>215.83359999999999</v>
      </c>
      <c r="J3278">
        <v>-404.37240000000003</v>
      </c>
      <c r="K3278">
        <v>1.106968</v>
      </c>
      <c r="L3278">
        <v>213.21270000000001</v>
      </c>
      <c r="M3278">
        <v>0.9995541</v>
      </c>
      <c r="N3278">
        <v>0</v>
      </c>
      <c r="O3278">
        <v>2.962383E-2</v>
      </c>
      <c r="P3278">
        <v>0.99761160000000004</v>
      </c>
      <c r="Q3278">
        <v>6.9018839999999998E-2</v>
      </c>
      <c r="R3278">
        <v>2.808868E-3</v>
      </c>
      <c r="S3278">
        <v>3.013458</v>
      </c>
      <c r="T3278">
        <v>-0.10549459999999999</v>
      </c>
      <c r="U3278">
        <v>0.25093080000000001</v>
      </c>
      <c r="V3278">
        <v>2.694102E-2</v>
      </c>
      <c r="W3278">
        <v>7.2720960000000001E-2</v>
      </c>
      <c r="X3278">
        <v>0.9969884</v>
      </c>
      <c r="Y3278">
        <v>-5.3410100000000002E-2</v>
      </c>
      <c r="Z3278">
        <v>-1.01548E-4</v>
      </c>
      <c r="AA3278">
        <v>0.99857260000000003</v>
      </c>
      <c r="AB3278">
        <v>43</v>
      </c>
      <c r="AC3278">
        <v>31.2013</v>
      </c>
      <c r="AD3278">
        <v>-1.1069678492940001</v>
      </c>
      <c r="AE3278">
        <v>2.62089999999997</v>
      </c>
      <c r="AF3278">
        <v>-1.6933247611653801</v>
      </c>
      <c r="AG3278">
        <v>-1.1069678492940001</v>
      </c>
      <c r="AH3278">
        <v>31.226218490615</v>
      </c>
      <c r="AI3278">
        <v>92.0273061464775</v>
      </c>
      <c r="AJ3278">
        <v>93.103975878707601</v>
      </c>
      <c r="AK3278">
        <v>31.291683364590298</v>
      </c>
      <c r="AL3278">
        <v>85.829714796009299</v>
      </c>
      <c r="AM3278">
        <v>88.452107178772593</v>
      </c>
      <c r="AN3278">
        <v>1.00000001315826</v>
      </c>
    </row>
    <row r="3279" spans="1:40" x14ac:dyDescent="0.25">
      <c r="A3279" t="str">
        <f>"20190312172954967"</f>
        <v>20190312172954967</v>
      </c>
      <c r="B3279" t="str">
        <f>"1552382994960988"</f>
        <v>1552382994960988</v>
      </c>
      <c r="C3279" t="s">
        <v>40</v>
      </c>
      <c r="D3279">
        <v>3.1357840000000001</v>
      </c>
      <c r="E3279">
        <v>0.51094010000000001</v>
      </c>
      <c r="F3279" t="s">
        <v>47</v>
      </c>
      <c r="G3279">
        <v>-351.64069999999998</v>
      </c>
      <c r="H3279" s="1">
        <v>-6.1295859999999995E-7</v>
      </c>
      <c r="I3279">
        <v>213.4564</v>
      </c>
      <c r="J3279">
        <v>-403.9676</v>
      </c>
      <c r="K3279">
        <v>1.1069260000000001</v>
      </c>
      <c r="L3279">
        <v>213.22409999999999</v>
      </c>
      <c r="M3279">
        <v>0.99958460000000005</v>
      </c>
      <c r="N3279">
        <v>0</v>
      </c>
      <c r="O3279">
        <v>2.8570959999999999E-2</v>
      </c>
      <c r="P3279">
        <v>0.99758729999999995</v>
      </c>
      <c r="Q3279">
        <v>6.9405850000000005E-2</v>
      </c>
      <c r="R3279">
        <v>1.5801039999999999E-3</v>
      </c>
      <c r="S3279">
        <v>3.0115050000000001</v>
      </c>
      <c r="T3279">
        <v>-6.3218949999999996E-2</v>
      </c>
      <c r="U3279">
        <v>1.3916019999999999E-2</v>
      </c>
      <c r="V3279">
        <v>2.7127789999999999E-2</v>
      </c>
      <c r="W3279">
        <v>7.3144200000000006E-2</v>
      </c>
      <c r="X3279">
        <v>0.99695239999999996</v>
      </c>
      <c r="Y3279">
        <v>2.394027E-2</v>
      </c>
      <c r="Z3279">
        <v>-8.5089300000000003E-4</v>
      </c>
      <c r="AA3279">
        <v>0.99971299999999996</v>
      </c>
      <c r="AB3279">
        <v>43</v>
      </c>
      <c r="AC3279">
        <v>52.326900000000002</v>
      </c>
      <c r="AD3279">
        <v>-1.1069266129586</v>
      </c>
      <c r="AE3279">
        <v>0.232300000000009</v>
      </c>
      <c r="AF3279">
        <v>1.2622704631480699</v>
      </c>
      <c r="AG3279">
        <v>-1.1069266129586</v>
      </c>
      <c r="AH3279">
        <v>52.288776721571402</v>
      </c>
      <c r="AI3279">
        <v>91.212388048971405</v>
      </c>
      <c r="AJ3279">
        <v>88.617127217211603</v>
      </c>
      <c r="AK3279">
        <v>52.3157221520162</v>
      </c>
      <c r="AL3279">
        <v>85.805400287888602</v>
      </c>
      <c r="AM3279">
        <v>88.441325353470106</v>
      </c>
      <c r="AN3279">
        <v>1.0000000394248401</v>
      </c>
    </row>
    <row r="3280" spans="1:40" x14ac:dyDescent="0.25">
      <c r="A3280" t="str">
        <f>"20190312172954993"</f>
        <v>20190312172954993</v>
      </c>
      <c r="B3280" t="str">
        <f>"1552382994980508"</f>
        <v>1552382994980508</v>
      </c>
      <c r="C3280" t="s">
        <v>40</v>
      </c>
      <c r="D3280">
        <v>3.0690729999999999</v>
      </c>
      <c r="E3280">
        <v>0.51528509999999905</v>
      </c>
      <c r="F3280" t="s">
        <v>47</v>
      </c>
      <c r="G3280">
        <v>-356.32499999999999</v>
      </c>
      <c r="H3280" s="1">
        <v>1.939644E-6</v>
      </c>
      <c r="I3280">
        <v>212.08690000000001</v>
      </c>
      <c r="J3280">
        <v>-403.48180000000002</v>
      </c>
      <c r="K3280">
        <v>1.1068819999999999</v>
      </c>
      <c r="L3280">
        <v>213.2371</v>
      </c>
      <c r="M3280">
        <v>0.99962019999999996</v>
      </c>
      <c r="N3280">
        <v>0</v>
      </c>
      <c r="O3280">
        <v>2.728788E-2</v>
      </c>
      <c r="P3280">
        <v>0.99752200000000002</v>
      </c>
      <c r="Q3280">
        <v>7.0356849999999999E-2</v>
      </c>
      <c r="R3280">
        <v>-1.216938E-4</v>
      </c>
      <c r="S3280">
        <v>3.0122680000000002</v>
      </c>
      <c r="T3280">
        <v>-6.9986820000000005E-2</v>
      </c>
      <c r="U3280">
        <v>-7.1899409999999997E-2</v>
      </c>
      <c r="V3280">
        <v>2.755873E-2</v>
      </c>
      <c r="W3280">
        <v>7.4139040000000003E-2</v>
      </c>
      <c r="X3280">
        <v>0.99686710000000001</v>
      </c>
      <c r="Y3280">
        <v>5.1112339999999999E-2</v>
      </c>
      <c r="Z3280">
        <v>-1.2274320000000001E-3</v>
      </c>
      <c r="AA3280">
        <v>0.99869220000000003</v>
      </c>
      <c r="AB3280">
        <v>43</v>
      </c>
      <c r="AC3280">
        <v>47.156799999999997</v>
      </c>
      <c r="AD3280">
        <v>-1.1068800603559901</v>
      </c>
      <c r="AE3280">
        <v>-1.1501999999999799</v>
      </c>
      <c r="AF3280">
        <v>2.4352494139662202</v>
      </c>
      <c r="AG3280">
        <v>-1.1068800603559901</v>
      </c>
      <c r="AH3280">
        <v>47.081928188985103</v>
      </c>
      <c r="AI3280">
        <v>91.344958890478594</v>
      </c>
      <c r="AJ3280">
        <v>87.039091457566499</v>
      </c>
      <c r="AK3280">
        <v>47.157858148658399</v>
      </c>
      <c r="AL3280">
        <v>85.748245000930396</v>
      </c>
      <c r="AM3280">
        <v>88.416442026906296</v>
      </c>
      <c r="AN3280">
        <v>1.00000004795687</v>
      </c>
    </row>
    <row r="3281" spans="1:40" x14ac:dyDescent="0.25">
      <c r="A3281" t="str">
        <f>"20190312172955013"</f>
        <v>20190312172955013</v>
      </c>
      <c r="B3281" t="str">
        <f>"1552382995001007"</f>
        <v>1552382995001007</v>
      </c>
      <c r="C3281" t="s">
        <v>40</v>
      </c>
      <c r="D3281">
        <v>3.121909</v>
      </c>
      <c r="E3281">
        <v>0.51762629999999998</v>
      </c>
      <c r="F3281" t="s">
        <v>47</v>
      </c>
      <c r="G3281">
        <v>-350.46460000000002</v>
      </c>
      <c r="H3281" s="1">
        <v>-1.1432159999999999E-6</v>
      </c>
      <c r="I3281">
        <v>211.26859999999999</v>
      </c>
      <c r="J3281">
        <v>-403.07960000000003</v>
      </c>
      <c r="K3281">
        <v>1.1068549999999999</v>
      </c>
      <c r="L3281">
        <v>213.2475</v>
      </c>
      <c r="M3281">
        <v>0.99964869999999995</v>
      </c>
      <c r="N3281">
        <v>0</v>
      </c>
      <c r="O3281">
        <v>2.6213899999999998E-2</v>
      </c>
      <c r="P3281">
        <v>0.99745969999999995</v>
      </c>
      <c r="Q3281">
        <v>7.1202109999999999E-2</v>
      </c>
      <c r="R3281">
        <v>-2.185046E-3</v>
      </c>
      <c r="S3281">
        <v>3.0118100000000001</v>
      </c>
      <c r="T3281">
        <v>-6.2880039999999998E-2</v>
      </c>
      <c r="U3281">
        <v>-0.11183170000000001</v>
      </c>
      <c r="V3281">
        <v>2.8557590000000001E-2</v>
      </c>
      <c r="W3281">
        <v>7.5018260000000003E-2</v>
      </c>
      <c r="X3281">
        <v>0.99677320000000003</v>
      </c>
      <c r="Y3281">
        <v>6.3269309999999995E-2</v>
      </c>
      <c r="Z3281">
        <v>-1.2072280000000001E-3</v>
      </c>
      <c r="AA3281">
        <v>0.99799570000000004</v>
      </c>
      <c r="AB3281">
        <v>43</v>
      </c>
      <c r="AC3281">
        <v>52.615000000000002</v>
      </c>
      <c r="AD3281">
        <v>-1.106856143216</v>
      </c>
      <c r="AE3281">
        <v>-1.9789000000000101</v>
      </c>
      <c r="AF3281">
        <v>3.3559917600554998</v>
      </c>
      <c r="AG3281">
        <v>-1.106856143216</v>
      </c>
      <c r="AH3281">
        <v>52.521833096022903</v>
      </c>
      <c r="AI3281">
        <v>91.204828259890604</v>
      </c>
      <c r="AJ3281">
        <v>86.343937301496794</v>
      </c>
      <c r="AK3281">
        <v>52.640580952168698</v>
      </c>
      <c r="AL3281">
        <v>85.697728707322895</v>
      </c>
      <c r="AM3281">
        <v>88.358922657026795</v>
      </c>
      <c r="AN3281">
        <v>1.0000000437591301</v>
      </c>
    </row>
    <row r="3282" spans="1:40" x14ac:dyDescent="0.25">
      <c r="A3282" t="str">
        <f>"20190312172955035"</f>
        <v>20190312172955035</v>
      </c>
      <c r="B3282" t="str">
        <f>"1552382995031260"</f>
        <v>1552382995031260</v>
      </c>
      <c r="C3282" t="s">
        <v>40</v>
      </c>
      <c r="D3282">
        <v>3.1253039999999999</v>
      </c>
      <c r="E3282">
        <v>0.51944420000000002</v>
      </c>
      <c r="F3282" t="s">
        <v>47</v>
      </c>
      <c r="G3282">
        <v>-344.83679999999998</v>
      </c>
      <c r="H3282" s="1">
        <v>1.03713E-6</v>
      </c>
      <c r="I3282">
        <v>210.6003</v>
      </c>
      <c r="J3282">
        <v>-402.65</v>
      </c>
      <c r="K3282">
        <v>1.1068209999999901</v>
      </c>
      <c r="L3282">
        <v>213.25800000000001</v>
      </c>
      <c r="M3282">
        <v>0.99967830000000002</v>
      </c>
      <c r="N3282">
        <v>0</v>
      </c>
      <c r="O3282">
        <v>2.505653E-2</v>
      </c>
      <c r="P3282">
        <v>0.99738740000000004</v>
      </c>
      <c r="Q3282">
        <v>7.2106139999999999E-2</v>
      </c>
      <c r="R3282">
        <v>-4.3956730000000001E-3</v>
      </c>
      <c r="S3282">
        <v>3.0114139999999998</v>
      </c>
      <c r="T3282">
        <v>-5.722928E-2</v>
      </c>
      <c r="U3282">
        <v>-0.1368713</v>
      </c>
      <c r="V3282">
        <v>2.962068E-2</v>
      </c>
      <c r="W3282">
        <v>7.5959239999999997E-2</v>
      </c>
      <c r="X3282">
        <v>0.99667079999999997</v>
      </c>
      <c r="Y3282">
        <v>7.0403430000000003E-2</v>
      </c>
      <c r="Z3282">
        <v>-1.1444960000000001E-3</v>
      </c>
      <c r="AA3282">
        <v>0.99751789999999996</v>
      </c>
      <c r="AB3282">
        <v>43</v>
      </c>
      <c r="AC3282">
        <v>57.813200000000002</v>
      </c>
      <c r="AD3282">
        <v>-1.10681996286999</v>
      </c>
      <c r="AE3282">
        <v>-2.65769999999997</v>
      </c>
      <c r="AF3282">
        <v>4.1039739232350598</v>
      </c>
      <c r="AG3282">
        <v>-1.10681996286999</v>
      </c>
      <c r="AH3282">
        <v>57.707348788820902</v>
      </c>
      <c r="AI3282">
        <v>91.096023923007806</v>
      </c>
      <c r="AJ3282">
        <v>85.932144328123499</v>
      </c>
      <c r="AK3282">
        <v>57.8636825360038</v>
      </c>
      <c r="AL3282">
        <v>85.643659783899807</v>
      </c>
      <c r="AM3282">
        <v>88.297692131363206</v>
      </c>
      <c r="AN3282">
        <v>0.99999993719883795</v>
      </c>
    </row>
    <row r="3283" spans="1:40" x14ac:dyDescent="0.25">
      <c r="A3283" t="str">
        <f>"20190312172955057"</f>
        <v>20190312172955057</v>
      </c>
      <c r="B3283" t="str">
        <f>"1552382995050780"</f>
        <v>1552382995050780</v>
      </c>
      <c r="C3283" t="s">
        <v>40</v>
      </c>
      <c r="D3283">
        <v>3.1128130000000001</v>
      </c>
      <c r="E3283">
        <v>0.5201595</v>
      </c>
      <c r="F3283" t="s">
        <v>47</v>
      </c>
      <c r="G3283">
        <v>-342.32060000000001</v>
      </c>
      <c r="H3283" s="1">
        <v>-3.0186249999999999E-7</v>
      </c>
      <c r="I3283">
        <v>210.09180000000001</v>
      </c>
      <c r="J3283">
        <v>-402.22179999999997</v>
      </c>
      <c r="K3283">
        <v>1.1067929999999999</v>
      </c>
      <c r="L3283">
        <v>213.2681</v>
      </c>
      <c r="M3283">
        <v>0.99970650000000005</v>
      </c>
      <c r="N3283">
        <v>0</v>
      </c>
      <c r="O3283">
        <v>2.389604E-2</v>
      </c>
      <c r="P3283">
        <v>0.99732710000000002</v>
      </c>
      <c r="Q3283">
        <v>7.2795869999999999E-2</v>
      </c>
      <c r="R3283">
        <v>-6.2958750000000003E-3</v>
      </c>
      <c r="S3283">
        <v>3.0112000000000001</v>
      </c>
      <c r="T3283">
        <v>-5.5244450000000001E-2</v>
      </c>
      <c r="U3283">
        <v>-0.15803529999999999</v>
      </c>
      <c r="V3283">
        <v>3.036929E-2</v>
      </c>
      <c r="W3283">
        <v>7.6686669999999998E-2</v>
      </c>
      <c r="X3283">
        <v>0.99659260000000005</v>
      </c>
      <c r="Y3283">
        <v>7.6241980000000001E-2</v>
      </c>
      <c r="Z3283">
        <v>-1.1369469999999999E-3</v>
      </c>
      <c r="AA3283">
        <v>0.99708869999999905</v>
      </c>
      <c r="AB3283">
        <v>44</v>
      </c>
      <c r="AC3283">
        <v>59.901199999999903</v>
      </c>
      <c r="AD3283">
        <v>-1.1067933018625</v>
      </c>
      <c r="AE3283">
        <v>-3.1762999999999901</v>
      </c>
      <c r="AF3283">
        <v>4.6052380211143698</v>
      </c>
      <c r="AG3283">
        <v>-1.1067933018625</v>
      </c>
      <c r="AH3283">
        <v>59.787839011116198</v>
      </c>
      <c r="AI3283">
        <v>91.057407649936295</v>
      </c>
      <c r="AJ3283">
        <v>85.595413331902293</v>
      </c>
      <c r="AK3283">
        <v>59.9751523738232</v>
      </c>
      <c r="AL3283">
        <v>85.601859350821101</v>
      </c>
      <c r="AM3283">
        <v>88.254558744262795</v>
      </c>
      <c r="AN3283">
        <v>0.99999997475277602</v>
      </c>
    </row>
    <row r="3284" spans="1:40" x14ac:dyDescent="0.25">
      <c r="A3284" t="str">
        <f>"20190312172955080"</f>
        <v>20190312172955080</v>
      </c>
      <c r="B3284" t="str">
        <f>"1552382995071276"</f>
        <v>1552382995071276</v>
      </c>
      <c r="C3284" t="s">
        <v>40</v>
      </c>
      <c r="D3284">
        <v>3.1266929999999999</v>
      </c>
      <c r="E3284">
        <v>0.52078590000000002</v>
      </c>
      <c r="F3284" t="s">
        <v>47</v>
      </c>
      <c r="G3284">
        <v>-340.64170000000001</v>
      </c>
      <c r="H3284" s="1">
        <v>-1.1953260000000001E-6</v>
      </c>
      <c r="I3284">
        <v>209.79839999999999</v>
      </c>
      <c r="J3284">
        <v>-401.78359999999998</v>
      </c>
      <c r="K3284">
        <v>1.1067739999999999</v>
      </c>
      <c r="L3284">
        <v>213.27780000000001</v>
      </c>
      <c r="M3284">
        <v>0.99973409999999996</v>
      </c>
      <c r="N3284">
        <v>0</v>
      </c>
      <c r="O3284">
        <v>2.2703560000000001E-2</v>
      </c>
      <c r="P3284">
        <v>0.99727390000000005</v>
      </c>
      <c r="Q3284">
        <v>7.3312899999999903E-2</v>
      </c>
      <c r="R3284">
        <v>-8.3887270000000003E-3</v>
      </c>
      <c r="S3284">
        <v>3.0108950000000001</v>
      </c>
      <c r="T3284">
        <v>-5.4115530000000002E-2</v>
      </c>
      <c r="U3284">
        <v>-0.1696472</v>
      </c>
      <c r="V3284">
        <v>3.1277880000000001E-2</v>
      </c>
      <c r="W3284">
        <v>7.7241489999999996E-2</v>
      </c>
      <c r="X3284">
        <v>0.99652169999999896</v>
      </c>
      <c r="Y3284">
        <v>7.8892160000000003E-2</v>
      </c>
      <c r="Z3284">
        <v>-1.116098E-3</v>
      </c>
      <c r="AA3284">
        <v>0.99688259999999995</v>
      </c>
      <c r="AB3284">
        <v>44</v>
      </c>
      <c r="AC3284">
        <v>61.1418999999999</v>
      </c>
      <c r="AD3284">
        <v>-1.1067751953260001</v>
      </c>
      <c r="AE3284">
        <v>-3.47940000000002</v>
      </c>
      <c r="AF3284">
        <v>4.8650642262176902</v>
      </c>
      <c r="AG3284">
        <v>-1.1067751953260001</v>
      </c>
      <c r="AH3284">
        <v>61.027212021529202</v>
      </c>
      <c r="AI3284">
        <v>91.035703783625905</v>
      </c>
      <c r="AJ3284">
        <v>85.4420433231912</v>
      </c>
      <c r="AK3284">
        <v>61.230828904881598</v>
      </c>
      <c r="AL3284">
        <v>85.569976162488004</v>
      </c>
      <c r="AM3284">
        <v>88.202244494246798</v>
      </c>
      <c r="AN3284">
        <v>1.0000000260627999</v>
      </c>
    </row>
    <row r="3285" spans="1:40" x14ac:dyDescent="0.25">
      <c r="A3285" t="str">
        <f>"20190312172955104"</f>
        <v>20190312172955104</v>
      </c>
      <c r="B3285" t="str">
        <f>"1552382995090796"</f>
        <v>1552382995090796</v>
      </c>
      <c r="C3285" t="s">
        <v>40</v>
      </c>
      <c r="D3285">
        <v>3.1173769999999998</v>
      </c>
      <c r="E3285">
        <v>0.52131369999999999</v>
      </c>
      <c r="F3285" t="s">
        <v>47</v>
      </c>
      <c r="G3285">
        <v>-340.93849999999998</v>
      </c>
      <c r="H3285">
        <v>3.6498120000000002E-2</v>
      </c>
      <c r="I3285">
        <v>209.6163</v>
      </c>
      <c r="J3285">
        <v>-401.30869999999999</v>
      </c>
      <c r="K3285">
        <v>1.106754</v>
      </c>
      <c r="L3285">
        <v>213.28790000000001</v>
      </c>
      <c r="M3285">
        <v>0.99976259999999995</v>
      </c>
      <c r="N3285">
        <v>0</v>
      </c>
      <c r="O3285">
        <v>2.1407610000000001E-2</v>
      </c>
      <c r="P3285">
        <v>0.99716099999999996</v>
      </c>
      <c r="Q3285">
        <v>7.4510969999999996E-2</v>
      </c>
      <c r="R3285">
        <v>-1.0877360000000001E-2</v>
      </c>
      <c r="S3285">
        <v>3.010529</v>
      </c>
      <c r="T3285">
        <v>-5.2955750000000003E-2</v>
      </c>
      <c r="U3285">
        <v>-0.18116760000000001</v>
      </c>
      <c r="V3285">
        <v>3.248028E-2</v>
      </c>
      <c r="W3285">
        <v>7.8480350000000004E-2</v>
      </c>
      <c r="X3285">
        <v>0.99638640000000001</v>
      </c>
      <c r="Y3285">
        <v>8.1408839999999996E-2</v>
      </c>
      <c r="Z3285">
        <v>-1.0915320000000001E-3</v>
      </c>
      <c r="AA3285">
        <v>0.99668020000000002</v>
      </c>
      <c r="AB3285">
        <v>44</v>
      </c>
      <c r="AC3285">
        <v>60.370199999999997</v>
      </c>
      <c r="AD3285">
        <v>-1.0702558799999999</v>
      </c>
      <c r="AE3285">
        <v>-3.67160000000001</v>
      </c>
      <c r="AF3285">
        <v>4.9615972692030796</v>
      </c>
      <c r="AG3285">
        <v>-1.0702558799999999</v>
      </c>
      <c r="AH3285">
        <v>60.258895006618097</v>
      </c>
      <c r="AI3285">
        <v>91.014090108491004</v>
      </c>
      <c r="AJ3285">
        <v>85.292997704816003</v>
      </c>
      <c r="AK3285">
        <v>60.4722855738814</v>
      </c>
      <c r="AL3285">
        <v>85.498778435291698</v>
      </c>
      <c r="AM3285">
        <v>88.132928952315396</v>
      </c>
      <c r="AN3285">
        <v>0.99999999601498002</v>
      </c>
    </row>
    <row r="3286" spans="1:40" x14ac:dyDescent="0.25">
      <c r="A3286" t="str">
        <f>"20190312172955125"</f>
        <v>20190312172955125</v>
      </c>
      <c r="B3286" t="str">
        <f>"1552382995121052"</f>
        <v>1552382995121052</v>
      </c>
      <c r="C3286" t="s">
        <v>40</v>
      </c>
      <c r="D3286">
        <v>3.1170339999999999</v>
      </c>
      <c r="E3286">
        <v>0.52192810000000001</v>
      </c>
      <c r="F3286" t="s">
        <v>47</v>
      </c>
      <c r="G3286">
        <v>-341.0428</v>
      </c>
      <c r="H3286">
        <v>8.0001149999999993E-2</v>
      </c>
      <c r="I3286">
        <v>209.43119999999999</v>
      </c>
      <c r="J3286">
        <v>-400.87920000000003</v>
      </c>
      <c r="K3286">
        <v>1.1067309999999999</v>
      </c>
      <c r="L3286">
        <v>213.29640000000001</v>
      </c>
      <c r="M3286">
        <v>0.99978670000000003</v>
      </c>
      <c r="N3286">
        <v>0</v>
      </c>
      <c r="O3286">
        <v>2.0232710000000001E-2</v>
      </c>
      <c r="P3286">
        <v>0.99712860000000003</v>
      </c>
      <c r="Q3286">
        <v>7.4695739999999997E-2</v>
      </c>
      <c r="R3286">
        <v>-1.246248E-2</v>
      </c>
      <c r="S3286">
        <v>3.010284</v>
      </c>
      <c r="T3286">
        <v>-5.128634E-2</v>
      </c>
      <c r="U3286">
        <v>-0.19264220000000001</v>
      </c>
      <c r="V3286">
        <v>3.2897570000000001E-2</v>
      </c>
      <c r="W3286">
        <v>7.8703780000000001E-2</v>
      </c>
      <c r="X3286">
        <v>0.99635510000000005</v>
      </c>
      <c r="Y3286">
        <v>8.4027499999999894E-2</v>
      </c>
      <c r="Z3286">
        <v>-1.0593759999999999E-3</v>
      </c>
      <c r="AA3286">
        <v>0.99646290000000004</v>
      </c>
      <c r="AB3286">
        <v>44</v>
      </c>
      <c r="AC3286">
        <v>59.836399999999998</v>
      </c>
      <c r="AD3286">
        <v>-1.0267298499999999</v>
      </c>
      <c r="AE3286">
        <v>-3.86520000000001</v>
      </c>
      <c r="AF3286">
        <v>5.0735841008154798</v>
      </c>
      <c r="AG3286">
        <v>-1.0267298499999999</v>
      </c>
      <c r="AH3286">
        <v>59.728434257988603</v>
      </c>
      <c r="AI3286">
        <v>90.981282426516898</v>
      </c>
      <c r="AJ3286">
        <v>85.144711233192794</v>
      </c>
      <c r="AK3286">
        <v>59.952325131922898</v>
      </c>
      <c r="AL3286">
        <v>85.485937183358601</v>
      </c>
      <c r="AM3286">
        <v>88.1088997226163</v>
      </c>
      <c r="AN3286">
        <v>1.0000000101971001</v>
      </c>
    </row>
    <row r="3287" spans="1:40" x14ac:dyDescent="0.25">
      <c r="A3287" t="str">
        <f>"20190312172955147"</f>
        <v>20190312172955147</v>
      </c>
      <c r="B3287" t="str">
        <f>"1552382995140572"</f>
        <v>1552382995140572</v>
      </c>
      <c r="C3287" t="s">
        <v>40</v>
      </c>
      <c r="D3287">
        <v>3.0743529999999999</v>
      </c>
      <c r="E3287">
        <v>0.52230259999999995</v>
      </c>
      <c r="F3287" t="s">
        <v>47</v>
      </c>
      <c r="G3287">
        <v>-342.78960000000001</v>
      </c>
      <c r="H3287">
        <v>8.0000639999999998E-2</v>
      </c>
      <c r="I3287">
        <v>209.3938</v>
      </c>
      <c r="J3287">
        <v>-400.44650000000001</v>
      </c>
      <c r="K3287">
        <v>1.106716</v>
      </c>
      <c r="L3287">
        <v>213.30439999999999</v>
      </c>
      <c r="M3287">
        <v>0.99980990000000003</v>
      </c>
      <c r="N3287">
        <v>0</v>
      </c>
      <c r="O3287">
        <v>1.9048929999999999E-2</v>
      </c>
      <c r="P3287">
        <v>0.99712259999999997</v>
      </c>
      <c r="Q3287">
        <v>7.4624049999999997E-2</v>
      </c>
      <c r="R3287">
        <v>-1.3331620000000001E-2</v>
      </c>
      <c r="S3287">
        <v>3.010132</v>
      </c>
      <c r="T3287">
        <v>-5.3203939999999998E-2</v>
      </c>
      <c r="U3287">
        <v>-0.20222470000000001</v>
      </c>
      <c r="V3287">
        <v>3.2589659999999999E-2</v>
      </c>
      <c r="W3287">
        <v>7.8674770000000005E-2</v>
      </c>
      <c r="X3287">
        <v>0.99636749999999996</v>
      </c>
      <c r="Y3287">
        <v>8.6008029999999999E-2</v>
      </c>
      <c r="Z3287">
        <v>-1.095504E-3</v>
      </c>
      <c r="AA3287">
        <v>0.99629380000000001</v>
      </c>
      <c r="AB3287">
        <v>44</v>
      </c>
      <c r="AC3287">
        <v>57.6569</v>
      </c>
      <c r="AD3287">
        <v>-1.0267153600000001</v>
      </c>
      <c r="AE3287">
        <v>-3.9105999999999801</v>
      </c>
      <c r="AF3287">
        <v>5.00662183896483</v>
      </c>
      <c r="AG3287">
        <v>-1.0267153600000001</v>
      </c>
      <c r="AH3287">
        <v>57.553777953052197</v>
      </c>
      <c r="AI3287">
        <v>91.018160165219399</v>
      </c>
      <c r="AJ3287">
        <v>85.028337038309999</v>
      </c>
      <c r="AK3287">
        <v>57.780254095478803</v>
      </c>
      <c r="AL3287">
        <v>85.487604458809898</v>
      </c>
      <c r="AM3287">
        <v>88.1266104002774</v>
      </c>
      <c r="AN3287">
        <v>1.0000000002148499</v>
      </c>
    </row>
    <row r="3288" spans="1:40" x14ac:dyDescent="0.25">
      <c r="A3288" t="str">
        <f>"20190312172955168"</f>
        <v>20190312172955168</v>
      </c>
      <c r="B3288" t="str">
        <f>"1552382995161068"</f>
        <v>1552382995161068</v>
      </c>
      <c r="C3288" t="s">
        <v>40</v>
      </c>
      <c r="D3288">
        <v>3.126627</v>
      </c>
      <c r="E3288">
        <v>0.52249190000000001</v>
      </c>
      <c r="F3288" t="s">
        <v>47</v>
      </c>
      <c r="G3288">
        <v>-342.70119999999997</v>
      </c>
      <c r="H3288">
        <v>8.0000669999999996E-2</v>
      </c>
      <c r="I3288">
        <v>209.31139999999999</v>
      </c>
      <c r="J3288">
        <v>-400.01139999999998</v>
      </c>
      <c r="K3288">
        <v>1.1067009999999999</v>
      </c>
      <c r="L3288">
        <v>213.31200000000001</v>
      </c>
      <c r="M3288">
        <v>0.99983160000000004</v>
      </c>
      <c r="N3288">
        <v>0</v>
      </c>
      <c r="O3288">
        <v>1.7858199999999901E-2</v>
      </c>
      <c r="P3288">
        <v>0.99710140000000003</v>
      </c>
      <c r="Q3288">
        <v>7.4688560000000001E-2</v>
      </c>
      <c r="R3288">
        <v>-1.450681E-2</v>
      </c>
      <c r="S3288">
        <v>3.0098880000000001</v>
      </c>
      <c r="T3288">
        <v>-5.3516029999999999E-2</v>
      </c>
      <c r="U3288">
        <v>-0.20812990000000001</v>
      </c>
      <c r="V3288">
        <v>3.2580699999999997E-2</v>
      </c>
      <c r="W3288">
        <v>7.8780779999999995E-2</v>
      </c>
      <c r="X3288">
        <v>0.99635940000000001</v>
      </c>
      <c r="Y3288">
        <v>8.6772349999999998E-2</v>
      </c>
      <c r="Z3288">
        <v>-1.0875839999999999E-3</v>
      </c>
      <c r="AA3288">
        <v>0.99622759999999999</v>
      </c>
      <c r="AB3288">
        <v>44</v>
      </c>
      <c r="AC3288">
        <v>57.310200000000002</v>
      </c>
      <c r="AD3288">
        <v>-1.0267003299999999</v>
      </c>
      <c r="AE3288">
        <v>-4.0006000000000199</v>
      </c>
      <c r="AF3288">
        <v>5.02182427517584</v>
      </c>
      <c r="AG3288">
        <v>-1.0267003299999999</v>
      </c>
      <c r="AH3288">
        <v>57.211344048041802</v>
      </c>
      <c r="AI3288">
        <v>91.024168162801999</v>
      </c>
      <c r="AJ3288">
        <v>84.9836212125348</v>
      </c>
      <c r="AK3288">
        <v>57.44049721583</v>
      </c>
      <c r="AL3288">
        <v>85.481511546928502</v>
      </c>
      <c r="AM3288">
        <v>88.127109876715494</v>
      </c>
      <c r="AN3288">
        <v>0.99999998363912901</v>
      </c>
    </row>
    <row r="3289" spans="1:40" x14ac:dyDescent="0.25">
      <c r="A3289" t="str">
        <f>"20190312172955191"</f>
        <v>20190312172955191</v>
      </c>
      <c r="B3289" t="str">
        <f>"1552382995180591"</f>
        <v>1552382995180591</v>
      </c>
      <c r="C3289" t="s">
        <v>40</v>
      </c>
      <c r="D3289">
        <v>3.1187390000000001</v>
      </c>
      <c r="E3289">
        <v>0.52266259999999998</v>
      </c>
      <c r="F3289" t="s">
        <v>47</v>
      </c>
      <c r="G3289">
        <v>-344.09010000000001</v>
      </c>
      <c r="H3289">
        <v>8.0000269999999998E-2</v>
      </c>
      <c r="I3289">
        <v>209.35480000000001</v>
      </c>
      <c r="J3289">
        <v>-399.56229999999999</v>
      </c>
      <c r="K3289">
        <v>1.1066849999999999</v>
      </c>
      <c r="L3289">
        <v>213.3193</v>
      </c>
      <c r="M3289">
        <v>0.99985270000000004</v>
      </c>
      <c r="N3289">
        <v>0</v>
      </c>
      <c r="O3289">
        <v>1.6629680000000001E-2</v>
      </c>
      <c r="P3289">
        <v>0.99708609999999998</v>
      </c>
      <c r="Q3289">
        <v>7.4669079999999999E-2</v>
      </c>
      <c r="R3289">
        <v>-1.561654E-2</v>
      </c>
      <c r="S3289">
        <v>3.0097659999999999</v>
      </c>
      <c r="T3289">
        <v>-5.5258509999999997E-2</v>
      </c>
      <c r="U3289">
        <v>-0.21298220000000001</v>
      </c>
      <c r="V3289">
        <v>3.246835E-2</v>
      </c>
      <c r="W3289">
        <v>7.8805500000000001E-2</v>
      </c>
      <c r="X3289">
        <v>0.9963611</v>
      </c>
      <c r="Y3289">
        <v>8.7148379999999998E-2</v>
      </c>
      <c r="Z3289">
        <v>-1.1038910000000001E-3</v>
      </c>
      <c r="AA3289">
        <v>0.99619469999999999</v>
      </c>
      <c r="AB3289">
        <v>44</v>
      </c>
      <c r="AC3289">
        <v>55.472200000000001</v>
      </c>
      <c r="AD3289">
        <v>-1.0266847299999999</v>
      </c>
      <c r="AE3289">
        <v>-3.9644999999999802</v>
      </c>
      <c r="AF3289">
        <v>4.8847802443686898</v>
      </c>
      <c r="AG3289">
        <v>-1.0266847299999999</v>
      </c>
      <c r="AH3289">
        <v>55.3797261569242</v>
      </c>
      <c r="AI3289">
        <v>91.057978070807096</v>
      </c>
      <c r="AJ3289">
        <v>84.9592594467547</v>
      </c>
      <c r="AK3289">
        <v>55.6042195232205</v>
      </c>
      <c r="AL3289">
        <v>85.480090721197698</v>
      </c>
      <c r="AM3289">
        <v>88.1335668835181</v>
      </c>
      <c r="AN3289">
        <v>0.99999997108758998</v>
      </c>
    </row>
    <row r="3290" spans="1:40" x14ac:dyDescent="0.25">
      <c r="A3290" t="str">
        <f>"20190312172955212"</f>
        <v>20190312172955212</v>
      </c>
      <c r="B3290" t="str">
        <f>"1552382995201087"</f>
        <v>1552382995201087</v>
      </c>
      <c r="C3290" t="s">
        <v>40</v>
      </c>
      <c r="D3290">
        <v>3.0747119999999999</v>
      </c>
      <c r="E3290">
        <v>0.52288659999999998</v>
      </c>
      <c r="F3290" t="s">
        <v>47</v>
      </c>
      <c r="G3290">
        <v>-345.53829999999999</v>
      </c>
      <c r="H3290">
        <v>8.0001299999999997E-2</v>
      </c>
      <c r="I3290">
        <v>209.40690000000001</v>
      </c>
      <c r="J3290">
        <v>-399.13170000000002</v>
      </c>
      <c r="K3290">
        <v>1.106673</v>
      </c>
      <c r="L3290">
        <v>213.32579999999999</v>
      </c>
      <c r="M3290">
        <v>0.99987130000000002</v>
      </c>
      <c r="N3290">
        <v>0</v>
      </c>
      <c r="O3290">
        <v>1.545243E-2</v>
      </c>
      <c r="P3290">
        <v>0.99708719999999995</v>
      </c>
      <c r="Q3290">
        <v>7.4340059999999999E-2</v>
      </c>
      <c r="R3290">
        <v>-1.7051899999999998E-2</v>
      </c>
      <c r="S3290">
        <v>3.0096129999999999</v>
      </c>
      <c r="T3290">
        <v>-5.7195309999999999E-2</v>
      </c>
      <c r="U3290">
        <v>-0.2179565</v>
      </c>
      <c r="V3290">
        <v>3.2731509999999998E-2</v>
      </c>
      <c r="W3290">
        <v>7.8516950000000002E-2</v>
      </c>
      <c r="X3290">
        <v>0.99637529999999996</v>
      </c>
      <c r="Y3290">
        <v>8.7616050000000001E-2</v>
      </c>
      <c r="Z3290">
        <v>-1.1246590000000001E-3</v>
      </c>
      <c r="AA3290">
        <v>0.99615370000000003</v>
      </c>
      <c r="AB3290">
        <v>45</v>
      </c>
      <c r="AC3290">
        <v>53.593400000000003</v>
      </c>
      <c r="AD3290">
        <v>-1.0266716999999901</v>
      </c>
      <c r="AE3290">
        <v>-3.9188999999999701</v>
      </c>
      <c r="AF3290">
        <v>4.7448560578561096</v>
      </c>
      <c r="AG3290">
        <v>-1.0266716999999901</v>
      </c>
      <c r="AH3290">
        <v>53.506912505898299</v>
      </c>
      <c r="AI3290">
        <v>91.094940598800505</v>
      </c>
      <c r="AJ3290">
        <v>84.932412482133799</v>
      </c>
      <c r="AK3290">
        <v>53.7266916876818</v>
      </c>
      <c r="AL3290">
        <v>85.496674940434005</v>
      </c>
      <c r="AM3290">
        <v>88.1184768377057</v>
      </c>
      <c r="AN3290">
        <v>1.0000000008171299</v>
      </c>
    </row>
    <row r="3291" spans="1:40" x14ac:dyDescent="0.25">
      <c r="A3291" t="str">
        <f>"20190312172955236"</f>
        <v>20190312172955236</v>
      </c>
      <c r="B3291" t="str">
        <f>"1552382995230364"</f>
        <v>1552382995230364</v>
      </c>
      <c r="C3291" t="s">
        <v>40</v>
      </c>
      <c r="D3291">
        <v>3.1207009999999999</v>
      </c>
      <c r="E3291">
        <v>0.52316890000000005</v>
      </c>
      <c r="F3291" t="s">
        <v>47</v>
      </c>
      <c r="G3291">
        <v>-346.16230000000002</v>
      </c>
      <c r="H3291">
        <v>8.0001119999999995E-2</v>
      </c>
      <c r="I3291">
        <v>209.38290000000001</v>
      </c>
      <c r="J3291">
        <v>-398.67500000000001</v>
      </c>
      <c r="K3291">
        <v>1.106657</v>
      </c>
      <c r="L3291">
        <v>213.3322</v>
      </c>
      <c r="M3291">
        <v>0.99988969999999999</v>
      </c>
      <c r="N3291">
        <v>0</v>
      </c>
      <c r="O3291">
        <v>1.420485E-2</v>
      </c>
      <c r="P3291">
        <v>0.99704020000000004</v>
      </c>
      <c r="Q3291">
        <v>7.4609620000000001E-2</v>
      </c>
      <c r="R3291">
        <v>-1.8564500000000001E-2</v>
      </c>
      <c r="S3291">
        <v>3.0092469999999998</v>
      </c>
      <c r="T3291">
        <v>-5.8326360000000001E-2</v>
      </c>
      <c r="U3291">
        <v>-0.223999</v>
      </c>
      <c r="V3291">
        <v>3.3003169999999998E-2</v>
      </c>
      <c r="W3291">
        <v>7.8829259999999998E-2</v>
      </c>
      <c r="X3291">
        <v>0.9963417</v>
      </c>
      <c r="Y3291">
        <v>8.8370669999999998E-2</v>
      </c>
      <c r="Z3291">
        <v>-1.130104E-3</v>
      </c>
      <c r="AA3291">
        <v>0.99608699999999994</v>
      </c>
      <c r="AB3291">
        <v>45</v>
      </c>
      <c r="AC3291">
        <v>52.512700000000002</v>
      </c>
      <c r="AD3291">
        <v>-1.0266558800000001</v>
      </c>
      <c r="AE3291">
        <v>-3.9492999999999898</v>
      </c>
      <c r="AF3291">
        <v>4.6930598498684297</v>
      </c>
      <c r="AG3291">
        <v>-1.0266558800000001</v>
      </c>
      <c r="AH3291">
        <v>52.431373982129699</v>
      </c>
      <c r="AI3291">
        <v>91.117296482526896</v>
      </c>
      <c r="AJ3291">
        <v>84.885164536896696</v>
      </c>
      <c r="AK3291">
        <v>52.651000092157098</v>
      </c>
      <c r="AL3291">
        <v>85.478725357239995</v>
      </c>
      <c r="AM3291">
        <v>88.102808291899194</v>
      </c>
      <c r="AN3291">
        <v>1.0000000223105401</v>
      </c>
    </row>
    <row r="3292" spans="1:40" x14ac:dyDescent="0.25">
      <c r="A3292" t="str">
        <f>"20190312172955258"</f>
        <v>20190312172955258</v>
      </c>
      <c r="B3292" t="str">
        <f>"1552382995250860"</f>
        <v>1552382995250860</v>
      </c>
      <c r="C3292" t="s">
        <v>40</v>
      </c>
      <c r="D3292">
        <v>3.1488230000000001</v>
      </c>
      <c r="E3292">
        <v>0.52319589999999905</v>
      </c>
      <c r="F3292" t="s">
        <v>47</v>
      </c>
      <c r="G3292">
        <v>-347.17410000000001</v>
      </c>
      <c r="H3292">
        <v>8.0000829999999995E-2</v>
      </c>
      <c r="I3292">
        <v>209.38499999999999</v>
      </c>
      <c r="J3292">
        <v>-398.2235</v>
      </c>
      <c r="K3292">
        <v>1.1066469999999999</v>
      </c>
      <c r="L3292">
        <v>213.33789999999999</v>
      </c>
      <c r="M3292">
        <v>0.99990610000000002</v>
      </c>
      <c r="N3292">
        <v>0</v>
      </c>
      <c r="O3292">
        <v>1.297241E-2</v>
      </c>
      <c r="P3292">
        <v>0.99703699999999995</v>
      </c>
      <c r="Q3292">
        <v>7.4236399999999994E-2</v>
      </c>
      <c r="R3292">
        <v>-2.0149400000000001E-2</v>
      </c>
      <c r="S3292">
        <v>3.009064</v>
      </c>
      <c r="T3292">
        <v>-5.9984799999999998E-2</v>
      </c>
      <c r="U3292">
        <v>-0.2306213</v>
      </c>
      <c r="V3292">
        <v>3.3360599999999997E-2</v>
      </c>
      <c r="W3292">
        <v>7.8497940000000002E-2</v>
      </c>
      <c r="X3292">
        <v>0.99635600000000002</v>
      </c>
      <c r="Y3292">
        <v>8.9326100000000005E-2</v>
      </c>
      <c r="Z3292">
        <v>-1.14718E-3</v>
      </c>
      <c r="AA3292">
        <v>0.99600180000000005</v>
      </c>
      <c r="AB3292">
        <v>45</v>
      </c>
      <c r="AC3292">
        <v>51.049399999999899</v>
      </c>
      <c r="AD3292">
        <v>-1.02664617</v>
      </c>
      <c r="AE3292">
        <v>-3.9529000000000001</v>
      </c>
      <c r="AF3292">
        <v>4.6129530126207303</v>
      </c>
      <c r="AG3292">
        <v>-1.02664617</v>
      </c>
      <c r="AH3292">
        <v>50.973332136654903</v>
      </c>
      <c r="AI3292">
        <v>91.149134907866994</v>
      </c>
      <c r="AJ3292">
        <v>84.828967897174493</v>
      </c>
      <c r="AK3292">
        <v>51.191932244922697</v>
      </c>
      <c r="AL3292">
        <v>85.497767806107703</v>
      </c>
      <c r="AM3292">
        <v>88.082304143015193</v>
      </c>
      <c r="AN3292">
        <v>1.0000000674762899</v>
      </c>
    </row>
    <row r="3293" spans="1:40" x14ac:dyDescent="0.25">
      <c r="A3293" t="str">
        <f>"20190312172955281"</f>
        <v>20190312172955281</v>
      </c>
      <c r="B3293" t="str">
        <f>"1552382995270380"</f>
        <v>1552382995270380</v>
      </c>
      <c r="C3293" t="s">
        <v>40</v>
      </c>
      <c r="D3293">
        <v>3.1292979999999999</v>
      </c>
      <c r="E3293">
        <v>0.523231</v>
      </c>
      <c r="F3293" t="s">
        <v>47</v>
      </c>
      <c r="G3293">
        <v>-348.93799999999999</v>
      </c>
      <c r="H3293">
        <v>8.0000310000000005E-2</v>
      </c>
      <c r="I3293">
        <v>209.4795</v>
      </c>
      <c r="J3293">
        <v>-397.75290000000001</v>
      </c>
      <c r="K3293">
        <v>1.106638</v>
      </c>
      <c r="L3293">
        <v>213.3433</v>
      </c>
      <c r="M3293">
        <v>0.99992199999999998</v>
      </c>
      <c r="N3293">
        <v>0</v>
      </c>
      <c r="O3293">
        <v>1.1688230000000001E-2</v>
      </c>
      <c r="P3293">
        <v>0.99701740000000005</v>
      </c>
      <c r="Q3293">
        <v>7.4072499999999999E-2</v>
      </c>
      <c r="R3293">
        <v>-2.167622E-2</v>
      </c>
      <c r="S3293">
        <v>3.0088200000000001</v>
      </c>
      <c r="T3293">
        <v>-6.2675599999999998E-2</v>
      </c>
      <c r="U3293">
        <v>-0.23554990000000001</v>
      </c>
      <c r="V3293">
        <v>3.3608760000000001E-2</v>
      </c>
      <c r="W3293">
        <v>7.8378619999999996E-2</v>
      </c>
      <c r="X3293">
        <v>0.99635700000000005</v>
      </c>
      <c r="Y3293">
        <v>8.9673180000000005E-2</v>
      </c>
      <c r="Z3293">
        <v>-1.175548E-3</v>
      </c>
      <c r="AA3293">
        <v>0.99597049999999998</v>
      </c>
      <c r="AB3293">
        <v>45</v>
      </c>
      <c r="AC3293">
        <v>48.814899999999902</v>
      </c>
      <c r="AD3293">
        <v>-1.02663769</v>
      </c>
      <c r="AE3293">
        <v>-3.8637999999999901</v>
      </c>
      <c r="AF3293">
        <v>4.4321531741192102</v>
      </c>
      <c r="AG3293">
        <v>-1.02663769</v>
      </c>
      <c r="AH3293">
        <v>48.744977688473497</v>
      </c>
      <c r="AI3293">
        <v>91.201595845015007</v>
      </c>
      <c r="AJ3293">
        <v>84.804648298112895</v>
      </c>
      <c r="AK3293">
        <v>48.956826046580701</v>
      </c>
      <c r="AL3293">
        <v>85.504625226424807</v>
      </c>
      <c r="AM3293">
        <v>88.068051657723103</v>
      </c>
      <c r="AN3293">
        <v>1.0000000141354199</v>
      </c>
    </row>
    <row r="3294" spans="1:40" x14ac:dyDescent="0.25">
      <c r="A3294" t="str">
        <f>"20190312172955305"</f>
        <v>20190312172955305</v>
      </c>
      <c r="B3294" t="str">
        <f>"1552382995300636"</f>
        <v>1552382995300636</v>
      </c>
      <c r="C3294" t="s">
        <v>40</v>
      </c>
      <c r="D3294">
        <v>3.1042230000000002</v>
      </c>
      <c r="E3294">
        <v>0.52323370000000002</v>
      </c>
      <c r="F3294" t="s">
        <v>47</v>
      </c>
      <c r="G3294">
        <v>-349.8972</v>
      </c>
      <c r="H3294">
        <v>8.0000020000000005E-2</v>
      </c>
      <c r="I3294">
        <v>209.52</v>
      </c>
      <c r="J3294">
        <v>-397.28019999999998</v>
      </c>
      <c r="K3294">
        <v>1.1066279999999999</v>
      </c>
      <c r="L3294">
        <v>213.34809999999999</v>
      </c>
      <c r="M3294">
        <v>0.99993589999999999</v>
      </c>
      <c r="N3294">
        <v>0</v>
      </c>
      <c r="O3294">
        <v>1.0400059999999999E-2</v>
      </c>
      <c r="P3294">
        <v>0.9969633</v>
      </c>
      <c r="Q3294">
        <v>7.4323199999999895E-2</v>
      </c>
      <c r="R3294">
        <v>-2.3247489999999999E-2</v>
      </c>
      <c r="S3294">
        <v>3.0085449999999998</v>
      </c>
      <c r="T3294">
        <v>-6.4541699999999994E-2</v>
      </c>
      <c r="U3294">
        <v>-0.2403564</v>
      </c>
      <c r="V3294">
        <v>3.3898619999999997E-2</v>
      </c>
      <c r="W3294">
        <v>7.8673350000000003E-2</v>
      </c>
      <c r="X3294">
        <v>0.99632390000000004</v>
      </c>
      <c r="Y3294">
        <v>8.9977379999999996E-2</v>
      </c>
      <c r="Z3294">
        <v>-1.1862400000000001E-3</v>
      </c>
      <c r="AA3294">
        <v>0.99594309999999997</v>
      </c>
      <c r="AB3294">
        <v>45</v>
      </c>
      <c r="AC3294">
        <v>47.382999999999903</v>
      </c>
      <c r="AD3294">
        <v>-1.02662798</v>
      </c>
      <c r="AE3294">
        <v>-3.8280999999999699</v>
      </c>
      <c r="AF3294">
        <v>4.3186697297273602</v>
      </c>
      <c r="AG3294">
        <v>-1.02662798</v>
      </c>
      <c r="AH3294">
        <v>47.3185552837176</v>
      </c>
      <c r="AI3294">
        <v>91.237756950957902</v>
      </c>
      <c r="AJ3294">
        <v>84.785176542993895</v>
      </c>
      <c r="AK3294">
        <v>47.526314262543202</v>
      </c>
      <c r="AL3294">
        <v>85.487685903849496</v>
      </c>
      <c r="AM3294">
        <v>88.051337601057796</v>
      </c>
      <c r="AN3294">
        <v>0.99999996307466699</v>
      </c>
    </row>
    <row r="3295" spans="1:40" x14ac:dyDescent="0.25">
      <c r="A3295" t="str">
        <f>"20190312172955327"</f>
        <v>20190312172955327</v>
      </c>
      <c r="B3295" t="str">
        <f>"1552382995321132"</f>
        <v>1552382995321132</v>
      </c>
      <c r="C3295" t="s">
        <v>40</v>
      </c>
      <c r="D3295">
        <v>3.1129720000000001</v>
      </c>
      <c r="E3295">
        <v>0.52296830000000005</v>
      </c>
      <c r="F3295" t="s">
        <v>47</v>
      </c>
      <c r="G3295">
        <v>-350.03890000000001</v>
      </c>
      <c r="H3295">
        <v>8.0001669999999997E-2</v>
      </c>
      <c r="I3295">
        <v>209.50020000000001</v>
      </c>
      <c r="J3295">
        <v>-396.81549999999999</v>
      </c>
      <c r="K3295">
        <v>1.106619</v>
      </c>
      <c r="L3295">
        <v>213.35220000000001</v>
      </c>
      <c r="M3295">
        <v>0.99994799999999995</v>
      </c>
      <c r="N3295">
        <v>0</v>
      </c>
      <c r="O3295">
        <v>9.1340150000000005E-3</v>
      </c>
      <c r="P3295">
        <v>0.99692210000000003</v>
      </c>
      <c r="Q3295">
        <v>7.4476120000000007E-2</v>
      </c>
      <c r="R3295">
        <v>-2.4489500000000001E-2</v>
      </c>
      <c r="S3295">
        <v>3.00827</v>
      </c>
      <c r="T3295">
        <v>-6.5374260000000003E-2</v>
      </c>
      <c r="U3295">
        <v>-0.24502560000000001</v>
      </c>
      <c r="V3295">
        <v>3.3880830000000001E-2</v>
      </c>
      <c r="W3295">
        <v>7.8870140000000005E-2</v>
      </c>
      <c r="X3295">
        <v>0.996309</v>
      </c>
      <c r="Y3295">
        <v>9.0259080000000005E-2</v>
      </c>
      <c r="Z3295">
        <v>-1.17716E-3</v>
      </c>
      <c r="AA3295">
        <v>0.99591759999999996</v>
      </c>
      <c r="AB3295">
        <v>45</v>
      </c>
      <c r="AC3295">
        <v>46.776599999999902</v>
      </c>
      <c r="AD3295">
        <v>-1.0266173300000001</v>
      </c>
      <c r="AE3295">
        <v>-3.8519999999999999</v>
      </c>
      <c r="AF3295">
        <v>4.2770555650921498</v>
      </c>
      <c r="AG3295">
        <v>-1.0266173300000001</v>
      </c>
      <c r="AH3295">
        <v>46.717112846795601</v>
      </c>
      <c r="AI3295">
        <v>91.253641655433697</v>
      </c>
      <c r="AJ3295">
        <v>84.769026462128195</v>
      </c>
      <c r="AK3295">
        <v>46.923723000092203</v>
      </c>
      <c r="AL3295">
        <v>85.476375764387299</v>
      </c>
      <c r="AM3295">
        <v>88.052330366591306</v>
      </c>
      <c r="AN3295">
        <v>1.00000001655305</v>
      </c>
    </row>
    <row r="3296" spans="1:40" x14ac:dyDescent="0.25">
      <c r="A3296" t="str">
        <f>"20190312172955349"</f>
        <v>20190312172955349</v>
      </c>
      <c r="B3296" t="str">
        <f>"1552382995340653"</f>
        <v>1552382995340653</v>
      </c>
      <c r="C3296" t="s">
        <v>40</v>
      </c>
      <c r="D3296">
        <v>3.1103800000000001</v>
      </c>
      <c r="E3296">
        <v>0.52263789999999999</v>
      </c>
      <c r="F3296" t="s">
        <v>47</v>
      </c>
      <c r="G3296">
        <v>-349.90969999999999</v>
      </c>
      <c r="H3296">
        <v>8.000003E-2</v>
      </c>
      <c r="I3296">
        <v>209.506</v>
      </c>
      <c r="J3296">
        <v>-396.36610000000002</v>
      </c>
      <c r="K3296">
        <v>1.106611</v>
      </c>
      <c r="L3296">
        <v>213.35560000000001</v>
      </c>
      <c r="M3296">
        <v>0.99995829999999997</v>
      </c>
      <c r="N3296">
        <v>0</v>
      </c>
      <c r="O3296">
        <v>7.9101190000000002E-3</v>
      </c>
      <c r="P3296">
        <v>0.99686629999999998</v>
      </c>
      <c r="Q3296">
        <v>7.4746160000000006E-2</v>
      </c>
      <c r="R3296">
        <v>-2.590286E-2</v>
      </c>
      <c r="S3296">
        <v>3.0080870000000002</v>
      </c>
      <c r="T3296">
        <v>-6.5837380000000001E-2</v>
      </c>
      <c r="U3296">
        <v>-0.2466583</v>
      </c>
      <c r="V3296">
        <v>3.4076790000000003E-2</v>
      </c>
      <c r="W3296">
        <v>7.9181979999999999E-2</v>
      </c>
      <c r="X3296">
        <v>0.99627759999999999</v>
      </c>
      <c r="Y3296">
        <v>8.9582090000000003E-2</v>
      </c>
      <c r="Z3296">
        <v>-1.151404E-3</v>
      </c>
      <c r="AA3296">
        <v>0.99597880000000005</v>
      </c>
      <c r="AB3296">
        <v>45</v>
      </c>
      <c r="AC3296">
        <v>46.456400000000002</v>
      </c>
      <c r="AD3296">
        <v>-1.0266109699999999</v>
      </c>
      <c r="AE3296">
        <v>-3.8496000000000299</v>
      </c>
      <c r="AF3296">
        <v>4.2149147734419703</v>
      </c>
      <c r="AG3296">
        <v>-1.0266109699999999</v>
      </c>
      <c r="AH3296">
        <v>46.4019901179595</v>
      </c>
      <c r="AI3296">
        <v>91.262226630576606</v>
      </c>
      <c r="AJ3296">
        <v>84.809793666235905</v>
      </c>
      <c r="AK3296">
        <v>46.604335887750899</v>
      </c>
      <c r="AL3296">
        <v>85.458452678497594</v>
      </c>
      <c r="AM3296">
        <v>88.041012491193001</v>
      </c>
      <c r="AN3296">
        <v>1.0000000349175899</v>
      </c>
    </row>
    <row r="3297" spans="1:40" x14ac:dyDescent="0.25">
      <c r="A3297" t="str">
        <f>"20190312172955371"</f>
        <v>20190312172955371</v>
      </c>
      <c r="B3297" t="str">
        <f>"1552382995361148"</f>
        <v>1552382995361148</v>
      </c>
      <c r="C3297" t="s">
        <v>40</v>
      </c>
      <c r="D3297">
        <v>3.0920529999999999</v>
      </c>
      <c r="E3297">
        <v>0.52229380000000003</v>
      </c>
      <c r="F3297" t="s">
        <v>47</v>
      </c>
      <c r="G3297">
        <v>-348.85989999999998</v>
      </c>
      <c r="H3297">
        <v>8.0000329999999995E-2</v>
      </c>
      <c r="I3297">
        <v>209.43520000000001</v>
      </c>
      <c r="J3297">
        <v>-395.9187</v>
      </c>
      <c r="K3297">
        <v>1.1066039999999999</v>
      </c>
      <c r="L3297">
        <v>213.35849999999999</v>
      </c>
      <c r="M3297">
        <v>0.99996700000000005</v>
      </c>
      <c r="N3297">
        <v>0</v>
      </c>
      <c r="O3297">
        <v>6.6927840000000002E-3</v>
      </c>
      <c r="P3297">
        <v>0.99678409999999995</v>
      </c>
      <c r="Q3297">
        <v>7.5337210000000002E-2</v>
      </c>
      <c r="R3297">
        <v>-2.7310250000000001E-2</v>
      </c>
      <c r="S3297">
        <v>3.0078130000000001</v>
      </c>
      <c r="T3297">
        <v>-6.4998979999999998E-2</v>
      </c>
      <c r="U3297">
        <v>-0.24821470000000001</v>
      </c>
      <c r="V3297">
        <v>3.4274599999999898E-2</v>
      </c>
      <c r="W3297">
        <v>7.9814629999999998E-2</v>
      </c>
      <c r="X3297">
        <v>0.99622029999999995</v>
      </c>
      <c r="Y3297">
        <v>8.8889949999999995E-2</v>
      </c>
      <c r="Z3297">
        <v>-1.1030969999999999E-3</v>
      </c>
      <c r="AA3297">
        <v>0.99604079999999995</v>
      </c>
      <c r="AB3297">
        <v>46</v>
      </c>
      <c r="AC3297">
        <v>47.058799999999998</v>
      </c>
      <c r="AD3297">
        <v>-1.0266036700000001</v>
      </c>
      <c r="AE3297">
        <v>-3.9232999999999798</v>
      </c>
      <c r="AF3297">
        <v>4.2361677368738704</v>
      </c>
      <c r="AG3297">
        <v>-1.0266036700000001</v>
      </c>
      <c r="AH3297">
        <v>47.009270217906398</v>
      </c>
      <c r="AI3297">
        <v>91.245997746143402</v>
      </c>
      <c r="AJ3297">
        <v>84.850787269275401</v>
      </c>
      <c r="AK3297">
        <v>47.210915248598198</v>
      </c>
      <c r="AL3297">
        <v>85.422089276152704</v>
      </c>
      <c r="AM3297">
        <v>88.029536597580403</v>
      </c>
      <c r="AN3297">
        <v>1.00000000474964</v>
      </c>
    </row>
    <row r="3298" spans="1:40" x14ac:dyDescent="0.25">
      <c r="A3298" t="str">
        <f>"20190312172955392"</f>
        <v>20190312172955392</v>
      </c>
      <c r="B3298" t="str">
        <f>"1552382995380672"</f>
        <v>1552382995380672</v>
      </c>
      <c r="C3298" t="s">
        <v>40</v>
      </c>
      <c r="D3298">
        <v>3.109626</v>
      </c>
      <c r="E3298">
        <v>0.52197959999999999</v>
      </c>
      <c r="F3298" t="s">
        <v>47</v>
      </c>
      <c r="G3298">
        <v>-347.30990000000003</v>
      </c>
      <c r="H3298">
        <v>8.0000769999999999E-2</v>
      </c>
      <c r="I3298">
        <v>209.3227</v>
      </c>
      <c r="J3298">
        <v>-395.4862</v>
      </c>
      <c r="K3298">
        <v>1.1065969999999901</v>
      </c>
      <c r="L3298">
        <v>213.36070000000001</v>
      </c>
      <c r="M3298">
        <v>0.99997400000000003</v>
      </c>
      <c r="N3298">
        <v>0</v>
      </c>
      <c r="O3298">
        <v>5.5177239999999999E-3</v>
      </c>
      <c r="P3298">
        <v>0.99669839999999998</v>
      </c>
      <c r="Q3298">
        <v>7.6007649999999996E-2</v>
      </c>
      <c r="R3298">
        <v>-2.8549379999999999E-2</v>
      </c>
      <c r="S3298">
        <v>3.0076290000000001</v>
      </c>
      <c r="T3298">
        <v>-6.3520190000000004E-2</v>
      </c>
      <c r="U3298">
        <v>-0.24971009999999999</v>
      </c>
      <c r="V3298">
        <v>3.4346340000000003E-2</v>
      </c>
      <c r="W3298">
        <v>8.0525680000000002E-2</v>
      </c>
      <c r="X3298">
        <v>0.99616059999999995</v>
      </c>
      <c r="Y3298">
        <v>8.8217710000000005E-2</v>
      </c>
      <c r="Z3298">
        <v>-1.0461890000000001E-3</v>
      </c>
      <c r="AA3298">
        <v>0.99610069999999995</v>
      </c>
      <c r="AB3298">
        <v>46</v>
      </c>
      <c r="AC3298">
        <v>48.176299999999898</v>
      </c>
      <c r="AD3298">
        <v>-1.02659622999999</v>
      </c>
      <c r="AE3298">
        <v>-4.03800000000001</v>
      </c>
      <c r="AF3298">
        <v>4.3018251749920902</v>
      </c>
      <c r="AG3298">
        <v>-1.02659622999999</v>
      </c>
      <c r="AH3298">
        <v>48.131582677150199</v>
      </c>
      <c r="AI3298">
        <v>91.217023945437504</v>
      </c>
      <c r="AJ3298">
        <v>84.892682821540703</v>
      </c>
      <c r="AK3298">
        <v>48.3343444215704</v>
      </c>
      <c r="AL3298">
        <v>85.381217524788596</v>
      </c>
      <c r="AM3298">
        <v>88.025297248269396</v>
      </c>
      <c r="AN3298">
        <v>0.99999999860160804</v>
      </c>
    </row>
    <row r="3299" spans="1:40" x14ac:dyDescent="0.25">
      <c r="A3299" t="str">
        <f>"20190312172955425"</f>
        <v>20190312172955425</v>
      </c>
      <c r="B3299" t="str">
        <f>"1552382995420684"</f>
        <v>1552382995420684</v>
      </c>
      <c r="C3299" t="s">
        <v>40</v>
      </c>
      <c r="D3299">
        <v>3.1273300000000002</v>
      </c>
      <c r="E3299">
        <v>0.52146049999999999</v>
      </c>
      <c r="F3299" t="s">
        <v>47</v>
      </c>
      <c r="G3299">
        <v>-346.00380000000001</v>
      </c>
      <c r="H3299">
        <v>8.0001160000000002E-2</v>
      </c>
      <c r="I3299">
        <v>209.23519999999999</v>
      </c>
      <c r="J3299">
        <v>-394.80739999999997</v>
      </c>
      <c r="K3299">
        <v>1.1065959999999999</v>
      </c>
      <c r="L3299">
        <v>213.36330000000001</v>
      </c>
      <c r="M3299">
        <v>0.99998220000000004</v>
      </c>
      <c r="N3299">
        <v>0</v>
      </c>
      <c r="O3299">
        <v>3.6880559999999999E-3</v>
      </c>
      <c r="P3299">
        <v>0.99662810000000002</v>
      </c>
      <c r="Q3299">
        <v>7.6403299999999993E-2</v>
      </c>
      <c r="R3299">
        <v>-2.991475E-2</v>
      </c>
      <c r="S3299">
        <v>3.0075069999999999</v>
      </c>
      <c r="T3299">
        <v>-6.2395810000000003E-2</v>
      </c>
      <c r="U3299">
        <v>-0.25074770000000002</v>
      </c>
      <c r="V3299">
        <v>3.3891030000000003E-2</v>
      </c>
      <c r="W3299">
        <v>8.0986699999999995E-2</v>
      </c>
      <c r="X3299">
        <v>0.99613879999999999</v>
      </c>
      <c r="Y3299">
        <v>8.6741100000000002E-2</v>
      </c>
      <c r="Z3299">
        <v>-9.7451869999999998E-4</v>
      </c>
      <c r="AA3299">
        <v>0.99623039999999996</v>
      </c>
      <c r="AB3299">
        <v>46</v>
      </c>
      <c r="AC3299">
        <v>48.803599999999904</v>
      </c>
      <c r="AD3299">
        <v>-1.02659484</v>
      </c>
      <c r="AE3299">
        <v>-4.1281000000000097</v>
      </c>
      <c r="AF3299">
        <v>4.3061724513419799</v>
      </c>
      <c r="AG3299">
        <v>-1.02659484</v>
      </c>
      <c r="AH3299">
        <v>48.766618251568502</v>
      </c>
      <c r="AI3299">
        <v>91.201292748321407</v>
      </c>
      <c r="AJ3299">
        <v>84.953776884116493</v>
      </c>
      <c r="AK3299">
        <v>48.967132587485899</v>
      </c>
      <c r="AL3299">
        <v>85.354716373667102</v>
      </c>
      <c r="AM3299">
        <v>88.051411840522803</v>
      </c>
      <c r="AN3299">
        <v>0.99999997817839503</v>
      </c>
    </row>
    <row r="3300" spans="1:40" x14ac:dyDescent="0.25">
      <c r="A3300" t="str">
        <f>"20190312172955447"</f>
        <v>20190312172955447</v>
      </c>
      <c r="B3300" t="str">
        <f>"1552382995441180"</f>
        <v>1552382995441180</v>
      </c>
      <c r="C3300" t="s">
        <v>40</v>
      </c>
      <c r="D3300">
        <v>3.1090339999999999</v>
      </c>
      <c r="E3300">
        <v>0.52128229999999998</v>
      </c>
      <c r="F3300" t="s">
        <v>47</v>
      </c>
      <c r="G3300">
        <v>-344.9828</v>
      </c>
      <c r="H3300">
        <v>8.0001470000000005E-2</v>
      </c>
      <c r="I3300">
        <v>209.20959999999999</v>
      </c>
      <c r="J3300">
        <v>-394.34199999999998</v>
      </c>
      <c r="K3300">
        <v>1.1065940000000001</v>
      </c>
      <c r="L3300">
        <v>213.36429999999999</v>
      </c>
      <c r="M3300">
        <v>0.99998560000000003</v>
      </c>
      <c r="N3300">
        <v>0</v>
      </c>
      <c r="O3300">
        <v>2.457238E-3</v>
      </c>
      <c r="P3300">
        <v>0.99659540000000002</v>
      </c>
      <c r="Q3300">
        <v>7.6368489999999997E-2</v>
      </c>
      <c r="R3300">
        <v>-3.1070259999999999E-2</v>
      </c>
      <c r="S3300">
        <v>3.0074160000000001</v>
      </c>
      <c r="T3300">
        <v>-6.1965350000000002E-2</v>
      </c>
      <c r="U3300">
        <v>-0.25071719999999997</v>
      </c>
      <c r="V3300">
        <v>3.3819349999999998E-2</v>
      </c>
      <c r="W3300">
        <v>8.0996680000000001E-2</v>
      </c>
      <c r="X3300">
        <v>0.99614040000000004</v>
      </c>
      <c r="Y3300">
        <v>8.5508089999999995E-2</v>
      </c>
      <c r="Z3300">
        <v>-9.2983219999999997E-4</v>
      </c>
      <c r="AA3300">
        <v>0.99633709999999998</v>
      </c>
      <c r="AB3300">
        <v>46</v>
      </c>
      <c r="AC3300">
        <v>49.359199999999902</v>
      </c>
      <c r="AD3300">
        <v>-1.0265925300000001</v>
      </c>
      <c r="AE3300">
        <v>-4.1546999999999903</v>
      </c>
      <c r="AF3300">
        <v>4.2741402660544203</v>
      </c>
      <c r="AG3300">
        <v>-1.0265925300000001</v>
      </c>
      <c r="AH3300">
        <v>49.3276540545912</v>
      </c>
      <c r="AI3300">
        <v>91.187801377875402</v>
      </c>
      <c r="AJ3300">
        <v>85.047806726143094</v>
      </c>
      <c r="AK3300">
        <v>49.523122092271102</v>
      </c>
      <c r="AL3300">
        <v>85.354142562423107</v>
      </c>
      <c r="AM3300">
        <v>88.055533085323702</v>
      </c>
      <c r="AN3300">
        <v>0.999999953558801</v>
      </c>
    </row>
    <row r="3301" spans="1:40" x14ac:dyDescent="0.25">
      <c r="A3301" t="str">
        <f>"20190312172955471"</f>
        <v>20190312172955471</v>
      </c>
      <c r="B3301" t="str">
        <f>"1552382995460704"</f>
        <v>1552382995460704</v>
      </c>
      <c r="C3301" t="s">
        <v>40</v>
      </c>
      <c r="D3301">
        <v>3.1150799999999998</v>
      </c>
      <c r="E3301">
        <v>0.51399790000000001</v>
      </c>
      <c r="F3301" t="s">
        <v>47</v>
      </c>
      <c r="G3301">
        <v>-345.4957</v>
      </c>
      <c r="H3301">
        <v>8.0001320000000001E-2</v>
      </c>
      <c r="I3301">
        <v>209.262</v>
      </c>
      <c r="J3301">
        <v>-393.85300000000001</v>
      </c>
      <c r="K3301">
        <v>1.1066049999999901</v>
      </c>
      <c r="L3301">
        <v>213.36490000000001</v>
      </c>
      <c r="M3301">
        <v>0.99998770000000003</v>
      </c>
      <c r="N3301">
        <v>0</v>
      </c>
      <c r="O3301">
        <v>1.1874870000000001E-3</v>
      </c>
      <c r="P3301">
        <v>0.99656239999999996</v>
      </c>
      <c r="Q3301">
        <v>7.6383899999999894E-2</v>
      </c>
      <c r="R3301">
        <v>-3.2075220000000002E-2</v>
      </c>
      <c r="S3301">
        <v>3.0072329999999998</v>
      </c>
      <c r="T3301">
        <v>-6.3202259999999996E-2</v>
      </c>
      <c r="U3301">
        <v>-0.2525635</v>
      </c>
      <c r="V3301">
        <v>3.3557770000000001E-2</v>
      </c>
      <c r="W3301">
        <v>8.1059899999999893E-2</v>
      </c>
      <c r="X3301">
        <v>0.99614420000000004</v>
      </c>
      <c r="Y3301">
        <v>8.4855120000000006E-2</v>
      </c>
      <c r="Z3301">
        <v>-9.1493610000000002E-4</v>
      </c>
      <c r="AA3301">
        <v>0.99639290000000003</v>
      </c>
      <c r="AB3301">
        <v>46</v>
      </c>
      <c r="AC3301">
        <v>48.357300000000002</v>
      </c>
      <c r="AD3301">
        <v>-1.02660367999999</v>
      </c>
      <c r="AE3301">
        <v>-4.1029</v>
      </c>
      <c r="AF3301">
        <v>4.1584606412378404</v>
      </c>
      <c r="AG3301">
        <v>-1.02660367999999</v>
      </c>
      <c r="AH3301">
        <v>48.330767017648199</v>
      </c>
      <c r="AI3301">
        <v>91.212370278504494</v>
      </c>
      <c r="AJ3301">
        <v>85.082286270031403</v>
      </c>
      <c r="AK3301">
        <v>48.520199407408697</v>
      </c>
      <c r="AL3301">
        <v>85.3505088190539</v>
      </c>
      <c r="AM3301">
        <v>88.070568751194998</v>
      </c>
      <c r="AN3301">
        <v>1.00000004925451</v>
      </c>
    </row>
    <row r="3302" spans="1:40" x14ac:dyDescent="0.25">
      <c r="A3302" t="str">
        <f>"20190312172955492"</f>
        <v>20190312172955492</v>
      </c>
      <c r="B3302" t="str">
        <f>"1552382995481200"</f>
        <v>1552382995481200</v>
      </c>
      <c r="C3302" t="s">
        <v>40</v>
      </c>
      <c r="D3302">
        <v>3.1043449999999999</v>
      </c>
      <c r="E3302">
        <v>0.51427719999999999</v>
      </c>
      <c r="F3302" t="s">
        <v>47</v>
      </c>
      <c r="G3302">
        <v>-352.02409999999998</v>
      </c>
      <c r="H3302" s="1">
        <v>-2.8521040000000002E-7</v>
      </c>
      <c r="I3302">
        <v>210.6258</v>
      </c>
      <c r="J3302">
        <v>-393.4092</v>
      </c>
      <c r="K3302">
        <v>1.106619</v>
      </c>
      <c r="L3302">
        <v>213.36490000000001</v>
      </c>
      <c r="M3302">
        <v>0.99998819999999999</v>
      </c>
      <c r="N3302">
        <v>0</v>
      </c>
      <c r="O3302" s="1">
        <v>6.9945059999999999E-5</v>
      </c>
      <c r="P3302">
        <v>0.99654290000000001</v>
      </c>
      <c r="Q3302">
        <v>7.6335589999999995E-2</v>
      </c>
      <c r="R3302">
        <v>-3.2789390000000002E-2</v>
      </c>
      <c r="S3302">
        <v>3.0101010000000001</v>
      </c>
      <c r="T3302">
        <v>-7.9633949999999995E-2</v>
      </c>
      <c r="U3302">
        <v>-0.19711300000000001</v>
      </c>
      <c r="V3302">
        <v>3.3154940000000001E-2</v>
      </c>
      <c r="W3302">
        <v>8.1055619999999995E-2</v>
      </c>
      <c r="X3302">
        <v>0.99615799999999999</v>
      </c>
      <c r="Y3302">
        <v>6.5390889999999993E-2</v>
      </c>
      <c r="Z3302">
        <v>-8.6574890000000004E-4</v>
      </c>
      <c r="AA3302">
        <v>0.99785939999999995</v>
      </c>
      <c r="AB3302">
        <v>46</v>
      </c>
      <c r="AC3302">
        <v>41.385100000000001</v>
      </c>
      <c r="AD3302">
        <v>-1.1066192852104</v>
      </c>
      <c r="AE3302">
        <v>-2.7391000000000001</v>
      </c>
      <c r="AF3302">
        <v>2.74004411301721</v>
      </c>
      <c r="AG3302">
        <v>-1.1066192852104</v>
      </c>
      <c r="AH3302">
        <v>41.355467951070999</v>
      </c>
      <c r="AI3302">
        <v>91.529444069958501</v>
      </c>
      <c r="AJ3302">
        <v>86.209356359460401</v>
      </c>
      <c r="AK3302">
        <v>41.460911440002697</v>
      </c>
      <c r="AL3302">
        <v>85.350754682261993</v>
      </c>
      <c r="AM3302">
        <v>88.093738985935602</v>
      </c>
      <c r="AN3302">
        <v>1.0000000122719901</v>
      </c>
    </row>
    <row r="3303" spans="1:40" x14ac:dyDescent="0.25">
      <c r="A3303" t="str">
        <f>"20190312172955516"</f>
        <v>20190312172955516</v>
      </c>
      <c r="B3303" t="str">
        <f>"1552382995510476"</f>
        <v>1552382995510476</v>
      </c>
      <c r="C3303" t="s">
        <v>40</v>
      </c>
      <c r="D3303">
        <v>3.1213009999999999</v>
      </c>
      <c r="E3303">
        <v>0.51431759999999904</v>
      </c>
      <c r="F3303" t="s">
        <v>47</v>
      </c>
      <c r="G3303">
        <v>-352.62779999999998</v>
      </c>
      <c r="H3303" s="1">
        <v>3.5605889999999999E-8</v>
      </c>
      <c r="I3303">
        <v>210.63560000000001</v>
      </c>
      <c r="J3303">
        <v>-392.91469999999998</v>
      </c>
      <c r="K3303">
        <v>1.106646</v>
      </c>
      <c r="L3303">
        <v>213.36429999999999</v>
      </c>
      <c r="M3303">
        <v>0.99998750000000003</v>
      </c>
      <c r="N3303">
        <v>0</v>
      </c>
      <c r="O3303">
        <v>-1.1212590000000001E-3</v>
      </c>
      <c r="P3303">
        <v>0.99654390000000004</v>
      </c>
      <c r="Q3303">
        <v>7.6109170000000004E-2</v>
      </c>
      <c r="R3303">
        <v>-3.3284750000000002E-2</v>
      </c>
      <c r="S3303">
        <v>3.01004</v>
      </c>
      <c r="T3303">
        <v>-8.1678509999999996E-2</v>
      </c>
      <c r="U3303">
        <v>-0.2014465</v>
      </c>
      <c r="V3303">
        <v>3.2456789999999999E-2</v>
      </c>
      <c r="W3303">
        <v>8.0879770000000004E-2</v>
      </c>
      <c r="X3303">
        <v>0.99619530000000001</v>
      </c>
      <c r="Y3303">
        <v>6.5633029999999995E-2</v>
      </c>
      <c r="Z3303">
        <v>-8.5894330000000003E-4</v>
      </c>
      <c r="AA3303">
        <v>0.99784340000000005</v>
      </c>
      <c r="AB3303">
        <v>46</v>
      </c>
      <c r="AC3303">
        <v>40.286900000000003</v>
      </c>
      <c r="AD3303">
        <v>-1.10664596439411</v>
      </c>
      <c r="AE3303">
        <v>-2.7286999999999701</v>
      </c>
      <c r="AF3303">
        <v>2.6815115966375198</v>
      </c>
      <c r="AG3303">
        <v>-1.10664596439411</v>
      </c>
      <c r="AH3303">
        <v>40.2596949451885</v>
      </c>
      <c r="AI3303">
        <v>91.571052872500204</v>
      </c>
      <c r="AJ3303">
        <v>86.189422078755598</v>
      </c>
      <c r="AK3303">
        <v>40.364070741354197</v>
      </c>
      <c r="AL3303">
        <v>85.360863407934005</v>
      </c>
      <c r="AM3303">
        <v>88.133920630366305</v>
      </c>
      <c r="AN3303">
        <v>1.0000000280772201</v>
      </c>
    </row>
    <row r="3304" spans="1:40" x14ac:dyDescent="0.25">
      <c r="A3304" t="str">
        <f>"20190312172955539"</f>
        <v>20190312172955539</v>
      </c>
      <c r="B3304" t="str">
        <f>"1552382995530972"</f>
        <v>1552382995530972</v>
      </c>
      <c r="C3304" t="s">
        <v>40</v>
      </c>
      <c r="D3304">
        <v>3.1171509999999998</v>
      </c>
      <c r="E3304">
        <v>0.51428529999999995</v>
      </c>
      <c r="F3304" t="s">
        <v>47</v>
      </c>
      <c r="G3304">
        <v>-353.2516</v>
      </c>
      <c r="H3304" s="1">
        <v>3.6539140000000001E-7</v>
      </c>
      <c r="I3304">
        <v>210.68549999999999</v>
      </c>
      <c r="J3304">
        <v>-392.43889999999999</v>
      </c>
      <c r="K3304">
        <v>1.106684</v>
      </c>
      <c r="L3304">
        <v>213.36330000000001</v>
      </c>
      <c r="M3304">
        <v>0.99998529999999997</v>
      </c>
      <c r="N3304">
        <v>0</v>
      </c>
      <c r="O3304">
        <v>-2.1993830000000001E-3</v>
      </c>
      <c r="P3304">
        <v>0.99651690000000004</v>
      </c>
      <c r="Q3304">
        <v>7.640073E-2</v>
      </c>
      <c r="R3304">
        <v>-3.3420480000000002E-2</v>
      </c>
      <c r="S3304">
        <v>3.01004</v>
      </c>
      <c r="T3304">
        <v>-8.3983660000000002E-2</v>
      </c>
      <c r="U3304">
        <v>-0.2032928</v>
      </c>
      <c r="V3304">
        <v>3.1511110000000002E-2</v>
      </c>
      <c r="W3304">
        <v>8.1221479999999999E-2</v>
      </c>
      <c r="X3304">
        <v>0.99619780000000002</v>
      </c>
      <c r="Y3304">
        <v>6.5165769999999998E-2</v>
      </c>
      <c r="Z3304">
        <v>-8.4660699999999998E-4</v>
      </c>
      <c r="AA3304">
        <v>0.99787409999999999</v>
      </c>
      <c r="AB3304">
        <v>47</v>
      </c>
      <c r="AC3304">
        <v>39.187299999999901</v>
      </c>
      <c r="AD3304">
        <v>-1.1066836346086</v>
      </c>
      <c r="AE3304">
        <v>-2.6778000000000102</v>
      </c>
      <c r="AF3304">
        <v>2.5895488951876602</v>
      </c>
      <c r="AG3304">
        <v>-1.1066836346086</v>
      </c>
      <c r="AH3304">
        <v>39.1620064219806</v>
      </c>
      <c r="AI3304">
        <v>91.615171866002001</v>
      </c>
      <c r="AJ3304">
        <v>86.216880652631403</v>
      </c>
      <c r="AK3304">
        <v>39.263128494083702</v>
      </c>
      <c r="AL3304">
        <v>85.341219959820506</v>
      </c>
      <c r="AM3304">
        <v>88.188259573888999</v>
      </c>
      <c r="AN3304">
        <v>0.99999996779583</v>
      </c>
    </row>
    <row r="3305" spans="1:40" x14ac:dyDescent="0.25">
      <c r="A3305" t="str">
        <f>"20190312172955560"</f>
        <v>20190312172955560</v>
      </c>
      <c r="B3305" t="str">
        <f>"1552382995550492"</f>
        <v>1552382995550492</v>
      </c>
      <c r="C3305" t="s">
        <v>40</v>
      </c>
      <c r="D3305">
        <v>3.1135190000000001</v>
      </c>
      <c r="E3305">
        <v>0.51436890000000002</v>
      </c>
      <c r="F3305" t="s">
        <v>47</v>
      </c>
      <c r="G3305">
        <v>-352.24279999999999</v>
      </c>
      <c r="H3305" s="1">
        <v>-1.6981880000000001E-7</v>
      </c>
      <c r="I3305">
        <v>210.64830000000001</v>
      </c>
      <c r="J3305">
        <v>-391.99470000000002</v>
      </c>
      <c r="K3305">
        <v>1.1067340000000001</v>
      </c>
      <c r="L3305">
        <v>213.36179999999999</v>
      </c>
      <c r="M3305">
        <v>0.9999827</v>
      </c>
      <c r="N3305">
        <v>0</v>
      </c>
      <c r="O3305">
        <v>-3.1330389999999998E-3</v>
      </c>
      <c r="P3305">
        <v>0.99653740000000002</v>
      </c>
      <c r="Q3305">
        <v>7.6242249999999998E-2</v>
      </c>
      <c r="R3305">
        <v>-3.3174269999999999E-2</v>
      </c>
      <c r="S3305">
        <v>3.0100099999999999</v>
      </c>
      <c r="T3305">
        <v>-8.2872029999999999E-2</v>
      </c>
      <c r="U3305">
        <v>-0.20330809999999999</v>
      </c>
      <c r="V3305">
        <v>3.0323940000000001E-2</v>
      </c>
      <c r="W3305">
        <v>8.1111699999999995E-2</v>
      </c>
      <c r="X3305">
        <v>0.99624360000000001</v>
      </c>
      <c r="Y3305">
        <v>6.4241129999999994E-2</v>
      </c>
      <c r="Z3305">
        <v>-7.9703149999999997E-4</v>
      </c>
      <c r="AA3305">
        <v>0.99793410000000005</v>
      </c>
      <c r="AB3305">
        <v>47</v>
      </c>
      <c r="AC3305">
        <v>39.751899999999999</v>
      </c>
      <c r="AD3305">
        <v>-1.1067341698188</v>
      </c>
      <c r="AE3305">
        <v>-2.7134999999999798</v>
      </c>
      <c r="AF3305">
        <v>2.5869449838554099</v>
      </c>
      <c r="AG3305">
        <v>-1.1067341698188</v>
      </c>
      <c r="AH3305">
        <v>39.729554019593301</v>
      </c>
      <c r="AI3305">
        <v>91.592288351314295</v>
      </c>
      <c r="AJ3305">
        <v>86.274509298983006</v>
      </c>
      <c r="AK3305">
        <v>39.829067368793901</v>
      </c>
      <c r="AL3305">
        <v>85.347530769054998</v>
      </c>
      <c r="AM3305">
        <v>88.256553409915</v>
      </c>
      <c r="AN3305">
        <v>0.99999997987748601</v>
      </c>
    </row>
    <row r="3306" spans="1:40" x14ac:dyDescent="0.25">
      <c r="A3306" t="str">
        <f>"20190312172955582"</f>
        <v>20190312172955582</v>
      </c>
      <c r="B3306" t="str">
        <f>"1552382995570992"</f>
        <v>1552382995570992</v>
      </c>
      <c r="C3306" t="s">
        <v>40</v>
      </c>
      <c r="D3306">
        <v>3.1180430000000001</v>
      </c>
      <c r="E3306">
        <v>0.51436130000000002</v>
      </c>
      <c r="F3306" t="s">
        <v>47</v>
      </c>
      <c r="G3306">
        <v>-352.12509999999997</v>
      </c>
      <c r="H3306" s="1">
        <v>-2.3320860000000001E-7</v>
      </c>
      <c r="I3306">
        <v>210.6651</v>
      </c>
      <c r="J3306">
        <v>-391.52609999999999</v>
      </c>
      <c r="K3306">
        <v>1.1068009999999999</v>
      </c>
      <c r="L3306">
        <v>213.36</v>
      </c>
      <c r="M3306">
        <v>0.99997939999999996</v>
      </c>
      <c r="N3306">
        <v>0</v>
      </c>
      <c r="O3306">
        <v>-4.0342609999999999E-3</v>
      </c>
      <c r="P3306">
        <v>0.99657549999999995</v>
      </c>
      <c r="Q3306">
        <v>7.6051530000000006E-2</v>
      </c>
      <c r="R3306">
        <v>-3.2458979999999998E-2</v>
      </c>
      <c r="S3306">
        <v>3.01004</v>
      </c>
      <c r="T3306">
        <v>-8.3555219999999999E-2</v>
      </c>
      <c r="U3306">
        <v>-0.203598</v>
      </c>
      <c r="V3306">
        <v>2.8697159999999999E-2</v>
      </c>
      <c r="W3306">
        <v>8.0973890000000007E-2</v>
      </c>
      <c r="X3306">
        <v>0.99630300000000005</v>
      </c>
      <c r="Y3306">
        <v>6.3436999999999993E-2</v>
      </c>
      <c r="Z3306">
        <v>-7.674607E-4</v>
      </c>
      <c r="AA3306">
        <v>0.99798549999999997</v>
      </c>
      <c r="AB3306">
        <v>47</v>
      </c>
      <c r="AC3306">
        <v>39.401000000000003</v>
      </c>
      <c r="AD3306">
        <v>-1.1068012332085999</v>
      </c>
      <c r="AE3306">
        <v>-2.6949000000000098</v>
      </c>
      <c r="AF3306">
        <v>2.5339319886634599</v>
      </c>
      <c r="AG3306">
        <v>-1.1068012332085999</v>
      </c>
      <c r="AH3306">
        <v>39.380621390979798</v>
      </c>
      <c r="AI3306">
        <v>91.606566393231603</v>
      </c>
      <c r="AJ3306">
        <v>86.3183988719545</v>
      </c>
      <c r="AK3306">
        <v>39.477577958034601</v>
      </c>
      <c r="AL3306">
        <v>85.355452772759804</v>
      </c>
      <c r="AM3306">
        <v>88.350128758581405</v>
      </c>
      <c r="AN3306">
        <v>0.99999998283139802</v>
      </c>
    </row>
    <row r="3307" spans="1:40" x14ac:dyDescent="0.25">
      <c r="A3307" t="str">
        <f>"20190312172955605"</f>
        <v>20190312172955605</v>
      </c>
      <c r="B3307" t="str">
        <f>"1552382995601245"</f>
        <v>1552382995601245</v>
      </c>
      <c r="C3307" t="s">
        <v>40</v>
      </c>
      <c r="D3307">
        <v>3.121524</v>
      </c>
      <c r="E3307">
        <v>0.51435699999999995</v>
      </c>
      <c r="F3307" t="s">
        <v>47</v>
      </c>
      <c r="G3307">
        <v>-351.32080000000002</v>
      </c>
      <c r="H3307" s="1">
        <v>-6.6117779999999996E-7</v>
      </c>
      <c r="I3307">
        <v>210.66380000000001</v>
      </c>
      <c r="J3307">
        <v>-391.05739999999997</v>
      </c>
      <c r="K3307">
        <v>1.1068880000000001</v>
      </c>
      <c r="L3307">
        <v>213.3578</v>
      </c>
      <c r="M3307">
        <v>0.99997510000000001</v>
      </c>
      <c r="N3307">
        <v>0</v>
      </c>
      <c r="O3307">
        <v>-4.838027E-3</v>
      </c>
      <c r="P3307">
        <v>0.99656639999999996</v>
      </c>
      <c r="Q3307">
        <v>7.6465240000000004E-2</v>
      </c>
      <c r="R3307">
        <v>-3.1755560000000002E-2</v>
      </c>
      <c r="S3307">
        <v>3.0100709999999999</v>
      </c>
      <c r="T3307">
        <v>-8.2863450000000005E-2</v>
      </c>
      <c r="U3307">
        <v>-0.2018585</v>
      </c>
      <c r="V3307">
        <v>2.7180059999999999E-2</v>
      </c>
      <c r="W3307">
        <v>8.1500459999999997E-2</v>
      </c>
      <c r="X3307">
        <v>0.99630260000000004</v>
      </c>
      <c r="Y3307">
        <v>6.2061159999999997E-2</v>
      </c>
      <c r="Z3307">
        <v>-7.2010729999999999E-4</v>
      </c>
      <c r="AA3307">
        <v>0.99807210000000002</v>
      </c>
      <c r="AB3307">
        <v>47</v>
      </c>
      <c r="AC3307">
        <v>39.736599999999903</v>
      </c>
      <c r="AD3307">
        <v>-1.1068886611777999</v>
      </c>
      <c r="AE3307">
        <v>-2.69399999999998</v>
      </c>
      <c r="AF3307">
        <v>2.4997883860433299</v>
      </c>
      <c r="AG3307">
        <v>-1.1068886611777999</v>
      </c>
      <c r="AH3307">
        <v>39.718490714508498</v>
      </c>
      <c r="AI3307">
        <v>91.593174809793098</v>
      </c>
      <c r="AJ3307">
        <v>86.3986884957516</v>
      </c>
      <c r="AK3307">
        <v>39.812468513290398</v>
      </c>
      <c r="AL3307">
        <v>85.325182450466599</v>
      </c>
      <c r="AM3307">
        <v>88.437305536512994</v>
      </c>
      <c r="AN3307">
        <v>0.999999975704287</v>
      </c>
    </row>
    <row r="3308" spans="1:40" x14ac:dyDescent="0.25">
      <c r="A3308" t="str">
        <f>"20190312172955626"</f>
        <v>20190312172955626</v>
      </c>
      <c r="B3308" t="str">
        <f>"1552382995620765"</f>
        <v>1552382995620765</v>
      </c>
      <c r="C3308" t="s">
        <v>40</v>
      </c>
      <c r="D3308">
        <v>3.1148760000000002</v>
      </c>
      <c r="E3308">
        <v>0.51240209999999997</v>
      </c>
      <c r="F3308" t="s">
        <v>47</v>
      </c>
      <c r="G3308">
        <v>-350.30990000000003</v>
      </c>
      <c r="H3308" s="1">
        <v>-1.1985630000000001E-6</v>
      </c>
      <c r="I3308">
        <v>210.65180000000001</v>
      </c>
      <c r="J3308">
        <v>-390.60410000000002</v>
      </c>
      <c r="K3308">
        <v>1.1070180000000001</v>
      </c>
      <c r="L3308">
        <v>213.3553</v>
      </c>
      <c r="M3308">
        <v>0.99997029999999998</v>
      </c>
      <c r="N3308">
        <v>0</v>
      </c>
      <c r="O3308">
        <v>-5.5263659999999996E-3</v>
      </c>
      <c r="P3308">
        <v>0.99660800000000005</v>
      </c>
      <c r="Q3308">
        <v>7.6463290000000003E-2</v>
      </c>
      <c r="R3308">
        <v>-3.0432649999999999E-2</v>
      </c>
      <c r="S3308">
        <v>3.0102540000000002</v>
      </c>
      <c r="T3308">
        <v>-8.1772330000000004E-2</v>
      </c>
      <c r="U3308">
        <v>-0.19990540000000001</v>
      </c>
      <c r="V3308">
        <v>2.5156939999999999E-2</v>
      </c>
      <c r="W3308">
        <v>8.1750459999999997E-2</v>
      </c>
      <c r="X3308">
        <v>0.99633530000000003</v>
      </c>
      <c r="Y3308">
        <v>6.0726629999999997E-2</v>
      </c>
      <c r="Z3308">
        <v>-6.7382490000000004E-4</v>
      </c>
      <c r="AA3308">
        <v>0.99815419999999999</v>
      </c>
      <c r="AB3308">
        <v>47</v>
      </c>
      <c r="AC3308">
        <v>40.294199999999897</v>
      </c>
      <c r="AD3308">
        <v>-1.107019198563</v>
      </c>
      <c r="AE3308">
        <v>-2.7034999999999898</v>
      </c>
      <c r="AF3308">
        <v>2.4789123357014402</v>
      </c>
      <c r="AG3308">
        <v>-1.107019198563</v>
      </c>
      <c r="AH3308">
        <v>40.278260094862901</v>
      </c>
      <c r="AI3308">
        <v>91.571365569456404</v>
      </c>
      <c r="AJ3308">
        <v>86.478192090718395</v>
      </c>
      <c r="AK3308">
        <v>40.369651152115502</v>
      </c>
      <c r="AL3308">
        <v>85.310810753918105</v>
      </c>
      <c r="AM3308">
        <v>88.553619155377504</v>
      </c>
      <c r="AN3308">
        <v>1.0000000196832299</v>
      </c>
    </row>
    <row r="3309" spans="1:40" x14ac:dyDescent="0.25">
      <c r="A3309" t="str">
        <f>"20190312172955650"</f>
        <v>20190312172955650</v>
      </c>
      <c r="B3309" t="str">
        <f>"1552382995641260"</f>
        <v>1552382995641260</v>
      </c>
      <c r="C3309" t="s">
        <v>40</v>
      </c>
      <c r="D3309">
        <v>3.046719</v>
      </c>
      <c r="E3309">
        <v>0.48781910000000001</v>
      </c>
      <c r="F3309" t="s">
        <v>47</v>
      </c>
      <c r="G3309">
        <v>-350.27319999999997</v>
      </c>
      <c r="H3309" s="1">
        <v>-1.2304619999999999E-6</v>
      </c>
      <c r="I3309">
        <v>210.93369999999999</v>
      </c>
      <c r="J3309">
        <v>-390.09899999999999</v>
      </c>
      <c r="K3309">
        <v>1.107202</v>
      </c>
      <c r="L3309">
        <v>213.35220000000001</v>
      </c>
      <c r="M3309">
        <v>0.99996350000000001</v>
      </c>
      <c r="N3309">
        <v>0</v>
      </c>
      <c r="O3309">
        <v>-6.2108629999999996E-3</v>
      </c>
      <c r="P3309">
        <v>0.99661060000000001</v>
      </c>
      <c r="Q3309">
        <v>7.6862100000000003E-2</v>
      </c>
      <c r="R3309">
        <v>-2.9321219999999999E-2</v>
      </c>
      <c r="S3309">
        <v>3.0110169999999998</v>
      </c>
      <c r="T3309">
        <v>-8.2647559999999995E-2</v>
      </c>
      <c r="U3309">
        <v>-0.18078610000000001</v>
      </c>
      <c r="V3309">
        <v>2.3351139999999999E-2</v>
      </c>
      <c r="W3309">
        <v>8.265053E-2</v>
      </c>
      <c r="X3309">
        <v>0.996305</v>
      </c>
      <c r="Y3309">
        <v>5.371484E-2</v>
      </c>
      <c r="Z3309">
        <v>-5.6610440000000003E-4</v>
      </c>
      <c r="AA3309">
        <v>0.99855609999999995</v>
      </c>
      <c r="AB3309">
        <v>47</v>
      </c>
      <c r="AC3309">
        <v>39.825800000000001</v>
      </c>
      <c r="AD3309">
        <v>-1.1072032304620001</v>
      </c>
      <c r="AE3309">
        <v>-2.4185000000000199</v>
      </c>
      <c r="AF3309">
        <v>2.1694259085123999</v>
      </c>
      <c r="AG3309">
        <v>-1.1072032304620001</v>
      </c>
      <c r="AH3309">
        <v>39.809397261059303</v>
      </c>
      <c r="AI3309">
        <v>91.590775327601094</v>
      </c>
      <c r="AJ3309">
        <v>86.880733428259205</v>
      </c>
      <c r="AK3309">
        <v>39.883836551351301</v>
      </c>
      <c r="AL3309">
        <v>85.259065423842301</v>
      </c>
      <c r="AM3309">
        <v>88.657362089247002</v>
      </c>
      <c r="AN3309">
        <v>1.00000001943679</v>
      </c>
    </row>
    <row r="3310" spans="1:40" x14ac:dyDescent="0.25">
      <c r="A3310" t="str">
        <f>"20190312172955671"</f>
        <v>20190312172955671</v>
      </c>
      <c r="B3310" t="str">
        <f>"1552382995660784"</f>
        <v>1552382995660784</v>
      </c>
      <c r="C3310" t="s">
        <v>40</v>
      </c>
      <c r="D3310">
        <v>3.050573</v>
      </c>
      <c r="E3310">
        <v>0.4878943</v>
      </c>
      <c r="F3310" t="s">
        <v>47</v>
      </c>
      <c r="G3310">
        <v>-340.36290000000002</v>
      </c>
      <c r="H3310" s="1">
        <v>-1.3436679999999999E-6</v>
      </c>
      <c r="I3310">
        <v>213.6491</v>
      </c>
      <c r="J3310">
        <v>-389.64120000000003</v>
      </c>
      <c r="K3310">
        <v>1.10738799999999</v>
      </c>
      <c r="L3310">
        <v>213.34899999999999</v>
      </c>
      <c r="M3310">
        <v>0.99995630000000002</v>
      </c>
      <c r="N3310">
        <v>0</v>
      </c>
      <c r="O3310">
        <v>-6.7748160000000003E-3</v>
      </c>
      <c r="P3310">
        <v>0.99661960000000005</v>
      </c>
      <c r="Q3310">
        <v>7.7078300000000002E-2</v>
      </c>
      <c r="R3310">
        <v>-2.843497E-2</v>
      </c>
      <c r="S3310">
        <v>3.0158999999999998</v>
      </c>
      <c r="T3310">
        <v>-6.7138669999999998E-2</v>
      </c>
      <c r="U3310">
        <v>1.800537E-2</v>
      </c>
      <c r="V3310">
        <v>2.1893719999999998E-2</v>
      </c>
      <c r="W3310">
        <v>8.346452E-2</v>
      </c>
      <c r="X3310">
        <v>0.99627019999999999</v>
      </c>
      <c r="Y3310">
        <v>-1.273991E-2</v>
      </c>
      <c r="Z3310">
        <v>2.9258749999999998E-4</v>
      </c>
      <c r="AA3310">
        <v>0.9999188</v>
      </c>
      <c r="AB3310">
        <v>47</v>
      </c>
      <c r="AC3310">
        <v>49.278300000000002</v>
      </c>
      <c r="AD3310">
        <v>-1.10738934366799</v>
      </c>
      <c r="AE3310">
        <v>0.30009999999998599</v>
      </c>
      <c r="AF3310">
        <v>-0.63363148507667999</v>
      </c>
      <c r="AG3310">
        <v>-1.10738934366799</v>
      </c>
      <c r="AH3310">
        <v>49.250265545045501</v>
      </c>
      <c r="AI3310">
        <v>91.287968659241301</v>
      </c>
      <c r="AJ3310">
        <v>90.737100736336799</v>
      </c>
      <c r="AK3310">
        <v>49.266788572778303</v>
      </c>
      <c r="AL3310">
        <v>85.212265367424706</v>
      </c>
      <c r="AM3310">
        <v>88.741088632341004</v>
      </c>
      <c r="AN3310">
        <v>0.99999998624115405</v>
      </c>
    </row>
    <row r="3311" spans="1:40" x14ac:dyDescent="0.25">
      <c r="A3311" t="str">
        <f>"20190312172955692"</f>
        <v>20190312172955692</v>
      </c>
      <c r="B3311" t="str">
        <f>"1552382995681279"</f>
        <v>1552382995681279</v>
      </c>
      <c r="C3311" t="s">
        <v>40</v>
      </c>
      <c r="D3311">
        <v>3.0417100000000001</v>
      </c>
      <c r="E3311">
        <v>0.48799900000000002</v>
      </c>
      <c r="F3311" t="s">
        <v>47</v>
      </c>
      <c r="G3311">
        <v>-340.00049999999999</v>
      </c>
      <c r="H3311" s="1">
        <v>-1.5365469999999901E-6</v>
      </c>
      <c r="I3311">
        <v>213.6738</v>
      </c>
      <c r="J3311">
        <v>-389.18040000000002</v>
      </c>
      <c r="K3311">
        <v>1.1075469999999901</v>
      </c>
      <c r="L3311">
        <v>213.34559999999999</v>
      </c>
      <c r="M3311">
        <v>0.99994830000000001</v>
      </c>
      <c r="N3311">
        <v>0</v>
      </c>
      <c r="O3311">
        <v>-7.2966719999999997E-3</v>
      </c>
      <c r="P3311">
        <v>0.99663880000000005</v>
      </c>
      <c r="Q3311">
        <v>7.7224470000000003E-2</v>
      </c>
      <c r="R3311">
        <v>-2.7344440000000001E-2</v>
      </c>
      <c r="S3311">
        <v>3.01593</v>
      </c>
      <c r="T3311">
        <v>-6.7279580000000005E-2</v>
      </c>
      <c r="U3311">
        <v>1.9729610000000002E-2</v>
      </c>
      <c r="V3311">
        <v>2.0275700000000001E-2</v>
      </c>
      <c r="W3311">
        <v>8.4231890000000004E-2</v>
      </c>
      <c r="X3311">
        <v>0.99623989999999996</v>
      </c>
      <c r="Y3311">
        <v>-1.383293E-2</v>
      </c>
      <c r="Z3311">
        <v>3.170289E-4</v>
      </c>
      <c r="AA3311">
        <v>0.99990429999999997</v>
      </c>
      <c r="AB3311">
        <v>47</v>
      </c>
      <c r="AC3311">
        <v>49.179900000000004</v>
      </c>
      <c r="AD3311">
        <v>-1.1075485365469999</v>
      </c>
      <c r="AE3311">
        <v>0.32820000000000898</v>
      </c>
      <c r="AF3311">
        <v>-0.686701605078612</v>
      </c>
      <c r="AG3311">
        <v>-1.1075485365469999</v>
      </c>
      <c r="AH3311">
        <v>49.151269135767699</v>
      </c>
      <c r="AI3311">
        <v>91.290728225176906</v>
      </c>
      <c r="AJ3311">
        <v>90.800438010456801</v>
      </c>
      <c r="AK3311">
        <v>49.168541573976903</v>
      </c>
      <c r="AL3311">
        <v>85.168143124502194</v>
      </c>
      <c r="AM3311">
        <v>88.834064287390802</v>
      </c>
      <c r="AN3311">
        <v>1.00000002682773</v>
      </c>
    </row>
    <row r="3312" spans="1:40" x14ac:dyDescent="0.25">
      <c r="A3312" t="str">
        <f>"20190312172955717"</f>
        <v>20190312172955717</v>
      </c>
      <c r="B3312" t="str">
        <f>"1552382995710556"</f>
        <v>1552382995710556</v>
      </c>
      <c r="C3312" t="s">
        <v>40</v>
      </c>
      <c r="D3312">
        <v>3.0354860000000001</v>
      </c>
      <c r="E3312">
        <v>0.48808259999999998</v>
      </c>
      <c r="F3312" t="s">
        <v>47</v>
      </c>
      <c r="G3312">
        <v>-339.64400000000001</v>
      </c>
      <c r="H3312" s="1">
        <v>3.6352660000000001E-6</v>
      </c>
      <c r="I3312">
        <v>213.70169999999999</v>
      </c>
      <c r="J3312">
        <v>-388.68900000000002</v>
      </c>
      <c r="K3312">
        <v>1.1076859999999999</v>
      </c>
      <c r="L3312">
        <v>213.3416</v>
      </c>
      <c r="M3312">
        <v>0.99993980000000005</v>
      </c>
      <c r="N3312">
        <v>0</v>
      </c>
      <c r="O3312">
        <v>-7.8157750000000005E-3</v>
      </c>
      <c r="P3312">
        <v>0.99665020000000004</v>
      </c>
      <c r="Q3312">
        <v>7.7255610000000002E-2</v>
      </c>
      <c r="R3312">
        <v>-2.6839040000000002E-2</v>
      </c>
      <c r="S3312">
        <v>3.01593</v>
      </c>
      <c r="T3312">
        <v>-6.7430729999999994E-2</v>
      </c>
      <c r="U3312">
        <v>2.1682739999999999E-2</v>
      </c>
      <c r="V3312">
        <v>1.9245760000000001E-2</v>
      </c>
      <c r="W3312">
        <v>8.4898020000000005E-2</v>
      </c>
      <c r="X3312">
        <v>0.99620379999999997</v>
      </c>
      <c r="Y3312">
        <v>-1.49991E-2</v>
      </c>
      <c r="Z3312">
        <v>3.4238079999999999E-4</v>
      </c>
      <c r="AA3312">
        <v>0.99988750000000004</v>
      </c>
      <c r="AB3312">
        <v>47</v>
      </c>
      <c r="AC3312">
        <v>49.045000000000002</v>
      </c>
      <c r="AD3312">
        <v>-1.1076823647339999</v>
      </c>
      <c r="AE3312">
        <v>0.36009999999998799</v>
      </c>
      <c r="AF3312">
        <v>-0.74304605859828798</v>
      </c>
      <c r="AG3312">
        <v>-1.1076823647339999</v>
      </c>
      <c r="AH3312">
        <v>49.015686624800303</v>
      </c>
      <c r="AI3312">
        <v>91.294431252705195</v>
      </c>
      <c r="AJ3312">
        <v>90.868500378454399</v>
      </c>
      <c r="AK3312">
        <v>49.033831310300201</v>
      </c>
      <c r="AL3312">
        <v>85.129839556944106</v>
      </c>
      <c r="AM3312">
        <v>88.893234831958793</v>
      </c>
      <c r="AN3312">
        <v>1.0000000421061599</v>
      </c>
    </row>
    <row r="3313" spans="1:40" x14ac:dyDescent="0.25">
      <c r="A3313" t="str">
        <f>"20190312172955739"</f>
        <v>20190312172955739</v>
      </c>
      <c r="B3313" t="str">
        <f>"1552382995731053"</f>
        <v>1552382995731053</v>
      </c>
      <c r="C3313" t="s">
        <v>40</v>
      </c>
      <c r="D3313">
        <v>3.018878</v>
      </c>
      <c r="E3313">
        <v>0.48817179999999999</v>
      </c>
      <c r="F3313" t="s">
        <v>47</v>
      </c>
      <c r="G3313">
        <v>-339.70839999999998</v>
      </c>
      <c r="H3313" s="1">
        <v>3.6695530000000002E-6</v>
      </c>
      <c r="I3313">
        <v>213.7012</v>
      </c>
      <c r="J3313">
        <v>-388.19799999999998</v>
      </c>
      <c r="K3313">
        <v>1.1077999999999999</v>
      </c>
      <c r="L3313">
        <v>213.3374</v>
      </c>
      <c r="M3313">
        <v>0.99993100000000001</v>
      </c>
      <c r="N3313">
        <v>0</v>
      </c>
      <c r="O3313">
        <v>-8.3120150000000007E-3</v>
      </c>
      <c r="P3313">
        <v>0.99667609999999995</v>
      </c>
      <c r="Q3313">
        <v>7.700137E-2</v>
      </c>
      <c r="R3313">
        <v>-2.660384E-2</v>
      </c>
      <c r="S3313">
        <v>3.01593</v>
      </c>
      <c r="T3313">
        <v>-6.8204399999999998E-2</v>
      </c>
      <c r="U3313">
        <v>2.21405E-2</v>
      </c>
      <c r="V3313">
        <v>1.8507679999999999E-2</v>
      </c>
      <c r="W3313">
        <v>8.5235829999999999E-2</v>
      </c>
      <c r="X3313">
        <v>0.99618890000000004</v>
      </c>
      <c r="Y3313">
        <v>-1.5646690000000001E-2</v>
      </c>
      <c r="Z3313">
        <v>3.6485130000000001E-4</v>
      </c>
      <c r="AA3313">
        <v>0.99987749999999997</v>
      </c>
      <c r="AB3313">
        <v>47</v>
      </c>
      <c r="AC3313">
        <v>48.489600000000003</v>
      </c>
      <c r="AD3313">
        <v>-1.107796330447</v>
      </c>
      <c r="AE3313">
        <v>0.36379999999999701</v>
      </c>
      <c r="AF3313">
        <v>-0.76644758183208395</v>
      </c>
      <c r="AG3313">
        <v>-1.107796330447</v>
      </c>
      <c r="AH3313">
        <v>48.459609072336697</v>
      </c>
      <c r="AI3313">
        <v>91.309401152112002</v>
      </c>
      <c r="AJ3313">
        <v>90.906126799100505</v>
      </c>
      <c r="AK3313">
        <v>48.478328828963797</v>
      </c>
      <c r="AL3313">
        <v>85.110413864509198</v>
      </c>
      <c r="AM3313">
        <v>88.935653695921303</v>
      </c>
      <c r="AN3313">
        <v>1.0000000027089899</v>
      </c>
    </row>
    <row r="3314" spans="1:40" x14ac:dyDescent="0.25">
      <c r="A3314" t="str">
        <f>"20190312172955761"</f>
        <v>20190312172955761</v>
      </c>
      <c r="B3314" t="str">
        <f>"1552382995750572"</f>
        <v>1552382995750572</v>
      </c>
      <c r="C3314" t="s">
        <v>40</v>
      </c>
      <c r="D3314">
        <v>3.0382880000000001</v>
      </c>
      <c r="E3314">
        <v>0.48827090000000001</v>
      </c>
      <c r="F3314" t="s">
        <v>47</v>
      </c>
      <c r="G3314">
        <v>-340.01889999999997</v>
      </c>
      <c r="H3314" s="1">
        <v>-1.5267309999999999E-6</v>
      </c>
      <c r="I3314">
        <v>213.69820000000001</v>
      </c>
      <c r="J3314">
        <v>-387.7398</v>
      </c>
      <c r="K3314">
        <v>1.107893</v>
      </c>
      <c r="L3314">
        <v>213.3331</v>
      </c>
      <c r="M3314">
        <v>0.99992289999999995</v>
      </c>
      <c r="N3314">
        <v>0</v>
      </c>
      <c r="O3314">
        <v>-8.7686969999999902E-3</v>
      </c>
      <c r="P3314">
        <v>0.99670309999999995</v>
      </c>
      <c r="Q3314">
        <v>7.6590640000000001E-2</v>
      </c>
      <c r="R3314">
        <v>-2.678109E-2</v>
      </c>
      <c r="S3314">
        <v>3.0159609999999999</v>
      </c>
      <c r="T3314">
        <v>-6.9347140000000002E-2</v>
      </c>
      <c r="U3314">
        <v>2.2583010000000001E-2</v>
      </c>
      <c r="V3314">
        <v>1.8220750000000001E-2</v>
      </c>
      <c r="W3314">
        <v>8.5332270000000002E-2</v>
      </c>
      <c r="X3314">
        <v>0.99618600000000002</v>
      </c>
      <c r="Y3314">
        <v>-1.6249510000000002E-2</v>
      </c>
      <c r="Z3314">
        <v>3.8838840000000001E-4</v>
      </c>
      <c r="AA3314">
        <v>0.99986790000000003</v>
      </c>
      <c r="AB3314">
        <v>47</v>
      </c>
      <c r="AC3314">
        <v>47.7209</v>
      </c>
      <c r="AD3314">
        <v>-1.1078945267309901</v>
      </c>
      <c r="AE3314">
        <v>0.36510000000001203</v>
      </c>
      <c r="AF3314">
        <v>-0.78313017637315496</v>
      </c>
      <c r="AG3314">
        <v>-1.1078945267309901</v>
      </c>
      <c r="AH3314">
        <v>47.690160668146</v>
      </c>
      <c r="AI3314">
        <v>91.330624846242998</v>
      </c>
      <c r="AJ3314">
        <v>90.940781510844104</v>
      </c>
      <c r="AK3314">
        <v>47.709455537755701</v>
      </c>
      <c r="AL3314">
        <v>85.104868381217202</v>
      </c>
      <c r="AM3314">
        <v>88.952147811592994</v>
      </c>
      <c r="AN3314">
        <v>1.00000006931495</v>
      </c>
    </row>
    <row r="3315" spans="1:40" x14ac:dyDescent="0.25">
      <c r="A3315" t="str">
        <f>"20190312172955783"</f>
        <v>20190312172955783</v>
      </c>
      <c r="B3315" t="str">
        <f>"1552382995771072"</f>
        <v>1552382995771072</v>
      </c>
      <c r="C3315" t="s">
        <v>40</v>
      </c>
      <c r="D3315">
        <v>3.0164610000000001</v>
      </c>
      <c r="E3315">
        <v>0.48837950000000002</v>
      </c>
      <c r="F3315" t="s">
        <v>47</v>
      </c>
      <c r="G3315">
        <v>-340.8365</v>
      </c>
      <c r="H3315" s="1">
        <v>-1.0916459999999899E-6</v>
      </c>
      <c r="I3315">
        <v>213.66249999999999</v>
      </c>
      <c r="J3315">
        <v>-387.28190000000001</v>
      </c>
      <c r="K3315">
        <v>1.1079760000000001</v>
      </c>
      <c r="L3315">
        <v>213.3287</v>
      </c>
      <c r="M3315">
        <v>0.99991459999999999</v>
      </c>
      <c r="N3315">
        <v>0</v>
      </c>
      <c r="O3315">
        <v>-9.2269729999999994E-3</v>
      </c>
      <c r="P3315">
        <v>0.99675720000000001</v>
      </c>
      <c r="Q3315">
        <v>7.5867740000000003E-2</v>
      </c>
      <c r="R3315">
        <v>-2.6824049999999999E-2</v>
      </c>
      <c r="S3315">
        <v>3.01593</v>
      </c>
      <c r="T3315">
        <v>-7.1238640000000006E-2</v>
      </c>
      <c r="U3315">
        <v>2.1179199999999999E-2</v>
      </c>
      <c r="V3315">
        <v>1.7796799999999901E-2</v>
      </c>
      <c r="W3315">
        <v>8.5071910000000001E-2</v>
      </c>
      <c r="X3315">
        <v>0.99621590000000004</v>
      </c>
      <c r="Y3315">
        <v>-1.6242010000000001E-2</v>
      </c>
      <c r="Z3315">
        <v>4.0971950000000002E-4</v>
      </c>
      <c r="AA3315">
        <v>0.99986799999999998</v>
      </c>
      <c r="AB3315">
        <v>47</v>
      </c>
      <c r="AC3315">
        <v>46.445399999999999</v>
      </c>
      <c r="AD3315">
        <v>-1.1079770916459999</v>
      </c>
      <c r="AE3315">
        <v>0.33379999999999599</v>
      </c>
      <c r="AF3315">
        <v>-0.76192102151282803</v>
      </c>
      <c r="AG3315">
        <v>-1.1079770916459999</v>
      </c>
      <c r="AH3315">
        <v>46.413930534189397</v>
      </c>
      <c r="AI3315">
        <v>91.367300915463105</v>
      </c>
      <c r="AJ3315">
        <v>90.940470622635104</v>
      </c>
      <c r="AK3315">
        <v>46.433404834356097</v>
      </c>
      <c r="AL3315">
        <v>85.119840197368504</v>
      </c>
      <c r="AM3315">
        <v>88.976554101408198</v>
      </c>
      <c r="AN3315">
        <v>1.0000000376870399</v>
      </c>
    </row>
    <row r="3316" spans="1:40" x14ac:dyDescent="0.25">
      <c r="A3316" t="str">
        <f>"20190312172955806"</f>
        <v>20190312172955806</v>
      </c>
      <c r="B3316" t="str">
        <f>"1552382995801325"</f>
        <v>1552382995801325</v>
      </c>
      <c r="C3316" t="s">
        <v>40</v>
      </c>
      <c r="D3316">
        <v>3.0071300000000001</v>
      </c>
      <c r="E3316">
        <v>0.48851810000000001</v>
      </c>
      <c r="F3316" t="s">
        <v>47</v>
      </c>
      <c r="G3316">
        <v>-341.71949999999998</v>
      </c>
      <c r="H3316" s="1">
        <v>-6.2172899999999997E-7</v>
      </c>
      <c r="I3316">
        <v>213.63249999999999</v>
      </c>
      <c r="J3316">
        <v>-386.80650000000003</v>
      </c>
      <c r="K3316">
        <v>1.108058</v>
      </c>
      <c r="L3316">
        <v>213.32380000000001</v>
      </c>
      <c r="M3316">
        <v>0.99990590000000001</v>
      </c>
      <c r="N3316">
        <v>0</v>
      </c>
      <c r="O3316">
        <v>-9.7069249999999999E-3</v>
      </c>
      <c r="P3316">
        <v>0.99677329999999997</v>
      </c>
      <c r="Q3316">
        <v>7.5350650000000005E-2</v>
      </c>
      <c r="R3316">
        <v>-2.7663130000000001E-2</v>
      </c>
      <c r="S3316">
        <v>3.0158689999999999</v>
      </c>
      <c r="T3316">
        <v>-7.3339340000000003E-2</v>
      </c>
      <c r="U3316">
        <v>2.011108E-2</v>
      </c>
      <c r="V3316">
        <v>1.8147819999999999E-2</v>
      </c>
      <c r="W3316">
        <v>8.4980689999999998E-2</v>
      </c>
      <c r="X3316">
        <v>0.99621729999999997</v>
      </c>
      <c r="Y3316">
        <v>-1.6367420000000001E-2</v>
      </c>
      <c r="Z3316">
        <v>4.3500219999999999E-4</v>
      </c>
      <c r="AA3316">
        <v>0.99986589999999997</v>
      </c>
      <c r="AB3316">
        <v>47</v>
      </c>
      <c r="AC3316">
        <v>45.087000000000003</v>
      </c>
      <c r="AD3316">
        <v>-1.108058621729</v>
      </c>
      <c r="AE3316">
        <v>0.30869999999998698</v>
      </c>
      <c r="AF3316">
        <v>-0.74591165139398996</v>
      </c>
      <c r="AG3316">
        <v>-1.108058621729</v>
      </c>
      <c r="AH3316">
        <v>45.054668076412803</v>
      </c>
      <c r="AI3316">
        <v>91.408635247988897</v>
      </c>
      <c r="AJ3316">
        <v>90.948485191754401</v>
      </c>
      <c r="AK3316">
        <v>45.074463874533301</v>
      </c>
      <c r="AL3316">
        <v>85.125085455928001</v>
      </c>
      <c r="AM3316">
        <v>88.956373777038493</v>
      </c>
      <c r="AN3316">
        <v>0.99999998493145903</v>
      </c>
    </row>
    <row r="3317" spans="1:40" x14ac:dyDescent="0.25">
      <c r="A3317" t="str">
        <f>"20190312172955827"</f>
        <v>20190312172955827</v>
      </c>
      <c r="B3317" t="str">
        <f>"1552382995820845"</f>
        <v>1552382995820845</v>
      </c>
      <c r="C3317" t="s">
        <v>40</v>
      </c>
      <c r="D3317">
        <v>3.082767</v>
      </c>
      <c r="E3317">
        <v>0.4885253</v>
      </c>
      <c r="F3317" t="s">
        <v>47</v>
      </c>
      <c r="G3317">
        <v>-342.0915</v>
      </c>
      <c r="H3317" s="1">
        <v>-4.2381780000000001E-7</v>
      </c>
      <c r="I3317">
        <v>213.5643</v>
      </c>
      <c r="J3317">
        <v>-386.34949999999998</v>
      </c>
      <c r="K3317">
        <v>1.108117</v>
      </c>
      <c r="L3317">
        <v>213.31890000000001</v>
      </c>
      <c r="M3317">
        <v>0.99989779999999995</v>
      </c>
      <c r="N3317">
        <v>0</v>
      </c>
      <c r="O3317">
        <v>-1.0170210000000001E-2</v>
      </c>
      <c r="P3317">
        <v>0.99677289999999996</v>
      </c>
      <c r="Q3317">
        <v>7.520317E-2</v>
      </c>
      <c r="R3317">
        <v>-2.8078269999999999E-2</v>
      </c>
      <c r="S3317">
        <v>3.0158079999999998</v>
      </c>
      <c r="T3317">
        <v>-7.4733140000000003E-2</v>
      </c>
      <c r="U3317">
        <v>1.622009E-2</v>
      </c>
      <c r="V3317">
        <v>1.8093709999999999E-2</v>
      </c>
      <c r="W3317">
        <v>8.5198280000000001E-2</v>
      </c>
      <c r="X3317">
        <v>0.99619970000000002</v>
      </c>
      <c r="Y3317">
        <v>-1.5540679999999999E-2</v>
      </c>
      <c r="Z3317">
        <v>4.445149E-4</v>
      </c>
      <c r="AA3317">
        <v>0.99987910000000002</v>
      </c>
      <c r="AB3317">
        <v>47</v>
      </c>
      <c r="AC3317">
        <v>44.257999999999903</v>
      </c>
      <c r="AD3317">
        <v>-1.1081174238178</v>
      </c>
      <c r="AE3317">
        <v>0.24539999999998899</v>
      </c>
      <c r="AF3317">
        <v>-0.69508745731369204</v>
      </c>
      <c r="AG3317">
        <v>-1.1081174238178</v>
      </c>
      <c r="AH3317">
        <v>44.225491488954901</v>
      </c>
      <c r="AI3317">
        <v>91.435130114078405</v>
      </c>
      <c r="AJ3317">
        <v>90.900437679554599</v>
      </c>
      <c r="AK3317">
        <v>44.244832107692602</v>
      </c>
      <c r="AL3317">
        <v>85.112573092713603</v>
      </c>
      <c r="AM3317">
        <v>88.959466415406396</v>
      </c>
      <c r="AN3317">
        <v>0.99999998576830595</v>
      </c>
    </row>
    <row r="3318" spans="1:40" x14ac:dyDescent="0.25">
      <c r="A3318" t="str">
        <f>"20190312172955850"</f>
        <v>20190312172955850</v>
      </c>
      <c r="B3318" t="str">
        <f>"1552382995841340"</f>
        <v>1552382995841340</v>
      </c>
      <c r="C3318" t="s">
        <v>40</v>
      </c>
      <c r="D3318">
        <v>3.0039220000000002</v>
      </c>
      <c r="E3318">
        <v>0.48845230000000001</v>
      </c>
      <c r="F3318" t="s">
        <v>47</v>
      </c>
      <c r="G3318">
        <v>-343.101</v>
      </c>
      <c r="H3318" s="1">
        <v>1.134191E-7</v>
      </c>
      <c r="I3318">
        <v>213.5351</v>
      </c>
      <c r="J3318">
        <v>-385.87200000000001</v>
      </c>
      <c r="K3318">
        <v>1.1081700000000001</v>
      </c>
      <c r="L3318">
        <v>213.31360000000001</v>
      </c>
      <c r="M3318">
        <v>0.99988920000000003</v>
      </c>
      <c r="N3318">
        <v>0</v>
      </c>
      <c r="O3318">
        <v>-1.0652969999999999E-2</v>
      </c>
      <c r="P3318">
        <v>0.99675760000000002</v>
      </c>
      <c r="Q3318">
        <v>7.5352619999999995E-2</v>
      </c>
      <c r="R3318">
        <v>-2.821738E-2</v>
      </c>
      <c r="S3318">
        <v>3.01593</v>
      </c>
      <c r="T3318">
        <v>-7.727444E-2</v>
      </c>
      <c r="U3318">
        <v>1.5075679999999999E-2</v>
      </c>
      <c r="V3318">
        <v>1.7745690000000001E-2</v>
      </c>
      <c r="W3318">
        <v>8.5685739999999996E-2</v>
      </c>
      <c r="X3318">
        <v>0.9961641</v>
      </c>
      <c r="Y3318">
        <v>-1.5643130000000002E-2</v>
      </c>
      <c r="Z3318">
        <v>4.7328829999999998E-4</v>
      </c>
      <c r="AA3318">
        <v>0.99987749999999997</v>
      </c>
      <c r="AB3318">
        <v>47</v>
      </c>
      <c r="AC3318">
        <v>42.770999999999901</v>
      </c>
      <c r="AD3318">
        <v>-1.1081698865809</v>
      </c>
      <c r="AE3318">
        <v>0.22149999999999101</v>
      </c>
      <c r="AF3318">
        <v>-0.67669598835093103</v>
      </c>
      <c r="AG3318">
        <v>-1.1081698865809</v>
      </c>
      <c r="AH3318">
        <v>42.737524210596703</v>
      </c>
      <c r="AI3318">
        <v>91.485141738504794</v>
      </c>
      <c r="AJ3318">
        <v>90.907132203179103</v>
      </c>
      <c r="AK3318">
        <v>42.7572442237513</v>
      </c>
      <c r="AL3318">
        <v>85.084540931773901</v>
      </c>
      <c r="AM3318">
        <v>88.979439622373206</v>
      </c>
      <c r="AN3318">
        <v>0.99999993484086402</v>
      </c>
    </row>
    <row r="3319" spans="1:40" x14ac:dyDescent="0.25">
      <c r="A3319" t="str">
        <f>"20190312172955985"</f>
        <v>20190312172955985</v>
      </c>
      <c r="B3319" t="str">
        <f>"1552382995980909"</f>
        <v>1552382995980909</v>
      </c>
      <c r="C3319" t="s">
        <v>40</v>
      </c>
      <c r="D3319">
        <v>2.8403779999999998</v>
      </c>
      <c r="E3319">
        <v>0.48944510000000002</v>
      </c>
      <c r="F3319" t="s">
        <v>47</v>
      </c>
      <c r="G3319">
        <v>-342.6943</v>
      </c>
      <c r="H3319" s="1">
        <v>-1.0301070000000001E-7</v>
      </c>
      <c r="I3319">
        <v>213.53540000000001</v>
      </c>
      <c r="J3319">
        <v>-383.0324</v>
      </c>
      <c r="K3319">
        <v>1.1083209999999999</v>
      </c>
      <c r="L3319">
        <v>213.27760000000001</v>
      </c>
      <c r="M3319">
        <v>0.99984170000000006</v>
      </c>
      <c r="N3319">
        <v>0</v>
      </c>
      <c r="O3319">
        <v>-1.345204E-2</v>
      </c>
      <c r="P3319">
        <v>0.99648020000000004</v>
      </c>
      <c r="Q3319">
        <v>7.8395389999999995E-2</v>
      </c>
      <c r="R3319">
        <v>-2.9683919999999999E-2</v>
      </c>
      <c r="S3319">
        <v>3.0160520000000002</v>
      </c>
      <c r="T3319">
        <v>-7.7407959999999998E-2</v>
      </c>
      <c r="U3319">
        <v>1.548767E-2</v>
      </c>
      <c r="V3319">
        <v>1.6410170000000002E-2</v>
      </c>
      <c r="W3319">
        <v>8.9967820000000004E-2</v>
      </c>
      <c r="X3319">
        <v>0.99580950000000001</v>
      </c>
      <c r="Y3319">
        <v>-1.8576780000000001E-2</v>
      </c>
      <c r="Z3319">
        <v>5.8355929999999998E-4</v>
      </c>
      <c r="AA3319">
        <v>0.99982729999999997</v>
      </c>
      <c r="AB3319">
        <v>47</v>
      </c>
      <c r="AC3319">
        <v>40.338099999999997</v>
      </c>
      <c r="AD3319">
        <v>-1.1083211030107001</v>
      </c>
      <c r="AE3319">
        <v>0.25780000000000303</v>
      </c>
      <c r="AF3319">
        <v>-0.79983941463056196</v>
      </c>
      <c r="AG3319">
        <v>-1.1083211030107001</v>
      </c>
      <c r="AH3319">
        <v>40.300559017056898</v>
      </c>
      <c r="AI3319">
        <v>91.575006089025507</v>
      </c>
      <c r="AJ3319">
        <v>91.136991847758495</v>
      </c>
      <c r="AK3319">
        <v>40.323729686672799</v>
      </c>
      <c r="AL3319">
        <v>84.838244359624795</v>
      </c>
      <c r="AM3319">
        <v>89.055895344954806</v>
      </c>
      <c r="AN3319">
        <v>1.0000000313026101</v>
      </c>
    </row>
    <row r="3320" spans="1:40" x14ac:dyDescent="0.25">
      <c r="A3320" t="str">
        <f>"20190312172956005"</f>
        <v>20190312172956005</v>
      </c>
      <c r="B3320" t="str">
        <f>"1552382996001404"</f>
        <v>1552382996001404</v>
      </c>
      <c r="C3320" t="s">
        <v>40</v>
      </c>
      <c r="D3320">
        <v>2.986399</v>
      </c>
      <c r="E3320">
        <v>0.49096840000000003</v>
      </c>
      <c r="F3320" t="s">
        <v>47</v>
      </c>
      <c r="G3320">
        <v>-336.14490000000001</v>
      </c>
      <c r="H3320" s="1">
        <v>1.789325E-6</v>
      </c>
      <c r="I3320">
        <v>213.33279999999999</v>
      </c>
      <c r="J3320">
        <v>-382.5924</v>
      </c>
      <c r="K3320">
        <v>1.1080890000000001</v>
      </c>
      <c r="L3320">
        <v>213.2713</v>
      </c>
      <c r="M3320">
        <v>0.99984669999999998</v>
      </c>
      <c r="N3320">
        <v>0</v>
      </c>
      <c r="O3320">
        <v>-1.3849159999999999E-2</v>
      </c>
      <c r="P3320">
        <v>0.99636829999999998</v>
      </c>
      <c r="Q3320">
        <v>7.9708840000000003E-2</v>
      </c>
      <c r="R3320">
        <v>-2.9945570000000001E-2</v>
      </c>
      <c r="S3320">
        <v>3.0163570000000002</v>
      </c>
      <c r="T3320">
        <v>-7.1300150000000007E-2</v>
      </c>
      <c r="U3320">
        <v>3.5552980000000001E-3</v>
      </c>
      <c r="V3320">
        <v>1.627025E-2</v>
      </c>
      <c r="W3320">
        <v>9.0366730000000006E-2</v>
      </c>
      <c r="X3320">
        <v>0.99577559999999998</v>
      </c>
      <c r="Y3320">
        <v>-1.5020439999999999E-2</v>
      </c>
      <c r="Z3320">
        <v>5.0483050000000001E-4</v>
      </c>
      <c r="AA3320">
        <v>0.99988699999999997</v>
      </c>
      <c r="AB3320">
        <v>47</v>
      </c>
      <c r="AC3320">
        <v>46.447499999999899</v>
      </c>
      <c r="AD3320">
        <v>-1.1080872106749999</v>
      </c>
      <c r="AE3320">
        <v>6.1499999999995197E-2</v>
      </c>
      <c r="AF3320">
        <v>-0.70438898022316998</v>
      </c>
      <c r="AG3320">
        <v>-1.1080872106749999</v>
      </c>
      <c r="AH3320">
        <v>46.415775928297499</v>
      </c>
      <c r="AI3320">
        <v>91.367409179688906</v>
      </c>
      <c r="AJ3320">
        <v>90.869433229004002</v>
      </c>
      <c r="AK3320">
        <v>46.434343713762601</v>
      </c>
      <c r="AL3320">
        <v>84.815294629508799</v>
      </c>
      <c r="AM3320">
        <v>89.063911877967598</v>
      </c>
      <c r="AN3320">
        <v>0.99999995624065596</v>
      </c>
    </row>
    <row r="3321" spans="1:40" x14ac:dyDescent="0.25">
      <c r="A3321" t="str">
        <f>"20190312172956028"</f>
        <v>20190312172956028</v>
      </c>
      <c r="B3321" t="str">
        <f>"1552382996020925"</f>
        <v>1552382996020925</v>
      </c>
      <c r="C3321" t="s">
        <v>40</v>
      </c>
      <c r="D3321">
        <v>2.9610180000000001</v>
      </c>
      <c r="E3321">
        <v>0.49235180000000001</v>
      </c>
      <c r="F3321" t="s">
        <v>47</v>
      </c>
      <c r="G3321">
        <v>-327.2099</v>
      </c>
      <c r="H3321" s="1">
        <v>2.299954E-6</v>
      </c>
      <c r="I3321">
        <v>213.09809999999999</v>
      </c>
      <c r="J3321">
        <v>-382.09640000000002</v>
      </c>
      <c r="K3321">
        <v>1.107791</v>
      </c>
      <c r="L3321">
        <v>213.26419999999999</v>
      </c>
      <c r="M3321">
        <v>0.99985469999999999</v>
      </c>
      <c r="N3321">
        <v>0</v>
      </c>
      <c r="O3321">
        <v>-1.427314E-2</v>
      </c>
      <c r="P3321">
        <v>0.9962512</v>
      </c>
      <c r="Q3321">
        <v>8.0995070000000002E-2</v>
      </c>
      <c r="R3321">
        <v>-3.0392659999999998E-2</v>
      </c>
      <c r="S3321">
        <v>3.0154719999999999</v>
      </c>
      <c r="T3321">
        <v>-6.0333249999999998E-2</v>
      </c>
      <c r="U3321">
        <v>-9.4299320000000002E-3</v>
      </c>
      <c r="V3321">
        <v>1.6285629999999999E-2</v>
      </c>
      <c r="W3321">
        <v>9.0266529999999998E-2</v>
      </c>
      <c r="X3321">
        <v>0.99578449999999996</v>
      </c>
      <c r="Y3321">
        <v>-1.1141760000000001E-2</v>
      </c>
      <c r="Z3321">
        <v>3.9699990000000002E-4</v>
      </c>
      <c r="AA3321">
        <v>0.99993779999999999</v>
      </c>
      <c r="AB3321">
        <v>48</v>
      </c>
      <c r="AC3321">
        <v>54.886499999999998</v>
      </c>
      <c r="AD3321">
        <v>-1.1077887000460001</v>
      </c>
      <c r="AE3321">
        <v>-0.1661</v>
      </c>
      <c r="AF3321">
        <v>-0.61710226104380195</v>
      </c>
      <c r="AG3321">
        <v>-1.1077887000460001</v>
      </c>
      <c r="AH3321">
        <v>54.860931121976698</v>
      </c>
      <c r="AI3321">
        <v>91.156724425410601</v>
      </c>
      <c r="AJ3321">
        <v>90.644463432167498</v>
      </c>
      <c r="AK3321">
        <v>54.875584503263497</v>
      </c>
      <c r="AL3321">
        <v>84.821059553724197</v>
      </c>
      <c r="AM3321">
        <v>89.063035539790306</v>
      </c>
      <c r="AN3321">
        <v>1.00000001931149</v>
      </c>
    </row>
    <row r="3322" spans="1:40" x14ac:dyDescent="0.25">
      <c r="A3322" t="str">
        <f>"20190312172956051"</f>
        <v>20190312172956051</v>
      </c>
      <c r="B3322" t="str">
        <f>"1552382996041420"</f>
        <v>1552382996041420</v>
      </c>
      <c r="C3322" t="s">
        <v>40</v>
      </c>
      <c r="D3322">
        <v>2.9974430000000001</v>
      </c>
      <c r="E3322">
        <v>0.49343569999999998</v>
      </c>
      <c r="F3322" t="s">
        <v>47</v>
      </c>
      <c r="G3322">
        <v>-320.86619999999999</v>
      </c>
      <c r="H3322" s="1">
        <v>-1.0758309999999999E-6</v>
      </c>
      <c r="I3322">
        <v>212.8254</v>
      </c>
      <c r="J3322">
        <v>-381.60969999999998</v>
      </c>
      <c r="K3322">
        <v>1.107569</v>
      </c>
      <c r="L3322">
        <v>213.25700000000001</v>
      </c>
      <c r="M3322">
        <v>0.99986030000000004</v>
      </c>
      <c r="N3322">
        <v>0</v>
      </c>
      <c r="O3322">
        <v>-1.467075E-2</v>
      </c>
      <c r="P3322">
        <v>0.99614230000000004</v>
      </c>
      <c r="Q3322">
        <v>8.2259879999999994E-2</v>
      </c>
      <c r="R3322">
        <v>-3.0562579999999999E-2</v>
      </c>
      <c r="S3322">
        <v>3.0151059999999998</v>
      </c>
      <c r="T3322">
        <v>-5.4550050000000003E-2</v>
      </c>
      <c r="U3322">
        <v>-2.1606449999999999E-2</v>
      </c>
      <c r="V3322">
        <v>1.605067E-2</v>
      </c>
      <c r="W3322">
        <v>9.0226630000000002E-2</v>
      </c>
      <c r="X3322">
        <v>0.99579189999999995</v>
      </c>
      <c r="Y3322">
        <v>-7.5021059999999997E-3</v>
      </c>
      <c r="Z3322">
        <v>3.3325819999999997E-4</v>
      </c>
      <c r="AA3322">
        <v>0.99997179999999997</v>
      </c>
      <c r="AB3322">
        <v>48</v>
      </c>
      <c r="AC3322">
        <v>60.743499999999898</v>
      </c>
      <c r="AD3322">
        <v>-1.1075700758310001</v>
      </c>
      <c r="AE3322">
        <v>-0.43160000000000298</v>
      </c>
      <c r="AF3322">
        <v>-0.45947498930422498</v>
      </c>
      <c r="AG3322">
        <v>-1.1075700758310001</v>
      </c>
      <c r="AH3322">
        <v>60.723107245114498</v>
      </c>
      <c r="AI3322">
        <v>91.044910937934205</v>
      </c>
      <c r="AJ3322">
        <v>90.433533072606593</v>
      </c>
      <c r="AK3322">
        <v>60.734945313553602</v>
      </c>
      <c r="AL3322">
        <v>84.823354861789099</v>
      </c>
      <c r="AM3322">
        <v>89.076558044419002</v>
      </c>
      <c r="AN3322">
        <v>0.99999998843710702</v>
      </c>
    </row>
    <row r="3323" spans="1:40" x14ac:dyDescent="0.25">
      <c r="A3323" t="str">
        <f>"20190312172956072"</f>
        <v>20190312172956072</v>
      </c>
      <c r="B3323" t="str">
        <f>"1552382996060944"</f>
        <v>1552382996060944</v>
      </c>
      <c r="C3323" t="s">
        <v>40</v>
      </c>
      <c r="D3323">
        <v>3.019053</v>
      </c>
      <c r="E3323">
        <v>0.49447600000000003</v>
      </c>
      <c r="F3323" t="s">
        <v>48</v>
      </c>
      <c r="G3323">
        <v>-312.38729999999998</v>
      </c>
      <c r="H3323" s="1">
        <v>1.9643099999999998E-6</v>
      </c>
      <c r="I3323">
        <v>212.5521</v>
      </c>
      <c r="J3323">
        <v>-381.1454</v>
      </c>
      <c r="K3323">
        <v>1.1074459999999999</v>
      </c>
      <c r="L3323">
        <v>213.2501</v>
      </c>
      <c r="M3323">
        <v>0.99986299999999995</v>
      </c>
      <c r="N3323">
        <v>0</v>
      </c>
      <c r="O3323">
        <v>-1.501716E-2</v>
      </c>
      <c r="P3323">
        <v>0.99605659999999896</v>
      </c>
      <c r="Q3323">
        <v>8.3149689999999998E-2</v>
      </c>
      <c r="R3323">
        <v>-3.0945190000000001E-2</v>
      </c>
      <c r="S3323">
        <v>3.0146480000000002</v>
      </c>
      <c r="T3323">
        <v>-4.8234699999999998E-2</v>
      </c>
      <c r="U3323">
        <v>-3.0700680000000001E-2</v>
      </c>
      <c r="V3323">
        <v>1.6081620000000001E-2</v>
      </c>
      <c r="W3323">
        <v>9.0085100000000001E-2</v>
      </c>
      <c r="X3323">
        <v>0.99580429999999998</v>
      </c>
      <c r="Y3323">
        <v>-4.8320480000000002E-3</v>
      </c>
      <c r="Z3323">
        <v>2.7890219999999999E-4</v>
      </c>
      <c r="AA3323">
        <v>0.99998830000000005</v>
      </c>
      <c r="AB3323">
        <v>48</v>
      </c>
      <c r="AC3323">
        <v>68.758099999999999</v>
      </c>
      <c r="AD3323">
        <v>-1.1074440356899999</v>
      </c>
      <c r="AE3323">
        <v>-0.69800000000000695</v>
      </c>
      <c r="AF3323">
        <v>-0.33456834156024401</v>
      </c>
      <c r="AG3323">
        <v>-1.1074440356899999</v>
      </c>
      <c r="AH3323">
        <v>68.742997265820506</v>
      </c>
      <c r="AI3323">
        <v>90.922939530888797</v>
      </c>
      <c r="AJ3323">
        <v>90.278853168161206</v>
      </c>
      <c r="AK3323">
        <v>68.752731155612693</v>
      </c>
      <c r="AL3323">
        <v>84.831497533935604</v>
      </c>
      <c r="AM3323">
        <v>89.074789228793193</v>
      </c>
      <c r="AN3323">
        <v>1.0000000738211501</v>
      </c>
    </row>
    <row r="3324" spans="1:40" x14ac:dyDescent="0.25">
      <c r="A3324" t="str">
        <f>"20190312172956095"</f>
        <v>20190312172956095</v>
      </c>
      <c r="B3324" t="str">
        <f>"1552382996091197"</f>
        <v>1552382996091197</v>
      </c>
      <c r="C3324" t="s">
        <v>40</v>
      </c>
      <c r="D3324">
        <v>3.0320870000000002</v>
      </c>
      <c r="E3324">
        <v>0.4958864</v>
      </c>
      <c r="F3324" t="s">
        <v>48</v>
      </c>
      <c r="G3324">
        <v>-305.38189999999997</v>
      </c>
      <c r="H3324" s="1">
        <v>1.698595E-6</v>
      </c>
      <c r="I3324">
        <v>212.23689999999999</v>
      </c>
      <c r="J3324">
        <v>-380.66079999999999</v>
      </c>
      <c r="K3324">
        <v>1.1074109999999999</v>
      </c>
      <c r="L3324">
        <v>213.24279999999999</v>
      </c>
      <c r="M3324">
        <v>0.99986339999999996</v>
      </c>
      <c r="N3324">
        <v>0</v>
      </c>
      <c r="O3324">
        <v>-1.532502E-2</v>
      </c>
      <c r="P3324">
        <v>0.99598640000000005</v>
      </c>
      <c r="Q3324">
        <v>8.3987640000000002E-2</v>
      </c>
      <c r="R3324">
        <v>-3.0942250000000001E-2</v>
      </c>
      <c r="S3324">
        <v>3.014313</v>
      </c>
      <c r="T3324">
        <v>-4.4060589999999997E-2</v>
      </c>
      <c r="U3324">
        <v>-4.0313719999999997E-2</v>
      </c>
      <c r="V3324">
        <v>1.57676E-2</v>
      </c>
      <c r="W3324">
        <v>9.0153490000000003E-2</v>
      </c>
      <c r="X3324">
        <v>0.99580310000000005</v>
      </c>
      <c r="Y3324">
        <v>-1.9507700000000001E-3</v>
      </c>
      <c r="Z3324">
        <v>2.3823369999999999E-4</v>
      </c>
      <c r="AA3324">
        <v>0.9999981</v>
      </c>
      <c r="AB3324">
        <v>48</v>
      </c>
      <c r="AC3324">
        <v>75.278899999999993</v>
      </c>
      <c r="AD3324">
        <v>-1.1074093014049999</v>
      </c>
      <c r="AE3324">
        <v>-1.00589999999999</v>
      </c>
      <c r="AF3324">
        <v>-0.147858896134408</v>
      </c>
      <c r="AG3324">
        <v>-1.1074093014049999</v>
      </c>
      <c r="AH3324">
        <v>75.269189200139095</v>
      </c>
      <c r="AI3324">
        <v>90.8429103577772</v>
      </c>
      <c r="AJ3324">
        <v>90.112551761284493</v>
      </c>
      <c r="AK3324">
        <v>75.277480433794693</v>
      </c>
      <c r="AL3324">
        <v>84.827562898636003</v>
      </c>
      <c r="AM3324">
        <v>89.092851344140797</v>
      </c>
      <c r="AN3324">
        <v>1.00000004146927</v>
      </c>
    </row>
    <row r="3325" spans="1:40" x14ac:dyDescent="0.25">
      <c r="A3325" t="str">
        <f>"20190312172956118"</f>
        <v>20190312172956118</v>
      </c>
      <c r="B3325" t="str">
        <f>"1552382996110717"</f>
        <v>1552382996110717</v>
      </c>
      <c r="C3325" t="s">
        <v>40</v>
      </c>
      <c r="D3325">
        <v>3.0444520000000002</v>
      </c>
      <c r="E3325">
        <v>0.49673070000000002</v>
      </c>
      <c r="F3325" t="s">
        <v>48</v>
      </c>
      <c r="G3325">
        <v>-298.24419999999998</v>
      </c>
      <c r="H3325" s="1">
        <v>2.356791E-6</v>
      </c>
      <c r="I3325">
        <v>211.83369999999999</v>
      </c>
      <c r="J3325">
        <v>-380.15170000000001</v>
      </c>
      <c r="K3325">
        <v>1.107445</v>
      </c>
      <c r="L3325">
        <v>213.23500000000001</v>
      </c>
      <c r="M3325">
        <v>0.99986229999999998</v>
      </c>
      <c r="N3325">
        <v>0</v>
      </c>
      <c r="O3325">
        <v>-1.558239E-2</v>
      </c>
      <c r="P3325">
        <v>0.99590840000000003</v>
      </c>
      <c r="Q3325">
        <v>8.4804530000000003E-2</v>
      </c>
      <c r="R3325">
        <v>-3.121722E-2</v>
      </c>
      <c r="S3325">
        <v>3.0139469999999999</v>
      </c>
      <c r="T3325">
        <v>-4.0497539999999999E-2</v>
      </c>
      <c r="U3325">
        <v>-5.1528930000000001E-2</v>
      </c>
      <c r="V3325">
        <v>1.5783229999999999E-2</v>
      </c>
      <c r="W3325">
        <v>9.0466920000000006E-2</v>
      </c>
      <c r="X3325">
        <v>0.99577439999999995</v>
      </c>
      <c r="Y3325">
        <v>1.5131610000000001E-3</v>
      </c>
      <c r="Z3325">
        <v>1.9917679999999999E-4</v>
      </c>
      <c r="AA3325">
        <v>0.99999879999999997</v>
      </c>
      <c r="AB3325">
        <v>49</v>
      </c>
      <c r="AC3325">
        <v>81.907499999999999</v>
      </c>
      <c r="AD3325">
        <v>-1.1074426432089901</v>
      </c>
      <c r="AE3325">
        <v>-1.40130000000002</v>
      </c>
      <c r="AF3325">
        <v>0.124771661788492</v>
      </c>
      <c r="AG3325">
        <v>-1.1074426432089901</v>
      </c>
      <c r="AH3325">
        <v>81.904422614404197</v>
      </c>
      <c r="AI3325">
        <v>90.774657185861301</v>
      </c>
      <c r="AJ3325">
        <v>89.912716751244801</v>
      </c>
      <c r="AK3325">
        <v>81.912004254410206</v>
      </c>
      <c r="AL3325">
        <v>84.809530860453904</v>
      </c>
      <c r="AM3325">
        <v>89.091926095264597</v>
      </c>
      <c r="AN3325">
        <v>1.0000000148294299</v>
      </c>
    </row>
    <row r="3326" spans="1:40" x14ac:dyDescent="0.25">
      <c r="A3326" t="str">
        <f>"20190312172956141"</f>
        <v>20190312172956141</v>
      </c>
      <c r="B3326" t="str">
        <f>"1552382996131213"</f>
        <v>1552382996131213</v>
      </c>
      <c r="C3326" t="s">
        <v>40</v>
      </c>
      <c r="D3326">
        <v>3.0486360000000001</v>
      </c>
      <c r="E3326">
        <v>0.49742259999999999</v>
      </c>
      <c r="F3326" t="s">
        <v>48</v>
      </c>
      <c r="G3326">
        <v>-290.46690000000001</v>
      </c>
      <c r="H3326" s="1">
        <v>9.7721940000000001E-7</v>
      </c>
      <c r="I3326">
        <v>211.47669999999999</v>
      </c>
      <c r="J3326">
        <v>-379.64249999999998</v>
      </c>
      <c r="K3326">
        <v>1.107521</v>
      </c>
      <c r="L3326">
        <v>213.227</v>
      </c>
      <c r="M3326">
        <v>0.99986090000000005</v>
      </c>
      <c r="N3326">
        <v>0</v>
      </c>
      <c r="O3326">
        <v>-1.5781380000000001E-2</v>
      </c>
      <c r="P3326">
        <v>0.99584039999999996</v>
      </c>
      <c r="Q3326">
        <v>8.5604879999999994E-2</v>
      </c>
      <c r="R3326">
        <v>-3.1201179999999998E-2</v>
      </c>
      <c r="S3326">
        <v>3.0136409999999998</v>
      </c>
      <c r="T3326">
        <v>-3.7212969999999998E-2</v>
      </c>
      <c r="U3326">
        <v>-5.9082030000000001E-2</v>
      </c>
      <c r="V3326">
        <v>1.556535E-2</v>
      </c>
      <c r="W3326">
        <v>9.0965550000000006E-2</v>
      </c>
      <c r="X3326">
        <v>0.99573239999999996</v>
      </c>
      <c r="Y3326">
        <v>3.8209939999999999E-3</v>
      </c>
      <c r="Z3326">
        <v>1.712463E-4</v>
      </c>
      <c r="AA3326">
        <v>0.99999269999999996</v>
      </c>
      <c r="AB3326">
        <v>49</v>
      </c>
      <c r="AC3326">
        <v>89.175599999999903</v>
      </c>
      <c r="AD3326">
        <v>-1.1075200227805999</v>
      </c>
      <c r="AE3326">
        <v>-1.75030000000001</v>
      </c>
      <c r="AF3326">
        <v>0.34269465629082002</v>
      </c>
      <c r="AG3326">
        <v>-1.1075200227805999</v>
      </c>
      <c r="AH3326">
        <v>89.178366837908897</v>
      </c>
      <c r="AI3326">
        <v>90.711523374209193</v>
      </c>
      <c r="AJ3326">
        <v>89.779824844144699</v>
      </c>
      <c r="AK3326">
        <v>89.185902204916601</v>
      </c>
      <c r="AL3326">
        <v>84.780843165188401</v>
      </c>
      <c r="AM3326">
        <v>89.104421801018105</v>
      </c>
      <c r="AN3326">
        <v>1.0000000119085899</v>
      </c>
    </row>
    <row r="3327" spans="1:40" x14ac:dyDescent="0.25">
      <c r="A3327" t="str">
        <f>"20190312172956162"</f>
        <v>20190312172956162</v>
      </c>
      <c r="B3327" t="str">
        <f>"1552382996150733"</f>
        <v>1552382996150733</v>
      </c>
      <c r="C3327" t="s">
        <v>40</v>
      </c>
      <c r="D3327">
        <v>3.0301429999999998</v>
      </c>
      <c r="E3327">
        <v>0.4980523</v>
      </c>
      <c r="F3327" t="s">
        <v>48</v>
      </c>
      <c r="G3327">
        <v>-281.6884</v>
      </c>
      <c r="H3327" s="1">
        <v>6.7573609999999999E-6</v>
      </c>
      <c r="I3327">
        <v>211.13339999999999</v>
      </c>
      <c r="J3327">
        <v>-379.18869999999998</v>
      </c>
      <c r="K3327">
        <v>1.1075969999999999</v>
      </c>
      <c r="L3327">
        <v>213.21979999999999</v>
      </c>
      <c r="M3327">
        <v>0.99985970000000002</v>
      </c>
      <c r="N3327">
        <v>0</v>
      </c>
      <c r="O3327">
        <v>-1.5916159999999999E-2</v>
      </c>
      <c r="P3327">
        <v>0.99581430000000004</v>
      </c>
      <c r="Q3327">
        <v>8.591124E-2</v>
      </c>
      <c r="R3327">
        <v>-3.119247E-2</v>
      </c>
      <c r="S3327">
        <v>3.0134280000000002</v>
      </c>
      <c r="T3327">
        <v>-3.4071209999999998E-2</v>
      </c>
      <c r="U3327">
        <v>-6.4407350000000002E-2</v>
      </c>
      <c r="V3327">
        <v>1.541701E-2</v>
      </c>
      <c r="W3327">
        <v>9.1093270000000004E-2</v>
      </c>
      <c r="X3327">
        <v>0.99572300000000002</v>
      </c>
      <c r="Y3327">
        <v>5.4537839999999997E-3</v>
      </c>
      <c r="Z3327">
        <v>1.49091299999999E-4</v>
      </c>
      <c r="AA3327">
        <v>0.99998509999999996</v>
      </c>
      <c r="AB3327">
        <v>49</v>
      </c>
      <c r="AC3327">
        <v>97.500299999999896</v>
      </c>
      <c r="AD3327">
        <v>-1.1075902426390001</v>
      </c>
      <c r="AE3327">
        <v>-2.08639999999999</v>
      </c>
      <c r="AF3327">
        <v>0.53421527747551001</v>
      </c>
      <c r="AG3327">
        <v>-1.1075902426390001</v>
      </c>
      <c r="AH3327">
        <v>97.508579834920198</v>
      </c>
      <c r="AI3327">
        <v>90.650779296409098</v>
      </c>
      <c r="AJ3327">
        <v>89.686099678959707</v>
      </c>
      <c r="AK3327">
        <v>97.5163334192343</v>
      </c>
      <c r="AL3327">
        <v>84.773494674338707</v>
      </c>
      <c r="AM3327">
        <v>89.112947045658004</v>
      </c>
      <c r="AN3327">
        <v>0.99999998038281601</v>
      </c>
    </row>
    <row r="3328" spans="1:40" x14ac:dyDescent="0.25">
      <c r="A3328" t="str">
        <f>"20190312172956184"</f>
        <v>20190312172956184</v>
      </c>
      <c r="B3328" t="str">
        <f>"1552382996171228"</f>
        <v>1552382996171228</v>
      </c>
      <c r="C3328" t="s">
        <v>40</v>
      </c>
      <c r="D3328">
        <v>3.0385019999999998</v>
      </c>
      <c r="E3328">
        <v>0.49864809999999998</v>
      </c>
      <c r="F3328" t="s">
        <v>47</v>
      </c>
      <c r="G3328">
        <v>-275.0258</v>
      </c>
      <c r="H3328" s="1">
        <v>1.3040039999999901E-6</v>
      </c>
      <c r="I3328">
        <v>210.81190000000001</v>
      </c>
      <c r="J3328">
        <v>-378.7131</v>
      </c>
      <c r="K3328">
        <v>1.10768</v>
      </c>
      <c r="L3328">
        <v>213.2123</v>
      </c>
      <c r="M3328">
        <v>0.99985869999999999</v>
      </c>
      <c r="N3328">
        <v>0</v>
      </c>
      <c r="O3328">
        <v>-1.6024E-2</v>
      </c>
      <c r="P3328">
        <v>0.99579580000000001</v>
      </c>
      <c r="Q3328">
        <v>8.6239499999999997E-2</v>
      </c>
      <c r="R3328">
        <v>-3.087867E-2</v>
      </c>
      <c r="S3328">
        <v>3.0131839999999999</v>
      </c>
      <c r="T3328">
        <v>-3.2040119999999998E-2</v>
      </c>
      <c r="U3328">
        <v>-6.9656369999999995E-2</v>
      </c>
      <c r="V3328">
        <v>1.498915E-2</v>
      </c>
      <c r="W3328">
        <v>9.1283699999999995E-2</v>
      </c>
      <c r="X3328">
        <v>0.99571209999999999</v>
      </c>
      <c r="Y3328">
        <v>7.0886330000000004E-3</v>
      </c>
      <c r="Z3328">
        <v>1.326678E-4</v>
      </c>
      <c r="AA3328">
        <v>0.99997480000000005</v>
      </c>
      <c r="AB3328">
        <v>49</v>
      </c>
      <c r="AC3328">
        <v>103.68729999999999</v>
      </c>
      <c r="AD3328">
        <v>-1.1076786959960001</v>
      </c>
      <c r="AE3328">
        <v>-2.4003999999999901</v>
      </c>
      <c r="AF3328">
        <v>0.73850082489628899</v>
      </c>
      <c r="AG3328">
        <v>-1.1076786959960001</v>
      </c>
      <c r="AH3328">
        <v>103.700623110853</v>
      </c>
      <c r="AI3328">
        <v>90.6119663491816</v>
      </c>
      <c r="AJ3328">
        <v>89.591976751147698</v>
      </c>
      <c r="AK3328">
        <v>103.70916820195301</v>
      </c>
      <c r="AL3328">
        <v>84.762538226578201</v>
      </c>
      <c r="AM3328">
        <v>89.137551738919498</v>
      </c>
      <c r="AN3328">
        <v>0.99999998729491102</v>
      </c>
    </row>
    <row r="3329" spans="1:40" x14ac:dyDescent="0.25">
      <c r="A3329" t="str">
        <f>"20190312172956206"</f>
        <v>20190312172956206</v>
      </c>
      <c r="B3329" t="str">
        <f>"1552382996200509"</f>
        <v>1552382996200509</v>
      </c>
      <c r="C3329" t="s">
        <v>40</v>
      </c>
      <c r="D3329">
        <v>3.0769310000000001</v>
      </c>
      <c r="E3329">
        <v>0.49939410000000001</v>
      </c>
      <c r="F3329" t="s">
        <v>47</v>
      </c>
      <c r="G3329">
        <v>-266.93759999999997</v>
      </c>
      <c r="H3329" s="1">
        <v>2.3352859999999999E-6</v>
      </c>
      <c r="I3329">
        <v>210.49289999999999</v>
      </c>
      <c r="J3329">
        <v>-378.21879999999999</v>
      </c>
      <c r="K3329">
        <v>1.1077589999999999</v>
      </c>
      <c r="L3329">
        <v>213.20429999999999</v>
      </c>
      <c r="M3329">
        <v>0.99985789999999997</v>
      </c>
      <c r="N3329">
        <v>0</v>
      </c>
      <c r="O3329">
        <v>-1.6108589999999999E-2</v>
      </c>
      <c r="P3329">
        <v>0.99574110000000005</v>
      </c>
      <c r="Q3329">
        <v>8.6938340000000003E-2</v>
      </c>
      <c r="R3329">
        <v>-3.067947E-2</v>
      </c>
      <c r="S3329">
        <v>3.0129999999999999</v>
      </c>
      <c r="T3329">
        <v>-2.9858349999999999E-2</v>
      </c>
      <c r="U3329">
        <v>-7.3303220000000002E-2</v>
      </c>
      <c r="V3329">
        <v>1.4699439999999999E-2</v>
      </c>
      <c r="W3329">
        <v>9.1881519999999994E-2</v>
      </c>
      <c r="X3329">
        <v>0.99566140000000003</v>
      </c>
      <c r="Y3329">
        <v>8.2149969999999999E-3</v>
      </c>
      <c r="Z3329">
        <v>1.188973E-4</v>
      </c>
      <c r="AA3329">
        <v>0.99996629999999997</v>
      </c>
      <c r="AB3329">
        <v>49</v>
      </c>
      <c r="AC3329">
        <v>111.2812</v>
      </c>
      <c r="AD3329">
        <v>-1.107756664714</v>
      </c>
      <c r="AE3329">
        <v>-2.71139999999999</v>
      </c>
      <c r="AF3329">
        <v>0.91835187553573905</v>
      </c>
      <c r="AG3329">
        <v>-1.107756664714</v>
      </c>
      <c r="AH3329">
        <v>111.29941557848301</v>
      </c>
      <c r="AI3329">
        <v>90.570223350808405</v>
      </c>
      <c r="AJ3329">
        <v>89.527252751101997</v>
      </c>
      <c r="AK3329">
        <v>111.308716653761</v>
      </c>
      <c r="AL3329">
        <v>84.728140939325101</v>
      </c>
      <c r="AM3329">
        <v>89.154175615110304</v>
      </c>
      <c r="AN3329">
        <v>0.99999995535189101</v>
      </c>
    </row>
    <row r="3330" spans="1:40" x14ac:dyDescent="0.25">
      <c r="A3330" t="str">
        <f>"20190312172956229"</f>
        <v>20190312172956229</v>
      </c>
      <c r="B3330" t="str">
        <f>"1552382996221233"</f>
        <v>1552382996221233</v>
      </c>
      <c r="C3330" t="s">
        <v>40</v>
      </c>
      <c r="D3330">
        <v>3.0793629999999999</v>
      </c>
      <c r="E3330">
        <v>0.49976860000000001</v>
      </c>
      <c r="F3330" t="s">
        <v>47</v>
      </c>
      <c r="G3330">
        <v>-257.07060000000001</v>
      </c>
      <c r="H3330" s="1">
        <v>2.425734E-6</v>
      </c>
      <c r="I3330">
        <v>210.0438</v>
      </c>
      <c r="J3330">
        <v>-377.71620000000001</v>
      </c>
      <c r="K3330">
        <v>1.1078239999999999</v>
      </c>
      <c r="L3330">
        <v>213.1962</v>
      </c>
      <c r="M3330">
        <v>0.9998572</v>
      </c>
      <c r="N3330">
        <v>0</v>
      </c>
      <c r="O3330">
        <v>-1.6175990000000001E-2</v>
      </c>
      <c r="P3330">
        <v>0.99572550000000004</v>
      </c>
      <c r="Q3330">
        <v>8.7147240000000001E-2</v>
      </c>
      <c r="R3330">
        <v>-3.0599939999999999E-2</v>
      </c>
      <c r="S3330">
        <v>3.0128170000000001</v>
      </c>
      <c r="T3330">
        <v>-2.7548670000000001E-2</v>
      </c>
      <c r="U3330">
        <v>-7.8598020000000005E-2</v>
      </c>
      <c r="V3330">
        <v>1.454537E-2</v>
      </c>
      <c r="W3330">
        <v>9.2021099999999995E-2</v>
      </c>
      <c r="X3330">
        <v>0.99565079999999995</v>
      </c>
      <c r="Y3330">
        <v>9.9051769999999994E-3</v>
      </c>
      <c r="Z3330">
        <v>1.0259429999999999E-4</v>
      </c>
      <c r="AA3330">
        <v>0.99995089999999998</v>
      </c>
      <c r="AB3330">
        <v>49</v>
      </c>
      <c r="AC3330">
        <v>120.6456</v>
      </c>
      <c r="AD3330">
        <v>-1.107821574266</v>
      </c>
      <c r="AE3330">
        <v>-3.1524000000000001</v>
      </c>
      <c r="AF3330">
        <v>1.2003010361199</v>
      </c>
      <c r="AG3330">
        <v>-1.107821574266</v>
      </c>
      <c r="AH3330">
        <v>120.670640486636</v>
      </c>
      <c r="AI3330">
        <v>90.525965368941399</v>
      </c>
      <c r="AJ3330">
        <v>89.430102341064199</v>
      </c>
      <c r="AK3330">
        <v>120.681694828473</v>
      </c>
      <c r="AL3330">
        <v>84.720109716044206</v>
      </c>
      <c r="AM3330">
        <v>89.163030820889801</v>
      </c>
      <c r="AN3330">
        <v>0.999999983087143</v>
      </c>
    </row>
    <row r="3331" spans="1:40" x14ac:dyDescent="0.25">
      <c r="A3331" t="str">
        <f>"20190312172956251"</f>
        <v>20190312172956251</v>
      </c>
      <c r="B3331" t="str">
        <f>"1552382996240756"</f>
        <v>1552382996240756</v>
      </c>
      <c r="C3331" t="s">
        <v>40</v>
      </c>
      <c r="D3331">
        <v>3.0872449999999998</v>
      </c>
      <c r="E3331">
        <v>0.5001466</v>
      </c>
      <c r="F3331" t="s">
        <v>47</v>
      </c>
      <c r="G3331">
        <v>-257.44369999999998</v>
      </c>
      <c r="H3331" s="1">
        <v>2.6280679999999998E-6</v>
      </c>
      <c r="I3331">
        <v>209.95679999999999</v>
      </c>
      <c r="J3331">
        <v>-377.21510000000001</v>
      </c>
      <c r="K3331">
        <v>1.1078709999999901</v>
      </c>
      <c r="L3331">
        <v>213.18809999999999</v>
      </c>
      <c r="M3331">
        <v>0.99985650000000004</v>
      </c>
      <c r="N3331">
        <v>0</v>
      </c>
      <c r="O3331">
        <v>-1.6229549999999999E-2</v>
      </c>
      <c r="P3331">
        <v>0.99570460000000005</v>
      </c>
      <c r="Q3331">
        <v>8.7269749999999993E-2</v>
      </c>
      <c r="R3331">
        <v>-3.0923900000000001E-2</v>
      </c>
      <c r="S3331">
        <v>3.0128170000000001</v>
      </c>
      <c r="T3331">
        <v>-2.7750850000000001E-2</v>
      </c>
      <c r="U3331">
        <v>-8.1146239999999994E-2</v>
      </c>
      <c r="V3331">
        <v>1.4809640000000001E-2</v>
      </c>
      <c r="W3331">
        <v>9.2099909999999993E-2</v>
      </c>
      <c r="X3331">
        <v>0.99563959999999996</v>
      </c>
      <c r="Y3331">
        <v>1.069675E-2</v>
      </c>
      <c r="Z3331">
        <v>1.001942E-4</v>
      </c>
      <c r="AA3331">
        <v>0.99994280000000002</v>
      </c>
      <c r="AB3331">
        <v>49</v>
      </c>
      <c r="AC3331">
        <v>119.7714</v>
      </c>
      <c r="AD3331">
        <v>-1.1078683719319899</v>
      </c>
      <c r="AE3331">
        <v>-3.2313000000000001</v>
      </c>
      <c r="AF3331">
        <v>1.28690553092493</v>
      </c>
      <c r="AG3331">
        <v>-1.1078683719319899</v>
      </c>
      <c r="AH3331">
        <v>119.797825530857</v>
      </c>
      <c r="AI3331">
        <v>90.529815214773294</v>
      </c>
      <c r="AJ3331">
        <v>89.384534575813802</v>
      </c>
      <c r="AK3331">
        <v>119.809859778304</v>
      </c>
      <c r="AL3331">
        <v>84.7155748877408</v>
      </c>
      <c r="AM3331">
        <v>89.147816843429396</v>
      </c>
      <c r="AN3331">
        <v>0.99999996597354801</v>
      </c>
    </row>
    <row r="3332" spans="1:40" x14ac:dyDescent="0.25">
      <c r="A3332" t="str">
        <f>"20190312172956274"</f>
        <v>20190312172956274</v>
      </c>
      <c r="B3332" t="str">
        <f>"1552382996271009"</f>
        <v>1552382996271009</v>
      </c>
      <c r="C3332" t="s">
        <v>40</v>
      </c>
      <c r="D3332">
        <v>3.1124170000000002</v>
      </c>
      <c r="E3332">
        <v>0.5007064</v>
      </c>
      <c r="F3332" t="s">
        <v>47</v>
      </c>
      <c r="G3332">
        <v>-259.13240000000002</v>
      </c>
      <c r="H3332" s="1">
        <v>3.5314510000000001E-6</v>
      </c>
      <c r="I3332">
        <v>209.84739999999999</v>
      </c>
      <c r="J3332">
        <v>-376.70920000000001</v>
      </c>
      <c r="K3332">
        <v>1.107912</v>
      </c>
      <c r="L3332">
        <v>213.1799</v>
      </c>
      <c r="M3332">
        <v>0.99985599999999997</v>
      </c>
      <c r="N3332">
        <v>0</v>
      </c>
      <c r="O3332">
        <v>-1.6274E-2</v>
      </c>
      <c r="P3332">
        <v>0.99574339999999995</v>
      </c>
      <c r="Q3332">
        <v>8.6881920000000001E-2</v>
      </c>
      <c r="R3332">
        <v>-3.0772339999999999E-2</v>
      </c>
      <c r="S3332">
        <v>3.012756</v>
      </c>
      <c r="T3332">
        <v>-2.8266070000000001E-2</v>
      </c>
      <c r="U3332">
        <v>-8.5235599999999995E-2</v>
      </c>
      <c r="V3332">
        <v>1.460667E-2</v>
      </c>
      <c r="W3332">
        <v>9.1687299999999999E-2</v>
      </c>
      <c r="X3332">
        <v>0.99568069999999997</v>
      </c>
      <c r="Y3332">
        <v>1.2009010000000001E-2</v>
      </c>
      <c r="Z3332" s="1">
        <v>9.631633E-5</v>
      </c>
      <c r="AA3332">
        <v>0.99992789999999998</v>
      </c>
      <c r="AB3332">
        <v>50</v>
      </c>
      <c r="AC3332">
        <v>117.57680000000001</v>
      </c>
      <c r="AD3332">
        <v>-1.1079084685489999</v>
      </c>
      <c r="AE3332">
        <v>-3.3325000000000098</v>
      </c>
      <c r="AF3332">
        <v>1.4184658426838399</v>
      </c>
      <c r="AG3332">
        <v>-1.1079084685489999</v>
      </c>
      <c r="AH3332">
        <v>117.605028861234</v>
      </c>
      <c r="AI3332">
        <v>90.5397046867011</v>
      </c>
      <c r="AJ3332">
        <v>89.3089737207507</v>
      </c>
      <c r="AK3332">
        <v>117.61880087797699</v>
      </c>
      <c r="AL3332">
        <v>84.739316259636993</v>
      </c>
      <c r="AM3332">
        <v>89.159529239582099</v>
      </c>
      <c r="AN3332">
        <v>0.99999998607113405</v>
      </c>
    </row>
    <row r="3333" spans="1:40" x14ac:dyDescent="0.25">
      <c r="A3333" t="str">
        <f>"20190312172956297"</f>
        <v>20190312172956297</v>
      </c>
      <c r="B3333" t="str">
        <f>"1552382996290530"</f>
        <v>1552382996290530</v>
      </c>
      <c r="C3333" t="s">
        <v>40</v>
      </c>
      <c r="D3333">
        <v>3.1063730000000001</v>
      </c>
      <c r="E3333">
        <v>0.50102460000000004</v>
      </c>
      <c r="F3333" t="s">
        <v>47</v>
      </c>
      <c r="G3333">
        <v>-266.5924</v>
      </c>
      <c r="H3333" s="1">
        <v>2.1766839999999998E-6</v>
      </c>
      <c r="I3333">
        <v>209.9194</v>
      </c>
      <c r="J3333">
        <v>-376.2029</v>
      </c>
      <c r="K3333">
        <v>1.1079399999999999</v>
      </c>
      <c r="L3333">
        <v>213.17160000000001</v>
      </c>
      <c r="M3333">
        <v>0.99985550000000001</v>
      </c>
      <c r="N3333">
        <v>0</v>
      </c>
      <c r="O3333">
        <v>-1.6311490000000001E-2</v>
      </c>
      <c r="P3333">
        <v>0.99578359999999999</v>
      </c>
      <c r="Q3333">
        <v>8.6410619999999994E-2</v>
      </c>
      <c r="R3333">
        <v>-3.079809E-2</v>
      </c>
      <c r="S3333">
        <v>3.0127259999999998</v>
      </c>
      <c r="T3333">
        <v>-3.03117E-2</v>
      </c>
      <c r="U3333">
        <v>-8.9202879999999998E-2</v>
      </c>
      <c r="V3333">
        <v>1.458895E-2</v>
      </c>
      <c r="W3333">
        <v>9.1205339999999996E-2</v>
      </c>
      <c r="X3333">
        <v>0.99572519999999998</v>
      </c>
      <c r="Y3333">
        <v>1.3287409999999999E-2</v>
      </c>
      <c r="Z3333" s="1">
        <v>9.7232469999999999E-5</v>
      </c>
      <c r="AA3333">
        <v>0.99991169999999996</v>
      </c>
      <c r="AB3333">
        <v>50</v>
      </c>
      <c r="AC3333">
        <v>109.6105</v>
      </c>
      <c r="AD3333">
        <v>-1.107937823316</v>
      </c>
      <c r="AE3333">
        <v>-3.25220000000001</v>
      </c>
      <c r="AF3333">
        <v>1.4636868396209399</v>
      </c>
      <c r="AG3333">
        <v>-1.107937823316</v>
      </c>
      <c r="AH3333">
        <v>109.637773870844</v>
      </c>
      <c r="AI3333">
        <v>90.578927705576007</v>
      </c>
      <c r="AJ3333">
        <v>89.235134992605495</v>
      </c>
      <c r="AK3333">
        <v>109.653141153089</v>
      </c>
      <c r="AL3333">
        <v>84.767046602057903</v>
      </c>
      <c r="AM3333">
        <v>89.1605862165773</v>
      </c>
      <c r="AN3333">
        <v>0.99999996271082803</v>
      </c>
    </row>
    <row r="3334" spans="1:40" x14ac:dyDescent="0.25">
      <c r="A3334" t="str">
        <f>"20190312172956319"</f>
        <v>20190312172956319</v>
      </c>
      <c r="B3334" t="str">
        <f>"1552382996311026"</f>
        <v>1552382996311026</v>
      </c>
      <c r="C3334" t="s">
        <v>40</v>
      </c>
      <c r="D3334">
        <v>3.0825779999999998</v>
      </c>
      <c r="E3334">
        <v>0.50139339999999999</v>
      </c>
      <c r="F3334" t="s">
        <v>47</v>
      </c>
      <c r="G3334">
        <v>-273.45429999999999</v>
      </c>
      <c r="H3334" s="1">
        <v>5.01493E-7</v>
      </c>
      <c r="I3334">
        <v>210.03980000000001</v>
      </c>
      <c r="J3334">
        <v>-375.70260000000002</v>
      </c>
      <c r="K3334">
        <v>1.1079619999999999</v>
      </c>
      <c r="L3334">
        <v>213.1634</v>
      </c>
      <c r="M3334">
        <v>0.99985489999999999</v>
      </c>
      <c r="N3334">
        <v>0</v>
      </c>
      <c r="O3334">
        <v>-1.6343779999999999E-2</v>
      </c>
      <c r="P3334">
        <v>0.99580869999999999</v>
      </c>
      <c r="Q3334">
        <v>8.6012190000000002E-2</v>
      </c>
      <c r="R3334">
        <v>-3.109984E-2</v>
      </c>
      <c r="S3334">
        <v>3.0126949999999999</v>
      </c>
      <c r="T3334">
        <v>-3.2485960000000001E-2</v>
      </c>
      <c r="U3334">
        <v>-9.1827389999999995E-2</v>
      </c>
      <c r="V3334">
        <v>1.485329E-2</v>
      </c>
      <c r="W3334">
        <v>9.0805029999999995E-2</v>
      </c>
      <c r="X3334">
        <v>0.99575789999999997</v>
      </c>
      <c r="Y3334">
        <v>1.412568E-2</v>
      </c>
      <c r="Z3334">
        <v>1.000356E-4</v>
      </c>
      <c r="AA3334">
        <v>0.99990020000000002</v>
      </c>
      <c r="AB3334">
        <v>50</v>
      </c>
      <c r="AC3334">
        <v>102.2483</v>
      </c>
      <c r="AD3334">
        <v>-1.1079614985070001</v>
      </c>
      <c r="AE3334">
        <v>-3.1235999999999802</v>
      </c>
      <c r="AF3334">
        <v>1.4518694694083401</v>
      </c>
      <c r="AG3334">
        <v>-1.1079614985070001</v>
      </c>
      <c r="AH3334">
        <v>102.27369690922799</v>
      </c>
      <c r="AI3334">
        <v>90.620615481805004</v>
      </c>
      <c r="AJ3334">
        <v>89.186688188722499</v>
      </c>
      <c r="AK3334">
        <v>102.290002361516</v>
      </c>
      <c r="AL3334">
        <v>84.790078362385302</v>
      </c>
      <c r="AM3334">
        <v>89.145407013031999</v>
      </c>
      <c r="AN3334">
        <v>0.99999998455476702</v>
      </c>
    </row>
    <row r="3335" spans="1:40" x14ac:dyDescent="0.25">
      <c r="A3335" t="str">
        <f>"20190312172956344"</f>
        <v>20190312172956344</v>
      </c>
      <c r="B3335" t="str">
        <f>"1552382996330545"</f>
        <v>1552382996330545</v>
      </c>
      <c r="C3335" t="s">
        <v>40</v>
      </c>
      <c r="D3335">
        <v>3.1182789999999998</v>
      </c>
      <c r="E3335">
        <v>0.50176030000000005</v>
      </c>
      <c r="F3335" t="s">
        <v>47</v>
      </c>
      <c r="G3335">
        <v>-278.77949999999998</v>
      </c>
      <c r="H3335" s="1">
        <v>3.3329579999999998E-6</v>
      </c>
      <c r="I3335">
        <v>210.09229999999999</v>
      </c>
      <c r="J3335">
        <v>-375.16489999999999</v>
      </c>
      <c r="K3335">
        <v>1.1079760000000001</v>
      </c>
      <c r="L3335">
        <v>213.15459999999999</v>
      </c>
      <c r="M3335">
        <v>0.99985440000000003</v>
      </c>
      <c r="N3335">
        <v>0</v>
      </c>
      <c r="O3335">
        <v>-1.637562E-2</v>
      </c>
      <c r="P3335">
        <v>0.99579850000000003</v>
      </c>
      <c r="Q3335">
        <v>8.6051030000000001E-2</v>
      </c>
      <c r="R3335">
        <v>-3.1323910000000003E-2</v>
      </c>
      <c r="S3335">
        <v>3.0126650000000001</v>
      </c>
      <c r="T3335">
        <v>-3.4438730000000001E-2</v>
      </c>
      <c r="U3335">
        <v>-9.5458979999999999E-2</v>
      </c>
      <c r="V3335">
        <v>1.504143E-2</v>
      </c>
      <c r="W3335">
        <v>9.0850139999999996E-2</v>
      </c>
      <c r="X3335">
        <v>0.99575100000000005</v>
      </c>
      <c r="Y3335">
        <v>1.5298229999999999E-2</v>
      </c>
      <c r="Z3335" s="1">
        <v>9.9710970000000006E-5</v>
      </c>
      <c r="AA3335">
        <v>0.99988299999999997</v>
      </c>
      <c r="AB3335">
        <v>50</v>
      </c>
      <c r="AC3335">
        <v>96.385400000000004</v>
      </c>
      <c r="AD3335">
        <v>-1.107972667042</v>
      </c>
      <c r="AE3335">
        <v>-3.0622999999999898</v>
      </c>
      <c r="AF3335">
        <v>1.4833047119695899</v>
      </c>
      <c r="AG3335">
        <v>-1.107972667042</v>
      </c>
      <c r="AH3335">
        <v>96.409896280368002</v>
      </c>
      <c r="AI3335">
        <v>90.658354115309805</v>
      </c>
      <c r="AJ3335">
        <v>89.118551122042106</v>
      </c>
      <c r="AK3335">
        <v>96.427671843152893</v>
      </c>
      <c r="AL3335">
        <v>84.787483224639303</v>
      </c>
      <c r="AM3335">
        <v>89.134577904882505</v>
      </c>
      <c r="AN3335">
        <v>1.00000002327773</v>
      </c>
    </row>
    <row r="3336" spans="1:40" x14ac:dyDescent="0.25">
      <c r="A3336" t="str">
        <f>"20190312172956365"</f>
        <v>20190312172956365</v>
      </c>
      <c r="B3336" t="str">
        <f>"1552382996360801"</f>
        <v>1552382996360801</v>
      </c>
      <c r="C3336" t="s">
        <v>40</v>
      </c>
      <c r="D3336">
        <v>3.151052</v>
      </c>
      <c r="E3336">
        <v>0.50221380000000004</v>
      </c>
      <c r="F3336" t="s">
        <v>47</v>
      </c>
      <c r="G3336">
        <v>-278.94409999999999</v>
      </c>
      <c r="H3336" s="1">
        <v>3.424762E-6</v>
      </c>
      <c r="I3336">
        <v>209.99600000000001</v>
      </c>
      <c r="J3336">
        <v>-374.67559999999997</v>
      </c>
      <c r="K3336">
        <v>1.107985</v>
      </c>
      <c r="L3336">
        <v>213.1465</v>
      </c>
      <c r="M3336">
        <v>0.99985400000000002</v>
      </c>
      <c r="N3336">
        <v>0</v>
      </c>
      <c r="O3336">
        <v>-1.6403089999999999E-2</v>
      </c>
      <c r="P3336">
        <v>0.99576290000000001</v>
      </c>
      <c r="Q3336">
        <v>8.6369940000000006E-2</v>
      </c>
      <c r="R3336">
        <v>-3.1571960000000003E-2</v>
      </c>
      <c r="S3336">
        <v>3.0125730000000002</v>
      </c>
      <c r="T3336">
        <v>-3.468943E-2</v>
      </c>
      <c r="U3336">
        <v>-9.8892209999999994E-2</v>
      </c>
      <c r="V3336">
        <v>1.525966E-2</v>
      </c>
      <c r="W3336">
        <v>9.1179700000000002E-2</v>
      </c>
      <c r="X3336">
        <v>0.99571750000000003</v>
      </c>
      <c r="Y3336">
        <v>1.6409960000000001E-2</v>
      </c>
      <c r="Z3336" s="1">
        <v>9.4354890000000006E-5</v>
      </c>
      <c r="AA3336">
        <v>0.99986540000000002</v>
      </c>
      <c r="AB3336">
        <v>50</v>
      </c>
      <c r="AC3336">
        <v>95.731499999999897</v>
      </c>
      <c r="AD3336">
        <v>-1.107981575238</v>
      </c>
      <c r="AE3336">
        <v>-3.1505000000000201</v>
      </c>
      <c r="AF3336">
        <v>1.57955436022073</v>
      </c>
      <c r="AG3336">
        <v>-1.107981575238</v>
      </c>
      <c r="AH3336">
        <v>95.757485330881806</v>
      </c>
      <c r="AI3336">
        <v>90.662832792649795</v>
      </c>
      <c r="AJ3336">
        <v>89.054971097477093</v>
      </c>
      <c r="AK3336">
        <v>95.776921082492606</v>
      </c>
      <c r="AL3336">
        <v>84.768521837081707</v>
      </c>
      <c r="AM3336">
        <v>89.121994264446897</v>
      </c>
      <c r="AN3336">
        <v>0.99999996736082697</v>
      </c>
    </row>
    <row r="3337" spans="1:40" x14ac:dyDescent="0.25">
      <c r="A3337" t="str">
        <f>"20190312172956386"</f>
        <v>20190312172956386</v>
      </c>
      <c r="B3337" t="str">
        <f>"1552382996381297"</f>
        <v>1552382996381297</v>
      </c>
      <c r="C3337" t="s">
        <v>40</v>
      </c>
      <c r="D3337">
        <v>3.1538140000000001</v>
      </c>
      <c r="E3337">
        <v>0.5025172</v>
      </c>
      <c r="F3337" t="s">
        <v>47</v>
      </c>
      <c r="G3337">
        <v>-279.8451</v>
      </c>
      <c r="H3337" s="1">
        <v>3.9083899999999999E-6</v>
      </c>
      <c r="I3337">
        <v>209.90100000000001</v>
      </c>
      <c r="J3337">
        <v>-374.22030000000001</v>
      </c>
      <c r="K3337">
        <v>1.107993</v>
      </c>
      <c r="L3337">
        <v>213.13900000000001</v>
      </c>
      <c r="M3337">
        <v>0.9998534</v>
      </c>
      <c r="N3337">
        <v>0</v>
      </c>
      <c r="O3337">
        <v>-1.6427730000000001E-2</v>
      </c>
      <c r="P3337">
        <v>0.99571719999999997</v>
      </c>
      <c r="Q3337">
        <v>8.6844089999999999E-2</v>
      </c>
      <c r="R3337">
        <v>-3.1715010000000002E-2</v>
      </c>
      <c r="S3337">
        <v>3.012543</v>
      </c>
      <c r="T3337">
        <v>-3.5197970000000002E-2</v>
      </c>
      <c r="U3337">
        <v>-0.1031036</v>
      </c>
      <c r="V3337">
        <v>1.5376239999999999E-2</v>
      </c>
      <c r="W3337">
        <v>9.1667349999999995E-2</v>
      </c>
      <c r="X3337">
        <v>0.99567099999999997</v>
      </c>
      <c r="Y3337">
        <v>1.7781749999999999E-2</v>
      </c>
      <c r="Z3337" s="1">
        <v>8.8012609999999999E-5</v>
      </c>
      <c r="AA3337">
        <v>0.99984189999999995</v>
      </c>
      <c r="AB3337">
        <v>50</v>
      </c>
      <c r="AC3337">
        <v>94.375200000000007</v>
      </c>
      <c r="AD3337">
        <v>-1.1079890916099999</v>
      </c>
      <c r="AE3337">
        <v>-3.23800000000002</v>
      </c>
      <c r="AF3337">
        <v>1.68694242350621</v>
      </c>
      <c r="AG3337">
        <v>-1.1079890916099999</v>
      </c>
      <c r="AH3337">
        <v>94.402661358596106</v>
      </c>
      <c r="AI3337">
        <v>90.6723332900836</v>
      </c>
      <c r="AJ3337">
        <v>88.976253490487196</v>
      </c>
      <c r="AK3337">
        <v>94.424233574613297</v>
      </c>
      <c r="AL3337">
        <v>84.740464407949005</v>
      </c>
      <c r="AM3337">
        <v>89.115246270105501</v>
      </c>
      <c r="AN3337">
        <v>1.00000003602677</v>
      </c>
    </row>
    <row r="3338" spans="1:40" x14ac:dyDescent="0.25">
      <c r="A3338" t="str">
        <f>"20190312172956408"</f>
        <v>20190312172956408</v>
      </c>
      <c r="B3338" t="str">
        <f>"1552382996400817"</f>
        <v>1552382996400817</v>
      </c>
      <c r="C3338" t="s">
        <v>40</v>
      </c>
      <c r="D3338">
        <v>3.142709</v>
      </c>
      <c r="E3338">
        <v>0.50276049999999906</v>
      </c>
      <c r="F3338" t="s">
        <v>47</v>
      </c>
      <c r="G3338">
        <v>-277.94260000000003</v>
      </c>
      <c r="H3338" s="1">
        <v>2.9023429999999999E-6</v>
      </c>
      <c r="I3338">
        <v>209.7552</v>
      </c>
      <c r="J3338">
        <v>-373.70600000000002</v>
      </c>
      <c r="K3338">
        <v>1.107999</v>
      </c>
      <c r="L3338">
        <v>213.13059999999999</v>
      </c>
      <c r="M3338">
        <v>0.99985279999999999</v>
      </c>
      <c r="N3338">
        <v>0</v>
      </c>
      <c r="O3338">
        <v>-1.6454759999999999E-2</v>
      </c>
      <c r="P3338">
        <v>0.99568049999999997</v>
      </c>
      <c r="Q3338">
        <v>8.7229899999999999E-2</v>
      </c>
      <c r="R3338">
        <v>-3.1798750000000001E-2</v>
      </c>
      <c r="S3338">
        <v>3.0125120000000001</v>
      </c>
      <c r="T3338">
        <v>-3.46688E-2</v>
      </c>
      <c r="U3338">
        <v>-0.10588069999999999</v>
      </c>
      <c r="V3338">
        <v>1.5431479999999999E-2</v>
      </c>
      <c r="W3338">
        <v>9.2069529999999997E-2</v>
      </c>
      <c r="X3338">
        <v>0.99563299999999999</v>
      </c>
      <c r="Y3338">
        <v>1.8675600000000001E-2</v>
      </c>
      <c r="Z3338" s="1">
        <v>8.1858059999999897E-5</v>
      </c>
      <c r="AA3338">
        <v>0.99982559999999998</v>
      </c>
      <c r="AB3338">
        <v>50</v>
      </c>
      <c r="AC3338">
        <v>95.763399999999905</v>
      </c>
      <c r="AD3338">
        <v>-1.107996097657</v>
      </c>
      <c r="AE3338">
        <v>-3.37539999999998</v>
      </c>
      <c r="AF3338">
        <v>1.79892010549375</v>
      </c>
      <c r="AG3338">
        <v>-1.107996097657</v>
      </c>
      <c r="AH3338">
        <v>95.793168716780599</v>
      </c>
      <c r="AI3338">
        <v>90.662567911618495</v>
      </c>
      <c r="AJ3338">
        <v>88.924156936992205</v>
      </c>
      <c r="AK3338">
        <v>95.816464877911102</v>
      </c>
      <c r="AL3338">
        <v>84.717323140088396</v>
      </c>
      <c r="AM3338">
        <v>89.112034366981206</v>
      </c>
      <c r="AN3338">
        <v>0.99999999980920495</v>
      </c>
    </row>
    <row r="3339" spans="1:40" x14ac:dyDescent="0.25">
      <c r="A3339" t="str">
        <f>"20190312172956432"</f>
        <v>20190312172956432</v>
      </c>
      <c r="B3339" t="str">
        <f>"1552382996421313"</f>
        <v>1552382996421313</v>
      </c>
      <c r="C3339" t="s">
        <v>40</v>
      </c>
      <c r="D3339">
        <v>3.1569720000000001</v>
      </c>
      <c r="E3339">
        <v>0.50300049999999996</v>
      </c>
      <c r="F3339" t="s">
        <v>47</v>
      </c>
      <c r="G3339">
        <v>-276.7715</v>
      </c>
      <c r="H3339" s="1">
        <v>2.2836820000000002E-6</v>
      </c>
      <c r="I3339">
        <v>209.6515</v>
      </c>
      <c r="J3339">
        <v>-373.16460000000001</v>
      </c>
      <c r="K3339">
        <v>1.107999</v>
      </c>
      <c r="L3339">
        <v>213.1216</v>
      </c>
      <c r="M3339">
        <v>0.99985219999999997</v>
      </c>
      <c r="N3339">
        <v>0</v>
      </c>
      <c r="O3339">
        <v>-1.6482279999999998E-2</v>
      </c>
      <c r="P3339">
        <v>0.99556990000000001</v>
      </c>
      <c r="Q3339">
        <v>8.8398340000000006E-2</v>
      </c>
      <c r="R3339">
        <v>-3.2034279999999998E-2</v>
      </c>
      <c r="S3339">
        <v>3.0125730000000002</v>
      </c>
      <c r="T3339">
        <v>-3.4434800000000002E-2</v>
      </c>
      <c r="U3339">
        <v>-0.10812380000000001</v>
      </c>
      <c r="V3339">
        <v>1.5639380000000001E-2</v>
      </c>
      <c r="W3339">
        <v>9.3257439999999997E-2</v>
      </c>
      <c r="X3339">
        <v>0.99551920000000005</v>
      </c>
      <c r="Y3339">
        <v>1.9390810000000001E-2</v>
      </c>
      <c r="Z3339" s="1">
        <v>7.7530890000000006E-5</v>
      </c>
      <c r="AA3339">
        <v>0.99981200000000003</v>
      </c>
      <c r="AB3339">
        <v>51</v>
      </c>
      <c r="AC3339">
        <v>96.393100000000004</v>
      </c>
      <c r="AD3339">
        <v>-1.107996716318</v>
      </c>
      <c r="AE3339">
        <v>-3.4701</v>
      </c>
      <c r="AF3339">
        <v>1.8805833923570201</v>
      </c>
      <c r="AG3339">
        <v>-1.107996716318</v>
      </c>
      <c r="AH3339">
        <v>96.424477702369899</v>
      </c>
      <c r="AI3339">
        <v>90.658221589485194</v>
      </c>
      <c r="AJ3339">
        <v>88.882692077841995</v>
      </c>
      <c r="AK3339">
        <v>96.449179108968096</v>
      </c>
      <c r="AL3339">
        <v>84.648966851248105</v>
      </c>
      <c r="AM3339">
        <v>89.099970384000201</v>
      </c>
      <c r="AN3339">
        <v>1.00000000894538</v>
      </c>
    </row>
    <row r="3340" spans="1:40" x14ac:dyDescent="0.25">
      <c r="A3340" t="str">
        <f>"20190312172956465"</f>
        <v>20190312172956465</v>
      </c>
      <c r="B3340" t="str">
        <f>"1552382996461329"</f>
        <v>1552382996461329</v>
      </c>
      <c r="C3340" t="s">
        <v>40</v>
      </c>
      <c r="D3340">
        <v>3.1180379999999999</v>
      </c>
      <c r="E3340">
        <v>0.5033398</v>
      </c>
      <c r="F3340" t="s">
        <v>47</v>
      </c>
      <c r="G3340">
        <v>-275.33940000000001</v>
      </c>
      <c r="H3340">
        <v>8.0001589999999997E-2</v>
      </c>
      <c r="I3340">
        <v>209.5359</v>
      </c>
      <c r="J3340">
        <v>-372.42250000000001</v>
      </c>
      <c r="K3340">
        <v>1.107999</v>
      </c>
      <c r="L3340">
        <v>213.10939999999999</v>
      </c>
      <c r="M3340">
        <v>0.9998515</v>
      </c>
      <c r="N3340">
        <v>0</v>
      </c>
      <c r="O3340">
        <v>-1.6517810000000001E-2</v>
      </c>
      <c r="P3340">
        <v>0.99558469999999999</v>
      </c>
      <c r="Q3340">
        <v>8.8345110000000004E-2</v>
      </c>
      <c r="R3340">
        <v>-3.1723790000000002E-2</v>
      </c>
      <c r="S3340">
        <v>3.0126339999999998</v>
      </c>
      <c r="T3340">
        <v>-3.1658289999999999E-2</v>
      </c>
      <c r="U3340">
        <v>-0.1104279</v>
      </c>
      <c r="V3340">
        <v>1.529049E-2</v>
      </c>
      <c r="W3340">
        <v>9.3234670000000006E-2</v>
      </c>
      <c r="X3340">
        <v>0.99552669999999999</v>
      </c>
      <c r="Y3340">
        <v>2.0118190000000001E-2</v>
      </c>
      <c r="Z3340" s="1">
        <v>6.7829899999999999E-5</v>
      </c>
      <c r="AA3340">
        <v>0.99979759999999995</v>
      </c>
      <c r="AB3340">
        <v>51</v>
      </c>
      <c r="AC3340">
        <v>97.083100000000002</v>
      </c>
      <c r="AD3340">
        <v>-1.02799741</v>
      </c>
      <c r="AE3340">
        <v>-3.5734999999999899</v>
      </c>
      <c r="AF3340">
        <v>1.9691724140303599</v>
      </c>
      <c r="AG3340">
        <v>-1.02799741</v>
      </c>
      <c r="AH3340">
        <v>97.118007421122499</v>
      </c>
      <c r="AI3340">
        <v>90.606330509873303</v>
      </c>
      <c r="AJ3340">
        <v>88.838425399016401</v>
      </c>
      <c r="AK3340">
        <v>97.143408341072401</v>
      </c>
      <c r="AL3340">
        <v>84.650276904251797</v>
      </c>
      <c r="AM3340">
        <v>89.120052066038099</v>
      </c>
      <c r="AN3340">
        <v>0.99999995659366803</v>
      </c>
    </row>
    <row r="3341" spans="1:40" x14ac:dyDescent="0.25">
      <c r="A3341" t="str">
        <f>"20190312172956485"</f>
        <v>20190312172956485</v>
      </c>
      <c r="B3341" t="str">
        <f>"1552382996480849"</f>
        <v>1552382996480849</v>
      </c>
      <c r="C3341" t="s">
        <v>40</v>
      </c>
      <c r="D3341">
        <v>3.1144129999999999</v>
      </c>
      <c r="E3341">
        <v>0.50342880000000001</v>
      </c>
      <c r="F3341" t="s">
        <v>47</v>
      </c>
      <c r="G3341">
        <v>-278.40890000000002</v>
      </c>
      <c r="H3341">
        <v>3.8384799999999997E-2</v>
      </c>
      <c r="I3341">
        <v>209.6163</v>
      </c>
      <c r="J3341">
        <v>-371.94240000000002</v>
      </c>
      <c r="K3341">
        <v>1.1079889999999999</v>
      </c>
      <c r="L3341">
        <v>213.10140000000001</v>
      </c>
      <c r="M3341">
        <v>0.99985109999999999</v>
      </c>
      <c r="N3341">
        <v>0</v>
      </c>
      <c r="O3341">
        <v>-1.65363E-2</v>
      </c>
      <c r="P3341">
        <v>0.99563000000000001</v>
      </c>
      <c r="Q3341">
        <v>8.8020680000000004E-2</v>
      </c>
      <c r="R3341">
        <v>-3.119512E-2</v>
      </c>
      <c r="S3341">
        <v>3.012756</v>
      </c>
      <c r="T3341">
        <v>-3.4276840000000003E-2</v>
      </c>
      <c r="U3341">
        <v>-0.1119385</v>
      </c>
      <c r="V3341">
        <v>1.474136E-2</v>
      </c>
      <c r="W3341">
        <v>9.2930799999999994E-2</v>
      </c>
      <c r="X3341">
        <v>0.99556339999999999</v>
      </c>
      <c r="Y3341">
        <v>2.0598780000000001E-2</v>
      </c>
      <c r="Z3341" s="1">
        <v>7.0913449999999994E-5</v>
      </c>
      <c r="AA3341">
        <v>0.9997878</v>
      </c>
      <c r="AB3341">
        <v>51</v>
      </c>
      <c r="AC3341">
        <v>93.533500000000004</v>
      </c>
      <c r="AD3341">
        <v>-1.0696041999999999</v>
      </c>
      <c r="AE3341">
        <v>-3.4851000000000099</v>
      </c>
      <c r="AF3341">
        <v>1.93765358817378</v>
      </c>
      <c r="AG3341">
        <v>-1.0696041999999999</v>
      </c>
      <c r="AH3341">
        <v>93.566123061020093</v>
      </c>
      <c r="AI3341">
        <v>90.654809667900906</v>
      </c>
      <c r="AJ3341">
        <v>88.813635719403905</v>
      </c>
      <c r="AK3341">
        <v>93.592296366968</v>
      </c>
      <c r="AL3341">
        <v>84.667763323695397</v>
      </c>
      <c r="AM3341">
        <v>89.151680351791796</v>
      </c>
      <c r="AN3341">
        <v>0.99999996235142397</v>
      </c>
    </row>
    <row r="3342" spans="1:40" x14ac:dyDescent="0.25">
      <c r="A3342" t="str">
        <f>"20190312172956508"</f>
        <v>20190312172956508</v>
      </c>
      <c r="B3342" t="str">
        <f>"1552382996500369"</f>
        <v>1552382996500369</v>
      </c>
      <c r="C3342" t="s">
        <v>40</v>
      </c>
      <c r="D3342">
        <v>3.0935890000000001</v>
      </c>
      <c r="E3342">
        <v>0.50348649999999995</v>
      </c>
      <c r="F3342" t="s">
        <v>48</v>
      </c>
      <c r="G3342">
        <v>-281.16660000000002</v>
      </c>
      <c r="H3342" s="1">
        <v>7.1529269999999901E-6</v>
      </c>
      <c r="I3342">
        <v>209.75640000000001</v>
      </c>
      <c r="J3342">
        <v>-371.41989999999998</v>
      </c>
      <c r="K3342">
        <v>1.1079810000000001</v>
      </c>
      <c r="L3342">
        <v>213.09280000000001</v>
      </c>
      <c r="M3342">
        <v>0.99985069999999998</v>
      </c>
      <c r="N3342">
        <v>0</v>
      </c>
      <c r="O3342">
        <v>-1.6551690000000001E-2</v>
      </c>
      <c r="P3342">
        <v>0.9956585</v>
      </c>
      <c r="Q3342">
        <v>8.7793029999999994E-2</v>
      </c>
      <c r="R3342">
        <v>-3.0927280000000001E-2</v>
      </c>
      <c r="S3342">
        <v>3.0129090000000001</v>
      </c>
      <c r="T3342">
        <v>-3.6774639999999997E-2</v>
      </c>
      <c r="U3342">
        <v>-0.11102289999999999</v>
      </c>
      <c r="V3342">
        <v>1.445623E-2</v>
      </c>
      <c r="W3342">
        <v>9.272619E-2</v>
      </c>
      <c r="X3342">
        <v>0.99558670000000005</v>
      </c>
      <c r="Y3342">
        <v>2.0278109999999998E-2</v>
      </c>
      <c r="Z3342" s="1">
        <v>7.8221359999999993E-5</v>
      </c>
      <c r="AA3342">
        <v>0.99979439999999997</v>
      </c>
      <c r="AB3342">
        <v>51</v>
      </c>
      <c r="AC3342">
        <v>90.253299999999896</v>
      </c>
      <c r="AD3342">
        <v>-1.1079738470729901</v>
      </c>
      <c r="AE3342">
        <v>-3.33639999999999</v>
      </c>
      <c r="AF3342">
        <v>1.8418027144876099</v>
      </c>
      <c r="AG3342">
        <v>-1.1079738470729901</v>
      </c>
      <c r="AH3342">
        <v>90.282572131482695</v>
      </c>
      <c r="AI3342">
        <v>90.702968836817703</v>
      </c>
      <c r="AJ3342">
        <v>88.831303938141502</v>
      </c>
      <c r="AK3342">
        <v>90.308153972724199</v>
      </c>
      <c r="AL3342">
        <v>84.679537670164194</v>
      </c>
      <c r="AM3342">
        <v>89.168105838906897</v>
      </c>
      <c r="AN3342">
        <v>1.0000000030573</v>
      </c>
    </row>
    <row r="3343" spans="1:40" x14ac:dyDescent="0.25">
      <c r="A3343" t="str">
        <f>"20190312172956532"</f>
        <v>20190312172956532</v>
      </c>
      <c r="B3343" t="str">
        <f>"1552382996520868"</f>
        <v>1552382996520868</v>
      </c>
      <c r="C3343" t="s">
        <v>40</v>
      </c>
      <c r="D3343">
        <v>3.1256930000000001</v>
      </c>
      <c r="E3343">
        <v>0.50351520000000005</v>
      </c>
      <c r="F3343" t="s">
        <v>48</v>
      </c>
      <c r="G3343">
        <v>-285.56450000000001</v>
      </c>
      <c r="H3343" s="1">
        <v>5.1816639999999997E-6</v>
      </c>
      <c r="I3343">
        <v>209.9323</v>
      </c>
      <c r="J3343">
        <v>-370.87580000000003</v>
      </c>
      <c r="K3343">
        <v>1.1079730000000001</v>
      </c>
      <c r="L3343">
        <v>213.0838</v>
      </c>
      <c r="M3343">
        <v>0.99985049999999998</v>
      </c>
      <c r="N3343">
        <v>0</v>
      </c>
      <c r="O3343">
        <v>-1.6563390000000001E-2</v>
      </c>
      <c r="P3343">
        <v>0.99568449999999997</v>
      </c>
      <c r="Q3343">
        <v>8.7600079999999997E-2</v>
      </c>
      <c r="R3343">
        <v>-3.063681E-2</v>
      </c>
      <c r="S3343">
        <v>3.0131230000000002</v>
      </c>
      <c r="T3343">
        <v>-3.8884759999999997E-2</v>
      </c>
      <c r="U3343">
        <v>-0.1109161</v>
      </c>
      <c r="V3343">
        <v>1.415216E-2</v>
      </c>
      <c r="W3343">
        <v>9.2557639999999997E-2</v>
      </c>
      <c r="X3343">
        <v>0.99560669999999996</v>
      </c>
      <c r="Y3343">
        <v>2.0228380000000001E-2</v>
      </c>
      <c r="Z3343" s="1">
        <v>8.3175239999999897E-5</v>
      </c>
      <c r="AA3343">
        <v>0.9997954</v>
      </c>
      <c r="AB3343">
        <v>51</v>
      </c>
      <c r="AC3343">
        <v>85.311300000000003</v>
      </c>
      <c r="AD3343">
        <v>-1.10796781833599</v>
      </c>
      <c r="AE3343">
        <v>-3.1514999999999902</v>
      </c>
      <c r="AF3343">
        <v>1.7377132197511</v>
      </c>
      <c r="AG3343">
        <v>-1.10796781833599</v>
      </c>
      <c r="AH3343">
        <v>85.337422315922296</v>
      </c>
      <c r="AI3343">
        <v>90.743696686917701</v>
      </c>
      <c r="AJ3343">
        <v>88.833455792243598</v>
      </c>
      <c r="AK3343">
        <v>85.362303667641399</v>
      </c>
      <c r="AL3343">
        <v>84.689236305303496</v>
      </c>
      <c r="AM3343">
        <v>89.185617741547603</v>
      </c>
      <c r="AN3343">
        <v>0.99999995071996095</v>
      </c>
    </row>
    <row r="3344" spans="1:40" x14ac:dyDescent="0.25">
      <c r="A3344" t="str">
        <f>"20190312172956555"</f>
        <v>20190312172956555</v>
      </c>
      <c r="B3344" t="str">
        <f>"1552382996551121"</f>
        <v>1552382996551121</v>
      </c>
      <c r="C3344" t="s">
        <v>40</v>
      </c>
      <c r="D3344">
        <v>3.1848809999999999</v>
      </c>
      <c r="E3344">
        <v>0.50361199999999995</v>
      </c>
      <c r="F3344" t="s">
        <v>48</v>
      </c>
      <c r="G3344">
        <v>-289.6592</v>
      </c>
      <c r="H3344" s="1">
        <v>3.343336E-6</v>
      </c>
      <c r="I3344">
        <v>210.12100000000001</v>
      </c>
      <c r="J3344">
        <v>-370.36259999999999</v>
      </c>
      <c r="K3344">
        <v>1.1079559999999999</v>
      </c>
      <c r="L3344">
        <v>213.0753</v>
      </c>
      <c r="M3344">
        <v>0.99985029999999997</v>
      </c>
      <c r="N3344">
        <v>0</v>
      </c>
      <c r="O3344">
        <v>-1.6569850000000001E-2</v>
      </c>
      <c r="P3344">
        <v>0.99575389999999997</v>
      </c>
      <c r="Q3344">
        <v>8.6998439999999996E-2</v>
      </c>
      <c r="R3344">
        <v>-3.0094719999999998E-2</v>
      </c>
      <c r="S3344">
        <v>3.013245</v>
      </c>
      <c r="T3344">
        <v>-4.110718E-2</v>
      </c>
      <c r="U3344">
        <v>-0.1099243</v>
      </c>
      <c r="V3344">
        <v>1.3600920000000001E-2</v>
      </c>
      <c r="W3344">
        <v>9.1979320000000003E-2</v>
      </c>
      <c r="X3344">
        <v>0.99566809999999994</v>
      </c>
      <c r="Y3344">
        <v>1.9891780000000001E-2</v>
      </c>
      <c r="Z3344" s="1">
        <v>9.0308849999999995E-5</v>
      </c>
      <c r="AA3344">
        <v>0.99980210000000003</v>
      </c>
      <c r="AB3344">
        <v>51</v>
      </c>
      <c r="AC3344">
        <v>80.703399999999903</v>
      </c>
      <c r="AD3344">
        <v>-1.1079526566639999</v>
      </c>
      <c r="AE3344">
        <v>-2.9543000000000101</v>
      </c>
      <c r="AF3344">
        <v>1.61633033580038</v>
      </c>
      <c r="AG3344">
        <v>-1.1079526566639999</v>
      </c>
      <c r="AH3344">
        <v>80.726078259224906</v>
      </c>
      <c r="AI3344">
        <v>90.786168590134196</v>
      </c>
      <c r="AJ3344">
        <v>88.852953890782601</v>
      </c>
      <c r="AK3344">
        <v>80.749859405192396</v>
      </c>
      <c r="AL3344">
        <v>84.722514204243197</v>
      </c>
      <c r="AM3344">
        <v>89.217382932654701</v>
      </c>
      <c r="AN3344">
        <v>1.00000007284505</v>
      </c>
    </row>
    <row r="3345" spans="1:40" x14ac:dyDescent="0.25">
      <c r="A3345" t="str">
        <f>"20190312172956575"</f>
        <v>20190312172956575</v>
      </c>
      <c r="B3345" t="str">
        <f>"1552382996570642"</f>
        <v>1552382996570642</v>
      </c>
      <c r="C3345" t="s">
        <v>40</v>
      </c>
      <c r="D3345">
        <v>3.1499570000000001</v>
      </c>
      <c r="E3345">
        <v>0.50365760000000004</v>
      </c>
      <c r="F3345" t="s">
        <v>48</v>
      </c>
      <c r="G3345">
        <v>-297.06240000000003</v>
      </c>
      <c r="H3345" s="1">
        <v>2.147163E-6</v>
      </c>
      <c r="I3345">
        <v>210.42859999999999</v>
      </c>
      <c r="J3345">
        <v>-369.88139999999999</v>
      </c>
      <c r="K3345">
        <v>1.1079570000000001</v>
      </c>
      <c r="L3345">
        <v>213.06729999999999</v>
      </c>
      <c r="M3345">
        <v>0.99985009999999996</v>
      </c>
      <c r="N3345">
        <v>0</v>
      </c>
      <c r="O3345">
        <v>-1.6564599999999999E-2</v>
      </c>
      <c r="P3345">
        <v>0.99579969999999995</v>
      </c>
      <c r="Q3345">
        <v>8.6655789999999996E-2</v>
      </c>
      <c r="R3345">
        <v>-2.9561489999999999E-2</v>
      </c>
      <c r="S3345">
        <v>3.0134889999999999</v>
      </c>
      <c r="T3345">
        <v>-4.554975E-2</v>
      </c>
      <c r="U3345">
        <v>-0.1088104</v>
      </c>
      <c r="V3345">
        <v>1.307037E-2</v>
      </c>
      <c r="W3345">
        <v>9.1658809999999993E-2</v>
      </c>
      <c r="X3345">
        <v>0.9957047</v>
      </c>
      <c r="Y3345">
        <v>1.9524969999999999E-2</v>
      </c>
      <c r="Z3345">
        <v>1.027525E-4</v>
      </c>
      <c r="AA3345">
        <v>0.99980939999999996</v>
      </c>
      <c r="AB3345">
        <v>52</v>
      </c>
      <c r="AC3345">
        <v>72.818999999999903</v>
      </c>
      <c r="AD3345">
        <v>-1.107954852837</v>
      </c>
      <c r="AE3345">
        <v>-2.6387</v>
      </c>
      <c r="AF3345">
        <v>1.43177400941799</v>
      </c>
      <c r="AG3345">
        <v>-1.107954852837</v>
      </c>
      <c r="AH3345">
        <v>72.835878831343507</v>
      </c>
      <c r="AI3345">
        <v>90.871328574530295</v>
      </c>
      <c r="AJ3345">
        <v>88.873851113619494</v>
      </c>
      <c r="AK3345">
        <v>72.858374850830501</v>
      </c>
      <c r="AL3345">
        <v>84.740955649559297</v>
      </c>
      <c r="AM3345">
        <v>89.247935629200697</v>
      </c>
      <c r="AN3345">
        <v>1.0000000108123199</v>
      </c>
    </row>
    <row r="3346" spans="1:40" x14ac:dyDescent="0.25">
      <c r="A3346" t="str">
        <f>"20190312172956597"</f>
        <v>20190312172956597</v>
      </c>
      <c r="B3346" t="str">
        <f>"1552382996591137"</f>
        <v>1552382996591137</v>
      </c>
      <c r="C3346" t="s">
        <v>40</v>
      </c>
      <c r="D3346">
        <v>3.1796950000000002</v>
      </c>
      <c r="E3346">
        <v>0.50373179999999995</v>
      </c>
      <c r="F3346" t="s">
        <v>48</v>
      </c>
      <c r="G3346">
        <v>-300.46800000000002</v>
      </c>
      <c r="H3346" s="1">
        <v>2.5702439999999999E-6</v>
      </c>
      <c r="I3346">
        <v>210.58949999999999</v>
      </c>
      <c r="J3346">
        <v>-369.3526</v>
      </c>
      <c r="K3346">
        <v>1.1079669999999999</v>
      </c>
      <c r="L3346">
        <v>213.05860000000001</v>
      </c>
      <c r="M3346">
        <v>0.99985069999999998</v>
      </c>
      <c r="N3346">
        <v>0</v>
      </c>
      <c r="O3346">
        <v>-1.6533559999999999E-2</v>
      </c>
      <c r="P3346">
        <v>0.99579229999999996</v>
      </c>
      <c r="Q3346">
        <v>8.6956950000000005E-2</v>
      </c>
      <c r="R3346">
        <v>-2.8922429999999999E-2</v>
      </c>
      <c r="S3346">
        <v>3.013611</v>
      </c>
      <c r="T3346">
        <v>-4.8102260000000001E-2</v>
      </c>
      <c r="U3346">
        <v>-0.1075745</v>
      </c>
      <c r="V3346">
        <v>1.24586E-2</v>
      </c>
      <c r="W3346">
        <v>9.1983579999999995E-2</v>
      </c>
      <c r="X3346">
        <v>0.99568259999999997</v>
      </c>
      <c r="Y3346">
        <v>1.914503E-2</v>
      </c>
      <c r="Z3346">
        <v>1.110424E-4</v>
      </c>
      <c r="AA3346">
        <v>0.9998167</v>
      </c>
      <c r="AB3346">
        <v>52</v>
      </c>
      <c r="AC3346">
        <v>68.884599999999907</v>
      </c>
      <c r="AD3346">
        <v>-1.1079644297559901</v>
      </c>
      <c r="AE3346">
        <v>-2.4691000000000201</v>
      </c>
      <c r="AF3346">
        <v>1.32949695681327</v>
      </c>
      <c r="AG3346">
        <v>-1.1079644297559901</v>
      </c>
      <c r="AH3346">
        <v>68.898206004650206</v>
      </c>
      <c r="AI3346">
        <v>90.921132863078796</v>
      </c>
      <c r="AJ3346">
        <v>88.894526921194696</v>
      </c>
      <c r="AK3346">
        <v>68.919938609919001</v>
      </c>
      <c r="AL3346">
        <v>84.722268793897101</v>
      </c>
      <c r="AM3346">
        <v>89.283116980627398</v>
      </c>
      <c r="AN3346">
        <v>1.0000000178231601</v>
      </c>
    </row>
    <row r="3347" spans="1:40" x14ac:dyDescent="0.25">
      <c r="A3347" t="str">
        <f>"20190312172956620"</f>
        <v>20190312172956620</v>
      </c>
      <c r="B3347" t="str">
        <f>"1552382996610657"</f>
        <v>1552382996610657</v>
      </c>
      <c r="C3347" t="s">
        <v>40</v>
      </c>
      <c r="D3347">
        <v>3.1371929999999999</v>
      </c>
      <c r="E3347">
        <v>0.50383109999999998</v>
      </c>
      <c r="F3347" t="s">
        <v>48</v>
      </c>
      <c r="G3347">
        <v>-300.6576</v>
      </c>
      <c r="H3347" s="1">
        <v>2.536607E-6</v>
      </c>
      <c r="I3347">
        <v>210.6397</v>
      </c>
      <c r="J3347">
        <v>-368.82420000000002</v>
      </c>
      <c r="K3347">
        <v>1.107988</v>
      </c>
      <c r="L3347">
        <v>213.04990000000001</v>
      </c>
      <c r="M3347">
        <v>0.99985159999999995</v>
      </c>
      <c r="N3347">
        <v>0</v>
      </c>
      <c r="O3347">
        <v>-1.6464670000000001E-2</v>
      </c>
      <c r="P3347">
        <v>0.99575360000000002</v>
      </c>
      <c r="Q3347">
        <v>8.7530220000000006E-2</v>
      </c>
      <c r="R3347">
        <v>-2.8517150000000002E-2</v>
      </c>
      <c r="S3347">
        <v>3.013855</v>
      </c>
      <c r="T3347">
        <v>-4.8609729999999997E-2</v>
      </c>
      <c r="U3347">
        <v>-0.10612489999999999</v>
      </c>
      <c r="V3347">
        <v>1.211666E-2</v>
      </c>
      <c r="W3347">
        <v>9.2580899999999994E-2</v>
      </c>
      <c r="X3347">
        <v>0.9956315</v>
      </c>
      <c r="Y3347">
        <v>1.8730790000000001E-2</v>
      </c>
      <c r="Z3347">
        <v>1.144348E-4</v>
      </c>
      <c r="AA3347">
        <v>0.99982459999999995</v>
      </c>
      <c r="AB3347">
        <v>52</v>
      </c>
      <c r="AC3347">
        <v>68.166600000000003</v>
      </c>
      <c r="AD3347">
        <v>-1.107985463393</v>
      </c>
      <c r="AE3347">
        <v>-2.4102000000000001</v>
      </c>
      <c r="AF3347">
        <v>1.28717865049556</v>
      </c>
      <c r="AG3347">
        <v>-1.107985463393</v>
      </c>
      <c r="AH3347">
        <v>68.179053224535096</v>
      </c>
      <c r="AI3347">
        <v>90.930872349842105</v>
      </c>
      <c r="AJ3347">
        <v>88.918419363679504</v>
      </c>
      <c r="AK3347">
        <v>68.200203513328105</v>
      </c>
      <c r="AL3347">
        <v>84.687898441384704</v>
      </c>
      <c r="AM3347">
        <v>89.302754874890994</v>
      </c>
      <c r="AN3347">
        <v>1.0000000601432999</v>
      </c>
    </row>
    <row r="3348" spans="1:40" x14ac:dyDescent="0.25">
      <c r="A3348" t="str">
        <f>"20190312172956641"</f>
        <v>20190312172956641</v>
      </c>
      <c r="B3348" t="str">
        <f>"1552382996631157"</f>
        <v>1552382996631157</v>
      </c>
      <c r="C3348" t="s">
        <v>40</v>
      </c>
      <c r="D3348">
        <v>3.1155529999999998</v>
      </c>
      <c r="E3348">
        <v>0.50395420000000002</v>
      </c>
      <c r="F3348" t="s">
        <v>48</v>
      </c>
      <c r="G3348">
        <v>-299.47230000000002</v>
      </c>
      <c r="H3348" s="1">
        <v>2.574636E-6</v>
      </c>
      <c r="I3348">
        <v>210.61850000000001</v>
      </c>
      <c r="J3348">
        <v>-368.32380000000001</v>
      </c>
      <c r="K3348">
        <v>1.1080209999999999</v>
      </c>
      <c r="L3348">
        <v>213.04169999999999</v>
      </c>
      <c r="M3348">
        <v>0.99985329999999994</v>
      </c>
      <c r="N3348">
        <v>0</v>
      </c>
      <c r="O3348">
        <v>-1.6358660000000001E-2</v>
      </c>
      <c r="P3348">
        <v>0.99574200000000002</v>
      </c>
      <c r="Q3348">
        <v>8.7944759999999997E-2</v>
      </c>
      <c r="R3348">
        <v>-2.7641659999999998E-2</v>
      </c>
      <c r="S3348">
        <v>3.014008</v>
      </c>
      <c r="T3348">
        <v>-4.8152569999999999E-2</v>
      </c>
      <c r="U3348">
        <v>-0.1056671</v>
      </c>
      <c r="V3348">
        <v>1.1339299999999899E-2</v>
      </c>
      <c r="W3348">
        <v>9.301864E-2</v>
      </c>
      <c r="X3348">
        <v>0.99559980000000003</v>
      </c>
      <c r="Y3348">
        <v>1.868334E-2</v>
      </c>
      <c r="Z3348">
        <v>1.120397E-4</v>
      </c>
      <c r="AA3348">
        <v>0.99982539999999998</v>
      </c>
      <c r="AB3348">
        <v>52</v>
      </c>
      <c r="AC3348">
        <v>68.851499999999902</v>
      </c>
      <c r="AD3348">
        <v>-1.108018425364</v>
      </c>
      <c r="AE3348">
        <v>-2.42319999999998</v>
      </c>
      <c r="AF3348">
        <v>1.29620766811487</v>
      </c>
      <c r="AG3348">
        <v>-1.108018425364</v>
      </c>
      <c r="AH3348">
        <v>68.864115029932293</v>
      </c>
      <c r="AI3348">
        <v>90.921642012814104</v>
      </c>
      <c r="AJ3348">
        <v>88.921666824768593</v>
      </c>
      <c r="AK3348">
        <v>68.885224816397198</v>
      </c>
      <c r="AL3348">
        <v>84.662708792669306</v>
      </c>
      <c r="AM3348">
        <v>89.347462763340204</v>
      </c>
      <c r="AN3348">
        <v>1.00000000443598</v>
      </c>
    </row>
    <row r="3349" spans="1:40" x14ac:dyDescent="0.25">
      <c r="A3349" t="str">
        <f>"20190312172956665"</f>
        <v>20190312172956665</v>
      </c>
      <c r="B3349" t="str">
        <f>"1552382996650673"</f>
        <v>1552382996650673</v>
      </c>
      <c r="C3349" t="s">
        <v>40</v>
      </c>
      <c r="D3349">
        <v>3.1199880000000002</v>
      </c>
      <c r="E3349">
        <v>0.5040869</v>
      </c>
      <c r="F3349" t="s">
        <v>48</v>
      </c>
      <c r="G3349">
        <v>-298.58760000000001</v>
      </c>
      <c r="H3349" s="1">
        <v>2.4177090000000002E-6</v>
      </c>
      <c r="I3349">
        <v>210.6326</v>
      </c>
      <c r="J3349">
        <v>-367.80239999999998</v>
      </c>
      <c r="K3349">
        <v>1.108058</v>
      </c>
      <c r="L3349">
        <v>213.03319999999999</v>
      </c>
      <c r="M3349">
        <v>0.99985559999999996</v>
      </c>
      <c r="N3349">
        <v>0</v>
      </c>
      <c r="O3349">
        <v>-1.6207570000000001E-2</v>
      </c>
      <c r="P3349">
        <v>0.99571339999999997</v>
      </c>
      <c r="Q3349">
        <v>8.859649E-2</v>
      </c>
      <c r="R3349">
        <v>-2.6566039999999999E-2</v>
      </c>
      <c r="S3349">
        <v>3.0141300000000002</v>
      </c>
      <c r="T3349">
        <v>-4.7890660000000002E-2</v>
      </c>
      <c r="U3349">
        <v>-0.104126</v>
      </c>
      <c r="V3349">
        <v>1.0406240000000001E-2</v>
      </c>
      <c r="W3349">
        <v>9.3694219999999995E-2</v>
      </c>
      <c r="X3349">
        <v>0.99554659999999995</v>
      </c>
      <c r="Y3349">
        <v>1.8322430000000001E-2</v>
      </c>
      <c r="Z3349">
        <v>1.11894E-4</v>
      </c>
      <c r="AA3349">
        <v>0.99983219999999995</v>
      </c>
      <c r="AB3349">
        <v>52</v>
      </c>
      <c r="AC3349">
        <v>69.214799999999897</v>
      </c>
      <c r="AD3349">
        <v>-1.1080555822910001</v>
      </c>
      <c r="AE3349">
        <v>-2.4005999999999901</v>
      </c>
      <c r="AF3349">
        <v>1.27813914166706</v>
      </c>
      <c r="AG3349">
        <v>-1.1080555822910001</v>
      </c>
      <c r="AH3349">
        <v>69.226896130957101</v>
      </c>
      <c r="AI3349">
        <v>90.916849890775893</v>
      </c>
      <c r="AJ3349">
        <v>88.942265751608304</v>
      </c>
      <c r="AK3349">
        <v>69.247560063624107</v>
      </c>
      <c r="AL3349">
        <v>84.623830906840894</v>
      </c>
      <c r="AM3349">
        <v>89.401121033379894</v>
      </c>
      <c r="AN3349">
        <v>0.99999996473195196</v>
      </c>
    </row>
    <row r="3350" spans="1:40" x14ac:dyDescent="0.25">
      <c r="A3350" t="str">
        <f>"20190312172956686"</f>
        <v>20190312172956686</v>
      </c>
      <c r="B3350" t="str">
        <f>"1552382996680929"</f>
        <v>1552382996680929</v>
      </c>
      <c r="C3350" t="s">
        <v>40</v>
      </c>
      <c r="D3350">
        <v>3.1219269999999999</v>
      </c>
      <c r="E3350">
        <v>0.50425109999999995</v>
      </c>
      <c r="F3350" t="s">
        <v>48</v>
      </c>
      <c r="G3350">
        <v>-296.6103</v>
      </c>
      <c r="H3350" s="1">
        <v>2.0669620000000001E-6</v>
      </c>
      <c r="I3350">
        <v>210.62629999999999</v>
      </c>
      <c r="J3350">
        <v>-367.28500000000003</v>
      </c>
      <c r="K3350">
        <v>1.10809</v>
      </c>
      <c r="L3350">
        <v>213.02500000000001</v>
      </c>
      <c r="M3350">
        <v>0.99985840000000004</v>
      </c>
      <c r="N3350">
        <v>0</v>
      </c>
      <c r="O3350">
        <v>-1.6023470000000001E-2</v>
      </c>
      <c r="P3350">
        <v>0.99567609999999995</v>
      </c>
      <c r="Q3350">
        <v>8.9336719999999994E-2</v>
      </c>
      <c r="R3350">
        <v>-2.5465140000000001E-2</v>
      </c>
      <c r="S3350">
        <v>3.0143430000000002</v>
      </c>
      <c r="T3350">
        <v>-4.691613E-2</v>
      </c>
      <c r="U3350">
        <v>-0.1019135</v>
      </c>
      <c r="V3350">
        <v>9.4806309999999998E-3</v>
      </c>
      <c r="W3350">
        <v>9.4457570000000005E-2</v>
      </c>
      <c r="X3350">
        <v>0.99548380000000003</v>
      </c>
      <c r="Y3350">
        <v>1.7771120000000001E-2</v>
      </c>
      <c r="Z3350">
        <v>1.110366E-4</v>
      </c>
      <c r="AA3350">
        <v>0.99984200000000001</v>
      </c>
      <c r="AB3350">
        <v>52</v>
      </c>
      <c r="AC3350">
        <v>70.674700000000001</v>
      </c>
      <c r="AD3350">
        <v>-1.108087933038</v>
      </c>
      <c r="AE3350">
        <v>-2.3987000000000198</v>
      </c>
      <c r="AF3350">
        <v>1.2656123798940799</v>
      </c>
      <c r="AG3350">
        <v>-1.108087933038</v>
      </c>
      <c r="AH3350">
        <v>70.686705917838196</v>
      </c>
      <c r="AI3350">
        <v>90.8979537222814</v>
      </c>
      <c r="AJ3350">
        <v>88.974255487923003</v>
      </c>
      <c r="AK3350">
        <v>70.706718401283695</v>
      </c>
      <c r="AL3350">
        <v>84.579899828954694</v>
      </c>
      <c r="AM3350">
        <v>89.454352022997497</v>
      </c>
      <c r="AN3350">
        <v>1.0000000554784501</v>
      </c>
    </row>
    <row r="3351" spans="1:40" x14ac:dyDescent="0.25">
      <c r="A3351" t="str">
        <f>"20190312172956710"</f>
        <v>20190312172956710</v>
      </c>
      <c r="B3351" t="str">
        <f>"1552382996700449"</f>
        <v>1552382996700449</v>
      </c>
      <c r="C3351" t="s">
        <v>40</v>
      </c>
      <c r="D3351">
        <v>3.1161319999999999</v>
      </c>
      <c r="E3351">
        <v>0.50435850000000004</v>
      </c>
      <c r="F3351" t="s">
        <v>48</v>
      </c>
      <c r="G3351">
        <v>-294.75139999999999</v>
      </c>
      <c r="H3351" s="1">
        <v>1.7372299999999901E-6</v>
      </c>
      <c r="I3351">
        <v>210.61250000000001</v>
      </c>
      <c r="J3351">
        <v>-366.74489999999997</v>
      </c>
      <c r="K3351">
        <v>1.1081110000000001</v>
      </c>
      <c r="L3351">
        <v>213.0164</v>
      </c>
      <c r="M3351">
        <v>0.99986180000000002</v>
      </c>
      <c r="N3351">
        <v>0</v>
      </c>
      <c r="O3351">
        <v>-1.5803629999999999E-2</v>
      </c>
      <c r="P3351">
        <v>0.99566109999999997</v>
      </c>
      <c r="Q3351">
        <v>8.9743820000000002E-2</v>
      </c>
      <c r="R3351">
        <v>-2.460182E-2</v>
      </c>
      <c r="S3351">
        <v>3.0145870000000001</v>
      </c>
      <c r="T3351">
        <v>-4.6053530000000002E-2</v>
      </c>
      <c r="U3351">
        <v>-0.10026549999999999</v>
      </c>
      <c r="V3351">
        <v>8.8288229999999995E-3</v>
      </c>
      <c r="W3351">
        <v>9.488858E-2</v>
      </c>
      <c r="X3351">
        <v>0.99544880000000002</v>
      </c>
      <c r="Y3351">
        <v>1.7442289999999999E-2</v>
      </c>
      <c r="Z3351">
        <v>1.08142E-4</v>
      </c>
      <c r="AA3351">
        <v>0.99984790000000001</v>
      </c>
      <c r="AB3351">
        <v>52</v>
      </c>
      <c r="AC3351">
        <v>71.993499999999898</v>
      </c>
      <c r="AD3351">
        <v>-1.10810926277</v>
      </c>
      <c r="AE3351">
        <v>-2.4038999999999899</v>
      </c>
      <c r="AF3351">
        <v>1.26552651810349</v>
      </c>
      <c r="AG3351">
        <v>-1.10810926277</v>
      </c>
      <c r="AH3351">
        <v>72.005460065669396</v>
      </c>
      <c r="AI3351">
        <v>90.881532751440702</v>
      </c>
      <c r="AJ3351">
        <v>88.993106026537305</v>
      </c>
      <c r="AK3351">
        <v>72.025104948031597</v>
      </c>
      <c r="AL3351">
        <v>84.555093337301599</v>
      </c>
      <c r="AM3351">
        <v>89.491846258017205</v>
      </c>
      <c r="AN3351">
        <v>1.0000000520757</v>
      </c>
    </row>
    <row r="3352" spans="1:40" x14ac:dyDescent="0.25">
      <c r="A3352" t="str">
        <f>"20190312172956732"</f>
        <v>20190312172956732</v>
      </c>
      <c r="B3352" t="str">
        <f>"1552382996720949"</f>
        <v>1552382996720949</v>
      </c>
      <c r="C3352" t="s">
        <v>40</v>
      </c>
      <c r="D3352">
        <v>3.1517780000000002</v>
      </c>
      <c r="E3352">
        <v>0.50449520000000003</v>
      </c>
      <c r="F3352" t="s">
        <v>48</v>
      </c>
      <c r="G3352">
        <v>-293.79250000000002</v>
      </c>
      <c r="H3352" s="1">
        <v>1.56714E-6</v>
      </c>
      <c r="I3352">
        <v>210.6378</v>
      </c>
      <c r="J3352">
        <v>-366.2099</v>
      </c>
      <c r="K3352">
        <v>1.108131</v>
      </c>
      <c r="L3352">
        <v>213.00810000000001</v>
      </c>
      <c r="M3352">
        <v>0.99986549999999996</v>
      </c>
      <c r="N3352">
        <v>0</v>
      </c>
      <c r="O3352">
        <v>-1.55651E-2</v>
      </c>
      <c r="P3352">
        <v>0.99563469999999998</v>
      </c>
      <c r="Q3352">
        <v>9.015919E-2</v>
      </c>
      <c r="R3352">
        <v>-2.4147729999999999E-2</v>
      </c>
      <c r="S3352">
        <v>3.0147400000000002</v>
      </c>
      <c r="T3352">
        <v>-4.5792340000000001E-2</v>
      </c>
      <c r="U3352">
        <v>-9.8297120000000002E-2</v>
      </c>
      <c r="V3352">
        <v>8.6059280000000005E-3</v>
      </c>
      <c r="W3352">
        <v>9.5328140000000006E-2</v>
      </c>
      <c r="X3352">
        <v>0.99540870000000004</v>
      </c>
      <c r="Y3352">
        <v>1.702704E-2</v>
      </c>
      <c r="Z3352">
        <v>1.0705629999999999E-4</v>
      </c>
      <c r="AA3352">
        <v>0.99985500000000005</v>
      </c>
      <c r="AB3352">
        <v>53</v>
      </c>
      <c r="AC3352">
        <v>72.417399999999901</v>
      </c>
      <c r="AD3352">
        <v>-1.10812943286</v>
      </c>
      <c r="AE3352">
        <v>-2.3703000000000101</v>
      </c>
      <c r="AF3352">
        <v>1.2425230934599301</v>
      </c>
      <c r="AG3352">
        <v>-1.10812943286</v>
      </c>
      <c r="AH3352">
        <v>72.428580276825102</v>
      </c>
      <c r="AI3352">
        <v>90.876406077529495</v>
      </c>
      <c r="AJ3352">
        <v>89.017178766797898</v>
      </c>
      <c r="AK3352">
        <v>72.447712561503593</v>
      </c>
      <c r="AL3352">
        <v>84.529793424664106</v>
      </c>
      <c r="AM3352">
        <v>89.504654652628304</v>
      </c>
      <c r="AN3352">
        <v>0.99999999815414498</v>
      </c>
    </row>
    <row r="3353" spans="1:40" x14ac:dyDescent="0.25">
      <c r="A3353" t="str">
        <f>"20190312172956756"</f>
        <v>20190312172956756</v>
      </c>
      <c r="B3353" t="str">
        <f>"1552382996751201"</f>
        <v>1552382996751201</v>
      </c>
      <c r="C3353" t="s">
        <v>40</v>
      </c>
      <c r="D3353">
        <v>3.13584</v>
      </c>
      <c r="E3353">
        <v>0.50472740000000005</v>
      </c>
      <c r="F3353" t="s">
        <v>48</v>
      </c>
      <c r="G3353">
        <v>-292.83240000000001</v>
      </c>
      <c r="H3353" s="1">
        <v>1.396833E-6</v>
      </c>
      <c r="I3353">
        <v>210.62690000000001</v>
      </c>
      <c r="J3353">
        <v>-365.65730000000002</v>
      </c>
      <c r="K3353">
        <v>1.108152</v>
      </c>
      <c r="L3353">
        <v>212.99959999999999</v>
      </c>
      <c r="M3353">
        <v>0.99986940000000002</v>
      </c>
      <c r="N3353">
        <v>0</v>
      </c>
      <c r="O3353">
        <v>-1.5303219999999999E-2</v>
      </c>
      <c r="P3353">
        <v>0.99567919999999999</v>
      </c>
      <c r="Q3353">
        <v>8.9886809999999998E-2</v>
      </c>
      <c r="R3353">
        <v>-2.3310299999999999E-2</v>
      </c>
      <c r="S3353">
        <v>3.0148929999999998</v>
      </c>
      <c r="T3353">
        <v>-4.55302E-2</v>
      </c>
      <c r="U3353">
        <v>-9.783936E-2</v>
      </c>
      <c r="V3353">
        <v>8.0229080000000005E-3</v>
      </c>
      <c r="W3353">
        <v>9.5080830000000005E-2</v>
      </c>
      <c r="X3353">
        <v>0.99543720000000002</v>
      </c>
      <c r="Y3353">
        <v>1.7135560000000001E-2</v>
      </c>
      <c r="Z3353">
        <v>1.0166650000000001E-4</v>
      </c>
      <c r="AA3353">
        <v>0.9998532</v>
      </c>
      <c r="AB3353">
        <v>53</v>
      </c>
      <c r="AC3353">
        <v>72.8249</v>
      </c>
      <c r="AD3353">
        <v>-1.1081506031669901</v>
      </c>
      <c r="AE3353">
        <v>-2.37269999999998</v>
      </c>
      <c r="AF3353">
        <v>1.2576607402870399</v>
      </c>
      <c r="AG3353">
        <v>-1.1081506031669901</v>
      </c>
      <c r="AH3353">
        <v>72.835835349719005</v>
      </c>
      <c r="AI3353">
        <v>90.871521458370196</v>
      </c>
      <c r="AJ3353">
        <v>89.010768642236897</v>
      </c>
      <c r="AK3353">
        <v>72.8551207492537</v>
      </c>
      <c r="AL3353">
        <v>84.544027775159194</v>
      </c>
      <c r="AM3353">
        <v>89.538224194490496</v>
      </c>
      <c r="AN3353">
        <v>0.99999997521505202</v>
      </c>
    </row>
    <row r="3354" spans="1:40" x14ac:dyDescent="0.25">
      <c r="A3354" t="str">
        <f>"20190312172956777"</f>
        <v>20190312172956777</v>
      </c>
      <c r="B3354" t="str">
        <f>"1552382996770722"</f>
        <v>1552382996770722</v>
      </c>
      <c r="C3354" t="s">
        <v>40</v>
      </c>
      <c r="D3354">
        <v>3.1426240000000001</v>
      </c>
      <c r="E3354">
        <v>0.50488750000000004</v>
      </c>
      <c r="F3354" t="s">
        <v>48</v>
      </c>
      <c r="G3354">
        <v>-296.20060000000001</v>
      </c>
      <c r="H3354" s="1">
        <v>1.9942910000000001E-6</v>
      </c>
      <c r="I3354">
        <v>210.7629</v>
      </c>
      <c r="J3354">
        <v>-365.14330000000001</v>
      </c>
      <c r="K3354">
        <v>1.108168</v>
      </c>
      <c r="L3354">
        <v>212.99180000000001</v>
      </c>
      <c r="M3354">
        <v>0.99987309999999996</v>
      </c>
      <c r="N3354">
        <v>0</v>
      </c>
      <c r="O3354">
        <v>-1.505067E-2</v>
      </c>
      <c r="P3354">
        <v>0.99575020000000003</v>
      </c>
      <c r="Q3354">
        <v>8.9278819999999995E-2</v>
      </c>
      <c r="R3354">
        <v>-2.2600309999999998E-2</v>
      </c>
      <c r="S3354">
        <v>3.0150450000000002</v>
      </c>
      <c r="T3354">
        <v>-4.8103689999999998E-2</v>
      </c>
      <c r="U3354">
        <v>-9.7091670000000005E-2</v>
      </c>
      <c r="V3354">
        <v>7.5587930000000003E-3</v>
      </c>
      <c r="W3354">
        <v>9.4496010000000005E-2</v>
      </c>
      <c r="X3354">
        <v>0.99549659999999995</v>
      </c>
      <c r="Y3354">
        <v>1.7138730000000001E-2</v>
      </c>
      <c r="Z3354">
        <v>1.033548E-4</v>
      </c>
      <c r="AA3354">
        <v>0.99985310000000005</v>
      </c>
      <c r="AB3354">
        <v>53</v>
      </c>
      <c r="AC3354">
        <v>68.942700000000002</v>
      </c>
      <c r="AD3354">
        <v>-1.1081660057089999</v>
      </c>
      <c r="AE3354">
        <v>-2.2288999999999999</v>
      </c>
      <c r="AF3354">
        <v>1.1906922485818601</v>
      </c>
      <c r="AG3354">
        <v>-1.1081660057089999</v>
      </c>
      <c r="AH3354">
        <v>68.950641891108205</v>
      </c>
      <c r="AI3354">
        <v>90.920634018106099</v>
      </c>
      <c r="AJ3354">
        <v>89.010671134844799</v>
      </c>
      <c r="AK3354">
        <v>68.969825265277294</v>
      </c>
      <c r="AL3354">
        <v>84.577687486115906</v>
      </c>
      <c r="AM3354">
        <v>89.564962236521097</v>
      </c>
      <c r="AN3354">
        <v>1.0000000559345401</v>
      </c>
    </row>
    <row r="3355" spans="1:40" x14ac:dyDescent="0.25">
      <c r="A3355" t="str">
        <f>"20190312172956799"</f>
        <v>20190312172956799</v>
      </c>
      <c r="B3355" t="str">
        <f>"1552382996791218"</f>
        <v>1552382996791218</v>
      </c>
      <c r="C3355" t="s">
        <v>40</v>
      </c>
      <c r="D3355">
        <v>3.2174309999999999</v>
      </c>
      <c r="E3355">
        <v>0.50480159999999996</v>
      </c>
      <c r="F3355" t="s">
        <v>48</v>
      </c>
      <c r="G3355">
        <v>-299.93180000000001</v>
      </c>
      <c r="H3355" s="1">
        <v>2.6561470000000001E-6</v>
      </c>
      <c r="I3355">
        <v>210.91139999999999</v>
      </c>
      <c r="J3355">
        <v>-364.63749999999999</v>
      </c>
      <c r="K3355">
        <v>1.1081829999999999</v>
      </c>
      <c r="L3355">
        <v>212.98419999999999</v>
      </c>
      <c r="M3355">
        <v>0.99987680000000001</v>
      </c>
      <c r="N3355">
        <v>0</v>
      </c>
      <c r="O3355">
        <v>-1.4797289999999999E-2</v>
      </c>
      <c r="P3355">
        <v>0.99577590000000005</v>
      </c>
      <c r="Q3355">
        <v>8.9164460000000001E-2</v>
      </c>
      <c r="R3355">
        <v>-2.1912049999999999E-2</v>
      </c>
      <c r="S3355">
        <v>3.015228</v>
      </c>
      <c r="T3355">
        <v>-5.1239010000000001E-2</v>
      </c>
      <c r="U3355">
        <v>-9.6191410000000005E-2</v>
      </c>
      <c r="V3355">
        <v>7.1181100000000004E-3</v>
      </c>
      <c r="W3355">
        <v>9.440345E-2</v>
      </c>
      <c r="X3355">
        <v>0.99550859999999997</v>
      </c>
      <c r="Y3355">
        <v>1.709186E-2</v>
      </c>
      <c r="Z3355">
        <v>1.0617889999999999E-4</v>
      </c>
      <c r="AA3355">
        <v>0.99985389999999996</v>
      </c>
      <c r="AB3355">
        <v>53</v>
      </c>
      <c r="AC3355">
        <v>64.705699999999894</v>
      </c>
      <c r="AD3355">
        <v>-1.108180343853</v>
      </c>
      <c r="AE3355">
        <v>-2.0728</v>
      </c>
      <c r="AF3355">
        <v>1.11476427125627</v>
      </c>
      <c r="AG3355">
        <v>-1.108180343853</v>
      </c>
      <c r="AH3355">
        <v>64.710326569284206</v>
      </c>
      <c r="AI3355">
        <v>90.980962967759993</v>
      </c>
      <c r="AJ3355">
        <v>89.013063693834496</v>
      </c>
      <c r="AK3355">
        <v>64.729414702732996</v>
      </c>
      <c r="AL3355">
        <v>84.583014433416096</v>
      </c>
      <c r="AM3355">
        <v>89.590329293998096</v>
      </c>
      <c r="AN3355">
        <v>1.00000002576791</v>
      </c>
    </row>
    <row r="3356" spans="1:40" x14ac:dyDescent="0.25">
      <c r="A3356" t="str">
        <f>"20190312172956821"</f>
        <v>20190312172956821</v>
      </c>
      <c r="B3356" t="str">
        <f>"1552382996810741"</f>
        <v>1552382996810741</v>
      </c>
      <c r="C3356" t="s">
        <v>40</v>
      </c>
      <c r="D3356">
        <v>3.104368</v>
      </c>
      <c r="E3356">
        <v>0.46400160000000001</v>
      </c>
      <c r="F3356" t="s">
        <v>48</v>
      </c>
      <c r="G3356">
        <v>-301.20530000000002</v>
      </c>
      <c r="H3356" s="1">
        <v>2.439457E-6</v>
      </c>
      <c r="I3356">
        <v>211.01949999999999</v>
      </c>
      <c r="J3356">
        <v>-364.09449999999998</v>
      </c>
      <c r="K3356">
        <v>1.1081970000000001</v>
      </c>
      <c r="L3356">
        <v>212.97630000000001</v>
      </c>
      <c r="M3356">
        <v>0.99988060000000001</v>
      </c>
      <c r="N3356">
        <v>0</v>
      </c>
      <c r="O3356">
        <v>-1.452269E-2</v>
      </c>
      <c r="P3356">
        <v>0.99574779999999996</v>
      </c>
      <c r="Q3356">
        <v>8.9564779999999997E-2</v>
      </c>
      <c r="R3356">
        <v>-2.1553900000000001E-2</v>
      </c>
      <c r="S3356">
        <v>3.0153810000000001</v>
      </c>
      <c r="T3356">
        <v>-5.2679660000000003E-2</v>
      </c>
      <c r="U3356">
        <v>-9.3399049999999997E-2</v>
      </c>
      <c r="V3356">
        <v>7.0288360000000001E-3</v>
      </c>
      <c r="W3356">
        <v>9.4828309999999999E-2</v>
      </c>
      <c r="X3356">
        <v>0.99546889999999999</v>
      </c>
      <c r="Y3356">
        <v>1.643988E-2</v>
      </c>
      <c r="Z3356">
        <v>1.100588E-4</v>
      </c>
      <c r="AA3356">
        <v>0.99986489999999995</v>
      </c>
      <c r="AB3356">
        <v>53</v>
      </c>
      <c r="AC3356">
        <v>62.889199999999903</v>
      </c>
      <c r="AD3356">
        <v>-1.1081945605429999</v>
      </c>
      <c r="AE3356">
        <v>-1.9568000000000101</v>
      </c>
      <c r="AF3356">
        <v>1.04293701148569</v>
      </c>
      <c r="AG3356">
        <v>-1.1081945605429999</v>
      </c>
      <c r="AH3356">
        <v>62.891476189876499</v>
      </c>
      <c r="AI3356">
        <v>91.009351007715793</v>
      </c>
      <c r="AJ3356">
        <v>89.049944190249306</v>
      </c>
      <c r="AK3356">
        <v>62.909884677495199</v>
      </c>
      <c r="AL3356">
        <v>84.558562303772106</v>
      </c>
      <c r="AM3356">
        <v>89.595451002769593</v>
      </c>
      <c r="AN3356">
        <v>1.0000000718900799</v>
      </c>
    </row>
    <row r="3357" spans="1:40" x14ac:dyDescent="0.25">
      <c r="A3357" t="str">
        <f>"20190312172956842"</f>
        <v>20190312172956842</v>
      </c>
      <c r="B3357" t="str">
        <f>"1552382996831233"</f>
        <v>1552382996831233</v>
      </c>
      <c r="C3357" t="s">
        <v>40</v>
      </c>
      <c r="D3357">
        <v>3.0669360000000001</v>
      </c>
      <c r="E3357">
        <v>0.45614359999999998</v>
      </c>
      <c r="F3357" t="s">
        <v>47</v>
      </c>
      <c r="G3357">
        <v>-334.53550000000001</v>
      </c>
      <c r="H3357" s="1">
        <v>8.4802909999999997E-7</v>
      </c>
      <c r="I3357">
        <v>215.27440000000001</v>
      </c>
      <c r="J3357">
        <v>-363.57499999999999</v>
      </c>
      <c r="K3357">
        <v>1.108206</v>
      </c>
      <c r="L3357">
        <v>212.96879999999999</v>
      </c>
      <c r="M3357">
        <v>0.99988429999999995</v>
      </c>
      <c r="N3357">
        <v>0</v>
      </c>
      <c r="O3357">
        <v>-1.425943E-2</v>
      </c>
      <c r="P3357">
        <v>0.99576980000000004</v>
      </c>
      <c r="Q3357">
        <v>8.9422189999999999E-2</v>
      </c>
      <c r="R3357">
        <v>-2.1132450000000001E-2</v>
      </c>
      <c r="S3357">
        <v>3.0281069999999999</v>
      </c>
      <c r="T3357">
        <v>-0.11352710000000001</v>
      </c>
      <c r="U3357">
        <v>0.2354279</v>
      </c>
      <c r="V3357">
        <v>6.8651279999999999E-3</v>
      </c>
      <c r="W3357">
        <v>9.4709160000000001E-2</v>
      </c>
      <c r="X3357">
        <v>0.99548130000000001</v>
      </c>
      <c r="Y3357">
        <v>-9.1648510000000002E-2</v>
      </c>
      <c r="Z3357">
        <v>2.2484919999999999E-3</v>
      </c>
      <c r="AA3357">
        <v>0.99578889999999998</v>
      </c>
      <c r="AB3357">
        <v>53</v>
      </c>
      <c r="AC3357">
        <v>29.039499999999901</v>
      </c>
      <c r="AD3357">
        <v>-1.10820515197089</v>
      </c>
      <c r="AE3357">
        <v>2.3056000000000201</v>
      </c>
      <c r="AF3357">
        <v>-2.7155281545650398</v>
      </c>
      <c r="AG3357">
        <v>-1.10820515197089</v>
      </c>
      <c r="AH3357">
        <v>28.961756557893601</v>
      </c>
      <c r="AI3357">
        <v>92.181761274542396</v>
      </c>
      <c r="AJ3357">
        <v>95.356537853391899</v>
      </c>
      <c r="AK3357">
        <v>29.109887576831699</v>
      </c>
      <c r="AL3357">
        <v>84.565419495790096</v>
      </c>
      <c r="AM3357">
        <v>89.604877937180405</v>
      </c>
      <c r="AN3357">
        <v>0.999999986810025</v>
      </c>
    </row>
    <row r="3358" spans="1:40" x14ac:dyDescent="0.25">
      <c r="A3358" t="str">
        <f>"20190312172956865"</f>
        <v>20190312172956865</v>
      </c>
      <c r="B3358" t="str">
        <f>"1552382996860514"</f>
        <v>1552382996860514</v>
      </c>
      <c r="C3358" t="s">
        <v>40</v>
      </c>
      <c r="D3358">
        <v>3.0054859999999999</v>
      </c>
      <c r="E3358">
        <v>0.45192159999999898</v>
      </c>
      <c r="F3358" t="s">
        <v>47</v>
      </c>
      <c r="G3358">
        <v>-333.16239999999999</v>
      </c>
      <c r="H3358" s="1">
        <v>8.65438E-8</v>
      </c>
      <c r="I3358">
        <v>215.9785</v>
      </c>
      <c r="J3358">
        <v>-363.06380000000001</v>
      </c>
      <c r="K3358">
        <v>1.1082179999999999</v>
      </c>
      <c r="L3358">
        <v>212.9615</v>
      </c>
      <c r="M3358">
        <v>0.99988790000000005</v>
      </c>
      <c r="N3358">
        <v>0</v>
      </c>
      <c r="O3358">
        <v>-1.399999E-2</v>
      </c>
      <c r="P3358">
        <v>0.9957665</v>
      </c>
      <c r="Q3358">
        <v>8.9561539999999995E-2</v>
      </c>
      <c r="R3358">
        <v>-2.0686719999999999E-2</v>
      </c>
      <c r="S3358">
        <v>3.0290219999999999</v>
      </c>
      <c r="T3358">
        <v>-0.1103746</v>
      </c>
      <c r="U3358">
        <v>0.29975889999999999</v>
      </c>
      <c r="V3358">
        <v>6.674218E-3</v>
      </c>
      <c r="W3358">
        <v>9.4871510000000006E-2</v>
      </c>
      <c r="X3358">
        <v>0.99546710000000005</v>
      </c>
      <c r="Y3358">
        <v>-0.11232060000000001</v>
      </c>
      <c r="Z3358">
        <v>2.5495869999999999E-3</v>
      </c>
      <c r="AA3358">
        <v>0.99366869999999996</v>
      </c>
      <c r="AB3358">
        <v>53</v>
      </c>
      <c r="AC3358">
        <v>29.901399999999999</v>
      </c>
      <c r="AD3358">
        <v>-1.1082179134562</v>
      </c>
      <c r="AE3358">
        <v>3.0169999999999901</v>
      </c>
      <c r="AF3358">
        <v>-3.4306645671294702</v>
      </c>
      <c r="AG3358">
        <v>-1.1082179134562</v>
      </c>
      <c r="AH3358">
        <v>29.8156881298695</v>
      </c>
      <c r="AI3358">
        <v>92.114704400026099</v>
      </c>
      <c r="AJ3358">
        <v>96.563724840016306</v>
      </c>
      <c r="AK3358">
        <v>30.032863083187799</v>
      </c>
      <c r="AL3358">
        <v>84.556075239518506</v>
      </c>
      <c r="AM3358">
        <v>89.615859938331795</v>
      </c>
      <c r="AN3358">
        <v>0.99999994788899904</v>
      </c>
    </row>
    <row r="3359" spans="1:40" x14ac:dyDescent="0.25">
      <c r="A3359" t="str">
        <f>"20190312172956887"</f>
        <v>20190312172956887</v>
      </c>
      <c r="B3359" t="str">
        <f>"1552382996881009"</f>
        <v>1552382996881009</v>
      </c>
      <c r="C3359" t="s">
        <v>40</v>
      </c>
      <c r="D3359">
        <v>3.0343049999999998</v>
      </c>
      <c r="E3359">
        <v>0.45107900000000001</v>
      </c>
      <c r="F3359" t="s">
        <v>47</v>
      </c>
      <c r="G3359">
        <v>-330.1823</v>
      </c>
      <c r="H3359" s="1">
        <v>-1.5263469999999999E-6</v>
      </c>
      <c r="I3359">
        <v>216.59729999999999</v>
      </c>
      <c r="J3359">
        <v>-362.51420000000002</v>
      </c>
      <c r="K3359">
        <v>1.1082369999999999</v>
      </c>
      <c r="L3359">
        <v>212.9539</v>
      </c>
      <c r="M3359">
        <v>0.99989170000000005</v>
      </c>
      <c r="N3359">
        <v>0</v>
      </c>
      <c r="O3359">
        <v>-1.372101E-2</v>
      </c>
      <c r="P3359">
        <v>0.99576529999999996</v>
      </c>
      <c r="Q3359">
        <v>8.9602290000000001E-2</v>
      </c>
      <c r="R3359">
        <v>-2.0573149999999998E-2</v>
      </c>
      <c r="S3359">
        <v>3.028931</v>
      </c>
      <c r="T3359">
        <v>-0.1020856</v>
      </c>
      <c r="U3359">
        <v>0.33491520000000002</v>
      </c>
      <c r="V3359">
        <v>6.8347629999999998E-3</v>
      </c>
      <c r="W3359">
        <v>9.4936530000000005E-2</v>
      </c>
      <c r="X3359">
        <v>0.99545989999999995</v>
      </c>
      <c r="Y3359">
        <v>-0.12345299999999999</v>
      </c>
      <c r="Z3359">
        <v>2.5344909999999998E-3</v>
      </c>
      <c r="AA3359">
        <v>0.99234719999999998</v>
      </c>
      <c r="AB3359">
        <v>53</v>
      </c>
      <c r="AC3359">
        <v>32.331899999999997</v>
      </c>
      <c r="AD3359">
        <v>-1.108238526347</v>
      </c>
      <c r="AE3359">
        <v>3.6433999999999802</v>
      </c>
      <c r="AF3359">
        <v>-4.0819538304230596</v>
      </c>
      <c r="AG3359">
        <v>-1.108238526347</v>
      </c>
      <c r="AH3359">
        <v>32.241458667212399</v>
      </c>
      <c r="AI3359">
        <v>91.953079319086797</v>
      </c>
      <c r="AJ3359">
        <v>97.215585252058005</v>
      </c>
      <c r="AK3359">
        <v>32.517721271555203</v>
      </c>
      <c r="AL3359">
        <v>84.552333456087794</v>
      </c>
      <c r="AM3359">
        <v>89.606617081694907</v>
      </c>
      <c r="AN3359">
        <v>1.00000003561085</v>
      </c>
    </row>
    <row r="3360" spans="1:40" x14ac:dyDescent="0.25">
      <c r="A3360" t="str">
        <f>"20190312172956911"</f>
        <v>20190312172956911</v>
      </c>
      <c r="B3360" t="str">
        <f>"1552382996900533"</f>
        <v>1552382996900533</v>
      </c>
      <c r="C3360" t="s">
        <v>40</v>
      </c>
      <c r="D3360">
        <v>3.0846870000000002</v>
      </c>
      <c r="E3360">
        <v>0.45033139999999999</v>
      </c>
      <c r="F3360" t="s">
        <v>47</v>
      </c>
      <c r="G3360">
        <v>-329.88080000000002</v>
      </c>
      <c r="H3360" s="1">
        <v>3.7212570000000001E-6</v>
      </c>
      <c r="I3360">
        <v>216.63929999999999</v>
      </c>
      <c r="J3360">
        <v>-361.9477</v>
      </c>
      <c r="K3360">
        <v>1.1082529999999999</v>
      </c>
      <c r="L3360">
        <v>212.9462</v>
      </c>
      <c r="M3360">
        <v>0.99989539999999999</v>
      </c>
      <c r="N3360">
        <v>0</v>
      </c>
      <c r="O3360">
        <v>-1.3433219999999999E-2</v>
      </c>
      <c r="P3360">
        <v>0.99571529999999997</v>
      </c>
      <c r="Q3360">
        <v>9.0154849999999995E-2</v>
      </c>
      <c r="R3360">
        <v>-2.0580580000000001E-2</v>
      </c>
      <c r="S3360">
        <v>3.029083</v>
      </c>
      <c r="T3360">
        <v>-0.102868</v>
      </c>
      <c r="U3360">
        <v>0.34208680000000002</v>
      </c>
      <c r="V3360">
        <v>7.1258149999999998E-3</v>
      </c>
      <c r="W3360">
        <v>9.5514219999999997E-2</v>
      </c>
      <c r="X3360">
        <v>0.99540260000000003</v>
      </c>
      <c r="Y3360">
        <v>-0.12548010000000001</v>
      </c>
      <c r="Z3360">
        <v>2.5780019999999998E-3</v>
      </c>
      <c r="AA3360">
        <v>0.9920928</v>
      </c>
      <c r="AB3360">
        <v>54</v>
      </c>
      <c r="AC3360">
        <v>32.066899999999897</v>
      </c>
      <c r="AD3360">
        <v>-1.1082492787430001</v>
      </c>
      <c r="AE3360">
        <v>3.6930999999999798</v>
      </c>
      <c r="AF3360">
        <v>-4.1186795944219003</v>
      </c>
      <c r="AG3360">
        <v>-1.1082492787430001</v>
      </c>
      <c r="AH3360">
        <v>31.9767016016642</v>
      </c>
      <c r="AI3360">
        <v>91.968713534220697</v>
      </c>
      <c r="AJ3360">
        <v>97.339431257503804</v>
      </c>
      <c r="AK3360">
        <v>32.259900548315699</v>
      </c>
      <c r="AL3360">
        <v>84.519083182791803</v>
      </c>
      <c r="AM3360">
        <v>89.589842189586804</v>
      </c>
      <c r="AN3360">
        <v>1.0000000397741899</v>
      </c>
    </row>
    <row r="3361" spans="1:40" x14ac:dyDescent="0.25">
      <c r="A3361" t="str">
        <f>"20190312172956933"</f>
        <v>20190312172956933</v>
      </c>
      <c r="B3361" t="str">
        <f>"1552382996921029"</f>
        <v>1552382996921029</v>
      </c>
      <c r="C3361" t="s">
        <v>40</v>
      </c>
      <c r="D3361">
        <v>3.0551620000000002</v>
      </c>
      <c r="E3361">
        <v>0.44983590000000001</v>
      </c>
      <c r="F3361" t="s">
        <v>47</v>
      </c>
      <c r="G3361">
        <v>-329.15449999999998</v>
      </c>
      <c r="H3361" s="1">
        <v>3.3347710000000001E-6</v>
      </c>
      <c r="I3361">
        <v>216.71350000000001</v>
      </c>
      <c r="J3361">
        <v>-361.42059999999998</v>
      </c>
      <c r="K3361">
        <v>1.1082609999999999</v>
      </c>
      <c r="L3361">
        <v>212.9391</v>
      </c>
      <c r="M3361">
        <v>0.99989890000000003</v>
      </c>
      <c r="N3361">
        <v>0</v>
      </c>
      <c r="O3361">
        <v>-1.3165E-2</v>
      </c>
      <c r="P3361">
        <v>0.99561770000000005</v>
      </c>
      <c r="Q3361">
        <v>9.1070650000000003E-2</v>
      </c>
      <c r="R3361">
        <v>-2.1256420000000002E-2</v>
      </c>
      <c r="S3361">
        <v>3.029388</v>
      </c>
      <c r="T3361">
        <v>-0.10237839999999999</v>
      </c>
      <c r="U3361">
        <v>0.34802250000000001</v>
      </c>
      <c r="V3361">
        <v>8.0667359999999997E-3</v>
      </c>
      <c r="W3361">
        <v>9.6453990000000003E-2</v>
      </c>
      <c r="X3361">
        <v>0.99530479999999999</v>
      </c>
      <c r="Y3361">
        <v>-0.1271216</v>
      </c>
      <c r="Z3361">
        <v>2.5838039999999999E-3</v>
      </c>
      <c r="AA3361">
        <v>0.99188379999999998</v>
      </c>
      <c r="AB3361">
        <v>54</v>
      </c>
      <c r="AC3361">
        <v>32.266099999999902</v>
      </c>
      <c r="AD3361">
        <v>-1.1082576652289999</v>
      </c>
      <c r="AE3361">
        <v>3.7744000000000102</v>
      </c>
      <c r="AF3361">
        <v>-4.19398118885755</v>
      </c>
      <c r="AG3361">
        <v>-1.1082576652289999</v>
      </c>
      <c r="AH3361">
        <v>32.176165681196501</v>
      </c>
      <c r="AI3361">
        <v>91.956149455927203</v>
      </c>
      <c r="AJ3361">
        <v>97.426312811282699</v>
      </c>
      <c r="AK3361">
        <v>32.467265841287499</v>
      </c>
      <c r="AL3361">
        <v>84.464988593262504</v>
      </c>
      <c r="AM3361">
        <v>89.535639929000794</v>
      </c>
      <c r="AN3361">
        <v>1.0000000446598201</v>
      </c>
    </row>
    <row r="3362" spans="1:40" x14ac:dyDescent="0.25">
      <c r="A3362" t="str">
        <f>"20190312172956956"</f>
        <v>20190312172956956</v>
      </c>
      <c r="B3362" t="str">
        <f>"1552382996951281"</f>
        <v>1552382996951281</v>
      </c>
      <c r="C3362" t="s">
        <v>40</v>
      </c>
      <c r="D3362">
        <v>3.030014</v>
      </c>
      <c r="E3362">
        <v>0.44955339999999999</v>
      </c>
      <c r="F3362" t="s">
        <v>47</v>
      </c>
      <c r="G3362">
        <v>-327.54570000000001</v>
      </c>
      <c r="H3362" s="1">
        <v>2.4786400000000001E-6</v>
      </c>
      <c r="I3362">
        <v>216.85509999999999</v>
      </c>
      <c r="J3362">
        <v>-360.88380000000001</v>
      </c>
      <c r="K3362">
        <v>1.108268</v>
      </c>
      <c r="L3362">
        <v>212.93209999999999</v>
      </c>
      <c r="M3362">
        <v>0.99990219999999996</v>
      </c>
      <c r="N3362">
        <v>0</v>
      </c>
      <c r="O3362">
        <v>-1.2891059999999999E-2</v>
      </c>
      <c r="P3362">
        <v>0.99560649999999995</v>
      </c>
      <c r="Q3362">
        <v>9.1226929999999998E-2</v>
      </c>
      <c r="R3362">
        <v>-2.1103529999999999E-2</v>
      </c>
      <c r="S3362">
        <v>3.0298159999999998</v>
      </c>
      <c r="T3362">
        <v>-9.9123950000000002E-2</v>
      </c>
      <c r="U3362">
        <v>0.35025020000000001</v>
      </c>
      <c r="V3362">
        <v>8.1846609999999993E-3</v>
      </c>
      <c r="W3362">
        <v>9.6633380000000005E-2</v>
      </c>
      <c r="X3362">
        <v>0.99528640000000002</v>
      </c>
      <c r="Y3362">
        <v>-0.1275587</v>
      </c>
      <c r="Z3362">
        <v>2.4994499999999998E-3</v>
      </c>
      <c r="AA3362">
        <v>0.99182789999999998</v>
      </c>
      <c r="AB3362">
        <v>54</v>
      </c>
      <c r="AC3362">
        <v>33.338099999999997</v>
      </c>
      <c r="AD3362">
        <v>-1.1082655213599999</v>
      </c>
      <c r="AE3362">
        <v>3.923</v>
      </c>
      <c r="AF3362">
        <v>-4.34770470830634</v>
      </c>
      <c r="AG3362">
        <v>-1.1082655213599999</v>
      </c>
      <c r="AH3362">
        <v>33.248515907767</v>
      </c>
      <c r="AI3362">
        <v>91.893016808091204</v>
      </c>
      <c r="AJ3362">
        <v>97.449947246538201</v>
      </c>
      <c r="AK3362">
        <v>33.549882246671203</v>
      </c>
      <c r="AL3362">
        <v>84.454661864397806</v>
      </c>
      <c r="AM3362">
        <v>89.528843193590205</v>
      </c>
      <c r="AN3362">
        <v>1.0000000084154299</v>
      </c>
    </row>
    <row r="3363" spans="1:40" x14ac:dyDescent="0.25">
      <c r="A3363" t="str">
        <f>"20190312172956977"</f>
        <v>20190312172956977</v>
      </c>
      <c r="B3363" t="str">
        <f>"1552382996970802"</f>
        <v>1552382996970802</v>
      </c>
      <c r="C3363" t="s">
        <v>40</v>
      </c>
      <c r="D3363">
        <v>3.0670380000000002</v>
      </c>
      <c r="E3363">
        <v>0.44936310000000002</v>
      </c>
      <c r="F3363" t="s">
        <v>47</v>
      </c>
      <c r="G3363">
        <v>-327.15269999999998</v>
      </c>
      <c r="H3363" s="1">
        <v>2.2695489999999999E-6</v>
      </c>
      <c r="I3363">
        <v>216.8596</v>
      </c>
      <c r="J3363">
        <v>-360.35359999999997</v>
      </c>
      <c r="K3363">
        <v>1.108271</v>
      </c>
      <c r="L3363">
        <v>212.92529999999999</v>
      </c>
      <c r="M3363">
        <v>0.9999055</v>
      </c>
      <c r="N3363">
        <v>0</v>
      </c>
      <c r="O3363">
        <v>-1.2619389999999999E-2</v>
      </c>
      <c r="P3363">
        <v>0.99559690000000001</v>
      </c>
      <c r="Q3363">
        <v>9.13191E-2</v>
      </c>
      <c r="R3363">
        <v>-2.1152319999999999E-2</v>
      </c>
      <c r="S3363">
        <v>3.029846</v>
      </c>
      <c r="T3363">
        <v>-9.9548579999999998E-2</v>
      </c>
      <c r="U3363">
        <v>0.35278320000000002</v>
      </c>
      <c r="V3363">
        <v>8.5021660000000002E-3</v>
      </c>
      <c r="W3363">
        <v>9.6749660000000001E-2</v>
      </c>
      <c r="X3363">
        <v>0.9952725</v>
      </c>
      <c r="Y3363">
        <v>-0.12810539999999901</v>
      </c>
      <c r="Z3363">
        <v>2.5100589999999998E-3</v>
      </c>
      <c r="AA3363">
        <v>0.99175740000000001</v>
      </c>
      <c r="AB3363">
        <v>54</v>
      </c>
      <c r="AC3363">
        <v>33.200899999999898</v>
      </c>
      <c r="AD3363">
        <v>-1.1082687304509999</v>
      </c>
      <c r="AE3363">
        <v>3.9342999999999999</v>
      </c>
      <c r="AF3363">
        <v>-4.3481900830014002</v>
      </c>
      <c r="AG3363">
        <v>-1.1082687304509999</v>
      </c>
      <c r="AH3363">
        <v>33.112221976213696</v>
      </c>
      <c r="AI3363">
        <v>91.900673202828798</v>
      </c>
      <c r="AJ3363">
        <v>97.4810912043923</v>
      </c>
      <c r="AK3363">
        <v>33.414880828440097</v>
      </c>
      <c r="AL3363">
        <v>84.447968470034795</v>
      </c>
      <c r="AM3363">
        <v>89.510559792044404</v>
      </c>
      <c r="AN3363">
        <v>1.0000000663965201</v>
      </c>
    </row>
    <row r="3364" spans="1:40" x14ac:dyDescent="0.25">
      <c r="A3364" t="str">
        <f>"20190312172957000"</f>
        <v>20190312172957000</v>
      </c>
      <c r="B3364" t="str">
        <f>"1552382996991298"</f>
        <v>1552382996991298</v>
      </c>
      <c r="C3364" t="s">
        <v>40</v>
      </c>
      <c r="D3364">
        <v>3.0684</v>
      </c>
      <c r="E3364">
        <v>0.44910470000000002</v>
      </c>
      <c r="F3364" t="s">
        <v>47</v>
      </c>
      <c r="G3364">
        <v>-326.4742</v>
      </c>
      <c r="H3364" s="1">
        <v>1.9084249999999999E-6</v>
      </c>
      <c r="I3364">
        <v>216.88249999999999</v>
      </c>
      <c r="J3364">
        <v>-359.8091</v>
      </c>
      <c r="K3364">
        <v>1.108268</v>
      </c>
      <c r="L3364">
        <v>212.91849999999999</v>
      </c>
      <c r="M3364">
        <v>0.99990889999999999</v>
      </c>
      <c r="N3364">
        <v>0</v>
      </c>
      <c r="O3364">
        <v>-1.233998E-2</v>
      </c>
      <c r="P3364">
        <v>0.99559310000000001</v>
      </c>
      <c r="Q3364">
        <v>9.1460749999999993E-2</v>
      </c>
      <c r="R3364">
        <v>-2.07222E-2</v>
      </c>
      <c r="S3364">
        <v>3.0298769999999999</v>
      </c>
      <c r="T3364">
        <v>-9.9113699999999999E-2</v>
      </c>
      <c r="U3364">
        <v>0.35389710000000002</v>
      </c>
      <c r="V3364">
        <v>8.3485150000000008E-3</v>
      </c>
      <c r="W3364">
        <v>9.6915310000000005E-2</v>
      </c>
      <c r="X3364">
        <v>0.99525759999999996</v>
      </c>
      <c r="Y3364">
        <v>-0.12818759999999901</v>
      </c>
      <c r="Z3364">
        <v>2.4912519999999998E-3</v>
      </c>
      <c r="AA3364">
        <v>0.99174680000000004</v>
      </c>
      <c r="AB3364">
        <v>54</v>
      </c>
      <c r="AC3364">
        <v>33.334899999999998</v>
      </c>
      <c r="AD3364">
        <v>-1.108266091575</v>
      </c>
      <c r="AE3364">
        <v>3.9639999999999902</v>
      </c>
      <c r="AF3364">
        <v>-4.3702930861663498</v>
      </c>
      <c r="AG3364">
        <v>-1.108266091575</v>
      </c>
      <c r="AH3364">
        <v>33.247208832173598</v>
      </c>
      <c r="AI3364">
        <v>91.892925247003205</v>
      </c>
      <c r="AJ3364">
        <v>97.488506149849201</v>
      </c>
      <c r="AK3364">
        <v>33.551521731791702</v>
      </c>
      <c r="AL3364">
        <v>84.438432145837695</v>
      </c>
      <c r="AM3364">
        <v>89.519397333841894</v>
      </c>
      <c r="AN3364">
        <v>0.99999998268642998</v>
      </c>
    </row>
    <row r="3365" spans="1:40" x14ac:dyDescent="0.25">
      <c r="A3365" t="str">
        <f>"20190312172957021"</f>
        <v>20190312172957021</v>
      </c>
      <c r="B3365" t="str">
        <f>"1552382997010820"</f>
        <v>1552382997010820</v>
      </c>
      <c r="C3365" t="s">
        <v>40</v>
      </c>
      <c r="D3365">
        <v>3.071059</v>
      </c>
      <c r="E3365">
        <v>0.4488587</v>
      </c>
      <c r="F3365" t="s">
        <v>47</v>
      </c>
      <c r="G3365">
        <v>-325.81970000000001</v>
      </c>
      <c r="H3365" s="1">
        <v>1.5601440000000001E-6</v>
      </c>
      <c r="I3365">
        <v>216.92500000000001</v>
      </c>
      <c r="J3365">
        <v>-359.27</v>
      </c>
      <c r="K3365">
        <v>1.1082669999999999</v>
      </c>
      <c r="L3365">
        <v>212.9119</v>
      </c>
      <c r="M3365">
        <v>0.99991209999999997</v>
      </c>
      <c r="N3365">
        <v>0</v>
      </c>
      <c r="O3365">
        <v>-1.206309E-2</v>
      </c>
      <c r="P3365">
        <v>0.99557830000000003</v>
      </c>
      <c r="Q3365">
        <v>9.1678560000000006E-2</v>
      </c>
      <c r="R3365">
        <v>-2.0469330000000001E-2</v>
      </c>
      <c r="S3365">
        <v>3.0298159999999998</v>
      </c>
      <c r="T3365">
        <v>-9.8790649999999994E-2</v>
      </c>
      <c r="U3365">
        <v>0.35713200000000001</v>
      </c>
      <c r="V3365">
        <v>8.3701890000000001E-3</v>
      </c>
      <c r="W3365">
        <v>9.7156400000000004E-2</v>
      </c>
      <c r="X3365">
        <v>0.99523399999999995</v>
      </c>
      <c r="Y3365">
        <v>-0.12895999999999999</v>
      </c>
      <c r="Z3365">
        <v>2.48658E-3</v>
      </c>
      <c r="AA3365">
        <v>0.99164669999999999</v>
      </c>
      <c r="AB3365">
        <v>54</v>
      </c>
      <c r="AC3365">
        <v>33.450299999999899</v>
      </c>
      <c r="AD3365">
        <v>-1.1082654398559999</v>
      </c>
      <c r="AE3365">
        <v>4.0130999999999997</v>
      </c>
      <c r="AF3365">
        <v>-4.4115541843983896</v>
      </c>
      <c r="AG3365">
        <v>-1.1082654398559999</v>
      </c>
      <c r="AH3365">
        <v>33.363351277476099</v>
      </c>
      <c r="AI3365">
        <v>91.886149067563295</v>
      </c>
      <c r="AJ3365">
        <v>97.532384298603603</v>
      </c>
      <c r="AK3365">
        <v>33.671995353280302</v>
      </c>
      <c r="AL3365">
        <v>84.424553700620905</v>
      </c>
      <c r="AM3365">
        <v>89.518138250237897</v>
      </c>
      <c r="AN3365">
        <v>1.0000000704404199</v>
      </c>
    </row>
    <row r="3366" spans="1:40" x14ac:dyDescent="0.25">
      <c r="A3366" t="str">
        <f>"20190312172957044"</f>
        <v>20190312172957044</v>
      </c>
      <c r="B3366" t="str">
        <f>"1552382997030338"</f>
        <v>1552382997030338</v>
      </c>
      <c r="C3366" t="s">
        <v>40</v>
      </c>
      <c r="D3366">
        <v>3.0539909999999999</v>
      </c>
      <c r="E3366">
        <v>0.44864789999999999</v>
      </c>
      <c r="F3366" t="s">
        <v>47</v>
      </c>
      <c r="G3366">
        <v>-325.09989999999999</v>
      </c>
      <c r="H3366" s="1">
        <v>1.177156E-6</v>
      </c>
      <c r="I3366">
        <v>216.97120000000001</v>
      </c>
      <c r="J3366">
        <v>-358.73540000000003</v>
      </c>
      <c r="K3366">
        <v>1.1082719999999999</v>
      </c>
      <c r="L3366">
        <v>212.90549999999999</v>
      </c>
      <c r="M3366">
        <v>0.99991540000000001</v>
      </c>
      <c r="N3366">
        <v>0</v>
      </c>
      <c r="O3366">
        <v>-1.178714E-2</v>
      </c>
      <c r="P3366">
        <v>0.9955541</v>
      </c>
      <c r="Q3366">
        <v>9.2073130000000003E-2</v>
      </c>
      <c r="R3366">
        <v>-1.9870720000000001E-2</v>
      </c>
      <c r="S3366">
        <v>3.029785</v>
      </c>
      <c r="T3366">
        <v>-9.8267560000000004E-2</v>
      </c>
      <c r="U3366">
        <v>0.35992429999999997</v>
      </c>
      <c r="V3366">
        <v>8.0451580000000002E-3</v>
      </c>
      <c r="W3366">
        <v>9.7573549999999995E-2</v>
      </c>
      <c r="X3366">
        <v>0.99519579999999996</v>
      </c>
      <c r="Y3366">
        <v>-0.12958929999999999</v>
      </c>
      <c r="Z3366">
        <v>2.474562E-3</v>
      </c>
      <c r="AA3366">
        <v>0.99156460000000002</v>
      </c>
      <c r="AB3366">
        <v>54</v>
      </c>
      <c r="AC3366">
        <v>33.6355</v>
      </c>
      <c r="AD3366">
        <v>-1.1082708228439999</v>
      </c>
      <c r="AE3366">
        <v>4.0657000000000201</v>
      </c>
      <c r="AF3366">
        <v>-4.4571206305029198</v>
      </c>
      <c r="AG3366">
        <v>-1.1082708228439999</v>
      </c>
      <c r="AH3366">
        <v>33.549340697214099</v>
      </c>
      <c r="AI3366">
        <v>91.875556688753704</v>
      </c>
      <c r="AJ3366">
        <v>97.567584650669104</v>
      </c>
      <c r="AK3366">
        <v>33.862257009085603</v>
      </c>
      <c r="AL3366">
        <v>84.400538277644301</v>
      </c>
      <c r="AM3366">
        <v>89.536831286814504</v>
      </c>
      <c r="AN3366">
        <v>1.0000000012822401</v>
      </c>
    </row>
    <row r="3367" spans="1:40" x14ac:dyDescent="0.25">
      <c r="A3367" t="str">
        <f>"20190312172957066"</f>
        <v>20190312172957066</v>
      </c>
      <c r="B3367" t="str">
        <f>"1552382997060594"</f>
        <v>1552382997060594</v>
      </c>
      <c r="C3367" t="s">
        <v>40</v>
      </c>
      <c r="D3367">
        <v>3.0653160000000002</v>
      </c>
      <c r="E3367">
        <v>0.44837519999999997</v>
      </c>
      <c r="F3367" t="s">
        <v>47</v>
      </c>
      <c r="G3367">
        <v>-324.07409999999999</v>
      </c>
      <c r="H3367" s="1">
        <v>6.3126110000000002E-7</v>
      </c>
      <c r="I3367">
        <v>217.06440000000001</v>
      </c>
      <c r="J3367">
        <v>-358.1737</v>
      </c>
      <c r="K3367">
        <v>1.1082730000000001</v>
      </c>
      <c r="L3367">
        <v>212.899</v>
      </c>
      <c r="M3367">
        <v>0.99991859999999999</v>
      </c>
      <c r="N3367">
        <v>0</v>
      </c>
      <c r="O3367">
        <v>-1.1493679999999999E-2</v>
      </c>
      <c r="P3367">
        <v>0.99557700000000005</v>
      </c>
      <c r="Q3367">
        <v>9.1975509999999996E-2</v>
      </c>
      <c r="R3367">
        <v>-1.9159820000000001E-2</v>
      </c>
      <c r="S3367">
        <v>3.0296020000000001</v>
      </c>
      <c r="T3367">
        <v>-9.6869709999999998E-2</v>
      </c>
      <c r="U3367">
        <v>0.3635101</v>
      </c>
      <c r="V3367">
        <v>7.6249159999999998E-3</v>
      </c>
      <c r="W3367">
        <v>9.7500450000000002E-2</v>
      </c>
      <c r="X3367">
        <v>0.99520629999999999</v>
      </c>
      <c r="Y3367">
        <v>-0.1304642</v>
      </c>
      <c r="Z3367">
        <v>2.443939E-3</v>
      </c>
      <c r="AA3367">
        <v>0.99145000000000005</v>
      </c>
      <c r="AB3367">
        <v>55</v>
      </c>
      <c r="AC3367">
        <v>34.099600000000002</v>
      </c>
      <c r="AD3367">
        <v>-1.1082723687389</v>
      </c>
      <c r="AE3367">
        <v>4.1654</v>
      </c>
      <c r="AF3367">
        <v>-4.5523227532432697</v>
      </c>
      <c r="AG3367">
        <v>-1.1082723687389</v>
      </c>
      <c r="AH3367">
        <v>34.014069579578397</v>
      </c>
      <c r="AI3367">
        <v>91.849713506471602</v>
      </c>
      <c r="AJ3367">
        <v>97.622965154920706</v>
      </c>
      <c r="AK3367">
        <v>34.335241945520202</v>
      </c>
      <c r="AL3367">
        <v>84.404746816941895</v>
      </c>
      <c r="AM3367">
        <v>89.561028745566205</v>
      </c>
      <c r="AN3367">
        <v>1.0000000283269399</v>
      </c>
    </row>
    <row r="3368" spans="1:40" x14ac:dyDescent="0.25">
      <c r="A3368" t="str">
        <f>"20190312172957088"</f>
        <v>20190312172957088</v>
      </c>
      <c r="B3368" t="str">
        <f>"1552382997081093"</f>
        <v>1552382997081093</v>
      </c>
      <c r="C3368" t="s">
        <v>40</v>
      </c>
      <c r="D3368">
        <v>3.0710440000000001</v>
      </c>
      <c r="E3368">
        <v>0.4482158</v>
      </c>
      <c r="F3368" t="s">
        <v>47</v>
      </c>
      <c r="G3368">
        <v>-323.57029999999997</v>
      </c>
      <c r="H3368" s="1">
        <v>3.6313030000000003E-7</v>
      </c>
      <c r="I3368">
        <v>217.09950000000001</v>
      </c>
      <c r="J3368">
        <v>-357.63069999999999</v>
      </c>
      <c r="K3368">
        <v>1.1082689999999999</v>
      </c>
      <c r="L3368">
        <v>212.89279999999999</v>
      </c>
      <c r="M3368">
        <v>0.99992170000000002</v>
      </c>
      <c r="N3368">
        <v>0</v>
      </c>
      <c r="O3368">
        <v>-1.12064E-2</v>
      </c>
      <c r="P3368">
        <v>0.99561900000000003</v>
      </c>
      <c r="Q3368">
        <v>9.1653760000000001E-2</v>
      </c>
      <c r="R3368">
        <v>-1.8493550000000001E-2</v>
      </c>
      <c r="S3368">
        <v>3.029388</v>
      </c>
      <c r="T3368">
        <v>-9.7024799999999994E-2</v>
      </c>
      <c r="U3368">
        <v>0.36773679999999997</v>
      </c>
      <c r="V3368">
        <v>7.2434719999999999E-3</v>
      </c>
      <c r="W3368">
        <v>9.7202440000000001E-2</v>
      </c>
      <c r="X3368">
        <v>0.99523819999999996</v>
      </c>
      <c r="Y3368">
        <v>-0.13155039999999901</v>
      </c>
      <c r="Z3368">
        <v>2.4559759999999999E-3</v>
      </c>
      <c r="AA3368">
        <v>0.99130640000000003</v>
      </c>
      <c r="AB3368">
        <v>55</v>
      </c>
      <c r="AC3368">
        <v>34.060400000000001</v>
      </c>
      <c r="AD3368">
        <v>-1.1082686368696999</v>
      </c>
      <c r="AE3368">
        <v>4.2067000000000103</v>
      </c>
      <c r="AF3368">
        <v>-4.5833565347929497</v>
      </c>
      <c r="AG3368">
        <v>-1.1082686368696999</v>
      </c>
      <c r="AH3368">
        <v>33.9756874023794</v>
      </c>
      <c r="AI3368">
        <v>91.851535432473895</v>
      </c>
      <c r="AJ3368">
        <v>97.682880798224303</v>
      </c>
      <c r="AK3368">
        <v>34.301352028173802</v>
      </c>
      <c r="AL3368">
        <v>84.421902463896302</v>
      </c>
      <c r="AM3368">
        <v>89.583001288719601</v>
      </c>
      <c r="AN3368">
        <v>0.99999992848390096</v>
      </c>
    </row>
    <row r="3369" spans="1:40" x14ac:dyDescent="0.25">
      <c r="A3369" t="str">
        <f>"20190312172957111"</f>
        <v>20190312172957111</v>
      </c>
      <c r="B3369" t="str">
        <f>"1552382997100613"</f>
        <v>1552382997100613</v>
      </c>
      <c r="C3369" t="s">
        <v>40</v>
      </c>
      <c r="D3369">
        <v>3.0730729999999999</v>
      </c>
      <c r="E3369">
        <v>0.44809840000000001</v>
      </c>
      <c r="F3369" t="s">
        <v>47</v>
      </c>
      <c r="G3369">
        <v>-323.36540000000002</v>
      </c>
      <c r="H3369" s="1">
        <v>2.5410490000000002E-7</v>
      </c>
      <c r="I3369">
        <v>217.0898</v>
      </c>
      <c r="J3369">
        <v>-357.07780000000002</v>
      </c>
      <c r="K3369">
        <v>1.1082780000000001</v>
      </c>
      <c r="L3369">
        <v>212.88669999999999</v>
      </c>
      <c r="M3369">
        <v>0.99992499999999995</v>
      </c>
      <c r="N3369">
        <v>0</v>
      </c>
      <c r="O3369">
        <v>-1.0906010000000001E-2</v>
      </c>
      <c r="P3369">
        <v>0.99561149999999998</v>
      </c>
      <c r="Q3369">
        <v>9.1860269999999994E-2</v>
      </c>
      <c r="R3369">
        <v>-1.7878809999999998E-2</v>
      </c>
      <c r="S3369">
        <v>3.0291139999999999</v>
      </c>
      <c r="T3369">
        <v>-9.7972989999999996E-2</v>
      </c>
      <c r="U3369">
        <v>0.3710175</v>
      </c>
      <c r="V3369">
        <v>6.9255300000000001E-3</v>
      </c>
      <c r="W3369">
        <v>9.7433080000000005E-2</v>
      </c>
      <c r="X3369">
        <v>0.99521800000000005</v>
      </c>
      <c r="Y3369">
        <v>-0.13231950000000001</v>
      </c>
      <c r="Z3369">
        <v>2.4827360000000001E-3</v>
      </c>
      <c r="AA3369">
        <v>0.99120399999999997</v>
      </c>
      <c r="AB3369">
        <v>55</v>
      </c>
      <c r="AC3369">
        <v>33.712400000000002</v>
      </c>
      <c r="AD3369">
        <v>-1.1082777458951001</v>
      </c>
      <c r="AE3369">
        <v>4.2031000000000001</v>
      </c>
      <c r="AF3369">
        <v>-4.5656647696847097</v>
      </c>
      <c r="AG3369">
        <v>-1.1082777458951001</v>
      </c>
      <c r="AH3369">
        <v>33.628767822633399</v>
      </c>
      <c r="AI3369">
        <v>91.870422999862001</v>
      </c>
      <c r="AJ3369">
        <v>97.731582329833799</v>
      </c>
      <c r="AK3369">
        <v>33.955376593696698</v>
      </c>
      <c r="AL3369">
        <v>84.408625240670105</v>
      </c>
      <c r="AM3369">
        <v>89.601296163246701</v>
      </c>
      <c r="AN3369">
        <v>1.00000001778403</v>
      </c>
    </row>
    <row r="3370" spans="1:40" x14ac:dyDescent="0.25">
      <c r="A3370" t="str">
        <f>"20190312172957133"</f>
        <v>20190312172957133</v>
      </c>
      <c r="B3370" t="str">
        <f>"1552382997121106"</f>
        <v>1552382997121106</v>
      </c>
      <c r="C3370" t="s">
        <v>40</v>
      </c>
      <c r="D3370">
        <v>3.0529199999999999</v>
      </c>
      <c r="E3370">
        <v>0.44792880000000002</v>
      </c>
      <c r="F3370" t="s">
        <v>47</v>
      </c>
      <c r="G3370">
        <v>-322.59809999999999</v>
      </c>
      <c r="H3370" s="1">
        <v>-1.5421079999999999E-7</v>
      </c>
      <c r="I3370">
        <v>217.143</v>
      </c>
      <c r="J3370">
        <v>-356.52569999999997</v>
      </c>
      <c r="K3370">
        <v>1.1082879999999999</v>
      </c>
      <c r="L3370">
        <v>212.88069999999999</v>
      </c>
      <c r="M3370">
        <v>0.99992809999999999</v>
      </c>
      <c r="N3370">
        <v>0</v>
      </c>
      <c r="O3370">
        <v>-1.059069E-2</v>
      </c>
      <c r="P3370">
        <v>0.99559059999999999</v>
      </c>
      <c r="Q3370">
        <v>9.2129169999999996E-2</v>
      </c>
      <c r="R3370">
        <v>-1.7653740000000001E-2</v>
      </c>
      <c r="S3370">
        <v>3.028931</v>
      </c>
      <c r="T3370">
        <v>-9.7358700000000006E-2</v>
      </c>
      <c r="U3370">
        <v>0.37390139999999999</v>
      </c>
      <c r="V3370">
        <v>7.0116279999999998E-3</v>
      </c>
      <c r="W3370">
        <v>9.7726359999999998E-2</v>
      </c>
      <c r="X3370">
        <v>0.99518859999999998</v>
      </c>
      <c r="Y3370">
        <v>-0.1329446</v>
      </c>
      <c r="Z3370">
        <v>2.4670909999999998E-3</v>
      </c>
      <c r="AA3370">
        <v>0.99112040000000001</v>
      </c>
      <c r="AB3370">
        <v>55</v>
      </c>
      <c r="AC3370">
        <v>33.927599999999899</v>
      </c>
      <c r="AD3370">
        <v>-1.1082881542107901</v>
      </c>
      <c r="AE3370">
        <v>4.2622999999999998</v>
      </c>
      <c r="AF3370">
        <v>-4.6165336338499303</v>
      </c>
      <c r="AG3370">
        <v>-1.1082881542107901</v>
      </c>
      <c r="AH3370">
        <v>33.845001412212902</v>
      </c>
      <c r="AI3370">
        <v>91.858341124691407</v>
      </c>
      <c r="AJ3370">
        <v>97.767336836935996</v>
      </c>
      <c r="AK3370">
        <v>34.176377894942597</v>
      </c>
      <c r="AL3370">
        <v>84.391740728389394</v>
      </c>
      <c r="AM3370">
        <v>89.596327726438503</v>
      </c>
      <c r="AN3370">
        <v>0.99999997696800902</v>
      </c>
    </row>
    <row r="3371" spans="1:40" x14ac:dyDescent="0.25">
      <c r="A3371" t="str">
        <f>"20190312172957157"</f>
        <v>20190312172957157</v>
      </c>
      <c r="B3371" t="str">
        <f>"1552382997150385"</f>
        <v>1552382997150385</v>
      </c>
      <c r="C3371" t="s">
        <v>40</v>
      </c>
      <c r="D3371">
        <v>3.040019</v>
      </c>
      <c r="E3371">
        <v>0.44764710000000002</v>
      </c>
      <c r="F3371" t="s">
        <v>47</v>
      </c>
      <c r="G3371">
        <v>-321.5421</v>
      </c>
      <c r="H3371" s="1">
        <v>-7.1617049999999995E-7</v>
      </c>
      <c r="I3371">
        <v>217.2268</v>
      </c>
      <c r="J3371">
        <v>-355.96940000000001</v>
      </c>
      <c r="K3371">
        <v>1.108301</v>
      </c>
      <c r="L3371">
        <v>212.8749</v>
      </c>
      <c r="M3371">
        <v>0.99993180000000004</v>
      </c>
      <c r="N3371">
        <v>0</v>
      </c>
      <c r="O3371">
        <v>-1.025006E-2</v>
      </c>
      <c r="P3371">
        <v>0.99558329999999995</v>
      </c>
      <c r="Q3371">
        <v>9.2270630000000006E-2</v>
      </c>
      <c r="R3371">
        <v>-1.7329319999999999E-2</v>
      </c>
      <c r="S3371">
        <v>3.0288390000000001</v>
      </c>
      <c r="T3371">
        <v>-9.5954419999999999E-2</v>
      </c>
      <c r="U3371">
        <v>0.3762817</v>
      </c>
      <c r="V3371">
        <v>7.0217650000000001E-3</v>
      </c>
      <c r="W3371">
        <v>9.789196E-2</v>
      </c>
      <c r="X3371">
        <v>0.99517230000000001</v>
      </c>
      <c r="Y3371">
        <v>-0.13337979999999899</v>
      </c>
      <c r="Z3371">
        <v>2.4275960000000002E-3</v>
      </c>
      <c r="AA3371">
        <v>0.991062</v>
      </c>
      <c r="AB3371">
        <v>55</v>
      </c>
      <c r="AC3371">
        <v>34.427300000000002</v>
      </c>
      <c r="AD3371">
        <v>-1.1083017161705</v>
      </c>
      <c r="AE3371">
        <v>4.3518999999999997</v>
      </c>
      <c r="AF3371">
        <v>-4.69976475475407</v>
      </c>
      <c r="AG3371">
        <v>-1.1083017161705</v>
      </c>
      <c r="AH3371">
        <v>34.345848636648803</v>
      </c>
      <c r="AI3371">
        <v>91.831176330642506</v>
      </c>
      <c r="AJ3371">
        <v>97.791761247775995</v>
      </c>
      <c r="AK3371">
        <v>34.683619188540398</v>
      </c>
      <c r="AL3371">
        <v>84.382207098078496</v>
      </c>
      <c r="AM3371">
        <v>89.595737519009006</v>
      </c>
      <c r="AN3371">
        <v>1.0000000238518201</v>
      </c>
    </row>
    <row r="3372" spans="1:40" x14ac:dyDescent="0.25">
      <c r="A3372" t="str">
        <f>"20190312172957179"</f>
        <v>20190312172957179</v>
      </c>
      <c r="B3372" t="str">
        <f>"1552382997170882"</f>
        <v>1552382997170882</v>
      </c>
      <c r="C3372" t="s">
        <v>40</v>
      </c>
      <c r="D3372">
        <v>3.0746880000000001</v>
      </c>
      <c r="E3372">
        <v>0.44755850000000003</v>
      </c>
      <c r="F3372" t="s">
        <v>47</v>
      </c>
      <c r="G3372">
        <v>-320.78489999999999</v>
      </c>
      <c r="H3372" s="1">
        <v>-1.119099E-6</v>
      </c>
      <c r="I3372">
        <v>217.28370000000001</v>
      </c>
      <c r="J3372">
        <v>-355.4092</v>
      </c>
      <c r="K3372">
        <v>1.10832</v>
      </c>
      <c r="L3372">
        <v>212.86930000000001</v>
      </c>
      <c r="M3372">
        <v>0.99993520000000002</v>
      </c>
      <c r="N3372">
        <v>0</v>
      </c>
      <c r="O3372">
        <v>-9.8758969999999998E-3</v>
      </c>
      <c r="P3372">
        <v>0.99560369999999998</v>
      </c>
      <c r="Q3372">
        <v>9.2129169999999996E-2</v>
      </c>
      <c r="R3372">
        <v>-1.689504E-2</v>
      </c>
      <c r="S3372">
        <v>3.0287480000000002</v>
      </c>
      <c r="T3372">
        <v>-9.5404859999999994E-2</v>
      </c>
      <c r="U3372">
        <v>0.37951659999999998</v>
      </c>
      <c r="V3372">
        <v>6.9539119999999996E-3</v>
      </c>
      <c r="W3372">
        <v>9.7776169999999996E-2</v>
      </c>
      <c r="X3372">
        <v>0.99518410000000002</v>
      </c>
      <c r="Y3372">
        <v>-0.1340556</v>
      </c>
      <c r="Z3372">
        <v>2.4124720000000001E-3</v>
      </c>
      <c r="AA3372">
        <v>0.99097080000000004</v>
      </c>
      <c r="AB3372">
        <v>55</v>
      </c>
      <c r="AC3372">
        <v>34.624299999999998</v>
      </c>
      <c r="AD3372">
        <v>-1.1083211190990001</v>
      </c>
      <c r="AE3372">
        <v>4.4143999999999997</v>
      </c>
      <c r="AF3372">
        <v>-4.7513456883094998</v>
      </c>
      <c r="AG3372">
        <v>-1.1083211190990001</v>
      </c>
      <c r="AH3372">
        <v>34.544185489327099</v>
      </c>
      <c r="AI3372">
        <v>91.820528166288</v>
      </c>
      <c r="AJ3372">
        <v>97.831551120790806</v>
      </c>
      <c r="AK3372">
        <v>34.887023557103497</v>
      </c>
      <c r="AL3372">
        <v>84.388873022475096</v>
      </c>
      <c r="AM3372">
        <v>89.599648623494105</v>
      </c>
      <c r="AN3372">
        <v>0.99999996460239005</v>
      </c>
    </row>
    <row r="3373" spans="1:40" x14ac:dyDescent="0.25">
      <c r="A3373" t="str">
        <f>"20190312172957201"</f>
        <v>20190312172957201</v>
      </c>
      <c r="B3373" t="str">
        <f>"1552382997191378"</f>
        <v>1552382997191378</v>
      </c>
      <c r="C3373" t="s">
        <v>40</v>
      </c>
      <c r="D3373">
        <v>3.0834139999999999</v>
      </c>
      <c r="E3373">
        <v>0.44749840000000002</v>
      </c>
      <c r="F3373" t="s">
        <v>47</v>
      </c>
      <c r="G3373">
        <v>-320.6207</v>
      </c>
      <c r="H3373" s="1">
        <v>-1.2064669999999999E-6</v>
      </c>
      <c r="I3373">
        <v>217.25129999999999</v>
      </c>
      <c r="J3373">
        <v>-354.86160000000001</v>
      </c>
      <c r="K3373">
        <v>1.108344</v>
      </c>
      <c r="L3373">
        <v>212.864</v>
      </c>
      <c r="M3373">
        <v>0.99993909999999997</v>
      </c>
      <c r="N3373">
        <v>0</v>
      </c>
      <c r="O3373">
        <v>-9.4736890000000004E-3</v>
      </c>
      <c r="P3373">
        <v>0.99555760000000004</v>
      </c>
      <c r="Q3373">
        <v>9.2651460000000005E-2</v>
      </c>
      <c r="R3373">
        <v>-1.676482E-2</v>
      </c>
      <c r="S3373">
        <v>3.0286559999999998</v>
      </c>
      <c r="T3373">
        <v>-9.6489549999999993E-2</v>
      </c>
      <c r="U3373">
        <v>0.38150020000000001</v>
      </c>
      <c r="V3373">
        <v>7.2164229999999996E-3</v>
      </c>
      <c r="W3373">
        <v>9.8322380000000001E-2</v>
      </c>
      <c r="X3373">
        <v>0.99512849999999997</v>
      </c>
      <c r="Y3373">
        <v>-0.1342981</v>
      </c>
      <c r="Z3373">
        <v>2.4309430000000001E-3</v>
      </c>
      <c r="AA3373">
        <v>0.99093799999999999</v>
      </c>
      <c r="AB3373">
        <v>55</v>
      </c>
      <c r="AC3373">
        <v>34.240900000000003</v>
      </c>
      <c r="AD3373">
        <v>-1.1083452064669901</v>
      </c>
      <c r="AE3373">
        <v>4.3872999999999802</v>
      </c>
      <c r="AF3373">
        <v>-4.7066441859849597</v>
      </c>
      <c r="AG3373">
        <v>-1.1083452064669901</v>
      </c>
      <c r="AH3373">
        <v>34.162582895743199</v>
      </c>
      <c r="AI3373">
        <v>91.840833241258807</v>
      </c>
      <c r="AJ3373">
        <v>97.844365982237804</v>
      </c>
      <c r="AK3373">
        <v>34.503086799570497</v>
      </c>
      <c r="AL3373">
        <v>84.357426447209207</v>
      </c>
      <c r="AM3373">
        <v>89.584512619763899</v>
      </c>
      <c r="AN3373">
        <v>1.0000000493410099</v>
      </c>
    </row>
    <row r="3374" spans="1:40" x14ac:dyDescent="0.25">
      <c r="A3374" t="str">
        <f>"20190312172957222"</f>
        <v>20190312172957222</v>
      </c>
      <c r="B3374" t="str">
        <f>"1552382997210898"</f>
        <v>1552382997210898</v>
      </c>
      <c r="C3374" t="s">
        <v>40</v>
      </c>
      <c r="D3374">
        <v>3.0726840000000002</v>
      </c>
      <c r="E3374">
        <v>0.44741710000000001</v>
      </c>
      <c r="F3374" t="s">
        <v>48</v>
      </c>
      <c r="G3374">
        <v>-319.55070000000001</v>
      </c>
      <c r="H3374" s="1">
        <v>5.1410000000000004E-6</v>
      </c>
      <c r="I3374">
        <v>217.32089999999999</v>
      </c>
      <c r="J3374">
        <v>-354.31420000000003</v>
      </c>
      <c r="K3374">
        <v>1.108384</v>
      </c>
      <c r="L3374">
        <v>212.85890000000001</v>
      </c>
      <c r="M3374">
        <v>0.99994289999999997</v>
      </c>
      <c r="N3374">
        <v>0</v>
      </c>
      <c r="O3374">
        <v>-9.0327099999999994E-3</v>
      </c>
      <c r="P3374">
        <v>0.99553999999999998</v>
      </c>
      <c r="Q3374">
        <v>9.2893790000000004E-2</v>
      </c>
      <c r="R3374">
        <v>-1.645895E-2</v>
      </c>
      <c r="S3374">
        <v>3.0286870000000001</v>
      </c>
      <c r="T3374">
        <v>-9.5064399999999993E-2</v>
      </c>
      <c r="U3374">
        <v>0.38227840000000002</v>
      </c>
      <c r="V3374">
        <v>7.340737E-3</v>
      </c>
      <c r="W3374">
        <v>9.858952E-2</v>
      </c>
      <c r="X3374">
        <v>0.99510109999999996</v>
      </c>
      <c r="Y3374">
        <v>-0.13411289999999901</v>
      </c>
      <c r="Z3374">
        <v>2.378312E-3</v>
      </c>
      <c r="AA3374">
        <v>0.99096320000000004</v>
      </c>
      <c r="AB3374">
        <v>55</v>
      </c>
      <c r="AC3374">
        <v>34.763500000000001</v>
      </c>
      <c r="AD3374">
        <v>-1.1083788590000001</v>
      </c>
      <c r="AE3374">
        <v>4.4619999999999802</v>
      </c>
      <c r="AF3374">
        <v>-4.7710602743101296</v>
      </c>
      <c r="AG3374">
        <v>-1.1083788590000001</v>
      </c>
      <c r="AH3374">
        <v>34.687087418824603</v>
      </c>
      <c r="AI3374">
        <v>91.8131270437719</v>
      </c>
      <c r="AJ3374">
        <v>97.831647224091199</v>
      </c>
      <c r="AK3374">
        <v>35.031208278296099</v>
      </c>
      <c r="AL3374">
        <v>84.342045385347504</v>
      </c>
      <c r="AM3374">
        <v>89.5773438301471</v>
      </c>
      <c r="AN3374">
        <v>0.99999998954737102</v>
      </c>
    </row>
    <row r="3375" spans="1:40" x14ac:dyDescent="0.25">
      <c r="A3375" t="str">
        <f>"20190312172957245"</f>
        <v>20190312172957245</v>
      </c>
      <c r="B3375" t="str">
        <f>"1552382997241154"</f>
        <v>1552382997241154</v>
      </c>
      <c r="C3375" t="s">
        <v>40</v>
      </c>
      <c r="D3375">
        <v>3.0692970000000002</v>
      </c>
      <c r="E3375">
        <v>0.44726120000000003</v>
      </c>
      <c r="F3375" t="s">
        <v>48</v>
      </c>
      <c r="G3375">
        <v>-318.87520000000001</v>
      </c>
      <c r="H3375" s="1">
        <v>4.8414559999999998E-6</v>
      </c>
      <c r="I3375">
        <v>217.35300000000001</v>
      </c>
      <c r="J3375">
        <v>-353.7867</v>
      </c>
      <c r="K3375">
        <v>1.1084229999999999</v>
      </c>
      <c r="L3375">
        <v>212.85429999999999</v>
      </c>
      <c r="M3375">
        <v>0.99994689999999997</v>
      </c>
      <c r="N3375">
        <v>0</v>
      </c>
      <c r="O3375">
        <v>-8.5684750000000007E-3</v>
      </c>
      <c r="P3375">
        <v>0.99554940000000003</v>
      </c>
      <c r="Q3375">
        <v>9.2830389999999999E-2</v>
      </c>
      <c r="R3375">
        <v>-1.624132E-2</v>
      </c>
      <c r="S3375">
        <v>3.0285950000000001</v>
      </c>
      <c r="T3375">
        <v>-9.4721440000000004E-2</v>
      </c>
      <c r="U3375">
        <v>0.38406370000000001</v>
      </c>
      <c r="V3375">
        <v>7.5761650000000002E-3</v>
      </c>
      <c r="W3375">
        <v>9.8551089999999994E-2</v>
      </c>
      <c r="X3375">
        <v>0.99510319999999997</v>
      </c>
      <c r="Y3375">
        <v>-0.1342322</v>
      </c>
      <c r="Z3375">
        <v>2.3571159999999998E-3</v>
      </c>
      <c r="AA3375">
        <v>0.99094709999999997</v>
      </c>
      <c r="AB3375">
        <v>56</v>
      </c>
      <c r="AC3375">
        <v>34.911499999999897</v>
      </c>
      <c r="AD3375">
        <v>-1.1084181585439901</v>
      </c>
      <c r="AE3375">
        <v>4.4986999999999799</v>
      </c>
      <c r="AF3375">
        <v>-4.7929256020251696</v>
      </c>
      <c r="AG3375">
        <v>-1.1084181585439901</v>
      </c>
      <c r="AH3375">
        <v>34.837127698989804</v>
      </c>
      <c r="AI3375">
        <v>91.805378635228905</v>
      </c>
      <c r="AJ3375">
        <v>97.833629263262296</v>
      </c>
      <c r="AK3375">
        <v>35.182754197993901</v>
      </c>
      <c r="AL3375">
        <v>84.344258364348903</v>
      </c>
      <c r="AM3375">
        <v>89.563790074681805</v>
      </c>
      <c r="AN3375">
        <v>1.00000004713326</v>
      </c>
    </row>
    <row r="3376" spans="1:40" x14ac:dyDescent="0.25">
      <c r="A3376" t="str">
        <f>"20190312172957266"</f>
        <v>20190312172957266</v>
      </c>
      <c r="B3376" t="str">
        <f>"1552382997260674"</f>
        <v>1552382997260674</v>
      </c>
      <c r="C3376" t="s">
        <v>40</v>
      </c>
      <c r="D3376">
        <v>3.0812819999999999</v>
      </c>
      <c r="E3376">
        <v>0.44716309999999898</v>
      </c>
      <c r="F3376" t="s">
        <v>48</v>
      </c>
      <c r="G3376">
        <v>-318.2559</v>
      </c>
      <c r="H3376" s="1">
        <v>4.5667709999999999E-6</v>
      </c>
      <c r="I3376">
        <v>217.3843</v>
      </c>
      <c r="J3376">
        <v>-353.22140000000002</v>
      </c>
      <c r="K3376">
        <v>1.1084609999999999</v>
      </c>
      <c r="L3376">
        <v>212.84960000000001</v>
      </c>
      <c r="M3376">
        <v>0.99995129999999999</v>
      </c>
      <c r="N3376">
        <v>0</v>
      </c>
      <c r="O3376">
        <v>-8.0324630000000001E-3</v>
      </c>
      <c r="P3376">
        <v>0.99557499999999999</v>
      </c>
      <c r="Q3376">
        <v>9.268651E-2</v>
      </c>
      <c r="R3376">
        <v>-1.549963E-2</v>
      </c>
      <c r="S3376">
        <v>3.0285340000000001</v>
      </c>
      <c r="T3376">
        <v>-9.4477889999999995E-2</v>
      </c>
      <c r="U3376">
        <v>0.38612370000000001</v>
      </c>
      <c r="V3376">
        <v>7.3575530000000002E-3</v>
      </c>
      <c r="W3376">
        <v>9.8432469999999994E-2</v>
      </c>
      <c r="X3376">
        <v>0.99511649999999996</v>
      </c>
      <c r="Y3376">
        <v>-0.134367299999999</v>
      </c>
      <c r="Z3376">
        <v>2.336449E-3</v>
      </c>
      <c r="AA3376">
        <v>0.99092880000000005</v>
      </c>
      <c r="AB3376">
        <v>56</v>
      </c>
      <c r="AC3376">
        <v>34.965499999999999</v>
      </c>
      <c r="AD3376">
        <v>-1.1084564332289999</v>
      </c>
      <c r="AE3376">
        <v>4.5346999999999804</v>
      </c>
      <c r="AF3376">
        <v>-4.8106627523683398</v>
      </c>
      <c r="AG3376">
        <v>-1.1084564332289999</v>
      </c>
      <c r="AH3376">
        <v>34.893459347128498</v>
      </c>
      <c r="AI3376">
        <v>91.802458491071405</v>
      </c>
      <c r="AJ3376">
        <v>97.849722841465393</v>
      </c>
      <c r="AK3376">
        <v>35.240951420061002</v>
      </c>
      <c r="AL3376">
        <v>84.351087539893101</v>
      </c>
      <c r="AM3376">
        <v>89.576382209459993</v>
      </c>
      <c r="AN3376">
        <v>0.99999996665434798</v>
      </c>
    </row>
    <row r="3377" spans="1:40" x14ac:dyDescent="0.25">
      <c r="A3377" t="str">
        <f>"20190312172957290"</f>
        <v>20190312172957290</v>
      </c>
      <c r="B3377" t="str">
        <f>"1552382997281173"</f>
        <v>1552382997281173</v>
      </c>
      <c r="C3377" t="s">
        <v>40</v>
      </c>
      <c r="D3377">
        <v>3.0812460000000002</v>
      </c>
      <c r="E3377">
        <v>0.44708110000000001</v>
      </c>
      <c r="F3377" t="s">
        <v>48</v>
      </c>
      <c r="G3377">
        <v>-317.8279</v>
      </c>
      <c r="H3377" s="1">
        <v>4.3769950000000003E-6</v>
      </c>
      <c r="I3377">
        <v>217.39359999999999</v>
      </c>
      <c r="J3377">
        <v>-352.62220000000002</v>
      </c>
      <c r="K3377">
        <v>1.1084989999999999</v>
      </c>
      <c r="L3377">
        <v>212.845</v>
      </c>
      <c r="M3377">
        <v>0.9999557</v>
      </c>
      <c r="N3377">
        <v>0</v>
      </c>
      <c r="O3377">
        <v>-7.4304109999999996E-3</v>
      </c>
      <c r="P3377">
        <v>0.99561069999999996</v>
      </c>
      <c r="Q3377">
        <v>9.2410770000000003E-2</v>
      </c>
      <c r="R3377">
        <v>-1.48171E-2</v>
      </c>
      <c r="S3377">
        <v>3.0281980000000002</v>
      </c>
      <c r="T3377">
        <v>-9.4837309999999994E-2</v>
      </c>
      <c r="U3377">
        <v>0.38877869999999998</v>
      </c>
      <c r="V3377">
        <v>7.2645959999999999E-3</v>
      </c>
      <c r="W3377">
        <v>9.8183800000000002E-2</v>
      </c>
      <c r="X3377">
        <v>0.99514179999999997</v>
      </c>
      <c r="Y3377">
        <v>-0.13463889999999901</v>
      </c>
      <c r="Z3377">
        <v>2.330918E-3</v>
      </c>
      <c r="AA3377">
        <v>0.990892</v>
      </c>
      <c r="AB3377">
        <v>56</v>
      </c>
      <c r="AC3377">
        <v>34.7943</v>
      </c>
      <c r="AD3377">
        <v>-1.1084946230049999</v>
      </c>
      <c r="AE3377">
        <v>4.5485999999999898</v>
      </c>
      <c r="AF3377">
        <v>-4.8022225043698104</v>
      </c>
      <c r="AG3377">
        <v>-1.1084946230049999</v>
      </c>
      <c r="AH3377">
        <v>34.7248885743427</v>
      </c>
      <c r="AI3377">
        <v>91.811160481360801</v>
      </c>
      <c r="AJ3377">
        <v>97.873686044855802</v>
      </c>
      <c r="AK3377">
        <v>35.072895344000599</v>
      </c>
      <c r="AL3377">
        <v>84.365404921119804</v>
      </c>
      <c r="AM3377">
        <v>89.581744735136596</v>
      </c>
      <c r="AN3377">
        <v>1.00000001752236</v>
      </c>
    </row>
    <row r="3378" spans="1:40" x14ac:dyDescent="0.25">
      <c r="A3378" t="str">
        <f>"20190312172957313"</f>
        <v>20190312172957313</v>
      </c>
      <c r="B3378" t="str">
        <f>"1552382997300690"</f>
        <v>1552382997300690</v>
      </c>
      <c r="C3378" t="s">
        <v>40</v>
      </c>
      <c r="D3378">
        <v>3.156434</v>
      </c>
      <c r="E3378">
        <v>0.45959830000000002</v>
      </c>
      <c r="F3378" t="s">
        <v>48</v>
      </c>
      <c r="G3378">
        <v>-317.60230000000001</v>
      </c>
      <c r="H3378" s="1">
        <v>4.276951E-6</v>
      </c>
      <c r="I3378">
        <v>217.3716</v>
      </c>
      <c r="J3378">
        <v>-352.06369999999998</v>
      </c>
      <c r="K3378">
        <v>1.108536</v>
      </c>
      <c r="L3378">
        <v>212.84100000000001</v>
      </c>
      <c r="M3378">
        <v>0.99995959999999995</v>
      </c>
      <c r="N3378">
        <v>0</v>
      </c>
      <c r="O3378">
        <v>-6.8455540000000002E-3</v>
      </c>
      <c r="P3378">
        <v>0.99559089999999995</v>
      </c>
      <c r="Q3378">
        <v>9.2717179999999996E-2</v>
      </c>
      <c r="R3378">
        <v>-1.421904E-2</v>
      </c>
      <c r="S3378">
        <v>3.0279539999999998</v>
      </c>
      <c r="T3378">
        <v>-9.584463E-2</v>
      </c>
      <c r="U3378">
        <v>0.39138790000000001</v>
      </c>
      <c r="V3378">
        <v>7.2396919999999998E-3</v>
      </c>
      <c r="W3378">
        <v>9.8515030000000003E-2</v>
      </c>
      <c r="X3378">
        <v>0.99510920000000003</v>
      </c>
      <c r="Y3378">
        <v>-0.1349081</v>
      </c>
      <c r="Z3378">
        <v>2.3415300000000001E-3</v>
      </c>
      <c r="AA3378">
        <v>0.99085529999999999</v>
      </c>
      <c r="AB3378">
        <v>56</v>
      </c>
      <c r="AC3378">
        <v>34.461399999999898</v>
      </c>
      <c r="AD3378">
        <v>-1.1085317230489999</v>
      </c>
      <c r="AE3378">
        <v>4.5306000000000202</v>
      </c>
      <c r="AF3378">
        <v>-4.7615619590446103</v>
      </c>
      <c r="AG3378">
        <v>-1.1085317230489999</v>
      </c>
      <c r="AH3378">
        <v>34.394592795500103</v>
      </c>
      <c r="AI3378">
        <v>91.828566509385297</v>
      </c>
      <c r="AJ3378">
        <v>97.881886837150603</v>
      </c>
      <c r="AK3378">
        <v>34.740312727997903</v>
      </c>
      <c r="AL3378">
        <v>84.346334127663198</v>
      </c>
      <c r="AM3378">
        <v>89.583164864379398</v>
      </c>
      <c r="AN3378">
        <v>0.99999997210039704</v>
      </c>
    </row>
    <row r="3379" spans="1:40" x14ac:dyDescent="0.25">
      <c r="A3379" t="str">
        <f>"20190312172957334"</f>
        <v>20190312172957334</v>
      </c>
      <c r="B3379" t="str">
        <f>"1552382997321186"</f>
        <v>1552382997321186</v>
      </c>
      <c r="C3379" t="s">
        <v>40</v>
      </c>
      <c r="D3379">
        <v>3.2367189999999999</v>
      </c>
      <c r="E3379">
        <v>0.4623603</v>
      </c>
      <c r="F3379" t="s">
        <v>48</v>
      </c>
      <c r="G3379">
        <v>-318.40089999999998</v>
      </c>
      <c r="H3379" s="1">
        <v>4.6311119999999999E-6</v>
      </c>
      <c r="I3379">
        <v>216.10290000000001</v>
      </c>
      <c r="J3379">
        <v>-351.5206</v>
      </c>
      <c r="K3379">
        <v>1.10856</v>
      </c>
      <c r="L3379">
        <v>212.8374</v>
      </c>
      <c r="M3379">
        <v>0.99996350000000001</v>
      </c>
      <c r="N3379">
        <v>0</v>
      </c>
      <c r="O3379">
        <v>-6.2608380000000003E-3</v>
      </c>
      <c r="P3379">
        <v>0.99556149999999999</v>
      </c>
      <c r="Q3379">
        <v>9.3130980000000002E-2</v>
      </c>
      <c r="R3379">
        <v>-1.3572839999999999E-2</v>
      </c>
      <c r="S3379">
        <v>3.026764</v>
      </c>
      <c r="T3379">
        <v>-9.9672789999999997E-2</v>
      </c>
      <c r="U3379">
        <v>0.29328920000000003</v>
      </c>
      <c r="V3379">
        <v>7.1667950000000001E-3</v>
      </c>
      <c r="W3379">
        <v>9.8952529999999997E-2</v>
      </c>
      <c r="X3379">
        <v>0.99506629999999996</v>
      </c>
      <c r="Y3379">
        <v>-0.1026183</v>
      </c>
      <c r="Z3379">
        <v>1.890886E-3</v>
      </c>
      <c r="AA3379">
        <v>0.99471900000000002</v>
      </c>
      <c r="AB3379">
        <v>56</v>
      </c>
      <c r="AC3379">
        <v>33.119700000000002</v>
      </c>
      <c r="AD3379">
        <v>-1.1085553688880001</v>
      </c>
      <c r="AE3379">
        <v>3.2654999999999998</v>
      </c>
      <c r="AF3379">
        <v>-3.4689476633893599</v>
      </c>
      <c r="AG3379">
        <v>-1.1085553688880001</v>
      </c>
      <c r="AH3379">
        <v>33.061922431926099</v>
      </c>
      <c r="AI3379">
        <v>91.909912867872805</v>
      </c>
      <c r="AJ3379">
        <v>95.989714809029607</v>
      </c>
      <c r="AK3379">
        <v>33.261888217476802</v>
      </c>
      <c r="AL3379">
        <v>84.321144037563002</v>
      </c>
      <c r="AM3379">
        <v>89.587344073325994</v>
      </c>
      <c r="AN3379">
        <v>0.99999995376982997</v>
      </c>
    </row>
    <row r="3380" spans="1:40" x14ac:dyDescent="0.25">
      <c r="A3380" t="str">
        <f>"20190312172957358"</f>
        <v>20190312172957358</v>
      </c>
      <c r="B3380" t="str">
        <f>"1552382997351443"</f>
        <v>1552382997351443</v>
      </c>
      <c r="C3380" t="s">
        <v>40</v>
      </c>
      <c r="D3380">
        <v>3.1666120000000002</v>
      </c>
      <c r="E3380">
        <v>0.4642268</v>
      </c>
      <c r="F3380" t="s">
        <v>47</v>
      </c>
      <c r="G3380">
        <v>-320.83640000000003</v>
      </c>
      <c r="H3380" s="1">
        <v>-1.0916860000000001E-6</v>
      </c>
      <c r="I3380">
        <v>215.61109999999999</v>
      </c>
      <c r="J3380">
        <v>-350.93310000000002</v>
      </c>
      <c r="K3380">
        <v>1.108592</v>
      </c>
      <c r="L3380">
        <v>212.8338</v>
      </c>
      <c r="M3380">
        <v>0.99996700000000005</v>
      </c>
      <c r="N3380">
        <v>0</v>
      </c>
      <c r="O3380">
        <v>-5.6156899999999996E-3</v>
      </c>
      <c r="P3380">
        <v>0.99561299999999997</v>
      </c>
      <c r="Q3380">
        <v>9.2705250000000003E-2</v>
      </c>
      <c r="R3380">
        <v>-1.2674009999999999E-2</v>
      </c>
      <c r="S3380">
        <v>3.027374</v>
      </c>
      <c r="T3380">
        <v>-0.10937330000000001</v>
      </c>
      <c r="U3380">
        <v>0.27366639999999998</v>
      </c>
      <c r="V3380">
        <v>6.9028409999999998E-3</v>
      </c>
      <c r="W3380">
        <v>9.8552989999999993E-2</v>
      </c>
      <c r="X3380">
        <v>0.99510790000000005</v>
      </c>
      <c r="Y3380">
        <v>-9.5556249999999995E-2</v>
      </c>
      <c r="Z3380">
        <v>1.9244850000000001E-3</v>
      </c>
      <c r="AA3380">
        <v>0.99542220000000003</v>
      </c>
      <c r="AB3380">
        <v>56</v>
      </c>
      <c r="AC3380">
        <v>30.096699999999998</v>
      </c>
      <c r="AD3380">
        <v>-1.1085930916859901</v>
      </c>
      <c r="AE3380">
        <v>2.7772999999999901</v>
      </c>
      <c r="AF3380">
        <v>-2.94231451519709</v>
      </c>
      <c r="AG3380">
        <v>-1.1085930916859901</v>
      </c>
      <c r="AH3380">
        <v>30.0402151356503</v>
      </c>
      <c r="AI3380">
        <v>92.103407159482998</v>
      </c>
      <c r="AJ3380">
        <v>95.594040963521905</v>
      </c>
      <c r="AK3380">
        <v>30.204316227079701</v>
      </c>
      <c r="AL3380">
        <v>84.344148911462796</v>
      </c>
      <c r="AM3380">
        <v>89.602558363365603</v>
      </c>
      <c r="AN3380">
        <v>1.00000003684711</v>
      </c>
    </row>
    <row r="3381" spans="1:40" x14ac:dyDescent="0.25">
      <c r="A3381" t="str">
        <f>"20190312172957381"</f>
        <v>20190312172957381</v>
      </c>
      <c r="B3381" t="str">
        <f>"1552382997370962"</f>
        <v>1552382997370962</v>
      </c>
      <c r="C3381" t="s">
        <v>40</v>
      </c>
      <c r="D3381">
        <v>3.4156599999999999</v>
      </c>
      <c r="E3381">
        <v>0.46479959999999998</v>
      </c>
      <c r="F3381" t="s">
        <v>47</v>
      </c>
      <c r="G3381">
        <v>-320.65649999999999</v>
      </c>
      <c r="H3381" s="1">
        <v>-1.1874240000000001E-6</v>
      </c>
      <c r="I3381">
        <v>215.45070000000001</v>
      </c>
      <c r="J3381">
        <v>-350.34429999999998</v>
      </c>
      <c r="K3381">
        <v>1.1086210000000001</v>
      </c>
      <c r="L3381">
        <v>212.8306</v>
      </c>
      <c r="M3381">
        <v>0.99997060000000004</v>
      </c>
      <c r="N3381">
        <v>0</v>
      </c>
      <c r="O3381">
        <v>-4.9616139999999996E-3</v>
      </c>
      <c r="P3381">
        <v>0.99563659999999998</v>
      </c>
      <c r="Q3381">
        <v>9.2548099999999994E-2</v>
      </c>
      <c r="R3381">
        <v>-1.1961869999999999E-2</v>
      </c>
      <c r="S3381">
        <v>3.0268250000000001</v>
      </c>
      <c r="T3381">
        <v>-0.11082880000000001</v>
      </c>
      <c r="U3381">
        <v>0.26161190000000001</v>
      </c>
      <c r="V3381">
        <v>6.8347269999999996E-3</v>
      </c>
      <c r="W3381">
        <v>9.8422029999999994E-2</v>
      </c>
      <c r="X3381">
        <v>0.99512129999999999</v>
      </c>
      <c r="Y3381">
        <v>-9.0988479999999997E-2</v>
      </c>
      <c r="Z3381">
        <v>1.843428E-3</v>
      </c>
      <c r="AA3381">
        <v>0.99585029999999997</v>
      </c>
      <c r="AB3381">
        <v>56</v>
      </c>
      <c r="AC3381">
        <v>29.6877999999999</v>
      </c>
      <c r="AD3381">
        <v>-1.1086221874240001</v>
      </c>
      <c r="AE3381">
        <v>2.6200999999999999</v>
      </c>
      <c r="AF3381">
        <v>-2.7635457556235998</v>
      </c>
      <c r="AG3381">
        <v>-1.1086221874240001</v>
      </c>
      <c r="AH3381">
        <v>29.633430680182901</v>
      </c>
      <c r="AI3381">
        <v>92.133256885741204</v>
      </c>
      <c r="AJ3381">
        <v>95.327863124804296</v>
      </c>
      <c r="AK3381">
        <v>29.782653377009201</v>
      </c>
      <c r="AL3381">
        <v>84.351688847260306</v>
      </c>
      <c r="AM3381">
        <v>89.606485306083897</v>
      </c>
      <c r="AN3381">
        <v>1.00000000559808</v>
      </c>
    </row>
    <row r="3382" spans="1:40" x14ac:dyDescent="0.25">
      <c r="A3382" t="str">
        <f>"20190312172957402"</f>
        <v>20190312172957402</v>
      </c>
      <c r="B3382" t="str">
        <f>"1552382997390482"</f>
        <v>1552382997390482</v>
      </c>
      <c r="C3382" t="s">
        <v>40</v>
      </c>
      <c r="D3382">
        <v>3.2922509999999998</v>
      </c>
      <c r="E3382">
        <v>0.4652251</v>
      </c>
      <c r="F3382" t="s">
        <v>47</v>
      </c>
      <c r="G3382">
        <v>-320.15039999999999</v>
      </c>
      <c r="H3382" s="1">
        <v>-1.4567810000000001E-6</v>
      </c>
      <c r="I3382">
        <v>215.41579999999999</v>
      </c>
      <c r="J3382">
        <v>-349.8177</v>
      </c>
      <c r="K3382">
        <v>1.108643</v>
      </c>
      <c r="L3382">
        <v>212.828</v>
      </c>
      <c r="M3382">
        <v>0.999973</v>
      </c>
      <c r="N3382">
        <v>0</v>
      </c>
      <c r="O3382">
        <v>-4.3715759999999899E-3</v>
      </c>
      <c r="P3382">
        <v>0.99566140000000003</v>
      </c>
      <c r="Q3382">
        <v>9.2334490000000005E-2</v>
      </c>
      <c r="R3382">
        <v>-1.152238E-2</v>
      </c>
      <c r="S3382">
        <v>3.0265810000000002</v>
      </c>
      <c r="T3382">
        <v>-0.11112619999999999</v>
      </c>
      <c r="U3382">
        <v>0.25913999999999998</v>
      </c>
      <c r="V3382">
        <v>6.9768900000000003E-3</v>
      </c>
      <c r="W3382">
        <v>9.8231730000000003E-2</v>
      </c>
      <c r="X3382">
        <v>0.99513910000000005</v>
      </c>
      <c r="Y3382">
        <v>-8.9601280000000005E-2</v>
      </c>
      <c r="Z3382">
        <v>1.801553E-3</v>
      </c>
      <c r="AA3382">
        <v>0.99597610000000003</v>
      </c>
      <c r="AB3382">
        <v>56</v>
      </c>
      <c r="AC3382">
        <v>29.667300000000001</v>
      </c>
      <c r="AD3382">
        <v>-1.1086444567810001</v>
      </c>
      <c r="AE3382">
        <v>2.5877999999999801</v>
      </c>
      <c r="AF3382">
        <v>-2.7137094196625702</v>
      </c>
      <c r="AG3382">
        <v>-1.1086444567810001</v>
      </c>
      <c r="AH3382">
        <v>29.614660137840801</v>
      </c>
      <c r="AI3382">
        <v>92.134968026078496</v>
      </c>
      <c r="AJ3382">
        <v>95.235619328743496</v>
      </c>
      <c r="AK3382">
        <v>29.759391902821701</v>
      </c>
      <c r="AL3382">
        <v>84.362645233753994</v>
      </c>
      <c r="AM3382">
        <v>89.598307611820204</v>
      </c>
      <c r="AN3382">
        <v>0.99999998906083698</v>
      </c>
    </row>
    <row r="3383" spans="1:40" x14ac:dyDescent="0.25">
      <c r="A3383" t="str">
        <f>"20190312172957424"</f>
        <v>20190312172957424</v>
      </c>
      <c r="B3383" t="str">
        <f>"1552382997421056"</f>
        <v>1552382997421056</v>
      </c>
      <c r="C3383" t="s">
        <v>40</v>
      </c>
      <c r="D3383">
        <v>3.3098269999999999</v>
      </c>
      <c r="E3383">
        <v>0.46562310000000001</v>
      </c>
      <c r="F3383" t="s">
        <v>48</v>
      </c>
      <c r="G3383">
        <v>-319.90609999999998</v>
      </c>
      <c r="H3383" s="1">
        <v>5.298577E-6</v>
      </c>
      <c r="I3383">
        <v>215.36869999999999</v>
      </c>
      <c r="J3383">
        <v>-349.25119999999998</v>
      </c>
      <c r="K3383">
        <v>1.108662</v>
      </c>
      <c r="L3383">
        <v>212.82560000000001</v>
      </c>
      <c r="M3383">
        <v>0.99997559999999996</v>
      </c>
      <c r="N3383">
        <v>0</v>
      </c>
      <c r="O3383">
        <v>-3.7354060000000001E-3</v>
      </c>
      <c r="P3383">
        <v>0.99570689999999995</v>
      </c>
      <c r="Q3383">
        <v>9.1867470000000007E-2</v>
      </c>
      <c r="R3383">
        <v>-1.133225E-2</v>
      </c>
      <c r="S3383">
        <v>3.0264890000000002</v>
      </c>
      <c r="T3383">
        <v>-0.1121732</v>
      </c>
      <c r="U3383">
        <v>0.25706479999999998</v>
      </c>
      <c r="V3383">
        <v>7.4148900000000004E-3</v>
      </c>
      <c r="W3383">
        <v>9.7790409999999994E-2</v>
      </c>
      <c r="X3383">
        <v>0.99517940000000005</v>
      </c>
      <c r="Y3383">
        <v>-8.8292280000000001E-2</v>
      </c>
      <c r="Z3383">
        <v>1.7708859999999999E-3</v>
      </c>
      <c r="AA3383">
        <v>0.99609300000000001</v>
      </c>
      <c r="AB3383">
        <v>57</v>
      </c>
      <c r="AC3383">
        <v>29.345099999999999</v>
      </c>
      <c r="AD3383">
        <v>-1.108656701423</v>
      </c>
      <c r="AE3383">
        <v>2.5430999999999799</v>
      </c>
      <c r="AF3383">
        <v>-2.6489473038606999</v>
      </c>
      <c r="AG3383">
        <v>-1.108656701423</v>
      </c>
      <c r="AH3383">
        <v>29.293895343858999</v>
      </c>
      <c r="AI3383">
        <v>92.158582569421398</v>
      </c>
      <c r="AJ3383">
        <v>95.167009517584901</v>
      </c>
      <c r="AK3383">
        <v>29.434305595974301</v>
      </c>
      <c r="AL3383">
        <v>84.388053353362807</v>
      </c>
      <c r="AM3383">
        <v>89.573108083645295</v>
      </c>
      <c r="AN3383">
        <v>0.99999999153301999</v>
      </c>
    </row>
    <row r="3384" spans="1:40" x14ac:dyDescent="0.25">
      <c r="A3384" t="str">
        <f>"20190312172957445"</f>
        <v>20190312172957445</v>
      </c>
      <c r="B3384" t="str">
        <f>"1552382997441552"</f>
        <v>1552382997441552</v>
      </c>
      <c r="C3384" t="s">
        <v>40</v>
      </c>
      <c r="D3384">
        <v>3.2419549999999999</v>
      </c>
      <c r="E3384">
        <v>0.46582170000000001</v>
      </c>
      <c r="F3384" t="s">
        <v>48</v>
      </c>
      <c r="G3384">
        <v>-319.39600000000002</v>
      </c>
      <c r="H3384" s="1">
        <v>5.0723739999999996E-6</v>
      </c>
      <c r="I3384">
        <v>215.3398</v>
      </c>
      <c r="J3384">
        <v>-348.7133</v>
      </c>
      <c r="K3384">
        <v>1.1086800000000001</v>
      </c>
      <c r="L3384">
        <v>212.8237</v>
      </c>
      <c r="M3384">
        <v>0.99997749999999996</v>
      </c>
      <c r="N3384">
        <v>0</v>
      </c>
      <c r="O3384">
        <v>-3.1303640000000001E-3</v>
      </c>
      <c r="P3384">
        <v>0.9957222</v>
      </c>
      <c r="Q3384">
        <v>9.1731759999999996E-2</v>
      </c>
      <c r="R3384">
        <v>-1.1097330000000001E-2</v>
      </c>
      <c r="S3384">
        <v>3.0262449999999999</v>
      </c>
      <c r="T3384">
        <v>-0.11237809999999999</v>
      </c>
      <c r="U3384">
        <v>0.25485229999999998</v>
      </c>
      <c r="V3384">
        <v>7.7772249999999996E-3</v>
      </c>
      <c r="W3384">
        <v>9.7678890000000004E-2</v>
      </c>
      <c r="X3384">
        <v>0.99518759999999995</v>
      </c>
      <c r="Y3384">
        <v>-8.6974280000000001E-2</v>
      </c>
      <c r="Z3384">
        <v>1.727473E-3</v>
      </c>
      <c r="AA3384">
        <v>0.99620909999999996</v>
      </c>
      <c r="AB3384">
        <v>57</v>
      </c>
      <c r="AC3384">
        <v>29.317299999999999</v>
      </c>
      <c r="AD3384">
        <v>-1.108674927626</v>
      </c>
      <c r="AE3384">
        <v>2.51609999999999</v>
      </c>
      <c r="AF3384">
        <v>-2.6041661701209202</v>
      </c>
      <c r="AG3384">
        <v>-1.108674927626</v>
      </c>
      <c r="AH3384">
        <v>29.267730725378499</v>
      </c>
      <c r="AI3384">
        <v>92.160824321976605</v>
      </c>
      <c r="AJ3384">
        <v>95.084638574754607</v>
      </c>
      <c r="AK3384">
        <v>29.404266754163601</v>
      </c>
      <c r="AL3384">
        <v>84.394473791839403</v>
      </c>
      <c r="AM3384">
        <v>89.552252160355394</v>
      </c>
      <c r="AN3384">
        <v>1.0000000049870399</v>
      </c>
    </row>
    <row r="3385" spans="1:40" x14ac:dyDescent="0.25">
      <c r="A3385" t="str">
        <f>"20190312172957467"</f>
        <v>20190312172957467</v>
      </c>
      <c r="B3385" t="str">
        <f>"1552382997461072"</f>
        <v>1552382997461072</v>
      </c>
      <c r="C3385" t="s">
        <v>40</v>
      </c>
      <c r="D3385">
        <v>3.1967750000000001</v>
      </c>
      <c r="E3385">
        <v>0.4659546</v>
      </c>
      <c r="F3385" t="s">
        <v>48</v>
      </c>
      <c r="G3385">
        <v>-318.88499999999999</v>
      </c>
      <c r="H3385" s="1">
        <v>4.8457659999999997E-6</v>
      </c>
      <c r="I3385">
        <v>215.32689999999999</v>
      </c>
      <c r="J3385">
        <v>-348.14359999999999</v>
      </c>
      <c r="K3385">
        <v>1.1086940000000001</v>
      </c>
      <c r="L3385">
        <v>212.822</v>
      </c>
      <c r="M3385">
        <v>0.99997910000000001</v>
      </c>
      <c r="N3385">
        <v>0</v>
      </c>
      <c r="O3385">
        <v>-2.4889719999999999E-3</v>
      </c>
      <c r="P3385">
        <v>0.99577439999999995</v>
      </c>
      <c r="Q3385">
        <v>9.1198940000000006E-2</v>
      </c>
      <c r="R3385">
        <v>-1.0798520000000001E-2</v>
      </c>
      <c r="S3385">
        <v>3.0260929999999999</v>
      </c>
      <c r="T3385">
        <v>-0.1124753</v>
      </c>
      <c r="U3385">
        <v>0.25395200000000001</v>
      </c>
      <c r="V3385">
        <v>8.1130750000000008E-3</v>
      </c>
      <c r="W3385">
        <v>9.7172529999999993E-2</v>
      </c>
      <c r="X3385">
        <v>0.99523450000000002</v>
      </c>
      <c r="Y3385">
        <v>-8.6046150000000002E-2</v>
      </c>
      <c r="Z3385">
        <v>1.6880700000000001E-3</v>
      </c>
      <c r="AA3385">
        <v>0.99628969999999994</v>
      </c>
      <c r="AB3385">
        <v>57</v>
      </c>
      <c r="AC3385">
        <v>29.258600000000001</v>
      </c>
      <c r="AD3385">
        <v>-1.1086891542340001</v>
      </c>
      <c r="AE3385">
        <v>2.5048999999999899</v>
      </c>
      <c r="AF3385">
        <v>-2.5740482894119499</v>
      </c>
      <c r="AG3385">
        <v>-1.1086891542340001</v>
      </c>
      <c r="AH3385">
        <v>29.2106373850431</v>
      </c>
      <c r="AI3385">
        <v>92.165234378809799</v>
      </c>
      <c r="AJ3385">
        <v>95.035909643835197</v>
      </c>
      <c r="AK3385">
        <v>29.3447823757039</v>
      </c>
      <c r="AL3385">
        <v>84.423624823094897</v>
      </c>
      <c r="AM3385">
        <v>89.532939563618797</v>
      </c>
      <c r="AN3385">
        <v>1.0000000162814</v>
      </c>
    </row>
    <row r="3386" spans="1:40" x14ac:dyDescent="0.25">
      <c r="A3386" t="str">
        <f>"20190312172957501"</f>
        <v>20190312172957501</v>
      </c>
      <c r="B3386" t="str">
        <f>"1552382997491328"</f>
        <v>1552382997491328</v>
      </c>
      <c r="C3386" t="s">
        <v>40</v>
      </c>
      <c r="D3386">
        <v>3.1499030000000001</v>
      </c>
      <c r="E3386">
        <v>0.46611350000000001</v>
      </c>
      <c r="F3386" t="s">
        <v>48</v>
      </c>
      <c r="G3386">
        <v>-318.70679999999999</v>
      </c>
      <c r="H3386" s="1">
        <v>4.7667670000000004E-6</v>
      </c>
      <c r="I3386">
        <v>215.2912</v>
      </c>
      <c r="J3386">
        <v>-347.28480000000002</v>
      </c>
      <c r="K3386">
        <v>1.1087180000000001</v>
      </c>
      <c r="L3386">
        <v>212.8201</v>
      </c>
      <c r="M3386">
        <v>0.99998069999999895</v>
      </c>
      <c r="N3386">
        <v>0</v>
      </c>
      <c r="O3386">
        <v>-1.5211910000000001E-3</v>
      </c>
      <c r="P3386">
        <v>0.9958323</v>
      </c>
      <c r="Q3386">
        <v>9.0634759999999995E-2</v>
      </c>
      <c r="R3386">
        <v>-1.0176330000000001E-2</v>
      </c>
      <c r="S3386">
        <v>3.0259399999999999</v>
      </c>
      <c r="T3386">
        <v>-0.1139672</v>
      </c>
      <c r="U3386">
        <v>0.25383</v>
      </c>
      <c r="V3386">
        <v>8.4492719999999903E-3</v>
      </c>
      <c r="W3386">
        <v>9.6652840000000004E-2</v>
      </c>
      <c r="X3386">
        <v>0.99528229999999995</v>
      </c>
      <c r="Y3386">
        <v>-8.504594E-2</v>
      </c>
      <c r="Z3386">
        <v>1.655363E-3</v>
      </c>
      <c r="AA3386">
        <v>0.99637569999999998</v>
      </c>
      <c r="AB3386">
        <v>57</v>
      </c>
      <c r="AC3386">
        <v>28.577999999999999</v>
      </c>
      <c r="AD3386">
        <v>-1.1087132332330001</v>
      </c>
      <c r="AE3386">
        <v>2.4710999999999999</v>
      </c>
      <c r="AF3386">
        <v>-2.5108194554907</v>
      </c>
      <c r="AG3386">
        <v>-1.1087132332330001</v>
      </c>
      <c r="AH3386">
        <v>28.531582731937799</v>
      </c>
      <c r="AI3386">
        <v>92.216787462148403</v>
      </c>
      <c r="AJ3386">
        <v>95.029153639510696</v>
      </c>
      <c r="AK3386">
        <v>28.663298354534</v>
      </c>
      <c r="AL3386">
        <v>84.453541649185297</v>
      </c>
      <c r="AM3386">
        <v>89.513609358460698</v>
      </c>
      <c r="AN3386">
        <v>1.00000000918534</v>
      </c>
    </row>
    <row r="3387" spans="1:40" x14ac:dyDescent="0.25">
      <c r="A3387" t="str">
        <f>"20190312172957524"</f>
        <v>20190312172957524</v>
      </c>
      <c r="B3387" t="str">
        <f>"1552382997510848"</f>
        <v>1552382997510848</v>
      </c>
      <c r="C3387" t="s">
        <v>40</v>
      </c>
      <c r="D3387">
        <v>3.1467520000000002</v>
      </c>
      <c r="E3387">
        <v>0.46604780000000001</v>
      </c>
      <c r="F3387" t="s">
        <v>48</v>
      </c>
      <c r="G3387">
        <v>-318.16300000000001</v>
      </c>
      <c r="H3387" s="1">
        <v>4.5256049999999998E-6</v>
      </c>
      <c r="I3387">
        <v>215.2679</v>
      </c>
      <c r="J3387">
        <v>-346.70479999999998</v>
      </c>
      <c r="K3387">
        <v>1.1087279999999999</v>
      </c>
      <c r="L3387">
        <v>212.8192</v>
      </c>
      <c r="M3387">
        <v>0.99998129999999996</v>
      </c>
      <c r="N3387">
        <v>0</v>
      </c>
      <c r="O3387">
        <v>-8.6684269999999996E-4</v>
      </c>
      <c r="P3387">
        <v>0.99583770000000005</v>
      </c>
      <c r="Q3387">
        <v>9.06005E-2</v>
      </c>
      <c r="R3387">
        <v>-9.9553430000000002E-3</v>
      </c>
      <c r="S3387">
        <v>3.025604</v>
      </c>
      <c r="T3387">
        <v>-0.11518979999999999</v>
      </c>
      <c r="U3387">
        <v>0.25431819999999999</v>
      </c>
      <c r="V3387">
        <v>8.8763039999999998E-3</v>
      </c>
      <c r="W3387">
        <v>9.6650470000000002E-2</v>
      </c>
      <c r="X3387">
        <v>0.99527880000000002</v>
      </c>
      <c r="Y3387">
        <v>-8.4562310000000002E-2</v>
      </c>
      <c r="Z3387">
        <v>1.639235E-3</v>
      </c>
      <c r="AA3387">
        <v>0.99641690000000005</v>
      </c>
      <c r="AB3387">
        <v>57</v>
      </c>
      <c r="AC3387">
        <v>28.541799999999899</v>
      </c>
      <c r="AD3387">
        <v>-1.1087234743950001</v>
      </c>
      <c r="AE3387">
        <v>2.4487000000000001</v>
      </c>
      <c r="AF3387">
        <v>-2.4697412224627402</v>
      </c>
      <c r="AG3387">
        <v>-1.1087234743950001</v>
      </c>
      <c r="AH3387">
        <v>28.496979399408499</v>
      </c>
      <c r="AI3387">
        <v>92.219753557265193</v>
      </c>
      <c r="AJ3387">
        <v>94.953263480308493</v>
      </c>
      <c r="AK3387">
        <v>28.625281209778901</v>
      </c>
      <c r="AL3387">
        <v>84.453678005141299</v>
      </c>
      <c r="AM3387">
        <v>89.4890263172083</v>
      </c>
      <c r="AN3387">
        <v>0.99999999592667999</v>
      </c>
    </row>
    <row r="3388" spans="1:40" x14ac:dyDescent="0.25">
      <c r="A3388" t="str">
        <f>"20190312172957546"</f>
        <v>20190312172957546</v>
      </c>
      <c r="B3388" t="str">
        <f>"1552382997541104"</f>
        <v>1552382997541104</v>
      </c>
      <c r="C3388" t="s">
        <v>40</v>
      </c>
      <c r="D3388">
        <v>3.092292</v>
      </c>
      <c r="E3388">
        <v>0.46617730000000002</v>
      </c>
      <c r="F3388" t="s">
        <v>48</v>
      </c>
      <c r="G3388">
        <v>-317.5444</v>
      </c>
      <c r="H3388" s="1">
        <v>4.2512729999999997E-6</v>
      </c>
      <c r="I3388">
        <v>215.2818</v>
      </c>
      <c r="J3388">
        <v>-346.13119999999998</v>
      </c>
      <c r="K3388">
        <v>1.108741</v>
      </c>
      <c r="L3388">
        <v>212.81880000000001</v>
      </c>
      <c r="M3388">
        <v>0.99998149999999997</v>
      </c>
      <c r="N3388">
        <v>0</v>
      </c>
      <c r="O3388">
        <v>-2.1906120000000001E-4</v>
      </c>
      <c r="P3388">
        <v>0.99585000000000001</v>
      </c>
      <c r="Q3388">
        <v>9.0513469999999999E-2</v>
      </c>
      <c r="R3388">
        <v>-9.5047650000000001E-3</v>
      </c>
      <c r="S3388">
        <v>3.0255740000000002</v>
      </c>
      <c r="T3388">
        <v>-0.11503679999999999</v>
      </c>
      <c r="U3388">
        <v>0.25550840000000002</v>
      </c>
      <c r="V3388">
        <v>9.0677520000000001E-3</v>
      </c>
      <c r="W3388">
        <v>9.6595410000000007E-2</v>
      </c>
      <c r="X3388">
        <v>0.99528240000000001</v>
      </c>
      <c r="Y3388">
        <v>-8.4307690000000005E-2</v>
      </c>
      <c r="Z3388">
        <v>1.6076420000000001E-3</v>
      </c>
      <c r="AA3388">
        <v>0.99643839999999995</v>
      </c>
      <c r="AB3388">
        <v>57</v>
      </c>
      <c r="AC3388">
        <v>28.586799999999901</v>
      </c>
      <c r="AD3388">
        <v>-1.1087367487269999</v>
      </c>
      <c r="AE3388">
        <v>2.4629999999999899</v>
      </c>
      <c r="AF3388">
        <v>-2.4655807455784799</v>
      </c>
      <c r="AG3388">
        <v>-1.1087367487269999</v>
      </c>
      <c r="AH3388">
        <v>28.5436388050781</v>
      </c>
      <c r="AI3388">
        <v>92.216209772769503</v>
      </c>
      <c r="AJ3388">
        <v>94.936917327999694</v>
      </c>
      <c r="AK3388">
        <v>28.6713742577106</v>
      </c>
      <c r="AL3388">
        <v>84.456847433131301</v>
      </c>
      <c r="AM3388">
        <v>89.478007905098494</v>
      </c>
      <c r="AN3388">
        <v>0.99999997655457995</v>
      </c>
    </row>
    <row r="3389" spans="1:40" x14ac:dyDescent="0.25">
      <c r="A3389" t="str">
        <f>"20190312172957569"</f>
        <v>20190312172957569</v>
      </c>
      <c r="B3389" t="str">
        <f>"1552382997560624"</f>
        <v>1552382997560624</v>
      </c>
      <c r="C3389" t="s">
        <v>40</v>
      </c>
      <c r="D3389">
        <v>3.0904419999999999</v>
      </c>
      <c r="E3389">
        <v>0.46621109999999999</v>
      </c>
      <c r="F3389" t="s">
        <v>48</v>
      </c>
      <c r="G3389">
        <v>-316.63810000000001</v>
      </c>
      <c r="H3389" s="1">
        <v>3.8493779999999998E-6</v>
      </c>
      <c r="I3389">
        <v>215.31379999999999</v>
      </c>
      <c r="J3389">
        <v>-345.53820000000002</v>
      </c>
      <c r="K3389">
        <v>1.108749</v>
      </c>
      <c r="L3389">
        <v>212.81880000000001</v>
      </c>
      <c r="M3389">
        <v>0.99998120000000001</v>
      </c>
      <c r="N3389">
        <v>0</v>
      </c>
      <c r="O3389">
        <v>4.5100320000000002E-4</v>
      </c>
      <c r="P3389">
        <v>0.99584589999999995</v>
      </c>
      <c r="Q3389">
        <v>9.0639689999999995E-2</v>
      </c>
      <c r="R3389">
        <v>-8.692801E-3</v>
      </c>
      <c r="S3389">
        <v>3.0252690000000002</v>
      </c>
      <c r="T3389">
        <v>-0.113729399999999</v>
      </c>
      <c r="U3389">
        <v>0.25592039999999999</v>
      </c>
      <c r="V3389">
        <v>8.9199409999999903E-3</v>
      </c>
      <c r="W3389">
        <v>9.6753469999999994E-2</v>
      </c>
      <c r="X3389">
        <v>0.99526840000000005</v>
      </c>
      <c r="Y3389">
        <v>-8.3785349999999995E-2</v>
      </c>
      <c r="Z3389">
        <v>1.554599E-3</v>
      </c>
      <c r="AA3389">
        <v>0.9964826</v>
      </c>
      <c r="AB3389">
        <v>57</v>
      </c>
      <c r="AC3389">
        <v>28.900099999999998</v>
      </c>
      <c r="AD3389">
        <v>-1.1087451506219901</v>
      </c>
      <c r="AE3389">
        <v>2.4949999999999699</v>
      </c>
      <c r="AF3389">
        <v>-2.4783446893791199</v>
      </c>
      <c r="AG3389">
        <v>-1.1087451506219901</v>
      </c>
      <c r="AH3389">
        <v>28.859060249415201</v>
      </c>
      <c r="AI3389">
        <v>92.192121528099705</v>
      </c>
      <c r="AJ3389">
        <v>94.908377074730694</v>
      </c>
      <c r="AK3389">
        <v>28.9864945567376</v>
      </c>
      <c r="AL3389">
        <v>84.447748739119803</v>
      </c>
      <c r="AM3389">
        <v>89.486509076687597</v>
      </c>
      <c r="AN3389">
        <v>0.99999999367152204</v>
      </c>
    </row>
    <row r="3390" spans="1:40" x14ac:dyDescent="0.25">
      <c r="A3390" t="str">
        <f>"20190312172957590"</f>
        <v>20190312172957590</v>
      </c>
      <c r="B3390" t="str">
        <f>"1552382997581120"</f>
        <v>1552382997581120</v>
      </c>
      <c r="C3390" t="s">
        <v>40</v>
      </c>
      <c r="D3390">
        <v>3.0589719999999998</v>
      </c>
      <c r="E3390">
        <v>0.46624270000000001</v>
      </c>
      <c r="F3390" t="s">
        <v>48</v>
      </c>
      <c r="G3390">
        <v>-315.74149999999997</v>
      </c>
      <c r="H3390" s="1">
        <v>3.4517739999999998E-6</v>
      </c>
      <c r="I3390">
        <v>215.35839999999999</v>
      </c>
      <c r="J3390">
        <v>-344.97910000000002</v>
      </c>
      <c r="K3390">
        <v>1.108762</v>
      </c>
      <c r="L3390">
        <v>212.81909999999999</v>
      </c>
      <c r="M3390">
        <v>0.9999806</v>
      </c>
      <c r="N3390">
        <v>0</v>
      </c>
      <c r="O3390">
        <v>1.0832680000000001E-3</v>
      </c>
      <c r="P3390">
        <v>0.99582870000000001</v>
      </c>
      <c r="Q3390">
        <v>9.0890540000000006E-2</v>
      </c>
      <c r="R3390">
        <v>-8.0319359999999999E-3</v>
      </c>
      <c r="S3390">
        <v>3.0250240000000002</v>
      </c>
      <c r="T3390">
        <v>-0.1125623</v>
      </c>
      <c r="U3390">
        <v>0.2578278</v>
      </c>
      <c r="V3390">
        <v>8.885446E-3</v>
      </c>
      <c r="W3390">
        <v>9.7037280000000004E-2</v>
      </c>
      <c r="X3390">
        <v>0.99524109999999999</v>
      </c>
      <c r="Y3390">
        <v>-8.3787459999999994E-2</v>
      </c>
      <c r="Z3390">
        <v>1.515303E-3</v>
      </c>
      <c r="AA3390">
        <v>0.99648250000000005</v>
      </c>
      <c r="AB3390">
        <v>58</v>
      </c>
      <c r="AC3390">
        <v>29.2376</v>
      </c>
      <c r="AD3390">
        <v>-1.1087585482260001</v>
      </c>
      <c r="AE3390">
        <v>2.5392999999999901</v>
      </c>
      <c r="AF3390">
        <v>-2.50405162883628</v>
      </c>
      <c r="AG3390">
        <v>-1.1087585482260001</v>
      </c>
      <c r="AH3390">
        <v>29.1986572761354</v>
      </c>
      <c r="AI3390">
        <v>92.166698334357207</v>
      </c>
      <c r="AJ3390">
        <v>94.901643450672495</v>
      </c>
      <c r="AK3390">
        <v>29.326800146067001</v>
      </c>
      <c r="AL3390">
        <v>84.431410871240303</v>
      </c>
      <c r="AM3390">
        <v>89.488480701680501</v>
      </c>
      <c r="AN3390">
        <v>1.0000000159948099</v>
      </c>
    </row>
    <row r="3391" spans="1:40" x14ac:dyDescent="0.25">
      <c r="A3391" t="str">
        <f>"20190312172957613"</f>
        <v>20190312172957613</v>
      </c>
      <c r="B3391" t="str">
        <f>"1552382997600640"</f>
        <v>1552382997600640</v>
      </c>
      <c r="C3391" t="s">
        <v>40</v>
      </c>
      <c r="D3391">
        <v>3.0399120000000002</v>
      </c>
      <c r="E3391">
        <v>0.46627669999999999</v>
      </c>
      <c r="F3391" t="s">
        <v>48</v>
      </c>
      <c r="G3391">
        <v>-314.68239999999997</v>
      </c>
      <c r="H3391" s="1">
        <v>2.9820960000000001E-6</v>
      </c>
      <c r="I3391">
        <v>215.41640000000001</v>
      </c>
      <c r="J3391">
        <v>-344.41070000000002</v>
      </c>
      <c r="K3391">
        <v>1.10877</v>
      </c>
      <c r="L3391">
        <v>212.81979999999999</v>
      </c>
      <c r="M3391">
        <v>0.99997939999999996</v>
      </c>
      <c r="N3391">
        <v>0</v>
      </c>
      <c r="O3391">
        <v>1.7267879999999999E-3</v>
      </c>
      <c r="P3391">
        <v>0.9957859</v>
      </c>
      <c r="Q3391">
        <v>9.1400910000000002E-2</v>
      </c>
      <c r="R3391">
        <v>-7.5013190000000002E-3</v>
      </c>
      <c r="S3391">
        <v>3.02475</v>
      </c>
      <c r="T3391">
        <v>-0.1106958</v>
      </c>
      <c r="U3391">
        <v>0.25930789999999998</v>
      </c>
      <c r="V3391">
        <v>8.9926190000000003E-3</v>
      </c>
      <c r="W3391">
        <v>9.7582550000000004E-2</v>
      </c>
      <c r="X3391">
        <v>0.99518680000000004</v>
      </c>
      <c r="Y3391">
        <v>-8.3640339999999994E-2</v>
      </c>
      <c r="Z3391">
        <v>1.4641120000000001E-3</v>
      </c>
      <c r="AA3391">
        <v>0.99649489999999996</v>
      </c>
      <c r="AB3391">
        <v>58</v>
      </c>
      <c r="AC3391">
        <v>29.728300000000001</v>
      </c>
      <c r="AD3391">
        <v>-1.1087670179039999</v>
      </c>
      <c r="AE3391">
        <v>2.59660000000002</v>
      </c>
      <c r="AF3391">
        <v>-2.54175176045266</v>
      </c>
      <c r="AG3391">
        <v>-1.1087670179039999</v>
      </c>
      <c r="AH3391">
        <v>29.6917497620855</v>
      </c>
      <c r="AI3391">
        <v>92.130793539771304</v>
      </c>
      <c r="AJ3391">
        <v>94.892856381931793</v>
      </c>
      <c r="AK3391">
        <v>29.820963603580299</v>
      </c>
      <c r="AL3391">
        <v>84.400020102551693</v>
      </c>
      <c r="AM3391">
        <v>89.482283031849505</v>
      </c>
      <c r="AN3391">
        <v>0.99999999407760998</v>
      </c>
    </row>
    <row r="3392" spans="1:40" x14ac:dyDescent="0.25">
      <c r="A3392" t="str">
        <f>"20190312172957634"</f>
        <v>20190312172957634</v>
      </c>
      <c r="B3392" t="str">
        <f>"1552382997630896"</f>
        <v>1552382997630896</v>
      </c>
      <c r="C3392" t="s">
        <v>40</v>
      </c>
      <c r="D3392">
        <v>3.018437</v>
      </c>
      <c r="E3392">
        <v>0.46630840000000001</v>
      </c>
      <c r="F3392" t="s">
        <v>48</v>
      </c>
      <c r="G3392">
        <v>-313.3383</v>
      </c>
      <c r="H3392" s="1">
        <v>2.386019E-6</v>
      </c>
      <c r="I3392">
        <v>215.49629999999999</v>
      </c>
      <c r="J3392">
        <v>-343.85169999999999</v>
      </c>
      <c r="K3392">
        <v>1.1087769999999999</v>
      </c>
      <c r="L3392">
        <v>212.82079999999999</v>
      </c>
      <c r="M3392">
        <v>0.99997789999999998</v>
      </c>
      <c r="N3392">
        <v>0</v>
      </c>
      <c r="O3392">
        <v>2.3598130000000001E-3</v>
      </c>
      <c r="P3392">
        <v>0.99577119999999997</v>
      </c>
      <c r="Q3392">
        <v>9.1611849999999995E-2</v>
      </c>
      <c r="R3392">
        <v>-6.8611180000000003E-3</v>
      </c>
      <c r="S3392">
        <v>3.0245669999999998</v>
      </c>
      <c r="T3392">
        <v>-0.1079266</v>
      </c>
      <c r="U3392">
        <v>0.2605286</v>
      </c>
      <c r="V3392">
        <v>8.9801259999999997E-3</v>
      </c>
      <c r="W3392">
        <v>9.7827899999999995E-2</v>
      </c>
      <c r="X3392">
        <v>0.99516280000000001</v>
      </c>
      <c r="Y3392">
        <v>-8.3417099999999994E-2</v>
      </c>
      <c r="Z3392">
        <v>1.4010559999999999E-3</v>
      </c>
      <c r="AA3392">
        <v>0.99651369999999895</v>
      </c>
      <c r="AB3392">
        <v>58</v>
      </c>
      <c r="AC3392">
        <v>30.513399999999901</v>
      </c>
      <c r="AD3392">
        <v>-1.108774613981</v>
      </c>
      <c r="AE3392">
        <v>2.6754999999999902</v>
      </c>
      <c r="AF3392">
        <v>-2.6000782928206401</v>
      </c>
      <c r="AG3392">
        <v>-1.108774613981</v>
      </c>
      <c r="AH3392">
        <v>30.479690527143301</v>
      </c>
      <c r="AI3392">
        <v>92.075825384783002</v>
      </c>
      <c r="AJ3392">
        <v>94.875827807419498</v>
      </c>
      <c r="AK3392">
        <v>30.610477338712599</v>
      </c>
      <c r="AL3392">
        <v>84.385894862034505</v>
      </c>
      <c r="AM3392">
        <v>89.482989763732903</v>
      </c>
      <c r="AN3392">
        <v>0.99999996959261195</v>
      </c>
    </row>
    <row r="3393" spans="1:40" x14ac:dyDescent="0.25">
      <c r="A3393" t="str">
        <f>"20190312172957658"</f>
        <v>20190312172957658</v>
      </c>
      <c r="B3393" t="str">
        <f>"1552382997651392"</f>
        <v>1552382997651392</v>
      </c>
      <c r="C3393" t="s">
        <v>40</v>
      </c>
      <c r="D3393">
        <v>3.0198290000000001</v>
      </c>
      <c r="E3393">
        <v>0.46635009999999999</v>
      </c>
      <c r="F3393" t="s">
        <v>48</v>
      </c>
      <c r="G3393">
        <v>-312.05380000000002</v>
      </c>
      <c r="H3393" s="1">
        <v>1.816429E-6</v>
      </c>
      <c r="I3393">
        <v>215.57640000000001</v>
      </c>
      <c r="J3393">
        <v>-343.24770000000001</v>
      </c>
      <c r="K3393">
        <v>1.1087769999999999</v>
      </c>
      <c r="L3393">
        <v>212.82230000000001</v>
      </c>
      <c r="M3393">
        <v>0.99997570000000002</v>
      </c>
      <c r="N3393">
        <v>0</v>
      </c>
      <c r="O3393">
        <v>3.043853E-3</v>
      </c>
      <c r="P3393">
        <v>0.99577870000000002</v>
      </c>
      <c r="Q3393">
        <v>9.1585299999999994E-2</v>
      </c>
      <c r="R3393">
        <v>-6.0880119999999899E-3</v>
      </c>
      <c r="S3393">
        <v>3.0242610000000001</v>
      </c>
      <c r="T3393">
        <v>-0.1054544</v>
      </c>
      <c r="U3393">
        <v>0.26208500000000001</v>
      </c>
      <c r="V3393">
        <v>8.8862809999999993E-3</v>
      </c>
      <c r="W3393">
        <v>9.7838330000000001E-2</v>
      </c>
      <c r="X3393">
        <v>0.99516269999999996</v>
      </c>
      <c r="Y3393">
        <v>-8.3255889999999999E-2</v>
      </c>
      <c r="Z3393">
        <v>1.3424870000000001E-3</v>
      </c>
      <c r="AA3393">
        <v>0.9965273</v>
      </c>
      <c r="AB3393">
        <v>58</v>
      </c>
      <c r="AC3393">
        <v>31.1938999999999</v>
      </c>
      <c r="AD3393">
        <v>-1.108775183571</v>
      </c>
      <c r="AE3393">
        <v>2.75409999999999</v>
      </c>
      <c r="AF3393">
        <v>-2.65580628279058</v>
      </c>
      <c r="AG3393">
        <v>-1.108775183571</v>
      </c>
      <c r="AH3393">
        <v>31.163071224009698</v>
      </c>
      <c r="AI3393">
        <v>92.030357947493002</v>
      </c>
      <c r="AJ3393">
        <v>94.871140437815598</v>
      </c>
      <c r="AK3393">
        <v>31.295681771326102</v>
      </c>
      <c r="AL3393">
        <v>84.385294851419303</v>
      </c>
      <c r="AM3393">
        <v>89.488392335081002</v>
      </c>
      <c r="AN3393">
        <v>1.00000005213924</v>
      </c>
    </row>
    <row r="3394" spans="1:40" x14ac:dyDescent="0.25">
      <c r="A3394" t="str">
        <f>"20190312172957680"</f>
        <v>20190312172957680</v>
      </c>
      <c r="B3394" t="str">
        <f>"1552382997670916"</f>
        <v>1552382997670916</v>
      </c>
      <c r="C3394" t="s">
        <v>40</v>
      </c>
      <c r="D3394">
        <v>3.0174639999999999</v>
      </c>
      <c r="E3394">
        <v>0.46637820000000002</v>
      </c>
      <c r="F3394" t="s">
        <v>48</v>
      </c>
      <c r="G3394">
        <v>-311.08760000000001</v>
      </c>
      <c r="H3394" s="1">
        <v>1.387926E-6</v>
      </c>
      <c r="I3394">
        <v>215.62899999999999</v>
      </c>
      <c r="J3394">
        <v>-342.65730000000002</v>
      </c>
      <c r="K3394">
        <v>1.1087830000000001</v>
      </c>
      <c r="L3394">
        <v>212.82409999999999</v>
      </c>
      <c r="M3394">
        <v>0.99997340000000001</v>
      </c>
      <c r="N3394">
        <v>0</v>
      </c>
      <c r="O3394">
        <v>3.7126339999999998E-3</v>
      </c>
      <c r="P3394">
        <v>0.99584439999999996</v>
      </c>
      <c r="Q3394">
        <v>9.0906230000000005E-2</v>
      </c>
      <c r="R3394">
        <v>-5.4900599999999997E-3</v>
      </c>
      <c r="S3394">
        <v>3.023895</v>
      </c>
      <c r="T3394">
        <v>-0.104254</v>
      </c>
      <c r="U3394">
        <v>0.26390079999999999</v>
      </c>
      <c r="V3394">
        <v>8.9545330000000006E-3</v>
      </c>
      <c r="W3394">
        <v>9.7194359999999994E-2</v>
      </c>
      <c r="X3394">
        <v>0.99522509999999997</v>
      </c>
      <c r="Y3394">
        <v>-8.319522E-2</v>
      </c>
      <c r="Z3394">
        <v>1.3032899999999999E-3</v>
      </c>
      <c r="AA3394">
        <v>0.99653239999999998</v>
      </c>
      <c r="AB3394">
        <v>58</v>
      </c>
      <c r="AC3394">
        <v>31.569700000000001</v>
      </c>
      <c r="AD3394">
        <v>-1.1087816120739999</v>
      </c>
      <c r="AE3394">
        <v>2.8049000000000301</v>
      </c>
      <c r="AF3394">
        <v>-2.68438626937915</v>
      </c>
      <c r="AG3394">
        <v>-1.1087816120739999</v>
      </c>
      <c r="AH3394">
        <v>31.5412936584889</v>
      </c>
      <c r="AI3394">
        <v>92.006062494039298</v>
      </c>
      <c r="AJ3394">
        <v>94.8645520430494</v>
      </c>
      <c r="AK3394">
        <v>31.674730179711698</v>
      </c>
      <c r="AL3394">
        <v>84.422367812091196</v>
      </c>
      <c r="AM3394">
        <v>89.484495412891803</v>
      </c>
      <c r="AN3394">
        <v>0.99999996347353304</v>
      </c>
    </row>
    <row r="3395" spans="1:40" x14ac:dyDescent="0.25">
      <c r="A3395" t="str">
        <f>"20190312172957702"</f>
        <v>20190312172957702</v>
      </c>
      <c r="B3395" t="str">
        <f>"1552382997691408"</f>
        <v>1552382997691408</v>
      </c>
      <c r="C3395" t="s">
        <v>40</v>
      </c>
      <c r="D3395">
        <v>3.073334</v>
      </c>
      <c r="E3395">
        <v>0.46703</v>
      </c>
      <c r="F3395" t="s">
        <v>48</v>
      </c>
      <c r="G3395">
        <v>-310.86599999999999</v>
      </c>
      <c r="H3395" s="1">
        <v>1.289665E-6</v>
      </c>
      <c r="I3395">
        <v>215.6123</v>
      </c>
      <c r="J3395">
        <v>-342.08960000000002</v>
      </c>
      <c r="K3395">
        <v>1.1087899999999999</v>
      </c>
      <c r="L3395">
        <v>212.8262</v>
      </c>
      <c r="M3395">
        <v>0.99997049999999998</v>
      </c>
      <c r="N3395">
        <v>0</v>
      </c>
      <c r="O3395">
        <v>4.3559649999999998E-3</v>
      </c>
      <c r="P3395">
        <v>0.99584470000000003</v>
      </c>
      <c r="Q3395">
        <v>9.090956E-2</v>
      </c>
      <c r="R3395">
        <v>-5.3627229999999998E-3</v>
      </c>
      <c r="S3395">
        <v>3.0236209999999999</v>
      </c>
      <c r="T3395">
        <v>-0.1054543</v>
      </c>
      <c r="U3395">
        <v>0.26518249999999999</v>
      </c>
      <c r="V3395">
        <v>9.4665080000000002E-3</v>
      </c>
      <c r="W3395">
        <v>9.7231369999999998E-2</v>
      </c>
      <c r="X3395">
        <v>0.99521680000000001</v>
      </c>
      <c r="Y3395">
        <v>-8.2980600000000002E-2</v>
      </c>
      <c r="Z3395">
        <v>1.2922610000000001E-3</v>
      </c>
      <c r="AA3395">
        <v>0.9965503</v>
      </c>
      <c r="AB3395">
        <v>58</v>
      </c>
      <c r="AC3395">
        <v>31.223600000000001</v>
      </c>
      <c r="AD3395">
        <v>-1.108788710335</v>
      </c>
      <c r="AE3395">
        <v>2.7860999999999998</v>
      </c>
      <c r="AF3395">
        <v>-2.6467506210214098</v>
      </c>
      <c r="AG3395">
        <v>-1.108788710335</v>
      </c>
      <c r="AH3395">
        <v>31.196410741165199</v>
      </c>
      <c r="AI3395">
        <v>92.028279889917997</v>
      </c>
      <c r="AJ3395">
        <v>94.849447178169498</v>
      </c>
      <c r="AK3395">
        <v>31.3281142807148</v>
      </c>
      <c r="AL3395">
        <v>84.420237500887595</v>
      </c>
      <c r="AM3395">
        <v>89.455018647374999</v>
      </c>
      <c r="AN3395">
        <v>1.0000000165440099</v>
      </c>
    </row>
    <row r="3396" spans="1:40" x14ac:dyDescent="0.25">
      <c r="A3396" t="str">
        <f>"20190312172957725"</f>
        <v>20190312172957725</v>
      </c>
      <c r="B3396" t="str">
        <f>"1552382997710931"</f>
        <v>1552382997710931</v>
      </c>
      <c r="C3396" t="s">
        <v>40</v>
      </c>
      <c r="D3396">
        <v>3.0571679999999999</v>
      </c>
      <c r="E3396">
        <v>0.50718620000000003</v>
      </c>
      <c r="F3396" t="s">
        <v>48</v>
      </c>
      <c r="G3396">
        <v>-309.44799999999998</v>
      </c>
      <c r="H3396" s="1">
        <v>9.7734709999999991E-7</v>
      </c>
      <c r="I3396">
        <v>215.64109999999999</v>
      </c>
      <c r="J3396">
        <v>-341.51429999999999</v>
      </c>
      <c r="K3396">
        <v>1.108792</v>
      </c>
      <c r="L3396">
        <v>212.8288</v>
      </c>
      <c r="M3396">
        <v>0.9999673</v>
      </c>
      <c r="N3396">
        <v>0</v>
      </c>
      <c r="O3396">
        <v>5.007638E-3</v>
      </c>
      <c r="P3396">
        <v>0.9959422</v>
      </c>
      <c r="Q3396">
        <v>8.9844380000000001E-2</v>
      </c>
      <c r="R3396">
        <v>-5.212525E-3</v>
      </c>
      <c r="S3396">
        <v>3.023285</v>
      </c>
      <c r="T3396">
        <v>-0.1026967</v>
      </c>
      <c r="U3396">
        <v>0.26071169999999999</v>
      </c>
      <c r="V3396">
        <v>9.9670509999999993E-3</v>
      </c>
      <c r="W3396">
        <v>9.6200060000000004E-2</v>
      </c>
      <c r="X3396">
        <v>0.99531210000000003</v>
      </c>
      <c r="Y3396">
        <v>-8.0881980000000006E-2</v>
      </c>
      <c r="Z3396">
        <v>1.2010530000000001E-3</v>
      </c>
      <c r="AA3396">
        <v>0.99672289999999997</v>
      </c>
      <c r="AB3396">
        <v>58</v>
      </c>
      <c r="AC3396">
        <v>32.066299999999998</v>
      </c>
      <c r="AD3396">
        <v>-1.1087910226528901</v>
      </c>
      <c r="AE3396">
        <v>2.8122999999999898</v>
      </c>
      <c r="AF3396">
        <v>-2.6485425362578701</v>
      </c>
      <c r="AG3396">
        <v>-1.1087910226528901</v>
      </c>
      <c r="AH3396">
        <v>32.041962855161202</v>
      </c>
      <c r="AI3396">
        <v>91.975161156466001</v>
      </c>
      <c r="AJ3396">
        <v>94.725244568375999</v>
      </c>
      <c r="AK3396">
        <v>32.170352480347702</v>
      </c>
      <c r="AL3396">
        <v>84.479605352999101</v>
      </c>
      <c r="AM3396">
        <v>89.426259493223796</v>
      </c>
      <c r="AN3396">
        <v>0.99999998502802401</v>
      </c>
    </row>
    <row r="3397" spans="1:40" x14ac:dyDescent="0.25">
      <c r="A3397" t="str">
        <f>"20190312172957748"</f>
        <v>20190312172957748</v>
      </c>
      <c r="B3397" t="str">
        <f>"1552382997741185"</f>
        <v>1552382997741185</v>
      </c>
      <c r="C3397" t="s">
        <v>40</v>
      </c>
      <c r="D3397">
        <v>3.0260829999999999</v>
      </c>
      <c r="E3397">
        <v>0.51016149999999905</v>
      </c>
      <c r="F3397" t="s">
        <v>47</v>
      </c>
      <c r="G3397">
        <v>-277.34730000000002</v>
      </c>
      <c r="H3397" s="1">
        <v>2.5083519999999999E-6</v>
      </c>
      <c r="I3397">
        <v>211.52170000000001</v>
      </c>
      <c r="J3397">
        <v>-340.90629999999999</v>
      </c>
      <c r="K3397">
        <v>1.1088009999999999</v>
      </c>
      <c r="L3397">
        <v>212.83189999999999</v>
      </c>
      <c r="M3397">
        <v>0.99996350000000001</v>
      </c>
      <c r="N3397">
        <v>0</v>
      </c>
      <c r="O3397">
        <v>5.6961440000000002E-3</v>
      </c>
      <c r="P3397">
        <v>0.99593299999999996</v>
      </c>
      <c r="Q3397">
        <v>8.9950879999999997E-2</v>
      </c>
      <c r="R3397">
        <v>-5.1431480000000002E-3</v>
      </c>
      <c r="S3397">
        <v>3.0165709999999999</v>
      </c>
      <c r="T3397">
        <v>-5.2125570000000003E-2</v>
      </c>
      <c r="U3397">
        <v>-6.1447139999999997E-2</v>
      </c>
      <c r="V3397">
        <v>1.0581699999999999E-2</v>
      </c>
      <c r="W3397">
        <v>9.6341029999999994E-2</v>
      </c>
      <c r="X3397">
        <v>0.99529210000000001</v>
      </c>
      <c r="Y3397">
        <v>2.605565E-2</v>
      </c>
      <c r="Z3397">
        <v>-3.2349069999999998E-4</v>
      </c>
      <c r="AA3397">
        <v>0.9996604</v>
      </c>
      <c r="AB3397">
        <v>58</v>
      </c>
      <c r="AC3397">
        <v>63.558999999999898</v>
      </c>
      <c r="AD3397">
        <v>-1.10879849164799</v>
      </c>
      <c r="AE3397">
        <v>-1.31019999999998</v>
      </c>
      <c r="AF3397">
        <v>1.6717187555919899</v>
      </c>
      <c r="AG3397">
        <v>-1.10879849164799</v>
      </c>
      <c r="AH3397">
        <v>63.531179076087099</v>
      </c>
      <c r="AI3397">
        <v>90.999525745471999</v>
      </c>
      <c r="AJ3397">
        <v>88.492703371124307</v>
      </c>
      <c r="AK3397">
        <v>63.562841287113102</v>
      </c>
      <c r="AL3397">
        <v>84.471490566846001</v>
      </c>
      <c r="AM3397">
        <v>89.390868361242994</v>
      </c>
      <c r="AN3397">
        <v>0.99999996537937896</v>
      </c>
    </row>
    <row r="3398" spans="1:40" x14ac:dyDescent="0.25">
      <c r="A3398" t="str">
        <f>"20190312172957771"</f>
        <v>20190312172957771</v>
      </c>
      <c r="B3398" t="str">
        <f>"1552382997760704"</f>
        <v>1552382997760704</v>
      </c>
      <c r="C3398" t="s">
        <v>40</v>
      </c>
      <c r="D3398">
        <v>3.041525</v>
      </c>
      <c r="E3398">
        <v>0.51108379999999998</v>
      </c>
      <c r="F3398" t="s">
        <v>47</v>
      </c>
      <c r="G3398">
        <v>-276.19540000000001</v>
      </c>
      <c r="H3398" s="1">
        <v>1.9177509999999998E-6</v>
      </c>
      <c r="I3398">
        <v>211.0093</v>
      </c>
      <c r="J3398">
        <v>-340.29579999999999</v>
      </c>
      <c r="K3398">
        <v>1.1088100000000001</v>
      </c>
      <c r="L3398">
        <v>212.83539999999999</v>
      </c>
      <c r="M3398">
        <v>0.99995909999999999</v>
      </c>
      <c r="N3398">
        <v>0</v>
      </c>
      <c r="O3398">
        <v>6.3873920000000004E-3</v>
      </c>
      <c r="P3398">
        <v>0.99593229999999999</v>
      </c>
      <c r="Q3398">
        <v>8.9986940000000001E-2</v>
      </c>
      <c r="R3398">
        <v>-4.6538129999999997E-3</v>
      </c>
      <c r="S3398">
        <v>3.0164789999999999</v>
      </c>
      <c r="T3398">
        <v>-5.1686290000000003E-2</v>
      </c>
      <c r="U3398">
        <v>-8.4960939999999999E-2</v>
      </c>
      <c r="V3398">
        <v>1.077939E-2</v>
      </c>
      <c r="W3398">
        <v>9.6409369999999994E-2</v>
      </c>
      <c r="X3398">
        <v>0.99528340000000004</v>
      </c>
      <c r="Y3398">
        <v>3.4532840000000002E-2</v>
      </c>
      <c r="Z3398">
        <v>-4.051937E-4</v>
      </c>
      <c r="AA3398">
        <v>0.9994035</v>
      </c>
      <c r="AB3398">
        <v>59</v>
      </c>
      <c r="AC3398">
        <v>64.100399999999894</v>
      </c>
      <c r="AD3398">
        <v>-1.1088080822490001</v>
      </c>
      <c r="AE3398">
        <v>-1.8260999999999901</v>
      </c>
      <c r="AF3398">
        <v>2.2348373557015302</v>
      </c>
      <c r="AG3398">
        <v>-1.1088080822490001</v>
      </c>
      <c r="AH3398">
        <v>64.068273075971405</v>
      </c>
      <c r="AI3398">
        <v>90.990897287544797</v>
      </c>
      <c r="AJ3398">
        <v>88.0022116102529</v>
      </c>
      <c r="AK3398">
        <v>64.116827497209698</v>
      </c>
      <c r="AL3398">
        <v>84.467556875960199</v>
      </c>
      <c r="AM3398">
        <v>89.379483867699406</v>
      </c>
      <c r="AN3398">
        <v>1.00000000409406</v>
      </c>
    </row>
    <row r="3399" spans="1:40" x14ac:dyDescent="0.25">
      <c r="A3399" t="str">
        <f>"20190312172957791"</f>
        <v>20190312172957791</v>
      </c>
      <c r="B3399" t="str">
        <f>"1552382997781200"</f>
        <v>1552382997781200</v>
      </c>
      <c r="C3399" t="s">
        <v>40</v>
      </c>
      <c r="D3399">
        <v>3.0555080000000001</v>
      </c>
      <c r="E3399">
        <v>0.5116193</v>
      </c>
      <c r="F3399" t="s">
        <v>47</v>
      </c>
      <c r="G3399">
        <v>-276.2054</v>
      </c>
      <c r="H3399" s="1">
        <v>1.9278270000000001E-6</v>
      </c>
      <c r="I3399">
        <v>210.9007</v>
      </c>
      <c r="J3399">
        <v>-339.74279999999999</v>
      </c>
      <c r="K3399">
        <v>1.1088150000000001</v>
      </c>
      <c r="L3399">
        <v>212.839</v>
      </c>
      <c r="M3399">
        <v>0.99995460000000003</v>
      </c>
      <c r="N3399">
        <v>0</v>
      </c>
      <c r="O3399">
        <v>7.0133779999999998E-3</v>
      </c>
      <c r="P3399">
        <v>0.99591339999999995</v>
      </c>
      <c r="Q3399">
        <v>9.0192460000000002E-2</v>
      </c>
      <c r="R3399">
        <v>-4.6998439999999999E-3</v>
      </c>
      <c r="S3399">
        <v>3.0165709999999999</v>
      </c>
      <c r="T3399">
        <v>-5.2188749999999999E-2</v>
      </c>
      <c r="U3399">
        <v>-9.1064450000000005E-2</v>
      </c>
      <c r="V3399">
        <v>1.144707E-2</v>
      </c>
      <c r="W3399">
        <v>9.6644789999999994E-2</v>
      </c>
      <c r="X3399">
        <v>0.9952531</v>
      </c>
      <c r="Y3399">
        <v>3.7177309999999998E-2</v>
      </c>
      <c r="Z3399">
        <v>-4.4280369999999999E-4</v>
      </c>
      <c r="AA3399">
        <v>0.99930859999999999</v>
      </c>
      <c r="AB3399">
        <v>59</v>
      </c>
      <c r="AC3399">
        <v>63.537399999999899</v>
      </c>
      <c r="AD3399">
        <v>-1.1088130721729901</v>
      </c>
      <c r="AE3399">
        <v>-1.9383000000000199</v>
      </c>
      <c r="AF3399">
        <v>2.3831482904347099</v>
      </c>
      <c r="AG3399">
        <v>-1.1088130721729901</v>
      </c>
      <c r="AH3399">
        <v>63.502921183345002</v>
      </c>
      <c r="AI3399">
        <v>90.9996261093698</v>
      </c>
      <c r="AJ3399">
        <v>87.8508029360612</v>
      </c>
      <c r="AK3399">
        <v>63.5572958913558</v>
      </c>
      <c r="AL3399">
        <v>84.454004953722205</v>
      </c>
      <c r="AM3399">
        <v>89.3410320652916</v>
      </c>
      <c r="AN3399">
        <v>0.99999999195266898</v>
      </c>
    </row>
    <row r="3400" spans="1:40" x14ac:dyDescent="0.25">
      <c r="A3400" t="str">
        <f>"20190312172957814"</f>
        <v>20190312172957814</v>
      </c>
      <c r="B3400" t="str">
        <f>"1552382997800720"</f>
        <v>1552382997800720</v>
      </c>
      <c r="C3400" t="s">
        <v>40</v>
      </c>
      <c r="D3400">
        <v>3.0519080000000001</v>
      </c>
      <c r="E3400">
        <v>0.51191469999999994</v>
      </c>
      <c r="F3400" t="s">
        <v>47</v>
      </c>
      <c r="G3400">
        <v>-274.90969999999999</v>
      </c>
      <c r="H3400" s="1">
        <v>1.243238E-6</v>
      </c>
      <c r="I3400">
        <v>210.78870000000001</v>
      </c>
      <c r="J3400">
        <v>-339.15859999999998</v>
      </c>
      <c r="K3400">
        <v>1.108811</v>
      </c>
      <c r="L3400">
        <v>212.84309999999999</v>
      </c>
      <c r="M3400">
        <v>0.99994959999999999</v>
      </c>
      <c r="N3400">
        <v>0</v>
      </c>
      <c r="O3400">
        <v>7.6736349999999998E-3</v>
      </c>
      <c r="P3400">
        <v>0.9959015</v>
      </c>
      <c r="Q3400">
        <v>9.0322E-2</v>
      </c>
      <c r="R3400">
        <v>-4.7685100000000001E-3</v>
      </c>
      <c r="S3400">
        <v>3.0165410000000001</v>
      </c>
      <c r="T3400">
        <v>-5.159068E-2</v>
      </c>
      <c r="U3400">
        <v>-9.5397949999999995E-2</v>
      </c>
      <c r="V3400">
        <v>1.2171909999999999E-2</v>
      </c>
      <c r="W3400">
        <v>9.6804730000000005E-2</v>
      </c>
      <c r="X3400">
        <v>0.99522889999999997</v>
      </c>
      <c r="Y3400">
        <v>3.9271319999999998E-2</v>
      </c>
      <c r="Z3400">
        <v>-4.6691480000000002E-4</v>
      </c>
      <c r="AA3400">
        <v>0.99922849999999996</v>
      </c>
      <c r="AB3400">
        <v>59</v>
      </c>
      <c r="AC3400">
        <v>64.248899999999907</v>
      </c>
      <c r="AD3400">
        <v>-1.1088097567620001</v>
      </c>
      <c r="AE3400">
        <v>-2.0543999999999798</v>
      </c>
      <c r="AF3400">
        <v>2.54661474185842</v>
      </c>
      <c r="AG3400">
        <v>-1.1088097567620001</v>
      </c>
      <c r="AH3400">
        <v>64.212137814912595</v>
      </c>
      <c r="AI3400">
        <v>90.988503414290193</v>
      </c>
      <c r="AJ3400">
        <v>87.728874093985397</v>
      </c>
      <c r="AK3400">
        <v>64.272181762263699</v>
      </c>
      <c r="AL3400">
        <v>84.444797591582798</v>
      </c>
      <c r="AM3400">
        <v>89.299292552117706</v>
      </c>
      <c r="AN3400">
        <v>0.99999993726931302</v>
      </c>
    </row>
    <row r="3401" spans="1:40" x14ac:dyDescent="0.25">
      <c r="A3401" t="str">
        <f>"20190312172957836"</f>
        <v>20190312172957836</v>
      </c>
      <c r="B3401" t="str">
        <f>"1552382997830977"</f>
        <v>1552382997830977</v>
      </c>
      <c r="C3401" t="s">
        <v>40</v>
      </c>
      <c r="D3401">
        <v>3.0677539999999999</v>
      </c>
      <c r="E3401">
        <v>0.51225069999999995</v>
      </c>
      <c r="F3401" t="s">
        <v>47</v>
      </c>
      <c r="G3401">
        <v>-274.97550000000001</v>
      </c>
      <c r="H3401" s="1">
        <v>1.2796039999999999E-6</v>
      </c>
      <c r="I3401">
        <v>210.75720000000001</v>
      </c>
      <c r="J3401">
        <v>-338.56709999999998</v>
      </c>
      <c r="K3401">
        <v>1.1088150000000001</v>
      </c>
      <c r="L3401">
        <v>212.8477</v>
      </c>
      <c r="M3401">
        <v>0.9999441</v>
      </c>
      <c r="N3401">
        <v>0</v>
      </c>
      <c r="O3401">
        <v>8.3418799999999994E-3</v>
      </c>
      <c r="P3401">
        <v>0.99595109999999998</v>
      </c>
      <c r="Q3401">
        <v>8.9773210000000006E-2</v>
      </c>
      <c r="R3401">
        <v>-4.7101030000000002E-3</v>
      </c>
      <c r="S3401">
        <v>3.0166019999999998</v>
      </c>
      <c r="T3401">
        <v>-5.2114010000000002E-2</v>
      </c>
      <c r="U3401">
        <v>-9.8037719999999995E-2</v>
      </c>
      <c r="V3401">
        <v>1.2779810000000001E-2</v>
      </c>
      <c r="W3401">
        <v>9.6286449999999996E-2</v>
      </c>
      <c r="X3401">
        <v>0.99527160000000003</v>
      </c>
      <c r="Y3401">
        <v>4.0811449999999999E-2</v>
      </c>
      <c r="Z3401">
        <v>-4.9647470000000003E-4</v>
      </c>
      <c r="AA3401">
        <v>0.99916669999999996</v>
      </c>
      <c r="AB3401">
        <v>59</v>
      </c>
      <c r="AC3401">
        <v>63.5915999999999</v>
      </c>
      <c r="AD3401">
        <v>-1.10881372039599</v>
      </c>
      <c r="AE3401">
        <v>-2.0904999999999898</v>
      </c>
      <c r="AF3401">
        <v>2.62011621581355</v>
      </c>
      <c r="AG3401">
        <v>-1.10881372039599</v>
      </c>
      <c r="AH3401">
        <v>63.552647118881602</v>
      </c>
      <c r="AI3401">
        <v>90.998699470078805</v>
      </c>
      <c r="AJ3401">
        <v>87.639175703311395</v>
      </c>
      <c r="AK3401">
        <v>63.6162984829202</v>
      </c>
      <c r="AL3401">
        <v>84.474632462720294</v>
      </c>
      <c r="AM3401">
        <v>89.264332533081998</v>
      </c>
      <c r="AN3401">
        <v>0.99999998088189901</v>
      </c>
    </row>
    <row r="3402" spans="1:40" x14ac:dyDescent="0.25">
      <c r="A3402" t="str">
        <f>"20190312172957860"</f>
        <v>20190312172957860</v>
      </c>
      <c r="B3402" t="str">
        <f>"1552382997851472"</f>
        <v>1552382997851472</v>
      </c>
      <c r="C3402" t="s">
        <v>40</v>
      </c>
      <c r="D3402">
        <v>3.11429</v>
      </c>
      <c r="E3402">
        <v>0.51228890000000005</v>
      </c>
      <c r="F3402" t="s">
        <v>47</v>
      </c>
      <c r="G3402">
        <v>-278.31540000000001</v>
      </c>
      <c r="H3402" s="1">
        <v>3.0531259999999999E-6</v>
      </c>
      <c r="I3402">
        <v>210.84389999999999</v>
      </c>
      <c r="J3402">
        <v>-337.95749999999998</v>
      </c>
      <c r="K3402">
        <v>1.1088199999999999</v>
      </c>
      <c r="L3402">
        <v>212.8528</v>
      </c>
      <c r="M3402">
        <v>0.99993799999999999</v>
      </c>
      <c r="N3402">
        <v>0</v>
      </c>
      <c r="O3402">
        <v>9.0300299999999997E-3</v>
      </c>
      <c r="P3402">
        <v>0.9959306</v>
      </c>
      <c r="Q3402">
        <v>9.0017680000000003E-2</v>
      </c>
      <c r="R3402">
        <v>-4.4173340000000002E-3</v>
      </c>
      <c r="S3402">
        <v>3.0166930000000001</v>
      </c>
      <c r="T3402">
        <v>-5.5516120000000002E-2</v>
      </c>
      <c r="U3402">
        <v>-0.1003265</v>
      </c>
      <c r="V3402">
        <v>1.317048E-2</v>
      </c>
      <c r="W3402">
        <v>9.6560309999999996E-2</v>
      </c>
      <c r="X3402">
        <v>0.99524000000000001</v>
      </c>
      <c r="Y3402">
        <v>4.225396E-2</v>
      </c>
      <c r="Z3402">
        <v>-5.5478649999999999E-4</v>
      </c>
      <c r="AA3402">
        <v>0.99910679999999996</v>
      </c>
      <c r="AB3402">
        <v>59</v>
      </c>
      <c r="AC3402">
        <v>59.6420999999999</v>
      </c>
      <c r="AD3402">
        <v>-1.1088169468739999</v>
      </c>
      <c r="AE3402">
        <v>-2.0089000000000099</v>
      </c>
      <c r="AF3402">
        <v>2.54652031428652</v>
      </c>
      <c r="AG3402">
        <v>-1.1088169468739999</v>
      </c>
      <c r="AH3402">
        <v>59.600950736313301</v>
      </c>
      <c r="AI3402">
        <v>91.064837280779997</v>
      </c>
      <c r="AJ3402">
        <v>87.553458838859797</v>
      </c>
      <c r="AK3402">
        <v>59.665631391993102</v>
      </c>
      <c r="AL3402">
        <v>84.458868125498299</v>
      </c>
      <c r="AM3402">
        <v>89.241822201358502</v>
      </c>
      <c r="AN3402">
        <v>1.00000000630536</v>
      </c>
    </row>
    <row r="3403" spans="1:40" x14ac:dyDescent="0.25">
      <c r="A3403" t="str">
        <f>"20190312172957881"</f>
        <v>20190312172957881</v>
      </c>
      <c r="B3403" t="str">
        <f>"1552382997870996"</f>
        <v>1552382997870996</v>
      </c>
      <c r="C3403" t="s">
        <v>40</v>
      </c>
      <c r="D3403">
        <v>3.123977</v>
      </c>
      <c r="E3403">
        <v>0.51231369999999998</v>
      </c>
      <c r="F3403" t="s">
        <v>48</v>
      </c>
      <c r="G3403">
        <v>-280.09449999999998</v>
      </c>
      <c r="H3403" s="1">
        <v>7.4874910000000003E-6</v>
      </c>
      <c r="I3403">
        <v>210.93799999999999</v>
      </c>
      <c r="J3403">
        <v>-337.37740000000002</v>
      </c>
      <c r="K3403">
        <v>1.1088229999999999</v>
      </c>
      <c r="L3403">
        <v>212.858</v>
      </c>
      <c r="M3403">
        <v>0.99993160000000003</v>
      </c>
      <c r="N3403">
        <v>0</v>
      </c>
      <c r="O3403">
        <v>9.6843829999999995E-3</v>
      </c>
      <c r="P3403">
        <v>0.99592999999999998</v>
      </c>
      <c r="Q3403">
        <v>9.0031680000000003E-2</v>
      </c>
      <c r="R3403">
        <v>-4.2382629999999999E-3</v>
      </c>
      <c r="S3403">
        <v>3.017029</v>
      </c>
      <c r="T3403">
        <v>-5.7814480000000001E-2</v>
      </c>
      <c r="U3403">
        <v>-9.9838259999999998E-2</v>
      </c>
      <c r="V3403">
        <v>1.3642029999999999E-2</v>
      </c>
      <c r="W3403">
        <v>9.6604930000000006E-2</v>
      </c>
      <c r="X3403">
        <v>0.99522929999999998</v>
      </c>
      <c r="Y3403">
        <v>4.2741609999999999E-2</v>
      </c>
      <c r="Z3403">
        <v>-5.9489379999999896E-4</v>
      </c>
      <c r="AA3403">
        <v>0.99908600000000003</v>
      </c>
      <c r="AB3403">
        <v>59</v>
      </c>
      <c r="AC3403">
        <v>57.282899999999998</v>
      </c>
      <c r="AD3403">
        <v>-1.10881551250899</v>
      </c>
      <c r="AE3403">
        <v>-1.9200000000000099</v>
      </c>
      <c r="AF3403">
        <v>2.4737455908015198</v>
      </c>
      <c r="AG3403">
        <v>-1.10881551250899</v>
      </c>
      <c r="AH3403">
        <v>57.240196114638302</v>
      </c>
      <c r="AI3403">
        <v>91.108718800267596</v>
      </c>
      <c r="AJ3403">
        <v>87.525392109704399</v>
      </c>
      <c r="AK3403">
        <v>57.304353589679799</v>
      </c>
      <c r="AL3403">
        <v>84.456299480960098</v>
      </c>
      <c r="AM3403">
        <v>89.214671639921804</v>
      </c>
      <c r="AN3403">
        <v>0.99999998853065697</v>
      </c>
    </row>
    <row r="3404" spans="1:40" x14ac:dyDescent="0.25">
      <c r="A3404" t="str">
        <f>"20190312172957903"</f>
        <v>20190312172957903</v>
      </c>
      <c r="B3404" t="str">
        <f>"1552382997891488"</f>
        <v>1552382997891488</v>
      </c>
      <c r="C3404" t="s">
        <v>40</v>
      </c>
      <c r="D3404">
        <v>3.1264479999999999</v>
      </c>
      <c r="E3404">
        <v>0.51232390000000005</v>
      </c>
      <c r="F3404" t="s">
        <v>48</v>
      </c>
      <c r="G3404">
        <v>-282.48700000000002</v>
      </c>
      <c r="H3404" s="1">
        <v>6.4133360000000002E-6</v>
      </c>
      <c r="I3404">
        <v>211.0487</v>
      </c>
      <c r="J3404">
        <v>-336.80509999999998</v>
      </c>
      <c r="K3404">
        <v>1.1088229999999999</v>
      </c>
      <c r="L3404">
        <v>212.86359999999999</v>
      </c>
      <c r="M3404">
        <v>0.99992499999999995</v>
      </c>
      <c r="N3404">
        <v>0</v>
      </c>
      <c r="O3404">
        <v>1.0329430000000001E-2</v>
      </c>
      <c r="P3404">
        <v>0.99591209999999997</v>
      </c>
      <c r="Q3404">
        <v>9.0220090000000003E-2</v>
      </c>
      <c r="R3404">
        <v>-4.4737409999999998E-3</v>
      </c>
      <c r="S3404">
        <v>3.0173030000000001</v>
      </c>
      <c r="T3404">
        <v>-6.0951110000000003E-2</v>
      </c>
      <c r="U3404">
        <v>-9.9456790000000003E-2</v>
      </c>
      <c r="V3404">
        <v>1.4518100000000001E-2</v>
      </c>
      <c r="W3404">
        <v>9.6826079999999995E-2</v>
      </c>
      <c r="X3404">
        <v>0.99519539999999995</v>
      </c>
      <c r="Y3404">
        <v>4.3255620000000002E-2</v>
      </c>
      <c r="Z3404">
        <v>-6.4532279999999999E-4</v>
      </c>
      <c r="AA3404">
        <v>0.99906379999999995</v>
      </c>
      <c r="AB3404">
        <v>59</v>
      </c>
      <c r="AC3404">
        <v>54.318099999999902</v>
      </c>
      <c r="AD3404">
        <v>-1.1088165866639901</v>
      </c>
      <c r="AE3404">
        <v>-1.81489999999999</v>
      </c>
      <c r="AF3404">
        <v>2.3749017960459202</v>
      </c>
      <c r="AG3404">
        <v>-1.1088165866639901</v>
      </c>
      <c r="AH3404">
        <v>54.273863664360199</v>
      </c>
      <c r="AI3404">
        <v>91.169273016390207</v>
      </c>
      <c r="AJ3404">
        <v>87.4944643200417</v>
      </c>
      <c r="AK3404">
        <v>54.337113558058</v>
      </c>
      <c r="AL3404">
        <v>84.443568761039302</v>
      </c>
      <c r="AM3404">
        <v>89.164217543952205</v>
      </c>
      <c r="AN3404">
        <v>0.99999997458846701</v>
      </c>
    </row>
    <row r="3405" spans="1:40" x14ac:dyDescent="0.25">
      <c r="A3405" t="str">
        <f>"20190312172957926"</f>
        <v>20190312172957926</v>
      </c>
      <c r="B3405" t="str">
        <f>"1552382997920768"</f>
        <v>1552382997920768</v>
      </c>
      <c r="C3405" t="s">
        <v>40</v>
      </c>
      <c r="D3405">
        <v>3.1645050000000001</v>
      </c>
      <c r="E3405">
        <v>0.51246049999999999</v>
      </c>
      <c r="F3405" t="s">
        <v>48</v>
      </c>
      <c r="G3405">
        <v>-283.61279999999999</v>
      </c>
      <c r="H3405" s="1">
        <v>5.9087919999999999E-6</v>
      </c>
      <c r="I3405">
        <v>211.09289999999999</v>
      </c>
      <c r="J3405">
        <v>-336.19409999999999</v>
      </c>
      <c r="K3405">
        <v>1.1088260000000001</v>
      </c>
      <c r="L3405">
        <v>212.8699</v>
      </c>
      <c r="M3405">
        <v>0.99991739999999996</v>
      </c>
      <c r="N3405">
        <v>0</v>
      </c>
      <c r="O3405">
        <v>1.1017219999999999E-2</v>
      </c>
      <c r="P3405">
        <v>0.99590290000000004</v>
      </c>
      <c r="Q3405">
        <v>9.0315969999999995E-2</v>
      </c>
      <c r="R3405">
        <v>-4.5572649999999996E-3</v>
      </c>
      <c r="S3405">
        <v>3.0175480000000001</v>
      </c>
      <c r="T3405">
        <v>-6.290221E-2</v>
      </c>
      <c r="U3405">
        <v>-0.1004486</v>
      </c>
      <c r="V3405">
        <v>1.528522E-2</v>
      </c>
      <c r="W3405">
        <v>9.6957550000000003E-2</v>
      </c>
      <c r="X3405">
        <v>0.99517109999999998</v>
      </c>
      <c r="Y3405">
        <v>4.426708E-2</v>
      </c>
      <c r="Z3405">
        <v>-6.9078899999999905E-4</v>
      </c>
      <c r="AA3405">
        <v>0.99901949999999995</v>
      </c>
      <c r="AB3405">
        <v>59</v>
      </c>
      <c r="AC3405">
        <v>52.581299999999999</v>
      </c>
      <c r="AD3405">
        <v>-1.108820091208</v>
      </c>
      <c r="AE3405">
        <v>-1.7770000000000099</v>
      </c>
      <c r="AF3405">
        <v>2.3551584619234101</v>
      </c>
      <c r="AG3405">
        <v>-1.108820091208</v>
      </c>
      <c r="AH3405">
        <v>52.535195257105201</v>
      </c>
      <c r="AI3405">
        <v>91.207905753378498</v>
      </c>
      <c r="AJ3405">
        <v>87.433142683225995</v>
      </c>
      <c r="AK3405">
        <v>52.599648231500602</v>
      </c>
      <c r="AL3405">
        <v>84.436000401498006</v>
      </c>
      <c r="AM3405">
        <v>89.120041030005794</v>
      </c>
      <c r="AN3405">
        <v>0.99999996136382896</v>
      </c>
    </row>
    <row r="3406" spans="1:40" x14ac:dyDescent="0.25">
      <c r="A3406" t="str">
        <f>"20190312172957949"</f>
        <v>20190312172957949</v>
      </c>
      <c r="B3406" t="str">
        <f>"1552382997941267"</f>
        <v>1552382997941267</v>
      </c>
      <c r="C3406" t="s">
        <v>40</v>
      </c>
      <c r="D3406">
        <v>3.1210110000000002</v>
      </c>
      <c r="E3406">
        <v>0.51254369999999905</v>
      </c>
      <c r="F3406" t="s">
        <v>48</v>
      </c>
      <c r="G3406">
        <v>-285.6044</v>
      </c>
      <c r="H3406" s="1">
        <v>5.0170590000000001E-6</v>
      </c>
      <c r="I3406">
        <v>211.16460000000001</v>
      </c>
      <c r="J3406">
        <v>-335.59300000000002</v>
      </c>
      <c r="K3406">
        <v>1.10883</v>
      </c>
      <c r="L3406">
        <v>212.8766</v>
      </c>
      <c r="M3406">
        <v>0.99990950000000001</v>
      </c>
      <c r="N3406">
        <v>0</v>
      </c>
      <c r="O3406">
        <v>1.1693729999999999E-2</v>
      </c>
      <c r="P3406">
        <v>0.99596549999999995</v>
      </c>
      <c r="Q3406">
        <v>8.9605610000000002E-2</v>
      </c>
      <c r="R3406">
        <v>-4.8538610000000001E-3</v>
      </c>
      <c r="S3406">
        <v>3.0178530000000001</v>
      </c>
      <c r="T3406">
        <v>-6.6145060000000006E-2</v>
      </c>
      <c r="U3406">
        <v>-0.1017303</v>
      </c>
      <c r="V3406">
        <v>1.6257210000000001E-2</v>
      </c>
      <c r="W3406">
        <v>9.628312E-2</v>
      </c>
      <c r="X3406">
        <v>0.99522120000000003</v>
      </c>
      <c r="Y3406">
        <v>4.5361730000000003E-2</v>
      </c>
      <c r="Z3406">
        <v>-7.5312950000000001E-4</v>
      </c>
      <c r="AA3406">
        <v>0.99897029999999998</v>
      </c>
      <c r="AB3406">
        <v>60</v>
      </c>
      <c r="AC3406">
        <v>49.988599999999998</v>
      </c>
      <c r="AD3406">
        <v>-1.108824982941</v>
      </c>
      <c r="AE3406">
        <v>-1.71199999999998</v>
      </c>
      <c r="AF3406">
        <v>2.2953210390740399</v>
      </c>
      <c r="AG3406">
        <v>-1.108824982941</v>
      </c>
      <c r="AH3406">
        <v>49.940618749665703</v>
      </c>
      <c r="AI3406">
        <v>91.270580823164494</v>
      </c>
      <c r="AJ3406">
        <v>87.368480289072707</v>
      </c>
      <c r="AK3406">
        <v>50.005633608771298</v>
      </c>
      <c r="AL3406">
        <v>84.474824179420906</v>
      </c>
      <c r="AM3406">
        <v>89.064141035725299</v>
      </c>
      <c r="AN3406">
        <v>0.99999998650167898</v>
      </c>
    </row>
    <row r="3407" spans="1:40" x14ac:dyDescent="0.25">
      <c r="A3407" t="str">
        <f>"20190312172957971"</f>
        <v>20190312172957971</v>
      </c>
      <c r="B3407" t="str">
        <f>"1552382997960784"</f>
        <v>1552382997960784</v>
      </c>
      <c r="C3407" t="s">
        <v>40</v>
      </c>
      <c r="D3407">
        <v>3.1316869999999999</v>
      </c>
      <c r="E3407">
        <v>0.51675079999999995</v>
      </c>
      <c r="F3407" t="s">
        <v>48</v>
      </c>
      <c r="G3407">
        <v>-287.32859999999999</v>
      </c>
      <c r="H3407" s="1">
        <v>4.2453039999999999E-6</v>
      </c>
      <c r="I3407">
        <v>211.22470000000001</v>
      </c>
      <c r="J3407">
        <v>-334.97910000000002</v>
      </c>
      <c r="K3407">
        <v>1.108832</v>
      </c>
      <c r="L3407">
        <v>212.88380000000001</v>
      </c>
      <c r="M3407">
        <v>0.99990089999999998</v>
      </c>
      <c r="N3407">
        <v>0</v>
      </c>
      <c r="O3407">
        <v>1.23839E-2</v>
      </c>
      <c r="P3407">
        <v>0.99602440000000003</v>
      </c>
      <c r="Q3407">
        <v>8.8976299999999994E-2</v>
      </c>
      <c r="R3407">
        <v>-4.316322E-3</v>
      </c>
      <c r="S3407">
        <v>3.0178829999999999</v>
      </c>
      <c r="T3407">
        <v>-6.933272E-2</v>
      </c>
      <c r="U3407">
        <v>-0.1032867</v>
      </c>
      <c r="V3407">
        <v>1.64084E-2</v>
      </c>
      <c r="W3407">
        <v>9.5687460000000002E-2</v>
      </c>
      <c r="X3407">
        <v>0.99527619999999895</v>
      </c>
      <c r="Y3407">
        <v>4.6563640000000003E-2</v>
      </c>
      <c r="Z3407">
        <v>-8.1905070000000001E-4</v>
      </c>
      <c r="AA3407">
        <v>0.998915</v>
      </c>
      <c r="AB3407">
        <v>60</v>
      </c>
      <c r="AC3407">
        <v>47.650500000000001</v>
      </c>
      <c r="AD3407">
        <v>-1.1088277546959999</v>
      </c>
      <c r="AE3407">
        <v>-1.65909999999999</v>
      </c>
      <c r="AF3407">
        <v>2.24786929025798</v>
      </c>
      <c r="AG3407">
        <v>-1.1088277546959999</v>
      </c>
      <c r="AH3407">
        <v>47.600555061637003</v>
      </c>
      <c r="AI3407">
        <v>91.332946224763404</v>
      </c>
      <c r="AJ3407">
        <v>87.296295986366104</v>
      </c>
      <c r="AK3407">
        <v>47.6665003698783</v>
      </c>
      <c r="AL3407">
        <v>84.509111480703098</v>
      </c>
      <c r="AM3407">
        <v>89.055491423071899</v>
      </c>
      <c r="AN3407">
        <v>1.0000000199391199</v>
      </c>
    </row>
    <row r="3408" spans="1:40" x14ac:dyDescent="0.25">
      <c r="A3408" t="str">
        <f>"20190312172957994"</f>
        <v>20190312172957994</v>
      </c>
      <c r="B3408" t="str">
        <f>"1552382997981280"</f>
        <v>1552382997981280</v>
      </c>
      <c r="C3408" t="s">
        <v>40</v>
      </c>
      <c r="D3408">
        <v>3.1230739999999999</v>
      </c>
      <c r="E3408">
        <v>0.51613909999999996</v>
      </c>
      <c r="F3408" t="s">
        <v>48</v>
      </c>
      <c r="G3408">
        <v>-291.9178</v>
      </c>
      <c r="H3408" s="1">
        <v>1.2345940000000001E-6</v>
      </c>
      <c r="I3408">
        <v>210.95939999999999</v>
      </c>
      <c r="J3408">
        <v>-334.35359999999997</v>
      </c>
      <c r="K3408">
        <v>1.10883</v>
      </c>
      <c r="L3408">
        <v>212.89160000000001</v>
      </c>
      <c r="M3408">
        <v>0.9998918</v>
      </c>
      <c r="N3408">
        <v>0</v>
      </c>
      <c r="O3408">
        <v>1.30867E-2</v>
      </c>
      <c r="P3408">
        <v>0.99610790000000005</v>
      </c>
      <c r="Q3408">
        <v>8.8083880000000003E-2</v>
      </c>
      <c r="R3408">
        <v>-3.208495E-3</v>
      </c>
      <c r="S3408">
        <v>3.0183110000000002</v>
      </c>
      <c r="T3408">
        <v>-7.7721600000000002E-2</v>
      </c>
      <c r="U3408">
        <v>-0.1348877</v>
      </c>
      <c r="V3408">
        <v>1.6002990000000002E-2</v>
      </c>
      <c r="W3408">
        <v>9.4827359999999999E-2</v>
      </c>
      <c r="X3408">
        <v>0.9953651</v>
      </c>
      <c r="Y3408">
        <v>5.7691939999999997E-2</v>
      </c>
      <c r="Z3408">
        <v>-1.0790750000000001E-3</v>
      </c>
      <c r="AA3408">
        <v>0.9983339</v>
      </c>
      <c r="AB3408">
        <v>60</v>
      </c>
      <c r="AC3408">
        <v>42.435799999999901</v>
      </c>
      <c r="AD3408">
        <v>-1.1088287654060001</v>
      </c>
      <c r="AE3408">
        <v>-1.9322000000000199</v>
      </c>
      <c r="AF3408">
        <v>2.4856980353713398</v>
      </c>
      <c r="AG3408">
        <v>-1.1088287654060001</v>
      </c>
      <c r="AH3408">
        <v>42.378005287458599</v>
      </c>
      <c r="AI3408">
        <v>91.496242764269198</v>
      </c>
      <c r="AJ3408">
        <v>86.643140418614905</v>
      </c>
      <c r="AK3408">
        <v>42.465321476446</v>
      </c>
      <c r="AL3408">
        <v>84.558616605686296</v>
      </c>
      <c r="AM3408">
        <v>89.078906025036005</v>
      </c>
      <c r="AN3408">
        <v>1.0000000030957501</v>
      </c>
    </row>
    <row r="3409" spans="1:40" x14ac:dyDescent="0.25">
      <c r="A3409" t="str">
        <f>"20190312172958015"</f>
        <v>20190312172958015</v>
      </c>
      <c r="B3409" t="str">
        <f>"1552382998011536"</f>
        <v>1552382998011536</v>
      </c>
      <c r="C3409" t="s">
        <v>40</v>
      </c>
      <c r="D3409">
        <v>3.140755</v>
      </c>
      <c r="E3409">
        <v>0.51573970000000002</v>
      </c>
      <c r="F3409" t="s">
        <v>48</v>
      </c>
      <c r="G3409">
        <v>-294.04199999999997</v>
      </c>
      <c r="H3409" s="1">
        <v>1.611394E-6</v>
      </c>
      <c r="I3409">
        <v>211.19730000000001</v>
      </c>
      <c r="J3409">
        <v>-333.81270000000001</v>
      </c>
      <c r="K3409">
        <v>1.10883</v>
      </c>
      <c r="L3409">
        <v>212.89869999999999</v>
      </c>
      <c r="M3409">
        <v>0.99988350000000004</v>
      </c>
      <c r="N3409">
        <v>0</v>
      </c>
      <c r="O3409">
        <v>1.3694019999999999E-2</v>
      </c>
      <c r="P3409">
        <v>0.99617560000000005</v>
      </c>
      <c r="Q3409">
        <v>8.7336739999999996E-2</v>
      </c>
      <c r="R3409">
        <v>-2.5513720000000001E-3</v>
      </c>
      <c r="S3409">
        <v>3.0186769999999998</v>
      </c>
      <c r="T3409">
        <v>-8.3033079999999995E-2</v>
      </c>
      <c r="U3409">
        <v>-0.12687680000000001</v>
      </c>
      <c r="V3409">
        <v>1.595299E-2</v>
      </c>
      <c r="W3409">
        <v>9.4107709999999997E-2</v>
      </c>
      <c r="X3409">
        <v>0.99543419999999905</v>
      </c>
      <c r="Y3409">
        <v>5.5645670000000001E-2</v>
      </c>
      <c r="Z3409">
        <v>-1.141289E-3</v>
      </c>
      <c r="AA3409">
        <v>0.9984499</v>
      </c>
      <c r="AB3409">
        <v>60</v>
      </c>
      <c r="AC3409">
        <v>39.770699999999898</v>
      </c>
      <c r="AD3409">
        <v>-1.108828388606</v>
      </c>
      <c r="AE3409">
        <v>-1.70139999999997</v>
      </c>
      <c r="AF3409">
        <v>2.2441323659353398</v>
      </c>
      <c r="AG3409">
        <v>-1.108828388606</v>
      </c>
      <c r="AH3409">
        <v>39.712857723274901</v>
      </c>
      <c r="AI3409">
        <v>91.596801990546496</v>
      </c>
      <c r="AJ3409">
        <v>86.765714690032993</v>
      </c>
      <c r="AK3409">
        <v>39.791666200604098</v>
      </c>
      <c r="AL3409">
        <v>84.600034736596498</v>
      </c>
      <c r="AM3409">
        <v>89.081847141284797</v>
      </c>
      <c r="AN3409">
        <v>1.00000000275051</v>
      </c>
    </row>
    <row r="3410" spans="1:40" x14ac:dyDescent="0.25">
      <c r="A3410" t="str">
        <f>"20190312172958037"</f>
        <v>20190312172958037</v>
      </c>
      <c r="B3410" t="str">
        <f>"1552382998031057"</f>
        <v>1552382998031057</v>
      </c>
      <c r="C3410" t="s">
        <v>40</v>
      </c>
      <c r="D3410">
        <v>3.173835</v>
      </c>
      <c r="E3410">
        <v>0.51558079999999995</v>
      </c>
      <c r="F3410" t="s">
        <v>48</v>
      </c>
      <c r="G3410">
        <v>-296.5351</v>
      </c>
      <c r="H3410" s="1">
        <v>2.0536320000000002E-6</v>
      </c>
      <c r="I3410">
        <v>211.399</v>
      </c>
      <c r="J3410">
        <v>-333.19529999999997</v>
      </c>
      <c r="K3410">
        <v>1.1088359999999999</v>
      </c>
      <c r="L3410">
        <v>212.90710000000001</v>
      </c>
      <c r="M3410">
        <v>0.99987360000000003</v>
      </c>
      <c r="N3410">
        <v>0</v>
      </c>
      <c r="O3410">
        <v>1.438651E-2</v>
      </c>
      <c r="P3410">
        <v>0.99616349999999998</v>
      </c>
      <c r="Q3410">
        <v>8.7491589999999994E-2</v>
      </c>
      <c r="R3410">
        <v>-1.9535310000000001E-3</v>
      </c>
      <c r="S3410">
        <v>3.019104</v>
      </c>
      <c r="T3410">
        <v>-8.9803699999999903E-2</v>
      </c>
      <c r="U3410">
        <v>-0.121459999999999</v>
      </c>
      <c r="V3410">
        <v>1.6043600000000002E-2</v>
      </c>
      <c r="W3410">
        <v>9.4293779999999994E-2</v>
      </c>
      <c r="X3410">
        <v>0.99541519999999994</v>
      </c>
      <c r="Y3410">
        <v>5.4538570000000001E-2</v>
      </c>
      <c r="Z3410">
        <v>-1.238313E-3</v>
      </c>
      <c r="AA3410">
        <v>0.99851089999999998</v>
      </c>
      <c r="AB3410">
        <v>60</v>
      </c>
      <c r="AC3410">
        <v>36.660199999999897</v>
      </c>
      <c r="AD3410">
        <v>-1.1088339463679999</v>
      </c>
      <c r="AE3410">
        <v>-1.50810000000001</v>
      </c>
      <c r="AF3410">
        <v>2.0335111462532498</v>
      </c>
      <c r="AG3410">
        <v>-1.1088339463679999</v>
      </c>
      <c r="AH3410">
        <v>36.601281415232002</v>
      </c>
      <c r="AI3410">
        <v>91.732571667898398</v>
      </c>
      <c r="AJ3410">
        <v>86.820003485404001</v>
      </c>
      <c r="AK3410">
        <v>36.6744936098587</v>
      </c>
      <c r="AL3410">
        <v>84.589326441820901</v>
      </c>
      <c r="AM3410">
        <v>89.076615483364606</v>
      </c>
      <c r="AN3410">
        <v>1.0000000672193401</v>
      </c>
    </row>
    <row r="3411" spans="1:40" x14ac:dyDescent="0.25">
      <c r="A3411" t="str">
        <f>"20190312172958060"</f>
        <v>20190312172958060</v>
      </c>
      <c r="B3411" t="str">
        <f>"1552382998050579"</f>
        <v>1552382998050579</v>
      </c>
      <c r="C3411" t="s">
        <v>40</v>
      </c>
      <c r="D3411">
        <v>3.196237</v>
      </c>
      <c r="E3411">
        <v>0.51568939999999996</v>
      </c>
      <c r="F3411" t="s">
        <v>48</v>
      </c>
      <c r="G3411">
        <v>-296.53019999999998</v>
      </c>
      <c r="H3411" s="1">
        <v>2.052759E-6</v>
      </c>
      <c r="I3411">
        <v>211.4709</v>
      </c>
      <c r="J3411">
        <v>-332.5951</v>
      </c>
      <c r="K3411">
        <v>1.10884</v>
      </c>
      <c r="L3411">
        <v>212.91569999999999</v>
      </c>
      <c r="M3411">
        <v>0.99986330000000001</v>
      </c>
      <c r="N3411">
        <v>0</v>
      </c>
      <c r="O3411">
        <v>1.5059629999999999E-2</v>
      </c>
      <c r="P3411">
        <v>0.99610019999999999</v>
      </c>
      <c r="Q3411">
        <v>8.8220590000000002E-2</v>
      </c>
      <c r="R3411">
        <v>-1.175585E-3</v>
      </c>
      <c r="S3411">
        <v>3.0193479999999999</v>
      </c>
      <c r="T3411">
        <v>-9.1311690000000001E-2</v>
      </c>
      <c r="U3411">
        <v>-0.118270899999999</v>
      </c>
      <c r="V3411">
        <v>1.593261E-2</v>
      </c>
      <c r="W3411">
        <v>9.505094E-2</v>
      </c>
      <c r="X3411">
        <v>0.99534489999999998</v>
      </c>
      <c r="Y3411">
        <v>5.4153380000000001E-2</v>
      </c>
      <c r="Z3411">
        <v>-1.2735470000000001E-3</v>
      </c>
      <c r="AA3411">
        <v>0.99853179999999997</v>
      </c>
      <c r="AB3411">
        <v>60</v>
      </c>
      <c r="AC3411">
        <v>36.064900000000002</v>
      </c>
      <c r="AD3411">
        <v>-1.1088379472409999</v>
      </c>
      <c r="AE3411">
        <v>-1.4447999999999801</v>
      </c>
      <c r="AF3411">
        <v>1.9858986012245201</v>
      </c>
      <c r="AG3411">
        <v>-1.1088379472409999</v>
      </c>
      <c r="AH3411">
        <v>36.005070468244703</v>
      </c>
      <c r="AI3411">
        <v>91.761288982014094</v>
      </c>
      <c r="AJ3411">
        <v>86.842988135921104</v>
      </c>
      <c r="AK3411">
        <v>36.076840414188901</v>
      </c>
      <c r="AL3411">
        <v>84.545748271041504</v>
      </c>
      <c r="AM3411">
        <v>89.082937629087994</v>
      </c>
      <c r="AN3411">
        <v>0.99999999960615205</v>
      </c>
    </row>
    <row r="3412" spans="1:40" x14ac:dyDescent="0.25">
      <c r="A3412" t="str">
        <f>"20190312172958081"</f>
        <v>20190312172958081</v>
      </c>
      <c r="B3412" t="str">
        <f>"1552382998071072"</f>
        <v>1552382998071072</v>
      </c>
      <c r="C3412" t="s">
        <v>40</v>
      </c>
      <c r="D3412">
        <v>3.2090360000000002</v>
      </c>
      <c r="E3412">
        <v>0.51587709999999998</v>
      </c>
      <c r="F3412" t="s">
        <v>48</v>
      </c>
      <c r="G3412">
        <v>-295.91759999999999</v>
      </c>
      <c r="H3412" s="1">
        <v>1.9440899999999999E-6</v>
      </c>
      <c r="I3412">
        <v>211.49940000000001</v>
      </c>
      <c r="J3412">
        <v>-332.0163</v>
      </c>
      <c r="K3412">
        <v>1.1088420000000001</v>
      </c>
      <c r="L3412">
        <v>212.92449999999999</v>
      </c>
      <c r="M3412">
        <v>0.99985329999999994</v>
      </c>
      <c r="N3412">
        <v>0</v>
      </c>
      <c r="O3412">
        <v>1.570802E-2</v>
      </c>
      <c r="P3412">
        <v>0.9960601</v>
      </c>
      <c r="Q3412">
        <v>8.8679659999999993E-2</v>
      </c>
      <c r="R3412">
        <v>-7.9131729999999895E-4</v>
      </c>
      <c r="S3412">
        <v>3.0196529999999999</v>
      </c>
      <c r="T3412">
        <v>-9.1290350000000006E-2</v>
      </c>
      <c r="U3412">
        <v>-0.11660769999999999</v>
      </c>
      <c r="V3412">
        <v>1.619145E-2</v>
      </c>
      <c r="W3412">
        <v>9.5538419999999999E-2</v>
      </c>
      <c r="X3412">
        <v>0.99529400000000001</v>
      </c>
      <c r="Y3412">
        <v>5.4247490000000002E-2</v>
      </c>
      <c r="Z3412">
        <v>-1.294147E-3</v>
      </c>
      <c r="AA3412">
        <v>0.99852669999999999</v>
      </c>
      <c r="AB3412">
        <v>60</v>
      </c>
      <c r="AC3412">
        <v>36.098700000000001</v>
      </c>
      <c r="AD3412">
        <v>-1.10884005591</v>
      </c>
      <c r="AE3412">
        <v>-1.42509999999998</v>
      </c>
      <c r="AF3412">
        <v>1.9901016950917401</v>
      </c>
      <c r="AG3412">
        <v>-1.10884005591</v>
      </c>
      <c r="AH3412">
        <v>36.037910107349497</v>
      </c>
      <c r="AI3412">
        <v>91.759681934834106</v>
      </c>
      <c r="AJ3412">
        <v>86.839197038543105</v>
      </c>
      <c r="AK3412">
        <v>36.109846246305203</v>
      </c>
      <c r="AL3412">
        <v>84.517689759073505</v>
      </c>
      <c r="AM3412">
        <v>89.067994055993793</v>
      </c>
      <c r="AN3412">
        <v>0.99999994959259797</v>
      </c>
    </row>
    <row r="3413" spans="1:40" x14ac:dyDescent="0.25">
      <c r="A3413" t="str">
        <f>"20190312172958104"</f>
        <v>20190312172958104</v>
      </c>
      <c r="B3413" t="str">
        <f>"1552382998090596"</f>
        <v>1552382998090596</v>
      </c>
      <c r="C3413" t="s">
        <v>40</v>
      </c>
      <c r="D3413">
        <v>3.1605539999999999</v>
      </c>
      <c r="E3413">
        <v>0.51597440000000006</v>
      </c>
      <c r="F3413" t="s">
        <v>48</v>
      </c>
      <c r="G3413">
        <v>-295.42410000000001</v>
      </c>
      <c r="H3413" s="1">
        <v>1.8565510000000001E-6</v>
      </c>
      <c r="I3413">
        <v>211.50710000000001</v>
      </c>
      <c r="J3413">
        <v>-331.42540000000002</v>
      </c>
      <c r="K3413">
        <v>1.10884</v>
      </c>
      <c r="L3413">
        <v>212.93369999999999</v>
      </c>
      <c r="M3413">
        <v>0.99984249999999997</v>
      </c>
      <c r="N3413">
        <v>0</v>
      </c>
      <c r="O3413">
        <v>1.6369160000000001E-2</v>
      </c>
      <c r="P3413">
        <v>0.99602380000000001</v>
      </c>
      <c r="Q3413">
        <v>8.9089189999999999E-2</v>
      </c>
      <c r="R3413">
        <v>-1.210936E-4</v>
      </c>
      <c r="S3413">
        <v>3.0199280000000002</v>
      </c>
      <c r="T3413">
        <v>-9.1511609999999993E-2</v>
      </c>
      <c r="U3413">
        <v>-0.11697390000000001</v>
      </c>
      <c r="V3413">
        <v>1.6177560000000001E-2</v>
      </c>
      <c r="W3413">
        <v>9.5975089999999999E-2</v>
      </c>
      <c r="X3413">
        <v>0.99525229999999998</v>
      </c>
      <c r="Y3413">
        <v>5.5024360000000001E-2</v>
      </c>
      <c r="Z3413">
        <v>-1.3289489999999901E-3</v>
      </c>
      <c r="AA3413">
        <v>0.99848409999999999</v>
      </c>
      <c r="AB3413">
        <v>60</v>
      </c>
      <c r="AC3413">
        <v>36.001300000000001</v>
      </c>
      <c r="AD3413">
        <v>-1.108838143449</v>
      </c>
      <c r="AE3413">
        <v>-1.4265999999999699</v>
      </c>
      <c r="AF3413">
        <v>2.01382635209157</v>
      </c>
      <c r="AG3413">
        <v>-1.108838143449</v>
      </c>
      <c r="AH3413">
        <v>35.939083708876502</v>
      </c>
      <c r="AI3413">
        <v>91.764435261665795</v>
      </c>
      <c r="AJ3413">
        <v>86.792817098344898</v>
      </c>
      <c r="AK3413">
        <v>36.012536101174199</v>
      </c>
      <c r="AL3413">
        <v>84.492555386346794</v>
      </c>
      <c r="AM3413">
        <v>89.068754436237995</v>
      </c>
      <c r="AN3413">
        <v>1.0000000360016701</v>
      </c>
    </row>
    <row r="3414" spans="1:40" x14ac:dyDescent="0.25">
      <c r="A3414" t="str">
        <f>"20190312172958126"</f>
        <v>20190312172958126</v>
      </c>
      <c r="B3414" t="str">
        <f>"1552382998120849"</f>
        <v>1552382998120849</v>
      </c>
      <c r="C3414" t="s">
        <v>40</v>
      </c>
      <c r="D3414">
        <v>3.2016689999999999</v>
      </c>
      <c r="E3414">
        <v>0.51620410000000005</v>
      </c>
      <c r="F3414" t="s">
        <v>48</v>
      </c>
      <c r="G3414">
        <v>-294.99549999999999</v>
      </c>
      <c r="H3414" s="1">
        <v>1.780533E-6</v>
      </c>
      <c r="I3414">
        <v>211.5412</v>
      </c>
      <c r="J3414">
        <v>-330.79790000000003</v>
      </c>
      <c r="K3414">
        <v>1.1088420000000001</v>
      </c>
      <c r="L3414">
        <v>212.94399999999999</v>
      </c>
      <c r="M3414">
        <v>0.99983060000000001</v>
      </c>
      <c r="N3414">
        <v>0</v>
      </c>
      <c r="O3414">
        <v>1.70709E-2</v>
      </c>
      <c r="P3414">
        <v>0.99597820000000004</v>
      </c>
      <c r="Q3414">
        <v>8.9597780000000002E-2</v>
      </c>
      <c r="R3414">
        <v>2.4775630000000001E-4</v>
      </c>
      <c r="S3414">
        <v>3.0201720000000001</v>
      </c>
      <c r="T3414">
        <v>-9.1926690000000005E-2</v>
      </c>
      <c r="U3414">
        <v>-0.115448</v>
      </c>
      <c r="V3414">
        <v>1.650476E-2</v>
      </c>
      <c r="W3414">
        <v>9.6512829999999994E-2</v>
      </c>
      <c r="X3414">
        <v>0.99519489999999999</v>
      </c>
      <c r="Y3414">
        <v>5.5217589999999997E-2</v>
      </c>
      <c r="Z3414">
        <v>-1.359166E-3</v>
      </c>
      <c r="AA3414">
        <v>0.99847339999999996</v>
      </c>
      <c r="AB3414">
        <v>60</v>
      </c>
      <c r="AC3414">
        <v>35.802399999999999</v>
      </c>
      <c r="AD3414">
        <v>-1.108840219467</v>
      </c>
      <c r="AE3414">
        <v>-1.40280000000001</v>
      </c>
      <c r="AF3414">
        <v>2.0118623983202002</v>
      </c>
      <c r="AG3414">
        <v>-1.108840219467</v>
      </c>
      <c r="AH3414">
        <v>35.739006396635901</v>
      </c>
      <c r="AI3414">
        <v>91.774284418215203</v>
      </c>
      <c r="AJ3414">
        <v>86.778038755668305</v>
      </c>
      <c r="AK3414">
        <v>35.812758832026098</v>
      </c>
      <c r="AL3414">
        <v>84.461601321840604</v>
      </c>
      <c r="AM3414">
        <v>89.049868115831998</v>
      </c>
      <c r="AN3414">
        <v>1.0000000112216301</v>
      </c>
    </row>
    <row r="3415" spans="1:40" x14ac:dyDescent="0.25">
      <c r="A3415" t="str">
        <f>"20190312172958139"</f>
        <v>20190312172958139</v>
      </c>
      <c r="B3415" t="str">
        <f>"1552382998130609"</f>
        <v>1552382998130609</v>
      </c>
      <c r="C3415" t="s">
        <v>40</v>
      </c>
      <c r="D3415">
        <v>3.2017679999999999</v>
      </c>
      <c r="E3415">
        <v>0.5162641</v>
      </c>
      <c r="F3415" t="s">
        <v>48</v>
      </c>
      <c r="G3415">
        <v>-294.26420000000002</v>
      </c>
      <c r="H3415" s="1">
        <v>1.6508069999999999E-6</v>
      </c>
      <c r="I3415">
        <v>211.53890000000001</v>
      </c>
      <c r="J3415">
        <v>-330.44349999999997</v>
      </c>
      <c r="K3415">
        <v>1.108849</v>
      </c>
      <c r="L3415">
        <v>212.95</v>
      </c>
      <c r="M3415">
        <v>0.99982360000000003</v>
      </c>
      <c r="N3415">
        <v>0</v>
      </c>
      <c r="O3415">
        <v>1.7466820000000001E-2</v>
      </c>
      <c r="P3415">
        <v>0.99595880000000003</v>
      </c>
      <c r="Q3415">
        <v>8.9810559999999998E-2</v>
      </c>
      <c r="R3415">
        <v>3.4538420000000003E-4</v>
      </c>
      <c r="S3415">
        <v>3.0203859999999998</v>
      </c>
      <c r="T3415">
        <v>-9.1672299999999998E-2</v>
      </c>
      <c r="U3415">
        <v>-0.1161652</v>
      </c>
      <c r="V3415">
        <v>1.6800229999999999E-2</v>
      </c>
      <c r="W3415">
        <v>9.6742069999999999E-2</v>
      </c>
      <c r="X3415">
        <v>0.99516769999999999</v>
      </c>
      <c r="Y3415">
        <v>5.5846720000000002E-2</v>
      </c>
      <c r="Z3415">
        <v>-1.376857E-3</v>
      </c>
      <c r="AA3415">
        <v>0.99843839999999995</v>
      </c>
      <c r="AB3415">
        <v>61</v>
      </c>
      <c r="AC3415">
        <v>36.179299999999898</v>
      </c>
      <c r="AD3415">
        <v>-1.108847349193</v>
      </c>
      <c r="AE3415">
        <v>-1.41109999999997</v>
      </c>
      <c r="AF3415">
        <v>2.0409228933935601</v>
      </c>
      <c r="AG3415">
        <v>-1.108847349193</v>
      </c>
      <c r="AH3415">
        <v>36.115259321368001</v>
      </c>
      <c r="AI3415">
        <v>91.755801107182506</v>
      </c>
      <c r="AJ3415">
        <v>86.765576982103994</v>
      </c>
      <c r="AK3415">
        <v>36.189872403066701</v>
      </c>
      <c r="AL3415">
        <v>84.448405099837998</v>
      </c>
      <c r="AM3415">
        <v>89.032835525480095</v>
      </c>
      <c r="AN3415">
        <v>1.0000000134796101</v>
      </c>
    </row>
    <row r="3416" spans="1:40" x14ac:dyDescent="0.25">
      <c r="A3416" t="str">
        <f>"20190312172958161"</f>
        <v>20190312172958161</v>
      </c>
      <c r="B3416" t="str">
        <f>"1552382998151108"</f>
        <v>1552382998151108</v>
      </c>
      <c r="C3416" t="s">
        <v>40</v>
      </c>
      <c r="D3416">
        <v>3.1530200000000002</v>
      </c>
      <c r="E3416">
        <v>0.51639409999999997</v>
      </c>
      <c r="F3416" t="s">
        <v>48</v>
      </c>
      <c r="G3416">
        <v>-293.5874</v>
      </c>
      <c r="H3416" s="1">
        <v>1.530754E-6</v>
      </c>
      <c r="I3416">
        <v>211.53270000000001</v>
      </c>
      <c r="J3416">
        <v>-329.86430000000001</v>
      </c>
      <c r="K3416">
        <v>1.1088530000000001</v>
      </c>
      <c r="L3416">
        <v>212.96010000000001</v>
      </c>
      <c r="M3416">
        <v>0.99981180000000003</v>
      </c>
      <c r="N3416">
        <v>0</v>
      </c>
      <c r="O3416">
        <v>1.8113839999999999E-2</v>
      </c>
      <c r="P3416">
        <v>0.99591240000000003</v>
      </c>
      <c r="Q3416">
        <v>9.0325619999999995E-2</v>
      </c>
      <c r="R3416">
        <v>1.3425199999999999E-4</v>
      </c>
      <c r="S3416">
        <v>3.0203859999999998</v>
      </c>
      <c r="T3416">
        <v>-9.0870859999999998E-2</v>
      </c>
      <c r="U3416">
        <v>-0.1161499</v>
      </c>
      <c r="V3416">
        <v>1.7652640000000001E-2</v>
      </c>
      <c r="W3416">
        <v>9.7284529999999994E-2</v>
      </c>
      <c r="X3416">
        <v>0.99509999999999998</v>
      </c>
      <c r="Y3416">
        <v>5.6487809999999999E-2</v>
      </c>
      <c r="Z3416">
        <v>-1.3939200000000001E-3</v>
      </c>
      <c r="AA3416">
        <v>0.99840229999999996</v>
      </c>
      <c r="AB3416">
        <v>61</v>
      </c>
      <c r="AC3416">
        <v>36.276899999999998</v>
      </c>
      <c r="AD3416">
        <v>-1.1088514692460001</v>
      </c>
      <c r="AE3416">
        <v>-1.4274</v>
      </c>
      <c r="AF3416">
        <v>2.0823530780534898</v>
      </c>
      <c r="AG3416">
        <v>-1.1088514692460001</v>
      </c>
      <c r="AH3416">
        <v>36.211311541767898</v>
      </c>
      <c r="AI3416">
        <v>91.751054299699504</v>
      </c>
      <c r="AJ3416">
        <v>86.708796702583896</v>
      </c>
      <c r="AK3416">
        <v>36.2880810941761</v>
      </c>
      <c r="AL3416">
        <v>84.417176791458104</v>
      </c>
      <c r="AM3416">
        <v>88.983704458041601</v>
      </c>
      <c r="AN3416">
        <v>0.99999995273814402</v>
      </c>
    </row>
    <row r="3417" spans="1:40" x14ac:dyDescent="0.25">
      <c r="A3417" t="str">
        <f>"20190312172958184"</f>
        <v>20190312172958184</v>
      </c>
      <c r="B3417" t="str">
        <f>"1552382998170625"</f>
        <v>1552382998170625</v>
      </c>
      <c r="C3417" t="s">
        <v>40</v>
      </c>
      <c r="D3417">
        <v>3.1914349999999998</v>
      </c>
      <c r="E3417">
        <v>0.51745750000000001</v>
      </c>
      <c r="F3417" t="s">
        <v>48</v>
      </c>
      <c r="G3417">
        <v>-292.91019999999997</v>
      </c>
      <c r="H3417" s="1">
        <v>1.410636E-6</v>
      </c>
      <c r="I3417">
        <v>211.51929999999999</v>
      </c>
      <c r="J3417">
        <v>-329.2466</v>
      </c>
      <c r="K3417">
        <v>1.1088530000000001</v>
      </c>
      <c r="L3417">
        <v>212.97130000000001</v>
      </c>
      <c r="M3417">
        <v>0.99979890000000005</v>
      </c>
      <c r="N3417">
        <v>0</v>
      </c>
      <c r="O3417">
        <v>1.8802929999999999E-2</v>
      </c>
      <c r="P3417">
        <v>0.99583670000000002</v>
      </c>
      <c r="Q3417">
        <v>9.1155829999999993E-2</v>
      </c>
      <c r="R3417" s="1">
        <v>6.4914579999999995E-5</v>
      </c>
      <c r="S3417">
        <v>3.0205380000000002</v>
      </c>
      <c r="T3417">
        <v>-9.0634820000000005E-2</v>
      </c>
      <c r="U3417">
        <v>-0.11776730000000001</v>
      </c>
      <c r="V3417">
        <v>1.8403820000000001E-2</v>
      </c>
      <c r="W3417">
        <v>9.8145369999999996E-2</v>
      </c>
      <c r="X3417">
        <v>0.99500189999999999</v>
      </c>
      <c r="Y3417">
        <v>5.7707090000000003E-2</v>
      </c>
      <c r="Z3417">
        <v>-1.429165E-3</v>
      </c>
      <c r="AA3417">
        <v>0.99833260000000001</v>
      </c>
      <c r="AB3417">
        <v>61</v>
      </c>
      <c r="AC3417">
        <v>36.336399999999998</v>
      </c>
      <c r="AD3417">
        <v>-1.1088515893639901</v>
      </c>
      <c r="AE3417">
        <v>-1.4520000000000199</v>
      </c>
      <c r="AF3417">
        <v>2.1330074976702198</v>
      </c>
      <c r="AG3417">
        <v>-1.1088515893639901</v>
      </c>
      <c r="AH3417">
        <v>36.268951867849502</v>
      </c>
      <c r="AI3417">
        <v>91.748141181450606</v>
      </c>
      <c r="AJ3417">
        <v>86.634263923226598</v>
      </c>
      <c r="AK3417">
        <v>36.348537005287199</v>
      </c>
      <c r="AL3417">
        <v>84.367617371697193</v>
      </c>
      <c r="AM3417">
        <v>88.940362837800805</v>
      </c>
      <c r="AN3417">
        <v>0.99999999762331904</v>
      </c>
    </row>
    <row r="3418" spans="1:40" x14ac:dyDescent="0.25">
      <c r="A3418" t="str">
        <f>"20190312172958204"</f>
        <v>20190312172958204</v>
      </c>
      <c r="B3418" t="str">
        <f>"1552382998191121"</f>
        <v>1552382998191121</v>
      </c>
      <c r="C3418" t="s">
        <v>40</v>
      </c>
      <c r="D3418">
        <v>3.171421</v>
      </c>
      <c r="E3418">
        <v>0.51902429999999999</v>
      </c>
      <c r="F3418" t="s">
        <v>48</v>
      </c>
      <c r="G3418">
        <v>-291.5034</v>
      </c>
      <c r="H3418" s="1">
        <v>1.161094E-6</v>
      </c>
      <c r="I3418">
        <v>211.3903</v>
      </c>
      <c r="J3418">
        <v>-328.69749999999999</v>
      </c>
      <c r="K3418">
        <v>1.1088559999999901</v>
      </c>
      <c r="L3418">
        <v>212.98159999999999</v>
      </c>
      <c r="M3418">
        <v>0.99978710000000004</v>
      </c>
      <c r="N3418">
        <v>0</v>
      </c>
      <c r="O3418">
        <v>1.941466E-2</v>
      </c>
      <c r="P3418">
        <v>0.99581580000000003</v>
      </c>
      <c r="Q3418">
        <v>9.1385129999999995E-2</v>
      </c>
      <c r="R3418" s="1">
        <v>2.8733630000000001E-5</v>
      </c>
      <c r="S3418">
        <v>3.0206300000000001</v>
      </c>
      <c r="T3418">
        <v>-8.8742730000000006E-2</v>
      </c>
      <c r="U3418">
        <v>-0.1265259</v>
      </c>
      <c r="V3418">
        <v>1.9047339999999999E-2</v>
      </c>
      <c r="W3418">
        <v>9.8404000000000005E-2</v>
      </c>
      <c r="X3418">
        <v>0.99496419999999997</v>
      </c>
      <c r="Y3418">
        <v>6.1206070000000001E-2</v>
      </c>
      <c r="Z3418">
        <v>-1.468549E-3</v>
      </c>
      <c r="AA3418">
        <v>0.99812409999999996</v>
      </c>
      <c r="AB3418">
        <v>61</v>
      </c>
      <c r="AC3418">
        <v>37.194099999999899</v>
      </c>
      <c r="AD3418">
        <v>-1.10885483890599</v>
      </c>
      <c r="AE3418">
        <v>-1.59129999999998</v>
      </c>
      <c r="AF3418">
        <v>2.3110781682102499</v>
      </c>
      <c r="AG3418">
        <v>-1.10885483890599</v>
      </c>
      <c r="AH3418">
        <v>37.123259268435497</v>
      </c>
      <c r="AI3418">
        <v>91.707586351134395</v>
      </c>
      <c r="AJ3418">
        <v>86.437695325487994</v>
      </c>
      <c r="AK3418">
        <v>37.211651670744601</v>
      </c>
      <c r="AL3418">
        <v>84.352726636063196</v>
      </c>
      <c r="AM3418">
        <v>88.903278224433294</v>
      </c>
      <c r="AN3418">
        <v>0.99999995382935603</v>
      </c>
    </row>
    <row r="3419" spans="1:40" x14ac:dyDescent="0.25">
      <c r="A3419" t="str">
        <f>"20190312172958227"</f>
        <v>20190312172958227</v>
      </c>
      <c r="B3419" t="str">
        <f>"1552382998221377"</f>
        <v>1552382998221377</v>
      </c>
      <c r="C3419" t="s">
        <v>40</v>
      </c>
      <c r="D3419">
        <v>3.1486550000000002</v>
      </c>
      <c r="E3419">
        <v>0.52095800000000003</v>
      </c>
      <c r="F3419" t="s">
        <v>48</v>
      </c>
      <c r="G3419">
        <v>-291.38979999999998</v>
      </c>
      <c r="H3419" s="1">
        <v>1.1409420000000001E-6</v>
      </c>
      <c r="I3419">
        <v>211.26580000000001</v>
      </c>
      <c r="J3419">
        <v>-328.06220000000002</v>
      </c>
      <c r="K3419">
        <v>1.108859</v>
      </c>
      <c r="L3419">
        <v>212.9939</v>
      </c>
      <c r="M3419">
        <v>0.99977269999999896</v>
      </c>
      <c r="N3419">
        <v>0</v>
      </c>
      <c r="O3419">
        <v>2.0122109999999999E-2</v>
      </c>
      <c r="P3419">
        <v>0.99586810000000003</v>
      </c>
      <c r="Q3419">
        <v>9.0811199999999995E-2</v>
      </c>
      <c r="R3419">
        <v>-1.220237E-4</v>
      </c>
      <c r="S3419">
        <v>3.0208439999999999</v>
      </c>
      <c r="T3419">
        <v>-8.9785100000000007E-2</v>
      </c>
      <c r="U3419">
        <v>-0.13893129999999901</v>
      </c>
      <c r="V3419">
        <v>1.990428E-2</v>
      </c>
      <c r="W3419">
        <v>9.7866339999999996E-2</v>
      </c>
      <c r="X3419">
        <v>0.99500049999999995</v>
      </c>
      <c r="Y3419">
        <v>6.5996429999999995E-2</v>
      </c>
      <c r="Z3419">
        <v>-1.577707E-3</v>
      </c>
      <c r="AA3419">
        <v>0.9978186</v>
      </c>
      <c r="AB3419">
        <v>61</v>
      </c>
      <c r="AC3419">
        <v>36.672400000000003</v>
      </c>
      <c r="AD3419">
        <v>-1.1088578590580001</v>
      </c>
      <c r="AE3419">
        <v>-1.72809999999998</v>
      </c>
      <c r="AF3419">
        <v>2.4634472214422898</v>
      </c>
      <c r="AG3419">
        <v>-1.1088578590580001</v>
      </c>
      <c r="AH3419">
        <v>36.596815552014803</v>
      </c>
      <c r="AI3419">
        <v>91.731574892010599</v>
      </c>
      <c r="AJ3419">
        <v>86.149049436943898</v>
      </c>
      <c r="AK3419">
        <v>36.6963901019245</v>
      </c>
      <c r="AL3419">
        <v>84.383681952379803</v>
      </c>
      <c r="AM3419">
        <v>88.853991377892598</v>
      </c>
      <c r="AN3419">
        <v>0.99999999793378103</v>
      </c>
    </row>
    <row r="3420" spans="1:40" x14ac:dyDescent="0.25">
      <c r="A3420" t="str">
        <f>"20190312172958249"</f>
        <v>20190312172958249</v>
      </c>
      <c r="B3420" t="str">
        <f>"1552382998240900"</f>
        <v>1552382998240900</v>
      </c>
      <c r="C3420" t="s">
        <v>40</v>
      </c>
      <c r="D3420">
        <v>3.1650830000000001</v>
      </c>
      <c r="E3420">
        <v>0.52203009999999905</v>
      </c>
      <c r="F3420" t="s">
        <v>48</v>
      </c>
      <c r="G3420">
        <v>-292.08499999999998</v>
      </c>
      <c r="H3420" s="1">
        <v>1.264259E-6</v>
      </c>
      <c r="I3420">
        <v>211.14869999999999</v>
      </c>
      <c r="J3420">
        <v>-327.45280000000002</v>
      </c>
      <c r="K3420">
        <v>1.1088559999999901</v>
      </c>
      <c r="L3420">
        <v>213.00620000000001</v>
      </c>
      <c r="M3420">
        <v>0.9997587</v>
      </c>
      <c r="N3420">
        <v>0</v>
      </c>
      <c r="O3420">
        <v>2.080017E-2</v>
      </c>
      <c r="P3420">
        <v>0.9959192</v>
      </c>
      <c r="Q3420">
        <v>9.024923E-2</v>
      </c>
      <c r="R3420">
        <v>-3.0954650000000002E-4</v>
      </c>
      <c r="S3420">
        <v>3.020905</v>
      </c>
      <c r="T3420">
        <v>-9.3107819999999994E-2</v>
      </c>
      <c r="U3420">
        <v>-0.15493770000000001</v>
      </c>
      <c r="V3420">
        <v>2.0768769999999999E-2</v>
      </c>
      <c r="W3420">
        <v>9.7338160000000007E-2</v>
      </c>
      <c r="X3420">
        <v>0.99503459999999999</v>
      </c>
      <c r="Y3420">
        <v>7.1939569999999994E-2</v>
      </c>
      <c r="Z3420">
        <v>-1.74822E-3</v>
      </c>
      <c r="AA3420">
        <v>0.99740740000000006</v>
      </c>
      <c r="AB3420">
        <v>61</v>
      </c>
      <c r="AC3420">
        <v>35.367800000000003</v>
      </c>
      <c r="AD3420">
        <v>-1.1088547357409999</v>
      </c>
      <c r="AE3420">
        <v>-1.8575000000000099</v>
      </c>
      <c r="AF3420">
        <v>2.5902336442643801</v>
      </c>
      <c r="AG3420">
        <v>-1.1088547357409999</v>
      </c>
      <c r="AH3420">
        <v>35.286920611099497</v>
      </c>
      <c r="AI3420">
        <v>91.795041503158998</v>
      </c>
      <c r="AJ3420">
        <v>85.801737462117302</v>
      </c>
      <c r="AK3420">
        <v>35.3992321296789</v>
      </c>
      <c r="AL3420">
        <v>84.414089390691899</v>
      </c>
      <c r="AM3420">
        <v>88.804272628890502</v>
      </c>
      <c r="AN3420">
        <v>0.99999995719832802</v>
      </c>
    </row>
    <row r="3421" spans="1:40" x14ac:dyDescent="0.25">
      <c r="A3421" t="str">
        <f>"20190312172958271"</f>
        <v>20190312172958271</v>
      </c>
      <c r="B3421" t="str">
        <f>"1552382998261392"</f>
        <v>1552382998261392</v>
      </c>
      <c r="C3421" t="s">
        <v>40</v>
      </c>
      <c r="D3421">
        <v>3.1522380000000001</v>
      </c>
      <c r="E3421">
        <v>0.52300469999999999</v>
      </c>
      <c r="F3421" t="s">
        <v>48</v>
      </c>
      <c r="G3421">
        <v>-292.51850000000002</v>
      </c>
      <c r="H3421" s="1">
        <v>1.341146E-6</v>
      </c>
      <c r="I3421">
        <v>211.10720000000001</v>
      </c>
      <c r="J3421">
        <v>-326.85129999999998</v>
      </c>
      <c r="K3421">
        <v>1.1088559999999901</v>
      </c>
      <c r="L3421">
        <v>213.0187</v>
      </c>
      <c r="M3421">
        <v>0.99974439999999998</v>
      </c>
      <c r="N3421">
        <v>0</v>
      </c>
      <c r="O3421">
        <v>2.1468270000000001E-2</v>
      </c>
      <c r="P3421">
        <v>0.99595979999999995</v>
      </c>
      <c r="Q3421">
        <v>8.9801199999999998E-2</v>
      </c>
      <c r="R3421">
        <v>-2.8272369999999999E-4</v>
      </c>
      <c r="S3421">
        <v>3.020966</v>
      </c>
      <c r="T3421">
        <v>-9.5888970000000004E-2</v>
      </c>
      <c r="U3421">
        <v>-0.1642151</v>
      </c>
      <c r="V3421">
        <v>2.1408320000000002E-2</v>
      </c>
      <c r="W3421">
        <v>9.6923369999999995E-2</v>
      </c>
      <c r="X3421">
        <v>0.99506159999999999</v>
      </c>
      <c r="Y3421">
        <v>7.5654219999999994E-2</v>
      </c>
      <c r="Z3421">
        <v>-1.8803209999999999E-3</v>
      </c>
      <c r="AA3421">
        <v>0.99713240000000003</v>
      </c>
      <c r="AB3421">
        <v>61</v>
      </c>
      <c r="AC3421">
        <v>34.332799999999899</v>
      </c>
      <c r="AD3421">
        <v>-1.10885465885399</v>
      </c>
      <c r="AE3421">
        <v>-1.91149999999998</v>
      </c>
      <c r="AF3421">
        <v>2.6453928607731898</v>
      </c>
      <c r="AG3421">
        <v>-1.10885465885399</v>
      </c>
      <c r="AH3421">
        <v>34.2482349602504</v>
      </c>
      <c r="AI3421">
        <v>91.848913384977706</v>
      </c>
      <c r="AJ3421">
        <v>85.583145103155999</v>
      </c>
      <c r="AK3421">
        <v>34.368143096984603</v>
      </c>
      <c r="AL3421">
        <v>84.437968375770794</v>
      </c>
      <c r="AM3421">
        <v>88.767496224147905</v>
      </c>
      <c r="AN3421">
        <v>1.0000000218059599</v>
      </c>
    </row>
    <row r="3422" spans="1:40" x14ac:dyDescent="0.25">
      <c r="A3422" t="str">
        <f>"20190312172958294"</f>
        <v>20190312172958294</v>
      </c>
      <c r="B3422" t="str">
        <f>"1552382998290673"</f>
        <v>1552382998290673</v>
      </c>
      <c r="C3422" t="s">
        <v>40</v>
      </c>
      <c r="D3422">
        <v>3.2072120000000002</v>
      </c>
      <c r="E3422">
        <v>0.52423529999999996</v>
      </c>
      <c r="F3422" t="s">
        <v>48</v>
      </c>
      <c r="G3422">
        <v>-292.76400000000001</v>
      </c>
      <c r="H3422" s="1">
        <v>1.384698E-6</v>
      </c>
      <c r="I3422">
        <v>211.08170000000001</v>
      </c>
      <c r="J3422">
        <v>-326.22629999999998</v>
      </c>
      <c r="K3422">
        <v>1.1088559999999901</v>
      </c>
      <c r="L3422">
        <v>213.03210000000001</v>
      </c>
      <c r="M3422">
        <v>0.99972899999999998</v>
      </c>
      <c r="N3422">
        <v>0</v>
      </c>
      <c r="O3422">
        <v>2.2162359999999999E-2</v>
      </c>
      <c r="P3422">
        <v>0.99596689999999999</v>
      </c>
      <c r="Q3422">
        <v>8.972289E-2</v>
      </c>
      <c r="R3422" s="1">
        <v>-5.1362910000000003E-5</v>
      </c>
      <c r="S3422">
        <v>3.0209959999999998</v>
      </c>
      <c r="T3422">
        <v>-9.8272440000000003E-2</v>
      </c>
      <c r="U3422">
        <v>-0.17166139999999999</v>
      </c>
      <c r="V3422">
        <v>2.1867939999999999E-2</v>
      </c>
      <c r="W3422">
        <v>9.6882079999999995E-2</v>
      </c>
      <c r="X3422">
        <v>0.99505560000000004</v>
      </c>
      <c r="Y3422">
        <v>7.8791310000000003E-2</v>
      </c>
      <c r="Z3422">
        <v>-2.0004160000000001E-3</v>
      </c>
      <c r="AA3422">
        <v>0.99688909999999997</v>
      </c>
      <c r="AB3422">
        <v>61</v>
      </c>
      <c r="AC3422">
        <v>33.4622999999999</v>
      </c>
      <c r="AD3422">
        <v>-1.10885461530199</v>
      </c>
      <c r="AE3422">
        <v>-1.9503999999999999</v>
      </c>
      <c r="AF3422">
        <v>2.6886009601645098</v>
      </c>
      <c r="AG3422">
        <v>-1.10885461530199</v>
      </c>
      <c r="AH3422">
        <v>33.374330257098201</v>
      </c>
      <c r="AI3422">
        <v>91.896798976668606</v>
      </c>
      <c r="AJ3422">
        <v>85.394258413020694</v>
      </c>
      <c r="AK3422">
        <v>33.500806763281602</v>
      </c>
      <c r="AL3422">
        <v>84.440345158791203</v>
      </c>
      <c r="AM3422">
        <v>88.741036163463306</v>
      </c>
      <c r="AN3422">
        <v>0.999999995658165</v>
      </c>
    </row>
    <row r="3423" spans="1:40" x14ac:dyDescent="0.25">
      <c r="A3423" t="str">
        <f>"20190312172958318"</f>
        <v>20190312172958318</v>
      </c>
      <c r="B3423" t="str">
        <f>"1552382998311169"</f>
        <v>1552382998311169</v>
      </c>
      <c r="C3423" t="s">
        <v>40</v>
      </c>
      <c r="D3423">
        <v>3.2061600000000001</v>
      </c>
      <c r="E3423">
        <v>0.52494810000000003</v>
      </c>
      <c r="F3423" t="s">
        <v>48</v>
      </c>
      <c r="G3423">
        <v>-293.0693</v>
      </c>
      <c r="H3423" s="1">
        <v>1.4388479999999999E-6</v>
      </c>
      <c r="I3423">
        <v>211.0478</v>
      </c>
      <c r="J3423">
        <v>-325.59269999999998</v>
      </c>
      <c r="K3423">
        <v>1.10886</v>
      </c>
      <c r="L3423">
        <v>213.0461</v>
      </c>
      <c r="M3423">
        <v>0.99971290000000002</v>
      </c>
      <c r="N3423">
        <v>0</v>
      </c>
      <c r="O3423">
        <v>2.2864949999999998E-2</v>
      </c>
      <c r="P3423">
        <v>0.99594629999999995</v>
      </c>
      <c r="Q3423">
        <v>8.9945880000000006E-2</v>
      </c>
      <c r="R3423">
        <v>9.6421739999999999E-4</v>
      </c>
      <c r="S3423">
        <v>3.0212400000000001</v>
      </c>
      <c r="T3423">
        <v>-0.101038</v>
      </c>
      <c r="U3423">
        <v>-0.1808014</v>
      </c>
      <c r="V3423">
        <v>2.1550420000000001E-2</v>
      </c>
      <c r="W3423">
        <v>9.7146430000000006E-2</v>
      </c>
      <c r="X3423">
        <v>0.99503680000000005</v>
      </c>
      <c r="Y3423">
        <v>8.2486950000000003E-2</v>
      </c>
      <c r="Z3423">
        <v>-2.1415359999999999E-3</v>
      </c>
      <c r="AA3423">
        <v>0.99658979999999997</v>
      </c>
      <c r="AB3423">
        <v>61</v>
      </c>
      <c r="AC3423">
        <v>32.523399999999903</v>
      </c>
      <c r="AD3423">
        <v>-1.1088585611520001</v>
      </c>
      <c r="AE3423">
        <v>-1.9983</v>
      </c>
      <c r="AF3423">
        <v>2.7382715065744798</v>
      </c>
      <c r="AG3423">
        <v>-1.1088585611520001</v>
      </c>
      <c r="AH3423">
        <v>32.431647353651101</v>
      </c>
      <c r="AI3423">
        <v>91.951278803900195</v>
      </c>
      <c r="AJ3423">
        <v>85.173844524186194</v>
      </c>
      <c r="AK3423">
        <v>32.565924648686803</v>
      </c>
      <c r="AL3423">
        <v>84.425127492167306</v>
      </c>
      <c r="AM3423">
        <v>88.759286985228201</v>
      </c>
      <c r="AN3423">
        <v>1.0000000414090799</v>
      </c>
    </row>
    <row r="3424" spans="1:40" x14ac:dyDescent="0.25">
      <c r="A3424" t="str">
        <f>"20190312172958340"</f>
        <v>20190312172958340</v>
      </c>
      <c r="B3424" t="str">
        <f>"1552382998330689"</f>
        <v>1552382998330689</v>
      </c>
      <c r="C3424" t="s">
        <v>40</v>
      </c>
      <c r="D3424">
        <v>3.2091099999999999</v>
      </c>
      <c r="E3424">
        <v>0.52567730000000001</v>
      </c>
      <c r="F3424" t="s">
        <v>48</v>
      </c>
      <c r="G3424">
        <v>-292.71030000000002</v>
      </c>
      <c r="H3424" s="1">
        <v>1.3751739999999999E-6</v>
      </c>
      <c r="I3424">
        <v>211.05279999999999</v>
      </c>
      <c r="J3424">
        <v>-324.9631</v>
      </c>
      <c r="K3424">
        <v>1.1088629999999999</v>
      </c>
      <c r="L3424">
        <v>213.06039999999999</v>
      </c>
      <c r="M3424">
        <v>0.99969640000000004</v>
      </c>
      <c r="N3424">
        <v>0</v>
      </c>
      <c r="O3424">
        <v>2.3562340000000001E-2</v>
      </c>
      <c r="P3424">
        <v>0.99595610000000001</v>
      </c>
      <c r="Q3424">
        <v>8.9833239999999995E-2</v>
      </c>
      <c r="R3424">
        <v>1.3079140000000001E-3</v>
      </c>
      <c r="S3424">
        <v>3.0216370000000001</v>
      </c>
      <c r="T3424">
        <v>-0.10189570000000001</v>
      </c>
      <c r="U3424">
        <v>-0.18316650000000001</v>
      </c>
      <c r="V3424">
        <v>2.1900960000000001E-2</v>
      </c>
      <c r="W3424">
        <v>9.7082840000000004E-2</v>
      </c>
      <c r="X3424">
        <v>0.99503529999999996</v>
      </c>
      <c r="Y3424">
        <v>8.3949309999999999E-2</v>
      </c>
      <c r="Z3424">
        <v>-2.2074949999999999E-3</v>
      </c>
      <c r="AA3424">
        <v>0.99646760000000001</v>
      </c>
      <c r="AB3424">
        <v>61</v>
      </c>
      <c r="AC3424">
        <v>32.252799999999901</v>
      </c>
      <c r="AD3424">
        <v>-1.1088616248259999</v>
      </c>
      <c r="AE3424">
        <v>-2.0075999999999898</v>
      </c>
      <c r="AF3424">
        <v>2.7637595969125699</v>
      </c>
      <c r="AG3424">
        <v>-1.1088616248259999</v>
      </c>
      <c r="AH3424">
        <v>32.158675139710503</v>
      </c>
      <c r="AI3424">
        <v>91.967583327542997</v>
      </c>
      <c r="AJ3424">
        <v>85.087993490557693</v>
      </c>
      <c r="AK3424">
        <v>32.296258729982497</v>
      </c>
      <c r="AL3424">
        <v>84.428787941643705</v>
      </c>
      <c r="AM3424">
        <v>88.739110060270406</v>
      </c>
      <c r="AN3424">
        <v>0.99999998905873799</v>
      </c>
    </row>
    <row r="3425" spans="1:40" x14ac:dyDescent="0.25">
      <c r="A3425" t="str">
        <f>"20190312172958362"</f>
        <v>20190312172958362</v>
      </c>
      <c r="B3425" t="str">
        <f>"1552382998351189"</f>
        <v>1552382998351189</v>
      </c>
      <c r="C3425" t="s">
        <v>40</v>
      </c>
      <c r="D3425">
        <v>3.2277170000000002</v>
      </c>
      <c r="E3425">
        <v>0.52638390000000002</v>
      </c>
      <c r="F3425" t="s">
        <v>48</v>
      </c>
      <c r="G3425">
        <v>-292.90230000000003</v>
      </c>
      <c r="H3425" s="1">
        <v>1.4092340000000001E-6</v>
      </c>
      <c r="I3425">
        <v>211.06540000000001</v>
      </c>
      <c r="J3425">
        <v>-324.36739999999998</v>
      </c>
      <c r="K3425">
        <v>1.10887</v>
      </c>
      <c r="L3425">
        <v>213.0744</v>
      </c>
      <c r="M3425">
        <v>0.99968009999999996</v>
      </c>
      <c r="N3425">
        <v>0</v>
      </c>
      <c r="O3425">
        <v>2.422127E-2</v>
      </c>
      <c r="P3425">
        <v>0.99590869999999998</v>
      </c>
      <c r="Q3425">
        <v>9.0338160000000001E-2</v>
      </c>
      <c r="R3425">
        <v>2.179889E-3</v>
      </c>
      <c r="S3425">
        <v>3.02182</v>
      </c>
      <c r="T3425">
        <v>-0.10451340000000001</v>
      </c>
      <c r="U3425">
        <v>-0.18803410000000001</v>
      </c>
      <c r="V3425">
        <v>2.168227E-2</v>
      </c>
      <c r="W3425">
        <v>9.7639980000000001E-2</v>
      </c>
      <c r="X3425">
        <v>0.99498560000000003</v>
      </c>
      <c r="Y3425">
        <v>8.6196460000000003E-2</v>
      </c>
      <c r="Z3425">
        <v>-2.3255049999999998E-3</v>
      </c>
      <c r="AA3425">
        <v>0.99627540000000003</v>
      </c>
      <c r="AB3425">
        <v>62</v>
      </c>
      <c r="AC3425">
        <v>31.4650999999999</v>
      </c>
      <c r="AD3425">
        <v>-1.1088685907660001</v>
      </c>
      <c r="AE3425">
        <v>-2.0089999999999799</v>
      </c>
      <c r="AF3425">
        <v>2.76713279235695</v>
      </c>
      <c r="AG3425">
        <v>-1.1088685907660001</v>
      </c>
      <c r="AH3425">
        <v>31.3684068952535</v>
      </c>
      <c r="AI3425">
        <v>92.016729303761096</v>
      </c>
      <c r="AJ3425">
        <v>84.958759305254901</v>
      </c>
      <c r="AK3425">
        <v>31.5097376153517</v>
      </c>
      <c r="AL3425">
        <v>84.396713936812006</v>
      </c>
      <c r="AM3425">
        <v>88.751634221972907</v>
      </c>
      <c r="AN3425">
        <v>1.0000000153670501</v>
      </c>
    </row>
    <row r="3426" spans="1:40" x14ac:dyDescent="0.25">
      <c r="A3426" t="str">
        <f>"20190312172958384"</f>
        <v>20190312172958384</v>
      </c>
      <c r="B3426" t="str">
        <f>"1552382998381440"</f>
        <v>1552382998381440</v>
      </c>
      <c r="C3426" t="s">
        <v>40</v>
      </c>
      <c r="D3426">
        <v>3.2258900000000001</v>
      </c>
      <c r="E3426">
        <v>0.52728989999999998</v>
      </c>
      <c r="F3426" t="s">
        <v>48</v>
      </c>
      <c r="G3426">
        <v>-292.52780000000001</v>
      </c>
      <c r="H3426" s="1">
        <v>1.3427990000000001E-6</v>
      </c>
      <c r="I3426">
        <v>211.06549999999999</v>
      </c>
      <c r="J3426">
        <v>-323.75819999999999</v>
      </c>
      <c r="K3426">
        <v>1.108876</v>
      </c>
      <c r="L3426">
        <v>213.08920000000001</v>
      </c>
      <c r="M3426">
        <v>0.99966319999999997</v>
      </c>
      <c r="N3426">
        <v>0</v>
      </c>
      <c r="O3426">
        <v>2.4893470000000001E-2</v>
      </c>
      <c r="P3426">
        <v>0.99591649999999998</v>
      </c>
      <c r="Q3426">
        <v>9.0212399999999901E-2</v>
      </c>
      <c r="R3426">
        <v>3.4659830000000002E-3</v>
      </c>
      <c r="S3426">
        <v>3.022278</v>
      </c>
      <c r="T3426">
        <v>-0.10525610000000001</v>
      </c>
      <c r="U3426">
        <v>-0.1906891</v>
      </c>
      <c r="V3426">
        <v>2.1065690000000001E-2</v>
      </c>
      <c r="W3426">
        <v>9.7577800000000006E-2</v>
      </c>
      <c r="X3426">
        <v>0.99500500000000003</v>
      </c>
      <c r="Y3426">
        <v>8.7726470000000001E-2</v>
      </c>
      <c r="Z3426">
        <v>-2.3915970000000001E-3</v>
      </c>
      <c r="AA3426">
        <v>0.99614170000000002</v>
      </c>
      <c r="AB3426">
        <v>62</v>
      </c>
      <c r="AC3426">
        <v>31.2303999999999</v>
      </c>
      <c r="AD3426">
        <v>-1.108874657201</v>
      </c>
      <c r="AE3426">
        <v>-2.0237000000000198</v>
      </c>
      <c r="AF3426">
        <v>2.7970153435751102</v>
      </c>
      <c r="AG3426">
        <v>-1.108874657201</v>
      </c>
      <c r="AH3426">
        <v>31.131260306690901</v>
      </c>
      <c r="AI3426">
        <v>92.031797644512395</v>
      </c>
      <c r="AJ3426">
        <v>84.8659952813654</v>
      </c>
      <c r="AK3426">
        <v>31.276321173062001</v>
      </c>
      <c r="AL3426">
        <v>84.400293990097694</v>
      </c>
      <c r="AM3426">
        <v>88.787146955152295</v>
      </c>
      <c r="AN3426">
        <v>1.0000000701864999</v>
      </c>
    </row>
    <row r="3427" spans="1:40" x14ac:dyDescent="0.25">
      <c r="A3427" t="str">
        <f>"20190312172958406"</f>
        <v>20190312172958406</v>
      </c>
      <c r="B3427" t="str">
        <f>"1552382998400960"</f>
        <v>1552382998400960</v>
      </c>
      <c r="C3427" t="s">
        <v>40</v>
      </c>
      <c r="D3427">
        <v>3.215767</v>
      </c>
      <c r="E3427">
        <v>0.52786679999999997</v>
      </c>
      <c r="F3427" t="s">
        <v>48</v>
      </c>
      <c r="G3427">
        <v>-292.6345</v>
      </c>
      <c r="H3427" s="1">
        <v>1.361729E-6</v>
      </c>
      <c r="I3427">
        <v>211.08940000000001</v>
      </c>
      <c r="J3427">
        <v>-323.1388</v>
      </c>
      <c r="K3427">
        <v>1.1088880000000001</v>
      </c>
      <c r="L3427">
        <v>213.1046</v>
      </c>
      <c r="M3427">
        <v>0.99964540000000002</v>
      </c>
      <c r="N3427">
        <v>0</v>
      </c>
      <c r="O3427">
        <v>2.5575939999999998E-2</v>
      </c>
      <c r="P3427">
        <v>0.99590179999999995</v>
      </c>
      <c r="Q3427">
        <v>9.033339E-2</v>
      </c>
      <c r="R3427">
        <v>4.4251749999999999E-3</v>
      </c>
      <c r="S3427">
        <v>3.0227360000000001</v>
      </c>
      <c r="T3427">
        <v>-0.107693899999999</v>
      </c>
      <c r="U3427">
        <v>-0.19421389999999999</v>
      </c>
      <c r="V3427">
        <v>2.0784730000000001E-2</v>
      </c>
      <c r="W3427">
        <v>9.7778069999999995E-2</v>
      </c>
      <c r="X3427">
        <v>0.99499119999999996</v>
      </c>
      <c r="Y3427">
        <v>8.9549089999999998E-2</v>
      </c>
      <c r="Z3427">
        <v>-2.5032090000000002E-3</v>
      </c>
      <c r="AA3427">
        <v>0.99597919999999995</v>
      </c>
      <c r="AB3427">
        <v>62</v>
      </c>
      <c r="AC3427">
        <v>30.504300000000001</v>
      </c>
      <c r="AD3427">
        <v>-1.1088866382710001</v>
      </c>
      <c r="AE3427">
        <v>-2.0151999999999899</v>
      </c>
      <c r="AF3427">
        <v>2.7910660971259</v>
      </c>
      <c r="AG3427">
        <v>-1.1088866382710001</v>
      </c>
      <c r="AH3427">
        <v>30.402777594060701</v>
      </c>
      <c r="AI3427">
        <v>92.080095412792005</v>
      </c>
      <c r="AJ3427">
        <v>84.754777970821607</v>
      </c>
      <c r="AK3427">
        <v>30.5507539181766</v>
      </c>
      <c r="AL3427">
        <v>84.388763959599004</v>
      </c>
      <c r="AM3427">
        <v>88.803301844836</v>
      </c>
      <c r="AN3427">
        <v>1.0000000220257601</v>
      </c>
    </row>
    <row r="3428" spans="1:40" x14ac:dyDescent="0.25">
      <c r="A3428" t="str">
        <f>"20190312172958429"</f>
        <v>20190312172958429</v>
      </c>
      <c r="B3428" t="str">
        <f>"1552382998421456"</f>
        <v>1552382998421456</v>
      </c>
      <c r="C3428" t="s">
        <v>40</v>
      </c>
      <c r="D3428">
        <v>3.1690740000000002</v>
      </c>
      <c r="E3428">
        <v>0.52847369999999905</v>
      </c>
      <c r="F3428" t="s">
        <v>48</v>
      </c>
      <c r="G3428">
        <v>-292.26240000000001</v>
      </c>
      <c r="H3428" s="1">
        <v>1.295724E-6</v>
      </c>
      <c r="I3428">
        <v>211.10210000000001</v>
      </c>
      <c r="J3428">
        <v>-322.52569999999997</v>
      </c>
      <c r="K3428">
        <v>1.1089059999999999</v>
      </c>
      <c r="L3428">
        <v>213.12020000000001</v>
      </c>
      <c r="M3428">
        <v>0.99962720000000005</v>
      </c>
      <c r="N3428">
        <v>0</v>
      </c>
      <c r="O3428">
        <v>2.6250570000000001E-2</v>
      </c>
      <c r="P3428">
        <v>0.9958304</v>
      </c>
      <c r="Q3428">
        <v>9.1059979999999999E-2</v>
      </c>
      <c r="R3428">
        <v>5.4873500000000002E-3</v>
      </c>
      <c r="S3428">
        <v>3.0231020000000002</v>
      </c>
      <c r="T3428">
        <v>-0.108570899999999</v>
      </c>
      <c r="U3428">
        <v>-0.19606019999999999</v>
      </c>
      <c r="V3428">
        <v>2.0390040000000002E-2</v>
      </c>
      <c r="W3428">
        <v>9.8591910000000005E-2</v>
      </c>
      <c r="X3428">
        <v>0.99491909999999895</v>
      </c>
      <c r="Y3428">
        <v>9.0816809999999998E-2</v>
      </c>
      <c r="Z3428">
        <v>-2.570162E-3</v>
      </c>
      <c r="AA3428">
        <v>0.99586430000000004</v>
      </c>
      <c r="AB3428">
        <v>62</v>
      </c>
      <c r="AC3428">
        <v>30.263299999999902</v>
      </c>
      <c r="AD3428">
        <v>-1.1089047042760001</v>
      </c>
      <c r="AE3428">
        <v>-2.0181</v>
      </c>
      <c r="AF3428">
        <v>2.8081022318738298</v>
      </c>
      <c r="AG3428">
        <v>-1.1089047042760001</v>
      </c>
      <c r="AH3428">
        <v>30.159578898527801</v>
      </c>
      <c r="AI3428">
        <v>92.096637315912702</v>
      </c>
      <c r="AJ3428">
        <v>84.680632704461303</v>
      </c>
      <c r="AK3428">
        <v>30.310316843021301</v>
      </c>
      <c r="AL3428">
        <v>84.341908217664994</v>
      </c>
      <c r="AM3428">
        <v>88.825934976834105</v>
      </c>
      <c r="AN3428">
        <v>1.0000000669967199</v>
      </c>
    </row>
    <row r="3429" spans="1:40" x14ac:dyDescent="0.25">
      <c r="A3429" t="str">
        <f>"20190312172958450"</f>
        <v>20190312172958450</v>
      </c>
      <c r="B3429" t="str">
        <f>"1552382998440980"</f>
        <v>1552382998440980</v>
      </c>
      <c r="C3429" t="s">
        <v>40</v>
      </c>
      <c r="D3429">
        <v>3.1806510000000001</v>
      </c>
      <c r="E3429">
        <v>0.52912029999999999</v>
      </c>
      <c r="F3429" t="s">
        <v>48</v>
      </c>
      <c r="G3429">
        <v>-291.14530000000002</v>
      </c>
      <c r="H3429" s="1">
        <v>1.0975699999999999E-6</v>
      </c>
      <c r="I3429">
        <v>211.06739999999999</v>
      </c>
      <c r="J3429">
        <v>-321.91410000000002</v>
      </c>
      <c r="K3429">
        <v>1.108927</v>
      </c>
      <c r="L3429">
        <v>213.13630000000001</v>
      </c>
      <c r="M3429">
        <v>0.99960870000000002</v>
      </c>
      <c r="N3429">
        <v>0</v>
      </c>
      <c r="O3429">
        <v>2.6922149999999999E-2</v>
      </c>
      <c r="P3429">
        <v>0.99574010000000002</v>
      </c>
      <c r="Q3429">
        <v>9.1982519999999998E-2</v>
      </c>
      <c r="R3429">
        <v>6.4323599999999998E-3</v>
      </c>
      <c r="S3429">
        <v>3.0234070000000002</v>
      </c>
      <c r="T3429">
        <v>-0.1068398</v>
      </c>
      <c r="U3429">
        <v>-0.1977844</v>
      </c>
      <c r="V3429">
        <v>2.0107920000000001E-2</v>
      </c>
      <c r="W3429">
        <v>9.9608730000000006E-2</v>
      </c>
      <c r="X3429">
        <v>0.99482349999999997</v>
      </c>
      <c r="Y3429">
        <v>9.2046069999999994E-2</v>
      </c>
      <c r="Z3429">
        <v>-2.5743010000000002E-3</v>
      </c>
      <c r="AA3429">
        <v>0.99575139999999995</v>
      </c>
      <c r="AB3429">
        <v>62</v>
      </c>
      <c r="AC3429">
        <v>30.768799999999999</v>
      </c>
      <c r="AD3429">
        <v>-1.10892590242999</v>
      </c>
      <c r="AE3429">
        <v>-2.06890000000001</v>
      </c>
      <c r="AF3429">
        <v>2.8927955634923399</v>
      </c>
      <c r="AG3429">
        <v>-1.10892590242999</v>
      </c>
      <c r="AH3429">
        <v>30.6622970977714</v>
      </c>
      <c r="AI3429">
        <v>92.062095057694506</v>
      </c>
      <c r="AJ3429">
        <v>84.610454824517504</v>
      </c>
      <c r="AK3429">
        <v>30.8184108308856</v>
      </c>
      <c r="AL3429">
        <v>84.2833602040306</v>
      </c>
      <c r="AM3429">
        <v>88.842063849879494</v>
      </c>
      <c r="AN3429">
        <v>1.0000000118455901</v>
      </c>
    </row>
    <row r="3430" spans="1:40" x14ac:dyDescent="0.25">
      <c r="A3430" t="str">
        <f>"20190312172958473"</f>
        <v>20190312172958473</v>
      </c>
      <c r="B3430" t="str">
        <f>"1552382998461473"</f>
        <v>1552382998461473</v>
      </c>
      <c r="C3430" t="s">
        <v>40</v>
      </c>
      <c r="D3430">
        <v>3.2196769999999999</v>
      </c>
      <c r="E3430">
        <v>0.5293871</v>
      </c>
      <c r="F3430" t="s">
        <v>48</v>
      </c>
      <c r="G3430">
        <v>-289.7654</v>
      </c>
      <c r="H3430" s="1">
        <v>3.190108E-6</v>
      </c>
      <c r="I3430">
        <v>211.01150000000001</v>
      </c>
      <c r="J3430">
        <v>-321.28410000000002</v>
      </c>
      <c r="K3430">
        <v>1.108946</v>
      </c>
      <c r="L3430">
        <v>213.1532</v>
      </c>
      <c r="M3430">
        <v>0.99958880000000006</v>
      </c>
      <c r="N3430">
        <v>0</v>
      </c>
      <c r="O3430">
        <v>2.761274E-2</v>
      </c>
      <c r="P3430">
        <v>0.99570230000000004</v>
      </c>
      <c r="Q3430">
        <v>9.2333879999999993E-2</v>
      </c>
      <c r="R3430">
        <v>7.1791249999999997E-3</v>
      </c>
      <c r="S3430">
        <v>3.0237729999999998</v>
      </c>
      <c r="T3430">
        <v>-0.1043005</v>
      </c>
      <c r="U3430">
        <v>-0.19984440000000001</v>
      </c>
      <c r="V3430">
        <v>2.004616E-2</v>
      </c>
      <c r="W3430">
        <v>0.1000742</v>
      </c>
      <c r="X3430">
        <v>0.99477800000000005</v>
      </c>
      <c r="Y3430">
        <v>9.3403810000000004E-2</v>
      </c>
      <c r="Z3430">
        <v>-2.559974E-3</v>
      </c>
      <c r="AA3430">
        <v>0.99562499999999998</v>
      </c>
      <c r="AB3430">
        <v>62</v>
      </c>
      <c r="AC3430">
        <v>31.518699999999999</v>
      </c>
      <c r="AD3430">
        <v>-1.108942809892</v>
      </c>
      <c r="AE3430">
        <v>-2.1416999999999802</v>
      </c>
      <c r="AF3430">
        <v>3.0075211227773302</v>
      </c>
      <c r="AG3430">
        <v>-1.108942809892</v>
      </c>
      <c r="AH3430">
        <v>31.408839128749602</v>
      </c>
      <c r="AI3430">
        <v>92.012886377209796</v>
      </c>
      <c r="AJ3430">
        <v>84.530377485743003</v>
      </c>
      <c r="AK3430">
        <v>31.571983036788101</v>
      </c>
      <c r="AL3430">
        <v>84.256556636689297</v>
      </c>
      <c r="AM3430">
        <v>88.845566616129304</v>
      </c>
      <c r="AN3430">
        <v>0.99999998166019199</v>
      </c>
    </row>
    <row r="3431" spans="1:40" x14ac:dyDescent="0.25">
      <c r="A3431" t="str">
        <f>"20190312172958494"</f>
        <v>20190312172958494</v>
      </c>
      <c r="B3431" t="str">
        <f>"1552382998480993"</f>
        <v>1552382998480993</v>
      </c>
      <c r="C3431" t="s">
        <v>40</v>
      </c>
      <c r="D3431">
        <v>3.1900390000000001</v>
      </c>
      <c r="E3431">
        <v>0.54104030000000003</v>
      </c>
      <c r="F3431" t="s">
        <v>48</v>
      </c>
      <c r="G3431">
        <v>-288.94470000000001</v>
      </c>
      <c r="H3431" s="1">
        <v>3.5535660000000001E-6</v>
      </c>
      <c r="I3431">
        <v>211.0154</v>
      </c>
      <c r="J3431">
        <v>-320.69279999999998</v>
      </c>
      <c r="K3431">
        <v>1.108967</v>
      </c>
      <c r="L3431">
        <v>213.1696</v>
      </c>
      <c r="M3431">
        <v>0.99956990000000001</v>
      </c>
      <c r="N3431">
        <v>0</v>
      </c>
      <c r="O3431">
        <v>2.8259309999999999E-2</v>
      </c>
      <c r="P3431">
        <v>0.99566580000000005</v>
      </c>
      <c r="Q3431">
        <v>9.2684849999999999E-2</v>
      </c>
      <c r="R3431">
        <v>7.7034979999999996E-3</v>
      </c>
      <c r="S3431">
        <v>3.0240480000000001</v>
      </c>
      <c r="T3431">
        <v>-0.1036967</v>
      </c>
      <c r="U3431">
        <v>-0.19990540000000001</v>
      </c>
      <c r="V3431">
        <v>2.0162900000000001E-2</v>
      </c>
      <c r="W3431">
        <v>0.1005534</v>
      </c>
      <c r="X3431">
        <v>0.99472729999999998</v>
      </c>
      <c r="Y3431">
        <v>9.406196E-2</v>
      </c>
      <c r="Z3431">
        <v>-2.578346E-3</v>
      </c>
      <c r="AA3431">
        <v>0.99556299999999998</v>
      </c>
      <c r="AB3431">
        <v>62</v>
      </c>
      <c r="AC3431">
        <v>31.748099999999901</v>
      </c>
      <c r="AD3431">
        <v>-1.1089634464339999</v>
      </c>
      <c r="AE3431">
        <v>-2.1541999999999999</v>
      </c>
      <c r="AF3431">
        <v>3.0468461214259901</v>
      </c>
      <c r="AG3431">
        <v>-1.1089634464339999</v>
      </c>
      <c r="AH3431">
        <v>31.6361191316171</v>
      </c>
      <c r="AI3431">
        <v>91.998368863070695</v>
      </c>
      <c r="AJ3431">
        <v>84.498861743758297</v>
      </c>
      <c r="AK3431">
        <v>31.801841219071601</v>
      </c>
      <c r="AL3431">
        <v>84.228961207307805</v>
      </c>
      <c r="AM3431">
        <v>88.838786373866299</v>
      </c>
      <c r="AN3431">
        <v>0.99999996507662903</v>
      </c>
    </row>
    <row r="3432" spans="1:40" x14ac:dyDescent="0.25">
      <c r="A3432" t="str">
        <f>"20190312172958529"</f>
        <v>20190312172958529</v>
      </c>
      <c r="B3432" t="str">
        <f>"1552382998521012"</f>
        <v>1552382998521012</v>
      </c>
      <c r="C3432" t="s">
        <v>40</v>
      </c>
      <c r="D3432">
        <v>3.1456550000000001</v>
      </c>
      <c r="E3432">
        <v>0.52105500000000005</v>
      </c>
      <c r="F3432" t="s">
        <v>48</v>
      </c>
      <c r="G3432">
        <v>-293.00970000000001</v>
      </c>
      <c r="H3432" s="1">
        <v>1.4282759999999999E-6</v>
      </c>
      <c r="I3432">
        <v>210.5104</v>
      </c>
      <c r="J3432">
        <v>-319.71420000000001</v>
      </c>
      <c r="K3432">
        <v>1.109016</v>
      </c>
      <c r="L3432">
        <v>213.19739999999999</v>
      </c>
      <c r="M3432">
        <v>0.99953689999999995</v>
      </c>
      <c r="N3432">
        <v>0</v>
      </c>
      <c r="O3432">
        <v>2.9326229999999998E-2</v>
      </c>
      <c r="P3432">
        <v>0.99563500000000005</v>
      </c>
      <c r="Q3432">
        <v>9.2947979999999999E-2</v>
      </c>
      <c r="R3432">
        <v>8.4856280000000003E-3</v>
      </c>
      <c r="S3432">
        <v>3.0265810000000002</v>
      </c>
      <c r="T3432">
        <v>-0.1212428</v>
      </c>
      <c r="U3432">
        <v>-0.29072569999999998</v>
      </c>
      <c r="V3432">
        <v>2.0439740000000001E-2</v>
      </c>
      <c r="W3432">
        <v>0.1010871</v>
      </c>
      <c r="X3432">
        <v>0.99466759999999999</v>
      </c>
      <c r="Y3432">
        <v>0.1246466</v>
      </c>
      <c r="Z3432">
        <v>-3.6618530000000001E-3</v>
      </c>
      <c r="AA3432">
        <v>0.99219449999999998</v>
      </c>
      <c r="AB3432">
        <v>62</v>
      </c>
      <c r="AC3432">
        <v>26.704499999999999</v>
      </c>
      <c r="AD3432">
        <v>-1.1090145717240001</v>
      </c>
      <c r="AE3432">
        <v>-2.6869999999999798</v>
      </c>
      <c r="AF3432">
        <v>3.4630995306080599</v>
      </c>
      <c r="AG3432">
        <v>-1.1090145717240001</v>
      </c>
      <c r="AH3432">
        <v>26.568848107062099</v>
      </c>
      <c r="AI3432">
        <v>92.370178543027805</v>
      </c>
      <c r="AJ3432">
        <v>82.573686193814297</v>
      </c>
      <c r="AK3432">
        <v>26.816537088433499</v>
      </c>
      <c r="AL3432">
        <v>84.198226100441303</v>
      </c>
      <c r="AM3432">
        <v>88.822776538907902</v>
      </c>
      <c r="AN3432">
        <v>1.0000000096237101</v>
      </c>
    </row>
    <row r="3433" spans="1:40" x14ac:dyDescent="0.25">
      <c r="A3433" t="str">
        <f>"20190312172958551"</f>
        <v>20190312172958551</v>
      </c>
      <c r="B3433" t="str">
        <f>"1552382998541505"</f>
        <v>1552382998541505</v>
      </c>
      <c r="C3433" t="s">
        <v>40</v>
      </c>
      <c r="D3433">
        <v>3.1864319999999999</v>
      </c>
      <c r="E3433">
        <v>0.52027979999999996</v>
      </c>
      <c r="F3433" t="s">
        <v>47</v>
      </c>
      <c r="G3433">
        <v>-260.4221</v>
      </c>
      <c r="H3433" s="1">
        <v>-1.137733E-6</v>
      </c>
      <c r="I3433">
        <v>210.62569999999999</v>
      </c>
      <c r="J3433">
        <v>-319.12990000000002</v>
      </c>
      <c r="K3433">
        <v>1.109051</v>
      </c>
      <c r="L3433">
        <v>213.21449999999999</v>
      </c>
      <c r="M3433">
        <v>0.99951650000000003</v>
      </c>
      <c r="N3433">
        <v>0</v>
      </c>
      <c r="O3433">
        <v>2.9961419999999999E-2</v>
      </c>
      <c r="P3433">
        <v>0.99565820000000005</v>
      </c>
      <c r="Q3433">
        <v>9.2701140000000001E-2</v>
      </c>
      <c r="R3433">
        <v>8.46231699999999E-3</v>
      </c>
      <c r="S3433">
        <v>3.0195310000000002</v>
      </c>
      <c r="T3433">
        <v>-5.6478260000000002E-2</v>
      </c>
      <c r="U3433">
        <v>-0.1309662</v>
      </c>
      <c r="V3433">
        <v>2.1095349999999999E-2</v>
      </c>
      <c r="W3433">
        <v>0.10103959999999999</v>
      </c>
      <c r="X3433">
        <v>0.99465870000000001</v>
      </c>
      <c r="Y3433">
        <v>7.3229119999999995E-2</v>
      </c>
      <c r="Z3433">
        <v>-1.244612E-3</v>
      </c>
      <c r="AA3433">
        <v>0.99731440000000005</v>
      </c>
      <c r="AB3433">
        <v>62</v>
      </c>
      <c r="AC3433">
        <v>58.707799999999999</v>
      </c>
      <c r="AD3433">
        <v>-1.109052137733</v>
      </c>
      <c r="AE3433">
        <v>-2.5887999999999902</v>
      </c>
      <c r="AF3433">
        <v>4.34511986209169</v>
      </c>
      <c r="AG3433">
        <v>-1.109052137733</v>
      </c>
      <c r="AH3433">
        <v>58.583008799904697</v>
      </c>
      <c r="AI3433">
        <v>91.081583435627607</v>
      </c>
      <c r="AJ3433">
        <v>85.758121476660193</v>
      </c>
      <c r="AK3433">
        <v>58.754395438212597</v>
      </c>
      <c r="AL3433">
        <v>84.200961437210097</v>
      </c>
      <c r="AM3433">
        <v>88.785017063436598</v>
      </c>
      <c r="AN3433">
        <v>0.99999997202273505</v>
      </c>
    </row>
    <row r="3434" spans="1:40" x14ac:dyDescent="0.25">
      <c r="A3434" t="str">
        <f>"20190312172958574"</f>
        <v>20190312172958574</v>
      </c>
      <c r="B3434" t="str">
        <f>"1552382998570784"</f>
        <v>1552382998570784</v>
      </c>
      <c r="C3434" t="s">
        <v>40</v>
      </c>
      <c r="D3434">
        <v>3.1738849999999998</v>
      </c>
      <c r="E3434">
        <v>0.52027609999999902</v>
      </c>
      <c r="F3434" t="s">
        <v>47</v>
      </c>
      <c r="G3434">
        <v>-263.89510000000001</v>
      </c>
      <c r="H3434" s="1">
        <v>6.9718939999999995E-7</v>
      </c>
      <c r="I3434">
        <v>210.929</v>
      </c>
      <c r="J3434">
        <v>-318.47410000000002</v>
      </c>
      <c r="K3434">
        <v>1.109094</v>
      </c>
      <c r="L3434">
        <v>213.23419999999999</v>
      </c>
      <c r="M3434">
        <v>0.99949279999999996</v>
      </c>
      <c r="N3434">
        <v>0</v>
      </c>
      <c r="O3434">
        <v>3.0672689999999999E-2</v>
      </c>
      <c r="P3434">
        <v>0.99565159999999997</v>
      </c>
      <c r="Q3434">
        <v>9.2722819999999997E-2</v>
      </c>
      <c r="R3434">
        <v>8.9737459999999995E-3</v>
      </c>
      <c r="S3434">
        <v>3.0197750000000001</v>
      </c>
      <c r="T3434">
        <v>-6.0633659999999999E-2</v>
      </c>
      <c r="U3434">
        <v>-0.1249542</v>
      </c>
      <c r="V3434">
        <v>2.129054E-2</v>
      </c>
      <c r="W3434">
        <v>0.1013062</v>
      </c>
      <c r="X3434">
        <v>0.9946275</v>
      </c>
      <c r="Y3434">
        <v>7.1950769999999997E-2</v>
      </c>
      <c r="Z3434">
        <v>-1.3375590000000001E-3</v>
      </c>
      <c r="AA3434">
        <v>0.9974073</v>
      </c>
      <c r="AB3434">
        <v>62</v>
      </c>
      <c r="AC3434">
        <v>54.579000000000001</v>
      </c>
      <c r="AD3434">
        <v>-1.1090933028106</v>
      </c>
      <c r="AE3434">
        <v>-2.3051999999999802</v>
      </c>
      <c r="AF3434">
        <v>3.9766222384123502</v>
      </c>
      <c r="AG3434">
        <v>-1.1090933028106</v>
      </c>
      <c r="AH3434">
        <v>54.460159823543698</v>
      </c>
      <c r="AI3434">
        <v>91.163583061813398</v>
      </c>
      <c r="AJ3434">
        <v>85.823735625231905</v>
      </c>
      <c r="AK3434">
        <v>54.616413470561199</v>
      </c>
      <c r="AL3434">
        <v>84.185608045412806</v>
      </c>
      <c r="AM3434">
        <v>88.773740093747307</v>
      </c>
      <c r="AN3434">
        <v>1.0000000485040801</v>
      </c>
    </row>
    <row r="3435" spans="1:40" x14ac:dyDescent="0.25">
      <c r="A3435" t="str">
        <f>"20190312172958597"</f>
        <v>20190312172958597</v>
      </c>
      <c r="B3435" t="str">
        <f>"1552382998591280"</f>
        <v>1552382998591280</v>
      </c>
      <c r="C3435" t="s">
        <v>40</v>
      </c>
      <c r="D3435">
        <v>3.186563</v>
      </c>
      <c r="E3435">
        <v>0.52026519999999998</v>
      </c>
      <c r="F3435" t="s">
        <v>47</v>
      </c>
      <c r="G3435">
        <v>-265.12329999999997</v>
      </c>
      <c r="H3435" s="1">
        <v>1.345436E-6</v>
      </c>
      <c r="I3435">
        <v>211.05029999999999</v>
      </c>
      <c r="J3435">
        <v>-317.8569</v>
      </c>
      <c r="K3435">
        <v>1.109135</v>
      </c>
      <c r="L3435">
        <v>213.25319999999999</v>
      </c>
      <c r="M3435">
        <v>0.99946990000000002</v>
      </c>
      <c r="N3435">
        <v>0</v>
      </c>
      <c r="O3435">
        <v>3.1340560000000003E-2</v>
      </c>
      <c r="P3435">
        <v>0.99564209999999997</v>
      </c>
      <c r="Q3435">
        <v>9.2778910000000006E-2</v>
      </c>
      <c r="R3435">
        <v>9.4171259999999996E-3</v>
      </c>
      <c r="S3435">
        <v>3.0200499999999999</v>
      </c>
      <c r="T3435">
        <v>-6.2782760000000007E-2</v>
      </c>
      <c r="U3435">
        <v>-0.12362670000000001</v>
      </c>
      <c r="V3435">
        <v>2.1510520000000002E-2</v>
      </c>
      <c r="W3435">
        <v>0.1016184</v>
      </c>
      <c r="X3435">
        <v>0.99459089999999994</v>
      </c>
      <c r="Y3435">
        <v>7.2174199999999994E-2</v>
      </c>
      <c r="Z3435">
        <v>-1.4010419999999999E-3</v>
      </c>
      <c r="AA3435">
        <v>0.99739100000000003</v>
      </c>
      <c r="AB3435">
        <v>62</v>
      </c>
      <c r="AC3435">
        <v>52.733600000000003</v>
      </c>
      <c r="AD3435">
        <v>-1.109133654564</v>
      </c>
      <c r="AE3435">
        <v>-2.2029000000000001</v>
      </c>
      <c r="AF3435">
        <v>3.85288107009363</v>
      </c>
      <c r="AG3435">
        <v>-1.109133654564</v>
      </c>
      <c r="AH3435">
        <v>52.6154152193754</v>
      </c>
      <c r="AI3435">
        <v>91.204393098741306</v>
      </c>
      <c r="AJ3435">
        <v>85.811864058661797</v>
      </c>
      <c r="AK3435">
        <v>52.767952288403698</v>
      </c>
      <c r="AL3435">
        <v>84.1676274050986</v>
      </c>
      <c r="AM3435">
        <v>88.7610283744893</v>
      </c>
      <c r="AN3435">
        <v>1.0000000300260199</v>
      </c>
    </row>
    <row r="3436" spans="1:40" x14ac:dyDescent="0.25">
      <c r="A3436" t="str">
        <f>"20190312172958618"</f>
        <v>20190312172958618</v>
      </c>
      <c r="B3436" t="str">
        <f>"1552382998610804"</f>
        <v>1552382998610804</v>
      </c>
      <c r="C3436" t="s">
        <v>40</v>
      </c>
      <c r="D3436">
        <v>3.1750690000000001</v>
      </c>
      <c r="E3436">
        <v>0.52024809999999999</v>
      </c>
      <c r="F3436" t="s">
        <v>47</v>
      </c>
      <c r="G3436">
        <v>-265.52749999999997</v>
      </c>
      <c r="H3436" s="1">
        <v>1.5567329999999999E-6</v>
      </c>
      <c r="I3436">
        <v>211.13759999999999</v>
      </c>
      <c r="J3436">
        <v>-317.25209999999998</v>
      </c>
      <c r="K3436">
        <v>1.1091770000000001</v>
      </c>
      <c r="L3436">
        <v>213.2722</v>
      </c>
      <c r="M3436">
        <v>0.99944679999999997</v>
      </c>
      <c r="N3436">
        <v>0</v>
      </c>
      <c r="O3436">
        <v>3.1992479999999997E-2</v>
      </c>
      <c r="P3436">
        <v>0.99566659999999996</v>
      </c>
      <c r="Q3436">
        <v>9.2468480000000006E-2</v>
      </c>
      <c r="R3436">
        <v>9.8894959999999994E-3</v>
      </c>
      <c r="S3436">
        <v>3.0202640000000001</v>
      </c>
      <c r="T3436">
        <v>-6.4015150000000007E-2</v>
      </c>
      <c r="U3436">
        <v>-0.1221008</v>
      </c>
      <c r="V3436">
        <v>2.168757E-2</v>
      </c>
      <c r="W3436">
        <v>0.1015823</v>
      </c>
      <c r="X3436">
        <v>0.99459070000000005</v>
      </c>
      <c r="Y3436">
        <v>7.231783E-2</v>
      </c>
      <c r="Z3436">
        <v>-1.4437829999999999E-3</v>
      </c>
      <c r="AA3436">
        <v>0.99738059999999995</v>
      </c>
      <c r="AB3436">
        <v>62</v>
      </c>
      <c r="AC3436">
        <v>51.724600000000002</v>
      </c>
      <c r="AD3436">
        <v>-1.109175443267</v>
      </c>
      <c r="AE3436">
        <v>-2.1345999999999998</v>
      </c>
      <c r="AF3436">
        <v>3.7866355025082399</v>
      </c>
      <c r="AG3436">
        <v>-1.109175443267</v>
      </c>
      <c r="AH3436">
        <v>51.606136329136902</v>
      </c>
      <c r="AI3436">
        <v>91.227973647929602</v>
      </c>
      <c r="AJ3436">
        <v>85.803403738436899</v>
      </c>
      <c r="AK3436">
        <v>51.756759804051299</v>
      </c>
      <c r="AL3436">
        <v>84.169706292479404</v>
      </c>
      <c r="AM3436">
        <v>88.750833543969094</v>
      </c>
      <c r="AN3436">
        <v>0.99999998744614205</v>
      </c>
    </row>
    <row r="3437" spans="1:40" x14ac:dyDescent="0.25">
      <c r="A3437" t="str">
        <f>"20190312172958640"</f>
        <v>20190312172958640</v>
      </c>
      <c r="B3437" t="str">
        <f>"1552382998631303"</f>
        <v>1552382998631303</v>
      </c>
      <c r="C3437" t="s">
        <v>40</v>
      </c>
      <c r="D3437">
        <v>3.1515900000000001</v>
      </c>
      <c r="E3437">
        <v>0.52031799999999995</v>
      </c>
      <c r="F3437" t="s">
        <v>47</v>
      </c>
      <c r="G3437">
        <v>-267.46300000000002</v>
      </c>
      <c r="H3437" s="1">
        <v>2.5801530000000001E-6</v>
      </c>
      <c r="I3437">
        <v>211.28720000000001</v>
      </c>
      <c r="J3437">
        <v>-316.64749999999998</v>
      </c>
      <c r="K3437">
        <v>1.1092229999999901</v>
      </c>
      <c r="L3437">
        <v>213.29150000000001</v>
      </c>
      <c r="M3437">
        <v>0.99942299999999995</v>
      </c>
      <c r="N3437">
        <v>0</v>
      </c>
      <c r="O3437">
        <v>3.2640969999999998E-2</v>
      </c>
      <c r="P3437">
        <v>0.99556029999999995</v>
      </c>
      <c r="Q3437">
        <v>9.360897E-2</v>
      </c>
      <c r="R3437">
        <v>9.8621309999999997E-3</v>
      </c>
      <c r="S3437">
        <v>3.020508</v>
      </c>
      <c r="T3437">
        <v>-6.7289230000000005E-2</v>
      </c>
      <c r="U3437">
        <v>-0.1204224</v>
      </c>
      <c r="V3437">
        <v>2.23527E-2</v>
      </c>
      <c r="W3437">
        <v>0.10301150000000001</v>
      </c>
      <c r="X3437">
        <v>0.99442900000000001</v>
      </c>
      <c r="Y3437">
        <v>7.2405839999999999E-2</v>
      </c>
      <c r="Z3437">
        <v>-1.532921E-3</v>
      </c>
      <c r="AA3437">
        <v>0.99737410000000004</v>
      </c>
      <c r="AB3437">
        <v>62</v>
      </c>
      <c r="AC3437">
        <v>49.1845</v>
      </c>
      <c r="AD3437">
        <v>-1.1092204198469999</v>
      </c>
      <c r="AE3437">
        <v>-2.0043000000000002</v>
      </c>
      <c r="AF3437">
        <v>3.6069010775535801</v>
      </c>
      <c r="AG3437">
        <v>-1.1092204198469999</v>
      </c>
      <c r="AH3437">
        <v>49.067949380501602</v>
      </c>
      <c r="AI3437">
        <v>91.291513130556794</v>
      </c>
      <c r="AJ3437">
        <v>85.795846651550605</v>
      </c>
      <c r="AK3437">
        <v>49.2128414311806</v>
      </c>
      <c r="AL3437">
        <v>84.087387521382496</v>
      </c>
      <c r="AM3437">
        <v>88.712326632422005</v>
      </c>
      <c r="AN3437">
        <v>1.00000002418526</v>
      </c>
    </row>
    <row r="3438" spans="1:40" x14ac:dyDescent="0.25">
      <c r="A3438" t="str">
        <f>"20190312172958662"</f>
        <v>20190312172958662</v>
      </c>
      <c r="B3438" t="str">
        <f>"1552382998650820"</f>
        <v>1552382998650820</v>
      </c>
      <c r="C3438" t="s">
        <v>40</v>
      </c>
      <c r="D3438">
        <v>3.1364339999999999</v>
      </c>
      <c r="E3438">
        <v>0.52043279999999903</v>
      </c>
      <c r="F3438" t="s">
        <v>47</v>
      </c>
      <c r="G3438">
        <v>-265.51760000000002</v>
      </c>
      <c r="H3438" s="1">
        <v>1.546772E-6</v>
      </c>
      <c r="I3438">
        <v>211.24469999999999</v>
      </c>
      <c r="J3438">
        <v>-316.00900000000001</v>
      </c>
      <c r="K3438">
        <v>1.109264</v>
      </c>
      <c r="L3438">
        <v>213.3125</v>
      </c>
      <c r="M3438">
        <v>0.9993976</v>
      </c>
      <c r="N3438">
        <v>0</v>
      </c>
      <c r="O3438">
        <v>3.3321870000000003E-2</v>
      </c>
      <c r="P3438">
        <v>0.99552450000000003</v>
      </c>
      <c r="Q3438">
        <v>9.3964939999999997E-2</v>
      </c>
      <c r="R3438">
        <v>1.007771E-2</v>
      </c>
      <c r="S3438">
        <v>3.0207519999999999</v>
      </c>
      <c r="T3438">
        <v>-6.5532679999999996E-2</v>
      </c>
      <c r="U3438">
        <v>-0.1209259</v>
      </c>
      <c r="V3438">
        <v>2.2812059999999999E-2</v>
      </c>
      <c r="W3438">
        <v>0.1036755</v>
      </c>
      <c r="X3438">
        <v>0.9943495</v>
      </c>
      <c r="Y3438">
        <v>7.3249209999999995E-2</v>
      </c>
      <c r="Z3438">
        <v>-1.5166979999999999E-3</v>
      </c>
      <c r="AA3438">
        <v>0.99731250000000005</v>
      </c>
      <c r="AB3438">
        <v>62</v>
      </c>
      <c r="AC3438">
        <v>50.491399999999999</v>
      </c>
      <c r="AD3438">
        <v>-1.109262453228</v>
      </c>
      <c r="AE3438">
        <v>-2.0678000000000001</v>
      </c>
      <c r="AF3438">
        <v>3.7473929525872798</v>
      </c>
      <c r="AG3438">
        <v>-1.109262453228</v>
      </c>
      <c r="AH3438">
        <v>50.370181337858</v>
      </c>
      <c r="AI3438">
        <v>91.258099661673</v>
      </c>
      <c r="AJ3438">
        <v>85.745201405096694</v>
      </c>
      <c r="AK3438">
        <v>50.521565545219801</v>
      </c>
      <c r="AL3438">
        <v>84.049137966490605</v>
      </c>
      <c r="AM3438">
        <v>88.685768408723604</v>
      </c>
      <c r="AN3438">
        <v>0.999999963765971</v>
      </c>
    </row>
    <row r="3439" spans="1:40" x14ac:dyDescent="0.25">
      <c r="A3439" t="str">
        <f>"20190312172958684"</f>
        <v>20190312172958684</v>
      </c>
      <c r="B3439" t="str">
        <f>"1552382998681076"</f>
        <v>1552382998681076</v>
      </c>
      <c r="C3439" t="s">
        <v>40</v>
      </c>
      <c r="D3439">
        <v>3.1449980000000002</v>
      </c>
      <c r="E3439">
        <v>0.52066699999999999</v>
      </c>
      <c r="F3439" t="s">
        <v>47</v>
      </c>
      <c r="G3439">
        <v>-265.17009999999999</v>
      </c>
      <c r="H3439" s="1">
        <v>1.3605999999999999E-6</v>
      </c>
      <c r="I3439">
        <v>211.27359999999999</v>
      </c>
      <c r="J3439">
        <v>-315.40129999999999</v>
      </c>
      <c r="K3439">
        <v>1.1093</v>
      </c>
      <c r="L3439">
        <v>213.33279999999999</v>
      </c>
      <c r="M3439">
        <v>0.99937330000000002</v>
      </c>
      <c r="N3439">
        <v>0</v>
      </c>
      <c r="O3439">
        <v>3.3963510000000002E-2</v>
      </c>
      <c r="P3439">
        <v>0.99555780000000005</v>
      </c>
      <c r="Q3439">
        <v>9.3643980000000002E-2</v>
      </c>
      <c r="R3439">
        <v>9.7660160000000006E-3</v>
      </c>
      <c r="S3439">
        <v>3.0209350000000001</v>
      </c>
      <c r="T3439">
        <v>-6.5914269999999997E-2</v>
      </c>
      <c r="U3439">
        <v>-0.12115480000000001</v>
      </c>
      <c r="V3439">
        <v>2.3764500000000001E-2</v>
      </c>
      <c r="W3439">
        <v>0.10363989999999999</v>
      </c>
      <c r="X3439">
        <v>0.99433090000000002</v>
      </c>
      <c r="Y3439">
        <v>7.3962E-2</v>
      </c>
      <c r="Z3439">
        <v>-1.5472000000000001E-3</v>
      </c>
      <c r="AA3439">
        <v>0.99725989999999998</v>
      </c>
      <c r="AB3439">
        <v>63</v>
      </c>
      <c r="AC3439">
        <v>50.231200000000001</v>
      </c>
      <c r="AD3439">
        <v>-1.1092986394</v>
      </c>
      <c r="AE3439">
        <v>-2.0592000000000001</v>
      </c>
      <c r="AF3439">
        <v>3.76229282913856</v>
      </c>
      <c r="AG3439">
        <v>-1.1092986394</v>
      </c>
      <c r="AH3439">
        <v>50.107879819590401</v>
      </c>
      <c r="AI3439">
        <v>91.264660052979096</v>
      </c>
      <c r="AJ3439">
        <v>85.706068985069194</v>
      </c>
      <c r="AK3439">
        <v>50.2611680208297</v>
      </c>
      <c r="AL3439">
        <v>84.051188718401804</v>
      </c>
      <c r="AM3439">
        <v>88.630892002848</v>
      </c>
      <c r="AN3439">
        <v>0.99999995951353404</v>
      </c>
    </row>
    <row r="3440" spans="1:40" x14ac:dyDescent="0.25">
      <c r="A3440" t="str">
        <f>"20190312172958707"</f>
        <v>20190312172958707</v>
      </c>
      <c r="B3440" t="str">
        <f>"1552382998701572"</f>
        <v>1552382998701572</v>
      </c>
      <c r="C3440" t="s">
        <v>40</v>
      </c>
      <c r="D3440">
        <v>3.183249</v>
      </c>
      <c r="E3440">
        <v>0.52131689999999997</v>
      </c>
      <c r="F3440" t="s">
        <v>47</v>
      </c>
      <c r="G3440">
        <v>-266.29950000000002</v>
      </c>
      <c r="H3440" s="1">
        <v>1.959698E-6</v>
      </c>
      <c r="I3440">
        <v>211.3168</v>
      </c>
      <c r="J3440">
        <v>-314.77300000000002</v>
      </c>
      <c r="K3440">
        <v>1.1093150000000001</v>
      </c>
      <c r="L3440">
        <v>213.35429999999999</v>
      </c>
      <c r="M3440">
        <v>0.99934800000000001</v>
      </c>
      <c r="N3440">
        <v>0</v>
      </c>
      <c r="O3440">
        <v>3.4615760000000002E-2</v>
      </c>
      <c r="P3440">
        <v>0.99563590000000002</v>
      </c>
      <c r="Q3440">
        <v>9.2868249999999999E-2</v>
      </c>
      <c r="R3440">
        <v>9.2044980000000002E-3</v>
      </c>
      <c r="S3440">
        <v>3.0210270000000001</v>
      </c>
      <c r="T3440">
        <v>-6.8250420000000006E-2</v>
      </c>
      <c r="U3440">
        <v>-0.1240387</v>
      </c>
      <c r="V3440">
        <v>2.4980970000000002E-2</v>
      </c>
      <c r="W3440">
        <v>0.10314479999999999</v>
      </c>
      <c r="X3440">
        <v>0.99435260000000003</v>
      </c>
      <c r="Y3440">
        <v>7.5559680000000004E-2</v>
      </c>
      <c r="Z3440">
        <v>-1.6347130000000001E-3</v>
      </c>
      <c r="AA3440">
        <v>0.99713989999999997</v>
      </c>
      <c r="AB3440">
        <v>63</v>
      </c>
      <c r="AC3440">
        <v>48.473499999999902</v>
      </c>
      <c r="AD3440">
        <v>-1.109313040302</v>
      </c>
      <c r="AE3440">
        <v>-2.0374999999999899</v>
      </c>
      <c r="AF3440">
        <v>3.7123733842359701</v>
      </c>
      <c r="AG3440">
        <v>-1.109313040302</v>
      </c>
      <c r="AH3440">
        <v>48.348636694234898</v>
      </c>
      <c r="AI3440">
        <v>91.310509879469194</v>
      </c>
      <c r="AJ3440">
        <v>85.609249758805703</v>
      </c>
      <c r="AK3440">
        <v>48.503638644502601</v>
      </c>
      <c r="AL3440">
        <v>84.079708924980295</v>
      </c>
      <c r="AM3440">
        <v>88.560869517517602</v>
      </c>
      <c r="AN3440">
        <v>0.99999999587796995</v>
      </c>
    </row>
    <row r="3441" spans="1:40" x14ac:dyDescent="0.25">
      <c r="A3441" t="str">
        <f>"20190312172958729"</f>
        <v>20190312172958729</v>
      </c>
      <c r="B3441" t="str">
        <f>"1552382998721096"</f>
        <v>1552382998721096</v>
      </c>
      <c r="C3441" t="s">
        <v>40</v>
      </c>
      <c r="D3441">
        <v>3.1824240000000001</v>
      </c>
      <c r="E3441">
        <v>0.54306480000000001</v>
      </c>
      <c r="F3441" t="s">
        <v>47</v>
      </c>
      <c r="G3441">
        <v>-269.49489999999997</v>
      </c>
      <c r="H3441" s="1">
        <v>3.6567870000000001E-6</v>
      </c>
      <c r="I3441">
        <v>211.39359999999999</v>
      </c>
      <c r="J3441">
        <v>-314.1413</v>
      </c>
      <c r="K3441">
        <v>1.109329</v>
      </c>
      <c r="L3441">
        <v>213.37629999999999</v>
      </c>
      <c r="M3441">
        <v>0.99932279999999996</v>
      </c>
      <c r="N3441">
        <v>0</v>
      </c>
      <c r="O3441">
        <v>3.5261840000000003E-2</v>
      </c>
      <c r="P3441">
        <v>0.99570349999999996</v>
      </c>
      <c r="Q3441">
        <v>9.2188770000000003E-2</v>
      </c>
      <c r="R3441">
        <v>8.7309569999999993E-3</v>
      </c>
      <c r="S3441">
        <v>3.0213009999999998</v>
      </c>
      <c r="T3441">
        <v>-7.4021699999999996E-2</v>
      </c>
      <c r="U3441">
        <v>-0.1308289</v>
      </c>
      <c r="V3441">
        <v>2.6103970000000001E-2</v>
      </c>
      <c r="W3441">
        <v>0.1027279</v>
      </c>
      <c r="X3441">
        <v>0.99436690000000005</v>
      </c>
      <c r="Y3441">
        <v>7.8431429999999996E-2</v>
      </c>
      <c r="Z3441">
        <v>-1.8236459999999999E-3</v>
      </c>
      <c r="AA3441">
        <v>0.99691779999999997</v>
      </c>
      <c r="AB3441">
        <v>63</v>
      </c>
      <c r="AC3441">
        <v>44.6464</v>
      </c>
      <c r="AD3441">
        <v>-1.1093253432129999</v>
      </c>
      <c r="AE3441">
        <v>-1.9826999999999899</v>
      </c>
      <c r="AF3441">
        <v>3.5536784609140599</v>
      </c>
      <c r="AG3441">
        <v>-1.1093253432129999</v>
      </c>
      <c r="AH3441">
        <v>44.521282203767903</v>
      </c>
      <c r="AI3441">
        <v>91.422805454205204</v>
      </c>
      <c r="AJ3441">
        <v>85.436339693695103</v>
      </c>
      <c r="AK3441">
        <v>44.676658361925497</v>
      </c>
      <c r="AL3441">
        <v>84.103723037484201</v>
      </c>
      <c r="AM3441">
        <v>88.496225214617596</v>
      </c>
      <c r="AN3441">
        <v>0.99999998525189004</v>
      </c>
    </row>
    <row r="3442" spans="1:40" x14ac:dyDescent="0.25">
      <c r="A3442" t="str">
        <f>"20190312172958752"</f>
        <v>20190312172958752</v>
      </c>
      <c r="B3442" t="str">
        <f>"1552382998740612"</f>
        <v>1552382998740612</v>
      </c>
      <c r="C3442" t="s">
        <v>40</v>
      </c>
      <c r="D3442">
        <v>3.1971419999999999</v>
      </c>
      <c r="E3442">
        <v>0.54970580000000002</v>
      </c>
      <c r="F3442" t="s">
        <v>42</v>
      </c>
      <c r="G3442">
        <v>-313.05099999999999</v>
      </c>
      <c r="H3442">
        <v>0.97387489999999999</v>
      </c>
      <c r="I3442">
        <v>213.27029999999999</v>
      </c>
      <c r="J3442">
        <v>-313.52249999999998</v>
      </c>
      <c r="K3442">
        <v>1.1093390000000001</v>
      </c>
      <c r="L3442">
        <v>213.3982</v>
      </c>
      <c r="M3442">
        <v>0.99929820000000003</v>
      </c>
      <c r="N3442">
        <v>0</v>
      </c>
      <c r="O3442">
        <v>3.5882829999999998E-2</v>
      </c>
      <c r="P3442">
        <v>0.99564160000000002</v>
      </c>
      <c r="Q3442">
        <v>9.2916209999999999E-2</v>
      </c>
      <c r="R3442">
        <v>8.0531179999999997E-3</v>
      </c>
      <c r="S3442">
        <v>3.0506289999999998</v>
      </c>
      <c r="T3442">
        <v>-0.37909890000000002</v>
      </c>
      <c r="U3442">
        <v>-0.29577639999999999</v>
      </c>
      <c r="V3442">
        <v>2.73989E-2</v>
      </c>
      <c r="W3442">
        <v>0.10369639999999999</v>
      </c>
      <c r="X3442">
        <v>0.99423150000000005</v>
      </c>
      <c r="Y3442">
        <v>0.13088669999999999</v>
      </c>
      <c r="Z3442">
        <v>-1.251592E-2</v>
      </c>
      <c r="AA3442">
        <v>0.99131829999999999</v>
      </c>
      <c r="AB3442">
        <v>63</v>
      </c>
      <c r="AC3442">
        <v>0.47149999999999098</v>
      </c>
      <c r="AD3442">
        <v>-0.135464099999999</v>
      </c>
      <c r="AE3442">
        <v>-0.127900000000011</v>
      </c>
      <c r="AF3442">
        <v>0.13440355285828801</v>
      </c>
      <c r="AG3442">
        <v>-0.135464099999999</v>
      </c>
      <c r="AH3442">
        <v>0.43329236169665702</v>
      </c>
      <c r="AI3442">
        <v>106.625797836724</v>
      </c>
      <c r="AJ3442">
        <v>72.766560791088295</v>
      </c>
      <c r="AK3442">
        <v>0.47345232929452102</v>
      </c>
      <c r="AL3442">
        <v>84.0479339689347</v>
      </c>
      <c r="AM3442">
        <v>88.421450018189304</v>
      </c>
      <c r="AN3442">
        <v>0.99999995934320896</v>
      </c>
    </row>
    <row r="3443" spans="1:40" x14ac:dyDescent="0.25">
      <c r="A3443" t="str">
        <f>"20190312172958774"</f>
        <v>20190312172958774</v>
      </c>
      <c r="B3443" t="str">
        <f>"1552382998770868"</f>
        <v>1552382998770868</v>
      </c>
      <c r="C3443" t="s">
        <v>40</v>
      </c>
      <c r="D3443">
        <v>3.1749100000000001</v>
      </c>
      <c r="E3443">
        <v>0.553419199999999</v>
      </c>
      <c r="F3443" t="s">
        <v>42</v>
      </c>
      <c r="G3443">
        <v>-312.5016</v>
      </c>
      <c r="H3443">
        <v>0.95202819999999999</v>
      </c>
      <c r="I3443">
        <v>213.28210000000001</v>
      </c>
      <c r="J3443">
        <v>-312.88819999999998</v>
      </c>
      <c r="K3443">
        <v>1.1093360000000001</v>
      </c>
      <c r="L3443">
        <v>213.4211</v>
      </c>
      <c r="M3443">
        <v>0.99927310000000003</v>
      </c>
      <c r="N3443">
        <v>0</v>
      </c>
      <c r="O3443">
        <v>3.6503099999999997E-2</v>
      </c>
      <c r="P3443">
        <v>0.99566169999999998</v>
      </c>
      <c r="Q3443">
        <v>9.2732029999999993E-2</v>
      </c>
      <c r="R3443">
        <v>7.677616E-3</v>
      </c>
      <c r="S3443">
        <v>3.0599059999999998</v>
      </c>
      <c r="T3443">
        <v>-0.47155550000000002</v>
      </c>
      <c r="U3443">
        <v>-0.34739690000000001</v>
      </c>
      <c r="V3443">
        <v>2.8397510000000001E-2</v>
      </c>
      <c r="W3443">
        <v>0.10374990000000001</v>
      </c>
      <c r="X3443">
        <v>0.99419789999999997</v>
      </c>
      <c r="Y3443">
        <v>0.14686489999999999</v>
      </c>
      <c r="Z3443">
        <v>-1.6791799999999999E-2</v>
      </c>
      <c r="AA3443">
        <v>0.98901399999999995</v>
      </c>
      <c r="AB3443">
        <v>63</v>
      </c>
      <c r="AC3443">
        <v>0.38659999999998701</v>
      </c>
      <c r="AD3443">
        <v>-0.1573078</v>
      </c>
      <c r="AE3443">
        <v>-0.138999999999981</v>
      </c>
      <c r="AF3443">
        <v>0.13345396303979001</v>
      </c>
      <c r="AG3443">
        <v>-0.1573078</v>
      </c>
      <c r="AH3443">
        <v>0.33251624402770802</v>
      </c>
      <c r="AI3443">
        <v>113.70351888291501</v>
      </c>
      <c r="AJ3443">
        <v>68.132153578507101</v>
      </c>
      <c r="AK3443">
        <v>0.39130902971201698</v>
      </c>
      <c r="AL3443">
        <v>84.044852039154705</v>
      </c>
      <c r="AM3443">
        <v>88.363891932108999</v>
      </c>
      <c r="AN3443">
        <v>0.99999996234430899</v>
      </c>
    </row>
    <row r="3444" spans="1:40" x14ac:dyDescent="0.25">
      <c r="A3444" t="str">
        <f>"20190312172958797"</f>
        <v>20190312172958797</v>
      </c>
      <c r="B3444" t="str">
        <f>"1552382998791364"</f>
        <v>1552382998791364</v>
      </c>
      <c r="C3444" t="s">
        <v>40</v>
      </c>
      <c r="D3444">
        <v>3.290791</v>
      </c>
      <c r="E3444">
        <v>0.554616</v>
      </c>
      <c r="F3444" t="s">
        <v>42</v>
      </c>
      <c r="G3444">
        <v>-311.94479999999999</v>
      </c>
      <c r="H3444">
        <v>0.94703870000000001</v>
      </c>
      <c r="I3444">
        <v>213.30520000000001</v>
      </c>
      <c r="J3444">
        <v>-312.25060000000002</v>
      </c>
      <c r="K3444">
        <v>1.109324</v>
      </c>
      <c r="L3444">
        <v>213.44450000000001</v>
      </c>
      <c r="M3444">
        <v>0.99924829999999998</v>
      </c>
      <c r="N3444">
        <v>0</v>
      </c>
      <c r="O3444">
        <v>3.7106029999999998E-2</v>
      </c>
      <c r="P3444">
        <v>0.99578029999999995</v>
      </c>
      <c r="Q3444">
        <v>9.1410610000000003E-2</v>
      </c>
      <c r="R3444">
        <v>8.1196110000000005E-3</v>
      </c>
      <c r="S3444">
        <v>3.0650629999999999</v>
      </c>
      <c r="T3444">
        <v>-0.52739060000000004</v>
      </c>
      <c r="U3444">
        <v>-0.37571719999999997</v>
      </c>
      <c r="V3444">
        <v>2.8569529999999999E-2</v>
      </c>
      <c r="W3444">
        <v>0.1026562</v>
      </c>
      <c r="X3444">
        <v>0.99430649999999998</v>
      </c>
      <c r="Y3444">
        <v>0.15562500000000001</v>
      </c>
      <c r="Z3444">
        <v>-1.956049E-2</v>
      </c>
      <c r="AA3444">
        <v>0.98762249999999996</v>
      </c>
      <c r="AB3444">
        <v>63</v>
      </c>
      <c r="AC3444">
        <v>0.30580000000003299</v>
      </c>
      <c r="AD3444">
        <v>-0.16228529999999999</v>
      </c>
      <c r="AE3444">
        <v>-0.13929999999999099</v>
      </c>
      <c r="AF3444">
        <v>0.12207870538530501</v>
      </c>
      <c r="AG3444">
        <v>-0.16228529999999999</v>
      </c>
      <c r="AH3444">
        <v>0.24360325286238599</v>
      </c>
      <c r="AI3444">
        <v>120.77737134120601</v>
      </c>
      <c r="AJ3444">
        <v>63.382837102514102</v>
      </c>
      <c r="AK3444">
        <v>0.31714708529289298</v>
      </c>
      <c r="AL3444">
        <v>84.1078528575608</v>
      </c>
      <c r="AM3444">
        <v>88.354166204994698</v>
      </c>
      <c r="AN3444">
        <v>0.99999996469255403</v>
      </c>
    </row>
    <row r="3445" spans="1:40" x14ac:dyDescent="0.25">
      <c r="A3445" t="str">
        <f>"20190312172958819"</f>
        <v>20190312172958819</v>
      </c>
      <c r="B3445" t="str">
        <f>"1552382998810888"</f>
        <v>1552382998810888</v>
      </c>
      <c r="C3445" t="s">
        <v>40</v>
      </c>
      <c r="D3445">
        <v>3.202054</v>
      </c>
      <c r="E3445">
        <v>0.55552889999999999</v>
      </c>
      <c r="F3445" t="s">
        <v>42</v>
      </c>
      <c r="G3445">
        <v>-311.38260000000002</v>
      </c>
      <c r="H3445">
        <v>0.95440999999999998</v>
      </c>
      <c r="I3445">
        <v>213.3357</v>
      </c>
      <c r="J3445">
        <v>-311.63650000000001</v>
      </c>
      <c r="K3445">
        <v>1.109308</v>
      </c>
      <c r="L3445">
        <v>213.4674</v>
      </c>
      <c r="M3445">
        <v>0.99922509999999998</v>
      </c>
      <c r="N3445">
        <v>0</v>
      </c>
      <c r="O3445">
        <v>3.7662859999999999E-2</v>
      </c>
      <c r="P3445">
        <v>0.99595279999999997</v>
      </c>
      <c r="Q3445">
        <v>8.9492929999999998E-2</v>
      </c>
      <c r="R3445">
        <v>8.3006509999999992E-3</v>
      </c>
      <c r="S3445">
        <v>3.066071</v>
      </c>
      <c r="T3445">
        <v>-0.54734340000000004</v>
      </c>
      <c r="U3445">
        <v>-0.38368229999999998</v>
      </c>
      <c r="V3445">
        <v>2.896081E-2</v>
      </c>
      <c r="W3445">
        <v>0.100949</v>
      </c>
      <c r="X3445">
        <v>0.99446999999999997</v>
      </c>
      <c r="Y3445">
        <v>0.15839979999999901</v>
      </c>
      <c r="Z3445">
        <v>-2.062286E-2</v>
      </c>
      <c r="AA3445">
        <v>0.98715969999999997</v>
      </c>
      <c r="AB3445">
        <v>63</v>
      </c>
      <c r="AC3445">
        <v>0.25389999999998702</v>
      </c>
      <c r="AD3445">
        <v>-0.15489799999999901</v>
      </c>
      <c r="AE3445">
        <v>-0.13169999999999499</v>
      </c>
      <c r="AF3445">
        <v>0.109156258778893</v>
      </c>
      <c r="AG3445">
        <v>-0.15489799999999901</v>
      </c>
      <c r="AH3445">
        <v>0.19234738034108101</v>
      </c>
      <c r="AI3445">
        <v>125.00673434314</v>
      </c>
      <c r="AJ3445">
        <v>60.425287680721198</v>
      </c>
      <c r="AK3445">
        <v>0.27001109969532999</v>
      </c>
      <c r="AL3445">
        <v>84.206179304703198</v>
      </c>
      <c r="AM3445">
        <v>88.331912134734594</v>
      </c>
      <c r="AN3445">
        <v>1.0000000050084199</v>
      </c>
    </row>
    <row r="3446" spans="1:40" x14ac:dyDescent="0.25">
      <c r="A3446" t="str">
        <f>"20190312172958841"</f>
        <v>20190312172958841</v>
      </c>
      <c r="B3446" t="str">
        <f>"1552382998831380"</f>
        <v>1552382998831380</v>
      </c>
      <c r="C3446" t="s">
        <v>40</v>
      </c>
      <c r="D3446">
        <v>3.203773</v>
      </c>
      <c r="E3446">
        <v>0.55661110000000003</v>
      </c>
      <c r="F3446" t="s">
        <v>42</v>
      </c>
      <c r="G3446">
        <v>-310.82159999999999</v>
      </c>
      <c r="H3446">
        <v>0.95891939999999998</v>
      </c>
      <c r="I3446">
        <v>213.36330000000001</v>
      </c>
      <c r="J3446">
        <v>-311.02730000000003</v>
      </c>
      <c r="K3446">
        <v>1.1092979999999999</v>
      </c>
      <c r="L3446">
        <v>213.4905</v>
      </c>
      <c r="M3446">
        <v>0.9992029</v>
      </c>
      <c r="N3446">
        <v>0</v>
      </c>
      <c r="O3446">
        <v>3.8186459999999998E-2</v>
      </c>
      <c r="P3446">
        <v>0.99600089999999997</v>
      </c>
      <c r="Q3446">
        <v>8.8953690000000002E-2</v>
      </c>
      <c r="R3446">
        <v>8.3480369999999905E-3</v>
      </c>
      <c r="S3446">
        <v>3.0663450000000001</v>
      </c>
      <c r="T3446">
        <v>-0.56606979999999996</v>
      </c>
      <c r="U3446">
        <v>-0.39006039999999997</v>
      </c>
      <c r="V3446">
        <v>2.9444950000000001E-2</v>
      </c>
      <c r="W3446">
        <v>0.1006051</v>
      </c>
      <c r="X3446">
        <v>0.9944906</v>
      </c>
      <c r="Y3446">
        <v>0.16067089999999901</v>
      </c>
      <c r="Z3446">
        <v>-2.1615160000000001E-2</v>
      </c>
      <c r="AA3446">
        <v>0.98677130000000002</v>
      </c>
      <c r="AB3446">
        <v>63</v>
      </c>
      <c r="AC3446">
        <v>0.20570000000003499</v>
      </c>
      <c r="AD3446">
        <v>-0.150378599999999</v>
      </c>
      <c r="AE3446">
        <v>-0.12719999999998699</v>
      </c>
      <c r="AF3446">
        <v>9.7332842083273002E-2</v>
      </c>
      <c r="AG3446">
        <v>-0.150378599999999</v>
      </c>
      <c r="AH3446">
        <v>0.14473593369732901</v>
      </c>
      <c r="AI3446">
        <v>130.76679653154801</v>
      </c>
      <c r="AJ3446">
        <v>56.079733374977302</v>
      </c>
      <c r="AK3446">
        <v>0.230295236575152</v>
      </c>
      <c r="AL3446">
        <v>84.225983959897704</v>
      </c>
      <c r="AM3446">
        <v>88.304077847988196</v>
      </c>
      <c r="AN3446">
        <v>0.99999997235743499</v>
      </c>
    </row>
    <row r="3447" spans="1:40" x14ac:dyDescent="0.25">
      <c r="A3447" t="str">
        <f>"20190312172958863"</f>
        <v>20190312172958863</v>
      </c>
      <c r="B3447" t="str">
        <f>"1552382998850904"</f>
        <v>1552382998850904</v>
      </c>
      <c r="C3447" t="s">
        <v>40</v>
      </c>
      <c r="D3447">
        <v>3.1902740000000001</v>
      </c>
      <c r="E3447">
        <v>0.55671669999999995</v>
      </c>
      <c r="F3447" t="s">
        <v>42</v>
      </c>
      <c r="G3447">
        <v>-310.26</v>
      </c>
      <c r="H3447">
        <v>0.96455840000000004</v>
      </c>
      <c r="I3447">
        <v>213.39080000000001</v>
      </c>
      <c r="J3447">
        <v>-310.40260000000001</v>
      </c>
      <c r="K3447">
        <v>1.109286</v>
      </c>
      <c r="L3447">
        <v>213.51439999999999</v>
      </c>
      <c r="M3447">
        <v>0.9991814</v>
      </c>
      <c r="N3447">
        <v>0</v>
      </c>
      <c r="O3447">
        <v>3.868829E-2</v>
      </c>
      <c r="P3447">
        <v>0.99592009999999997</v>
      </c>
      <c r="Q3447">
        <v>8.993189E-2</v>
      </c>
      <c r="R3447">
        <v>7.4508949999999999E-3</v>
      </c>
      <c r="S3447">
        <v>3.0670470000000001</v>
      </c>
      <c r="T3447">
        <v>-0.57863710000000002</v>
      </c>
      <c r="U3447">
        <v>-0.39782709999999999</v>
      </c>
      <c r="V3447">
        <v>3.0844320000000001E-2</v>
      </c>
      <c r="W3447">
        <v>0.1017725</v>
      </c>
      <c r="X3447">
        <v>0.99432940000000003</v>
      </c>
      <c r="Y3447">
        <v>0.16339509999999999</v>
      </c>
      <c r="Z3447">
        <v>-2.2425839999999999E-2</v>
      </c>
      <c r="AA3447">
        <v>0.98630580000000001</v>
      </c>
      <c r="AB3447">
        <v>63</v>
      </c>
      <c r="AC3447">
        <v>0.14260000000001499</v>
      </c>
      <c r="AD3447">
        <v>-0.14472759999999901</v>
      </c>
      <c r="AE3447">
        <v>-0.123599999999981</v>
      </c>
      <c r="AF3447">
        <v>8.1240690567673801E-2</v>
      </c>
      <c r="AG3447">
        <v>-0.14472759999999901</v>
      </c>
      <c r="AH3447">
        <v>8.6709991484592797E-2</v>
      </c>
      <c r="AI3447">
        <v>140.61384838763999</v>
      </c>
      <c r="AJ3447">
        <v>46.865173473477398</v>
      </c>
      <c r="AK3447">
        <v>0.187255842709728</v>
      </c>
      <c r="AL3447">
        <v>84.158751847196996</v>
      </c>
      <c r="AM3447">
        <v>88.223241878133393</v>
      </c>
      <c r="AN3447">
        <v>0.99999998476843599</v>
      </c>
    </row>
    <row r="3448" spans="1:40" x14ac:dyDescent="0.25">
      <c r="A3448" t="str">
        <f>"20190312172958886"</f>
        <v>20190312172958886</v>
      </c>
      <c r="B3448" t="str">
        <f>"1552382998881156"</f>
        <v>1552382998881156</v>
      </c>
      <c r="C3448" t="s">
        <v>40</v>
      </c>
      <c r="D3448">
        <v>3.2095720000000001</v>
      </c>
      <c r="E3448">
        <v>0.557473</v>
      </c>
      <c r="F3448" t="s">
        <v>42</v>
      </c>
      <c r="G3448">
        <v>-309.69600000000003</v>
      </c>
      <c r="H3448">
        <v>0.97544260000000005</v>
      </c>
      <c r="I3448">
        <v>213.42179999999999</v>
      </c>
      <c r="J3448">
        <v>-309.77910000000003</v>
      </c>
      <c r="K3448">
        <v>1.1092580000000001</v>
      </c>
      <c r="L3448">
        <v>213.5386</v>
      </c>
      <c r="M3448">
        <v>0.99916139999999998</v>
      </c>
      <c r="N3448">
        <v>0</v>
      </c>
      <c r="O3448">
        <v>3.9142629999999998E-2</v>
      </c>
      <c r="P3448">
        <v>0.99594459999999996</v>
      </c>
      <c r="Q3448">
        <v>8.9676480000000003E-2</v>
      </c>
      <c r="R3448">
        <v>7.2717959999999996E-3</v>
      </c>
      <c r="S3448">
        <v>3.06778</v>
      </c>
      <c r="T3448">
        <v>-0.58117350000000001</v>
      </c>
      <c r="U3448">
        <v>-0.40104679999999998</v>
      </c>
      <c r="V3448">
        <v>3.1487510000000003E-2</v>
      </c>
      <c r="W3448">
        <v>0.101701899999999</v>
      </c>
      <c r="X3448">
        <v>0.99431650000000005</v>
      </c>
      <c r="Y3448">
        <v>0.16477069999999999</v>
      </c>
      <c r="Z3448">
        <v>-2.272942E-2</v>
      </c>
      <c r="AA3448">
        <v>0.98607</v>
      </c>
      <c r="AB3448">
        <v>63</v>
      </c>
      <c r="AC3448">
        <v>8.3100000000058502E-2</v>
      </c>
      <c r="AD3448">
        <v>-0.1338154</v>
      </c>
      <c r="AE3448">
        <v>-0.11680000000001101</v>
      </c>
      <c r="AF3448">
        <v>6.4101650700900001E-2</v>
      </c>
      <c r="AG3448">
        <v>-0.1338154</v>
      </c>
      <c r="AH3448">
        <v>4.1926760646295601E-2</v>
      </c>
      <c r="AI3448">
        <v>150.21330942803399</v>
      </c>
      <c r="AJ3448">
        <v>33.187366215182102</v>
      </c>
      <c r="AK3448">
        <v>0.15418636826267099</v>
      </c>
      <c r="AL3448">
        <v>84.162818239439503</v>
      </c>
      <c r="AM3448">
        <v>88.186192501148099</v>
      </c>
      <c r="AN3448">
        <v>1.0000000209609201</v>
      </c>
    </row>
    <row r="3449" spans="1:40" x14ac:dyDescent="0.25">
      <c r="A3449" t="str">
        <f>"20190312172958908"</f>
        <v>20190312172958908</v>
      </c>
      <c r="B3449" t="str">
        <f>"1552382998900680"</f>
        <v>1552382998900680</v>
      </c>
      <c r="C3449" t="s">
        <v>40</v>
      </c>
      <c r="D3449">
        <v>3.206696</v>
      </c>
      <c r="E3449">
        <v>0.55790869999999904</v>
      </c>
      <c r="F3449" t="s">
        <v>42</v>
      </c>
      <c r="G3449">
        <v>-308.61239999999998</v>
      </c>
      <c r="H3449">
        <v>0.88207829999999998</v>
      </c>
      <c r="I3449">
        <v>213.38339999999999</v>
      </c>
      <c r="J3449">
        <v>-309.15499999999997</v>
      </c>
      <c r="K3449">
        <v>1.1092379999999999</v>
      </c>
      <c r="L3449">
        <v>213.56309999999999</v>
      </c>
      <c r="M3449">
        <v>0.99914309999999995</v>
      </c>
      <c r="N3449">
        <v>0</v>
      </c>
      <c r="O3449">
        <v>3.9546810000000002E-2</v>
      </c>
      <c r="P3449">
        <v>0.99591770000000002</v>
      </c>
      <c r="Q3449">
        <v>9.0003369999999999E-2</v>
      </c>
      <c r="R3449">
        <v>6.8862740000000004E-3</v>
      </c>
      <c r="S3449">
        <v>3.069</v>
      </c>
      <c r="T3449">
        <v>-0.59768429999999995</v>
      </c>
      <c r="U3449">
        <v>-0.40727229999999998</v>
      </c>
      <c r="V3449">
        <v>3.2285969999999997E-2</v>
      </c>
      <c r="W3449">
        <v>0.1022255</v>
      </c>
      <c r="X3449">
        <v>0.99423720000000004</v>
      </c>
      <c r="Y3449">
        <v>0.166839299999999</v>
      </c>
      <c r="Z3449">
        <v>-2.3627990000000001E-2</v>
      </c>
      <c r="AA3449">
        <v>0.98570100000000005</v>
      </c>
      <c r="AB3449">
        <v>63</v>
      </c>
      <c r="AC3449">
        <v>0.54259999999999298</v>
      </c>
      <c r="AD3449">
        <v>-0.22715969999999899</v>
      </c>
      <c r="AE3449">
        <v>-0.179699999999996</v>
      </c>
      <c r="AF3449">
        <v>0.17359995518353</v>
      </c>
      <c r="AG3449">
        <v>-0.22715969999999899</v>
      </c>
      <c r="AH3449">
        <v>0.46208467561806399</v>
      </c>
      <c r="AI3449">
        <v>114.711550310806</v>
      </c>
      <c r="AJ3449">
        <v>69.409371794763004</v>
      </c>
      <c r="AK3449">
        <v>0.54337898485758995</v>
      </c>
      <c r="AL3449">
        <v>84.1326610073137</v>
      </c>
      <c r="AM3449">
        <v>88.140081656821096</v>
      </c>
      <c r="AN3449">
        <v>1.0000000232864601</v>
      </c>
    </row>
    <row r="3450" spans="1:40" x14ac:dyDescent="0.25">
      <c r="A3450" t="str">
        <f>"20190312172958929"</f>
        <v>20190312172958929</v>
      </c>
      <c r="B3450" t="str">
        <f>"1552382998921177"</f>
        <v>1552382998921177</v>
      </c>
      <c r="C3450" t="s">
        <v>40</v>
      </c>
      <c r="D3450">
        <v>3.2269739999999998</v>
      </c>
      <c r="E3450">
        <v>0.55850730000000004</v>
      </c>
      <c r="F3450" t="s">
        <v>42</v>
      </c>
      <c r="G3450">
        <v>-308.05020000000002</v>
      </c>
      <c r="H3450">
        <v>0.89131389999999999</v>
      </c>
      <c r="I3450">
        <v>213.41489999999999</v>
      </c>
      <c r="J3450">
        <v>-308.5292</v>
      </c>
      <c r="K3450">
        <v>1.1092120000000001</v>
      </c>
      <c r="L3450">
        <v>213.58799999999999</v>
      </c>
      <c r="M3450">
        <v>0.99912670000000003</v>
      </c>
      <c r="N3450">
        <v>0</v>
      </c>
      <c r="O3450">
        <v>3.9897309999999998E-2</v>
      </c>
      <c r="P3450">
        <v>0.99589030000000001</v>
      </c>
      <c r="Q3450">
        <v>9.031343E-2</v>
      </c>
      <c r="R3450">
        <v>6.8031019999999897E-3</v>
      </c>
      <c r="S3450">
        <v>3.069855</v>
      </c>
      <c r="T3450">
        <v>-0.605537199999999</v>
      </c>
      <c r="U3450">
        <v>-0.41171259999999998</v>
      </c>
      <c r="V3450">
        <v>3.2730889999999999E-2</v>
      </c>
      <c r="W3450">
        <v>0.1027406</v>
      </c>
      <c r="X3450">
        <v>0.99416950000000004</v>
      </c>
      <c r="Y3450">
        <v>0.16841629999999999</v>
      </c>
      <c r="Z3450">
        <v>-2.4145670000000001E-2</v>
      </c>
      <c r="AA3450">
        <v>0.98542019999999997</v>
      </c>
      <c r="AB3450">
        <v>63</v>
      </c>
      <c r="AC3450">
        <v>0.47899999999998399</v>
      </c>
      <c r="AD3450">
        <v>-0.21789810000000001</v>
      </c>
      <c r="AE3450">
        <v>-0.173100000000005</v>
      </c>
      <c r="AF3450">
        <v>0.16235764459973601</v>
      </c>
      <c r="AG3450">
        <v>-0.21789810000000001</v>
      </c>
      <c r="AH3450">
        <v>0.39873091610040801</v>
      </c>
      <c r="AI3450">
        <v>116.845305423407</v>
      </c>
      <c r="AJ3450">
        <v>67.844535153015997</v>
      </c>
      <c r="AK3450">
        <v>0.482520393556432</v>
      </c>
      <c r="AL3450">
        <v>84.102991410655093</v>
      </c>
      <c r="AM3450">
        <v>88.114340937473003</v>
      </c>
      <c r="AN3450">
        <v>0.99999996838939997</v>
      </c>
    </row>
    <row r="3451" spans="1:40" x14ac:dyDescent="0.25">
      <c r="A3451" t="str">
        <f>"20190312172958952"</f>
        <v>20190312172958952</v>
      </c>
      <c r="B3451" t="str">
        <f>"1552382998940692"</f>
        <v>1552382998940692</v>
      </c>
      <c r="C3451" t="s">
        <v>40</v>
      </c>
      <c r="D3451">
        <v>3.2155580000000001</v>
      </c>
      <c r="E3451">
        <v>0.55881590000000003</v>
      </c>
      <c r="F3451" t="s">
        <v>42</v>
      </c>
      <c r="G3451">
        <v>-307.48829999999998</v>
      </c>
      <c r="H3451">
        <v>0.9003584</v>
      </c>
      <c r="I3451">
        <v>213.44630000000001</v>
      </c>
      <c r="J3451">
        <v>-307.91199999999998</v>
      </c>
      <c r="K3451">
        <v>1.1091770000000001</v>
      </c>
      <c r="L3451">
        <v>213.61269999999999</v>
      </c>
      <c r="M3451">
        <v>0.99911269999999996</v>
      </c>
      <c r="N3451">
        <v>0</v>
      </c>
      <c r="O3451">
        <v>4.0176110000000001E-2</v>
      </c>
      <c r="P3451">
        <v>0.99585630000000003</v>
      </c>
      <c r="Q3451">
        <v>9.0678590000000003E-2</v>
      </c>
      <c r="R3451">
        <v>6.9267549999999997E-3</v>
      </c>
      <c r="S3451">
        <v>3.0710449999999998</v>
      </c>
      <c r="T3451">
        <v>-0.61620710000000001</v>
      </c>
      <c r="U3451">
        <v>-0.41743469999999999</v>
      </c>
      <c r="V3451">
        <v>3.2900180000000001E-2</v>
      </c>
      <c r="W3451">
        <v>0.103325</v>
      </c>
      <c r="X3451">
        <v>0.99410339999999997</v>
      </c>
      <c r="Y3451">
        <v>0.17026729999999901</v>
      </c>
      <c r="Z3451">
        <v>-2.4789100000000001E-2</v>
      </c>
      <c r="AA3451">
        <v>0.98508609999999996</v>
      </c>
      <c r="AB3451">
        <v>63</v>
      </c>
      <c r="AC3451">
        <v>0.42370000000005298</v>
      </c>
      <c r="AD3451">
        <v>-0.20881859999999999</v>
      </c>
      <c r="AE3451">
        <v>-0.16639999999998101</v>
      </c>
      <c r="AF3451">
        <v>0.15142407218082299</v>
      </c>
      <c r="AG3451">
        <v>-0.20881859999999999</v>
      </c>
      <c r="AH3451">
        <v>0.344232140465074</v>
      </c>
      <c r="AI3451">
        <v>119.04220385849599</v>
      </c>
      <c r="AJ3451">
        <v>66.255814457861604</v>
      </c>
      <c r="AK3451">
        <v>0.43015139645356198</v>
      </c>
      <c r="AL3451">
        <v>84.069328929774301</v>
      </c>
      <c r="AM3451">
        <v>88.104469130696899</v>
      </c>
      <c r="AN3451">
        <v>1.00000002368029</v>
      </c>
    </row>
    <row r="3452" spans="1:40" x14ac:dyDescent="0.25">
      <c r="A3452" t="str">
        <f>"20190312172958974"</f>
        <v>20190312172958974</v>
      </c>
      <c r="B3452" t="str">
        <f>"1552382998970948"</f>
        <v>1552382998970948</v>
      </c>
      <c r="C3452" t="s">
        <v>40</v>
      </c>
      <c r="D3452">
        <v>3.227236</v>
      </c>
      <c r="E3452">
        <v>0.55909989999999998</v>
      </c>
      <c r="F3452" t="s">
        <v>42</v>
      </c>
      <c r="G3452">
        <v>-306.9264</v>
      </c>
      <c r="H3452">
        <v>0.90973329999999997</v>
      </c>
      <c r="I3452">
        <v>213.47800000000001</v>
      </c>
      <c r="J3452">
        <v>-307.28660000000002</v>
      </c>
      <c r="K3452">
        <v>1.1091470000000001</v>
      </c>
      <c r="L3452">
        <v>213.6378</v>
      </c>
      <c r="M3452">
        <v>0.9991004</v>
      </c>
      <c r="N3452">
        <v>0</v>
      </c>
      <c r="O3452">
        <v>4.0389799999999997E-2</v>
      </c>
      <c r="P3452">
        <v>0.99577079999999996</v>
      </c>
      <c r="Q3452">
        <v>9.1604389999999994E-2</v>
      </c>
      <c r="R3452">
        <v>7.0214939999999997E-3</v>
      </c>
      <c r="S3452">
        <v>3.0719910000000001</v>
      </c>
      <c r="T3452">
        <v>-0.62162220000000001</v>
      </c>
      <c r="U3452">
        <v>-0.41946410000000001</v>
      </c>
      <c r="V3452">
        <v>3.303354E-2</v>
      </c>
      <c r="W3452">
        <v>0.1045045</v>
      </c>
      <c r="X3452">
        <v>0.99397559999999996</v>
      </c>
      <c r="Y3452">
        <v>0.17098859999999999</v>
      </c>
      <c r="Z3452">
        <v>-2.5108760000000001E-2</v>
      </c>
      <c r="AA3452">
        <v>0.98495299999999997</v>
      </c>
      <c r="AB3452">
        <v>63</v>
      </c>
      <c r="AC3452">
        <v>0.36020000000002</v>
      </c>
      <c r="AD3452">
        <v>-0.199413699999999</v>
      </c>
      <c r="AE3452">
        <v>-0.15980000000001801</v>
      </c>
      <c r="AF3452">
        <v>0.13869951222596799</v>
      </c>
      <c r="AG3452">
        <v>-0.199413699999999</v>
      </c>
      <c r="AH3452">
        <v>0.28138981268982799</v>
      </c>
      <c r="AI3452">
        <v>122.44208925757</v>
      </c>
      <c r="AJ3452">
        <v>63.760906993126099</v>
      </c>
      <c r="AK3452">
        <v>0.37173055446792103</v>
      </c>
      <c r="AL3452">
        <v>84.001380250183502</v>
      </c>
      <c r="AM3452">
        <v>88.096546761985195</v>
      </c>
      <c r="AN3452">
        <v>0.99999994934026903</v>
      </c>
    </row>
    <row r="3453" spans="1:40" x14ac:dyDescent="0.25">
      <c r="A3453" t="str">
        <f>"20190312172958999"</f>
        <v>20190312172958999</v>
      </c>
      <c r="B3453" t="str">
        <f>"1552382998991444"</f>
        <v>1552382998991444</v>
      </c>
      <c r="C3453" t="s">
        <v>40</v>
      </c>
      <c r="D3453">
        <v>3.255258</v>
      </c>
      <c r="E3453">
        <v>0.55923100000000003</v>
      </c>
      <c r="F3453" t="s">
        <v>42</v>
      </c>
      <c r="G3453">
        <v>-306.36430000000001</v>
      </c>
      <c r="H3453">
        <v>0.92105570000000003</v>
      </c>
      <c r="I3453">
        <v>213.5111</v>
      </c>
      <c r="J3453">
        <v>-306.62189999999998</v>
      </c>
      <c r="K3453">
        <v>1.1091059999999999</v>
      </c>
      <c r="L3453">
        <v>213.66470000000001</v>
      </c>
      <c r="M3453">
        <v>0.99909029999999999</v>
      </c>
      <c r="N3453">
        <v>0</v>
      </c>
      <c r="O3453">
        <v>4.0540300000000001E-2</v>
      </c>
      <c r="P3453">
        <v>0.99573060000000002</v>
      </c>
      <c r="Q3453">
        <v>9.2017290000000002E-2</v>
      </c>
      <c r="R3453">
        <v>7.3041039999999996E-3</v>
      </c>
      <c r="S3453">
        <v>3.073334</v>
      </c>
      <c r="T3453">
        <v>-0.62678120000000004</v>
      </c>
      <c r="U3453">
        <v>-0.42146299999999998</v>
      </c>
      <c r="V3453">
        <v>3.2923269999999998E-2</v>
      </c>
      <c r="W3453">
        <v>0.10522380000000001</v>
      </c>
      <c r="X3453">
        <v>0.99390339999999999</v>
      </c>
      <c r="Y3453">
        <v>0.171626799999999</v>
      </c>
      <c r="Z3453">
        <v>-2.5395629999999999E-2</v>
      </c>
      <c r="AA3453">
        <v>0.98483469999999995</v>
      </c>
      <c r="AB3453">
        <v>63</v>
      </c>
      <c r="AC3453">
        <v>0.25759999999996802</v>
      </c>
      <c r="AD3453">
        <v>-0.1880503</v>
      </c>
      <c r="AE3453">
        <v>-0.15360000000001101</v>
      </c>
      <c r="AF3453">
        <v>0.11766097153365999</v>
      </c>
      <c r="AG3453">
        <v>-0.1880503</v>
      </c>
      <c r="AH3453">
        <v>0.180284306388133</v>
      </c>
      <c r="AI3453">
        <v>131.13737529566899</v>
      </c>
      <c r="AJ3453">
        <v>56.869876726515201</v>
      </c>
      <c r="AK3453">
        <v>0.28584864995690501</v>
      </c>
      <c r="AL3453">
        <v>83.959939089222701</v>
      </c>
      <c r="AM3453">
        <v>88.102758360789295</v>
      </c>
      <c r="AN3453">
        <v>0.99999997916274597</v>
      </c>
    </row>
    <row r="3454" spans="1:40" x14ac:dyDescent="0.25">
      <c r="A3454" t="str">
        <f>"20190312172959020"</f>
        <v>20190312172959020</v>
      </c>
      <c r="B3454" t="str">
        <f>"1552382999010964"</f>
        <v>1552382999010964</v>
      </c>
      <c r="C3454" t="s">
        <v>40</v>
      </c>
      <c r="D3454">
        <v>3.2629160000000001</v>
      </c>
      <c r="E3454">
        <v>0.55937029999999999</v>
      </c>
      <c r="F3454" t="s">
        <v>42</v>
      </c>
      <c r="G3454">
        <v>-305.79930000000002</v>
      </c>
      <c r="H3454">
        <v>0.94048089999999995</v>
      </c>
      <c r="I3454">
        <v>213.55179999999999</v>
      </c>
      <c r="J3454">
        <v>-306.01490000000001</v>
      </c>
      <c r="K3454">
        <v>1.1090530000000001</v>
      </c>
      <c r="L3454">
        <v>213.6893</v>
      </c>
      <c r="M3454">
        <v>0.99908439999999998</v>
      </c>
      <c r="N3454">
        <v>0</v>
      </c>
      <c r="O3454">
        <v>4.0587369999999998E-2</v>
      </c>
      <c r="P3454">
        <v>0.99568650000000003</v>
      </c>
      <c r="Q3454">
        <v>9.2459650000000004E-2</v>
      </c>
      <c r="R3454">
        <v>7.7335390000000002E-3</v>
      </c>
      <c r="S3454">
        <v>3.0742189999999998</v>
      </c>
      <c r="T3454">
        <v>-0.63020129999999996</v>
      </c>
      <c r="U3454">
        <v>-0.42149350000000002</v>
      </c>
      <c r="V3454">
        <v>3.256556E-2</v>
      </c>
      <c r="W3454">
        <v>0.10595690000000001</v>
      </c>
      <c r="X3454">
        <v>0.99383730000000003</v>
      </c>
      <c r="Y3454">
        <v>0.17160029999999901</v>
      </c>
      <c r="Z3454">
        <v>-2.5531149999999999E-2</v>
      </c>
      <c r="AA3454">
        <v>0.98483569999999998</v>
      </c>
      <c r="AB3454">
        <v>62</v>
      </c>
      <c r="AC3454">
        <v>0.21559999999999399</v>
      </c>
      <c r="AD3454">
        <v>-0.1685721</v>
      </c>
      <c r="AE3454">
        <v>-0.137500000000017</v>
      </c>
      <c r="AF3454">
        <v>0.101868727268927</v>
      </c>
      <c r="AG3454">
        <v>-0.1685721</v>
      </c>
      <c r="AH3454">
        <v>0.14627422310200699</v>
      </c>
      <c r="AI3454">
        <v>133.40145867099301</v>
      </c>
      <c r="AJ3454">
        <v>55.145760979456902</v>
      </c>
      <c r="AK3454">
        <v>0.24533637895325899</v>
      </c>
      <c r="AL3454">
        <v>83.917699422283206</v>
      </c>
      <c r="AM3454">
        <v>88.123232268181894</v>
      </c>
      <c r="AN3454">
        <v>0.99999997961350595</v>
      </c>
    </row>
    <row r="3455" spans="1:40" x14ac:dyDescent="0.25">
      <c r="A3455" t="str">
        <f>"20190312172959041"</f>
        <v>20190312172959041</v>
      </c>
      <c r="B3455" t="str">
        <f>"1552382999031008"</f>
        <v>1552382999031008</v>
      </c>
      <c r="C3455" t="s">
        <v>40</v>
      </c>
      <c r="D3455">
        <v>3.272602</v>
      </c>
      <c r="E3455">
        <v>0.55947720000000001</v>
      </c>
      <c r="F3455" t="s">
        <v>42</v>
      </c>
      <c r="G3455">
        <v>-305.23840000000001</v>
      </c>
      <c r="H3455">
        <v>0.94920119999999997</v>
      </c>
      <c r="I3455">
        <v>213.58279999999999</v>
      </c>
      <c r="J3455">
        <v>-305.41629999999998</v>
      </c>
      <c r="K3455">
        <v>1.1089739999999999</v>
      </c>
      <c r="L3455">
        <v>213.71350000000001</v>
      </c>
      <c r="M3455">
        <v>0.99908319999999995</v>
      </c>
      <c r="N3455">
        <v>0</v>
      </c>
      <c r="O3455">
        <v>4.0520100000000003E-2</v>
      </c>
      <c r="P3455">
        <v>0.99560090000000001</v>
      </c>
      <c r="Q3455">
        <v>9.3392219999999998E-2</v>
      </c>
      <c r="R3455">
        <v>7.5230560000000002E-3</v>
      </c>
      <c r="S3455">
        <v>3.075043</v>
      </c>
      <c r="T3455">
        <v>-0.63310379999999999</v>
      </c>
      <c r="U3455">
        <v>-0.42082209999999998</v>
      </c>
      <c r="V3455">
        <v>3.2737240000000001E-2</v>
      </c>
      <c r="W3455">
        <v>0.1071636</v>
      </c>
      <c r="X3455">
        <v>0.99370230000000004</v>
      </c>
      <c r="Y3455">
        <v>0.17125850000000001</v>
      </c>
      <c r="Z3455">
        <v>-2.5591760000000002E-2</v>
      </c>
      <c r="AA3455">
        <v>0.98489369999999998</v>
      </c>
      <c r="AB3455">
        <v>62</v>
      </c>
      <c r="AC3455">
        <v>0.177899999999965</v>
      </c>
      <c r="AD3455">
        <v>-0.15977279999999999</v>
      </c>
      <c r="AE3455">
        <v>-0.130700000000018</v>
      </c>
      <c r="AF3455">
        <v>9.0430470834790194E-2</v>
      </c>
      <c r="AG3455">
        <v>-0.15977279999999999</v>
      </c>
      <c r="AH3455">
        <v>0.113172661938869</v>
      </c>
      <c r="AI3455">
        <v>137.80169940341099</v>
      </c>
      <c r="AJ3455">
        <v>51.373441464782097</v>
      </c>
      <c r="AK3455">
        <v>0.215668887616113</v>
      </c>
      <c r="AL3455">
        <v>83.848164889044398</v>
      </c>
      <c r="AM3455">
        <v>88.113089277613696</v>
      </c>
      <c r="AN3455">
        <v>1.00000001253653</v>
      </c>
    </row>
    <row r="3456" spans="1:40" x14ac:dyDescent="0.25">
      <c r="A3456" t="str">
        <f>"20190312172959064"</f>
        <v>20190312172959064</v>
      </c>
      <c r="B3456" t="str">
        <f>"1552382999061264"</f>
        <v>1552382999061264</v>
      </c>
      <c r="C3456" t="s">
        <v>40</v>
      </c>
      <c r="D3456">
        <v>3.2765059999999999</v>
      </c>
      <c r="E3456">
        <v>0.5597008</v>
      </c>
      <c r="F3456" t="s">
        <v>42</v>
      </c>
      <c r="G3456">
        <v>-304.67829999999998</v>
      </c>
      <c r="H3456">
        <v>0.95679040000000004</v>
      </c>
      <c r="I3456">
        <v>213.61199999999999</v>
      </c>
      <c r="J3456">
        <v>-304.80520000000001</v>
      </c>
      <c r="K3456">
        <v>1.108854</v>
      </c>
      <c r="L3456">
        <v>213.7381</v>
      </c>
      <c r="M3456">
        <v>0.99908819999999998</v>
      </c>
      <c r="N3456">
        <v>0</v>
      </c>
      <c r="O3456">
        <v>4.0307299999999997E-2</v>
      </c>
      <c r="P3456">
        <v>0.99553630000000004</v>
      </c>
      <c r="Q3456">
        <v>9.4085710000000003E-2</v>
      </c>
      <c r="R3456">
        <v>7.4543569999999896E-3</v>
      </c>
      <c r="S3456">
        <v>3.0759280000000002</v>
      </c>
      <c r="T3456">
        <v>-0.63428589999999996</v>
      </c>
      <c r="U3456">
        <v>-0.42280580000000001</v>
      </c>
      <c r="V3456">
        <v>3.2631640000000003E-2</v>
      </c>
      <c r="W3456">
        <v>0.10810930000000001</v>
      </c>
      <c r="X3456">
        <v>0.99360329999999997</v>
      </c>
      <c r="Y3456">
        <v>0.1716181</v>
      </c>
      <c r="Z3456">
        <v>-2.5623630000000001E-2</v>
      </c>
      <c r="AA3456">
        <v>0.98483030000000005</v>
      </c>
      <c r="AB3456">
        <v>62</v>
      </c>
      <c r="AC3456">
        <v>0.12690000000003401</v>
      </c>
      <c r="AD3456">
        <v>-0.15206359999999899</v>
      </c>
      <c r="AE3456">
        <v>-0.12610000000000801</v>
      </c>
      <c r="AF3456">
        <v>7.6118053773423802E-2</v>
      </c>
      <c r="AG3456">
        <v>-0.15206359999999899</v>
      </c>
      <c r="AH3456">
        <v>7.0661199257154805E-2</v>
      </c>
      <c r="AI3456">
        <v>145.66670107785001</v>
      </c>
      <c r="AJ3456">
        <v>42.870878882657102</v>
      </c>
      <c r="AK3456">
        <v>0.18414749967260799</v>
      </c>
      <c r="AL3456">
        <v>83.793663439037999</v>
      </c>
      <c r="AM3456">
        <v>88.118984211015402</v>
      </c>
      <c r="AN3456">
        <v>0.99999998122323397</v>
      </c>
    </row>
    <row r="3457" spans="1:40" x14ac:dyDescent="0.25">
      <c r="A3457" t="str">
        <f>"20190312172959078"</f>
        <v>20190312172959078</v>
      </c>
      <c r="B3457" t="str">
        <f>"1552382999071024"</f>
        <v>1552382999071024</v>
      </c>
      <c r="C3457" t="s">
        <v>40</v>
      </c>
      <c r="D3457">
        <v>3.290063</v>
      </c>
      <c r="E3457">
        <v>0.55982880000000002</v>
      </c>
      <c r="F3457" t="s">
        <v>42</v>
      </c>
      <c r="G3457">
        <v>-303.60059999999999</v>
      </c>
      <c r="H3457">
        <v>0.859226499999999</v>
      </c>
      <c r="I3457">
        <v>213.5712</v>
      </c>
      <c r="J3457">
        <v>-304.3707</v>
      </c>
      <c r="K3457">
        <v>1.1087370000000001</v>
      </c>
      <c r="L3457">
        <v>213.75550000000001</v>
      </c>
      <c r="M3457">
        <v>0.99909630000000005</v>
      </c>
      <c r="N3457">
        <v>0</v>
      </c>
      <c r="O3457">
        <v>4.004398E-2</v>
      </c>
      <c r="P3457">
        <v>0.99554529999999997</v>
      </c>
      <c r="Q3457">
        <v>9.400319E-2</v>
      </c>
      <c r="R3457">
        <v>7.2970709999999996E-3</v>
      </c>
      <c r="S3457">
        <v>3.0769039999999999</v>
      </c>
      <c r="T3457">
        <v>-0.63761459999999903</v>
      </c>
      <c r="U3457">
        <v>-0.42567440000000001</v>
      </c>
      <c r="V3457">
        <v>3.2560859999999997E-2</v>
      </c>
      <c r="W3457">
        <v>0.10818659999999999</v>
      </c>
      <c r="X3457">
        <v>0.99359719999999996</v>
      </c>
      <c r="Y3457">
        <v>0.1721694</v>
      </c>
      <c r="Z3457">
        <v>-2.5748360000000001E-2</v>
      </c>
      <c r="AA3457">
        <v>0.98473080000000002</v>
      </c>
      <c r="AB3457">
        <v>62</v>
      </c>
      <c r="AC3457">
        <v>0.770100000000013</v>
      </c>
      <c r="AD3457">
        <v>-0.2495105</v>
      </c>
      <c r="AE3457">
        <v>-0.18430000000000701</v>
      </c>
      <c r="AF3457">
        <v>0.19557494010757101</v>
      </c>
      <c r="AG3457">
        <v>-0.2495105</v>
      </c>
      <c r="AH3457">
        <v>0.693268252719203</v>
      </c>
      <c r="AI3457">
        <v>109.105329988715</v>
      </c>
      <c r="AJ3457">
        <v>74.245937118860198</v>
      </c>
      <c r="AK3457">
        <v>0.76231615294224697</v>
      </c>
      <c r="AL3457">
        <v>83.7892082935508</v>
      </c>
      <c r="AM3457">
        <v>88.123049811621001</v>
      </c>
      <c r="AN3457">
        <v>0.999999972935669</v>
      </c>
    </row>
    <row r="3458" spans="1:40" x14ac:dyDescent="0.25">
      <c r="A3458" t="str">
        <f>"20190312172959098"</f>
        <v>20190312172959098</v>
      </c>
      <c r="B3458" t="str">
        <f>"1552382999090547"</f>
        <v>1552382999090547</v>
      </c>
      <c r="C3458" t="s">
        <v>40</v>
      </c>
      <c r="D3458">
        <v>3.3002359999999999</v>
      </c>
      <c r="E3458">
        <v>0.56004189999999998</v>
      </c>
      <c r="F3458" t="s">
        <v>42</v>
      </c>
      <c r="G3458">
        <v>-303.57089999999999</v>
      </c>
      <c r="H3458">
        <v>0.94258929999999996</v>
      </c>
      <c r="I3458">
        <v>213.6439</v>
      </c>
      <c r="J3458">
        <v>-303.84640000000002</v>
      </c>
      <c r="K3458">
        <v>1.108598</v>
      </c>
      <c r="L3458">
        <v>213.77619999999999</v>
      </c>
      <c r="M3458">
        <v>0.99910980000000005</v>
      </c>
      <c r="N3458">
        <v>0</v>
      </c>
      <c r="O3458">
        <v>3.9635330000000003E-2</v>
      </c>
      <c r="P3458">
        <v>0.99560110000000002</v>
      </c>
      <c r="Q3458">
        <v>9.3424129999999994E-2</v>
      </c>
      <c r="R3458">
        <v>7.1215599999999999E-3</v>
      </c>
      <c r="S3458">
        <v>3.076965</v>
      </c>
      <c r="T3458">
        <v>-0.63923160000000001</v>
      </c>
      <c r="U3458">
        <v>-0.42811579999999999</v>
      </c>
      <c r="V3458">
        <v>3.2373949999999999E-2</v>
      </c>
      <c r="W3458">
        <v>0.10778409999999999</v>
      </c>
      <c r="X3458">
        <v>0.99364710000000001</v>
      </c>
      <c r="Y3458">
        <v>0.17251069999999999</v>
      </c>
      <c r="Z3458">
        <v>-2.576175E-2</v>
      </c>
      <c r="AA3458">
        <v>0.98467070000000001</v>
      </c>
      <c r="AB3458">
        <v>62</v>
      </c>
      <c r="AC3458">
        <v>0.27550000000002201</v>
      </c>
      <c r="AD3458">
        <v>-0.16600870000000001</v>
      </c>
      <c r="AE3458">
        <v>-0.13229999999998601</v>
      </c>
      <c r="AF3458">
        <v>0.110510393717977</v>
      </c>
      <c r="AG3458">
        <v>-0.16600870000000001</v>
      </c>
      <c r="AH3458">
        <v>0.208516103903329</v>
      </c>
      <c r="AI3458">
        <v>125.124662933222</v>
      </c>
      <c r="AJ3458">
        <v>62.077084171659401</v>
      </c>
      <c r="AK3458">
        <v>0.28853145614025499</v>
      </c>
      <c r="AL3458">
        <v>83.812405796919407</v>
      </c>
      <c r="AM3458">
        <v>88.133910131607095</v>
      </c>
      <c r="AN3458">
        <v>1.0000000220949099</v>
      </c>
    </row>
    <row r="3459" spans="1:40" x14ac:dyDescent="0.25">
      <c r="A3459" t="str">
        <f>"20190312172959119"</f>
        <v>20190312172959119</v>
      </c>
      <c r="B3459" t="str">
        <f>"1552382999111044"</f>
        <v>1552382999111044</v>
      </c>
      <c r="C3459" t="s">
        <v>40</v>
      </c>
      <c r="D3459">
        <v>3.2871410000000001</v>
      </c>
      <c r="E3459">
        <v>0.56023040000000002</v>
      </c>
      <c r="F3459" t="s">
        <v>42</v>
      </c>
      <c r="G3459">
        <v>-303.01799999999997</v>
      </c>
      <c r="H3459">
        <v>0.93512790000000001</v>
      </c>
      <c r="I3459">
        <v>213.65989999999999</v>
      </c>
      <c r="J3459">
        <v>-303.25920000000002</v>
      </c>
      <c r="K3459">
        <v>1.1084270000000001</v>
      </c>
      <c r="L3459">
        <v>213.79920000000001</v>
      </c>
      <c r="M3459">
        <v>0.99913070000000004</v>
      </c>
      <c r="N3459">
        <v>0</v>
      </c>
      <c r="O3459">
        <v>3.903533E-2</v>
      </c>
      <c r="P3459">
        <v>0.99564219999999903</v>
      </c>
      <c r="Q3459">
        <v>9.3024579999999996E-2</v>
      </c>
      <c r="R3459">
        <v>6.5854169999999997E-3</v>
      </c>
      <c r="S3459">
        <v>3.0767519999999999</v>
      </c>
      <c r="T3459">
        <v>-0.64432559999999905</v>
      </c>
      <c r="U3459">
        <v>-0.43109130000000001</v>
      </c>
      <c r="V3459">
        <v>3.236493E-2</v>
      </c>
      <c r="W3459">
        <v>0.1075599</v>
      </c>
      <c r="X3459">
        <v>0.99367169999999905</v>
      </c>
      <c r="Y3459">
        <v>0.17279949999999999</v>
      </c>
      <c r="Z3459">
        <v>-2.5868840000000001E-2</v>
      </c>
      <c r="AA3459">
        <v>0.98461719999999997</v>
      </c>
      <c r="AB3459">
        <v>62</v>
      </c>
      <c r="AC3459">
        <v>0.24120000000004799</v>
      </c>
      <c r="AD3459">
        <v>-0.17329910000000001</v>
      </c>
      <c r="AE3459">
        <v>-0.13930000000001899</v>
      </c>
      <c r="AF3459">
        <v>0.107136681037969</v>
      </c>
      <c r="AG3459">
        <v>-0.17329910000000001</v>
      </c>
      <c r="AH3459">
        <v>0.16983388365992999</v>
      </c>
      <c r="AI3459">
        <v>130.79520247491701</v>
      </c>
      <c r="AJ3459">
        <v>57.754951600358503</v>
      </c>
      <c r="AK3459">
        <v>0.26524402825258198</v>
      </c>
      <c r="AL3459">
        <v>83.825326700334102</v>
      </c>
      <c r="AM3459">
        <v>88.134475845058901</v>
      </c>
      <c r="AN3459">
        <v>1.0000000340813999</v>
      </c>
    </row>
    <row r="3460" spans="1:40" x14ac:dyDescent="0.25">
      <c r="A3460" t="str">
        <f>"20190312172959135"</f>
        <v>20190312172959135</v>
      </c>
      <c r="B3460" t="str">
        <f>"1552382999130818"</f>
        <v>1552382999130818</v>
      </c>
      <c r="C3460" t="s">
        <v>40</v>
      </c>
      <c r="D3460">
        <v>3.2984460000000002</v>
      </c>
      <c r="E3460">
        <v>0.55933060000000001</v>
      </c>
      <c r="F3460" t="s">
        <v>42</v>
      </c>
      <c r="G3460">
        <v>-302.46039999999999</v>
      </c>
      <c r="H3460">
        <v>0.94004989999999999</v>
      </c>
      <c r="I3460">
        <v>213.68600000000001</v>
      </c>
      <c r="J3460">
        <v>-302.8211</v>
      </c>
      <c r="K3460">
        <v>1.108285</v>
      </c>
      <c r="L3460">
        <v>213.816</v>
      </c>
      <c r="M3460">
        <v>0.99915080000000001</v>
      </c>
      <c r="N3460">
        <v>0</v>
      </c>
      <c r="O3460">
        <v>3.8470499999999998E-2</v>
      </c>
      <c r="P3460">
        <v>0.99560729999999997</v>
      </c>
      <c r="Q3460">
        <v>9.3440819999999994E-2</v>
      </c>
      <c r="R3460">
        <v>5.9634780000000004E-3</v>
      </c>
      <c r="S3460">
        <v>3.0766300000000002</v>
      </c>
      <c r="T3460">
        <v>-0.64848519999999998</v>
      </c>
      <c r="U3460">
        <v>-0.43534850000000003</v>
      </c>
      <c r="V3460">
        <v>3.2464529999999998E-2</v>
      </c>
      <c r="W3460">
        <v>0.1080904</v>
      </c>
      <c r="X3460">
        <v>0.99361089999999996</v>
      </c>
      <c r="Y3460">
        <v>0.17352390000000001</v>
      </c>
      <c r="Z3460">
        <v>-2.5988819999999999E-2</v>
      </c>
      <c r="AA3460">
        <v>0.98448670000000005</v>
      </c>
      <c r="AB3460">
        <v>62</v>
      </c>
      <c r="AC3460">
        <v>0.36070000000000801</v>
      </c>
      <c r="AD3460">
        <v>-0.168235099999999</v>
      </c>
      <c r="AE3460">
        <v>-0.12999999999999501</v>
      </c>
      <c r="AF3460">
        <v>0.120568320901261</v>
      </c>
      <c r="AG3460">
        <v>-0.168235099999999</v>
      </c>
      <c r="AH3460">
        <v>0.29804756517644398</v>
      </c>
      <c r="AI3460">
        <v>117.621467419651</v>
      </c>
      <c r="AJ3460">
        <v>67.975332895812002</v>
      </c>
      <c r="AK3460">
        <v>0.36286653191575302</v>
      </c>
      <c r="AL3460">
        <v>83.7947531435793</v>
      </c>
      <c r="AM3460">
        <v>88.128624524006696</v>
      </c>
      <c r="AN3460">
        <v>1.0000000504395401</v>
      </c>
    </row>
    <row r="3461" spans="1:40" x14ac:dyDescent="0.25">
      <c r="A3461" t="str">
        <f>"20190312172959148"</f>
        <v>20190312172959148</v>
      </c>
      <c r="B3461" t="str">
        <f>"1552382999140578"</f>
        <v>1552382999140578</v>
      </c>
      <c r="C3461" t="s">
        <v>40</v>
      </c>
      <c r="D3461">
        <v>3.3001140000000002</v>
      </c>
      <c r="E3461">
        <v>0.55933060000000001</v>
      </c>
      <c r="F3461" t="s">
        <v>42</v>
      </c>
      <c r="G3461">
        <v>-301.91289999999998</v>
      </c>
      <c r="H3461">
        <v>0.9195873</v>
      </c>
      <c r="I3461">
        <v>213.6885</v>
      </c>
      <c r="J3461">
        <v>-302.45429999999999</v>
      </c>
      <c r="K3461">
        <v>1.108163</v>
      </c>
      <c r="L3461">
        <v>213.82990000000001</v>
      </c>
      <c r="M3461">
        <v>0.99916959999999999</v>
      </c>
      <c r="N3461">
        <v>0</v>
      </c>
      <c r="O3461">
        <v>3.7933660000000001E-2</v>
      </c>
      <c r="P3461">
        <v>0.99552050000000003</v>
      </c>
      <c r="Q3461">
        <v>9.4409119999999999E-2</v>
      </c>
      <c r="R3461">
        <v>5.066971E-3</v>
      </c>
      <c r="S3461">
        <v>3.0758359999999998</v>
      </c>
      <c r="T3461">
        <v>-0.63912709999999995</v>
      </c>
      <c r="U3461">
        <v>-0.43101499999999998</v>
      </c>
      <c r="V3461">
        <v>3.2860819999999999E-2</v>
      </c>
      <c r="W3461">
        <v>0.10914500000000001</v>
      </c>
      <c r="X3461">
        <v>0.99348250000000005</v>
      </c>
      <c r="Y3461">
        <v>0.1718432</v>
      </c>
      <c r="Z3461">
        <v>-2.534846E-2</v>
      </c>
      <c r="AA3461">
        <v>0.98479810000000001</v>
      </c>
      <c r="AB3461">
        <v>62</v>
      </c>
      <c r="AC3461">
        <v>0.54140000000000998</v>
      </c>
      <c r="AD3461">
        <v>-0.18857570000000001</v>
      </c>
      <c r="AE3461">
        <v>-0.14140000000000399</v>
      </c>
      <c r="AF3461">
        <v>0.145331894131491</v>
      </c>
      <c r="AG3461">
        <v>-0.18857570000000001</v>
      </c>
      <c r="AH3461">
        <v>0.48101520382072299</v>
      </c>
      <c r="AI3461">
        <v>110.570204752679</v>
      </c>
      <c r="AJ3461">
        <v>73.188555782123103</v>
      </c>
      <c r="AK3461">
        <v>0.53671014559912</v>
      </c>
      <c r="AL3461">
        <v>83.733968894662596</v>
      </c>
      <c r="AM3461">
        <v>88.105552812235501</v>
      </c>
      <c r="AN3461">
        <v>0.99999997116116002</v>
      </c>
    </row>
    <row r="3462" spans="1:40" x14ac:dyDescent="0.25">
      <c r="A3462" t="str">
        <f>"20190312172959164"</f>
        <v>20190312172959164</v>
      </c>
      <c r="B3462" t="str">
        <f>"1552382999161074"</f>
        <v>1552382999161074</v>
      </c>
      <c r="C3462" t="s">
        <v>40</v>
      </c>
      <c r="D3462">
        <v>3.3167740000000001</v>
      </c>
      <c r="E3462">
        <v>0.52198690000000003</v>
      </c>
      <c r="F3462" t="s">
        <v>42</v>
      </c>
      <c r="G3462">
        <v>-301.37049999999999</v>
      </c>
      <c r="H3462">
        <v>0.88407029999999998</v>
      </c>
      <c r="I3462">
        <v>213.67699999999999</v>
      </c>
      <c r="J3462">
        <v>-302.01900000000001</v>
      </c>
      <c r="K3462">
        <v>1.108012</v>
      </c>
      <c r="L3462">
        <v>213.84620000000001</v>
      </c>
      <c r="M3462">
        <v>0.99919500000000006</v>
      </c>
      <c r="N3462">
        <v>0</v>
      </c>
      <c r="O3462">
        <v>3.7215499999999999E-2</v>
      </c>
      <c r="P3462">
        <v>0.99542900000000001</v>
      </c>
      <c r="Q3462">
        <v>9.5425499999999996E-2</v>
      </c>
      <c r="R3462">
        <v>3.8878670000000001E-3</v>
      </c>
      <c r="S3462">
        <v>3.0759889999999999</v>
      </c>
      <c r="T3462">
        <v>-0.63593129999999998</v>
      </c>
      <c r="U3462">
        <v>-0.4341583</v>
      </c>
      <c r="V3462">
        <v>3.3367979999999998E-2</v>
      </c>
      <c r="W3462">
        <v>0.11025459999999999</v>
      </c>
      <c r="X3462">
        <v>0.99334310000000003</v>
      </c>
      <c r="Y3462">
        <v>0.17216870000000001</v>
      </c>
      <c r="Z3462">
        <v>-2.5108200000000001E-2</v>
      </c>
      <c r="AA3462">
        <v>0.98474740000000005</v>
      </c>
      <c r="AB3462">
        <v>62</v>
      </c>
      <c r="AC3462">
        <v>0.64850000000001196</v>
      </c>
      <c r="AD3462">
        <v>-0.22394169999999899</v>
      </c>
      <c r="AE3462">
        <v>-0.169199999999989</v>
      </c>
      <c r="AF3462">
        <v>0.17381385473241601</v>
      </c>
      <c r="AG3462">
        <v>-0.22394169999999899</v>
      </c>
      <c r="AH3462">
        <v>0.577299134577269</v>
      </c>
      <c r="AI3462">
        <v>110.377128050913</v>
      </c>
      <c r="AJ3462">
        <v>73.243945077084106</v>
      </c>
      <c r="AK3462">
        <v>0.643144954018528</v>
      </c>
      <c r="AL3462">
        <v>83.670007695537706</v>
      </c>
      <c r="AM3462">
        <v>88.0760667629186</v>
      </c>
      <c r="AN3462">
        <v>1.00000000661402</v>
      </c>
    </row>
    <row r="3463" spans="1:40" x14ac:dyDescent="0.25">
      <c r="A3463" t="str">
        <f>"20190312172959180"</f>
        <v>20190312172959180</v>
      </c>
      <c r="B3463" t="str">
        <f>"1552382999170834"</f>
        <v>1552382999170834</v>
      </c>
      <c r="C3463" t="s">
        <v>40</v>
      </c>
      <c r="D3463">
        <v>3.3270279999999999</v>
      </c>
      <c r="E3463">
        <v>0.52167829999999904</v>
      </c>
      <c r="F3463" t="s">
        <v>42</v>
      </c>
      <c r="G3463">
        <v>-300.7516</v>
      </c>
      <c r="H3463">
        <v>1.0348660000000001</v>
      </c>
      <c r="I3463">
        <v>213.7825</v>
      </c>
      <c r="J3463">
        <v>-301.57670000000002</v>
      </c>
      <c r="K3463">
        <v>1.1078509999999999</v>
      </c>
      <c r="L3463">
        <v>213.8622</v>
      </c>
      <c r="M3463">
        <v>0.99922449999999996</v>
      </c>
      <c r="N3463">
        <v>0</v>
      </c>
      <c r="O3463">
        <v>3.6371979999999998E-2</v>
      </c>
      <c r="P3463">
        <v>0.99536829999999998</v>
      </c>
      <c r="Q3463">
        <v>9.6090830000000002E-2</v>
      </c>
      <c r="R3463">
        <v>2.8843359999999999E-3</v>
      </c>
      <c r="S3463">
        <v>3.0310969999999999</v>
      </c>
      <c r="T3463">
        <v>-0.17502889999999999</v>
      </c>
      <c r="U3463">
        <v>-0.15168760000000001</v>
      </c>
      <c r="V3463">
        <v>3.3578400000000001E-2</v>
      </c>
      <c r="W3463">
        <v>0.1110029</v>
      </c>
      <c r="X3463">
        <v>0.99325260000000004</v>
      </c>
      <c r="Y3463">
        <v>8.6075280000000004E-2</v>
      </c>
      <c r="Z3463">
        <v>-4.5791549999999997E-3</v>
      </c>
      <c r="AA3463">
        <v>0.99627810000000006</v>
      </c>
      <c r="AB3463">
        <v>62</v>
      </c>
      <c r="AC3463">
        <v>0.82510000000002004</v>
      </c>
      <c r="AD3463">
        <v>-7.29849999999998E-2</v>
      </c>
      <c r="AE3463">
        <v>-7.9700000000002505E-2</v>
      </c>
      <c r="AF3463">
        <v>0.108817619201121</v>
      </c>
      <c r="AG3463">
        <v>-7.29849999999998E-2</v>
      </c>
      <c r="AH3463">
        <v>0.815334176516054</v>
      </c>
      <c r="AI3463">
        <v>95.0705007996402</v>
      </c>
      <c r="AJ3463">
        <v>82.398010638066097</v>
      </c>
      <c r="AK3463">
        <v>0.82579531596438105</v>
      </c>
      <c r="AL3463">
        <v>83.626868040009896</v>
      </c>
      <c r="AM3463">
        <v>88.063767287490407</v>
      </c>
      <c r="AN3463">
        <v>0.99999994008086301</v>
      </c>
    </row>
    <row r="3464" spans="1:40" x14ac:dyDescent="0.25">
      <c r="A3464" t="str">
        <f>"20190312172959199"</f>
        <v>20190312172959199</v>
      </c>
      <c r="B3464" t="str">
        <f>"1552382999190909"</f>
        <v>1552382999190909</v>
      </c>
      <c r="C3464" t="s">
        <v>40</v>
      </c>
      <c r="D3464">
        <v>3.386342</v>
      </c>
      <c r="E3464">
        <v>0.52131930000000004</v>
      </c>
      <c r="F3464" t="s">
        <v>48</v>
      </c>
      <c r="G3464">
        <v>-281.47179999999997</v>
      </c>
      <c r="H3464" s="1">
        <v>6.648787E-6</v>
      </c>
      <c r="I3464">
        <v>212.8502</v>
      </c>
      <c r="J3464">
        <v>-301.03480000000002</v>
      </c>
      <c r="K3464">
        <v>1.10765</v>
      </c>
      <c r="L3464">
        <v>213.88149999999999</v>
      </c>
      <c r="M3464">
        <v>0.99926380000000004</v>
      </c>
      <c r="N3464">
        <v>0</v>
      </c>
      <c r="O3464">
        <v>3.5228330000000002E-2</v>
      </c>
      <c r="P3464">
        <v>0.99529230000000002</v>
      </c>
      <c r="Q3464">
        <v>9.6912059999999994E-2</v>
      </c>
      <c r="R3464">
        <v>1.165632E-3</v>
      </c>
      <c r="S3464">
        <v>3.030548</v>
      </c>
      <c r="T3464">
        <v>-0.1669929</v>
      </c>
      <c r="U3464">
        <v>-0.15255739999999901</v>
      </c>
      <c r="V3464">
        <v>3.4216199999999898E-2</v>
      </c>
      <c r="W3464">
        <v>0.1119141</v>
      </c>
      <c r="X3464">
        <v>0.99312869999999998</v>
      </c>
      <c r="Y3464">
        <v>8.5250450000000005E-2</v>
      </c>
      <c r="Z3464">
        <v>-4.2843739999999996E-3</v>
      </c>
      <c r="AA3464">
        <v>0.99635030000000002</v>
      </c>
      <c r="AB3464">
        <v>62</v>
      </c>
      <c r="AC3464">
        <v>19.562999999999999</v>
      </c>
      <c r="AD3464">
        <v>-1.1076433512129999</v>
      </c>
      <c r="AE3464">
        <v>-1.0312999999999799</v>
      </c>
      <c r="AF3464">
        <v>1.71443029059722</v>
      </c>
      <c r="AG3464">
        <v>-1.1076433512129999</v>
      </c>
      <c r="AH3464">
        <v>19.452332671461502</v>
      </c>
      <c r="AI3464">
        <v>93.246426302624698</v>
      </c>
      <c r="AJ3464">
        <v>84.963254084644703</v>
      </c>
      <c r="AK3464">
        <v>19.559125526873899</v>
      </c>
      <c r="AL3464">
        <v>83.574333580598207</v>
      </c>
      <c r="AM3464">
        <v>88.026772645365696</v>
      </c>
      <c r="AN3464">
        <v>1.00000006444246</v>
      </c>
    </row>
    <row r="3465" spans="1:40" x14ac:dyDescent="0.25">
      <c r="A3465" t="str">
        <f>"20190312172959221"</f>
        <v>20190312172959221</v>
      </c>
      <c r="B3465" t="str">
        <f>"1552382999211406"</f>
        <v>1552382999211406</v>
      </c>
      <c r="C3465" t="s">
        <v>40</v>
      </c>
      <c r="D3465">
        <v>3.383337</v>
      </c>
      <c r="E3465">
        <v>0.52135869999999995</v>
      </c>
      <c r="F3465" t="s">
        <v>48</v>
      </c>
      <c r="G3465">
        <v>-280.27510000000001</v>
      </c>
      <c r="H3465" s="1">
        <v>7.1834389999999997E-6</v>
      </c>
      <c r="I3465">
        <v>212.8169</v>
      </c>
      <c r="J3465">
        <v>-300.43259999999998</v>
      </c>
      <c r="K3465">
        <v>1.107429</v>
      </c>
      <c r="L3465">
        <v>213.90209999999999</v>
      </c>
      <c r="M3465">
        <v>0.99931130000000001</v>
      </c>
      <c r="N3465">
        <v>0</v>
      </c>
      <c r="O3465">
        <v>3.3813599999999999E-2</v>
      </c>
      <c r="P3465">
        <v>0.9952607</v>
      </c>
      <c r="Q3465">
        <v>9.724178E-2</v>
      </c>
      <c r="R3465">
        <v>-5.8162519999999996E-4</v>
      </c>
      <c r="S3465">
        <v>3.030151</v>
      </c>
      <c r="T3465">
        <v>-0.1616745</v>
      </c>
      <c r="U3465">
        <v>-0.1553802</v>
      </c>
      <c r="V3465">
        <v>3.4620039999999998E-2</v>
      </c>
      <c r="W3465">
        <v>0.1123311</v>
      </c>
      <c r="X3465">
        <v>0.99306760000000005</v>
      </c>
      <c r="Y3465">
        <v>8.4786340000000002E-2</v>
      </c>
      <c r="Z3465">
        <v>-4.0608229999999999E-3</v>
      </c>
      <c r="AA3465">
        <v>0.99639089999999997</v>
      </c>
      <c r="AB3465">
        <v>62</v>
      </c>
      <c r="AC3465">
        <v>20.157499999999899</v>
      </c>
      <c r="AD3465">
        <v>-1.1074218165609999</v>
      </c>
      <c r="AE3465">
        <v>-1.08519999999998</v>
      </c>
      <c r="AF3465">
        <v>1.76095692674372</v>
      </c>
      <c r="AG3465">
        <v>-1.1074218165609999</v>
      </c>
      <c r="AH3465">
        <v>20.048934086588901</v>
      </c>
      <c r="AI3465">
        <v>93.149473182508601</v>
      </c>
      <c r="AJ3465">
        <v>84.980424545539606</v>
      </c>
      <c r="AK3465">
        <v>20.156564945099898</v>
      </c>
      <c r="AL3465">
        <v>83.550289476032802</v>
      </c>
      <c r="AM3465">
        <v>88.003379438642497</v>
      </c>
      <c r="AN3465">
        <v>1.0000000406832801</v>
      </c>
    </row>
    <row r="3466" spans="1:40" x14ac:dyDescent="0.25">
      <c r="A3466" t="str">
        <f>"20190312172959243"</f>
        <v>20190312172959243</v>
      </c>
      <c r="B3466" t="str">
        <f>"1552382999230926"</f>
        <v>1552382999230926</v>
      </c>
      <c r="C3466" t="s">
        <v>40</v>
      </c>
      <c r="D3466">
        <v>3.3802210000000001</v>
      </c>
      <c r="E3466">
        <v>0.52132579999999995</v>
      </c>
      <c r="F3466" t="s">
        <v>47</v>
      </c>
      <c r="G3466">
        <v>-279.67509999999999</v>
      </c>
      <c r="H3466" s="1">
        <v>3.6913510000000001E-6</v>
      </c>
      <c r="I3466">
        <v>212.79679999999999</v>
      </c>
      <c r="J3466">
        <v>-299.83569999999997</v>
      </c>
      <c r="K3466">
        <v>1.1072200000000001</v>
      </c>
      <c r="L3466">
        <v>213.92160000000001</v>
      </c>
      <c r="M3466">
        <v>0.99936069999999999</v>
      </c>
      <c r="N3466">
        <v>0</v>
      </c>
      <c r="O3466">
        <v>3.2273070000000001E-2</v>
      </c>
      <c r="P3466">
        <v>0.99515779999999998</v>
      </c>
      <c r="Q3466">
        <v>9.8242709999999997E-2</v>
      </c>
      <c r="R3466">
        <v>-3.104664E-3</v>
      </c>
      <c r="S3466">
        <v>3.0299990000000001</v>
      </c>
      <c r="T3466">
        <v>-0.1616524</v>
      </c>
      <c r="U3466">
        <v>-0.16133120000000001</v>
      </c>
      <c r="V3466">
        <v>3.5672240000000001E-2</v>
      </c>
      <c r="W3466">
        <v>0.1134014</v>
      </c>
      <c r="X3466">
        <v>0.99290869999999998</v>
      </c>
      <c r="Y3466">
        <v>8.5206180000000006E-2</v>
      </c>
      <c r="Z3466">
        <v>-3.9893840000000003E-3</v>
      </c>
      <c r="AA3466">
        <v>0.9963554</v>
      </c>
      <c r="AB3466">
        <v>62</v>
      </c>
      <c r="AC3466">
        <v>20.160599999999899</v>
      </c>
      <c r="AD3466">
        <v>-1.1072163086489999</v>
      </c>
      <c r="AE3466">
        <v>-1.12480000000002</v>
      </c>
      <c r="AF3466">
        <v>1.76961447064876</v>
      </c>
      <c r="AG3466">
        <v>-1.1072163086489999</v>
      </c>
      <c r="AH3466">
        <v>20.053493221995002</v>
      </c>
      <c r="AI3466">
        <v>93.148062430068293</v>
      </c>
      <c r="AJ3466">
        <v>84.957014241512496</v>
      </c>
      <c r="AK3466">
        <v>20.1618464862092</v>
      </c>
      <c r="AL3466">
        <v>83.488571407988999</v>
      </c>
      <c r="AM3466">
        <v>87.942418972017606</v>
      </c>
      <c r="AN3466">
        <v>1.00000003638213</v>
      </c>
    </row>
    <row r="3467" spans="1:40" x14ac:dyDescent="0.25">
      <c r="A3467" t="str">
        <f>"20190312172959258"</f>
        <v>20190312172959258</v>
      </c>
      <c r="B3467" t="str">
        <f>"1552382999251422"</f>
        <v>1552382999251422</v>
      </c>
      <c r="C3467" t="s">
        <v>40</v>
      </c>
      <c r="D3467">
        <v>3.407597</v>
      </c>
      <c r="E3467">
        <v>0.52138899999999999</v>
      </c>
      <c r="F3467" t="s">
        <v>47</v>
      </c>
      <c r="G3467">
        <v>-278.63600000000002</v>
      </c>
      <c r="H3467" s="1">
        <v>3.140966E-6</v>
      </c>
      <c r="I3467">
        <v>212.7381</v>
      </c>
      <c r="J3467">
        <v>-299.4171</v>
      </c>
      <c r="K3467">
        <v>1.1070819999999999</v>
      </c>
      <c r="L3467">
        <v>213.93469999999999</v>
      </c>
      <c r="M3467">
        <v>0.99939639999999996</v>
      </c>
      <c r="N3467">
        <v>0</v>
      </c>
      <c r="O3467">
        <v>3.111388E-2</v>
      </c>
      <c r="P3467">
        <v>0.99506030000000001</v>
      </c>
      <c r="Q3467">
        <v>9.9170910000000001E-2</v>
      </c>
      <c r="R3467">
        <v>-4.5258249999999998E-3</v>
      </c>
      <c r="S3467">
        <v>3.0296940000000001</v>
      </c>
      <c r="T3467">
        <v>-0.15823480000000001</v>
      </c>
      <c r="U3467">
        <v>-0.16914370000000001</v>
      </c>
      <c r="V3467">
        <v>3.5982239999999999E-2</v>
      </c>
      <c r="W3467">
        <v>0.11437070000000001</v>
      </c>
      <c r="X3467">
        <v>0.99278630000000001</v>
      </c>
      <c r="Y3467">
        <v>8.6624030000000005E-2</v>
      </c>
      <c r="Z3467">
        <v>-3.8818020000000002E-3</v>
      </c>
      <c r="AA3467">
        <v>0.99623349999999999</v>
      </c>
      <c r="AB3467">
        <v>62</v>
      </c>
      <c r="AC3467">
        <v>20.781099999999999</v>
      </c>
      <c r="AD3467">
        <v>-1.1070788590339999</v>
      </c>
      <c r="AE3467">
        <v>-1.1965999999999799</v>
      </c>
      <c r="AF3467">
        <v>1.8374807488307301</v>
      </c>
      <c r="AG3467">
        <v>-1.1070788590339999</v>
      </c>
      <c r="AH3467">
        <v>20.675317352775402</v>
      </c>
      <c r="AI3467">
        <v>93.053017643284306</v>
      </c>
      <c r="AJ3467">
        <v>84.921286380753699</v>
      </c>
      <c r="AK3467">
        <v>20.786310561050001</v>
      </c>
      <c r="AL3467">
        <v>83.4326707229378</v>
      </c>
      <c r="AM3467">
        <v>87.924298031261799</v>
      </c>
      <c r="AN3467">
        <v>1.00000000804079</v>
      </c>
    </row>
    <row r="3468" spans="1:40" x14ac:dyDescent="0.25">
      <c r="A3468" t="str">
        <f>"20190312172959275"</f>
        <v>20190312172959275</v>
      </c>
      <c r="B3468" t="str">
        <f>"1552382999270942"</f>
        <v>1552382999270942</v>
      </c>
      <c r="C3468" t="s">
        <v>40</v>
      </c>
      <c r="D3468">
        <v>3.410253</v>
      </c>
      <c r="E3468">
        <v>0.52133200000000002</v>
      </c>
      <c r="F3468" t="s">
        <v>47</v>
      </c>
      <c r="G3468">
        <v>-278.12419999999997</v>
      </c>
      <c r="H3468" s="1">
        <v>2.86966E-6</v>
      </c>
      <c r="I3468">
        <v>212.71440000000001</v>
      </c>
      <c r="J3468">
        <v>-298.923</v>
      </c>
      <c r="K3468">
        <v>1.1069359999999999</v>
      </c>
      <c r="L3468">
        <v>213.9496</v>
      </c>
      <c r="M3468">
        <v>0.99943859999999995</v>
      </c>
      <c r="N3468">
        <v>0</v>
      </c>
      <c r="O3468">
        <v>2.9695760000000002E-2</v>
      </c>
      <c r="P3468">
        <v>0.99485270000000003</v>
      </c>
      <c r="Q3468">
        <v>0.1010836</v>
      </c>
      <c r="R3468">
        <v>-7.1139069999999896E-3</v>
      </c>
      <c r="S3468">
        <v>3.0298159999999998</v>
      </c>
      <c r="T3468">
        <v>-0.1575289</v>
      </c>
      <c r="U3468">
        <v>-0.17364499999999999</v>
      </c>
      <c r="V3468">
        <v>3.7208459999999999E-2</v>
      </c>
      <c r="W3468">
        <v>0.1163207</v>
      </c>
      <c r="X3468">
        <v>0.99251449999999997</v>
      </c>
      <c r="Y3468">
        <v>8.6686890000000003E-2</v>
      </c>
      <c r="Z3468">
        <v>-3.7921949999999999E-3</v>
      </c>
      <c r="AA3468">
        <v>0.99622840000000001</v>
      </c>
      <c r="AB3468">
        <v>62</v>
      </c>
      <c r="AC3468">
        <v>20.7988</v>
      </c>
      <c r="AD3468">
        <v>-1.1069331303399901</v>
      </c>
      <c r="AE3468">
        <v>-1.2351999999999901</v>
      </c>
      <c r="AF3468">
        <v>1.8471520027439501</v>
      </c>
      <c r="AG3468">
        <v>-1.1069331303399901</v>
      </c>
      <c r="AH3468">
        <v>20.694529819565201</v>
      </c>
      <c r="AI3468">
        <v>93.049684366294201</v>
      </c>
      <c r="AJ3468">
        <v>84.899411038093405</v>
      </c>
      <c r="AK3468">
        <v>20.806269149685601</v>
      </c>
      <c r="AL3468">
        <v>83.320193164756802</v>
      </c>
      <c r="AM3468">
        <v>87.853039103364694</v>
      </c>
      <c r="AN3468">
        <v>1.0000000037271499</v>
      </c>
    </row>
    <row r="3469" spans="1:40" x14ac:dyDescent="0.25">
      <c r="A3469" t="str">
        <f>"20190312172959300"</f>
        <v>20190312172959300</v>
      </c>
      <c r="B3469" t="str">
        <f>"1552382999291438"</f>
        <v>1552382999291438</v>
      </c>
      <c r="C3469" t="s">
        <v>40</v>
      </c>
      <c r="D3469">
        <v>3.3846669999999999</v>
      </c>
      <c r="E3469">
        <v>0.52140949999999997</v>
      </c>
      <c r="F3469" t="s">
        <v>47</v>
      </c>
      <c r="G3469">
        <v>-277.1216</v>
      </c>
      <c r="H3469" s="1">
        <v>2.3388099999999998E-6</v>
      </c>
      <c r="I3469">
        <v>212.65280000000001</v>
      </c>
      <c r="J3469">
        <v>-298.2636</v>
      </c>
      <c r="K3469">
        <v>1.1067480000000001</v>
      </c>
      <c r="L3469">
        <v>213.96850000000001</v>
      </c>
      <c r="M3469">
        <v>0.99949399999999999</v>
      </c>
      <c r="N3469">
        <v>0</v>
      </c>
      <c r="O3469">
        <v>2.7729509999999999E-2</v>
      </c>
      <c r="P3469">
        <v>0.99477789999999999</v>
      </c>
      <c r="Q3469">
        <v>0.10161580000000001</v>
      </c>
      <c r="R3469">
        <v>-9.5606140000000003E-3</v>
      </c>
      <c r="S3469">
        <v>3.0299070000000001</v>
      </c>
      <c r="T3469">
        <v>-0.15383929999999901</v>
      </c>
      <c r="U3469">
        <v>-0.1802368</v>
      </c>
      <c r="V3469">
        <v>3.7758170000000001E-2</v>
      </c>
      <c r="W3469">
        <v>0.1169022</v>
      </c>
      <c r="X3469">
        <v>0.99242540000000001</v>
      </c>
      <c r="Y3469">
        <v>8.6894849999999996E-2</v>
      </c>
      <c r="Z3469">
        <v>-3.608726E-3</v>
      </c>
      <c r="AA3469">
        <v>0.99621090000000001</v>
      </c>
      <c r="AB3469">
        <v>62</v>
      </c>
      <c r="AC3469">
        <v>21.141999999999999</v>
      </c>
      <c r="AD3469">
        <v>-1.10674566119</v>
      </c>
      <c r="AE3469">
        <v>-1.3156999999999901</v>
      </c>
      <c r="AF3469">
        <v>1.8963458588027899</v>
      </c>
      <c r="AG3469">
        <v>-1.10674566119</v>
      </c>
      <c r="AH3469">
        <v>21.039945948463</v>
      </c>
      <c r="AI3469">
        <v>92.998969842022007</v>
      </c>
      <c r="AJ3469">
        <v>84.849804972632498</v>
      </c>
      <c r="AK3469">
        <v>21.1542038160032</v>
      </c>
      <c r="AL3469">
        <v>83.286646704107596</v>
      </c>
      <c r="AM3469">
        <v>87.821155284866606</v>
      </c>
      <c r="AN3469">
        <v>0.99999998916587396</v>
      </c>
    </row>
    <row r="3470" spans="1:40" x14ac:dyDescent="0.25">
      <c r="A3470" t="str">
        <f>"20190312172959321"</f>
        <v>20190312172959321</v>
      </c>
      <c r="B3470" t="str">
        <f>"1552382999310958"</f>
        <v>1552382999310958</v>
      </c>
      <c r="C3470" t="s">
        <v>40</v>
      </c>
      <c r="D3470">
        <v>3.407159</v>
      </c>
      <c r="E3470">
        <v>0.52153159999999998</v>
      </c>
      <c r="F3470" t="s">
        <v>47</v>
      </c>
      <c r="G3470">
        <v>-276.74200000000002</v>
      </c>
      <c r="H3470" s="1">
        <v>2.1378460000000001E-6</v>
      </c>
      <c r="I3470">
        <v>212.62899999999999</v>
      </c>
      <c r="J3470">
        <v>-297.65660000000003</v>
      </c>
      <c r="K3470">
        <v>1.106598</v>
      </c>
      <c r="L3470">
        <v>213.98480000000001</v>
      </c>
      <c r="M3470">
        <v>0.99954310000000002</v>
      </c>
      <c r="N3470">
        <v>0</v>
      </c>
      <c r="O3470">
        <v>2.586022E-2</v>
      </c>
      <c r="P3470">
        <v>0.99483650000000001</v>
      </c>
      <c r="Q3470">
        <v>0.10077750000000001</v>
      </c>
      <c r="R3470">
        <v>-1.2017379999999999E-2</v>
      </c>
      <c r="S3470">
        <v>3.0298769999999999</v>
      </c>
      <c r="T3470">
        <v>-0.15581120000000001</v>
      </c>
      <c r="U3470">
        <v>-0.18858340000000001</v>
      </c>
      <c r="V3470">
        <v>3.8400360000000001E-2</v>
      </c>
      <c r="W3470">
        <v>0.11610189999999999</v>
      </c>
      <c r="X3470">
        <v>0.99249469999999995</v>
      </c>
      <c r="Y3470">
        <v>8.7764110000000006E-2</v>
      </c>
      <c r="Z3470">
        <v>-3.5809850000000001E-3</v>
      </c>
      <c r="AA3470">
        <v>0.99613490000000005</v>
      </c>
      <c r="AB3470">
        <v>62</v>
      </c>
      <c r="AC3470">
        <v>20.9146</v>
      </c>
      <c r="AD3470">
        <v>-1.106595862154</v>
      </c>
      <c r="AE3470">
        <v>-1.3557999999999799</v>
      </c>
      <c r="AF3470">
        <v>1.8909971731700801</v>
      </c>
      <c r="AG3470">
        <v>-1.106595862154</v>
      </c>
      <c r="AH3470">
        <v>20.814512031228499</v>
      </c>
      <c r="AI3470">
        <v>93.030785444466702</v>
      </c>
      <c r="AJ3470">
        <v>84.808932417215601</v>
      </c>
      <c r="AK3470">
        <v>20.929508733107699</v>
      </c>
      <c r="AL3470">
        <v>83.332814869456598</v>
      </c>
      <c r="AM3470">
        <v>87.7842887474024</v>
      </c>
      <c r="AN3470">
        <v>0.99999998417991398</v>
      </c>
    </row>
    <row r="3471" spans="1:40" x14ac:dyDescent="0.25">
      <c r="A3471" t="str">
        <f>"20190312172959343"</f>
        <v>20190312172959343</v>
      </c>
      <c r="B3471" t="str">
        <f>"1552382999330985"</f>
        <v>1552382999330985</v>
      </c>
      <c r="C3471" t="s">
        <v>40</v>
      </c>
      <c r="D3471">
        <v>3.4538679999999999</v>
      </c>
      <c r="E3471">
        <v>0.52145529999999995</v>
      </c>
      <c r="F3471" t="s">
        <v>47</v>
      </c>
      <c r="G3471">
        <v>-276.78410000000002</v>
      </c>
      <c r="H3471" s="1">
        <v>2.1604640000000002E-6</v>
      </c>
      <c r="I3471">
        <v>212.62370000000001</v>
      </c>
      <c r="J3471">
        <v>-297.05360000000002</v>
      </c>
      <c r="K3471">
        <v>1.1064719999999999</v>
      </c>
      <c r="L3471">
        <v>213.9999</v>
      </c>
      <c r="M3471">
        <v>0.99958979999999997</v>
      </c>
      <c r="N3471">
        <v>0</v>
      </c>
      <c r="O3471">
        <v>2.3963000000000002E-2</v>
      </c>
      <c r="P3471">
        <v>0.99478820000000001</v>
      </c>
      <c r="Q3471">
        <v>0.1009709</v>
      </c>
      <c r="R3471">
        <v>-1.419698E-2</v>
      </c>
      <c r="S3471">
        <v>3.02948</v>
      </c>
      <c r="T3471">
        <v>-0.16061329999999999</v>
      </c>
      <c r="U3471">
        <v>-0.19755549999999999</v>
      </c>
      <c r="V3471">
        <v>3.8735459999999999E-2</v>
      </c>
      <c r="W3471">
        <v>0.1163254</v>
      </c>
      <c r="X3471">
        <v>0.99245550000000005</v>
      </c>
      <c r="Y3471">
        <v>8.8811520000000005E-2</v>
      </c>
      <c r="Z3471">
        <v>-3.6186259999999998E-3</v>
      </c>
      <c r="AA3471">
        <v>0.99604190000000004</v>
      </c>
      <c r="AB3471">
        <v>62</v>
      </c>
      <c r="AC3471">
        <v>20.269499999999901</v>
      </c>
      <c r="AD3471">
        <v>-1.106469839536</v>
      </c>
      <c r="AE3471">
        <v>-1.3761999999999801</v>
      </c>
      <c r="AF3471">
        <v>1.85607707006022</v>
      </c>
      <c r="AG3471">
        <v>-1.106469839536</v>
      </c>
      <c r="AH3471">
        <v>20.1708659923544</v>
      </c>
      <c r="AI3471">
        <v>93.126621978599502</v>
      </c>
      <c r="AJ3471">
        <v>84.742578381818106</v>
      </c>
      <c r="AK3471">
        <v>20.286279414356098</v>
      </c>
      <c r="AL3471">
        <v>83.319921854741594</v>
      </c>
      <c r="AM3471">
        <v>87.764884720428896</v>
      </c>
      <c r="AN3471">
        <v>0.99999997701341004</v>
      </c>
    </row>
    <row r="3472" spans="1:40" x14ac:dyDescent="0.25">
      <c r="A3472" t="str">
        <f>"20190312172959366"</f>
        <v>20190312172959366</v>
      </c>
      <c r="B3472" t="str">
        <f>"1552382999361241"</f>
        <v>1552382999361241</v>
      </c>
      <c r="C3472" t="s">
        <v>40</v>
      </c>
      <c r="D3472">
        <v>3.4571070000000002</v>
      </c>
      <c r="E3472">
        <v>0.52096330000000002</v>
      </c>
      <c r="F3472" t="s">
        <v>42</v>
      </c>
      <c r="G3472">
        <v>-295.77249999999998</v>
      </c>
      <c r="H3472">
        <v>1.038154</v>
      </c>
      <c r="I3472">
        <v>213.9135</v>
      </c>
      <c r="J3472">
        <v>-296.44920000000002</v>
      </c>
      <c r="K3472">
        <v>1.1063639999999999</v>
      </c>
      <c r="L3472">
        <v>214.01390000000001</v>
      </c>
      <c r="M3472">
        <v>0.99963360000000001</v>
      </c>
      <c r="N3472">
        <v>0</v>
      </c>
      <c r="O3472">
        <v>2.2031240000000001E-2</v>
      </c>
      <c r="P3472">
        <v>0.99469010000000002</v>
      </c>
      <c r="Q3472">
        <v>0.10153429999999999</v>
      </c>
      <c r="R3472">
        <v>-1.680425E-2</v>
      </c>
      <c r="S3472">
        <v>3.0292050000000001</v>
      </c>
      <c r="T3472">
        <v>-0.1615605</v>
      </c>
      <c r="U3472">
        <v>-0.20411679999999999</v>
      </c>
      <c r="V3472">
        <v>3.946061E-2</v>
      </c>
      <c r="W3472">
        <v>0.1169108</v>
      </c>
      <c r="X3472">
        <v>0.99235810000000002</v>
      </c>
      <c r="Y3472">
        <v>8.9041060000000005E-2</v>
      </c>
      <c r="Z3472">
        <v>-3.543254E-3</v>
      </c>
      <c r="AA3472">
        <v>0.99602159999999995</v>
      </c>
      <c r="AB3472">
        <v>62</v>
      </c>
      <c r="AC3472">
        <v>0.67670000000003905</v>
      </c>
      <c r="AD3472">
        <v>-6.8209999999999799E-2</v>
      </c>
      <c r="AE3472">
        <v>-0.100400000000007</v>
      </c>
      <c r="AF3472">
        <v>0.114151186719361</v>
      </c>
      <c r="AG3472">
        <v>-6.8209999999999799E-2</v>
      </c>
      <c r="AH3472">
        <v>0.66768577326261502</v>
      </c>
      <c r="AI3472">
        <v>95.750174218370304</v>
      </c>
      <c r="AJ3472">
        <v>80.298201797090996</v>
      </c>
      <c r="AK3472">
        <v>0.68079908148199997</v>
      </c>
      <c r="AL3472">
        <v>83.286150204871603</v>
      </c>
      <c r="AM3472">
        <v>87.722862473198802</v>
      </c>
      <c r="AN3472">
        <v>0.99999993676690901</v>
      </c>
    </row>
    <row r="3473" spans="1:40" x14ac:dyDescent="0.25">
      <c r="A3473" t="str">
        <f>"20190312172959380"</f>
        <v>20190312172959380</v>
      </c>
      <c r="B3473" t="str">
        <f>"1552382999371000"</f>
        <v>1552382999371000</v>
      </c>
      <c r="C3473" t="s">
        <v>40</v>
      </c>
      <c r="D3473">
        <v>3.4242849999999998</v>
      </c>
      <c r="E3473">
        <v>0.52085939999999997</v>
      </c>
      <c r="F3473" t="s">
        <v>42</v>
      </c>
      <c r="G3473">
        <v>-295.21679999999998</v>
      </c>
      <c r="H3473">
        <v>1.0438379999999901</v>
      </c>
      <c r="I3473">
        <v>213.92869999999999</v>
      </c>
      <c r="J3473">
        <v>-296.0222</v>
      </c>
      <c r="K3473">
        <v>1.106287</v>
      </c>
      <c r="L3473">
        <v>214.023</v>
      </c>
      <c r="M3473">
        <v>0.99966270000000002</v>
      </c>
      <c r="N3473">
        <v>0</v>
      </c>
      <c r="O3473">
        <v>2.0654530000000001E-2</v>
      </c>
      <c r="P3473">
        <v>0.99463109999999999</v>
      </c>
      <c r="Q3473">
        <v>0.10186530000000001</v>
      </c>
      <c r="R3473">
        <v>-1.8235950000000001E-2</v>
      </c>
      <c r="S3473">
        <v>3.028168</v>
      </c>
      <c r="T3473">
        <v>-0.15369379999999999</v>
      </c>
      <c r="U3473">
        <v>-0.20866390000000001</v>
      </c>
      <c r="V3473">
        <v>3.9548529999999998E-2</v>
      </c>
      <c r="W3473">
        <v>0.1172565</v>
      </c>
      <c r="X3473">
        <v>0.99231389999999997</v>
      </c>
      <c r="Y3473">
        <v>8.9197410000000005E-2</v>
      </c>
      <c r="Z3473">
        <v>-3.3061269999999999E-3</v>
      </c>
      <c r="AA3473">
        <v>0.99600849999999996</v>
      </c>
      <c r="AB3473">
        <v>62</v>
      </c>
      <c r="AC3473">
        <v>0.80540000000001999</v>
      </c>
      <c r="AD3473">
        <v>-6.2449000000000199E-2</v>
      </c>
      <c r="AE3473">
        <v>-9.4300000000004006E-2</v>
      </c>
      <c r="AF3473">
        <v>0.11026314828285599</v>
      </c>
      <c r="AG3473">
        <v>-6.2449000000000199E-2</v>
      </c>
      <c r="AH3473">
        <v>0.79854416073183598</v>
      </c>
      <c r="AI3473">
        <v>94.4297728662347</v>
      </c>
      <c r="AJ3473">
        <v>82.138299110465894</v>
      </c>
      <c r="AK3473">
        <v>0.80853609449990504</v>
      </c>
      <c r="AL3473">
        <v>83.266206470575696</v>
      </c>
      <c r="AM3473">
        <v>87.717692720629302</v>
      </c>
      <c r="AN3473">
        <v>1.00000002457531</v>
      </c>
    </row>
    <row r="3474" spans="1:40" x14ac:dyDescent="0.25">
      <c r="A3474" t="str">
        <f>"20190312172959401"</f>
        <v>20190312172959401</v>
      </c>
      <c r="B3474" t="str">
        <f>"1552382999390520"</f>
        <v>1552382999390520</v>
      </c>
      <c r="C3474" t="s">
        <v>40</v>
      </c>
      <c r="D3474">
        <v>3.4430580000000002</v>
      </c>
      <c r="E3474">
        <v>0.52056859999999905</v>
      </c>
      <c r="F3474" t="s">
        <v>47</v>
      </c>
      <c r="G3474">
        <v>-273.77269999999999</v>
      </c>
      <c r="H3474" s="1">
        <v>5.6492949999999995E-7</v>
      </c>
      <c r="I3474">
        <v>212.4639</v>
      </c>
      <c r="J3474">
        <v>-295.48630000000003</v>
      </c>
      <c r="K3474">
        <v>1.1062000000000001</v>
      </c>
      <c r="L3474">
        <v>214.03370000000001</v>
      </c>
      <c r="M3474">
        <v>0.99969649999999999</v>
      </c>
      <c r="N3474">
        <v>0</v>
      </c>
      <c r="O3474">
        <v>1.8915890000000001E-2</v>
      </c>
      <c r="P3474">
        <v>0.99449460000000001</v>
      </c>
      <c r="Q3474">
        <v>0.1027651</v>
      </c>
      <c r="R3474">
        <v>-2.0488889999999999E-2</v>
      </c>
      <c r="S3474">
        <v>3.027679</v>
      </c>
      <c r="T3474">
        <v>-0.15054200000000001</v>
      </c>
      <c r="U3474">
        <v>-0.21215819999999999</v>
      </c>
      <c r="V3474">
        <v>4.010391E-2</v>
      </c>
      <c r="W3474">
        <v>0.1181685</v>
      </c>
      <c r="X3474">
        <v>0.99218340000000005</v>
      </c>
      <c r="Y3474">
        <v>8.8628709999999999E-2</v>
      </c>
      <c r="Z3474">
        <v>-3.1383779999999998E-3</v>
      </c>
      <c r="AA3474">
        <v>0.99605980000000005</v>
      </c>
      <c r="AB3474">
        <v>62</v>
      </c>
      <c r="AC3474">
        <v>21.7136</v>
      </c>
      <c r="AD3474">
        <v>-1.1061994350705</v>
      </c>
      <c r="AE3474">
        <v>-1.5698000000000101</v>
      </c>
      <c r="AF3474">
        <v>1.9752025210465001</v>
      </c>
      <c r="AG3474">
        <v>-1.1061994350705</v>
      </c>
      <c r="AH3474">
        <v>21.624184685855901</v>
      </c>
      <c r="AI3474">
        <v>92.916330978108803</v>
      </c>
      <c r="AJ3474">
        <v>84.780955094586602</v>
      </c>
      <c r="AK3474">
        <v>21.742365683552102</v>
      </c>
      <c r="AL3474">
        <v>83.2135867839893</v>
      </c>
      <c r="AM3474">
        <v>87.685372821603195</v>
      </c>
      <c r="AN3474">
        <v>1.00000000861254</v>
      </c>
    </row>
    <row r="3475" spans="1:40" x14ac:dyDescent="0.25">
      <c r="A3475" t="str">
        <f>"20190312172959422"</f>
        <v>20190312172959422</v>
      </c>
      <c r="B3475" t="str">
        <f>"1552382999411017"</f>
        <v>1552382999411017</v>
      </c>
      <c r="C3475" t="s">
        <v>40</v>
      </c>
      <c r="D3475">
        <v>3.4382709999999999</v>
      </c>
      <c r="E3475">
        <v>0.5203236</v>
      </c>
      <c r="F3475" t="s">
        <v>47</v>
      </c>
      <c r="G3475">
        <v>-272.3424</v>
      </c>
      <c r="H3475" s="1">
        <v>-1.925366E-7</v>
      </c>
      <c r="I3475">
        <v>212.37979999999999</v>
      </c>
      <c r="J3475">
        <v>-294.87549999999999</v>
      </c>
      <c r="K3475">
        <v>1.1061099999999999</v>
      </c>
      <c r="L3475">
        <v>214.04480000000001</v>
      </c>
      <c r="M3475">
        <v>0.99973199999999995</v>
      </c>
      <c r="N3475">
        <v>0</v>
      </c>
      <c r="O3475">
        <v>1.6922449999999999E-2</v>
      </c>
      <c r="P3475">
        <v>0.99442739999999996</v>
      </c>
      <c r="Q3475">
        <v>0.10295169999999999</v>
      </c>
      <c r="R3475">
        <v>-2.2704080000000001E-2</v>
      </c>
      <c r="S3475">
        <v>3.027069</v>
      </c>
      <c r="T3475">
        <v>-0.1446836</v>
      </c>
      <c r="U3475">
        <v>-0.21632390000000001</v>
      </c>
      <c r="V3475">
        <v>4.0365579999999998E-2</v>
      </c>
      <c r="W3475">
        <v>0.11837019999999999</v>
      </c>
      <c r="X3475">
        <v>0.99214880000000005</v>
      </c>
      <c r="Y3475">
        <v>8.8033420000000001E-2</v>
      </c>
      <c r="Z3475">
        <v>-2.9075160000000002E-3</v>
      </c>
      <c r="AA3475">
        <v>0.99611329999999998</v>
      </c>
      <c r="AB3475">
        <v>62</v>
      </c>
      <c r="AC3475">
        <v>22.533099999999902</v>
      </c>
      <c r="AD3475">
        <v>-1.1061101925365999</v>
      </c>
      <c r="AE3475">
        <v>-1.66500000000002</v>
      </c>
      <c r="AF3475">
        <v>2.0412324117093799</v>
      </c>
      <c r="AG3475">
        <v>-1.1061101925365999</v>
      </c>
      <c r="AH3475">
        <v>22.447895219280898</v>
      </c>
      <c r="AI3475">
        <v>92.809370587826507</v>
      </c>
      <c r="AJ3475">
        <v>84.804268237930103</v>
      </c>
      <c r="AK3475">
        <v>22.567634109326999</v>
      </c>
      <c r="AL3475">
        <v>83.201948913179706</v>
      </c>
      <c r="AM3475">
        <v>87.670205772213293</v>
      </c>
      <c r="AN3475">
        <v>1.0000000628190999</v>
      </c>
    </row>
    <row r="3476" spans="1:40" x14ac:dyDescent="0.25">
      <c r="A3476" t="str">
        <f>"20190312172959443"</f>
        <v>20190312172959443</v>
      </c>
      <c r="B3476" t="str">
        <f>"1552382999430536"</f>
        <v>1552382999430536</v>
      </c>
      <c r="C3476" t="s">
        <v>40</v>
      </c>
      <c r="D3476">
        <v>3.4502169999999999</v>
      </c>
      <c r="E3476">
        <v>0.5201247</v>
      </c>
      <c r="F3476" t="s">
        <v>47</v>
      </c>
      <c r="G3476">
        <v>-271.1617</v>
      </c>
      <c r="H3476" s="1">
        <v>-8.1791559999999998E-7</v>
      </c>
      <c r="I3476">
        <v>212.31280000000001</v>
      </c>
      <c r="J3476">
        <v>-294.31189999999998</v>
      </c>
      <c r="K3476">
        <v>1.1060430000000001</v>
      </c>
      <c r="L3476">
        <v>214.054</v>
      </c>
      <c r="M3476">
        <v>0.99976120000000002</v>
      </c>
      <c r="N3476">
        <v>0</v>
      </c>
      <c r="O3476">
        <v>1.507209E-2</v>
      </c>
      <c r="P3476">
        <v>0.99454500000000001</v>
      </c>
      <c r="Q3476">
        <v>0.1013101</v>
      </c>
      <c r="R3476">
        <v>-2.4834700000000001E-2</v>
      </c>
      <c r="S3476">
        <v>3.0263979999999999</v>
      </c>
      <c r="T3476">
        <v>-0.1411635</v>
      </c>
      <c r="U3476">
        <v>-0.22103880000000001</v>
      </c>
      <c r="V3476">
        <v>4.0669440000000001E-2</v>
      </c>
      <c r="W3476">
        <v>0.1167417</v>
      </c>
      <c r="X3476">
        <v>0.99232920000000002</v>
      </c>
      <c r="Y3476">
        <v>8.7757329999999995E-2</v>
      </c>
      <c r="Z3476">
        <v>-2.744724E-3</v>
      </c>
      <c r="AA3476">
        <v>0.99613810000000003</v>
      </c>
      <c r="AB3476">
        <v>62</v>
      </c>
      <c r="AC3476">
        <v>23.150199999999899</v>
      </c>
      <c r="AD3476">
        <v>-1.1060438179156</v>
      </c>
      <c r="AE3476">
        <v>-1.7411999999999901</v>
      </c>
      <c r="AF3476">
        <v>2.0852347130922801</v>
      </c>
      <c r="AG3476">
        <v>-1.1060438179156</v>
      </c>
      <c r="AH3476">
        <v>23.068961242264699</v>
      </c>
      <c r="AI3476">
        <v>92.733821526451095</v>
      </c>
      <c r="AJ3476">
        <v>84.834993279265703</v>
      </c>
      <c r="AK3476">
        <v>23.189405113821799</v>
      </c>
      <c r="AL3476">
        <v>83.295905708891794</v>
      </c>
      <c r="AM3476">
        <v>87.653113574373094</v>
      </c>
      <c r="AN3476">
        <v>0.999999934520719</v>
      </c>
    </row>
    <row r="3477" spans="1:40" x14ac:dyDescent="0.25">
      <c r="A3477" t="str">
        <f>"20190312172959459"</f>
        <v>20190312172959459</v>
      </c>
      <c r="B3477" t="str">
        <f>"1552382999451033"</f>
        <v>1552382999451033</v>
      </c>
      <c r="C3477" t="s">
        <v>40</v>
      </c>
      <c r="D3477">
        <v>3.4502190000000001</v>
      </c>
      <c r="E3477">
        <v>0.51994739999999995</v>
      </c>
      <c r="F3477" t="s">
        <v>47</v>
      </c>
      <c r="G3477">
        <v>-271.03829999999999</v>
      </c>
      <c r="H3477" s="1">
        <v>-8.8375940000000001E-7</v>
      </c>
      <c r="I3477">
        <v>212.31729999999999</v>
      </c>
      <c r="J3477">
        <v>-293.85140000000001</v>
      </c>
      <c r="K3477">
        <v>1.1059920000000001</v>
      </c>
      <c r="L3477">
        <v>214.06059999999999</v>
      </c>
      <c r="M3477">
        <v>0.99978270000000002</v>
      </c>
      <c r="N3477">
        <v>0</v>
      </c>
      <c r="O3477">
        <v>1.3552929999999999E-2</v>
      </c>
      <c r="P3477">
        <v>0.99461239999999995</v>
      </c>
      <c r="Q3477">
        <v>0.1001927</v>
      </c>
      <c r="R3477">
        <v>-2.6605319999999998E-2</v>
      </c>
      <c r="S3477">
        <v>3.0254819999999998</v>
      </c>
      <c r="T3477">
        <v>-0.14378189999999999</v>
      </c>
      <c r="U3477">
        <v>-0.2257538</v>
      </c>
      <c r="V3477">
        <v>4.0938339999999997E-2</v>
      </c>
      <c r="W3477">
        <v>0.115633</v>
      </c>
      <c r="X3477">
        <v>0.992448</v>
      </c>
      <c r="Y3477">
        <v>8.7807029999999994E-2</v>
      </c>
      <c r="Z3477">
        <v>-2.725365E-3</v>
      </c>
      <c r="AA3477">
        <v>0.99613379999999996</v>
      </c>
      <c r="AB3477">
        <v>61</v>
      </c>
      <c r="AC3477">
        <v>22.813099999999999</v>
      </c>
      <c r="AD3477">
        <v>-1.1059928837594</v>
      </c>
      <c r="AE3477">
        <v>-1.7433000000000001</v>
      </c>
      <c r="AF3477">
        <v>2.0475783585299099</v>
      </c>
      <c r="AG3477">
        <v>-1.1059928837594</v>
      </c>
      <c r="AH3477">
        <v>22.734250750631698</v>
      </c>
      <c r="AI3477">
        <v>92.773961613849494</v>
      </c>
      <c r="AJ3477">
        <v>84.853496000747199</v>
      </c>
      <c r="AK3477">
        <v>22.853051318934298</v>
      </c>
      <c r="AL3477">
        <v>83.359863048164499</v>
      </c>
      <c r="AM3477">
        <v>87.637896316688099</v>
      </c>
      <c r="AN3477">
        <v>0.99999998553747704</v>
      </c>
    </row>
    <row r="3478" spans="1:40" x14ac:dyDescent="0.25">
      <c r="A3478" t="str">
        <f>"20190312172959473"</f>
        <v>20190312172959473</v>
      </c>
      <c r="B3478" t="str">
        <f>"1552382999460793"</f>
        <v>1552382999460793</v>
      </c>
      <c r="C3478" t="s">
        <v>40</v>
      </c>
      <c r="D3478">
        <v>3.4284690000000002</v>
      </c>
      <c r="E3478">
        <v>0.51983049999999997</v>
      </c>
      <c r="F3478" t="s">
        <v>47</v>
      </c>
      <c r="G3478">
        <v>-270.83280000000002</v>
      </c>
      <c r="H3478" s="1">
        <v>-9.9290320000000002E-7</v>
      </c>
      <c r="I3478">
        <v>212.31229999999999</v>
      </c>
      <c r="J3478">
        <v>-293.47469999999998</v>
      </c>
      <c r="K3478">
        <v>1.105953</v>
      </c>
      <c r="L3478">
        <v>214.06549999999999</v>
      </c>
      <c r="M3478">
        <v>0.99979859999999998</v>
      </c>
      <c r="N3478">
        <v>0</v>
      </c>
      <c r="O3478">
        <v>1.2306249999999999E-2</v>
      </c>
      <c r="P3478">
        <v>0.99464370000000002</v>
      </c>
      <c r="Q3478">
        <v>9.9556069999999997E-2</v>
      </c>
      <c r="R3478">
        <v>-2.779885E-2</v>
      </c>
      <c r="S3478">
        <v>3.0247799999999998</v>
      </c>
      <c r="T3478">
        <v>-0.14533409999999999</v>
      </c>
      <c r="U3478">
        <v>-0.2297363</v>
      </c>
      <c r="V3478">
        <v>4.0899650000000003E-2</v>
      </c>
      <c r="W3478">
        <v>0.115004</v>
      </c>
      <c r="X3478">
        <v>0.99252269999999998</v>
      </c>
      <c r="Y3478">
        <v>8.7885060000000001E-2</v>
      </c>
      <c r="Z3478">
        <v>-2.6973280000000001E-3</v>
      </c>
      <c r="AA3478">
        <v>0.99612690000000004</v>
      </c>
      <c r="AB3478">
        <v>61</v>
      </c>
      <c r="AC3478">
        <v>22.6418999999999</v>
      </c>
      <c r="AD3478">
        <v>-1.1059539929031901</v>
      </c>
      <c r="AE3478">
        <v>-1.7531999999999901</v>
      </c>
      <c r="AF3478">
        <v>2.0269319156806</v>
      </c>
      <c r="AG3478">
        <v>-1.1059539929031901</v>
      </c>
      <c r="AH3478">
        <v>22.565090283996401</v>
      </c>
      <c r="AI3478">
        <v>92.7946855065601</v>
      </c>
      <c r="AJ3478">
        <v>84.867124665692998</v>
      </c>
      <c r="AK3478">
        <v>22.6829205956846</v>
      </c>
      <c r="AL3478">
        <v>83.396144275235898</v>
      </c>
      <c r="AM3478">
        <v>87.640303578088293</v>
      </c>
      <c r="AN3478">
        <v>1.0000000057006999</v>
      </c>
    </row>
    <row r="3479" spans="1:40" x14ac:dyDescent="0.25">
      <c r="A3479" t="str">
        <f>"20190312172959489"</f>
        <v>20190312172959489</v>
      </c>
      <c r="B3479" t="str">
        <f>"1552382999481289"</f>
        <v>1552382999481289</v>
      </c>
      <c r="C3479" t="s">
        <v>40</v>
      </c>
      <c r="D3479">
        <v>3.4792550000000002</v>
      </c>
      <c r="E3479">
        <v>0.51957989999999998</v>
      </c>
      <c r="F3479" t="s">
        <v>47</v>
      </c>
      <c r="G3479">
        <v>-270.60809999999998</v>
      </c>
      <c r="H3479" s="1">
        <v>-1.112303E-6</v>
      </c>
      <c r="I3479">
        <v>212.30869999999999</v>
      </c>
      <c r="J3479">
        <v>-293.06720000000001</v>
      </c>
      <c r="K3479">
        <v>1.105915</v>
      </c>
      <c r="L3479">
        <v>214.0703</v>
      </c>
      <c r="M3479">
        <v>0.99981419999999999</v>
      </c>
      <c r="N3479">
        <v>0</v>
      </c>
      <c r="O3479">
        <v>1.095373E-2</v>
      </c>
      <c r="P3479">
        <v>0.9946914</v>
      </c>
      <c r="Q3479">
        <v>9.8631339999999998E-2</v>
      </c>
      <c r="R3479">
        <v>-2.934169E-2</v>
      </c>
      <c r="S3479">
        <v>3.024292</v>
      </c>
      <c r="T3479">
        <v>-0.14627129999999999</v>
      </c>
      <c r="U3479">
        <v>-0.23234560000000001</v>
      </c>
      <c r="V3479">
        <v>4.1102630000000001E-2</v>
      </c>
      <c r="W3479">
        <v>0.11408550000000001</v>
      </c>
      <c r="X3479">
        <v>0.99262030000000001</v>
      </c>
      <c r="Y3479">
        <v>8.7404720000000005E-2</v>
      </c>
      <c r="Z3479">
        <v>-2.6381579999999998E-3</v>
      </c>
      <c r="AA3479">
        <v>0.99616939999999998</v>
      </c>
      <c r="AB3479">
        <v>61</v>
      </c>
      <c r="AC3479">
        <v>22.459099999999999</v>
      </c>
      <c r="AD3479">
        <v>-1.1059161123029999</v>
      </c>
      <c r="AE3479">
        <v>-1.76160000000001</v>
      </c>
      <c r="AF3479">
        <v>2.0027098604429399</v>
      </c>
      <c r="AG3479">
        <v>-1.1059161123029999</v>
      </c>
      <c r="AH3479">
        <v>22.384509679460901</v>
      </c>
      <c r="AI3479">
        <v>92.817187725208498</v>
      </c>
      <c r="AJ3479">
        <v>84.887441450857395</v>
      </c>
      <c r="AK3479">
        <v>22.5011148795442</v>
      </c>
      <c r="AL3479">
        <v>83.449119047387001</v>
      </c>
      <c r="AM3479">
        <v>87.6288389301465</v>
      </c>
      <c r="AN3479">
        <v>0.99999999373762805</v>
      </c>
    </row>
    <row r="3480" spans="1:40" x14ac:dyDescent="0.25">
      <c r="A3480" t="str">
        <f>"20190312172959503"</f>
        <v>20190312172959503</v>
      </c>
      <c r="B3480" t="str">
        <f>"1552382999491049"</f>
        <v>1552382999491049</v>
      </c>
      <c r="C3480" t="s">
        <v>40</v>
      </c>
      <c r="D3480">
        <v>3.493716</v>
      </c>
      <c r="E3480">
        <v>0.51944330000000005</v>
      </c>
      <c r="F3480" t="s">
        <v>47</v>
      </c>
      <c r="G3480">
        <v>-270.29860000000002</v>
      </c>
      <c r="H3480" s="1">
        <v>-1.276692E-6</v>
      </c>
      <c r="I3480">
        <v>212.30179999999999</v>
      </c>
      <c r="J3480">
        <v>-292.64510000000001</v>
      </c>
      <c r="K3480">
        <v>1.10588</v>
      </c>
      <c r="L3480">
        <v>214.07490000000001</v>
      </c>
      <c r="M3480">
        <v>0.99982839999999995</v>
      </c>
      <c r="N3480">
        <v>0</v>
      </c>
      <c r="O3480">
        <v>9.5483660000000008E-3</v>
      </c>
      <c r="P3480">
        <v>0.9946779</v>
      </c>
      <c r="Q3480">
        <v>9.8268320000000006E-2</v>
      </c>
      <c r="R3480">
        <v>-3.0969199999999999E-2</v>
      </c>
      <c r="S3480">
        <v>3.0236510000000001</v>
      </c>
      <c r="T3480">
        <v>-0.14686489999999999</v>
      </c>
      <c r="U3480">
        <v>-0.2348633</v>
      </c>
      <c r="V3480">
        <v>4.1340120000000001E-2</v>
      </c>
      <c r="W3480">
        <v>0.11372690000000001</v>
      </c>
      <c r="X3480">
        <v>0.99265159999999997</v>
      </c>
      <c r="Y3480">
        <v>8.6846510000000002E-2</v>
      </c>
      <c r="Z3480">
        <v>-2.5676589999999999E-3</v>
      </c>
      <c r="AA3480">
        <v>0.99621839999999995</v>
      </c>
      <c r="AB3480">
        <v>61</v>
      </c>
      <c r="AC3480">
        <v>22.346499999999899</v>
      </c>
      <c r="AD3480">
        <v>-1.1058812766920001</v>
      </c>
      <c r="AE3480">
        <v>-1.7731000000000201</v>
      </c>
      <c r="AF3480">
        <v>1.9815959316932501</v>
      </c>
      <c r="AG3480">
        <v>-1.1058812766920001</v>
      </c>
      <c r="AH3480">
        <v>22.274338977855301</v>
      </c>
      <c r="AI3480">
        <v>92.8311365540997</v>
      </c>
      <c r="AJ3480">
        <v>84.916169214469306</v>
      </c>
      <c r="AK3480">
        <v>22.389637619556101</v>
      </c>
      <c r="AL3480">
        <v>83.469799996787103</v>
      </c>
      <c r="AM3480">
        <v>87.615229303722302</v>
      </c>
      <c r="AN3480">
        <v>1.0000000061438901</v>
      </c>
    </row>
    <row r="3481" spans="1:40" x14ac:dyDescent="0.25">
      <c r="A3481" t="str">
        <f>"20190312172959521"</f>
        <v>20190312172959521</v>
      </c>
      <c r="B3481" t="str">
        <f>"1552382999510569"</f>
        <v>1552382999510569</v>
      </c>
      <c r="C3481" t="s">
        <v>40</v>
      </c>
      <c r="D3481">
        <v>3.455355</v>
      </c>
      <c r="E3481">
        <v>0.51921019999999996</v>
      </c>
      <c r="F3481" t="s">
        <v>42</v>
      </c>
      <c r="G3481">
        <v>-291.36559999999997</v>
      </c>
      <c r="H3481">
        <v>1.043685</v>
      </c>
      <c r="I3481">
        <v>213.97370000000001</v>
      </c>
      <c r="J3481">
        <v>-292.14670000000001</v>
      </c>
      <c r="K3481">
        <v>1.1058429999999999</v>
      </c>
      <c r="L3481">
        <v>214.07929999999999</v>
      </c>
      <c r="M3481">
        <v>0.99984289999999998</v>
      </c>
      <c r="N3481">
        <v>0</v>
      </c>
      <c r="O3481">
        <v>7.8822849999999993E-3</v>
      </c>
      <c r="P3481">
        <v>0.99457810000000002</v>
      </c>
      <c r="Q3481">
        <v>9.8714159999999995E-2</v>
      </c>
      <c r="R3481">
        <v>-3.2716929999999998E-2</v>
      </c>
      <c r="S3481">
        <v>3.0231319999999999</v>
      </c>
      <c r="T3481">
        <v>-0.14698549999999999</v>
      </c>
      <c r="U3481">
        <v>-0.23872380000000001</v>
      </c>
      <c r="V3481">
        <v>4.1444259999999997E-2</v>
      </c>
      <c r="W3481">
        <v>0.114176399999999</v>
      </c>
      <c r="X3481">
        <v>0.99259569999999997</v>
      </c>
      <c r="Y3481">
        <v>8.6466249999999995E-2</v>
      </c>
      <c r="Z3481">
        <v>-2.48E-3</v>
      </c>
      <c r="AA3481">
        <v>0.99625169999999996</v>
      </c>
      <c r="AB3481">
        <v>61</v>
      </c>
      <c r="AC3481">
        <v>0.78110000000003699</v>
      </c>
      <c r="AD3481">
        <v>-6.2158000000000102E-2</v>
      </c>
      <c r="AE3481">
        <v>-0.105599999999981</v>
      </c>
      <c r="AF3481">
        <v>0.111063651990878</v>
      </c>
      <c r="AG3481">
        <v>-6.2158000000000102E-2</v>
      </c>
      <c r="AH3481">
        <v>0.77542097644867802</v>
      </c>
      <c r="AI3481">
        <v>94.536943962329005</v>
      </c>
      <c r="AJ3481">
        <v>81.848955220587598</v>
      </c>
      <c r="AK3481">
        <v>0.78579669283738596</v>
      </c>
      <c r="AL3481">
        <v>83.443876978044798</v>
      </c>
      <c r="AM3481">
        <v>87.609094299116904</v>
      </c>
      <c r="AN3481">
        <v>1.0000000503311901</v>
      </c>
    </row>
    <row r="3482" spans="1:40" x14ac:dyDescent="0.25">
      <c r="A3482" t="str">
        <f>"20190312172959537"</f>
        <v>20190312172959537</v>
      </c>
      <c r="B3482" t="str">
        <f>"1552382999530603"</f>
        <v>1552382999530603</v>
      </c>
      <c r="C3482" t="s">
        <v>40</v>
      </c>
      <c r="D3482">
        <v>3.4420630000000001</v>
      </c>
      <c r="E3482">
        <v>0.51395299999999999</v>
      </c>
      <c r="F3482" t="s">
        <v>47</v>
      </c>
      <c r="G3482">
        <v>-268.86669999999998</v>
      </c>
      <c r="H3482" s="1">
        <v>3.2865880000000001E-6</v>
      </c>
      <c r="I3482">
        <v>212.215</v>
      </c>
      <c r="J3482">
        <v>-291.71530000000001</v>
      </c>
      <c r="K3482">
        <v>1.1058129999999999</v>
      </c>
      <c r="L3482">
        <v>214.08240000000001</v>
      </c>
      <c r="M3482">
        <v>0.9998532</v>
      </c>
      <c r="N3482">
        <v>0</v>
      </c>
      <c r="O3482">
        <v>6.4353650000000002E-3</v>
      </c>
      <c r="P3482">
        <v>0.99452569999999996</v>
      </c>
      <c r="Q3482">
        <v>9.8818089999999997E-2</v>
      </c>
      <c r="R3482">
        <v>-3.3968449999999997E-2</v>
      </c>
      <c r="S3482">
        <v>3.022675</v>
      </c>
      <c r="T3482">
        <v>-0.14358199999999999</v>
      </c>
      <c r="U3482">
        <v>-0.24206539999999999</v>
      </c>
      <c r="V3482">
        <v>4.1265629999999998E-2</v>
      </c>
      <c r="W3482">
        <v>0.1142859</v>
      </c>
      <c r="X3482">
        <v>0.99259050000000004</v>
      </c>
      <c r="Y3482">
        <v>8.613788E-2</v>
      </c>
      <c r="Z3482">
        <v>-2.3465169999999998E-3</v>
      </c>
      <c r="AA3482">
        <v>0.99628050000000001</v>
      </c>
      <c r="AB3482">
        <v>61</v>
      </c>
      <c r="AC3482">
        <v>22.848600000000001</v>
      </c>
      <c r="AD3482">
        <v>-1.105809713412</v>
      </c>
      <c r="AE3482">
        <v>-1.8673999999999999</v>
      </c>
      <c r="AF3482">
        <v>2.0097427696190602</v>
      </c>
      <c r="AG3482">
        <v>-1.105809713412</v>
      </c>
      <c r="AH3482">
        <v>22.7830971915322</v>
      </c>
      <c r="AI3482">
        <v>92.7680188969684</v>
      </c>
      <c r="AJ3482">
        <v>84.958872778039606</v>
      </c>
      <c r="AK3482">
        <v>22.898283751432501</v>
      </c>
      <c r="AL3482">
        <v>83.437561485955897</v>
      </c>
      <c r="AM3482">
        <v>87.619375065946798</v>
      </c>
      <c r="AN3482">
        <v>1.0000000099241699</v>
      </c>
    </row>
    <row r="3483" spans="1:40" x14ac:dyDescent="0.25">
      <c r="A3483" t="str">
        <f>"20190312172959554"</f>
        <v>20190312172959554</v>
      </c>
      <c r="B3483" t="str">
        <f>"1552382999541330"</f>
        <v>1552382999541330</v>
      </c>
      <c r="C3483" t="s">
        <v>40</v>
      </c>
      <c r="D3483">
        <v>3.437541</v>
      </c>
      <c r="E3483">
        <v>0.51407340000000001</v>
      </c>
      <c r="F3483" t="s">
        <v>47</v>
      </c>
      <c r="G3483">
        <v>-260.13240000000002</v>
      </c>
      <c r="H3483" s="1">
        <v>-1.3494379999999999E-6</v>
      </c>
      <c r="I3483">
        <v>211.94149999999999</v>
      </c>
      <c r="J3483">
        <v>-291.25209999999998</v>
      </c>
      <c r="K3483">
        <v>1.1057889999999999</v>
      </c>
      <c r="L3483">
        <v>214.08510000000001</v>
      </c>
      <c r="M3483">
        <v>0.99986169999999996</v>
      </c>
      <c r="N3483">
        <v>0</v>
      </c>
      <c r="O3483">
        <v>4.8779870000000003E-3</v>
      </c>
      <c r="P3483">
        <v>0.99438139999999997</v>
      </c>
      <c r="Q3483">
        <v>9.9759879999999995E-2</v>
      </c>
      <c r="R3483">
        <v>-3.5410129999999998E-2</v>
      </c>
      <c r="S3483">
        <v>3.0199889999999998</v>
      </c>
      <c r="T3483">
        <v>-0.105738899999999</v>
      </c>
      <c r="U3483">
        <v>-0.2047119</v>
      </c>
      <c r="V3483">
        <v>4.1172790000000001E-2</v>
      </c>
      <c r="W3483">
        <v>0.1152309</v>
      </c>
      <c r="X3483">
        <v>0.99248510000000001</v>
      </c>
      <c r="Y3483">
        <v>7.2449920000000001E-2</v>
      </c>
      <c r="Z3483">
        <v>-1.4370779999999901E-3</v>
      </c>
      <c r="AA3483">
        <v>0.99737100000000001</v>
      </c>
      <c r="AB3483">
        <v>61</v>
      </c>
      <c r="AC3483">
        <v>31.119699999999899</v>
      </c>
      <c r="AD3483">
        <v>-1.1057903494379999</v>
      </c>
      <c r="AE3483">
        <v>-2.1436000000000202</v>
      </c>
      <c r="AF3483">
        <v>2.2925142533652099</v>
      </c>
      <c r="AG3483">
        <v>-1.1057903494379999</v>
      </c>
      <c r="AH3483">
        <v>31.069827566025999</v>
      </c>
      <c r="AI3483">
        <v>92.032802968029202</v>
      </c>
      <c r="AJ3483">
        <v>85.780028323038096</v>
      </c>
      <c r="AK3483">
        <v>31.1739086237415</v>
      </c>
      <c r="AL3483">
        <v>83.383056926970198</v>
      </c>
      <c r="AM3483">
        <v>87.624472927632894</v>
      </c>
      <c r="AN3483">
        <v>1.0000000163366001</v>
      </c>
    </row>
    <row r="3484" spans="1:40" x14ac:dyDescent="0.25">
      <c r="A3484" t="str">
        <f>"20190312172959569"</f>
        <v>20190312172959569</v>
      </c>
      <c r="B3484" t="str">
        <f>"1552382999560851"</f>
        <v>1552382999560851</v>
      </c>
      <c r="C3484" t="s">
        <v>40</v>
      </c>
      <c r="D3484">
        <v>3.4463780000000002</v>
      </c>
      <c r="E3484">
        <v>0.51417239999999997</v>
      </c>
      <c r="F3484" t="s">
        <v>47</v>
      </c>
      <c r="G3484">
        <v>-259.43279999999999</v>
      </c>
      <c r="H3484" s="1">
        <v>3.6026839999999998E-6</v>
      </c>
      <c r="I3484">
        <v>211.8751</v>
      </c>
      <c r="J3484">
        <v>-290.83920000000001</v>
      </c>
      <c r="K3484">
        <v>1.105775</v>
      </c>
      <c r="L3484">
        <v>214.08690000000001</v>
      </c>
      <c r="M3484">
        <v>0.99986750000000002</v>
      </c>
      <c r="N3484">
        <v>0</v>
      </c>
      <c r="O3484">
        <v>3.4863089999999999E-3</v>
      </c>
      <c r="P3484">
        <v>0.99424279999999998</v>
      </c>
      <c r="Q3484">
        <v>0.10081370000000001</v>
      </c>
      <c r="R3484">
        <v>-3.6306230000000002E-2</v>
      </c>
      <c r="S3484">
        <v>3.0199889999999998</v>
      </c>
      <c r="T3484">
        <v>-0.1049505</v>
      </c>
      <c r="U3484">
        <v>-0.2097473</v>
      </c>
      <c r="V3484">
        <v>4.0699109999999997E-2</v>
      </c>
      <c r="W3484">
        <v>0.1162899</v>
      </c>
      <c r="X3484">
        <v>0.99238110000000002</v>
      </c>
      <c r="Y3484">
        <v>7.2718279999999996E-2</v>
      </c>
      <c r="Z3484">
        <v>-1.3826450000000001E-3</v>
      </c>
      <c r="AA3484">
        <v>0.9973516</v>
      </c>
      <c r="AB3484">
        <v>61</v>
      </c>
      <c r="AC3484">
        <v>31.406400000000001</v>
      </c>
      <c r="AD3484">
        <v>-1.1057713973159999</v>
      </c>
      <c r="AE3484">
        <v>-2.21180000000001</v>
      </c>
      <c r="AF3484">
        <v>2.3184329835759998</v>
      </c>
      <c r="AG3484">
        <v>-1.1057713973159999</v>
      </c>
      <c r="AH3484">
        <v>31.359814178123401</v>
      </c>
      <c r="AI3484">
        <v>92.0139652312251</v>
      </c>
      <c r="AJ3484">
        <v>85.771811586171694</v>
      </c>
      <c r="AK3484">
        <v>31.4648344532255</v>
      </c>
      <c r="AL3484">
        <v>83.321969928013004</v>
      </c>
      <c r="AM3484">
        <v>87.651526032874102</v>
      </c>
      <c r="AN3484">
        <v>1.000000003017</v>
      </c>
    </row>
    <row r="3485" spans="1:40" x14ac:dyDescent="0.25">
      <c r="A3485" t="str">
        <f>"20190312172959583"</f>
        <v>20190312172959583</v>
      </c>
      <c r="B3485" t="str">
        <f>"1552382999571587"</f>
        <v>1552382999571587</v>
      </c>
      <c r="C3485" t="s">
        <v>40</v>
      </c>
      <c r="D3485">
        <v>3.4317579999999999</v>
      </c>
      <c r="E3485">
        <v>0.51413169999999997</v>
      </c>
      <c r="F3485" t="s">
        <v>47</v>
      </c>
      <c r="G3485">
        <v>-257.84030000000001</v>
      </c>
      <c r="H3485" s="1">
        <v>2.7603129999999998E-6</v>
      </c>
      <c r="I3485">
        <v>211.75890000000001</v>
      </c>
      <c r="J3485">
        <v>-290.46190000000001</v>
      </c>
      <c r="K3485">
        <v>1.105769</v>
      </c>
      <c r="L3485">
        <v>214.0882</v>
      </c>
      <c r="M3485">
        <v>0.99987099999999995</v>
      </c>
      <c r="N3485">
        <v>0</v>
      </c>
      <c r="O3485">
        <v>2.212164E-3</v>
      </c>
      <c r="P3485">
        <v>0.9940097</v>
      </c>
      <c r="Q3485">
        <v>0.1028145</v>
      </c>
      <c r="R3485">
        <v>-3.7071470000000002E-2</v>
      </c>
      <c r="S3485">
        <v>3.0198670000000001</v>
      </c>
      <c r="T3485">
        <v>-0.1011937</v>
      </c>
      <c r="U3485">
        <v>-0.21304319999999999</v>
      </c>
      <c r="V3485">
        <v>4.0218089999999998E-2</v>
      </c>
      <c r="W3485">
        <v>0.11829389999999899</v>
      </c>
      <c r="X3485">
        <v>0.99216380000000004</v>
      </c>
      <c r="Y3485">
        <v>7.253735E-2</v>
      </c>
      <c r="Z3485">
        <v>-1.287517E-3</v>
      </c>
      <c r="AA3485">
        <v>0.9973649</v>
      </c>
      <c r="AB3485">
        <v>61</v>
      </c>
      <c r="AC3485">
        <v>32.621600000000001</v>
      </c>
      <c r="AD3485">
        <v>-1.1057662396870001</v>
      </c>
      <c r="AE3485">
        <v>-2.3292999999999799</v>
      </c>
      <c r="AF3485">
        <v>2.39872563167396</v>
      </c>
      <c r="AG3485">
        <v>-1.1057662396870001</v>
      </c>
      <c r="AH3485">
        <v>32.579123520331997</v>
      </c>
      <c r="AI3485">
        <v>91.938682958014198</v>
      </c>
      <c r="AJ3485">
        <v>85.789042347669493</v>
      </c>
      <c r="AK3485">
        <v>32.6860198400773</v>
      </c>
      <c r="AL3485">
        <v>83.206350905475304</v>
      </c>
      <c r="AM3485">
        <v>87.678744230675093</v>
      </c>
      <c r="AN3485">
        <v>0.99999997378544803</v>
      </c>
    </row>
    <row r="3486" spans="1:40" x14ac:dyDescent="0.25">
      <c r="A3486" t="str">
        <f>"20190312172959612"</f>
        <v>20190312172959612</v>
      </c>
      <c r="B3486" t="str">
        <f>"1552382999600866"</f>
        <v>1552382999600866</v>
      </c>
      <c r="C3486" t="s">
        <v>40</v>
      </c>
      <c r="D3486">
        <v>3.4396170000000001</v>
      </c>
      <c r="E3486">
        <v>0.51373250000000004</v>
      </c>
      <c r="F3486" t="s">
        <v>47</v>
      </c>
      <c r="G3486">
        <v>-255.38050000000001</v>
      </c>
      <c r="H3486" s="1">
        <v>1.45865E-6</v>
      </c>
      <c r="I3486">
        <v>211.5915</v>
      </c>
      <c r="J3486">
        <v>-289.66699999999997</v>
      </c>
      <c r="K3486">
        <v>1.105774</v>
      </c>
      <c r="L3486">
        <v>214.0889</v>
      </c>
      <c r="M3486">
        <v>0.99987340000000002</v>
      </c>
      <c r="N3486">
        <v>0</v>
      </c>
      <c r="O3486">
        <v>-4.809638E-4</v>
      </c>
      <c r="P3486">
        <v>0.99351460000000003</v>
      </c>
      <c r="Q3486">
        <v>0.1070194</v>
      </c>
      <c r="R3486">
        <v>-3.8415419999999999E-2</v>
      </c>
      <c r="S3486">
        <v>3.0198969999999998</v>
      </c>
      <c r="T3486">
        <v>-9.5187190000000005E-2</v>
      </c>
      <c r="U3486">
        <v>-0.21492</v>
      </c>
      <c r="V3486">
        <v>3.8928009999999999E-2</v>
      </c>
      <c r="W3486">
        <v>0.1225064</v>
      </c>
      <c r="X3486">
        <v>0.99170400000000003</v>
      </c>
      <c r="Y3486">
        <v>7.0474049999999996E-2</v>
      </c>
      <c r="Z3486">
        <v>-1.0938549999999999E-3</v>
      </c>
      <c r="AA3486">
        <v>0.99751299999999998</v>
      </c>
      <c r="AB3486">
        <v>61</v>
      </c>
      <c r="AC3486">
        <v>34.286499999999997</v>
      </c>
      <c r="AD3486">
        <v>-1.1057725413499999</v>
      </c>
      <c r="AE3486">
        <v>-2.4973999999999901</v>
      </c>
      <c r="AF3486">
        <v>2.4783428790937698</v>
      </c>
      <c r="AG3486">
        <v>-1.1057725413499999</v>
      </c>
      <c r="AH3486">
        <v>34.252258754360298</v>
      </c>
      <c r="AI3486">
        <v>91.844231023182601</v>
      </c>
      <c r="AJ3486">
        <v>85.8615412677687</v>
      </c>
      <c r="AK3486">
        <v>34.359600494115298</v>
      </c>
      <c r="AL3486">
        <v>82.963223892359196</v>
      </c>
      <c r="AM3486">
        <v>87.752085138403203</v>
      </c>
      <c r="AN3486">
        <v>1.0000000158097599</v>
      </c>
    </row>
    <row r="3487" spans="1:40" x14ac:dyDescent="0.25">
      <c r="A3487" t="str">
        <f>"20190312172959634"</f>
        <v>20190312172959634</v>
      </c>
      <c r="B3487" t="str">
        <f>"1552382999621362"</f>
        <v>1552382999621362</v>
      </c>
      <c r="C3487" t="s">
        <v>40</v>
      </c>
      <c r="D3487">
        <v>3.4687130000000002</v>
      </c>
      <c r="E3487">
        <v>0.51344650000000003</v>
      </c>
      <c r="F3487" t="s">
        <v>47</v>
      </c>
      <c r="G3487">
        <v>-248.73419999999999</v>
      </c>
      <c r="H3487" s="1">
        <v>3.2618229999999998E-6</v>
      </c>
      <c r="I3487">
        <v>211.1686</v>
      </c>
      <c r="J3487">
        <v>-289.09160000000003</v>
      </c>
      <c r="K3487">
        <v>1.105775</v>
      </c>
      <c r="L3487">
        <v>214.0881</v>
      </c>
      <c r="M3487">
        <v>0.99987040000000005</v>
      </c>
      <c r="N3487">
        <v>0</v>
      </c>
      <c r="O3487">
        <v>-2.4350510000000001E-3</v>
      </c>
      <c r="P3487">
        <v>0.99331959999999997</v>
      </c>
      <c r="Q3487">
        <v>0.10844769999999899</v>
      </c>
      <c r="R3487">
        <v>-3.9441629999999998E-2</v>
      </c>
      <c r="S3487">
        <v>3.0199889999999998</v>
      </c>
      <c r="T3487">
        <v>-8.15829E-2</v>
      </c>
      <c r="U3487">
        <v>-0.21545410000000001</v>
      </c>
      <c r="V3487">
        <v>3.8029750000000001E-2</v>
      </c>
      <c r="W3487">
        <v>0.1239417</v>
      </c>
      <c r="X3487">
        <v>0.99156049999999996</v>
      </c>
      <c r="Y3487">
        <v>6.8708370000000005E-2</v>
      </c>
      <c r="Z3487">
        <v>-8.6101549999999998E-4</v>
      </c>
      <c r="AA3487">
        <v>0.99763639999999998</v>
      </c>
      <c r="AB3487">
        <v>61</v>
      </c>
      <c r="AC3487">
        <v>40.357399999999998</v>
      </c>
      <c r="AD3487">
        <v>-1.105771738177</v>
      </c>
      <c r="AE3487">
        <v>-2.9195000000000002</v>
      </c>
      <c r="AF3487">
        <v>2.81910119869708</v>
      </c>
      <c r="AG3487">
        <v>-1.105771738177</v>
      </c>
      <c r="AH3487">
        <v>40.3342677872553</v>
      </c>
      <c r="AI3487">
        <v>91.566561678405293</v>
      </c>
      <c r="AJ3487">
        <v>86.001902102987003</v>
      </c>
      <c r="AK3487">
        <v>40.4477838779762</v>
      </c>
      <c r="AL3487">
        <v>82.880355706632599</v>
      </c>
      <c r="AM3487">
        <v>87.803586655376606</v>
      </c>
      <c r="AN3487">
        <v>1.0000000160221001</v>
      </c>
    </row>
    <row r="3488" spans="1:40" x14ac:dyDescent="0.25">
      <c r="A3488" t="str">
        <f>"20190312172959655"</f>
        <v>20190312172959655</v>
      </c>
      <c r="B3488" t="str">
        <f>"1552382999651619"</f>
        <v>1552382999651619</v>
      </c>
      <c r="C3488" t="s">
        <v>40</v>
      </c>
      <c r="D3488">
        <v>3.4537689999999999</v>
      </c>
      <c r="E3488">
        <v>0.51337909999999998</v>
      </c>
      <c r="F3488" t="s">
        <v>47</v>
      </c>
      <c r="G3488">
        <v>-246.37</v>
      </c>
      <c r="H3488" s="1">
        <v>2.00993E-6</v>
      </c>
      <c r="I3488">
        <v>211.0266</v>
      </c>
      <c r="J3488">
        <v>-288.5052</v>
      </c>
      <c r="K3488">
        <v>1.105761</v>
      </c>
      <c r="L3488">
        <v>214.08619999999999</v>
      </c>
      <c r="M3488">
        <v>0.99986359999999996</v>
      </c>
      <c r="N3488">
        <v>0</v>
      </c>
      <c r="O3488">
        <v>-4.4281140000000004E-3</v>
      </c>
      <c r="P3488">
        <v>0.99317370000000005</v>
      </c>
      <c r="Q3488">
        <v>0.1091427</v>
      </c>
      <c r="R3488">
        <v>-4.1164199999999998E-2</v>
      </c>
      <c r="S3488">
        <v>3.020111</v>
      </c>
      <c r="T3488">
        <v>-7.8170180000000006E-2</v>
      </c>
      <c r="U3488">
        <v>-0.2164307</v>
      </c>
      <c r="V3488">
        <v>3.7782860000000001E-2</v>
      </c>
      <c r="W3488">
        <v>0.1246386</v>
      </c>
      <c r="X3488">
        <v>0.99148259999999999</v>
      </c>
      <c r="Y3488">
        <v>6.7040939999999993E-2</v>
      </c>
      <c r="Z3488">
        <v>-7.5190429999999996E-4</v>
      </c>
      <c r="AA3488">
        <v>0.99774989999999997</v>
      </c>
      <c r="AB3488">
        <v>61</v>
      </c>
      <c r="AC3488">
        <v>42.135199999999998</v>
      </c>
      <c r="AD3488">
        <v>-1.10575899007</v>
      </c>
      <c r="AE3488">
        <v>-3.0595999999999801</v>
      </c>
      <c r="AF3488">
        <v>2.87100001350173</v>
      </c>
      <c r="AG3488">
        <v>-1.10575899007</v>
      </c>
      <c r="AH3488">
        <v>42.1194811805805</v>
      </c>
      <c r="AI3488">
        <v>91.500355713812993</v>
      </c>
      <c r="AJ3488">
        <v>86.100566178747201</v>
      </c>
      <c r="AK3488">
        <v>42.231694720232603</v>
      </c>
      <c r="AL3488">
        <v>82.840114382990194</v>
      </c>
      <c r="AM3488">
        <v>87.817660705209704</v>
      </c>
      <c r="AN3488">
        <v>1.00000003561124</v>
      </c>
    </row>
    <row r="3489" spans="1:40" x14ac:dyDescent="0.25">
      <c r="A3489" t="str">
        <f>"20190312172959678"</f>
        <v>20190312172959678</v>
      </c>
      <c r="B3489" t="str">
        <f>"1552382999671138"</f>
        <v>1552382999671138</v>
      </c>
      <c r="C3489" t="s">
        <v>40</v>
      </c>
      <c r="D3489">
        <v>3.475816</v>
      </c>
      <c r="E3489">
        <v>0.51331759999999904</v>
      </c>
      <c r="F3489" t="s">
        <v>47</v>
      </c>
      <c r="G3489">
        <v>-245.8766</v>
      </c>
      <c r="H3489" s="1">
        <v>1.7497200000000001E-6</v>
      </c>
      <c r="I3489">
        <v>210.97309999999999</v>
      </c>
      <c r="J3489">
        <v>-287.86410000000001</v>
      </c>
      <c r="K3489">
        <v>1.105745</v>
      </c>
      <c r="L3489">
        <v>214.08279999999999</v>
      </c>
      <c r="M3489">
        <v>0.99985159999999995</v>
      </c>
      <c r="N3489">
        <v>0</v>
      </c>
      <c r="O3489">
        <v>-6.5999209999999999E-3</v>
      </c>
      <c r="P3489">
        <v>0.99317129999999998</v>
      </c>
      <c r="Q3489">
        <v>0.1078896</v>
      </c>
      <c r="R3489">
        <v>-4.4393630000000003E-2</v>
      </c>
      <c r="S3489">
        <v>3.0200809999999998</v>
      </c>
      <c r="T3489">
        <v>-7.8338980000000003E-2</v>
      </c>
      <c r="U3489">
        <v>-0.22055050000000001</v>
      </c>
      <c r="V3489">
        <v>3.884692E-2</v>
      </c>
      <c r="W3489">
        <v>0.1233795</v>
      </c>
      <c r="X3489">
        <v>0.99159889999999995</v>
      </c>
      <c r="Y3489">
        <v>6.6229319999999994E-2</v>
      </c>
      <c r="Z3489">
        <v>-6.8673559999999896E-4</v>
      </c>
      <c r="AA3489">
        <v>0.99780420000000003</v>
      </c>
      <c r="AB3489">
        <v>61</v>
      </c>
      <c r="AC3489">
        <v>41.987499999999997</v>
      </c>
      <c r="AD3489">
        <v>-1.10574325028</v>
      </c>
      <c r="AE3489">
        <v>-3.1097000000000001</v>
      </c>
      <c r="AF3489">
        <v>2.83053061588403</v>
      </c>
      <c r="AG3489">
        <v>-1.10574325028</v>
      </c>
      <c r="AH3489">
        <v>41.978157155708899</v>
      </c>
      <c r="AI3489">
        <v>91.505457680041303</v>
      </c>
      <c r="AJ3489">
        <v>86.142461919007602</v>
      </c>
      <c r="AK3489">
        <v>42.088006009935803</v>
      </c>
      <c r="AL3489">
        <v>82.912816297623095</v>
      </c>
      <c r="AM3489">
        <v>87.756525408263997</v>
      </c>
      <c r="AN3489">
        <v>0.99999998134747203</v>
      </c>
    </row>
    <row r="3490" spans="1:40" x14ac:dyDescent="0.25">
      <c r="A3490" t="str">
        <f>"20190312172959700"</f>
        <v>20190312172959700</v>
      </c>
      <c r="B3490" t="str">
        <f>"1552382999691634"</f>
        <v>1552382999691634</v>
      </c>
      <c r="C3490" t="s">
        <v>40</v>
      </c>
      <c r="D3490">
        <v>3.503711</v>
      </c>
      <c r="E3490">
        <v>0.51313059999999999</v>
      </c>
      <c r="F3490" t="s">
        <v>47</v>
      </c>
      <c r="G3490">
        <v>-247.67259999999999</v>
      </c>
      <c r="H3490" s="1">
        <v>2.7028900000000001E-6</v>
      </c>
      <c r="I3490">
        <v>211.0318</v>
      </c>
      <c r="J3490">
        <v>-287.27980000000002</v>
      </c>
      <c r="K3490">
        <v>1.1057360000000001</v>
      </c>
      <c r="L3490">
        <v>214.07859999999999</v>
      </c>
      <c r="M3490">
        <v>0.99983670000000002</v>
      </c>
      <c r="N3490">
        <v>0</v>
      </c>
      <c r="O3490">
        <v>-8.5594269999999997E-3</v>
      </c>
      <c r="P3490">
        <v>0.99329610000000002</v>
      </c>
      <c r="Q3490">
        <v>0.1054706</v>
      </c>
      <c r="R3490">
        <v>-4.732161E-2</v>
      </c>
      <c r="S3490">
        <v>3.0194399999999999</v>
      </c>
      <c r="T3490">
        <v>-8.3070399999999905E-2</v>
      </c>
      <c r="U3490">
        <v>-0.22921749999999999</v>
      </c>
      <c r="V3490">
        <v>3.9805960000000001E-2</v>
      </c>
      <c r="W3490">
        <v>0.12095739999999899</v>
      </c>
      <c r="X3490">
        <v>0.9918593</v>
      </c>
      <c r="Y3490">
        <v>6.7135379999999995E-2</v>
      </c>
      <c r="Z3490">
        <v>-6.8689740000000003E-4</v>
      </c>
      <c r="AA3490">
        <v>0.99774370000000001</v>
      </c>
      <c r="AB3490">
        <v>61</v>
      </c>
      <c r="AC3490">
        <v>39.607199999999999</v>
      </c>
      <c r="AD3490">
        <v>-1.10573329711</v>
      </c>
      <c r="AE3490">
        <v>-3.04679999999999</v>
      </c>
      <c r="AF3490">
        <v>2.7055342261481798</v>
      </c>
      <c r="AG3490">
        <v>-1.10573329711</v>
      </c>
      <c r="AH3490">
        <v>39.601147879466701</v>
      </c>
      <c r="AI3490">
        <v>91.595665129678395</v>
      </c>
      <c r="AJ3490">
        <v>86.091649056860206</v>
      </c>
      <c r="AK3490">
        <v>39.7088588975381</v>
      </c>
      <c r="AL3490">
        <v>83.052640211294602</v>
      </c>
      <c r="AM3490">
        <v>87.701800823217397</v>
      </c>
      <c r="AN3490">
        <v>1.0000000390313799</v>
      </c>
    </row>
    <row r="3491" spans="1:40" x14ac:dyDescent="0.25">
      <c r="A3491" t="str">
        <f>"20190312172959722"</f>
        <v>20190312172959722</v>
      </c>
      <c r="B3491" t="str">
        <f>"1552382999711155"</f>
        <v>1552382999711155</v>
      </c>
      <c r="C3491" t="s">
        <v>40</v>
      </c>
      <c r="D3491">
        <v>3.5259689999999999</v>
      </c>
      <c r="E3491">
        <v>0.51300009999999996</v>
      </c>
      <c r="F3491" t="s">
        <v>47</v>
      </c>
      <c r="G3491">
        <v>-251.4179</v>
      </c>
      <c r="H3491" s="1">
        <v>-6.3599699999999995E-7</v>
      </c>
      <c r="I3491">
        <v>211.27080000000001</v>
      </c>
      <c r="J3491">
        <v>-286.66890000000001</v>
      </c>
      <c r="K3491">
        <v>1.1057570000000001</v>
      </c>
      <c r="L3491">
        <v>214.0729</v>
      </c>
      <c r="M3491">
        <v>0.99981739999999997</v>
      </c>
      <c r="N3491">
        <v>0</v>
      </c>
      <c r="O3491">
        <v>-1.056587E-2</v>
      </c>
      <c r="P3491">
        <v>0.99333570000000004</v>
      </c>
      <c r="Q3491">
        <v>0.1037665</v>
      </c>
      <c r="R3491">
        <v>-5.0169600000000002E-2</v>
      </c>
      <c r="S3491">
        <v>3.0188600000000001</v>
      </c>
      <c r="T3491">
        <v>-9.3081239999999996E-2</v>
      </c>
      <c r="U3491">
        <v>-0.2363586</v>
      </c>
      <c r="V3491">
        <v>4.0639420000000002E-2</v>
      </c>
      <c r="W3491">
        <v>0.1192508</v>
      </c>
      <c r="X3491">
        <v>0.99203209999999997</v>
      </c>
      <c r="Y3491">
        <v>6.7488930000000003E-2</v>
      </c>
      <c r="Z3491">
        <v>-7.1340759999999998E-4</v>
      </c>
      <c r="AA3491">
        <v>0.99771980000000005</v>
      </c>
      <c r="AB3491">
        <v>61</v>
      </c>
      <c r="AC3491">
        <v>35.250999999999998</v>
      </c>
      <c r="AD3491">
        <v>-1.1057576359969901</v>
      </c>
      <c r="AE3491">
        <v>-2.80209999999999</v>
      </c>
      <c r="AF3491">
        <v>2.4270657011944898</v>
      </c>
      <c r="AG3491">
        <v>-1.1057576359969901</v>
      </c>
      <c r="AH3491">
        <v>35.244181073196401</v>
      </c>
      <c r="AI3491">
        <v>91.792776081111697</v>
      </c>
      <c r="AJ3491">
        <v>86.060585934193</v>
      </c>
      <c r="AK3491">
        <v>35.3449522193444</v>
      </c>
      <c r="AL3491">
        <v>83.151133907546296</v>
      </c>
      <c r="AM3491">
        <v>87.654142427686807</v>
      </c>
      <c r="AN3491">
        <v>1.0000000015944901</v>
      </c>
    </row>
    <row r="3492" spans="1:40" x14ac:dyDescent="0.25">
      <c r="A3492" t="str">
        <f>"20190312172959744"</f>
        <v>20190312172959744</v>
      </c>
      <c r="B3492" t="str">
        <f>"1552382999741411"</f>
        <v>1552382999741411</v>
      </c>
      <c r="C3492" t="s">
        <v>40</v>
      </c>
      <c r="D3492">
        <v>3.5490249999999999</v>
      </c>
      <c r="E3492">
        <v>0.51028850000000003</v>
      </c>
      <c r="F3492" t="s">
        <v>47</v>
      </c>
      <c r="G3492">
        <v>-252.97290000000001</v>
      </c>
      <c r="H3492" s="1">
        <v>1.8800040000000001E-7</v>
      </c>
      <c r="I3492">
        <v>211.35059999999999</v>
      </c>
      <c r="J3492">
        <v>-286.07470000000001</v>
      </c>
      <c r="K3492">
        <v>1.1058079999999999</v>
      </c>
      <c r="L3492">
        <v>214.06620000000001</v>
      </c>
      <c r="M3492">
        <v>0.99979589999999996</v>
      </c>
      <c r="N3492">
        <v>0</v>
      </c>
      <c r="O3492">
        <v>-1.244876E-2</v>
      </c>
      <c r="P3492">
        <v>0.99324049999999997</v>
      </c>
      <c r="Q3492">
        <v>0.1034267</v>
      </c>
      <c r="R3492">
        <v>-5.269219E-2</v>
      </c>
      <c r="S3492">
        <v>3.0181580000000001</v>
      </c>
      <c r="T3492">
        <v>-9.9043010000000001E-2</v>
      </c>
      <c r="U3492">
        <v>-0.24383540000000001</v>
      </c>
      <c r="V3492">
        <v>4.127658E-2</v>
      </c>
      <c r="W3492">
        <v>0.118909</v>
      </c>
      <c r="X3492">
        <v>0.99204680000000001</v>
      </c>
      <c r="Y3492">
        <v>6.8081240000000001E-2</v>
      </c>
      <c r="Z3492">
        <v>-7.0721800000000002E-4</v>
      </c>
      <c r="AA3492">
        <v>0.99767950000000005</v>
      </c>
      <c r="AB3492">
        <v>61</v>
      </c>
      <c r="AC3492">
        <v>33.101799999999997</v>
      </c>
      <c r="AD3492">
        <v>-1.1058078119996</v>
      </c>
      <c r="AE3492">
        <v>-2.7156000000000202</v>
      </c>
      <c r="AF3492">
        <v>2.3007105977680999</v>
      </c>
      <c r="AG3492">
        <v>-1.1058078119996</v>
      </c>
      <c r="AH3492">
        <v>33.096356537162897</v>
      </c>
      <c r="AI3492">
        <v>91.909037808769298</v>
      </c>
      <c r="AJ3492">
        <v>86.023451013688899</v>
      </c>
      <c r="AK3492">
        <v>33.1946516205061</v>
      </c>
      <c r="AL3492">
        <v>83.170857798907306</v>
      </c>
      <c r="AM3492">
        <v>87.617440519911796</v>
      </c>
      <c r="AN3492">
        <v>0.99999997986386802</v>
      </c>
    </row>
    <row r="3493" spans="1:40" x14ac:dyDescent="0.25">
      <c r="A3493" t="str">
        <f>"20190312172959767"</f>
        <v>20190312172959767</v>
      </c>
      <c r="B3493" t="str">
        <f>"1552382999760934"</f>
        <v>1552382999760934</v>
      </c>
      <c r="C3493" t="s">
        <v>40</v>
      </c>
      <c r="D3493">
        <v>3.5582340000000001</v>
      </c>
      <c r="E3493">
        <v>0.51004669999999996</v>
      </c>
      <c r="F3493" t="s">
        <v>47</v>
      </c>
      <c r="G3493">
        <v>-259.44119999999998</v>
      </c>
      <c r="H3493" s="1">
        <v>3.5995879999999999E-6</v>
      </c>
      <c r="I3493">
        <v>212.0489</v>
      </c>
      <c r="J3493">
        <v>-285.44810000000001</v>
      </c>
      <c r="K3493">
        <v>1.105893</v>
      </c>
      <c r="L3493">
        <v>214.05789999999999</v>
      </c>
      <c r="M3493">
        <v>0.99977070000000001</v>
      </c>
      <c r="N3493">
        <v>0</v>
      </c>
      <c r="O3493">
        <v>-1.4335799999999999E-2</v>
      </c>
      <c r="P3493">
        <v>0.99311769999999999</v>
      </c>
      <c r="Q3493">
        <v>0.1035432</v>
      </c>
      <c r="R3493">
        <v>-5.4739320000000001E-2</v>
      </c>
      <c r="S3493">
        <v>3.021271</v>
      </c>
      <c r="T3493">
        <v>-0.1254412</v>
      </c>
      <c r="U3493">
        <v>-0.22883609999999999</v>
      </c>
      <c r="V3493">
        <v>4.1429840000000002E-2</v>
      </c>
      <c r="W3493">
        <v>0.1190278</v>
      </c>
      <c r="X3493">
        <v>0.99202619999999997</v>
      </c>
      <c r="Y3493">
        <v>6.1180789999999999E-2</v>
      </c>
      <c r="Z3493">
        <v>-6.7364649999999905E-4</v>
      </c>
      <c r="AA3493">
        <v>0.99812639999999997</v>
      </c>
      <c r="AB3493">
        <v>61</v>
      </c>
      <c r="AC3493">
        <v>26.006900000000002</v>
      </c>
      <c r="AD3493">
        <v>-1.1058894004119999</v>
      </c>
      <c r="AE3493">
        <v>-2.0089999999999799</v>
      </c>
      <c r="AF3493">
        <v>1.6329813626568499</v>
      </c>
      <c r="AG3493">
        <v>-1.1058894004119999</v>
      </c>
      <c r="AH3493">
        <v>25.986321341397201</v>
      </c>
      <c r="AI3493">
        <v>92.432051586327702</v>
      </c>
      <c r="AJ3493">
        <v>86.404259229831396</v>
      </c>
      <c r="AK3493">
        <v>26.061053630946699</v>
      </c>
      <c r="AL3493">
        <v>83.164002615578497</v>
      </c>
      <c r="AM3493">
        <v>87.608554723478804</v>
      </c>
      <c r="AN3493">
        <v>1.0000000151508499</v>
      </c>
    </row>
    <row r="3494" spans="1:40" x14ac:dyDescent="0.25">
      <c r="A3494" t="str">
        <f>"20190312172959789"</f>
        <v>20190312172959789</v>
      </c>
      <c r="B3494" t="str">
        <f>"1552382999781426"</f>
        <v>1552382999781426</v>
      </c>
      <c r="C3494" t="s">
        <v>40</v>
      </c>
      <c r="D3494">
        <v>3.5512100000000002</v>
      </c>
      <c r="E3494">
        <v>0.50981469999999995</v>
      </c>
      <c r="F3494" t="s">
        <v>47</v>
      </c>
      <c r="G3494">
        <v>-257.77879999999999</v>
      </c>
      <c r="H3494" s="1">
        <v>2.7204639999999999E-6</v>
      </c>
      <c r="I3494">
        <v>211.92269999999999</v>
      </c>
      <c r="J3494">
        <v>-284.85759999999999</v>
      </c>
      <c r="K3494">
        <v>1.1059890000000001</v>
      </c>
      <c r="L3494">
        <v>214.04910000000001</v>
      </c>
      <c r="M3494">
        <v>0.99974510000000005</v>
      </c>
      <c r="N3494">
        <v>0</v>
      </c>
      <c r="O3494">
        <v>-1.602489E-2</v>
      </c>
      <c r="P3494">
        <v>0.99292729999999996</v>
      </c>
      <c r="Q3494">
        <v>0.1048911</v>
      </c>
      <c r="R3494">
        <v>-5.5620879999999998E-2</v>
      </c>
      <c r="S3494">
        <v>3.0205380000000002</v>
      </c>
      <c r="T3494">
        <v>-0.1207256</v>
      </c>
      <c r="U3494">
        <v>-0.2330933</v>
      </c>
      <c r="V3494">
        <v>4.0621860000000003E-2</v>
      </c>
      <c r="W3494">
        <v>0.12038409999999999</v>
      </c>
      <c r="X3494">
        <v>0.99189590000000005</v>
      </c>
      <c r="Y3494">
        <v>6.0915789999999997E-2</v>
      </c>
      <c r="Z3494">
        <v>-5.7581509999999995E-4</v>
      </c>
      <c r="AA3494">
        <v>0.99814270000000005</v>
      </c>
      <c r="AB3494">
        <v>61</v>
      </c>
      <c r="AC3494">
        <v>27.078800000000001</v>
      </c>
      <c r="AD3494">
        <v>-1.10598627953599</v>
      </c>
      <c r="AE3494">
        <v>-2.1264000000000101</v>
      </c>
      <c r="AF3494">
        <v>1.68933637422066</v>
      </c>
      <c r="AG3494">
        <v>-1.10598627953599</v>
      </c>
      <c r="AH3494">
        <v>27.064530077674899</v>
      </c>
      <c r="AI3494">
        <v>92.335537578473705</v>
      </c>
      <c r="AJ3494">
        <v>86.428298098315906</v>
      </c>
      <c r="AK3494">
        <v>27.1397467077561</v>
      </c>
      <c r="AL3494">
        <v>83.085729211765894</v>
      </c>
      <c r="AM3494">
        <v>87.654833306375096</v>
      </c>
      <c r="AN3494">
        <v>0.99999997173973898</v>
      </c>
    </row>
    <row r="3495" spans="1:40" x14ac:dyDescent="0.25">
      <c r="A3495" t="str">
        <f>"20190312172959812"</f>
        <v>20190312172959812</v>
      </c>
      <c r="B3495" t="str">
        <f>"1552382999800946"</f>
        <v>1552382999800946</v>
      </c>
      <c r="C3495" t="s">
        <v>40</v>
      </c>
      <c r="D3495">
        <v>3.553461</v>
      </c>
      <c r="E3495">
        <v>0.5097391</v>
      </c>
      <c r="F3495" t="s">
        <v>47</v>
      </c>
      <c r="G3495">
        <v>-255.6181</v>
      </c>
      <c r="H3495" s="1">
        <v>1.5769249999999999E-6</v>
      </c>
      <c r="I3495">
        <v>211.77869999999999</v>
      </c>
      <c r="J3495">
        <v>-284.22519999999997</v>
      </c>
      <c r="K3495">
        <v>1.1061000000000001</v>
      </c>
      <c r="L3495">
        <v>214.03870000000001</v>
      </c>
      <c r="M3495">
        <v>0.99971650000000001</v>
      </c>
      <c r="N3495">
        <v>0</v>
      </c>
      <c r="O3495">
        <v>-1.771265E-2</v>
      </c>
      <c r="P3495">
        <v>0.99256520000000004</v>
      </c>
      <c r="Q3495">
        <v>0.1078186</v>
      </c>
      <c r="R3495">
        <v>-5.6477199999999901E-2</v>
      </c>
      <c r="S3495">
        <v>3.0202939999999998</v>
      </c>
      <c r="T3495">
        <v>-0.11424280000000001</v>
      </c>
      <c r="U3495">
        <v>-0.2345276</v>
      </c>
      <c r="V3495">
        <v>3.9796680000000001E-2</v>
      </c>
      <c r="W3495">
        <v>0.1233194</v>
      </c>
      <c r="X3495">
        <v>0.99156869999999997</v>
      </c>
      <c r="Y3495">
        <v>5.9713820000000001E-2</v>
      </c>
      <c r="Z3495">
        <v>-4.5856020000000001E-4</v>
      </c>
      <c r="AA3495">
        <v>0.99821539999999997</v>
      </c>
      <c r="AB3495">
        <v>61</v>
      </c>
      <c r="AC3495">
        <v>28.6070999999999</v>
      </c>
      <c r="AD3495">
        <v>-1.1060984230749999</v>
      </c>
      <c r="AE3495">
        <v>-2.26000000000001</v>
      </c>
      <c r="AF3495">
        <v>1.7502732311876501</v>
      </c>
      <c r="AG3495">
        <v>-1.1060984230749999</v>
      </c>
      <c r="AH3495">
        <v>28.6001547013263</v>
      </c>
      <c r="AI3495">
        <v>92.210653631022197</v>
      </c>
      <c r="AJ3495">
        <v>86.497978519640697</v>
      </c>
      <c r="AK3495">
        <v>28.675002337317</v>
      </c>
      <c r="AL3495">
        <v>82.916286181647493</v>
      </c>
      <c r="AM3495">
        <v>87.701663373615901</v>
      </c>
      <c r="AN3495">
        <v>0.99999996848753503</v>
      </c>
    </row>
    <row r="3496" spans="1:40" x14ac:dyDescent="0.25">
      <c r="A3496" t="str">
        <f>"20190312172959835"</f>
        <v>20190312172959835</v>
      </c>
      <c r="B3496" t="str">
        <f>"1552382999831202"</f>
        <v>1552382999831202</v>
      </c>
      <c r="C3496" t="s">
        <v>40</v>
      </c>
      <c r="D3496">
        <v>3.5810569999999999</v>
      </c>
      <c r="E3496">
        <v>0.50945459999999998</v>
      </c>
      <c r="F3496" t="s">
        <v>47</v>
      </c>
      <c r="G3496">
        <v>-251.66030000000001</v>
      </c>
      <c r="H3496" s="1">
        <v>-5.1618850000000003E-7</v>
      </c>
      <c r="I3496">
        <v>211.48099999999999</v>
      </c>
      <c r="J3496">
        <v>-283.6284</v>
      </c>
      <c r="K3496">
        <v>1.1062289999999999</v>
      </c>
      <c r="L3496">
        <v>214.02789999999999</v>
      </c>
      <c r="M3496">
        <v>0.99968999999999997</v>
      </c>
      <c r="N3496">
        <v>0</v>
      </c>
      <c r="O3496">
        <v>-1.9162209999999999E-2</v>
      </c>
      <c r="P3496">
        <v>0.99217370000000005</v>
      </c>
      <c r="Q3496">
        <v>0.1108469</v>
      </c>
      <c r="R3496">
        <v>-5.7487070000000001E-2</v>
      </c>
      <c r="S3496">
        <v>3.020111</v>
      </c>
      <c r="T3496">
        <v>-0.1025813</v>
      </c>
      <c r="U3496">
        <v>-0.23719789999999999</v>
      </c>
      <c r="V3496">
        <v>3.9356710000000003E-2</v>
      </c>
      <c r="W3496">
        <v>0.12635299999999999</v>
      </c>
      <c r="X3496">
        <v>0.99120430000000004</v>
      </c>
      <c r="Y3496">
        <v>5.9155239999999998E-2</v>
      </c>
      <c r="Z3496">
        <v>-3.5319490000000002E-4</v>
      </c>
      <c r="AA3496">
        <v>0.99824880000000005</v>
      </c>
      <c r="AB3496">
        <v>61</v>
      </c>
      <c r="AC3496">
        <v>31.9681</v>
      </c>
      <c r="AD3496">
        <v>-1.1062295161884901</v>
      </c>
      <c r="AE3496">
        <v>-2.5468999999999902</v>
      </c>
      <c r="AF3496">
        <v>1.93147712005067</v>
      </c>
      <c r="AG3496">
        <v>-1.1062295161884901</v>
      </c>
      <c r="AH3496">
        <v>31.9729946569318</v>
      </c>
      <c r="AI3496">
        <v>91.9779758506251</v>
      </c>
      <c r="AJ3496">
        <v>86.542983718429795</v>
      </c>
      <c r="AK3496">
        <v>32.050378077956601</v>
      </c>
      <c r="AL3496">
        <v>82.741103449964498</v>
      </c>
      <c r="AM3496">
        <v>87.726210971170801</v>
      </c>
      <c r="AN3496">
        <v>0.99999999778475701</v>
      </c>
    </row>
    <row r="3497" spans="1:40" x14ac:dyDescent="0.25">
      <c r="A3497" t="str">
        <f>"20190312172959857"</f>
        <v>20190312172959857</v>
      </c>
      <c r="B3497" t="str">
        <f>"1552382999850726"</f>
        <v>1552382999850726</v>
      </c>
      <c r="C3497" t="s">
        <v>40</v>
      </c>
      <c r="D3497">
        <v>3.5731169999999999</v>
      </c>
      <c r="E3497">
        <v>0.50937749999999904</v>
      </c>
      <c r="F3497" t="s">
        <v>47</v>
      </c>
      <c r="G3497">
        <v>-248.1728</v>
      </c>
      <c r="H3497" s="1">
        <v>2.9600180000000001E-6</v>
      </c>
      <c r="I3497">
        <v>211.23849999999999</v>
      </c>
      <c r="J3497">
        <v>-283.02499999999998</v>
      </c>
      <c r="K3497">
        <v>1.106384</v>
      </c>
      <c r="L3497">
        <v>214.0162</v>
      </c>
      <c r="M3497">
        <v>0.99966440000000001</v>
      </c>
      <c r="N3497">
        <v>0</v>
      </c>
      <c r="O3497">
        <v>-2.0457900000000001E-2</v>
      </c>
      <c r="P3497">
        <v>0.99188109999999996</v>
      </c>
      <c r="Q3497">
        <v>0.1132425</v>
      </c>
      <c r="R3497">
        <v>-5.7863909999999998E-2</v>
      </c>
      <c r="S3497">
        <v>3.0204469999999999</v>
      </c>
      <c r="T3497">
        <v>-9.4238879999999997E-2</v>
      </c>
      <c r="U3497">
        <v>-0.23762510000000001</v>
      </c>
      <c r="V3497">
        <v>3.8420070000000001E-2</v>
      </c>
      <c r="W3497">
        <v>0.12875980000000001</v>
      </c>
      <c r="X3497">
        <v>0.99093129999999996</v>
      </c>
      <c r="Y3497">
        <v>5.7997819999999999E-2</v>
      </c>
      <c r="Z3497">
        <v>-2.6608719999999999E-4</v>
      </c>
      <c r="AA3497">
        <v>0.9983166</v>
      </c>
      <c r="AB3497">
        <v>61</v>
      </c>
      <c r="AC3497">
        <v>34.852199999999897</v>
      </c>
      <c r="AD3497">
        <v>-1.106381039982</v>
      </c>
      <c r="AE3497">
        <v>-2.7776999999999998</v>
      </c>
      <c r="AF3497">
        <v>2.0619608374440301</v>
      </c>
      <c r="AG3497">
        <v>-1.106381039982</v>
      </c>
      <c r="AH3497">
        <v>34.866822253060398</v>
      </c>
      <c r="AI3497">
        <v>91.814310807305901</v>
      </c>
      <c r="AJ3497">
        <v>86.615572984588994</v>
      </c>
      <c r="AK3497">
        <v>34.9452579834131</v>
      </c>
      <c r="AL3497">
        <v>82.602068322418901</v>
      </c>
      <c r="AM3497">
        <v>87.779658569861397</v>
      </c>
      <c r="AN3497">
        <v>1.0000000145972601</v>
      </c>
    </row>
    <row r="3498" spans="1:40" x14ac:dyDescent="0.25">
      <c r="A3498" t="str">
        <f>"20190312172959879"</f>
        <v>20190312172959879</v>
      </c>
      <c r="B3498" t="str">
        <f>"1552382999871222"</f>
        <v>1552382999871222</v>
      </c>
      <c r="C3498" t="s">
        <v>40</v>
      </c>
      <c r="D3498">
        <v>3.5741320000000001</v>
      </c>
      <c r="E3498">
        <v>0.50933969999999995</v>
      </c>
      <c r="F3498" t="s">
        <v>47</v>
      </c>
      <c r="G3498">
        <v>-245.1138</v>
      </c>
      <c r="H3498" s="1">
        <v>1.3412529999999999E-6</v>
      </c>
      <c r="I3498">
        <v>211.03049999999999</v>
      </c>
      <c r="J3498">
        <v>-282.42869999999999</v>
      </c>
      <c r="K3498">
        <v>1.1065739999999999</v>
      </c>
      <c r="L3498">
        <v>214.00389999999999</v>
      </c>
      <c r="M3498">
        <v>0.99964160000000002</v>
      </c>
      <c r="N3498">
        <v>0</v>
      </c>
      <c r="O3498">
        <v>-2.1548790000000002E-2</v>
      </c>
      <c r="P3498">
        <v>0.991761</v>
      </c>
      <c r="Q3498">
        <v>0.1144203</v>
      </c>
      <c r="R3498">
        <v>-5.760697E-2</v>
      </c>
      <c r="S3498">
        <v>3.0207519999999999</v>
      </c>
      <c r="T3498">
        <v>-8.8156100000000001E-2</v>
      </c>
      <c r="U3498">
        <v>-0.23789979999999999</v>
      </c>
      <c r="V3498">
        <v>3.7030800000000003E-2</v>
      </c>
      <c r="W3498">
        <v>0.12995660000000001</v>
      </c>
      <c r="X3498">
        <v>0.99082789999999998</v>
      </c>
      <c r="Y3498">
        <v>5.6993849999999999E-2</v>
      </c>
      <c r="Z3498">
        <v>-2.0250450000000001E-4</v>
      </c>
      <c r="AA3498">
        <v>0.99837450000000005</v>
      </c>
      <c r="AB3498">
        <v>61</v>
      </c>
      <c r="AC3498">
        <v>37.314900000000002</v>
      </c>
      <c r="AD3498">
        <v>-1.1065726587469999</v>
      </c>
      <c r="AE3498">
        <v>-2.9733999999999901</v>
      </c>
      <c r="AF3498">
        <v>2.1666236423645202</v>
      </c>
      <c r="AG3498">
        <v>-1.1065726587469999</v>
      </c>
      <c r="AH3498">
        <v>37.337686215063798</v>
      </c>
      <c r="AI3498">
        <v>91.694722253404606</v>
      </c>
      <c r="AJ3498">
        <v>86.678976392816693</v>
      </c>
      <c r="AK3498">
        <v>37.416862147316699</v>
      </c>
      <c r="AL3498">
        <v>82.532915315514899</v>
      </c>
      <c r="AM3498">
        <v>87.859646945975598</v>
      </c>
      <c r="AN3498">
        <v>0.999999962725304</v>
      </c>
    </row>
    <row r="3499" spans="1:40" x14ac:dyDescent="0.25">
      <c r="A3499" t="str">
        <f>"20190312172959901"</f>
        <v>20190312172959901</v>
      </c>
      <c r="B3499" t="str">
        <f>"1552382999890739"</f>
        <v>1552382999890739</v>
      </c>
      <c r="C3499" t="s">
        <v>40</v>
      </c>
      <c r="D3499">
        <v>3.5897160000000001</v>
      </c>
      <c r="E3499">
        <v>0.50927159999999905</v>
      </c>
      <c r="F3499" t="s">
        <v>47</v>
      </c>
      <c r="G3499">
        <v>-243.57589999999999</v>
      </c>
      <c r="H3499" s="1">
        <v>5.2630829999999998E-7</v>
      </c>
      <c r="I3499">
        <v>210.9522</v>
      </c>
      <c r="J3499">
        <v>-281.81259999999997</v>
      </c>
      <c r="K3499">
        <v>1.1068</v>
      </c>
      <c r="L3499">
        <v>213.9906</v>
      </c>
      <c r="M3499">
        <v>0.99962150000000005</v>
      </c>
      <c r="N3499">
        <v>0</v>
      </c>
      <c r="O3499">
        <v>-2.2465849999999999E-2</v>
      </c>
      <c r="P3499">
        <v>0.99186640000000004</v>
      </c>
      <c r="Q3499">
        <v>0.11372</v>
      </c>
      <c r="R3499">
        <v>-5.7174009999999997E-2</v>
      </c>
      <c r="S3499">
        <v>3.0210270000000001</v>
      </c>
      <c r="T3499">
        <v>-8.6042399999999894E-2</v>
      </c>
      <c r="U3499">
        <v>-0.23728940000000001</v>
      </c>
      <c r="V3499">
        <v>3.5610199999999897E-2</v>
      </c>
      <c r="W3499">
        <v>0.12928000000000001</v>
      </c>
      <c r="X3499">
        <v>0.99096850000000003</v>
      </c>
      <c r="Y3499">
        <v>5.5871860000000002E-2</v>
      </c>
      <c r="Z3499">
        <v>-1.5562350000000001E-4</v>
      </c>
      <c r="AA3499">
        <v>0.99843789999999999</v>
      </c>
      <c r="AB3499">
        <v>60</v>
      </c>
      <c r="AC3499">
        <v>38.2366999999999</v>
      </c>
      <c r="AD3499">
        <v>-1.1067994736917</v>
      </c>
      <c r="AE3499">
        <v>-3.03839999999999</v>
      </c>
      <c r="AF3499">
        <v>2.17669231957146</v>
      </c>
      <c r="AG3499">
        <v>-1.1067994736917</v>
      </c>
      <c r="AH3499">
        <v>38.263457218600102</v>
      </c>
      <c r="AI3499">
        <v>91.654188880297795</v>
      </c>
      <c r="AJ3499">
        <v>86.744125561429399</v>
      </c>
      <c r="AK3499">
        <v>38.341298267647197</v>
      </c>
      <c r="AL3499">
        <v>82.572011635242305</v>
      </c>
      <c r="AM3499">
        <v>87.941976335069796</v>
      </c>
      <c r="AN3499">
        <v>0.99999998636814402</v>
      </c>
    </row>
    <row r="3500" spans="1:40" x14ac:dyDescent="0.25">
      <c r="A3500" t="str">
        <f>"20190312172959923"</f>
        <v>20190312172959923</v>
      </c>
      <c r="B3500" t="str">
        <f>"1552382999911238"</f>
        <v>1552382999911238</v>
      </c>
      <c r="C3500" t="s">
        <v>40</v>
      </c>
      <c r="D3500">
        <v>3.600943</v>
      </c>
      <c r="E3500">
        <v>0.50922889999999998</v>
      </c>
      <c r="F3500" t="s">
        <v>47</v>
      </c>
      <c r="G3500">
        <v>-244.8449</v>
      </c>
      <c r="H3500" s="1">
        <v>1.194633E-6</v>
      </c>
      <c r="I3500">
        <v>211.11080000000001</v>
      </c>
      <c r="J3500">
        <v>-281.22280000000001</v>
      </c>
      <c r="K3500">
        <v>1.1070359999999999</v>
      </c>
      <c r="L3500">
        <v>213.97739999999999</v>
      </c>
      <c r="M3500">
        <v>0.9996062</v>
      </c>
      <c r="N3500">
        <v>0</v>
      </c>
      <c r="O3500">
        <v>-2.3139969999999999E-2</v>
      </c>
      <c r="P3500">
        <v>0.9920447</v>
      </c>
      <c r="Q3500">
        <v>0.1125222</v>
      </c>
      <c r="R3500">
        <v>-5.6446719999999999E-2</v>
      </c>
      <c r="S3500">
        <v>3.0213930000000002</v>
      </c>
      <c r="T3500">
        <v>-9.0459349999999994E-2</v>
      </c>
      <c r="U3500">
        <v>-0.23536679999999999</v>
      </c>
      <c r="V3500">
        <v>3.4129270000000003E-2</v>
      </c>
      <c r="W3500">
        <v>0.12810719999999901</v>
      </c>
      <c r="X3500">
        <v>0.99117290000000002</v>
      </c>
      <c r="Y3500">
        <v>5.4557040000000001E-2</v>
      </c>
      <c r="Z3500">
        <v>-1.23806299999999E-4</v>
      </c>
      <c r="AA3500">
        <v>0.99851069999999997</v>
      </c>
      <c r="AB3500">
        <v>60</v>
      </c>
      <c r="AC3500">
        <v>36.377899999999997</v>
      </c>
      <c r="AD3500">
        <v>-1.1070348053670001</v>
      </c>
      <c r="AE3500">
        <v>-2.8665999999999698</v>
      </c>
      <c r="AF3500">
        <v>2.0220815897572701</v>
      </c>
      <c r="AG3500">
        <v>-1.1070348053670001</v>
      </c>
      <c r="AH3500">
        <v>36.400996106294897</v>
      </c>
      <c r="AI3500">
        <v>91.739274643560407</v>
      </c>
      <c r="AJ3500">
        <v>86.820477393865502</v>
      </c>
      <c r="AK3500">
        <v>36.473920238252802</v>
      </c>
      <c r="AL3500">
        <v>82.639771619813899</v>
      </c>
      <c r="AM3500">
        <v>88.027901238064203</v>
      </c>
      <c r="AN3500">
        <v>0.99999998972849102</v>
      </c>
    </row>
    <row r="3501" spans="1:40" x14ac:dyDescent="0.25">
      <c r="A3501" t="str">
        <f>"20190312172959946"</f>
        <v>20190312172959946</v>
      </c>
      <c r="B3501" t="str">
        <f>"1552382999941491"</f>
        <v>1552382999941491</v>
      </c>
      <c r="C3501" t="s">
        <v>40</v>
      </c>
      <c r="D3501">
        <v>3.6116139999999999</v>
      </c>
      <c r="E3501">
        <v>0.50820659999999995</v>
      </c>
      <c r="F3501" t="s">
        <v>47</v>
      </c>
      <c r="G3501">
        <v>-246.13079999999999</v>
      </c>
      <c r="H3501" s="1">
        <v>1.87183E-6</v>
      </c>
      <c r="I3501">
        <v>211.273</v>
      </c>
      <c r="J3501">
        <v>-280.61470000000003</v>
      </c>
      <c r="K3501">
        <v>1.1072820000000001</v>
      </c>
      <c r="L3501">
        <v>213.96350000000001</v>
      </c>
      <c r="M3501">
        <v>0.99959439999999999</v>
      </c>
      <c r="N3501">
        <v>0</v>
      </c>
      <c r="O3501">
        <v>-2.3642690000000001E-2</v>
      </c>
      <c r="P3501">
        <v>0.99219109999999999</v>
      </c>
      <c r="Q3501">
        <v>0.11129509999999999</v>
      </c>
      <c r="R3501">
        <v>-5.6303199999999901E-2</v>
      </c>
      <c r="S3501">
        <v>3.0216059999999998</v>
      </c>
      <c r="T3501">
        <v>-9.5321420000000004E-2</v>
      </c>
      <c r="U3501">
        <v>-0.2328644</v>
      </c>
      <c r="V3501">
        <v>3.3400920000000001E-2</v>
      </c>
      <c r="W3501">
        <v>0.12690070000000001</v>
      </c>
      <c r="X3501">
        <v>0.99135289999999998</v>
      </c>
      <c r="Y3501">
        <v>5.322669E-2</v>
      </c>
      <c r="Z3501" s="1">
        <v>-9.3679530000000005E-5</v>
      </c>
      <c r="AA3501">
        <v>0.99858239999999998</v>
      </c>
      <c r="AB3501">
        <v>60</v>
      </c>
      <c r="AC3501">
        <v>34.483899999999998</v>
      </c>
      <c r="AD3501">
        <v>-1.10728012816999</v>
      </c>
      <c r="AE3501">
        <v>-2.6905000000000099</v>
      </c>
      <c r="AF3501">
        <v>1.8724339107939101</v>
      </c>
      <c r="AG3501">
        <v>-1.10728012816999</v>
      </c>
      <c r="AH3501">
        <v>34.502518263061901</v>
      </c>
      <c r="AI3501">
        <v>91.835448279184803</v>
      </c>
      <c r="AJ3501">
        <v>86.893634737954997</v>
      </c>
      <c r="AK3501">
        <v>34.571026084359303</v>
      </c>
      <c r="AL3501">
        <v>82.709467846485495</v>
      </c>
      <c r="AM3501">
        <v>88.070305635133195</v>
      </c>
      <c r="AN3501">
        <v>0.99999999072787304</v>
      </c>
    </row>
    <row r="3502" spans="1:40" x14ac:dyDescent="0.25">
      <c r="A3502" t="str">
        <f>"20190312172959967"</f>
        <v>20190312172959967</v>
      </c>
      <c r="B3502" t="str">
        <f>"1552382999961014"</f>
        <v>1552382999961014</v>
      </c>
      <c r="C3502" t="s">
        <v>40</v>
      </c>
      <c r="D3502">
        <v>3.5702280000000002</v>
      </c>
      <c r="E3502">
        <v>0.50839230000000002</v>
      </c>
      <c r="F3502" t="s">
        <v>47</v>
      </c>
      <c r="G3502">
        <v>-253.20079999999999</v>
      </c>
      <c r="H3502" s="1">
        <v>2.8377390000000002E-7</v>
      </c>
      <c r="I3502">
        <v>211.93379999999999</v>
      </c>
      <c r="J3502">
        <v>-280.02530000000002</v>
      </c>
      <c r="K3502">
        <v>1.1075159999999999</v>
      </c>
      <c r="L3502">
        <v>213.9496</v>
      </c>
      <c r="M3502">
        <v>0.99958619999999998</v>
      </c>
      <c r="N3502">
        <v>0</v>
      </c>
      <c r="O3502">
        <v>-2.399215E-2</v>
      </c>
      <c r="P3502">
        <v>0.99219009999999996</v>
      </c>
      <c r="Q3502">
        <v>0.1112224</v>
      </c>
      <c r="R3502">
        <v>-5.646756E-2</v>
      </c>
      <c r="S3502">
        <v>3.024597</v>
      </c>
      <c r="T3502">
        <v>-0.1221675</v>
      </c>
      <c r="U3502">
        <v>-0.223938</v>
      </c>
      <c r="V3502">
        <v>3.314719E-2</v>
      </c>
      <c r="W3502">
        <v>0.12684300000000001</v>
      </c>
      <c r="X3502">
        <v>0.99136880000000005</v>
      </c>
      <c r="Y3502">
        <v>4.9864949999999998E-2</v>
      </c>
      <c r="Z3502" s="1">
        <v>-3.8075960000000003E-5</v>
      </c>
      <c r="AA3502">
        <v>0.99875599999999998</v>
      </c>
      <c r="AB3502">
        <v>60</v>
      </c>
      <c r="AC3502">
        <v>26.8245</v>
      </c>
      <c r="AD3502">
        <v>-1.1075157162261</v>
      </c>
      <c r="AE3502">
        <v>-2.0158000000000098</v>
      </c>
      <c r="AF3502">
        <v>1.3692401532223599</v>
      </c>
      <c r="AG3502">
        <v>-1.1075157162261</v>
      </c>
      <c r="AH3502">
        <v>26.8196844243462</v>
      </c>
      <c r="AI3502">
        <v>92.361606724447697</v>
      </c>
      <c r="AJ3502">
        <v>87.0773844109968</v>
      </c>
      <c r="AK3502">
        <v>26.877441884978602</v>
      </c>
      <c r="AL3502">
        <v>82.712800742144907</v>
      </c>
      <c r="AM3502">
        <v>88.084984287910302</v>
      </c>
      <c r="AN3502">
        <v>0.99999999023366803</v>
      </c>
    </row>
    <row r="3503" spans="1:40" x14ac:dyDescent="0.25">
      <c r="A3503" t="str">
        <f>"20190312172959991"</f>
        <v>20190312172959991</v>
      </c>
      <c r="B3503" t="str">
        <f>"1552382999981506"</f>
        <v>1552382999981506</v>
      </c>
      <c r="C3503" t="s">
        <v>40</v>
      </c>
      <c r="D3503">
        <v>3.5684559999999999</v>
      </c>
      <c r="E3503">
        <v>0.50850099999999998</v>
      </c>
      <c r="F3503" t="s">
        <v>47</v>
      </c>
      <c r="G3503">
        <v>-252.4263</v>
      </c>
      <c r="H3503" s="1">
        <v>-1.2605749999999999E-7</v>
      </c>
      <c r="I3503">
        <v>211.88120000000001</v>
      </c>
      <c r="J3503">
        <v>-279.39609999999999</v>
      </c>
      <c r="K3503">
        <v>1.1077629999999901</v>
      </c>
      <c r="L3503">
        <v>213.93459999999999</v>
      </c>
      <c r="M3503">
        <v>0.99958069999999999</v>
      </c>
      <c r="N3503">
        <v>0</v>
      </c>
      <c r="O3503">
        <v>-2.422231E-2</v>
      </c>
      <c r="P3503">
        <v>0.99192789999999997</v>
      </c>
      <c r="Q3503">
        <v>0.1131667</v>
      </c>
      <c r="R3503">
        <v>-5.7206529999999998E-2</v>
      </c>
      <c r="S3503">
        <v>3.024292</v>
      </c>
      <c r="T3503">
        <v>-0.1213616</v>
      </c>
      <c r="U3503">
        <v>-0.2266541</v>
      </c>
      <c r="V3503">
        <v>3.3598299999999998E-2</v>
      </c>
      <c r="W3503">
        <v>0.1287962</v>
      </c>
      <c r="X3503">
        <v>0.99110169999999997</v>
      </c>
      <c r="Y3503">
        <v>5.0534320000000001E-2</v>
      </c>
      <c r="Z3503" s="1">
        <v>-4.2021860000000002E-5</v>
      </c>
      <c r="AA3503">
        <v>0.99872229999999995</v>
      </c>
      <c r="AB3503">
        <v>60</v>
      </c>
      <c r="AC3503">
        <v>26.9697999999999</v>
      </c>
      <c r="AD3503">
        <v>-1.1077631260574901</v>
      </c>
      <c r="AE3503">
        <v>-2.0533999999999799</v>
      </c>
      <c r="AF3503">
        <v>1.39710083620074</v>
      </c>
      <c r="AG3503">
        <v>-1.1077631260574901</v>
      </c>
      <c r="AH3503">
        <v>26.966396790691</v>
      </c>
      <c r="AI3503">
        <v>92.3492058642898</v>
      </c>
      <c r="AJ3503">
        <v>87.034217197224905</v>
      </c>
      <c r="AK3503">
        <v>27.025276793456801</v>
      </c>
      <c r="AL3503">
        <v>82.599964714282606</v>
      </c>
      <c r="AM3503">
        <v>88.058419359401398</v>
      </c>
      <c r="AN3503">
        <v>0.999999943320108</v>
      </c>
    </row>
    <row r="3504" spans="1:40" x14ac:dyDescent="0.25">
      <c r="A3504" t="str">
        <f>"20190312173000013"</f>
        <v>20190312173000013</v>
      </c>
      <c r="B3504" t="str">
        <f>"1552383000001027"</f>
        <v>1552383000001027</v>
      </c>
      <c r="C3504" t="s">
        <v>40</v>
      </c>
      <c r="D3504">
        <v>3.5911590000000002</v>
      </c>
      <c r="E3504">
        <v>0.50841530000000001</v>
      </c>
      <c r="F3504" t="s">
        <v>47</v>
      </c>
      <c r="G3504">
        <v>-250.5643</v>
      </c>
      <c r="H3504" s="1">
        <v>-1.1111090000000001E-6</v>
      </c>
      <c r="I3504">
        <v>211.7473</v>
      </c>
      <c r="J3504">
        <v>-278.79610000000002</v>
      </c>
      <c r="K3504">
        <v>1.108004</v>
      </c>
      <c r="L3504">
        <v>213.92019999999999</v>
      </c>
      <c r="M3504">
        <v>0.99957839999999998</v>
      </c>
      <c r="N3504">
        <v>0</v>
      </c>
      <c r="O3504">
        <v>-2.4314869999999999E-2</v>
      </c>
      <c r="P3504">
        <v>0.99159649999999999</v>
      </c>
      <c r="Q3504">
        <v>0.1158686</v>
      </c>
      <c r="R3504">
        <v>-5.7538579999999999E-2</v>
      </c>
      <c r="S3504">
        <v>3.0244450000000001</v>
      </c>
      <c r="T3504">
        <v>-0.116204</v>
      </c>
      <c r="U3504">
        <v>-0.22944639999999999</v>
      </c>
      <c r="V3504">
        <v>3.3786169999999997E-2</v>
      </c>
      <c r="W3504">
        <v>0.13150519999999999</v>
      </c>
      <c r="X3504">
        <v>0.99073960000000005</v>
      </c>
      <c r="Y3504">
        <v>5.1356150000000003E-2</v>
      </c>
      <c r="Z3504" s="1">
        <v>-5.2448360000000001E-5</v>
      </c>
      <c r="AA3504">
        <v>0.99868040000000002</v>
      </c>
      <c r="AB3504">
        <v>60</v>
      </c>
      <c r="AC3504">
        <v>28.2318</v>
      </c>
      <c r="AD3504">
        <v>-1.1080051111089999</v>
      </c>
      <c r="AE3504">
        <v>-2.1728999999999901</v>
      </c>
      <c r="AF3504">
        <v>1.4834469262029499</v>
      </c>
      <c r="AG3504">
        <v>-1.1080051111089999</v>
      </c>
      <c r="AH3504">
        <v>28.233060200654201</v>
      </c>
      <c r="AI3504">
        <v>92.2443241210472</v>
      </c>
      <c r="AJ3504">
        <v>86.992279276710505</v>
      </c>
      <c r="AK3504">
        <v>28.293709166577401</v>
      </c>
      <c r="AL3504">
        <v>82.443419570599204</v>
      </c>
      <c r="AM3504">
        <v>88.046858065392996</v>
      </c>
      <c r="AN3504">
        <v>1.0000000389592301</v>
      </c>
    </row>
    <row r="3505" spans="1:40" x14ac:dyDescent="0.25">
      <c r="A3505" t="str">
        <f>"20190312173000036"</f>
        <v>20190312173000036</v>
      </c>
      <c r="B3505" t="str">
        <f>"1552383000031283"</f>
        <v>1552383000031283</v>
      </c>
      <c r="C3505" t="s">
        <v>40</v>
      </c>
      <c r="D3505">
        <v>3.5781149999999999</v>
      </c>
      <c r="E3505">
        <v>0.50817079999999903</v>
      </c>
      <c r="F3505" t="s">
        <v>47</v>
      </c>
      <c r="G3505">
        <v>-247.6148</v>
      </c>
      <c r="H3505" s="1">
        <v>2.649432E-6</v>
      </c>
      <c r="I3505">
        <v>211.55080000000001</v>
      </c>
      <c r="J3505">
        <v>-278.2079</v>
      </c>
      <c r="K3505">
        <v>1.108228</v>
      </c>
      <c r="L3505">
        <v>213.9059</v>
      </c>
      <c r="M3505">
        <v>0.99957910000000005</v>
      </c>
      <c r="N3505">
        <v>0</v>
      </c>
      <c r="O3505">
        <v>-2.4293510000000001E-2</v>
      </c>
      <c r="P3505">
        <v>0.99138309999999996</v>
      </c>
      <c r="Q3505">
        <v>0.1178748</v>
      </c>
      <c r="R3505">
        <v>-5.7141709999999998E-2</v>
      </c>
      <c r="S3505">
        <v>3.0246580000000001</v>
      </c>
      <c r="T3505">
        <v>-0.10747859999999999</v>
      </c>
      <c r="U3505">
        <v>-0.2298279</v>
      </c>
      <c r="V3505">
        <v>3.335312E-2</v>
      </c>
      <c r="W3505">
        <v>0.133522</v>
      </c>
      <c r="X3505">
        <v>0.99048449999999999</v>
      </c>
      <c r="Y3505">
        <v>5.1500190000000001E-2</v>
      </c>
      <c r="Z3505" s="1">
        <v>-5.1821350000000001E-5</v>
      </c>
      <c r="AA3505">
        <v>0.99867300000000003</v>
      </c>
      <c r="AB3505">
        <v>60</v>
      </c>
      <c r="AC3505">
        <v>30.5931</v>
      </c>
      <c r="AD3505">
        <v>-1.108225350568</v>
      </c>
      <c r="AE3505">
        <v>-2.35509999999999</v>
      </c>
      <c r="AF3505">
        <v>1.60899859027628</v>
      </c>
      <c r="AG3505">
        <v>-1.108225350568</v>
      </c>
      <c r="AH3505">
        <v>30.601370203988001</v>
      </c>
      <c r="AI3505">
        <v>92.071195604020403</v>
      </c>
      <c r="AJ3505">
        <v>86.990199656220497</v>
      </c>
      <c r="AK3505">
        <v>30.6636739196835</v>
      </c>
      <c r="AL3505">
        <v>82.326837393514893</v>
      </c>
      <c r="AM3505">
        <v>88.071376983409806</v>
      </c>
      <c r="AN3505">
        <v>1.0000000499189901</v>
      </c>
    </row>
    <row r="3506" spans="1:40" x14ac:dyDescent="0.25">
      <c r="A3506" t="str">
        <f>"20190312173000058"</f>
        <v>20190312173000058</v>
      </c>
      <c r="B3506" t="str">
        <f>"1552383000050803"</f>
        <v>1552383000050803</v>
      </c>
      <c r="C3506" t="s">
        <v>40</v>
      </c>
      <c r="D3506">
        <v>3.5512920000000001</v>
      </c>
      <c r="E3506">
        <v>0.50811589999999995</v>
      </c>
      <c r="F3506" t="s">
        <v>47</v>
      </c>
      <c r="G3506">
        <v>-244.7542</v>
      </c>
      <c r="H3506" s="1">
        <v>1.133935E-6</v>
      </c>
      <c r="I3506">
        <v>211.39609999999999</v>
      </c>
      <c r="J3506">
        <v>-277.58819999999997</v>
      </c>
      <c r="K3506">
        <v>1.108455</v>
      </c>
      <c r="L3506">
        <v>213.89089999999999</v>
      </c>
      <c r="M3506">
        <v>0.99958239999999998</v>
      </c>
      <c r="N3506">
        <v>0</v>
      </c>
      <c r="O3506">
        <v>-2.4160480000000002E-2</v>
      </c>
      <c r="P3506">
        <v>0.99125989999999997</v>
      </c>
      <c r="Q3506">
        <v>0.11899659999999999</v>
      </c>
      <c r="R3506">
        <v>-5.6953129999999998E-2</v>
      </c>
      <c r="S3506">
        <v>3.024902</v>
      </c>
      <c r="T3506">
        <v>-0.10020660000000001</v>
      </c>
      <c r="U3506">
        <v>-0.22694400000000001</v>
      </c>
      <c r="V3506">
        <v>3.3229649999999999E-2</v>
      </c>
      <c r="W3506">
        <v>0.13465559999999999</v>
      </c>
      <c r="X3506">
        <v>0.99033510000000002</v>
      </c>
      <c r="Y3506">
        <v>5.0682860000000003E-2</v>
      </c>
      <c r="Z3506" s="1">
        <v>-3.9194479999999997E-5</v>
      </c>
      <c r="AA3506">
        <v>0.99871480000000001</v>
      </c>
      <c r="AB3506">
        <v>60</v>
      </c>
      <c r="AC3506">
        <v>32.833999999999897</v>
      </c>
      <c r="AD3506">
        <v>-1.1084538660650001</v>
      </c>
      <c r="AE3506">
        <v>-2.4947999999999899</v>
      </c>
      <c r="AF3506">
        <v>1.6987617206772501</v>
      </c>
      <c r="AG3506">
        <v>-1.1084538660650001</v>
      </c>
      <c r="AH3506">
        <v>32.847475126893897</v>
      </c>
      <c r="AI3506">
        <v>91.930162712189102</v>
      </c>
      <c r="AJ3506">
        <v>87.039491145908599</v>
      </c>
      <c r="AK3506">
        <v>32.910045329180903</v>
      </c>
      <c r="AL3506">
        <v>82.261294423890604</v>
      </c>
      <c r="AM3506">
        <v>88.078221541302895</v>
      </c>
      <c r="AN3506">
        <v>0.99999997527124596</v>
      </c>
    </row>
    <row r="3507" spans="1:40" x14ac:dyDescent="0.25">
      <c r="A3507" t="str">
        <f>"20190312173000081"</f>
        <v>20190312173000081</v>
      </c>
      <c r="B3507" t="str">
        <f>"1552383000071299"</f>
        <v>1552383000071299</v>
      </c>
      <c r="C3507" t="s">
        <v>40</v>
      </c>
      <c r="D3507">
        <v>3.482761</v>
      </c>
      <c r="E3507">
        <v>0.50806709999999899</v>
      </c>
      <c r="F3507" t="s">
        <v>47</v>
      </c>
      <c r="G3507">
        <v>-243.01840000000001</v>
      </c>
      <c r="H3507" s="1">
        <v>2.142406E-7</v>
      </c>
      <c r="I3507">
        <v>211.30410000000001</v>
      </c>
      <c r="J3507">
        <v>-276.9948</v>
      </c>
      <c r="K3507">
        <v>1.1086689999999999</v>
      </c>
      <c r="L3507">
        <v>213.8767</v>
      </c>
      <c r="M3507">
        <v>0.99958800000000003</v>
      </c>
      <c r="N3507">
        <v>0</v>
      </c>
      <c r="O3507">
        <v>-2.3932330000000002E-2</v>
      </c>
      <c r="P3507">
        <v>0.99119710000000005</v>
      </c>
      <c r="Q3507">
        <v>0.1197265</v>
      </c>
      <c r="R3507">
        <v>-5.6517100000000001E-2</v>
      </c>
      <c r="S3507">
        <v>3.0250849999999998</v>
      </c>
      <c r="T3507">
        <v>-9.6997139999999996E-2</v>
      </c>
      <c r="U3507">
        <v>-0.22636410000000001</v>
      </c>
      <c r="V3507">
        <v>3.295323E-2</v>
      </c>
      <c r="W3507">
        <v>0.1353973</v>
      </c>
      <c r="X3507">
        <v>0.99024319999999999</v>
      </c>
      <c r="Y3507">
        <v>5.071672E-2</v>
      </c>
      <c r="Z3507" s="1">
        <v>-4.5779099999999997E-5</v>
      </c>
      <c r="AA3507">
        <v>0.99871310000000002</v>
      </c>
      <c r="AB3507">
        <v>60</v>
      </c>
      <c r="AC3507">
        <v>33.976399999999899</v>
      </c>
      <c r="AD3507">
        <v>-1.1086687857594</v>
      </c>
      <c r="AE3507">
        <v>-2.5725999999999898</v>
      </c>
      <c r="AF3507">
        <v>1.7567665982582801</v>
      </c>
      <c r="AG3507">
        <v>-1.1086687857594</v>
      </c>
      <c r="AH3507">
        <v>33.992255062211903</v>
      </c>
      <c r="AI3507">
        <v>91.865570828271004</v>
      </c>
      <c r="AJ3507">
        <v>87.041507271948305</v>
      </c>
      <c r="AK3507">
        <v>34.0556717680292</v>
      </c>
      <c r="AL3507">
        <v>82.218405320079896</v>
      </c>
      <c r="AM3507">
        <v>88.094019229789197</v>
      </c>
      <c r="AN3507">
        <v>0.99999996968048099</v>
      </c>
    </row>
    <row r="3508" spans="1:40" x14ac:dyDescent="0.25">
      <c r="A3508" t="str">
        <f>"20190312173000102"</f>
        <v>20190312173000102</v>
      </c>
      <c r="B3508" t="str">
        <f>"1552383000090819"</f>
        <v>1552383000090819</v>
      </c>
      <c r="C3508" t="s">
        <v>40</v>
      </c>
      <c r="D3508">
        <v>3.4742860000000002</v>
      </c>
      <c r="E3508">
        <v>0.50820509999999997</v>
      </c>
      <c r="F3508" t="s">
        <v>47</v>
      </c>
      <c r="G3508">
        <v>-241.76400000000001</v>
      </c>
      <c r="H3508" s="1">
        <v>-4.514227E-7</v>
      </c>
      <c r="I3508">
        <v>211.26089999999999</v>
      </c>
      <c r="J3508">
        <v>-276.41379999999998</v>
      </c>
      <c r="K3508">
        <v>1.10887</v>
      </c>
      <c r="L3508">
        <v>213.8629</v>
      </c>
      <c r="M3508">
        <v>0.99959560000000003</v>
      </c>
      <c r="N3508">
        <v>0</v>
      </c>
      <c r="O3508">
        <v>-2.3614309999999999E-2</v>
      </c>
      <c r="P3508">
        <v>0.9912706</v>
      </c>
      <c r="Q3508">
        <v>0.1192904</v>
      </c>
      <c r="R3508">
        <v>-5.614748E-2</v>
      </c>
      <c r="S3508">
        <v>3.0253299999999999</v>
      </c>
      <c r="T3508">
        <v>-9.5203399999999994E-2</v>
      </c>
      <c r="U3508">
        <v>-0.22462460000000001</v>
      </c>
      <c r="V3508">
        <v>3.2829400000000002E-2</v>
      </c>
      <c r="W3508">
        <v>0.13497500000000001</v>
      </c>
      <c r="X3508">
        <v>0.99030499999999999</v>
      </c>
      <c r="Y3508">
        <v>5.0457879999999997E-2</v>
      </c>
      <c r="Z3508" s="1">
        <v>-5.084899E-5</v>
      </c>
      <c r="AA3508">
        <v>0.99872620000000001</v>
      </c>
      <c r="AB3508">
        <v>60</v>
      </c>
      <c r="AC3508">
        <v>34.6497999999999</v>
      </c>
      <c r="AD3508">
        <v>-1.1088704514226999</v>
      </c>
      <c r="AE3508">
        <v>-2.6019999999999999</v>
      </c>
      <c r="AF3508">
        <v>1.78112650880595</v>
      </c>
      <c r="AG3508">
        <v>-1.1088704514226999</v>
      </c>
      <c r="AH3508">
        <v>34.666283282176799</v>
      </c>
      <c r="AI3508">
        <v>91.829683715730098</v>
      </c>
      <c r="AJ3508">
        <v>87.058773969299295</v>
      </c>
      <c r="AK3508">
        <v>34.729716409993003</v>
      </c>
      <c r="AL3508">
        <v>82.242825788613104</v>
      </c>
      <c r="AM3508">
        <v>88.101294585498096</v>
      </c>
      <c r="AN3508">
        <v>1.0000000065771799</v>
      </c>
    </row>
    <row r="3509" spans="1:40" x14ac:dyDescent="0.25">
      <c r="A3509" t="str">
        <f>"20190312173000124"</f>
        <v>20190312173000124</v>
      </c>
      <c r="B3509" t="str">
        <f>"1552383000111315"</f>
        <v>1552383000111315</v>
      </c>
      <c r="C3509" t="s">
        <v>40</v>
      </c>
      <c r="D3509">
        <v>3.4880900000000001</v>
      </c>
      <c r="E3509">
        <v>0.50826570000000004</v>
      </c>
      <c r="F3509" t="s">
        <v>47</v>
      </c>
      <c r="G3509">
        <v>-241.89709999999999</v>
      </c>
      <c r="H3509" s="1">
        <v>-3.8223940000000001E-7</v>
      </c>
      <c r="I3509">
        <v>211.29849999999999</v>
      </c>
      <c r="J3509">
        <v>-275.83460000000002</v>
      </c>
      <c r="K3509">
        <v>1.109073</v>
      </c>
      <c r="L3509">
        <v>213.8494</v>
      </c>
      <c r="M3509">
        <v>0.99960539999999998</v>
      </c>
      <c r="N3509">
        <v>0</v>
      </c>
      <c r="O3509">
        <v>-2.3200740000000001E-2</v>
      </c>
      <c r="P3509">
        <v>0.99133800000000005</v>
      </c>
      <c r="Q3509">
        <v>0.11889520000000001</v>
      </c>
      <c r="R3509">
        <v>-5.5796230000000002E-2</v>
      </c>
      <c r="S3509">
        <v>3.025452</v>
      </c>
      <c r="T3509">
        <v>-9.7194550000000005E-2</v>
      </c>
      <c r="U3509">
        <v>-0.22477720000000001</v>
      </c>
      <c r="V3509">
        <v>3.2819920000000002E-2</v>
      </c>
      <c r="W3509">
        <v>0.13459270000000001</v>
      </c>
      <c r="X3509">
        <v>0.9903573</v>
      </c>
      <c r="Y3509">
        <v>5.0917179999999999E-2</v>
      </c>
      <c r="Z3509" s="1">
        <v>-7.2533089999999998E-5</v>
      </c>
      <c r="AA3509">
        <v>0.99870289999999995</v>
      </c>
      <c r="AB3509">
        <v>60</v>
      </c>
      <c r="AC3509">
        <v>33.9375</v>
      </c>
      <c r="AD3509">
        <v>-1.1090733822394001</v>
      </c>
      <c r="AE3509">
        <v>-2.5509000000000102</v>
      </c>
      <c r="AF3509">
        <v>1.7608693374767601</v>
      </c>
      <c r="AG3509">
        <v>-1.1090733822394001</v>
      </c>
      <c r="AH3509">
        <v>33.951497198004702</v>
      </c>
      <c r="AI3509">
        <v>91.868472332241893</v>
      </c>
      <c r="AJ3509">
        <v>87.031056842376003</v>
      </c>
      <c r="AK3509">
        <v>34.015215221676598</v>
      </c>
      <c r="AL3509">
        <v>82.264931332782993</v>
      </c>
      <c r="AM3509">
        <v>88.101942631986404</v>
      </c>
      <c r="AN3509">
        <v>0.99999996185269202</v>
      </c>
    </row>
    <row r="3510" spans="1:40" x14ac:dyDescent="0.25">
      <c r="A3510" t="str">
        <f>"20190312173000147"</f>
        <v>20190312173000147</v>
      </c>
      <c r="B3510" t="str">
        <f>"1552383000141581"</f>
        <v>1552383000141581</v>
      </c>
      <c r="C3510" t="s">
        <v>40</v>
      </c>
      <c r="D3510">
        <v>3.4786589999999902</v>
      </c>
      <c r="E3510">
        <v>0.50825350000000002</v>
      </c>
      <c r="F3510" t="s">
        <v>47</v>
      </c>
      <c r="G3510">
        <v>-242.20699999999999</v>
      </c>
      <c r="H3510" s="1">
        <v>-2.1986299999999999E-7</v>
      </c>
      <c r="I3510">
        <v>211.35659999999999</v>
      </c>
      <c r="J3510">
        <v>-275.21769999999998</v>
      </c>
      <c r="K3510">
        <v>1.1092879999999901</v>
      </c>
      <c r="L3510">
        <v>213.83539999999999</v>
      </c>
      <c r="M3510">
        <v>0.99961820000000001</v>
      </c>
      <c r="N3510">
        <v>0</v>
      </c>
      <c r="O3510">
        <v>-2.264851E-2</v>
      </c>
      <c r="P3510">
        <v>0.99140019999999995</v>
      </c>
      <c r="Q3510">
        <v>0.11839520000000001</v>
      </c>
      <c r="R3510">
        <v>-5.5754560000000002E-2</v>
      </c>
      <c r="S3510">
        <v>3.0255429999999999</v>
      </c>
      <c r="T3510">
        <v>-9.9785570000000004E-2</v>
      </c>
      <c r="U3510">
        <v>-0.22428890000000001</v>
      </c>
      <c r="V3510">
        <v>3.3255569999999998E-2</v>
      </c>
      <c r="W3510">
        <v>0.134107</v>
      </c>
      <c r="X3510">
        <v>0.99040870000000003</v>
      </c>
      <c r="Y3510">
        <v>5.1305110000000001E-2</v>
      </c>
      <c r="Z3510" s="1">
        <v>-9.9024789999999994E-5</v>
      </c>
      <c r="AA3510">
        <v>0.99868299999999999</v>
      </c>
      <c r="AB3510">
        <v>60</v>
      </c>
      <c r="AC3510">
        <v>33.0106999999999</v>
      </c>
      <c r="AD3510">
        <v>-1.1092882198630001</v>
      </c>
      <c r="AE3510">
        <v>-2.4788000000000001</v>
      </c>
      <c r="AF3510">
        <v>1.7284862732845101</v>
      </c>
      <c r="AG3510">
        <v>-1.1092882198630001</v>
      </c>
      <c r="AH3510">
        <v>33.021299148349598</v>
      </c>
      <c r="AI3510">
        <v>91.921391551186204</v>
      </c>
      <c r="AJ3510">
        <v>87.003610733492906</v>
      </c>
      <c r="AK3510">
        <v>33.085108169635099</v>
      </c>
      <c r="AL3510">
        <v>82.293014845111003</v>
      </c>
      <c r="AM3510">
        <v>88.076866445620695</v>
      </c>
      <c r="AN3510">
        <v>1.0000000067103501</v>
      </c>
    </row>
    <row r="3511" spans="1:40" x14ac:dyDescent="0.25">
      <c r="A3511" t="str">
        <f>"20190312173000162"</f>
        <v>20190312173000162</v>
      </c>
      <c r="B3511" t="str">
        <f>"1552383000151331"</f>
        <v>1552383000151331</v>
      </c>
      <c r="C3511" t="s">
        <v>40</v>
      </c>
      <c r="D3511">
        <v>3.4731580000000002</v>
      </c>
      <c r="E3511">
        <v>0.50817630000000003</v>
      </c>
      <c r="F3511" t="s">
        <v>47</v>
      </c>
      <c r="G3511">
        <v>-242.46279999999999</v>
      </c>
      <c r="H3511" s="1">
        <v>-8.6041440000000004E-8</v>
      </c>
      <c r="I3511">
        <v>211.40989999999999</v>
      </c>
      <c r="J3511">
        <v>-274.78980000000001</v>
      </c>
      <c r="K3511">
        <v>1.1094250000000001</v>
      </c>
      <c r="L3511">
        <v>213.82579999999999</v>
      </c>
      <c r="M3511">
        <v>0.99962779999999996</v>
      </c>
      <c r="N3511">
        <v>0</v>
      </c>
      <c r="O3511">
        <v>-2.2214439999999998E-2</v>
      </c>
      <c r="P3511">
        <v>0.99137810000000004</v>
      </c>
      <c r="Q3511">
        <v>0.11855010000000001</v>
      </c>
      <c r="R3511">
        <v>-5.581535E-2</v>
      </c>
      <c r="S3511">
        <v>3.0256349999999999</v>
      </c>
      <c r="T3511">
        <v>-0.1024673</v>
      </c>
      <c r="U3511">
        <v>-0.22404479999999999</v>
      </c>
      <c r="V3511">
        <v>3.3701540000000002E-2</v>
      </c>
      <c r="W3511">
        <v>0.13427049999999999</v>
      </c>
      <c r="X3511">
        <v>0.99037149999999996</v>
      </c>
      <c r="Y3511">
        <v>5.1655100000000002E-2</v>
      </c>
      <c r="Z3511">
        <v>-1.2226699999999999E-4</v>
      </c>
      <c r="AA3511">
        <v>0.99866500000000002</v>
      </c>
      <c r="AB3511">
        <v>60</v>
      </c>
      <c r="AC3511">
        <v>32.326999999999998</v>
      </c>
      <c r="AD3511">
        <v>-1.1094250860414301</v>
      </c>
      <c r="AE3511">
        <v>-2.4158999999999899</v>
      </c>
      <c r="AF3511">
        <v>1.6951020379958699</v>
      </c>
      <c r="AG3511">
        <v>-1.1094250860414301</v>
      </c>
      <c r="AH3511">
        <v>32.334823346962402</v>
      </c>
      <c r="AI3511">
        <v>91.962385414303895</v>
      </c>
      <c r="AJ3511">
        <v>86.999106285189399</v>
      </c>
      <c r="AK3511">
        <v>32.398225195526102</v>
      </c>
      <c r="AL3511">
        <v>82.283561702734701</v>
      </c>
      <c r="AM3511">
        <v>88.051023093196207</v>
      </c>
      <c r="AN3511">
        <v>1.0000000344904301</v>
      </c>
    </row>
    <row r="3512" spans="1:40" x14ac:dyDescent="0.25">
      <c r="A3512" t="str">
        <f>"20190312173000180"</f>
        <v>20190312173000180</v>
      </c>
      <c r="B3512" t="str">
        <f>"1552383000170852"</f>
        <v>1552383000170852</v>
      </c>
      <c r="C3512" t="s">
        <v>40</v>
      </c>
      <c r="D3512">
        <v>3.4779330000000002</v>
      </c>
      <c r="E3512">
        <v>0.50801830000000003</v>
      </c>
      <c r="F3512" t="s">
        <v>47</v>
      </c>
      <c r="G3512">
        <v>-242.06970000000001</v>
      </c>
      <c r="H3512" s="1">
        <v>-2.9537199999999998E-7</v>
      </c>
      <c r="I3512">
        <v>211.41239999999999</v>
      </c>
      <c r="J3512">
        <v>-274.3261</v>
      </c>
      <c r="K3512">
        <v>1.109567</v>
      </c>
      <c r="L3512">
        <v>213.8158</v>
      </c>
      <c r="M3512">
        <v>0.99963970000000002</v>
      </c>
      <c r="N3512">
        <v>0</v>
      </c>
      <c r="O3512">
        <v>-2.1679170000000001E-2</v>
      </c>
      <c r="P3512">
        <v>0.99135759999999995</v>
      </c>
      <c r="Q3512">
        <v>0.11853180000000001</v>
      </c>
      <c r="R3512">
        <v>-5.6221390000000003E-2</v>
      </c>
      <c r="S3512">
        <v>3.0257260000000001</v>
      </c>
      <c r="T3512">
        <v>-0.1025918</v>
      </c>
      <c r="U3512">
        <v>-0.22317500000000001</v>
      </c>
      <c r="V3512">
        <v>3.4591839999999999E-2</v>
      </c>
      <c r="W3512">
        <v>0.13426099999999999</v>
      </c>
      <c r="X3512">
        <v>0.9903421</v>
      </c>
      <c r="Y3512">
        <v>5.1901639999999999E-2</v>
      </c>
      <c r="Z3512">
        <v>-1.4469640000000001E-4</v>
      </c>
      <c r="AA3512">
        <v>0.99865219999999999</v>
      </c>
      <c r="AB3512">
        <v>60</v>
      </c>
      <c r="AC3512">
        <v>32.2563999999999</v>
      </c>
      <c r="AD3512">
        <v>-1.1095672953719999</v>
      </c>
      <c r="AE3512">
        <v>-2.4034</v>
      </c>
      <c r="AF3512">
        <v>1.70145330823316</v>
      </c>
      <c r="AG3512">
        <v>-1.1095672953719999</v>
      </c>
      <c r="AH3512">
        <v>32.262963120036098</v>
      </c>
      <c r="AI3512">
        <v>91.966972447482604</v>
      </c>
      <c r="AJ3512">
        <v>86.981186514734503</v>
      </c>
      <c r="AK3512">
        <v>32.3268444520629</v>
      </c>
      <c r="AL3512">
        <v>82.284111054370001</v>
      </c>
      <c r="AM3512">
        <v>87.999518554390093</v>
      </c>
      <c r="AN3512">
        <v>1.0000000432739899</v>
      </c>
    </row>
    <row r="3513" spans="1:40" x14ac:dyDescent="0.25">
      <c r="A3513" t="str">
        <f>"20190312173000196"</f>
        <v>20190312173000196</v>
      </c>
      <c r="B3513" t="str">
        <f>"1552383000191347"</f>
        <v>1552383000191347</v>
      </c>
      <c r="C3513" t="s">
        <v>40</v>
      </c>
      <c r="D3513">
        <v>3.486243</v>
      </c>
      <c r="E3513">
        <v>0.50797700000000001</v>
      </c>
      <c r="F3513" t="s">
        <v>47</v>
      </c>
      <c r="G3513">
        <v>-241.9589</v>
      </c>
      <c r="H3513" s="1">
        <v>-3.55252099999999E-7</v>
      </c>
      <c r="I3513">
        <v>211.4342</v>
      </c>
      <c r="J3513">
        <v>-273.90839999999997</v>
      </c>
      <c r="K3513">
        <v>1.1096980000000001</v>
      </c>
      <c r="L3513">
        <v>213.80690000000001</v>
      </c>
      <c r="M3513">
        <v>0.99965130000000002</v>
      </c>
      <c r="N3513">
        <v>0</v>
      </c>
      <c r="O3513">
        <v>-2.1137349999999999E-2</v>
      </c>
      <c r="P3513">
        <v>0.99137989999999998</v>
      </c>
      <c r="Q3513">
        <v>0.11836240000000001</v>
      </c>
      <c r="R3513">
        <v>-5.6179479999999997E-2</v>
      </c>
      <c r="S3513">
        <v>3.025909</v>
      </c>
      <c r="T3513">
        <v>-0.10373010000000001</v>
      </c>
      <c r="U3513">
        <v>-0.22264100000000001</v>
      </c>
      <c r="V3513">
        <v>3.5046189999999998E-2</v>
      </c>
      <c r="W3513">
        <v>0.13410030000000001</v>
      </c>
      <c r="X3513">
        <v>0.99034789999999995</v>
      </c>
      <c r="Y3513">
        <v>5.226227E-2</v>
      </c>
      <c r="Z3513">
        <v>-1.709991E-4</v>
      </c>
      <c r="AA3513">
        <v>0.9986334</v>
      </c>
      <c r="AB3513">
        <v>60</v>
      </c>
      <c r="AC3513">
        <v>31.949499999999901</v>
      </c>
      <c r="AD3513">
        <v>-1.10969835525209</v>
      </c>
      <c r="AE3513">
        <v>-2.3727</v>
      </c>
      <c r="AF3513">
        <v>1.6947241436821201</v>
      </c>
      <c r="AG3513">
        <v>-1.10969835525209</v>
      </c>
      <c r="AH3513">
        <v>31.954181728033898</v>
      </c>
      <c r="AI3513">
        <v>91.986167748219401</v>
      </c>
      <c r="AJ3513">
        <v>86.964101513163698</v>
      </c>
      <c r="AK3513">
        <v>32.018326787498502</v>
      </c>
      <c r="AL3513">
        <v>82.293402518641201</v>
      </c>
      <c r="AM3513">
        <v>87.973276660528199</v>
      </c>
      <c r="AN3513">
        <v>1.000000044464</v>
      </c>
    </row>
    <row r="3514" spans="1:40" x14ac:dyDescent="0.25">
      <c r="A3514" t="str">
        <f>"20190312173000214"</f>
        <v>20190312173000214</v>
      </c>
      <c r="B3514" t="str">
        <f>"1552383000210867"</f>
        <v>1552383000210867</v>
      </c>
      <c r="C3514" t="s">
        <v>40</v>
      </c>
      <c r="D3514">
        <v>3.4779379999999902</v>
      </c>
      <c r="E3514">
        <v>0.50796589999999997</v>
      </c>
      <c r="F3514" t="s">
        <v>47</v>
      </c>
      <c r="G3514">
        <v>-242.0599</v>
      </c>
      <c r="H3514" s="1">
        <v>-3.0314780000000002E-7</v>
      </c>
      <c r="I3514">
        <v>211.4717</v>
      </c>
      <c r="J3514">
        <v>-273.4203</v>
      </c>
      <c r="K3514">
        <v>1.1098460000000001</v>
      </c>
      <c r="L3514">
        <v>213.79689999999999</v>
      </c>
      <c r="M3514">
        <v>0.9996659</v>
      </c>
      <c r="N3514">
        <v>0</v>
      </c>
      <c r="O3514">
        <v>-2.0434899999999999E-2</v>
      </c>
      <c r="P3514">
        <v>0.99140139999999999</v>
      </c>
      <c r="Q3514">
        <v>0.1183628</v>
      </c>
      <c r="R3514">
        <v>-5.5796659999999998E-2</v>
      </c>
      <c r="S3514">
        <v>3.0260929999999999</v>
      </c>
      <c r="T3514">
        <v>-0.1054382</v>
      </c>
      <c r="U3514">
        <v>-0.22187809999999999</v>
      </c>
      <c r="V3514">
        <v>3.5311870000000002E-2</v>
      </c>
      <c r="W3514">
        <v>0.13411029999999999</v>
      </c>
      <c r="X3514">
        <v>0.99033709999999997</v>
      </c>
      <c r="Y3514">
        <v>5.2707850000000001E-2</v>
      </c>
      <c r="Z3514">
        <v>-2.059792E-4</v>
      </c>
      <c r="AA3514">
        <v>0.99861</v>
      </c>
      <c r="AB3514">
        <v>60</v>
      </c>
      <c r="AC3514">
        <v>31.360399999999998</v>
      </c>
      <c r="AD3514">
        <v>-1.1098463031478001</v>
      </c>
      <c r="AE3514">
        <v>-2.3251999999999899</v>
      </c>
      <c r="AF3514">
        <v>1.68169269243018</v>
      </c>
      <c r="AG3514">
        <v>-1.1098463031478001</v>
      </c>
      <c r="AH3514">
        <v>31.362305886045799</v>
      </c>
      <c r="AI3514">
        <v>92.023826856007702</v>
      </c>
      <c r="AJ3514">
        <v>86.930656007416204</v>
      </c>
      <c r="AK3514">
        <v>31.426964212572098</v>
      </c>
      <c r="AL3514">
        <v>82.292824274005596</v>
      </c>
      <c r="AM3514">
        <v>87.957903078005799</v>
      </c>
      <c r="AN3514">
        <v>1.00000003618269</v>
      </c>
    </row>
    <row r="3515" spans="1:40" x14ac:dyDescent="0.25">
      <c r="A3515" t="str">
        <f>"20190312173000237"</f>
        <v>20190312173000237</v>
      </c>
      <c r="B3515" t="str">
        <f>"1552383000231363"</f>
        <v>1552383000231363</v>
      </c>
      <c r="C3515" t="s">
        <v>40</v>
      </c>
      <c r="D3515">
        <v>3.5262579999999999</v>
      </c>
      <c r="E3515">
        <v>0.50796189999999997</v>
      </c>
      <c r="F3515" t="s">
        <v>47</v>
      </c>
      <c r="G3515">
        <v>-241.7037</v>
      </c>
      <c r="H3515" s="1">
        <v>-4.9334180000000001E-7</v>
      </c>
      <c r="I3515">
        <v>211.4863</v>
      </c>
      <c r="J3515">
        <v>-272.82240000000002</v>
      </c>
      <c r="K3515">
        <v>1.110028</v>
      </c>
      <c r="L3515">
        <v>213.7852</v>
      </c>
      <c r="M3515">
        <v>0.9996853</v>
      </c>
      <c r="N3515">
        <v>0</v>
      </c>
      <c r="O3515">
        <v>-1.9468780000000002E-2</v>
      </c>
      <c r="P3515">
        <v>0.99129800000000001</v>
      </c>
      <c r="Q3515">
        <v>0.1191308</v>
      </c>
      <c r="R3515">
        <v>-5.6002789999999997E-2</v>
      </c>
      <c r="S3515">
        <v>3.0261840000000002</v>
      </c>
      <c r="T3515">
        <v>-0.1058941</v>
      </c>
      <c r="U3515">
        <v>-0.22045899999999999</v>
      </c>
      <c r="V3515">
        <v>3.6418680000000002E-2</v>
      </c>
      <c r="W3515">
        <v>0.13489039999999999</v>
      </c>
      <c r="X3515">
        <v>0.99019100000000004</v>
      </c>
      <c r="Y3515">
        <v>5.3203889999999997E-2</v>
      </c>
      <c r="Z3515">
        <v>-2.492695E-4</v>
      </c>
      <c r="AA3515">
        <v>0.99858360000000002</v>
      </c>
      <c r="AB3515">
        <v>60</v>
      </c>
      <c r="AC3515">
        <v>31.1187</v>
      </c>
      <c r="AD3515">
        <v>-1.1100284933417901</v>
      </c>
      <c r="AE3515">
        <v>-2.2989000000000002</v>
      </c>
      <c r="AF3515">
        <v>1.69040601359961</v>
      </c>
      <c r="AG3515">
        <v>-1.1100284933417901</v>
      </c>
      <c r="AH3515">
        <v>31.118182818387201</v>
      </c>
      <c r="AI3515">
        <v>92.039948172077899</v>
      </c>
      <c r="AJ3515">
        <v>86.890627214456501</v>
      </c>
      <c r="AK3515">
        <v>31.183824936421999</v>
      </c>
      <c r="AL3515">
        <v>82.247717529669103</v>
      </c>
      <c r="AM3515">
        <v>87.893642197847797</v>
      </c>
      <c r="AN3515">
        <v>0.99999997837305099</v>
      </c>
    </row>
    <row r="3516" spans="1:40" x14ac:dyDescent="0.25">
      <c r="A3516" t="str">
        <f>"20190312173000259"</f>
        <v>20190312173000259</v>
      </c>
      <c r="B3516" t="str">
        <f>"1552383000250887"</f>
        <v>1552383000250887</v>
      </c>
      <c r="C3516" t="s">
        <v>40</v>
      </c>
      <c r="D3516">
        <v>3.5059480000000001</v>
      </c>
      <c r="E3516">
        <v>0.50794099999999998</v>
      </c>
      <c r="F3516" t="s">
        <v>47</v>
      </c>
      <c r="G3516">
        <v>-240.5642</v>
      </c>
      <c r="H3516" s="1">
        <v>-1.0970310000000001E-6</v>
      </c>
      <c r="I3516">
        <v>211.42500000000001</v>
      </c>
      <c r="J3516">
        <v>-272.23970000000003</v>
      </c>
      <c r="K3516">
        <v>1.1102019999999999</v>
      </c>
      <c r="L3516">
        <v>213.77430000000001</v>
      </c>
      <c r="M3516">
        <v>0.99970519999999996</v>
      </c>
      <c r="N3516">
        <v>0</v>
      </c>
      <c r="O3516">
        <v>-1.8419919999999999E-2</v>
      </c>
      <c r="P3516">
        <v>0.99128159999999998</v>
      </c>
      <c r="Q3516">
        <v>0.1194462</v>
      </c>
      <c r="R3516">
        <v>-5.5617180000000002E-2</v>
      </c>
      <c r="S3516">
        <v>3.026367</v>
      </c>
      <c r="T3516">
        <v>-0.1041398</v>
      </c>
      <c r="U3516">
        <v>-0.22142029999999999</v>
      </c>
      <c r="V3516">
        <v>3.7017229999999998E-2</v>
      </c>
      <c r="W3516">
        <v>0.13521830000000001</v>
      </c>
      <c r="X3516">
        <v>0.99012409999999995</v>
      </c>
      <c r="Y3516">
        <v>5.4561930000000002E-2</v>
      </c>
      <c r="Z3516">
        <v>-3.0447340000000001E-4</v>
      </c>
      <c r="AA3516">
        <v>0.99851040000000002</v>
      </c>
      <c r="AB3516">
        <v>60</v>
      </c>
      <c r="AC3516">
        <v>31.6755</v>
      </c>
      <c r="AD3516">
        <v>-1.110203097031</v>
      </c>
      <c r="AE3516">
        <v>-2.3492999999999902</v>
      </c>
      <c r="AF3516">
        <v>1.76321395658058</v>
      </c>
      <c r="AG3516">
        <v>-1.110203097031</v>
      </c>
      <c r="AH3516">
        <v>31.674705928200201</v>
      </c>
      <c r="AI3516">
        <v>92.004303253123496</v>
      </c>
      <c r="AJ3516">
        <v>86.813843759300497</v>
      </c>
      <c r="AK3516">
        <v>31.743164146179499</v>
      </c>
      <c r="AL3516">
        <v>82.2287566848197</v>
      </c>
      <c r="AM3516">
        <v>87.858911119161803</v>
      </c>
      <c r="AN3516">
        <v>0.99999999868628597</v>
      </c>
    </row>
    <row r="3517" spans="1:40" x14ac:dyDescent="0.25">
      <c r="A3517" t="str">
        <f>"20190312173000275"</f>
        <v>20190312173000275</v>
      </c>
      <c r="B3517" t="str">
        <f>"1552383000271379"</f>
        <v>1552383000271379</v>
      </c>
      <c r="C3517" t="s">
        <v>40</v>
      </c>
      <c r="D3517">
        <v>3.4860139999999999</v>
      </c>
      <c r="E3517">
        <v>0.50804640000000001</v>
      </c>
      <c r="F3517" t="s">
        <v>47</v>
      </c>
      <c r="G3517">
        <v>-239.9299</v>
      </c>
      <c r="H3517" s="1">
        <v>3.8870110000000003E-6</v>
      </c>
      <c r="I3517">
        <v>211.4222</v>
      </c>
      <c r="J3517">
        <v>-271.79399999999998</v>
      </c>
      <c r="K3517">
        <v>1.1103229999999999</v>
      </c>
      <c r="L3517">
        <v>213.7664</v>
      </c>
      <c r="M3517">
        <v>0.99972099999999997</v>
      </c>
      <c r="N3517">
        <v>0</v>
      </c>
      <c r="O3517">
        <v>-1.7545990000000001E-2</v>
      </c>
      <c r="P3517">
        <v>0.9913189</v>
      </c>
      <c r="Q3517">
        <v>0.1193779</v>
      </c>
      <c r="R3517">
        <v>-5.5101959999999998E-2</v>
      </c>
      <c r="S3517">
        <v>3.0265499999999999</v>
      </c>
      <c r="T3517">
        <v>-0.1039953</v>
      </c>
      <c r="U3517">
        <v>-0.22032170000000001</v>
      </c>
      <c r="V3517">
        <v>3.732634E-2</v>
      </c>
      <c r="W3517">
        <v>0.13516020000000001</v>
      </c>
      <c r="X3517">
        <v>0.99012040000000001</v>
      </c>
      <c r="Y3517">
        <v>5.5069109999999998E-2</v>
      </c>
      <c r="Z3517">
        <v>-3.4270699999999998E-4</v>
      </c>
      <c r="AA3517">
        <v>0.99848250000000005</v>
      </c>
      <c r="AB3517">
        <v>60</v>
      </c>
      <c r="AC3517">
        <v>31.864100000000001</v>
      </c>
      <c r="AD3517">
        <v>-1.110319112989</v>
      </c>
      <c r="AE3517">
        <v>-2.3441999999999998</v>
      </c>
      <c r="AF3517">
        <v>1.7825292351153099</v>
      </c>
      <c r="AG3517">
        <v>-1.110319112989</v>
      </c>
      <c r="AH3517">
        <v>31.861851393245601</v>
      </c>
      <c r="AI3517">
        <v>91.992717307009201</v>
      </c>
      <c r="AJ3517">
        <v>86.797893301039295</v>
      </c>
      <c r="AK3517">
        <v>31.930984845631901</v>
      </c>
      <c r="AL3517">
        <v>82.232116195500794</v>
      </c>
      <c r="AM3517">
        <v>87.841040882731207</v>
      </c>
      <c r="AN3517">
        <v>0.99999997090899695</v>
      </c>
    </row>
    <row r="3518" spans="1:40" x14ac:dyDescent="0.25">
      <c r="A3518" t="str">
        <f>"20190312173000289"</f>
        <v>20190312173000289</v>
      </c>
      <c r="B3518" t="str">
        <f>"1552383000281139"</f>
        <v>1552383000281139</v>
      </c>
      <c r="C3518" t="s">
        <v>40</v>
      </c>
      <c r="D3518">
        <v>3.5008940000000002</v>
      </c>
      <c r="E3518">
        <v>0.5080848</v>
      </c>
      <c r="F3518" t="s">
        <v>47</v>
      </c>
      <c r="G3518">
        <v>-239.6985</v>
      </c>
      <c r="H3518" s="1">
        <v>3.763192E-6</v>
      </c>
      <c r="I3518">
        <v>211.43870000000001</v>
      </c>
      <c r="J3518">
        <v>-271.41640000000001</v>
      </c>
      <c r="K3518">
        <v>1.1104290000000001</v>
      </c>
      <c r="L3518">
        <v>213.76</v>
      </c>
      <c r="M3518">
        <v>0.99973440000000002</v>
      </c>
      <c r="N3518">
        <v>0</v>
      </c>
      <c r="O3518">
        <v>-1.676507E-2</v>
      </c>
      <c r="P3518">
        <v>0.99137370000000002</v>
      </c>
      <c r="Q3518">
        <v>0.1193207</v>
      </c>
      <c r="R3518">
        <v>-5.4233070000000001E-2</v>
      </c>
      <c r="S3518">
        <v>3.0267029999999999</v>
      </c>
      <c r="T3518">
        <v>-0.10470649999999999</v>
      </c>
      <c r="U3518">
        <v>-0.21951290000000001</v>
      </c>
      <c r="V3518">
        <v>3.7196399999999998E-2</v>
      </c>
      <c r="W3518">
        <v>0.1351106</v>
      </c>
      <c r="X3518">
        <v>0.99013209999999996</v>
      </c>
      <c r="Y3518">
        <v>5.557894E-2</v>
      </c>
      <c r="Z3518">
        <v>-3.808029E-4</v>
      </c>
      <c r="AA3518">
        <v>0.99845419999999996</v>
      </c>
      <c r="AB3518">
        <v>60</v>
      </c>
      <c r="AC3518">
        <v>31.7179</v>
      </c>
      <c r="AD3518">
        <v>-1.1104252368080001</v>
      </c>
      <c r="AE3518">
        <v>-2.3212999999999702</v>
      </c>
      <c r="AF3518">
        <v>1.78697580762826</v>
      </c>
      <c r="AG3518">
        <v>-1.1104252368080001</v>
      </c>
      <c r="AH3518">
        <v>31.713699650975201</v>
      </c>
      <c r="AI3518">
        <v>92.0021650363351</v>
      </c>
      <c r="AJ3518">
        <v>86.774957816258905</v>
      </c>
      <c r="AK3518">
        <v>31.783408758279101</v>
      </c>
      <c r="AL3518">
        <v>82.234984688324602</v>
      </c>
      <c r="AM3518">
        <v>87.848574948758099</v>
      </c>
      <c r="AN3518">
        <v>1.00000001092786</v>
      </c>
    </row>
    <row r="3519" spans="1:40" x14ac:dyDescent="0.25">
      <c r="A3519" t="str">
        <f>"20190312173000302"</f>
        <v>20190312173000302</v>
      </c>
      <c r="B3519" t="str">
        <f>"1552383000290900"</f>
        <v>1552383000290900</v>
      </c>
      <c r="C3519" t="s">
        <v>40</v>
      </c>
      <c r="D3519">
        <v>3.4174630000000001</v>
      </c>
      <c r="E3519">
        <v>0.50811359999999905</v>
      </c>
      <c r="F3519" t="s">
        <v>47</v>
      </c>
      <c r="G3519">
        <v>-239.40790000000001</v>
      </c>
      <c r="H3519" s="1">
        <v>3.6073810000000001E-6</v>
      </c>
      <c r="I3519">
        <v>211.46449999999999</v>
      </c>
      <c r="J3519">
        <v>-271.05020000000002</v>
      </c>
      <c r="K3519">
        <v>1.11053</v>
      </c>
      <c r="L3519">
        <v>213.75409999999999</v>
      </c>
      <c r="M3519">
        <v>0.99974730000000001</v>
      </c>
      <c r="N3519">
        <v>0</v>
      </c>
      <c r="O3519">
        <v>-1.597819E-2</v>
      </c>
      <c r="P3519">
        <v>0.99144719999999997</v>
      </c>
      <c r="Q3519">
        <v>0.11889569999999999</v>
      </c>
      <c r="R3519">
        <v>-5.3819560000000002E-2</v>
      </c>
      <c r="S3519">
        <v>3.0268549999999999</v>
      </c>
      <c r="T3519">
        <v>-0.1050063</v>
      </c>
      <c r="U3519">
        <v>-0.2170715</v>
      </c>
      <c r="V3519">
        <v>3.7530699999999903E-2</v>
      </c>
      <c r="W3519">
        <v>0.134694799999999</v>
      </c>
      <c r="X3519">
        <v>0.9901761</v>
      </c>
      <c r="Y3519">
        <v>5.5559419999999998E-2</v>
      </c>
      <c r="Z3519">
        <v>-4.0879319999999997E-4</v>
      </c>
      <c r="AA3519">
        <v>0.99845530000000005</v>
      </c>
      <c r="AB3519">
        <v>60</v>
      </c>
      <c r="AC3519">
        <v>31.642299999999999</v>
      </c>
      <c r="AD3519">
        <v>-1.1105263926189901</v>
      </c>
      <c r="AE3519">
        <v>-2.2896000000000001</v>
      </c>
      <c r="AF3519">
        <v>1.7814748398351501</v>
      </c>
      <c r="AG3519">
        <v>-1.1105263926189901</v>
      </c>
      <c r="AH3519">
        <v>31.636083088828201</v>
      </c>
      <c r="AI3519">
        <v>92.007259874523996</v>
      </c>
      <c r="AJ3519">
        <v>86.776993356704693</v>
      </c>
      <c r="AK3519">
        <v>31.705656824562201</v>
      </c>
      <c r="AL3519">
        <v>82.259027783809998</v>
      </c>
      <c r="AM3519">
        <v>87.829353952519199</v>
      </c>
      <c r="AN3519">
        <v>0.99999997580036903</v>
      </c>
    </row>
    <row r="3520" spans="1:40" x14ac:dyDescent="0.25">
      <c r="A3520" t="str">
        <f>"20190312173000327"</f>
        <v>20190312173000327</v>
      </c>
      <c r="B3520" t="str">
        <f>"1552383000321156"</f>
        <v>1552383000321156</v>
      </c>
      <c r="C3520" t="s">
        <v>40</v>
      </c>
      <c r="D3520">
        <v>3.538932</v>
      </c>
      <c r="E3520">
        <v>0.5081251</v>
      </c>
      <c r="F3520" t="s">
        <v>47</v>
      </c>
      <c r="G3520">
        <v>-239.49469999999999</v>
      </c>
      <c r="H3520" s="1">
        <v>3.652096E-6</v>
      </c>
      <c r="I3520">
        <v>211.49850000000001</v>
      </c>
      <c r="J3520">
        <v>-270.44940000000003</v>
      </c>
      <c r="K3520">
        <v>1.110687</v>
      </c>
      <c r="L3520">
        <v>213.74510000000001</v>
      </c>
      <c r="M3520">
        <v>0.9997684</v>
      </c>
      <c r="N3520">
        <v>0</v>
      </c>
      <c r="O3520">
        <v>-1.460475E-2</v>
      </c>
      <c r="P3520">
        <v>0.9914811</v>
      </c>
      <c r="Q3520">
        <v>0.11896080000000001</v>
      </c>
      <c r="R3520">
        <v>-5.3046580000000003E-2</v>
      </c>
      <c r="S3520">
        <v>3.0269170000000001</v>
      </c>
      <c r="T3520">
        <v>-0.1065255</v>
      </c>
      <c r="U3520">
        <v>-0.2163696</v>
      </c>
      <c r="V3520">
        <v>3.8068499999999998E-2</v>
      </c>
      <c r="W3520">
        <v>0.13477329999999901</v>
      </c>
      <c r="X3520">
        <v>0.99014489999999999</v>
      </c>
      <c r="Y3520">
        <v>5.6697009999999999E-2</v>
      </c>
      <c r="Z3520">
        <v>-4.8293199999999999E-4</v>
      </c>
      <c r="AA3520">
        <v>0.99839129999999998</v>
      </c>
      <c r="AB3520">
        <v>60</v>
      </c>
      <c r="AC3520">
        <v>30.954699999999999</v>
      </c>
      <c r="AD3520">
        <v>-1.1106833479039999</v>
      </c>
      <c r="AE3520">
        <v>-2.2465999999999999</v>
      </c>
      <c r="AF3520">
        <v>1.79192328002524</v>
      </c>
      <c r="AG3520">
        <v>-1.1106833479039999</v>
      </c>
      <c r="AH3520">
        <v>30.944582259139999</v>
      </c>
      <c r="AI3520">
        <v>92.052180518251504</v>
      </c>
      <c r="AJ3520">
        <v>86.685845984741306</v>
      </c>
      <c r="AK3520">
        <v>31.0163147026446</v>
      </c>
      <c r="AL3520">
        <v>82.254488771892994</v>
      </c>
      <c r="AM3520">
        <v>87.798210544574701</v>
      </c>
      <c r="AN3520">
        <v>0.99999998804057399</v>
      </c>
    </row>
    <row r="3521" spans="1:40" x14ac:dyDescent="0.25">
      <c r="A3521" t="str">
        <f>"20190312173000348"</f>
        <v>20190312173000348</v>
      </c>
      <c r="B3521" t="str">
        <f>"1552383000341651"</f>
        <v>1552383000341651</v>
      </c>
      <c r="C3521" t="s">
        <v>40</v>
      </c>
      <c r="D3521">
        <v>3.4662489999999999</v>
      </c>
      <c r="E3521">
        <v>0.50810270000000002</v>
      </c>
      <c r="F3521" t="s">
        <v>47</v>
      </c>
      <c r="G3521">
        <v>-239.01079999999999</v>
      </c>
      <c r="H3521" s="1">
        <v>3.3937269999999999E-6</v>
      </c>
      <c r="I3521">
        <v>211.5187</v>
      </c>
      <c r="J3521">
        <v>-269.85199999999998</v>
      </c>
      <c r="K3521">
        <v>1.1108209999999901</v>
      </c>
      <c r="L3521">
        <v>213.73699999999999</v>
      </c>
      <c r="M3521">
        <v>0.99978829999999996</v>
      </c>
      <c r="N3521">
        <v>0</v>
      </c>
      <c r="O3521">
        <v>-1.3173900000000001E-2</v>
      </c>
      <c r="P3521">
        <v>0.99143510000000001</v>
      </c>
      <c r="Q3521">
        <v>0.11953370000000001</v>
      </c>
      <c r="R3521">
        <v>-5.2616400000000001E-2</v>
      </c>
      <c r="S3521">
        <v>3.0270999999999999</v>
      </c>
      <c r="T3521">
        <v>-0.1069435</v>
      </c>
      <c r="U3521">
        <v>-0.2143707</v>
      </c>
      <c r="V3521">
        <v>3.9009769999999999E-2</v>
      </c>
      <c r="W3521">
        <v>0.13535810000000001</v>
      </c>
      <c r="X3521">
        <v>0.99002849999999998</v>
      </c>
      <c r="Y3521">
        <v>5.7464050000000003E-2</v>
      </c>
      <c r="Z3521">
        <v>-5.4879639999999997E-4</v>
      </c>
      <c r="AA3521">
        <v>0.9983474</v>
      </c>
      <c r="AB3521">
        <v>59</v>
      </c>
      <c r="AC3521">
        <v>30.841200000000001</v>
      </c>
      <c r="AD3521">
        <v>-1.11081760627299</v>
      </c>
      <c r="AE3521">
        <v>-2.2183000000000002</v>
      </c>
      <c r="AF3521">
        <v>1.80942261834384</v>
      </c>
      <c r="AG3521">
        <v>-1.11081760627299</v>
      </c>
      <c r="AH3521">
        <v>30.827964573912901</v>
      </c>
      <c r="AI3521">
        <v>92.060091642936996</v>
      </c>
      <c r="AJ3521">
        <v>86.640924055275903</v>
      </c>
      <c r="AK3521">
        <v>30.900992309901799</v>
      </c>
      <c r="AL3521">
        <v>82.220672452734107</v>
      </c>
      <c r="AM3521">
        <v>87.743560369543204</v>
      </c>
      <c r="AN3521">
        <v>1.0000000041016499</v>
      </c>
    </row>
    <row r="3522" spans="1:40" x14ac:dyDescent="0.25">
      <c r="A3522" t="str">
        <f>"20190312173000369"</f>
        <v>20190312173000369</v>
      </c>
      <c r="B3522" t="str">
        <f>"1552383000361171"</f>
        <v>1552383000361171</v>
      </c>
      <c r="C3522" t="s">
        <v>40</v>
      </c>
      <c r="D3522">
        <v>3.4451360000000002</v>
      </c>
      <c r="E3522">
        <v>0.51118390000000002</v>
      </c>
      <c r="F3522" t="s">
        <v>47</v>
      </c>
      <c r="G3522">
        <v>-237.94820000000001</v>
      </c>
      <c r="H3522" s="1">
        <v>2.8293580000000001E-6</v>
      </c>
      <c r="I3522">
        <v>211.49340000000001</v>
      </c>
      <c r="J3522">
        <v>-269.28590000000003</v>
      </c>
      <c r="K3522">
        <v>1.110938</v>
      </c>
      <c r="L3522">
        <v>213.73009999999999</v>
      </c>
      <c r="M3522">
        <v>0.99980579999999997</v>
      </c>
      <c r="N3522">
        <v>0</v>
      </c>
      <c r="O3522">
        <v>-1.1771770000000001E-2</v>
      </c>
      <c r="P3522">
        <v>0.9913826</v>
      </c>
      <c r="Q3522">
        <v>0.1199877</v>
      </c>
      <c r="R3522">
        <v>-5.2572149999999998E-2</v>
      </c>
      <c r="S3522">
        <v>3.0273129999999999</v>
      </c>
      <c r="T3522">
        <v>-0.1054041</v>
      </c>
      <c r="U3522">
        <v>-0.21289060000000001</v>
      </c>
      <c r="V3522">
        <v>4.031531E-2</v>
      </c>
      <c r="W3522">
        <v>0.135824</v>
      </c>
      <c r="X3522">
        <v>0.98991240000000003</v>
      </c>
      <c r="Y3522">
        <v>5.8372849999999997E-2</v>
      </c>
      <c r="Z3522">
        <v>-6.0540609999999999E-4</v>
      </c>
      <c r="AA3522">
        <v>0.99829469999999998</v>
      </c>
      <c r="AB3522">
        <v>59</v>
      </c>
      <c r="AC3522">
        <v>31.337700000000002</v>
      </c>
      <c r="AD3522">
        <v>-1.1109351706420001</v>
      </c>
      <c r="AE3522">
        <v>-2.2366999999999799</v>
      </c>
      <c r="AF3522">
        <v>1.86526644061986</v>
      </c>
      <c r="AG3522">
        <v>-1.1109351706420001</v>
      </c>
      <c r="AH3522">
        <v>31.322696518393201</v>
      </c>
      <c r="AI3522">
        <v>92.027692789908699</v>
      </c>
      <c r="AJ3522">
        <v>86.592061191381205</v>
      </c>
      <c r="AK3522">
        <v>31.3978456750019</v>
      </c>
      <c r="AL3522">
        <v>82.193729664188993</v>
      </c>
      <c r="AM3522">
        <v>87.6678529303326</v>
      </c>
      <c r="AN3522">
        <v>1.0000000214350699</v>
      </c>
    </row>
    <row r="3523" spans="1:40" x14ac:dyDescent="0.25">
      <c r="A3523" t="str">
        <f>"20190312173000386"</f>
        <v>20190312173000386</v>
      </c>
      <c r="B3523" t="str">
        <f>"1552383000381668"</f>
        <v>1552383000381668</v>
      </c>
      <c r="C3523" t="s">
        <v>40</v>
      </c>
      <c r="D3523">
        <v>3.48997</v>
      </c>
      <c r="E3523">
        <v>0.52375139999999998</v>
      </c>
      <c r="F3523" t="s">
        <v>47</v>
      </c>
      <c r="G3523">
        <v>-243.6524</v>
      </c>
      <c r="H3523" s="1">
        <v>5.3310000000000003E-7</v>
      </c>
      <c r="I3523">
        <v>211.7276</v>
      </c>
      <c r="J3523">
        <v>-268.84449999999998</v>
      </c>
      <c r="K3523">
        <v>1.1110199999999999</v>
      </c>
      <c r="L3523">
        <v>213.7251</v>
      </c>
      <c r="M3523">
        <v>0.99981850000000005</v>
      </c>
      <c r="N3523">
        <v>0</v>
      </c>
      <c r="O3523">
        <v>-1.0655309999999999E-2</v>
      </c>
      <c r="P3523">
        <v>0.99141420000000002</v>
      </c>
      <c r="Q3523">
        <v>0.11989180000000001</v>
      </c>
      <c r="R3523">
        <v>-5.2194190000000001E-2</v>
      </c>
      <c r="S3523">
        <v>3.0294490000000001</v>
      </c>
      <c r="T3523">
        <v>-0.13129399999999999</v>
      </c>
      <c r="U3523">
        <v>-0.23666380000000001</v>
      </c>
      <c r="V3523">
        <v>4.101697E-2</v>
      </c>
      <c r="W3523">
        <v>0.13573660000000001</v>
      </c>
      <c r="X3523">
        <v>0.98989550000000004</v>
      </c>
      <c r="Y3523">
        <v>6.7202339999999999E-2</v>
      </c>
      <c r="Z3523">
        <v>-9.9247640000000008E-4</v>
      </c>
      <c r="AA3523">
        <v>0.99773889999999998</v>
      </c>
      <c r="AB3523">
        <v>59</v>
      </c>
      <c r="AC3523">
        <v>25.1920999999999</v>
      </c>
      <c r="AD3523">
        <v>-1.1110194669</v>
      </c>
      <c r="AE3523">
        <v>-1.9975000000000001</v>
      </c>
      <c r="AF3523">
        <v>1.7255881946153799</v>
      </c>
      <c r="AG3523">
        <v>-1.1110194669</v>
      </c>
      <c r="AH3523">
        <v>25.1633198239692</v>
      </c>
      <c r="AI3523">
        <v>92.5221850520267</v>
      </c>
      <c r="AJ3523">
        <v>86.077052758976293</v>
      </c>
      <c r="AK3523">
        <v>25.246874726123799</v>
      </c>
      <c r="AL3523">
        <v>82.198783631972304</v>
      </c>
      <c r="AM3523">
        <v>87.627269059467395</v>
      </c>
      <c r="AN3523">
        <v>0.99999995866389402</v>
      </c>
    </row>
    <row r="3524" spans="1:40" x14ac:dyDescent="0.25">
      <c r="A3524" t="str">
        <f>"20190312173000399"</f>
        <v>20190312173000399</v>
      </c>
      <c r="B3524" t="str">
        <f>"1552383000391427"</f>
        <v>1552383000391427</v>
      </c>
      <c r="C3524" t="s">
        <v>40</v>
      </c>
      <c r="D3524">
        <v>3.4621919999999999</v>
      </c>
      <c r="E3524">
        <v>0.52954449999999997</v>
      </c>
      <c r="F3524" t="s">
        <v>42</v>
      </c>
      <c r="G3524">
        <v>-267.7099</v>
      </c>
      <c r="H3524">
        <v>0.95613219999999999</v>
      </c>
      <c r="I3524">
        <v>213.6028</v>
      </c>
      <c r="J3524">
        <v>-268.48809999999997</v>
      </c>
      <c r="K3524">
        <v>1.1110799999999901</v>
      </c>
      <c r="L3524">
        <v>213.7216</v>
      </c>
      <c r="M3524">
        <v>0.99982769999999999</v>
      </c>
      <c r="N3524">
        <v>0</v>
      </c>
      <c r="O3524">
        <v>-9.7396830000000007E-3</v>
      </c>
      <c r="P3524">
        <v>0.99144149999999998</v>
      </c>
      <c r="Q3524">
        <v>0.119745</v>
      </c>
      <c r="R3524">
        <v>-5.2008489999999997E-2</v>
      </c>
      <c r="S3524">
        <v>3.0591430000000002</v>
      </c>
      <c r="T3524">
        <v>-0.41769250000000002</v>
      </c>
      <c r="U3524">
        <v>-0.32945249999999998</v>
      </c>
      <c r="V3524">
        <v>4.1719279999999997E-2</v>
      </c>
      <c r="W3524">
        <v>0.1355972</v>
      </c>
      <c r="X3524">
        <v>0.98988529999999997</v>
      </c>
      <c r="Y3524">
        <v>9.6588859999999999E-2</v>
      </c>
      <c r="Z3524">
        <v>-5.2250439999999999E-3</v>
      </c>
      <c r="AA3524">
        <v>0.99531069999999999</v>
      </c>
      <c r="AB3524">
        <v>59</v>
      </c>
      <c r="AC3524">
        <v>0.77819999999996903</v>
      </c>
      <c r="AD3524">
        <v>-0.154947799999999</v>
      </c>
      <c r="AE3524">
        <v>-0.11879999999999299</v>
      </c>
      <c r="AF3524">
        <v>0.107066032079975</v>
      </c>
      <c r="AG3524">
        <v>-0.154947799999999</v>
      </c>
      <c r="AH3524">
        <v>0.75025388112763802</v>
      </c>
      <c r="AI3524">
        <v>101.555198276149</v>
      </c>
      <c r="AJ3524">
        <v>81.878361894215601</v>
      </c>
      <c r="AK3524">
        <v>0.77353270266826801</v>
      </c>
      <c r="AL3524">
        <v>82.206845545292794</v>
      </c>
      <c r="AM3524">
        <v>87.586664944096</v>
      </c>
      <c r="AN3524">
        <v>1.0000000030638201</v>
      </c>
    </row>
    <row r="3525" spans="1:40" x14ac:dyDescent="0.25">
      <c r="A3525" t="str">
        <f>"20190312173000414"</f>
        <v>20190312173000414</v>
      </c>
      <c r="B3525" t="str">
        <f>"1552383000410947"</f>
        <v>1552383000410947</v>
      </c>
      <c r="C3525" t="s">
        <v>40</v>
      </c>
      <c r="D3525">
        <v>3.4608829999999999</v>
      </c>
      <c r="E3525">
        <v>0.53694319999999995</v>
      </c>
      <c r="F3525" t="s">
        <v>42</v>
      </c>
      <c r="G3525">
        <v>-267.69540000000001</v>
      </c>
      <c r="H3525">
        <v>0.98620260000000004</v>
      </c>
      <c r="I3525">
        <v>213.6249</v>
      </c>
      <c r="J3525">
        <v>-268.09120000000001</v>
      </c>
      <c r="K3525">
        <v>1.1111310000000001</v>
      </c>
      <c r="L3525">
        <v>213.71799999999999</v>
      </c>
      <c r="M3525">
        <v>0.99983730000000004</v>
      </c>
      <c r="N3525">
        <v>0</v>
      </c>
      <c r="O3525">
        <v>-8.7091369999999901E-3</v>
      </c>
      <c r="P3525">
        <v>0.99147180000000001</v>
      </c>
      <c r="Q3525">
        <v>0.1190287</v>
      </c>
      <c r="R3525">
        <v>-5.3066929999999998E-2</v>
      </c>
      <c r="S3525">
        <v>3.0646360000000001</v>
      </c>
      <c r="T3525">
        <v>-0.4828441</v>
      </c>
      <c r="U3525">
        <v>-0.37330629999999998</v>
      </c>
      <c r="V3525">
        <v>4.3781929999999997E-2</v>
      </c>
      <c r="W3525">
        <v>0.13489419999999999</v>
      </c>
      <c r="X3525">
        <v>0.9898922</v>
      </c>
      <c r="Y3525">
        <v>0.11102289999999999</v>
      </c>
      <c r="Z3525">
        <v>-7.3021880000000003E-3</v>
      </c>
      <c r="AA3525">
        <v>0.99379099999999998</v>
      </c>
      <c r="AB3525">
        <v>59</v>
      </c>
      <c r="AC3525">
        <v>0.39580000000000798</v>
      </c>
      <c r="AD3525">
        <v>-0.124928399999999</v>
      </c>
      <c r="AE3525">
        <v>-9.3099999999992605E-2</v>
      </c>
      <c r="AF3525">
        <v>8.1915901642851105E-2</v>
      </c>
      <c r="AG3525">
        <v>-0.124928399999999</v>
      </c>
      <c r="AH3525">
        <v>0.36238580696539702</v>
      </c>
      <c r="AI3525">
        <v>108.585471052757</v>
      </c>
      <c r="AJ3525">
        <v>77.262579802198104</v>
      </c>
      <c r="AK3525">
        <v>0.39197039831916303</v>
      </c>
      <c r="AL3525">
        <v>82.2474974599061</v>
      </c>
      <c r="AM3525">
        <v>87.467516159651197</v>
      </c>
      <c r="AN3525">
        <v>0.99999993510450003</v>
      </c>
    </row>
    <row r="3526" spans="1:40" x14ac:dyDescent="0.25">
      <c r="A3526" t="str">
        <f>"20190312173000438"</f>
        <v>20190312173000438</v>
      </c>
      <c r="B3526" t="str">
        <f>"1552383000431443"</f>
        <v>1552383000431443</v>
      </c>
      <c r="C3526" t="s">
        <v>40</v>
      </c>
      <c r="D3526">
        <v>3.4601600000000001</v>
      </c>
      <c r="E3526">
        <v>0.54088519999999995</v>
      </c>
      <c r="F3526" t="s">
        <v>42</v>
      </c>
      <c r="G3526">
        <v>-267.18599999999998</v>
      </c>
      <c r="H3526">
        <v>0.94387580000000004</v>
      </c>
      <c r="I3526">
        <v>213.59030000000001</v>
      </c>
      <c r="J3526">
        <v>-267.47840000000002</v>
      </c>
      <c r="K3526">
        <v>1.1112029999999999</v>
      </c>
      <c r="L3526">
        <v>213.7132</v>
      </c>
      <c r="M3526">
        <v>0.99985020000000002</v>
      </c>
      <c r="N3526">
        <v>0</v>
      </c>
      <c r="O3526">
        <v>-7.102873E-3</v>
      </c>
      <c r="P3526">
        <v>0.99159310000000001</v>
      </c>
      <c r="Q3526">
        <v>0.1177275</v>
      </c>
      <c r="R3526">
        <v>-5.3697979999999999E-2</v>
      </c>
      <c r="S3526">
        <v>3.07077</v>
      </c>
      <c r="T3526">
        <v>-0.56747760000000003</v>
      </c>
      <c r="U3526">
        <v>-0.43267820000000001</v>
      </c>
      <c r="V3526">
        <v>4.5982849999999999E-2</v>
      </c>
      <c r="W3526">
        <v>0.1336099</v>
      </c>
      <c r="X3526">
        <v>0.98996660000000003</v>
      </c>
      <c r="Y3526">
        <v>0.13043869999999999</v>
      </c>
      <c r="Z3526">
        <v>-1.0598700000000001E-2</v>
      </c>
      <c r="AA3526">
        <v>0.99139969999999999</v>
      </c>
      <c r="AB3526">
        <v>59</v>
      </c>
      <c r="AC3526">
        <v>0.29240000000004301</v>
      </c>
      <c r="AD3526">
        <v>-0.16732720000000001</v>
      </c>
      <c r="AE3526">
        <v>-0.12289999999998701</v>
      </c>
      <c r="AF3526">
        <v>9.4515372842553499E-2</v>
      </c>
      <c r="AG3526">
        <v>-0.16732720000000001</v>
      </c>
      <c r="AH3526">
        <v>0.22941706292139899</v>
      </c>
      <c r="AI3526">
        <v>123.99455377455</v>
      </c>
      <c r="AJ3526">
        <v>67.609290552764804</v>
      </c>
      <c r="AK3526">
        <v>0.299272010590513</v>
      </c>
      <c r="AL3526">
        <v>82.321754777698601</v>
      </c>
      <c r="AM3526">
        <v>87.340586085178003</v>
      </c>
      <c r="AN3526">
        <v>0.99999994849384499</v>
      </c>
    </row>
    <row r="3527" spans="1:40" x14ac:dyDescent="0.25">
      <c r="A3527" t="str">
        <f>"20190312173000459"</f>
        <v>20190312173000459</v>
      </c>
      <c r="B3527" t="str">
        <f>"1552383000450963"</f>
        <v>1552383000450963</v>
      </c>
      <c r="C3527" t="s">
        <v>40</v>
      </c>
      <c r="D3527">
        <v>3.4549989999999999</v>
      </c>
      <c r="E3527">
        <v>0.54324949999999905</v>
      </c>
      <c r="F3527" t="s">
        <v>42</v>
      </c>
      <c r="G3527">
        <v>-266.65539999999999</v>
      </c>
      <c r="H3527">
        <v>0.94679069999999999</v>
      </c>
      <c r="I3527">
        <v>213.58879999999999</v>
      </c>
      <c r="J3527">
        <v>-266.90289999999999</v>
      </c>
      <c r="K3527">
        <v>1.1112580000000001</v>
      </c>
      <c r="L3527">
        <v>213.70959999999999</v>
      </c>
      <c r="M3527">
        <v>0.99985999999999997</v>
      </c>
      <c r="N3527">
        <v>0</v>
      </c>
      <c r="O3527">
        <v>-5.5803950000000001E-3</v>
      </c>
      <c r="P3527">
        <v>0.99171299999999996</v>
      </c>
      <c r="Q3527">
        <v>0.11642189999999999</v>
      </c>
      <c r="R3527">
        <v>-5.432762E-2</v>
      </c>
      <c r="S3527">
        <v>3.0731510000000002</v>
      </c>
      <c r="T3527">
        <v>-0.61399879999999996</v>
      </c>
      <c r="U3527">
        <v>-0.46424870000000001</v>
      </c>
      <c r="V3527">
        <v>4.8105149999999999E-2</v>
      </c>
      <c r="W3527">
        <v>0.1323211</v>
      </c>
      <c r="X3527">
        <v>0.99003890000000006</v>
      </c>
      <c r="Y3527">
        <v>0.14122939999999901</v>
      </c>
      <c r="Z3527">
        <v>-1.2795829999999999E-2</v>
      </c>
      <c r="AA3527">
        <v>0.98989419999999995</v>
      </c>
      <c r="AB3527">
        <v>59</v>
      </c>
      <c r="AC3527">
        <v>0.247500000000002</v>
      </c>
      <c r="AD3527">
        <v>-0.16446730000000001</v>
      </c>
      <c r="AE3527">
        <v>-0.120800000000002</v>
      </c>
      <c r="AF3527">
        <v>8.8025014639596194E-2</v>
      </c>
      <c r="AG3527">
        <v>-0.16446730000000001</v>
      </c>
      <c r="AH3527">
        <v>0.18293236865971901</v>
      </c>
      <c r="AI3527">
        <v>129.01258627676199</v>
      </c>
      <c r="AJ3527">
        <v>64.303659299737404</v>
      </c>
      <c r="AK3527">
        <v>0.26127025754005501</v>
      </c>
      <c r="AL3527">
        <v>82.396259540152101</v>
      </c>
      <c r="AM3527">
        <v>87.218234480311295</v>
      </c>
      <c r="AN3527">
        <v>1.0000000012374699</v>
      </c>
    </row>
    <row r="3528" spans="1:40" x14ac:dyDescent="0.25">
      <c r="A3528" t="str">
        <f>"20190312173000482"</f>
        <v>20190312173000482</v>
      </c>
      <c r="B3528" t="str">
        <f>"1552383000471459"</f>
        <v>1552383000471459</v>
      </c>
      <c r="C3528" t="s">
        <v>40</v>
      </c>
      <c r="D3528">
        <v>3.4750130000000001</v>
      </c>
      <c r="E3528">
        <v>0.54497869999999904</v>
      </c>
      <c r="F3528" t="s">
        <v>42</v>
      </c>
      <c r="G3528">
        <v>-266.1259</v>
      </c>
      <c r="H3528">
        <v>0.94816389999999995</v>
      </c>
      <c r="I3528">
        <v>213.58699999999999</v>
      </c>
      <c r="J3528">
        <v>-266.3159</v>
      </c>
      <c r="K3528">
        <v>1.11131</v>
      </c>
      <c r="L3528">
        <v>213.70679999999999</v>
      </c>
      <c r="M3528">
        <v>0.99986730000000001</v>
      </c>
      <c r="N3528">
        <v>0</v>
      </c>
      <c r="O3528">
        <v>-4.0175039999999999E-3</v>
      </c>
      <c r="P3528">
        <v>0.99185769999999995</v>
      </c>
      <c r="Q3528">
        <v>0.1148769</v>
      </c>
      <c r="R3528">
        <v>-5.4969200000000003E-2</v>
      </c>
      <c r="S3528">
        <v>3.074341</v>
      </c>
      <c r="T3528">
        <v>-0.64551510000000001</v>
      </c>
      <c r="U3528">
        <v>-0.48387150000000001</v>
      </c>
      <c r="V3528">
        <v>5.028382E-2</v>
      </c>
      <c r="W3528">
        <v>0.1307924</v>
      </c>
      <c r="X3528">
        <v>0.99013379999999995</v>
      </c>
      <c r="Y3528">
        <v>0.1484327</v>
      </c>
      <c r="Z3528">
        <v>-1.4494160000000001E-2</v>
      </c>
      <c r="AA3528">
        <v>0.98881629999999998</v>
      </c>
      <c r="AB3528">
        <v>59</v>
      </c>
      <c r="AC3528">
        <v>0.189999999999997</v>
      </c>
      <c r="AD3528">
        <v>-0.16314609999999899</v>
      </c>
      <c r="AE3528">
        <v>-0.119799999999969</v>
      </c>
      <c r="AF3528">
        <v>7.7925153062351593E-2</v>
      </c>
      <c r="AG3528">
        <v>-0.16314609999999899</v>
      </c>
      <c r="AH3528">
        <v>0.124695199420281</v>
      </c>
      <c r="AI3528">
        <v>137.972052618795</v>
      </c>
      <c r="AJ3528">
        <v>57.9977051667598</v>
      </c>
      <c r="AK3528">
        <v>0.21963121859941601</v>
      </c>
      <c r="AL3528">
        <v>82.484615744682998</v>
      </c>
      <c r="AM3528">
        <v>87.092738731827097</v>
      </c>
      <c r="AN3528">
        <v>1.0000000281769901</v>
      </c>
    </row>
    <row r="3529" spans="1:40" x14ac:dyDescent="0.25">
      <c r="A3529" t="str">
        <f>"20190312173000503"</f>
        <v>20190312173000503</v>
      </c>
      <c r="B3529" t="str">
        <f>"1552383000501716"</f>
        <v>1552383000501716</v>
      </c>
      <c r="C3529" t="s">
        <v>40</v>
      </c>
      <c r="D3529">
        <v>3.4421529999999998</v>
      </c>
      <c r="E3529">
        <v>0.54646870000000003</v>
      </c>
      <c r="F3529" t="s">
        <v>42</v>
      </c>
      <c r="G3529">
        <v>-265.59449999999998</v>
      </c>
      <c r="H3529">
        <v>0.95448820000000001</v>
      </c>
      <c r="I3529">
        <v>213.5898</v>
      </c>
      <c r="J3529">
        <v>-265.74829999999997</v>
      </c>
      <c r="K3529">
        <v>1.111364</v>
      </c>
      <c r="L3529">
        <v>213.70500000000001</v>
      </c>
      <c r="M3529">
        <v>0.99987239999999999</v>
      </c>
      <c r="N3529">
        <v>0</v>
      </c>
      <c r="O3529">
        <v>-2.4986240000000001E-3</v>
      </c>
      <c r="P3529">
        <v>0.99184530000000004</v>
      </c>
      <c r="Q3529">
        <v>0.11450929999999999</v>
      </c>
      <c r="R3529">
        <v>-5.594967E-2</v>
      </c>
      <c r="S3529">
        <v>3.0743710000000002</v>
      </c>
      <c r="T3529">
        <v>-0.66813420000000001</v>
      </c>
      <c r="U3529">
        <v>-0.4988861</v>
      </c>
      <c r="V3529">
        <v>5.2755719999999999E-2</v>
      </c>
      <c r="W3529">
        <v>0.13043969999999999</v>
      </c>
      <c r="X3529">
        <v>0.99005169999999998</v>
      </c>
      <c r="Y3529">
        <v>0.15425800000000001</v>
      </c>
      <c r="Z3529">
        <v>-1.593114E-2</v>
      </c>
      <c r="AA3529">
        <v>0.98790219999999995</v>
      </c>
      <c r="AB3529">
        <v>59</v>
      </c>
      <c r="AC3529">
        <v>0.153799999999989</v>
      </c>
      <c r="AD3529">
        <v>-0.15687579999999901</v>
      </c>
      <c r="AE3529">
        <v>-0.115200000000015</v>
      </c>
      <c r="AF3529">
        <v>6.8896985438984107E-2</v>
      </c>
      <c r="AG3529">
        <v>-0.15687579999999901</v>
      </c>
      <c r="AH3529">
        <v>9.24629102221593E-2</v>
      </c>
      <c r="AI3529">
        <v>143.68284048055801</v>
      </c>
      <c r="AJ3529">
        <v>53.309060976369402</v>
      </c>
      <c r="AK3529">
        <v>0.194695148873747</v>
      </c>
      <c r="AL3529">
        <v>82.504998560945197</v>
      </c>
      <c r="AM3529">
        <v>86.949831892260804</v>
      </c>
      <c r="AN3529">
        <v>1.0000000250008401</v>
      </c>
    </row>
    <row r="3530" spans="1:40" x14ac:dyDescent="0.25">
      <c r="A3530" t="str">
        <f>"20190312173000519"</f>
        <v>20190312173000519</v>
      </c>
      <c r="B3530" t="str">
        <f>"1552383000511475"</f>
        <v>1552383000511475</v>
      </c>
      <c r="C3530" t="s">
        <v>40</v>
      </c>
      <c r="D3530">
        <v>3.4838239999999998</v>
      </c>
      <c r="E3530">
        <v>0.54677819999999899</v>
      </c>
      <c r="F3530" t="s">
        <v>42</v>
      </c>
      <c r="G3530">
        <v>-264.58109999999999</v>
      </c>
      <c r="H3530">
        <v>0.85124</v>
      </c>
      <c r="I3530">
        <v>213.5103</v>
      </c>
      <c r="J3530">
        <v>-265.31959999999998</v>
      </c>
      <c r="K3530">
        <v>1.1114029999999999</v>
      </c>
      <c r="L3530">
        <v>213.70429999999999</v>
      </c>
      <c r="M3530">
        <v>0.99987459999999995</v>
      </c>
      <c r="N3530">
        <v>0</v>
      </c>
      <c r="O3530">
        <v>-1.348487E-3</v>
      </c>
      <c r="P3530">
        <v>0.99186750000000001</v>
      </c>
      <c r="Q3530">
        <v>0.11443250000000001</v>
      </c>
      <c r="R3530">
        <v>-5.5717660000000002E-2</v>
      </c>
      <c r="S3530">
        <v>3.0748899999999999</v>
      </c>
      <c r="T3530">
        <v>-0.68530049999999998</v>
      </c>
      <c r="U3530">
        <v>-0.51229859999999905</v>
      </c>
      <c r="V3530">
        <v>5.3653869999999999E-2</v>
      </c>
      <c r="W3530">
        <v>0.13037589999999999</v>
      </c>
      <c r="X3530">
        <v>0.9900118</v>
      </c>
      <c r="Y3530">
        <v>0.1592412</v>
      </c>
      <c r="Z3530">
        <v>-1.7119260000000001E-2</v>
      </c>
      <c r="AA3530">
        <v>0.9870913</v>
      </c>
      <c r="AB3530">
        <v>59</v>
      </c>
      <c r="AC3530">
        <v>0.73849999999998694</v>
      </c>
      <c r="AD3530">
        <v>-0.26016299999999998</v>
      </c>
      <c r="AE3530">
        <v>-0.19399999999998799</v>
      </c>
      <c r="AF3530">
        <v>0.172927980724324</v>
      </c>
      <c r="AG3530">
        <v>-0.26016299999999998</v>
      </c>
      <c r="AH3530">
        <v>0.66191657667879</v>
      </c>
      <c r="AI3530">
        <v>110.82088082502101</v>
      </c>
      <c r="AJ3530">
        <v>75.358535107455396</v>
      </c>
      <c r="AK3530">
        <v>0.731930616635594</v>
      </c>
      <c r="AL3530">
        <v>82.508685242329406</v>
      </c>
      <c r="AM3530">
        <v>86.897879505781503</v>
      </c>
      <c r="AN3530">
        <v>0.99999998860301298</v>
      </c>
    </row>
    <row r="3531" spans="1:40" x14ac:dyDescent="0.25">
      <c r="A3531" t="str">
        <f>"20190312173000532"</f>
        <v>20190312173000532</v>
      </c>
      <c r="B3531" t="str">
        <f>"1552383000521236"</f>
        <v>1552383000521236</v>
      </c>
      <c r="C3531" t="s">
        <v>40</v>
      </c>
      <c r="D3531">
        <v>3.5683959999999999</v>
      </c>
      <c r="E3531">
        <v>0.54687030000000003</v>
      </c>
      <c r="F3531" t="s">
        <v>42</v>
      </c>
      <c r="G3531">
        <v>-264.54610000000002</v>
      </c>
      <c r="H3531">
        <v>0.93795759999999995</v>
      </c>
      <c r="I3531">
        <v>213.57499999999999</v>
      </c>
      <c r="J3531">
        <v>-264.97840000000002</v>
      </c>
      <c r="K3531">
        <v>1.1114379999999999</v>
      </c>
      <c r="L3531">
        <v>213.70400000000001</v>
      </c>
      <c r="M3531">
        <v>0.99987510000000002</v>
      </c>
      <c r="N3531">
        <v>0</v>
      </c>
      <c r="O3531">
        <v>-4.3409950000000003E-4</v>
      </c>
      <c r="P3531">
        <v>0.99179539999999999</v>
      </c>
      <c r="Q3531">
        <v>0.11488470000000001</v>
      </c>
      <c r="R3531">
        <v>-5.6066409999999997E-2</v>
      </c>
      <c r="S3531">
        <v>3.075348</v>
      </c>
      <c r="T3531">
        <v>-0.68970529999999997</v>
      </c>
      <c r="U3531">
        <v>-0.51318359999999996</v>
      </c>
      <c r="V3531">
        <v>5.4899000000000003E-2</v>
      </c>
      <c r="W3531">
        <v>0.13085479999999999</v>
      </c>
      <c r="X3531">
        <v>0.98988039999999999</v>
      </c>
      <c r="Y3531">
        <v>0.16030129999999901</v>
      </c>
      <c r="Z3531">
        <v>-1.75417E-2</v>
      </c>
      <c r="AA3531">
        <v>0.98691229999999996</v>
      </c>
      <c r="AB3531">
        <v>59</v>
      </c>
      <c r="AC3531">
        <v>0.43229999999999702</v>
      </c>
      <c r="AD3531">
        <v>-0.17348039999999901</v>
      </c>
      <c r="AE3531">
        <v>-0.12900000000001899</v>
      </c>
      <c r="AF3531">
        <v>0.112218396632527</v>
      </c>
      <c r="AG3531">
        <v>-0.17348039999999901</v>
      </c>
      <c r="AH3531">
        <v>0.37665884367540398</v>
      </c>
      <c r="AI3531">
        <v>113.81682160197499</v>
      </c>
      <c r="AJ3531">
        <v>73.409567372823403</v>
      </c>
      <c r="AK3531">
        <v>0.42960482102256198</v>
      </c>
      <c r="AL3531">
        <v>82.481009603839894</v>
      </c>
      <c r="AM3531">
        <v>86.825614547146799</v>
      </c>
      <c r="AN3531">
        <v>1.00000004259409</v>
      </c>
    </row>
    <row r="3532" spans="1:40" x14ac:dyDescent="0.25">
      <c r="A3532" t="str">
        <f>"20190312173000548"</f>
        <v>20190312173000548</v>
      </c>
      <c r="B3532" t="str">
        <f>"1552383000540759"</f>
        <v>1552383000540759</v>
      </c>
      <c r="C3532" t="s">
        <v>40</v>
      </c>
      <c r="D3532">
        <v>3.4789059999999998</v>
      </c>
      <c r="E3532">
        <v>0.54735100000000003</v>
      </c>
      <c r="F3532" t="s">
        <v>42</v>
      </c>
      <c r="G3532">
        <v>-264.03480000000002</v>
      </c>
      <c r="H3532">
        <v>0.89885930000000003</v>
      </c>
      <c r="I3532">
        <v>213.54599999999999</v>
      </c>
      <c r="J3532">
        <v>-264.55770000000001</v>
      </c>
      <c r="K3532">
        <v>1.111486</v>
      </c>
      <c r="L3532">
        <v>213.70410000000001</v>
      </c>
      <c r="M3532">
        <v>0.99987440000000005</v>
      </c>
      <c r="N3532">
        <v>0</v>
      </c>
      <c r="O3532">
        <v>6.9240060000000001E-4</v>
      </c>
      <c r="P3532">
        <v>0.99151279999999997</v>
      </c>
      <c r="Q3532">
        <v>0.1168136</v>
      </c>
      <c r="R3532">
        <v>-5.7074899999999998E-2</v>
      </c>
      <c r="S3532">
        <v>3.0760800000000001</v>
      </c>
      <c r="T3532">
        <v>-0.69317959999999901</v>
      </c>
      <c r="U3532">
        <v>-0.51399229999999996</v>
      </c>
      <c r="V3532">
        <v>5.7004159999999998E-2</v>
      </c>
      <c r="W3532">
        <v>0.13283200000000001</v>
      </c>
      <c r="X3532">
        <v>0.98949799999999999</v>
      </c>
      <c r="Y3532">
        <v>0.1615325</v>
      </c>
      <c r="Z3532">
        <v>-1.8008719999999999E-2</v>
      </c>
      <c r="AA3532">
        <v>0.986703</v>
      </c>
      <c r="AB3532">
        <v>59</v>
      </c>
      <c r="AC3532">
        <v>0.52289999999999204</v>
      </c>
      <c r="AD3532">
        <v>-0.212626699999999</v>
      </c>
      <c r="AE3532">
        <v>-0.158100000000018</v>
      </c>
      <c r="AF3532">
        <v>0.13761381095244901</v>
      </c>
      <c r="AG3532">
        <v>-0.212626699999999</v>
      </c>
      <c r="AH3532">
        <v>0.45400884297403898</v>
      </c>
      <c r="AI3532">
        <v>114.14168893745401</v>
      </c>
      <c r="AJ3532">
        <v>73.137512625999506</v>
      </c>
      <c r="AK3532">
        <v>0.51987662384105304</v>
      </c>
      <c r="AL3532">
        <v>82.366726829854201</v>
      </c>
      <c r="AM3532">
        <v>86.702881898330901</v>
      </c>
      <c r="AN3532">
        <v>1.0000000532426501</v>
      </c>
    </row>
    <row r="3533" spans="1:40" x14ac:dyDescent="0.25">
      <c r="A3533" t="str">
        <f>"20190312173000571"</f>
        <v>20190312173000571</v>
      </c>
      <c r="B3533" t="str">
        <f>"1552383000561251"</f>
        <v>1552383000561251</v>
      </c>
      <c r="C3533" t="s">
        <v>40</v>
      </c>
      <c r="D3533">
        <v>3.7195209999999999</v>
      </c>
      <c r="E3533">
        <v>0.54764250000000003</v>
      </c>
      <c r="F3533" t="s">
        <v>42</v>
      </c>
      <c r="G3533">
        <v>-263.51679999999999</v>
      </c>
      <c r="H3533">
        <v>0.87664179999999903</v>
      </c>
      <c r="I3533">
        <v>213.52809999999999</v>
      </c>
      <c r="J3533">
        <v>-263.95440000000002</v>
      </c>
      <c r="K3533">
        <v>1.1115469999999901</v>
      </c>
      <c r="L3533">
        <v>213.70509999999999</v>
      </c>
      <c r="M3533">
        <v>0.99987040000000005</v>
      </c>
      <c r="N3533">
        <v>0</v>
      </c>
      <c r="O3533">
        <v>2.3057220000000001E-3</v>
      </c>
      <c r="P3533">
        <v>0.99126650000000005</v>
      </c>
      <c r="Q3533">
        <v>0.11868570000000001</v>
      </c>
      <c r="R3533">
        <v>-5.7486809999999999E-2</v>
      </c>
      <c r="S3533">
        <v>3.0776059999999998</v>
      </c>
      <c r="T3533">
        <v>-0.69442630000000005</v>
      </c>
      <c r="U3533">
        <v>-0.51971440000000002</v>
      </c>
      <c r="V3533">
        <v>5.8993160000000003E-2</v>
      </c>
      <c r="W3533">
        <v>0.13481199999999999</v>
      </c>
      <c r="X3533">
        <v>0.98911349999999998</v>
      </c>
      <c r="Y3533">
        <v>0.1647015</v>
      </c>
      <c r="Z3533">
        <v>-1.8736889999999999E-2</v>
      </c>
      <c r="AA3533">
        <v>0.98616550000000003</v>
      </c>
      <c r="AB3533">
        <v>59</v>
      </c>
      <c r="AC3533">
        <v>0.43760000000003102</v>
      </c>
      <c r="AD3533">
        <v>-0.23490519999999901</v>
      </c>
      <c r="AE3533">
        <v>-0.176999999999992</v>
      </c>
      <c r="AF3533">
        <v>0.14267596536258501</v>
      </c>
      <c r="AG3533">
        <v>-0.23490519999999901</v>
      </c>
      <c r="AH3533">
        <v>0.35041333194454499</v>
      </c>
      <c r="AI3533">
        <v>121.835049877421</v>
      </c>
      <c r="AJ3533">
        <v>67.845578051005504</v>
      </c>
      <c r="AK3533">
        <v>0.445338508646697</v>
      </c>
      <c r="AL3533">
        <v>82.252251034394007</v>
      </c>
      <c r="AM3533">
        <v>86.586782258816399</v>
      </c>
      <c r="AN3533">
        <v>0.99999999207651702</v>
      </c>
    </row>
    <row r="3534" spans="1:40" x14ac:dyDescent="0.25">
      <c r="A3534" t="str">
        <f>"20190312173000587"</f>
        <v>20190312173000587</v>
      </c>
      <c r="B3534" t="str">
        <f>"1552383000580772"</f>
        <v>1552383000580772</v>
      </c>
      <c r="C3534" t="s">
        <v>40</v>
      </c>
      <c r="D3534">
        <v>3.480639</v>
      </c>
      <c r="E3534">
        <v>0.54777010000000004</v>
      </c>
      <c r="F3534" t="s">
        <v>42</v>
      </c>
      <c r="G3534">
        <v>-262.98419999999999</v>
      </c>
      <c r="H3534">
        <v>0.892931699999999</v>
      </c>
      <c r="I3534">
        <v>213.5403</v>
      </c>
      <c r="J3534">
        <v>-263.5421</v>
      </c>
      <c r="K3534">
        <v>1.1115969999999999</v>
      </c>
      <c r="L3534">
        <v>213.7063</v>
      </c>
      <c r="M3534">
        <v>0.99986560000000002</v>
      </c>
      <c r="N3534">
        <v>0</v>
      </c>
      <c r="O3534">
        <v>3.4049829999999999E-3</v>
      </c>
      <c r="P3534">
        <v>0.99117940000000004</v>
      </c>
      <c r="Q3534">
        <v>0.1193741</v>
      </c>
      <c r="R3534">
        <v>-5.7561300000000003E-2</v>
      </c>
      <c r="S3534">
        <v>3.079224</v>
      </c>
      <c r="T3534">
        <v>-0.69399709999999903</v>
      </c>
      <c r="U3534">
        <v>-0.52233890000000005</v>
      </c>
      <c r="V3534">
        <v>6.0146159999999997E-2</v>
      </c>
      <c r="W3534">
        <v>0.13560520000000001</v>
      </c>
      <c r="X3534">
        <v>0.98893560000000003</v>
      </c>
      <c r="Y3534">
        <v>0.16645699999999999</v>
      </c>
      <c r="Z3534">
        <v>-1.9151959999999999E-2</v>
      </c>
      <c r="AA3534">
        <v>0.98586269999999998</v>
      </c>
      <c r="AB3534">
        <v>59</v>
      </c>
      <c r="AC3534">
        <v>0.55790000000001705</v>
      </c>
      <c r="AD3534">
        <v>-0.21866530000000001</v>
      </c>
      <c r="AE3534">
        <v>-0.16599999999999601</v>
      </c>
      <c r="AF3534">
        <v>0.147134490195484</v>
      </c>
      <c r="AG3534">
        <v>-0.21866530000000001</v>
      </c>
      <c r="AH3534">
        <v>0.48840504821018799</v>
      </c>
      <c r="AI3534">
        <v>113.20398787892</v>
      </c>
      <c r="AJ3534">
        <v>73.234806633380501</v>
      </c>
      <c r="AK3534">
        <v>0.55497978588987495</v>
      </c>
      <c r="AL3534">
        <v>82.206382692780195</v>
      </c>
      <c r="AM3534">
        <v>86.519610069290295</v>
      </c>
      <c r="AN3534">
        <v>0.99999997588857203</v>
      </c>
    </row>
    <row r="3535" spans="1:40" x14ac:dyDescent="0.25">
      <c r="A3535" t="str">
        <f>"20190312173000604"</f>
        <v>20190312173000604</v>
      </c>
      <c r="B3535" t="str">
        <f>"1552383000601267"</f>
        <v>1552383000601267</v>
      </c>
      <c r="C3535" t="s">
        <v>40</v>
      </c>
      <c r="D3535">
        <v>3.4775119999999999</v>
      </c>
      <c r="E3535">
        <v>0.54796060000000002</v>
      </c>
      <c r="F3535" t="s">
        <v>42</v>
      </c>
      <c r="G3535">
        <v>-262.46839999999997</v>
      </c>
      <c r="H3535">
        <v>0.86891640000000003</v>
      </c>
      <c r="I3535">
        <v>213.52369999999999</v>
      </c>
      <c r="J3535">
        <v>-263.10239999999999</v>
      </c>
      <c r="K3535">
        <v>1.111648</v>
      </c>
      <c r="L3535">
        <v>213.7081</v>
      </c>
      <c r="M3535">
        <v>0.99985880000000005</v>
      </c>
      <c r="N3535">
        <v>0</v>
      </c>
      <c r="O3535">
        <v>4.5735999999999997E-3</v>
      </c>
      <c r="P3535">
        <v>0.99097009999999996</v>
      </c>
      <c r="Q3535">
        <v>0.120667</v>
      </c>
      <c r="R3535">
        <v>-5.8462819999999999E-2</v>
      </c>
      <c r="S3535">
        <v>3.0801699999999999</v>
      </c>
      <c r="T3535">
        <v>-0.69625999999999999</v>
      </c>
      <c r="U3535">
        <v>-0.52331539999999999</v>
      </c>
      <c r="V3535">
        <v>6.219061E-2</v>
      </c>
      <c r="W3535">
        <v>0.13703940000000001</v>
      </c>
      <c r="X3535">
        <v>0.98861140000000003</v>
      </c>
      <c r="Y3535">
        <v>0.16777709999999901</v>
      </c>
      <c r="Z3535">
        <v>-1.961222E-2</v>
      </c>
      <c r="AA3535">
        <v>0.98562989999999995</v>
      </c>
      <c r="AB3535">
        <v>59</v>
      </c>
      <c r="AC3535">
        <v>0.634000000000014</v>
      </c>
      <c r="AD3535">
        <v>-0.24273159999999899</v>
      </c>
      <c r="AE3535">
        <v>-0.18440000000001</v>
      </c>
      <c r="AF3535">
        <v>0.164998983439407</v>
      </c>
      <c r="AG3535">
        <v>-0.24273159999999899</v>
      </c>
      <c r="AH3535">
        <v>0.55776903499566599</v>
      </c>
      <c r="AI3535">
        <v>112.651108539348</v>
      </c>
      <c r="AJ3535">
        <v>73.520753036269696</v>
      </c>
      <c r="AK3535">
        <v>0.630277391768572</v>
      </c>
      <c r="AL3535">
        <v>82.123434788278303</v>
      </c>
      <c r="AM3535">
        <v>86.400435684086403</v>
      </c>
      <c r="AN3535">
        <v>0.99999998466724505</v>
      </c>
    </row>
    <row r="3536" spans="1:40" x14ac:dyDescent="0.25">
      <c r="A3536" t="str">
        <f>"20190312173000620"</f>
        <v>20190312173000620</v>
      </c>
      <c r="B3536" t="str">
        <f>"1552383000611028"</f>
        <v>1552383000611028</v>
      </c>
      <c r="C3536" t="s">
        <v>40</v>
      </c>
      <c r="D3536">
        <v>3.7252160000000001</v>
      </c>
      <c r="E3536">
        <v>0.54798979999999997</v>
      </c>
      <c r="F3536" t="s">
        <v>42</v>
      </c>
      <c r="G3536">
        <v>-261.95060000000001</v>
      </c>
      <c r="H3536">
        <v>0.85137510000000005</v>
      </c>
      <c r="I3536">
        <v>213.5111</v>
      </c>
      <c r="J3536">
        <v>-262.66289999999998</v>
      </c>
      <c r="K3536">
        <v>1.1116999999999999</v>
      </c>
      <c r="L3536">
        <v>213.7105</v>
      </c>
      <c r="M3536">
        <v>0.99985020000000002</v>
      </c>
      <c r="N3536">
        <v>0</v>
      </c>
      <c r="O3536">
        <v>5.7373240000000002E-3</v>
      </c>
      <c r="P3536">
        <v>0.99093739999999997</v>
      </c>
      <c r="Q3536">
        <v>0.1209427</v>
      </c>
      <c r="R3536">
        <v>-5.8446970000000001E-2</v>
      </c>
      <c r="S3536">
        <v>3.0811160000000002</v>
      </c>
      <c r="T3536">
        <v>-0.69636229999999999</v>
      </c>
      <c r="U3536">
        <v>-0.52650450000000004</v>
      </c>
      <c r="V3536">
        <v>6.3319940000000005E-2</v>
      </c>
      <c r="W3536">
        <v>0.13748099999999999</v>
      </c>
      <c r="X3536">
        <v>0.98847839999999998</v>
      </c>
      <c r="Y3536">
        <v>0.16978879999999999</v>
      </c>
      <c r="Z3536">
        <v>-2.008857E-2</v>
      </c>
      <c r="AA3536">
        <v>0.98527569999999998</v>
      </c>
      <c r="AB3536">
        <v>59</v>
      </c>
      <c r="AC3536">
        <v>0.71229999999996996</v>
      </c>
      <c r="AD3536">
        <v>-0.26032489999999903</v>
      </c>
      <c r="AE3536">
        <v>-0.199399999999997</v>
      </c>
      <c r="AF3536">
        <v>0.18105771083258901</v>
      </c>
      <c r="AG3536">
        <v>-0.26032489999999903</v>
      </c>
      <c r="AH3536">
        <v>0.63276792777202095</v>
      </c>
      <c r="AI3536">
        <v>111.580441964505</v>
      </c>
      <c r="AJ3536">
        <v>74.032265456605998</v>
      </c>
      <c r="AK3536">
        <v>0.70777552841903502</v>
      </c>
      <c r="AL3536">
        <v>82.097891273995501</v>
      </c>
      <c r="AM3536">
        <v>86.334755377208396</v>
      </c>
      <c r="AN3536">
        <v>0.99999999371458104</v>
      </c>
    </row>
    <row r="3537" spans="1:40" x14ac:dyDescent="0.25">
      <c r="A3537" t="str">
        <f>"20190312173000639"</f>
        <v>20190312173000639</v>
      </c>
      <c r="B3537" t="str">
        <f>"1552383000631523"</f>
        <v>1552383000631523</v>
      </c>
      <c r="C3537" t="s">
        <v>40</v>
      </c>
      <c r="D3537">
        <v>3.4824489999999999</v>
      </c>
      <c r="E3537">
        <v>0.54799430000000005</v>
      </c>
      <c r="F3537" t="s">
        <v>42</v>
      </c>
      <c r="G3537">
        <v>-261.91460000000001</v>
      </c>
      <c r="H3537">
        <v>0.94235500000000005</v>
      </c>
      <c r="I3537">
        <v>213.58250000000001</v>
      </c>
      <c r="J3537">
        <v>-262.19029999999998</v>
      </c>
      <c r="K3537">
        <v>1.1117589999999999</v>
      </c>
      <c r="L3537">
        <v>213.71369999999999</v>
      </c>
      <c r="M3537">
        <v>0.99983900000000003</v>
      </c>
      <c r="N3537">
        <v>0</v>
      </c>
      <c r="O3537">
        <v>6.9826419999999998E-3</v>
      </c>
      <c r="P3537">
        <v>0.99074450000000003</v>
      </c>
      <c r="Q3537">
        <v>0.1216436</v>
      </c>
      <c r="R3537">
        <v>-6.0236030000000003E-2</v>
      </c>
      <c r="S3537">
        <v>3.081512</v>
      </c>
      <c r="T3537">
        <v>-0.69741679999999995</v>
      </c>
      <c r="U3537">
        <v>-0.52604680000000004</v>
      </c>
      <c r="V3537">
        <v>6.6331180000000003E-2</v>
      </c>
      <c r="W3537">
        <v>0.1383954</v>
      </c>
      <c r="X3537">
        <v>0.98815330000000001</v>
      </c>
      <c r="Y3537">
        <v>0.17078460000000001</v>
      </c>
      <c r="Z3537">
        <v>-2.0503029999999998E-2</v>
      </c>
      <c r="AA3537">
        <v>0.98509500000000005</v>
      </c>
      <c r="AB3537">
        <v>59</v>
      </c>
      <c r="AC3537">
        <v>0.27569999999997202</v>
      </c>
      <c r="AD3537">
        <v>-0.169404</v>
      </c>
      <c r="AE3537">
        <v>-0.131199999999978</v>
      </c>
      <c r="AF3537">
        <v>0.101788099938108</v>
      </c>
      <c r="AG3537">
        <v>-0.169404</v>
      </c>
      <c r="AH3537">
        <v>0.21010046640556199</v>
      </c>
      <c r="AI3537">
        <v>125.96564783872699</v>
      </c>
      <c r="AJ3537">
        <v>64.151043317361399</v>
      </c>
      <c r="AK3537">
        <v>0.28844538215898902</v>
      </c>
      <c r="AL3537">
        <v>82.044994637162304</v>
      </c>
      <c r="AM3537">
        <v>86.1597013751514</v>
      </c>
      <c r="AN3537">
        <v>1.0000000282411201</v>
      </c>
    </row>
    <row r="3538" spans="1:40" x14ac:dyDescent="0.25">
      <c r="A3538" t="str">
        <f>"20190312173000660"</f>
        <v>20190312173000660</v>
      </c>
      <c r="B3538" t="str">
        <f>"1552383000651044"</f>
        <v>1552383000651044</v>
      </c>
      <c r="C3538" t="s">
        <v>40</v>
      </c>
      <c r="D3538">
        <v>3.470561</v>
      </c>
      <c r="E3538">
        <v>0.54800019999999905</v>
      </c>
      <c r="F3538" t="s">
        <v>42</v>
      </c>
      <c r="G3538">
        <v>-261.3956</v>
      </c>
      <c r="H3538">
        <v>0.93144689999999997</v>
      </c>
      <c r="I3538">
        <v>213.57669999999999</v>
      </c>
      <c r="J3538">
        <v>-261.61779999999999</v>
      </c>
      <c r="K3538">
        <v>1.1118170000000001</v>
      </c>
      <c r="L3538">
        <v>213.7183</v>
      </c>
      <c r="M3538">
        <v>0.99982289999999996</v>
      </c>
      <c r="N3538">
        <v>0</v>
      </c>
      <c r="O3538">
        <v>8.4842449999999996E-3</v>
      </c>
      <c r="P3538">
        <v>0.99078569999999999</v>
      </c>
      <c r="Q3538">
        <v>0.12104860000000001</v>
      </c>
      <c r="R3538">
        <v>-6.0756329999999997E-2</v>
      </c>
      <c r="S3538">
        <v>3.0816349999999999</v>
      </c>
      <c r="T3538">
        <v>-0.69927329999999999</v>
      </c>
      <c r="U3538">
        <v>-0.53053280000000003</v>
      </c>
      <c r="V3538">
        <v>6.8336430000000004E-2</v>
      </c>
      <c r="W3538">
        <v>0.1380818</v>
      </c>
      <c r="X3538">
        <v>0.98806050000000001</v>
      </c>
      <c r="Y3538">
        <v>0.17352279999999901</v>
      </c>
      <c r="Z3538">
        <v>-2.1191950000000001E-2</v>
      </c>
      <c r="AA3538">
        <v>0.98460179999999997</v>
      </c>
      <c r="AB3538">
        <v>59</v>
      </c>
      <c r="AC3538">
        <v>0.22219999999998599</v>
      </c>
      <c r="AD3538">
        <v>-0.18037010000000001</v>
      </c>
      <c r="AE3538">
        <v>-0.14160000000001099</v>
      </c>
      <c r="AF3538">
        <v>9.7697236265141804E-2</v>
      </c>
      <c r="AG3538">
        <v>-0.18037010000000001</v>
      </c>
      <c r="AH3538">
        <v>0.15047464501514601</v>
      </c>
      <c r="AI3538">
        <v>135.15315550083901</v>
      </c>
      <c r="AJ3538">
        <v>57.005930133054498</v>
      </c>
      <c r="AK3538">
        <v>0.25440271567004002</v>
      </c>
      <c r="AL3538">
        <v>82.063136562342095</v>
      </c>
      <c r="AM3538">
        <v>86.043598632040997</v>
      </c>
      <c r="AN3538">
        <v>1.0000000014083099</v>
      </c>
    </row>
    <row r="3539" spans="1:40" x14ac:dyDescent="0.25">
      <c r="A3539" t="str">
        <f>"20190312173000682"</f>
        <v>20190312173000682</v>
      </c>
      <c r="B3539" t="str">
        <f>"1552383000671540"</f>
        <v>1552383000671540</v>
      </c>
      <c r="C3539" t="s">
        <v>40</v>
      </c>
      <c r="D3539">
        <v>3.476826</v>
      </c>
      <c r="E3539">
        <v>0.53024969999999905</v>
      </c>
      <c r="F3539" t="s">
        <v>42</v>
      </c>
      <c r="G3539">
        <v>-260.86919999999998</v>
      </c>
      <c r="H3539">
        <v>0.94087679999999996</v>
      </c>
      <c r="I3539">
        <v>213.58850000000001</v>
      </c>
      <c r="J3539">
        <v>-261.05880000000002</v>
      </c>
      <c r="K3539">
        <v>1.111872</v>
      </c>
      <c r="L3539">
        <v>213.72370000000001</v>
      </c>
      <c r="M3539">
        <v>0.99980449999999998</v>
      </c>
      <c r="N3539">
        <v>0</v>
      </c>
      <c r="O3539">
        <v>9.9442090000000007E-3</v>
      </c>
      <c r="P3539">
        <v>0.99083399999999999</v>
      </c>
      <c r="Q3539">
        <v>0.1206995</v>
      </c>
      <c r="R3539">
        <v>-6.0662540000000001E-2</v>
      </c>
      <c r="S3539">
        <v>3.081207</v>
      </c>
      <c r="T3539">
        <v>-0.70374539999999997</v>
      </c>
      <c r="U3539">
        <v>-0.53277589999999997</v>
      </c>
      <c r="V3539">
        <v>6.9686670000000006E-2</v>
      </c>
      <c r="W3539">
        <v>0.13802929999999999</v>
      </c>
      <c r="X3539">
        <v>0.98797349999999995</v>
      </c>
      <c r="Y3539">
        <v>0.17553350000000001</v>
      </c>
      <c r="Z3539">
        <v>-2.1877879999999999E-2</v>
      </c>
      <c r="AA3539">
        <v>0.9842303</v>
      </c>
      <c r="AB3539">
        <v>59</v>
      </c>
      <c r="AC3539">
        <v>0.18960000000004101</v>
      </c>
      <c r="AD3539">
        <v>-0.17099520000000001</v>
      </c>
      <c r="AE3539">
        <v>-0.13519999999999699</v>
      </c>
      <c r="AF3539">
        <v>8.9058553032628995E-2</v>
      </c>
      <c r="AG3539">
        <v>-0.17099520000000001</v>
      </c>
      <c r="AH3539">
        <v>0.122301098871183</v>
      </c>
      <c r="AI3539">
        <v>138.49863062821001</v>
      </c>
      <c r="AJ3539">
        <v>53.938231774693001</v>
      </c>
      <c r="AK3539">
        <v>0.22831632240469399</v>
      </c>
      <c r="AL3539">
        <v>82.066173487080306</v>
      </c>
      <c r="AM3539">
        <v>85.965326781085594</v>
      </c>
      <c r="AN3539">
        <v>0.99999997816821395</v>
      </c>
    </row>
    <row r="3540" spans="1:40" x14ac:dyDescent="0.25">
      <c r="A3540" t="str">
        <f>"20190312173000705"</f>
        <v>20190312173000705</v>
      </c>
      <c r="B3540" t="str">
        <f>"1552383000700820"</f>
        <v>1552383000700820</v>
      </c>
      <c r="C3540" t="s">
        <v>40</v>
      </c>
      <c r="D3540">
        <v>3.4426019999999902</v>
      </c>
      <c r="E3540">
        <v>0.51928730000000001</v>
      </c>
      <c r="F3540" t="s">
        <v>42</v>
      </c>
      <c r="G3540">
        <v>-260.32639999999998</v>
      </c>
      <c r="H3540">
        <v>0.98724469999999998</v>
      </c>
      <c r="I3540">
        <v>213.6285</v>
      </c>
      <c r="J3540">
        <v>-260.47239999999999</v>
      </c>
      <c r="K3540">
        <v>1.1119209999999999</v>
      </c>
      <c r="L3540">
        <v>213.7303</v>
      </c>
      <c r="M3540">
        <v>0.99978239999999996</v>
      </c>
      <c r="N3540">
        <v>0</v>
      </c>
      <c r="O3540">
        <v>1.146779E-2</v>
      </c>
      <c r="P3540">
        <v>0.99099700000000002</v>
      </c>
      <c r="Q3540">
        <v>0.1198419</v>
      </c>
      <c r="R3540">
        <v>-5.9693200000000002E-2</v>
      </c>
      <c r="S3540">
        <v>3.0670169999999999</v>
      </c>
      <c r="T3540">
        <v>-0.52212930000000002</v>
      </c>
      <c r="U3540">
        <v>-0.39773560000000002</v>
      </c>
      <c r="V3540">
        <v>7.0230329999999994E-2</v>
      </c>
      <c r="W3540">
        <v>0.1375122</v>
      </c>
      <c r="X3540">
        <v>0.98800710000000003</v>
      </c>
      <c r="Y3540">
        <v>0.1378566</v>
      </c>
      <c r="Z3540">
        <v>-1.3534040000000001E-2</v>
      </c>
      <c r="AA3540">
        <v>0.99035969999999995</v>
      </c>
      <c r="AB3540">
        <v>58</v>
      </c>
      <c r="AC3540">
        <v>0.14600000000001501</v>
      </c>
      <c r="AD3540">
        <v>-0.124676299999999</v>
      </c>
      <c r="AE3540">
        <v>-0.101799999999997</v>
      </c>
      <c r="AF3540">
        <v>6.94101155916938E-2</v>
      </c>
      <c r="AG3540">
        <v>-0.124676299999999</v>
      </c>
      <c r="AH3540">
        <v>9.7152561240546595E-2</v>
      </c>
      <c r="AI3540">
        <v>136.23836967976101</v>
      </c>
      <c r="AJ3540">
        <v>54.4562974771654</v>
      </c>
      <c r="AK3540">
        <v>0.17262839883327499</v>
      </c>
      <c r="AL3540">
        <v>82.096086292096402</v>
      </c>
      <c r="AM3540">
        <v>85.934093291223107</v>
      </c>
      <c r="AN3540">
        <v>0.99999996702557803</v>
      </c>
    </row>
    <row r="3541" spans="1:40" x14ac:dyDescent="0.25">
      <c r="A3541" t="str">
        <f>"20190312173000728"</f>
        <v>20190312173000728</v>
      </c>
      <c r="B3541" t="str">
        <f>"1552383000721315"</f>
        <v>1552383000721315</v>
      </c>
      <c r="C3541" t="s">
        <v>40</v>
      </c>
      <c r="D3541">
        <v>3.4751479999999999</v>
      </c>
      <c r="E3541">
        <v>0.51700679999999999</v>
      </c>
      <c r="F3541" t="s">
        <v>42</v>
      </c>
      <c r="G3541">
        <v>-259.28570000000002</v>
      </c>
      <c r="H3541">
        <v>0.98724029999999996</v>
      </c>
      <c r="I3541">
        <v>213.60769999999999</v>
      </c>
      <c r="J3541">
        <v>-259.87849999999997</v>
      </c>
      <c r="K3541">
        <v>1.1119680000000001</v>
      </c>
      <c r="L3541">
        <v>213.7379</v>
      </c>
      <c r="M3541">
        <v>0.9997568</v>
      </c>
      <c r="N3541">
        <v>0</v>
      </c>
      <c r="O3541">
        <v>1.300493E-2</v>
      </c>
      <c r="P3541">
        <v>0.99113249999999997</v>
      </c>
      <c r="Q3541">
        <v>0.119311</v>
      </c>
      <c r="R3541">
        <v>-5.8493200000000002E-2</v>
      </c>
      <c r="S3541">
        <v>3.0470579999999998</v>
      </c>
      <c r="T3541">
        <v>-0.32022859999999997</v>
      </c>
      <c r="U3541">
        <v>-0.31439210000000001</v>
      </c>
      <c r="V3541">
        <v>7.0557239999999993E-2</v>
      </c>
      <c r="W3541">
        <v>0.1373634</v>
      </c>
      <c r="X3541">
        <v>0.98800460000000001</v>
      </c>
      <c r="Y3541">
        <v>0.1148666</v>
      </c>
      <c r="Z3541">
        <v>-7.3633609999999997E-3</v>
      </c>
      <c r="AA3541">
        <v>0.99335370000000001</v>
      </c>
      <c r="AB3541">
        <v>58</v>
      </c>
      <c r="AC3541">
        <v>0.59279999999995403</v>
      </c>
      <c r="AD3541">
        <v>-0.1247277</v>
      </c>
      <c r="AE3541">
        <v>-0.13020000000000201</v>
      </c>
      <c r="AF3541">
        <v>0.132311653708864</v>
      </c>
      <c r="AG3541">
        <v>-0.1247277</v>
      </c>
      <c r="AH3541">
        <v>0.56710593044855495</v>
      </c>
      <c r="AI3541">
        <v>102.089240732747</v>
      </c>
      <c r="AJ3541">
        <v>76.867229372815999</v>
      </c>
      <c r="AK3541">
        <v>0.59554387680874199</v>
      </c>
      <c r="AL3541">
        <v>82.104694312550194</v>
      </c>
      <c r="AM3541">
        <v>85.915220817028697</v>
      </c>
      <c r="AN3541">
        <v>1.00000005869856</v>
      </c>
    </row>
    <row r="3542" spans="1:40" x14ac:dyDescent="0.25">
      <c r="A3542" t="str">
        <f>"20190312173000749"</f>
        <v>20190312173000749</v>
      </c>
      <c r="B3542" t="str">
        <f>"1552383000740835"</f>
        <v>1552383000740835</v>
      </c>
      <c r="C3542" t="s">
        <v>40</v>
      </c>
      <c r="D3542">
        <v>3.4947879999999998</v>
      </c>
      <c r="E3542">
        <v>0.51568779999999903</v>
      </c>
      <c r="F3542" t="s">
        <v>42</v>
      </c>
      <c r="G3542">
        <v>-258.75659999999999</v>
      </c>
      <c r="H3542">
        <v>1.0110330000000001</v>
      </c>
      <c r="I3542">
        <v>213.6293</v>
      </c>
      <c r="J3542">
        <v>-259.31380000000001</v>
      </c>
      <c r="K3542">
        <v>1.112006</v>
      </c>
      <c r="L3542">
        <v>213.74610000000001</v>
      </c>
      <c r="M3542">
        <v>0.99972969999999906</v>
      </c>
      <c r="N3542">
        <v>0</v>
      </c>
      <c r="O3542">
        <v>1.4462539999999999E-2</v>
      </c>
      <c r="P3542">
        <v>0.99130989999999997</v>
      </c>
      <c r="Q3542">
        <v>0.1185614</v>
      </c>
      <c r="R3542">
        <v>-5.6990399999999997E-2</v>
      </c>
      <c r="S3542">
        <v>3.0424799999999999</v>
      </c>
      <c r="T3542">
        <v>-0.27392349999999999</v>
      </c>
      <c r="U3542">
        <v>-0.29357909999999998</v>
      </c>
      <c r="V3542">
        <v>7.0505910000000005E-2</v>
      </c>
      <c r="W3542">
        <v>0.1370026</v>
      </c>
      <c r="X3542">
        <v>0.98805829999999994</v>
      </c>
      <c r="Y3542">
        <v>0.10993650000000001</v>
      </c>
      <c r="Z3542">
        <v>-6.2244839999999997E-3</v>
      </c>
      <c r="AA3542">
        <v>0.99391910000000006</v>
      </c>
      <c r="AB3542">
        <v>58</v>
      </c>
      <c r="AC3542">
        <v>0.55720000000002201</v>
      </c>
      <c r="AD3542">
        <v>-0.10097299999999899</v>
      </c>
      <c r="AE3542">
        <v>-0.11680000000001101</v>
      </c>
      <c r="AF3542">
        <v>0.121040124671215</v>
      </c>
      <c r="AG3542">
        <v>-0.10097299999999899</v>
      </c>
      <c r="AH3542">
        <v>0.53851239771292903</v>
      </c>
      <c r="AI3542">
        <v>100.36702058791801</v>
      </c>
      <c r="AJ3542">
        <v>77.332292532549502</v>
      </c>
      <c r="AK3542">
        <v>0.56110770891153405</v>
      </c>
      <c r="AL3542">
        <v>82.125563470587807</v>
      </c>
      <c r="AM3542">
        <v>85.918403516046993</v>
      </c>
      <c r="AN3542">
        <v>0.99999999997528899</v>
      </c>
    </row>
    <row r="3543" spans="1:40" x14ac:dyDescent="0.25">
      <c r="A3543" t="str">
        <f>"20190312173000772"</f>
        <v>20190312173000772</v>
      </c>
      <c r="B3543" t="str">
        <f>"1552383000761332"</f>
        <v>1552383000761332</v>
      </c>
      <c r="C3543" t="s">
        <v>40</v>
      </c>
      <c r="D3543">
        <v>3.4867210000000002</v>
      </c>
      <c r="E3543">
        <v>0.51479979999999903</v>
      </c>
      <c r="F3543" t="s">
        <v>42</v>
      </c>
      <c r="G3543">
        <v>-258.23399999999998</v>
      </c>
      <c r="H3543">
        <v>1.0240100000000001</v>
      </c>
      <c r="I3543">
        <v>213.64689999999999</v>
      </c>
      <c r="J3543">
        <v>-258.74090000000001</v>
      </c>
      <c r="K3543">
        <v>1.1120509999999999</v>
      </c>
      <c r="L3543">
        <v>213.75530000000001</v>
      </c>
      <c r="M3543">
        <v>0.99969969999999997</v>
      </c>
      <c r="N3543">
        <v>0</v>
      </c>
      <c r="O3543">
        <v>1.5940309999999999E-2</v>
      </c>
      <c r="P3543">
        <v>0.99151100000000003</v>
      </c>
      <c r="Q3543">
        <v>0.1176078</v>
      </c>
      <c r="R3543">
        <v>-5.5446009999999997E-2</v>
      </c>
      <c r="S3543">
        <v>3.0398860000000001</v>
      </c>
      <c r="T3543">
        <v>-0.2477539</v>
      </c>
      <c r="U3543">
        <v>-0.27908329999999998</v>
      </c>
      <c r="V3543">
        <v>7.0435800000000007E-2</v>
      </c>
      <c r="W3543">
        <v>0.13645079999999901</v>
      </c>
      <c r="X3543">
        <v>0.98813960000000001</v>
      </c>
      <c r="Y3543">
        <v>0.1068833</v>
      </c>
      <c r="Z3543">
        <v>-5.6339739999999999E-3</v>
      </c>
      <c r="AA3543">
        <v>0.99425560000000002</v>
      </c>
      <c r="AB3543">
        <v>58</v>
      </c>
      <c r="AC3543">
        <v>0.50689999999997304</v>
      </c>
      <c r="AD3543">
        <v>-8.8040999999999994E-2</v>
      </c>
      <c r="AE3543">
        <v>-0.108400000000017</v>
      </c>
      <c r="AF3543">
        <v>0.113202187661524</v>
      </c>
      <c r="AG3543">
        <v>-8.8040999999999994E-2</v>
      </c>
      <c r="AH3543">
        <v>0.49094490782581501</v>
      </c>
      <c r="AI3543">
        <v>99.912041282889405</v>
      </c>
      <c r="AJ3543">
        <v>77.015665282111797</v>
      </c>
      <c r="AK3543">
        <v>0.51146148974527195</v>
      </c>
      <c r="AL3543">
        <v>82.157478580467995</v>
      </c>
      <c r="AM3543">
        <v>85.922782848807302</v>
      </c>
      <c r="AN3543">
        <v>0.99999994591521801</v>
      </c>
    </row>
    <row r="3544" spans="1:40" x14ac:dyDescent="0.25">
      <c r="A3544" t="str">
        <f>"20190312173000794"</f>
        <v>20190312173000794</v>
      </c>
      <c r="B3544" t="str">
        <f>"1552383000780852"</f>
        <v>1552383000780852</v>
      </c>
      <c r="C3544" t="s">
        <v>40</v>
      </c>
      <c r="D3544">
        <v>3.4838589999999998</v>
      </c>
      <c r="E3544">
        <v>0.51415619999999995</v>
      </c>
      <c r="F3544" t="s">
        <v>42</v>
      </c>
      <c r="G3544">
        <v>-257.71429999999998</v>
      </c>
      <c r="H3544">
        <v>1.033695</v>
      </c>
      <c r="I3544">
        <v>213.66489999999999</v>
      </c>
      <c r="J3544">
        <v>-258.17200000000003</v>
      </c>
      <c r="K3544">
        <v>1.112087</v>
      </c>
      <c r="L3544">
        <v>213.7653</v>
      </c>
      <c r="M3544">
        <v>0.99966759999999999</v>
      </c>
      <c r="N3544">
        <v>0</v>
      </c>
      <c r="O3544">
        <v>1.7402540000000001E-2</v>
      </c>
      <c r="P3544">
        <v>0.99165919999999996</v>
      </c>
      <c r="Q3544">
        <v>0.1171691</v>
      </c>
      <c r="R3544">
        <v>-5.370142E-2</v>
      </c>
      <c r="S3544">
        <v>3.038284</v>
      </c>
      <c r="T3544">
        <v>-0.23208899999999999</v>
      </c>
      <c r="U3544">
        <v>-0.26704410000000001</v>
      </c>
      <c r="V3544">
        <v>7.0147340000000002E-2</v>
      </c>
      <c r="W3544">
        <v>0.13641589999999901</v>
      </c>
      <c r="X3544">
        <v>0.98816499999999996</v>
      </c>
      <c r="Y3544">
        <v>0.10452839999999999</v>
      </c>
      <c r="Z3544">
        <v>-5.3042389999999997E-3</v>
      </c>
      <c r="AA3544">
        <v>0.99450769999999999</v>
      </c>
      <c r="AB3544">
        <v>58</v>
      </c>
      <c r="AC3544">
        <v>0.45770000000004502</v>
      </c>
      <c r="AD3544">
        <v>-7.8392000000000003E-2</v>
      </c>
      <c r="AE3544">
        <v>-0.100400000000007</v>
      </c>
      <c r="AF3544">
        <v>0.10540140189564599</v>
      </c>
      <c r="AG3544">
        <v>-7.8392000000000003E-2</v>
      </c>
      <c r="AH3544">
        <v>0.44347126608693599</v>
      </c>
      <c r="AI3544">
        <v>99.758177486159198</v>
      </c>
      <c r="AJ3544">
        <v>76.630367739321599</v>
      </c>
      <c r="AK3544">
        <v>0.46251651325149201</v>
      </c>
      <c r="AL3544">
        <v>82.159497560900206</v>
      </c>
      <c r="AM3544">
        <v>85.939528579284996</v>
      </c>
      <c r="AN3544">
        <v>1.0000000071534401</v>
      </c>
    </row>
    <row r="3545" spans="1:40" x14ac:dyDescent="0.25">
      <c r="A3545" t="str">
        <f>"20190312173000816"</f>
        <v>20190312173000816</v>
      </c>
      <c r="B3545" t="str">
        <f>"1552383000811111"</f>
        <v>1552383000811111</v>
      </c>
      <c r="C3545" t="s">
        <v>40</v>
      </c>
      <c r="D3545">
        <v>3.5145919999999999</v>
      </c>
      <c r="E3545">
        <v>0.51381899999999903</v>
      </c>
      <c r="F3545" t="s">
        <v>42</v>
      </c>
      <c r="G3545">
        <v>-257.19630000000001</v>
      </c>
      <c r="H3545">
        <v>1.041167</v>
      </c>
      <c r="I3545">
        <v>213.68260000000001</v>
      </c>
      <c r="J3545">
        <v>-257.58370000000002</v>
      </c>
      <c r="K3545">
        <v>1.112125</v>
      </c>
      <c r="L3545">
        <v>213.7765</v>
      </c>
      <c r="M3545">
        <v>0.99963179999999996</v>
      </c>
      <c r="N3545">
        <v>0</v>
      </c>
      <c r="O3545">
        <v>1.8909410000000001E-2</v>
      </c>
      <c r="P3545">
        <v>0.99175440000000004</v>
      </c>
      <c r="Q3545">
        <v>0.1170258</v>
      </c>
      <c r="R3545">
        <v>-5.2238369999999999E-2</v>
      </c>
      <c r="S3545">
        <v>3.0374150000000002</v>
      </c>
      <c r="T3545">
        <v>-0.2208878</v>
      </c>
      <c r="U3545">
        <v>-0.25692749999999998</v>
      </c>
      <c r="V3545">
        <v>7.0183209999999996E-2</v>
      </c>
      <c r="W3545">
        <v>0.1367022</v>
      </c>
      <c r="X3545">
        <v>0.98812290000000003</v>
      </c>
      <c r="Y3545">
        <v>0.1027979</v>
      </c>
      <c r="Z3545">
        <v>-5.0976520000000003E-3</v>
      </c>
      <c r="AA3545">
        <v>0.99468920000000005</v>
      </c>
      <c r="AB3545">
        <v>58</v>
      </c>
      <c r="AC3545">
        <v>0.38740000000001301</v>
      </c>
      <c r="AD3545">
        <v>-7.0957999999999993E-2</v>
      </c>
      <c r="AE3545">
        <v>-9.3899999999990699E-2</v>
      </c>
      <c r="AF3545">
        <v>9.8101492870094398E-2</v>
      </c>
      <c r="AG3545">
        <v>-7.0957999999999993E-2</v>
      </c>
      <c r="AH3545">
        <v>0.37371270476569801</v>
      </c>
      <c r="AI3545">
        <v>100.406462487517</v>
      </c>
      <c r="AJ3545">
        <v>75.291422451747295</v>
      </c>
      <c r="AK3545">
        <v>0.392836004422501</v>
      </c>
      <c r="AL3545">
        <v>82.142938755728196</v>
      </c>
      <c r="AM3545">
        <v>85.937286689301899</v>
      </c>
      <c r="AN3545">
        <v>1.00000001997757</v>
      </c>
    </row>
    <row r="3546" spans="1:40" x14ac:dyDescent="0.25">
      <c r="A3546" t="str">
        <f>"20190312173000839"</f>
        <v>20190312173000839</v>
      </c>
      <c r="B3546" t="str">
        <f>"1552383000830628"</f>
        <v>1552383000830628</v>
      </c>
      <c r="C3546" t="s">
        <v>40</v>
      </c>
      <c r="D3546">
        <v>3.5082110000000002</v>
      </c>
      <c r="E3546">
        <v>0.51375649999999995</v>
      </c>
      <c r="F3546" t="s">
        <v>42</v>
      </c>
      <c r="G3546">
        <v>-256.67559999999997</v>
      </c>
      <c r="H3546">
        <v>1.0496019999999999</v>
      </c>
      <c r="I3546">
        <v>213.70160000000001</v>
      </c>
      <c r="J3546">
        <v>-257.00979999999998</v>
      </c>
      <c r="K3546">
        <v>1.112171</v>
      </c>
      <c r="L3546">
        <v>213.78829999999999</v>
      </c>
      <c r="M3546">
        <v>0.99959419999999999</v>
      </c>
      <c r="N3546">
        <v>0</v>
      </c>
      <c r="O3546">
        <v>2.037537E-2</v>
      </c>
      <c r="P3546">
        <v>0.99181680000000005</v>
      </c>
      <c r="Q3546">
        <v>0.1168915</v>
      </c>
      <c r="R3546">
        <v>-5.1342869999999999E-2</v>
      </c>
      <c r="S3546">
        <v>3.0364840000000002</v>
      </c>
      <c r="T3546">
        <v>-0.209283</v>
      </c>
      <c r="U3546">
        <v>-0.2497559</v>
      </c>
      <c r="V3546">
        <v>7.0746699999999996E-2</v>
      </c>
      <c r="W3546">
        <v>0.13700209999999999</v>
      </c>
      <c r="X3546">
        <v>0.98804119999999995</v>
      </c>
      <c r="Y3546">
        <v>0.10198019999999999</v>
      </c>
      <c r="Z3546">
        <v>-4.9051269999999996E-3</v>
      </c>
      <c r="AA3546">
        <v>0.9947743</v>
      </c>
      <c r="AB3546">
        <v>57</v>
      </c>
      <c r="AC3546">
        <v>0.33420000000000899</v>
      </c>
      <c r="AD3546">
        <v>-6.2568999999999805E-2</v>
      </c>
      <c r="AE3546">
        <v>-8.6699999999979099E-2</v>
      </c>
      <c r="AF3546">
        <v>9.0520010846291299E-2</v>
      </c>
      <c r="AG3546">
        <v>-6.2568999999999805E-2</v>
      </c>
      <c r="AH3546">
        <v>0.321795561157531</v>
      </c>
      <c r="AI3546">
        <v>100.601543412</v>
      </c>
      <c r="AJ3546">
        <v>74.288885692417907</v>
      </c>
      <c r="AK3546">
        <v>0.34008989297728698</v>
      </c>
      <c r="AL3546">
        <v>82.125592723653</v>
      </c>
      <c r="AM3546">
        <v>85.904440863705304</v>
      </c>
      <c r="AN3546">
        <v>1.0000000419313599</v>
      </c>
    </row>
    <row r="3547" spans="1:40" x14ac:dyDescent="0.25">
      <c r="A3547" t="str">
        <f>"20190312173000862"</f>
        <v>20190312173000862</v>
      </c>
      <c r="B3547" t="str">
        <f>"1552383000851125"</f>
        <v>1552383000851125</v>
      </c>
      <c r="C3547" t="s">
        <v>40</v>
      </c>
      <c r="D3547">
        <v>3.5121020000000001</v>
      </c>
      <c r="E3547">
        <v>0.51377949999999994</v>
      </c>
      <c r="F3547" t="s">
        <v>47</v>
      </c>
      <c r="G3547">
        <v>-240.4726</v>
      </c>
      <c r="H3547" s="1">
        <v>-1.190382E-6</v>
      </c>
      <c r="I3547">
        <v>212.44550000000001</v>
      </c>
      <c r="J3547">
        <v>-256.42489999999998</v>
      </c>
      <c r="K3547">
        <v>1.1122160000000001</v>
      </c>
      <c r="L3547">
        <v>213.8013</v>
      </c>
      <c r="M3547">
        <v>0.99955329999999998</v>
      </c>
      <c r="N3547">
        <v>0</v>
      </c>
      <c r="O3547">
        <v>2.1864160000000001E-2</v>
      </c>
      <c r="P3547">
        <v>0.99172979999999999</v>
      </c>
      <c r="Q3547">
        <v>0.1181301</v>
      </c>
      <c r="R3547">
        <v>-5.0170680000000002E-2</v>
      </c>
      <c r="S3547">
        <v>3.036057</v>
      </c>
      <c r="T3547">
        <v>-0.2041838</v>
      </c>
      <c r="U3547">
        <v>-0.24653630000000001</v>
      </c>
      <c r="V3547">
        <v>7.1046360000000003E-2</v>
      </c>
      <c r="W3547">
        <v>0.138699499999999</v>
      </c>
      <c r="X3547">
        <v>0.98778279999999996</v>
      </c>
      <c r="Y3547">
        <v>0.1024349</v>
      </c>
      <c r="Z3547">
        <v>-4.9019140000000003E-3</v>
      </c>
      <c r="AA3547">
        <v>0.99472760000000005</v>
      </c>
      <c r="AB3547">
        <v>57</v>
      </c>
      <c r="AC3547">
        <v>15.9522999999999</v>
      </c>
      <c r="AD3547">
        <v>-1.112217190382</v>
      </c>
      <c r="AE3547">
        <v>-1.3557999999999799</v>
      </c>
      <c r="AF3547">
        <v>1.69614585835474</v>
      </c>
      <c r="AG3547">
        <v>-1.112217190382</v>
      </c>
      <c r="AH3547">
        <v>15.842376713046701</v>
      </c>
      <c r="AI3547">
        <v>93.993126137466902</v>
      </c>
      <c r="AJ3547">
        <v>83.888971820079703</v>
      </c>
      <c r="AK3547">
        <v>15.971688632373199</v>
      </c>
      <c r="AL3547">
        <v>82.027401077009799</v>
      </c>
      <c r="AM3547">
        <v>85.886080602488207</v>
      </c>
      <c r="AN3547">
        <v>0.99999999827266906</v>
      </c>
    </row>
    <row r="3548" spans="1:40" x14ac:dyDescent="0.25">
      <c r="A3548" t="str">
        <f>"20190312173000884"</f>
        <v>20190312173000884</v>
      </c>
      <c r="B3548" t="str">
        <f>"1552383000870645"</f>
        <v>1552383000870645</v>
      </c>
      <c r="C3548" t="s">
        <v>40</v>
      </c>
      <c r="D3548">
        <v>3.530294</v>
      </c>
      <c r="E3548">
        <v>0.51386359999999998</v>
      </c>
      <c r="F3548" t="s">
        <v>47</v>
      </c>
      <c r="G3548">
        <v>-239.2296</v>
      </c>
      <c r="H3548" s="1">
        <v>3.4706100000000001E-6</v>
      </c>
      <c r="I3548">
        <v>212.423</v>
      </c>
      <c r="J3548">
        <v>-255.88810000000001</v>
      </c>
      <c r="K3548">
        <v>1.11226</v>
      </c>
      <c r="L3548">
        <v>213.81399999999999</v>
      </c>
      <c r="M3548">
        <v>0.9995134</v>
      </c>
      <c r="N3548">
        <v>0</v>
      </c>
      <c r="O3548">
        <v>2.322521E-2</v>
      </c>
      <c r="P3548">
        <v>0.99156230000000001</v>
      </c>
      <c r="Q3548">
        <v>0.11979679999999999</v>
      </c>
      <c r="R3548">
        <v>-4.952732E-2</v>
      </c>
      <c r="S3548">
        <v>3.0360719999999999</v>
      </c>
      <c r="T3548">
        <v>-0.196377</v>
      </c>
      <c r="U3548">
        <v>-0.24334720000000001</v>
      </c>
      <c r="V3548">
        <v>7.1743260000000003E-2</v>
      </c>
      <c r="W3548">
        <v>0.1408015</v>
      </c>
      <c r="X3548">
        <v>0.98743499999999995</v>
      </c>
      <c r="Y3548">
        <v>0.1027685</v>
      </c>
      <c r="Z3548">
        <v>-4.8136769999999997E-3</v>
      </c>
      <c r="AA3548">
        <v>0.99469359999999996</v>
      </c>
      <c r="AB3548">
        <v>57</v>
      </c>
      <c r="AC3548">
        <v>16.6585</v>
      </c>
      <c r="AD3548">
        <v>-1.11225652939</v>
      </c>
      <c r="AE3548">
        <v>-1.39100000000001</v>
      </c>
      <c r="AF3548">
        <v>1.76977071065536</v>
      </c>
      <c r="AG3548">
        <v>-1.11225652939</v>
      </c>
      <c r="AH3548">
        <v>16.5484295264447</v>
      </c>
      <c r="AI3548">
        <v>93.823455295989703</v>
      </c>
      <c r="AJ3548">
        <v>83.895708101961006</v>
      </c>
      <c r="AK3548">
        <v>16.679919746424801</v>
      </c>
      <c r="AL3548">
        <v>81.905771909876194</v>
      </c>
      <c r="AM3548">
        <v>85.8444093259792</v>
      </c>
      <c r="AN3548">
        <v>1.00000001849133</v>
      </c>
    </row>
    <row r="3549" spans="1:40" x14ac:dyDescent="0.25">
      <c r="A3549" t="str">
        <f>"20190312173000905"</f>
        <v>20190312173000905</v>
      </c>
      <c r="B3549" t="str">
        <f>"1552383000900903"</f>
        <v>1552383000900903</v>
      </c>
      <c r="C3549" t="s">
        <v>40</v>
      </c>
      <c r="D3549">
        <v>3.528111</v>
      </c>
      <c r="E3549">
        <v>0.51406540000000001</v>
      </c>
      <c r="F3549" t="s">
        <v>42</v>
      </c>
      <c r="G3549">
        <v>-254.6532</v>
      </c>
      <c r="H3549">
        <v>1.035987</v>
      </c>
      <c r="I3549">
        <v>213.71530000000001</v>
      </c>
      <c r="J3549">
        <v>-255.3271</v>
      </c>
      <c r="K3549">
        <v>1.1123000000000001</v>
      </c>
      <c r="L3549">
        <v>213.82810000000001</v>
      </c>
      <c r="M3549">
        <v>0.99946939999999995</v>
      </c>
      <c r="N3549">
        <v>0</v>
      </c>
      <c r="O3549">
        <v>2.4638710000000001E-2</v>
      </c>
      <c r="P3549">
        <v>0.99156889999999998</v>
      </c>
      <c r="Q3549">
        <v>0.1199197</v>
      </c>
      <c r="R3549">
        <v>-4.9094890000000002E-2</v>
      </c>
      <c r="S3549">
        <v>3.0361479999999998</v>
      </c>
      <c r="T3549">
        <v>-0.18775339999999999</v>
      </c>
      <c r="U3549">
        <v>-0.2417145</v>
      </c>
      <c r="V3549">
        <v>7.2715799999999997E-2</v>
      </c>
      <c r="W3549">
        <v>0.1413991</v>
      </c>
      <c r="X3549">
        <v>0.9872784</v>
      </c>
      <c r="Y3549">
        <v>0.1036599</v>
      </c>
      <c r="Z3549">
        <v>-4.7174209999999899E-3</v>
      </c>
      <c r="AA3549">
        <v>0.99460159999999997</v>
      </c>
      <c r="AB3549">
        <v>57</v>
      </c>
      <c r="AC3549">
        <v>0.67390000000000305</v>
      </c>
      <c r="AD3549">
        <v>-7.6313000000000006E-2</v>
      </c>
      <c r="AE3549">
        <v>-0.112799999999992</v>
      </c>
      <c r="AF3549">
        <v>0.127779613846808</v>
      </c>
      <c r="AG3549">
        <v>-7.6313000000000006E-2</v>
      </c>
      <c r="AH3549">
        <v>0.66264955811028003</v>
      </c>
      <c r="AI3549">
        <v>96.451614446722203</v>
      </c>
      <c r="AJ3549">
        <v>79.085541987039207</v>
      </c>
      <c r="AK3549">
        <v>0.67915811159669504</v>
      </c>
      <c r="AL3549">
        <v>81.871185501042305</v>
      </c>
      <c r="AM3549">
        <v>85.787612523686093</v>
      </c>
      <c r="AN3549">
        <v>0.99999996607850405</v>
      </c>
    </row>
    <row r="3550" spans="1:40" x14ac:dyDescent="0.25">
      <c r="A3550" t="str">
        <f>"20190312173000928"</f>
        <v>20190312173000928</v>
      </c>
      <c r="B3550" t="str">
        <f>"1552383000921395"</f>
        <v>1552383000921395</v>
      </c>
      <c r="C3550" t="s">
        <v>40</v>
      </c>
      <c r="D3550">
        <v>3.5163799999999998</v>
      </c>
      <c r="E3550">
        <v>0.51431479999999996</v>
      </c>
      <c r="F3550" t="s">
        <v>42</v>
      </c>
      <c r="G3550">
        <v>-254.1429</v>
      </c>
      <c r="H3550">
        <v>1.0410219999999999</v>
      </c>
      <c r="I3550">
        <v>213.7336</v>
      </c>
      <c r="J3550">
        <v>-254.7561</v>
      </c>
      <c r="K3550">
        <v>1.1123430000000001</v>
      </c>
      <c r="L3550">
        <v>213.8434</v>
      </c>
      <c r="M3550">
        <v>0.9994227</v>
      </c>
      <c r="N3550">
        <v>0</v>
      </c>
      <c r="O3550">
        <v>2.606936E-2</v>
      </c>
      <c r="P3550">
        <v>0.99156120000000003</v>
      </c>
      <c r="Q3550">
        <v>0.1201488</v>
      </c>
      <c r="R3550">
        <v>-4.8693050000000002E-2</v>
      </c>
      <c r="S3550">
        <v>3.0356450000000001</v>
      </c>
      <c r="T3550">
        <v>-0.1827607</v>
      </c>
      <c r="U3550">
        <v>-0.24206539999999999</v>
      </c>
      <c r="V3550">
        <v>7.373478E-2</v>
      </c>
      <c r="W3550">
        <v>0.1421124</v>
      </c>
      <c r="X3550">
        <v>0.98710039999999999</v>
      </c>
      <c r="Y3550">
        <v>0.1052184</v>
      </c>
      <c r="Z3550">
        <v>-4.7257169999999999E-3</v>
      </c>
      <c r="AA3550">
        <v>0.99443789999999999</v>
      </c>
      <c r="AB3550">
        <v>57</v>
      </c>
      <c r="AC3550">
        <v>0.61320000000000596</v>
      </c>
      <c r="AD3550">
        <v>-7.1321000000000107E-2</v>
      </c>
      <c r="AE3550">
        <v>-0.109800000000006</v>
      </c>
      <c r="AF3550">
        <v>0.124125203689746</v>
      </c>
      <c r="AG3550">
        <v>-7.1321000000000107E-2</v>
      </c>
      <c r="AH3550">
        <v>0.60223452875845096</v>
      </c>
      <c r="AI3550">
        <v>96.6161313763414</v>
      </c>
      <c r="AJ3550">
        <v>78.3539773988565</v>
      </c>
      <c r="AK3550">
        <v>0.61901549161627201</v>
      </c>
      <c r="AL3550">
        <v>81.829899579667597</v>
      </c>
      <c r="AM3550">
        <v>85.728033144589006</v>
      </c>
      <c r="AN3550">
        <v>0.999999975847783</v>
      </c>
    </row>
    <row r="3551" spans="1:40" x14ac:dyDescent="0.25">
      <c r="A3551" t="str">
        <f>"20190312173000950"</f>
        <v>20190312173000950</v>
      </c>
      <c r="B3551" t="str">
        <f>"1552383000940916"</f>
        <v>1552383000940916</v>
      </c>
      <c r="C3551" t="s">
        <v>40</v>
      </c>
      <c r="D3551">
        <v>3.5259860000000001</v>
      </c>
      <c r="E3551">
        <v>0.5145189</v>
      </c>
      <c r="F3551" t="s">
        <v>47</v>
      </c>
      <c r="G3551">
        <v>-236.05840000000001</v>
      </c>
      <c r="H3551" s="1">
        <v>1.7864749999999999E-6</v>
      </c>
      <c r="I3551">
        <v>212.34540000000001</v>
      </c>
      <c r="J3551">
        <v>-254.20249999999999</v>
      </c>
      <c r="K3551">
        <v>1.112371</v>
      </c>
      <c r="L3551">
        <v>213.85890000000001</v>
      </c>
      <c r="M3551">
        <v>0.99937549999999997</v>
      </c>
      <c r="N3551">
        <v>0</v>
      </c>
      <c r="O3551">
        <v>2.744986E-2</v>
      </c>
      <c r="P3551">
        <v>0.99159059999999999</v>
      </c>
      <c r="Q3551">
        <v>0.1201763</v>
      </c>
      <c r="R3551">
        <v>-4.8019989999999999E-2</v>
      </c>
      <c r="S3551">
        <v>3.0354770000000002</v>
      </c>
      <c r="T3551">
        <v>-0.18058360000000001</v>
      </c>
      <c r="U3551">
        <v>-0.24319460000000001</v>
      </c>
      <c r="V3551">
        <v>7.4435299999999996E-2</v>
      </c>
      <c r="W3551">
        <v>0.14259569999999999</v>
      </c>
      <c r="X3551">
        <v>0.98697820000000003</v>
      </c>
      <c r="Y3551">
        <v>0.10696410000000001</v>
      </c>
      <c r="Z3551">
        <v>-4.8034920000000004E-3</v>
      </c>
      <c r="AA3551">
        <v>0.99425129999999995</v>
      </c>
      <c r="AB3551">
        <v>56</v>
      </c>
      <c r="AC3551">
        <v>18.144099999999899</v>
      </c>
      <c r="AD3551">
        <v>-1.1123692135250001</v>
      </c>
      <c r="AE3551">
        <v>-1.5134999999999901</v>
      </c>
      <c r="AF3551">
        <v>2.0036269402265501</v>
      </c>
      <c r="AG3551">
        <v>-1.1123692135250001</v>
      </c>
      <c r="AH3551">
        <v>18.028410436694301</v>
      </c>
      <c r="AI3551">
        <v>93.509174666517396</v>
      </c>
      <c r="AJ3551">
        <v>83.658332068813607</v>
      </c>
      <c r="AK3551">
        <v>18.173482579206102</v>
      </c>
      <c r="AL3551">
        <v>81.801924288987607</v>
      </c>
      <c r="AM3551">
        <v>85.687067639761295</v>
      </c>
      <c r="AN3551">
        <v>1.0000000574098999</v>
      </c>
    </row>
    <row r="3552" spans="1:40" x14ac:dyDescent="0.25">
      <c r="A3552" t="str">
        <f>"20190312173000973"</f>
        <v>20190312173000973</v>
      </c>
      <c r="B3552" t="str">
        <f>"1552383000961412"</f>
        <v>1552383000961412</v>
      </c>
      <c r="C3552" t="s">
        <v>40</v>
      </c>
      <c r="D3552">
        <v>3.5464329999999999</v>
      </c>
      <c r="E3552">
        <v>0.51472150000000005</v>
      </c>
      <c r="F3552" t="s">
        <v>47</v>
      </c>
      <c r="G3552">
        <v>-235.38069999999999</v>
      </c>
      <c r="H3552" s="1">
        <v>1.425448E-6</v>
      </c>
      <c r="I3552">
        <v>212.35400000000001</v>
      </c>
      <c r="J3552">
        <v>-253.6557</v>
      </c>
      <c r="K3552">
        <v>1.112406</v>
      </c>
      <c r="L3552">
        <v>213.8751</v>
      </c>
      <c r="M3552">
        <v>0.99932719999999997</v>
      </c>
      <c r="N3552">
        <v>0</v>
      </c>
      <c r="O3552">
        <v>2.8809439999999999E-2</v>
      </c>
      <c r="P3552">
        <v>0.99157510000000004</v>
      </c>
      <c r="Q3552">
        <v>0.12078899999999999</v>
      </c>
      <c r="R3552">
        <v>-4.6792170000000001E-2</v>
      </c>
      <c r="S3552">
        <v>3.0354000000000001</v>
      </c>
      <c r="T3552">
        <v>-0.17939269999999999</v>
      </c>
      <c r="U3552">
        <v>-0.24270630000000001</v>
      </c>
      <c r="V3552">
        <v>7.4556479999999994E-2</v>
      </c>
      <c r="W3552">
        <v>0.14364009999999999</v>
      </c>
      <c r="X3552">
        <v>0.98681750000000001</v>
      </c>
      <c r="Y3552">
        <v>0.1081587</v>
      </c>
      <c r="Z3552">
        <v>-4.8874419999999997E-3</v>
      </c>
      <c r="AA3552">
        <v>0.99412160000000005</v>
      </c>
      <c r="AB3552">
        <v>56</v>
      </c>
      <c r="AC3552">
        <v>18.274999999999999</v>
      </c>
      <c r="AD3552">
        <v>-1.1124045745519999</v>
      </c>
      <c r="AE3552">
        <v>-1.5210999999999899</v>
      </c>
      <c r="AF3552">
        <v>2.0395913984332599</v>
      </c>
      <c r="AG3552">
        <v>-1.1124045745519999</v>
      </c>
      <c r="AH3552">
        <v>18.156765758669799</v>
      </c>
      <c r="AI3552">
        <v>93.484080736327002</v>
      </c>
      <c r="AJ3552">
        <v>83.590701424023607</v>
      </c>
      <c r="AK3552">
        <v>18.3047949954445</v>
      </c>
      <c r="AL3552">
        <v>81.741461371020193</v>
      </c>
      <c r="AM3552">
        <v>85.679371960343303</v>
      </c>
      <c r="AN3552">
        <v>0.99999996267212399</v>
      </c>
    </row>
    <row r="3553" spans="1:40" x14ac:dyDescent="0.25">
      <c r="A3553" t="str">
        <f>"20190312173000995"</f>
        <v>20190312173000995</v>
      </c>
      <c r="B3553" t="str">
        <f>"1552383000990692"</f>
        <v>1552383000990692</v>
      </c>
      <c r="C3553" t="s">
        <v>40</v>
      </c>
      <c r="D3553">
        <v>3.551847</v>
      </c>
      <c r="E3553">
        <v>0.51506350000000001</v>
      </c>
      <c r="F3553" t="s">
        <v>47</v>
      </c>
      <c r="G3553">
        <v>-234.5548</v>
      </c>
      <c r="H3553" s="1">
        <v>9.8577790000000004E-7</v>
      </c>
      <c r="I3553">
        <v>212.35769999999999</v>
      </c>
      <c r="J3553">
        <v>-253.089</v>
      </c>
      <c r="K3553">
        <v>1.112436</v>
      </c>
      <c r="L3553">
        <v>213.89269999999999</v>
      </c>
      <c r="M3553">
        <v>0.99927509999999997</v>
      </c>
      <c r="N3553">
        <v>0</v>
      </c>
      <c r="O3553">
        <v>3.0217810000000001E-2</v>
      </c>
      <c r="P3553">
        <v>0.99163769999999996</v>
      </c>
      <c r="Q3553">
        <v>0.1207199</v>
      </c>
      <c r="R3553">
        <v>-4.5623080000000003E-2</v>
      </c>
      <c r="S3553">
        <v>3.0356450000000001</v>
      </c>
      <c r="T3553">
        <v>-0.17679059999999999</v>
      </c>
      <c r="U3553">
        <v>-0.2411652</v>
      </c>
      <c r="V3553">
        <v>7.4792689999999995E-2</v>
      </c>
      <c r="W3553">
        <v>0.14401749999999999</v>
      </c>
      <c r="X3553">
        <v>0.98674459999999997</v>
      </c>
      <c r="Y3553">
        <v>0.1090551</v>
      </c>
      <c r="Z3553">
        <v>-4.9243009999999999E-3</v>
      </c>
      <c r="AA3553">
        <v>0.99402349999999995</v>
      </c>
      <c r="AB3553">
        <v>56</v>
      </c>
      <c r="AC3553">
        <v>18.534199999999998</v>
      </c>
      <c r="AD3553">
        <v>-1.1124350142221</v>
      </c>
      <c r="AE3553">
        <v>-1.5349999999999899</v>
      </c>
      <c r="AF3553">
        <v>2.08704446582556</v>
      </c>
      <c r="AG3553">
        <v>-1.1124350142221</v>
      </c>
      <c r="AH3553">
        <v>18.413452605419199</v>
      </c>
      <c r="AI3553">
        <v>93.435336840115994</v>
      </c>
      <c r="AJ3553">
        <v>83.533494930869296</v>
      </c>
      <c r="AK3553">
        <v>18.564711231667999</v>
      </c>
      <c r="AL3553">
        <v>81.719610615625001</v>
      </c>
      <c r="AM3553">
        <v>85.665416425691902</v>
      </c>
      <c r="AN3553">
        <v>0.99999994620642096</v>
      </c>
    </row>
    <row r="3554" spans="1:40" x14ac:dyDescent="0.25">
      <c r="A3554" t="str">
        <f>"20190312173001018"</f>
        <v>20190312173001018</v>
      </c>
      <c r="B3554" t="str">
        <f>"1552383001011190"</f>
        <v>1552383001011190</v>
      </c>
      <c r="C3554" t="s">
        <v>40</v>
      </c>
      <c r="D3554">
        <v>3.5284659999999999</v>
      </c>
      <c r="E3554">
        <v>0.5153179</v>
      </c>
      <c r="F3554" t="s">
        <v>47</v>
      </c>
      <c r="G3554">
        <v>-233.86420000000001</v>
      </c>
      <c r="H3554" s="1">
        <v>6.177018E-7</v>
      </c>
      <c r="I3554">
        <v>212.37049999999999</v>
      </c>
      <c r="J3554">
        <v>-252.53129999999999</v>
      </c>
      <c r="K3554">
        <v>1.112471</v>
      </c>
      <c r="L3554">
        <v>213.91079999999999</v>
      </c>
      <c r="M3554">
        <v>0.99922129999999998</v>
      </c>
      <c r="N3554">
        <v>0</v>
      </c>
      <c r="O3554">
        <v>3.1604479999999997E-2</v>
      </c>
      <c r="P3554">
        <v>0.9916142</v>
      </c>
      <c r="Q3554">
        <v>0.12127690000000001</v>
      </c>
      <c r="R3554">
        <v>-4.4643950000000002E-2</v>
      </c>
      <c r="S3554">
        <v>3.0355989999999999</v>
      </c>
      <c r="T3554">
        <v>-0.17565329999999901</v>
      </c>
      <c r="U3554">
        <v>-0.2403564</v>
      </c>
      <c r="V3554">
        <v>7.5193010000000005E-2</v>
      </c>
      <c r="W3554">
        <v>0.1450254</v>
      </c>
      <c r="X3554">
        <v>0.98656659999999996</v>
      </c>
      <c r="Y3554">
        <v>0.11017159999999999</v>
      </c>
      <c r="Z3554">
        <v>-5.0051360000000003E-3</v>
      </c>
      <c r="AA3554">
        <v>0.99390000000000001</v>
      </c>
      <c r="AB3554">
        <v>56</v>
      </c>
      <c r="AC3554">
        <v>18.667099999999898</v>
      </c>
      <c r="AD3554">
        <v>-1.1124703822982001</v>
      </c>
      <c r="AE3554">
        <v>-1.5403</v>
      </c>
      <c r="AF3554">
        <v>2.1221726381097801</v>
      </c>
      <c r="AG3554">
        <v>-1.1124703822982001</v>
      </c>
      <c r="AH3554">
        <v>18.543661581248699</v>
      </c>
      <c r="AI3554">
        <v>93.410959817117302</v>
      </c>
      <c r="AJ3554">
        <v>83.471362636971804</v>
      </c>
      <c r="AK3554">
        <v>18.697823186063999</v>
      </c>
      <c r="AL3554">
        <v>81.661249999850298</v>
      </c>
      <c r="AM3554">
        <v>85.641521950382298</v>
      </c>
      <c r="AN3554">
        <v>1.0000000058167899</v>
      </c>
    </row>
    <row r="3555" spans="1:40" x14ac:dyDescent="0.25">
      <c r="A3555" t="str">
        <f>"20190312173001040"</f>
        <v>20190312173001040</v>
      </c>
      <c r="B3555" t="str">
        <f>"1552383001030707"</f>
        <v>1552383001030707</v>
      </c>
      <c r="C3555" t="s">
        <v>40</v>
      </c>
      <c r="D3555">
        <v>3.5117370000000001</v>
      </c>
      <c r="E3555">
        <v>0.51555569999999995</v>
      </c>
      <c r="F3555" t="s">
        <v>47</v>
      </c>
      <c r="G3555">
        <v>-233.06319999999999</v>
      </c>
      <c r="H3555" s="1">
        <v>1.9118190000000001E-7</v>
      </c>
      <c r="I3555">
        <v>212.37710000000001</v>
      </c>
      <c r="J3555">
        <v>-251.977</v>
      </c>
      <c r="K3555">
        <v>1.1124969999999901</v>
      </c>
      <c r="L3555">
        <v>213.92959999999999</v>
      </c>
      <c r="M3555">
        <v>0.99916570000000005</v>
      </c>
      <c r="N3555">
        <v>0</v>
      </c>
      <c r="O3555">
        <v>3.2981910000000003E-2</v>
      </c>
      <c r="P3555">
        <v>0.99157249999999997</v>
      </c>
      <c r="Q3555">
        <v>0.12175420000000001</v>
      </c>
      <c r="R3555">
        <v>-4.4272100000000002E-2</v>
      </c>
      <c r="S3555">
        <v>3.0358429999999998</v>
      </c>
      <c r="T3555">
        <v>-0.17347839999999901</v>
      </c>
      <c r="U3555">
        <v>-0.2391663</v>
      </c>
      <c r="V3555">
        <v>7.6190960000000002E-2</v>
      </c>
      <c r="W3555">
        <v>0.14596229999999999</v>
      </c>
      <c r="X3555">
        <v>0.9863518</v>
      </c>
      <c r="Y3555">
        <v>0.1111505</v>
      </c>
      <c r="Z3555">
        <v>-5.0494310000000001E-3</v>
      </c>
      <c r="AA3555">
        <v>0.99379070000000003</v>
      </c>
      <c r="AB3555">
        <v>55</v>
      </c>
      <c r="AC3555">
        <v>18.913799999999998</v>
      </c>
      <c r="AD3555">
        <v>-1.11249680881809</v>
      </c>
      <c r="AE3555">
        <v>-1.55249999999998</v>
      </c>
      <c r="AF3555">
        <v>2.1681979964716298</v>
      </c>
      <c r="AG3555">
        <v>-1.11249680881809</v>
      </c>
      <c r="AH3555">
        <v>18.787719589716399</v>
      </c>
      <c r="AI3555">
        <v>93.366465895276406</v>
      </c>
      <c r="AJ3555">
        <v>83.416899077134303</v>
      </c>
      <c r="AK3555">
        <v>18.945108579349601</v>
      </c>
      <c r="AL3555">
        <v>81.606991883539393</v>
      </c>
      <c r="AM3555">
        <v>85.582946335366103</v>
      </c>
      <c r="AN3555">
        <v>0.99999996438512495</v>
      </c>
    </row>
    <row r="3556" spans="1:40" x14ac:dyDescent="0.25">
      <c r="A3556" t="str">
        <f>"20190312173001063"</f>
        <v>20190312173001063</v>
      </c>
      <c r="B3556" t="str">
        <f>"1552383001050734"</f>
        <v>1552383001050734</v>
      </c>
      <c r="C3556" t="s">
        <v>40</v>
      </c>
      <c r="D3556">
        <v>3.50231</v>
      </c>
      <c r="E3556">
        <v>0.5157157</v>
      </c>
      <c r="F3556" t="s">
        <v>47</v>
      </c>
      <c r="G3556">
        <v>-232.30269999999999</v>
      </c>
      <c r="H3556" s="1">
        <v>-2.1354239999999999E-7</v>
      </c>
      <c r="I3556">
        <v>212.37780000000001</v>
      </c>
      <c r="J3556">
        <v>-251.43270000000001</v>
      </c>
      <c r="K3556">
        <v>1.1125309999999999</v>
      </c>
      <c r="L3556">
        <v>213.94880000000001</v>
      </c>
      <c r="M3556">
        <v>0.99910900000000002</v>
      </c>
      <c r="N3556">
        <v>0</v>
      </c>
      <c r="O3556">
        <v>3.4327749999999997E-2</v>
      </c>
      <c r="P3556">
        <v>0.99164090000000005</v>
      </c>
      <c r="Q3556">
        <v>0.12122529999999999</v>
      </c>
      <c r="R3556">
        <v>-4.4190109999999998E-2</v>
      </c>
      <c r="S3556">
        <v>3.035873</v>
      </c>
      <c r="T3556">
        <v>-0.17166589999999901</v>
      </c>
      <c r="U3556">
        <v>-0.23945620000000001</v>
      </c>
      <c r="V3556">
        <v>7.7454750000000003E-2</v>
      </c>
      <c r="W3556">
        <v>0.14589199999999999</v>
      </c>
      <c r="X3556">
        <v>0.98626380000000002</v>
      </c>
      <c r="Y3556">
        <v>0.1125833</v>
      </c>
      <c r="Z3556">
        <v>-5.1130910000000002E-3</v>
      </c>
      <c r="AA3556">
        <v>0.99362919999999999</v>
      </c>
      <c r="AB3556">
        <v>55</v>
      </c>
      <c r="AC3556">
        <v>19.13</v>
      </c>
      <c r="AD3556">
        <v>-1.1125312135423999</v>
      </c>
      <c r="AE3556">
        <v>-1.57099999999999</v>
      </c>
      <c r="AF3556">
        <v>2.21950497718968</v>
      </c>
      <c r="AG3556">
        <v>-1.1125312135423999</v>
      </c>
      <c r="AH3556">
        <v>19.000939609667199</v>
      </c>
      <c r="AI3556">
        <v>93.328342416752093</v>
      </c>
      <c r="AJ3556">
        <v>83.337457438732301</v>
      </c>
      <c r="AK3556">
        <v>19.162453759763999</v>
      </c>
      <c r="AL3556">
        <v>81.611063649664302</v>
      </c>
      <c r="AM3556">
        <v>85.509578232455794</v>
      </c>
      <c r="AN3556">
        <v>0.99999999857600097</v>
      </c>
    </row>
    <row r="3557" spans="1:40" x14ac:dyDescent="0.25">
      <c r="A3557" t="str">
        <f>"20190312173001084"</f>
        <v>20190312173001084</v>
      </c>
      <c r="B3557" t="str">
        <f>"1552383001071230"</f>
        <v>1552383001071230</v>
      </c>
      <c r="C3557" t="s">
        <v>40</v>
      </c>
      <c r="D3557">
        <v>3.4508200000000002</v>
      </c>
      <c r="E3557">
        <v>0.52226279999999903</v>
      </c>
      <c r="F3557" t="s">
        <v>47</v>
      </c>
      <c r="G3557">
        <v>-231.9299</v>
      </c>
      <c r="H3557" s="1">
        <v>-4.1314759999999999E-7</v>
      </c>
      <c r="I3557">
        <v>212.40479999999999</v>
      </c>
      <c r="J3557">
        <v>-250.91130000000001</v>
      </c>
      <c r="K3557">
        <v>1.1125620000000001</v>
      </c>
      <c r="L3557">
        <v>213.96799999999999</v>
      </c>
      <c r="M3557">
        <v>0.99905350000000004</v>
      </c>
      <c r="N3557">
        <v>0</v>
      </c>
      <c r="O3557">
        <v>3.5607180000000002E-2</v>
      </c>
      <c r="P3557">
        <v>0.99176339999999996</v>
      </c>
      <c r="Q3557">
        <v>0.1204924</v>
      </c>
      <c r="R3557">
        <v>-4.3443469999999998E-2</v>
      </c>
      <c r="S3557">
        <v>3.035736</v>
      </c>
      <c r="T3557">
        <v>-0.17317189999999999</v>
      </c>
      <c r="U3557">
        <v>-0.2403412</v>
      </c>
      <c r="V3557">
        <v>7.7989920000000004E-2</v>
      </c>
      <c r="W3557">
        <v>0.145587299999999</v>
      </c>
      <c r="X3557">
        <v>0.98626670000000005</v>
      </c>
      <c r="Y3557">
        <v>0.1141387</v>
      </c>
      <c r="Z3557">
        <v>-5.27518E-3</v>
      </c>
      <c r="AA3557">
        <v>0.99345079999999997</v>
      </c>
      <c r="AB3557">
        <v>55</v>
      </c>
      <c r="AC3557">
        <v>18.981400000000001</v>
      </c>
      <c r="AD3557">
        <v>-1.1125624131476</v>
      </c>
      <c r="AE3557">
        <v>-1.5631999999999899</v>
      </c>
      <c r="AF3557">
        <v>2.2306813537005601</v>
      </c>
      <c r="AG3557">
        <v>-1.1125624131476</v>
      </c>
      <c r="AH3557">
        <v>18.849356082024698</v>
      </c>
      <c r="AI3557">
        <v>93.354546577849803</v>
      </c>
      <c r="AJ3557">
        <v>83.250860204679995</v>
      </c>
      <c r="AK3557">
        <v>19.013467835507001</v>
      </c>
      <c r="AL3557">
        <v>81.628710489531898</v>
      </c>
      <c r="AM3557">
        <v>85.478693314822394</v>
      </c>
      <c r="AN3557">
        <v>1.00000004653589</v>
      </c>
    </row>
    <row r="3558" spans="1:40" x14ac:dyDescent="0.25">
      <c r="A3558" t="str">
        <f>"20190312173001107"</f>
        <v>20190312173001107</v>
      </c>
      <c r="B3558" t="str">
        <f>"1552383001101486"</f>
        <v>1552383001101486</v>
      </c>
      <c r="C3558" t="s">
        <v>40</v>
      </c>
      <c r="D3558">
        <v>3.4525169999999998</v>
      </c>
      <c r="E3558">
        <v>0.52257399999999998</v>
      </c>
      <c r="F3558" t="s">
        <v>47</v>
      </c>
      <c r="G3558">
        <v>-230.32560000000001</v>
      </c>
      <c r="H3558" s="1">
        <v>-1.2486959999999999E-6</v>
      </c>
      <c r="I3558">
        <v>211.98990000000001</v>
      </c>
      <c r="J3558">
        <v>-250.35669999999999</v>
      </c>
      <c r="K3558">
        <v>1.1125959999999999</v>
      </c>
      <c r="L3558">
        <v>213.98920000000001</v>
      </c>
      <c r="M3558">
        <v>0.99899320000000003</v>
      </c>
      <c r="N3558">
        <v>0</v>
      </c>
      <c r="O3558">
        <v>3.6959699999999998E-2</v>
      </c>
      <c r="P3558">
        <v>0.99189380000000005</v>
      </c>
      <c r="Q3558">
        <v>0.1198108</v>
      </c>
      <c r="R3558">
        <v>-4.2332839999999997E-2</v>
      </c>
      <c r="S3558">
        <v>3.0320740000000002</v>
      </c>
      <c r="T3558">
        <v>-0.16387019999999999</v>
      </c>
      <c r="U3558">
        <v>-0.29135129999999998</v>
      </c>
      <c r="V3558">
        <v>7.8235120000000005E-2</v>
      </c>
      <c r="W3558">
        <v>0.1453401</v>
      </c>
      <c r="X3558">
        <v>0.98628369999999999</v>
      </c>
      <c r="Y3558">
        <v>0.13214119999999999</v>
      </c>
      <c r="Z3558">
        <v>-5.552703E-3</v>
      </c>
      <c r="AA3558">
        <v>0.99121530000000002</v>
      </c>
      <c r="AB3558">
        <v>54</v>
      </c>
      <c r="AC3558">
        <v>20.031099999999899</v>
      </c>
      <c r="AD3558">
        <v>-1.1125972486960001</v>
      </c>
      <c r="AE3558">
        <v>-1.9993000000000001</v>
      </c>
      <c r="AF3558">
        <v>2.73017628090507</v>
      </c>
      <c r="AG3558">
        <v>-1.1125972486960001</v>
      </c>
      <c r="AH3558">
        <v>19.882752769003599</v>
      </c>
      <c r="AI3558">
        <v>93.1730986502414</v>
      </c>
      <c r="AJ3558">
        <v>82.181394428024603</v>
      </c>
      <c r="AK3558">
        <v>20.100139124790701</v>
      </c>
      <c r="AL3558">
        <v>81.643025947938099</v>
      </c>
      <c r="AM3558">
        <v>85.464615408469996</v>
      </c>
      <c r="AN3558">
        <v>1.0000000077775499</v>
      </c>
    </row>
    <row r="3559" spans="1:40" x14ac:dyDescent="0.25">
      <c r="A3559" t="str">
        <f>"20190312173001128"</f>
        <v>20190312173001128</v>
      </c>
      <c r="B3559" t="str">
        <f>"1552383001121011"</f>
        <v>1552383001121011</v>
      </c>
      <c r="C3559" t="s">
        <v>40</v>
      </c>
      <c r="D3559">
        <v>3.4692150000000002</v>
      </c>
      <c r="E3559">
        <v>0.52305329999999906</v>
      </c>
      <c r="F3559" t="s">
        <v>47</v>
      </c>
      <c r="G3559">
        <v>-230.00620000000001</v>
      </c>
      <c r="H3559" s="1">
        <v>-1.420699E-6</v>
      </c>
      <c r="I3559">
        <v>212.03630000000001</v>
      </c>
      <c r="J3559">
        <v>-249.83779999999999</v>
      </c>
      <c r="K3559">
        <v>1.112617</v>
      </c>
      <c r="L3559">
        <v>214.00970000000001</v>
      </c>
      <c r="M3559">
        <v>0.99893540000000003</v>
      </c>
      <c r="N3559">
        <v>0</v>
      </c>
      <c r="O3559">
        <v>3.822482E-2</v>
      </c>
      <c r="P3559">
        <v>0.99186739999999995</v>
      </c>
      <c r="Q3559">
        <v>0.1200328</v>
      </c>
      <c r="R3559">
        <v>-4.2325950000000001E-2</v>
      </c>
      <c r="S3559">
        <v>3.0321039999999999</v>
      </c>
      <c r="T3559">
        <v>-0.1657708</v>
      </c>
      <c r="U3559">
        <v>-0.2909698</v>
      </c>
      <c r="V3559">
        <v>7.9486929999999997E-2</v>
      </c>
      <c r="W3559">
        <v>0.145954799999999</v>
      </c>
      <c r="X3559">
        <v>0.98609279999999999</v>
      </c>
      <c r="Y3559">
        <v>0.1332631</v>
      </c>
      <c r="Z3559">
        <v>-5.7165840000000002E-3</v>
      </c>
      <c r="AA3559">
        <v>0.99106419999999995</v>
      </c>
      <c r="AB3559">
        <v>54</v>
      </c>
      <c r="AC3559">
        <v>19.831599999999899</v>
      </c>
      <c r="AD3559">
        <v>-1.112618420699</v>
      </c>
      <c r="AE3559">
        <v>-1.9733999999999901</v>
      </c>
      <c r="AF3559">
        <v>2.7217860136176499</v>
      </c>
      <c r="AG3559">
        <v>-1.112618420699</v>
      </c>
      <c r="AH3559">
        <v>19.6803006671941</v>
      </c>
      <c r="AI3559">
        <v>93.205306948670994</v>
      </c>
      <c r="AJ3559">
        <v>82.125941018029394</v>
      </c>
      <c r="AK3559">
        <v>19.898750543819698</v>
      </c>
      <c r="AL3559">
        <v>81.607426495143002</v>
      </c>
      <c r="AM3559">
        <v>85.391468332829902</v>
      </c>
      <c r="AN3559">
        <v>0.99999999294785202</v>
      </c>
    </row>
    <row r="3560" spans="1:40" x14ac:dyDescent="0.25">
      <c r="A3560" t="str">
        <f>"20190312173001151"</f>
        <v>20190312173001151</v>
      </c>
      <c r="B3560" t="str">
        <f>"1552383001141508"</f>
        <v>1552383001141508</v>
      </c>
      <c r="C3560" t="s">
        <v>40</v>
      </c>
      <c r="D3560">
        <v>3.4704429999999999</v>
      </c>
      <c r="E3560">
        <v>0.52323140000000001</v>
      </c>
      <c r="F3560" t="s">
        <v>47</v>
      </c>
      <c r="G3560">
        <v>-229.637</v>
      </c>
      <c r="H3560" s="1">
        <v>3.7036020000000001E-6</v>
      </c>
      <c r="I3560">
        <v>212.05260000000001</v>
      </c>
      <c r="J3560">
        <v>-249.3022</v>
      </c>
      <c r="K3560">
        <v>1.112625</v>
      </c>
      <c r="L3560">
        <v>214.0316</v>
      </c>
      <c r="M3560">
        <v>0.99887389999999998</v>
      </c>
      <c r="N3560">
        <v>0</v>
      </c>
      <c r="O3560">
        <v>3.9537299999999997E-2</v>
      </c>
      <c r="P3560">
        <v>0.99198459999999999</v>
      </c>
      <c r="Q3560">
        <v>0.1193036</v>
      </c>
      <c r="R3560">
        <v>-4.163273E-2</v>
      </c>
      <c r="S3560">
        <v>3.0322879999999999</v>
      </c>
      <c r="T3560">
        <v>-0.167011299999999</v>
      </c>
      <c r="U3560">
        <v>-0.29377750000000002</v>
      </c>
      <c r="V3560">
        <v>8.0111950000000001E-2</v>
      </c>
      <c r="W3560">
        <v>0.1456151</v>
      </c>
      <c r="X3560">
        <v>0.98609239999999998</v>
      </c>
      <c r="Y3560">
        <v>0.13545969999999999</v>
      </c>
      <c r="Z3560">
        <v>-5.8911519999999898E-3</v>
      </c>
      <c r="AA3560">
        <v>0.99076529999999996</v>
      </c>
      <c r="AB3560">
        <v>54</v>
      </c>
      <c r="AC3560">
        <v>19.665199999999999</v>
      </c>
      <c r="AD3560">
        <v>-1.112621296398</v>
      </c>
      <c r="AE3560">
        <v>-1.9789999999999801</v>
      </c>
      <c r="AF3560">
        <v>2.74652422662037</v>
      </c>
      <c r="AG3560">
        <v>-1.112621296398</v>
      </c>
      <c r="AH3560">
        <v>19.509715626756499</v>
      </c>
      <c r="AI3560">
        <v>93.232188197488199</v>
      </c>
      <c r="AJ3560">
        <v>81.986716877330693</v>
      </c>
      <c r="AK3560">
        <v>19.7334823412777</v>
      </c>
      <c r="AL3560">
        <v>81.627099709452295</v>
      </c>
      <c r="AM3560">
        <v>85.355386675909301</v>
      </c>
      <c r="AN3560">
        <v>0.99999995160928501</v>
      </c>
    </row>
    <row r="3561" spans="1:40" x14ac:dyDescent="0.25">
      <c r="A3561" t="str">
        <f>"20190312173001173"</f>
        <v>20190312173001173</v>
      </c>
      <c r="B3561" t="str">
        <f>"1552383001161023"</f>
        <v>1552383001161023</v>
      </c>
      <c r="C3561" t="s">
        <v>40</v>
      </c>
      <c r="D3561">
        <v>3.4669430000000001</v>
      </c>
      <c r="E3561">
        <v>0.52349420000000002</v>
      </c>
      <c r="F3561" t="s">
        <v>47</v>
      </c>
      <c r="G3561">
        <v>-229.5592</v>
      </c>
      <c r="H3561" s="1">
        <v>3.6588259999999999E-6</v>
      </c>
      <c r="I3561">
        <v>212.12960000000001</v>
      </c>
      <c r="J3561">
        <v>-248.77520000000001</v>
      </c>
      <c r="K3561">
        <v>1.112638</v>
      </c>
      <c r="L3561">
        <v>214.0539</v>
      </c>
      <c r="M3561">
        <v>0.99881189999999997</v>
      </c>
      <c r="N3561">
        <v>0</v>
      </c>
      <c r="O3561">
        <v>4.0836610000000002E-2</v>
      </c>
      <c r="P3561">
        <v>0.99211689999999997</v>
      </c>
      <c r="Q3561">
        <v>0.1184085</v>
      </c>
      <c r="R3561">
        <v>-4.1037190000000001E-2</v>
      </c>
      <c r="S3561">
        <v>3.0325470000000001</v>
      </c>
      <c r="T3561">
        <v>-0.17089939999999901</v>
      </c>
      <c r="U3561">
        <v>-0.29215999999999998</v>
      </c>
      <c r="V3561">
        <v>8.0823530000000005E-2</v>
      </c>
      <c r="W3561">
        <v>0.145085299999999</v>
      </c>
      <c r="X3561">
        <v>0.98611249999999995</v>
      </c>
      <c r="Y3561">
        <v>0.13620160000000001</v>
      </c>
      <c r="Z3561">
        <v>-6.1216339999999999E-3</v>
      </c>
      <c r="AA3561">
        <v>0.99066220000000005</v>
      </c>
      <c r="AB3561">
        <v>54</v>
      </c>
      <c r="AC3561">
        <v>19.216000000000001</v>
      </c>
      <c r="AD3561">
        <v>-1.1126343411740001</v>
      </c>
      <c r="AE3561">
        <v>-1.9242999999999799</v>
      </c>
      <c r="AF3561">
        <v>2.6987297177399001</v>
      </c>
      <c r="AG3561">
        <v>-1.1126343411740001</v>
      </c>
      <c r="AH3561">
        <v>19.058090332418999</v>
      </c>
      <c r="AI3561">
        <v>93.308274365400194</v>
      </c>
      <c r="AJ3561">
        <v>81.940191545889803</v>
      </c>
      <c r="AK3561">
        <v>19.280350214278201</v>
      </c>
      <c r="AL3561">
        <v>81.657781456971193</v>
      </c>
      <c r="AM3561">
        <v>85.314409711273001</v>
      </c>
      <c r="AN3561">
        <v>1.000000024967</v>
      </c>
    </row>
    <row r="3562" spans="1:40" x14ac:dyDescent="0.25">
      <c r="A3562" t="str">
        <f>"20190312173001190"</f>
        <v>20190312173001190</v>
      </c>
      <c r="B3562" t="str">
        <f>"1552383001181519"</f>
        <v>1552383001181519</v>
      </c>
      <c r="C3562" t="s">
        <v>40</v>
      </c>
      <c r="D3562">
        <v>3.4343900000000001</v>
      </c>
      <c r="E3562">
        <v>0.5238022</v>
      </c>
      <c r="F3562" t="s">
        <v>47</v>
      </c>
      <c r="G3562">
        <v>-229.43340000000001</v>
      </c>
      <c r="H3562" s="1">
        <v>3.5892989999999999E-6</v>
      </c>
      <c r="I3562">
        <v>212.18899999999999</v>
      </c>
      <c r="J3562">
        <v>-248.3683</v>
      </c>
      <c r="K3562">
        <v>1.11264599999999</v>
      </c>
      <c r="L3562">
        <v>214.07159999999999</v>
      </c>
      <c r="M3562">
        <v>0.9987625</v>
      </c>
      <c r="N3562">
        <v>0</v>
      </c>
      <c r="O3562">
        <v>4.1845649999999998E-2</v>
      </c>
      <c r="P3562">
        <v>0.99224970000000001</v>
      </c>
      <c r="Q3562">
        <v>0.1175225</v>
      </c>
      <c r="R3562">
        <v>-4.0359939999999997E-2</v>
      </c>
      <c r="S3562">
        <v>3.032578</v>
      </c>
      <c r="T3562">
        <v>-0.1744483</v>
      </c>
      <c r="U3562">
        <v>-0.29238890000000001</v>
      </c>
      <c r="V3562">
        <v>8.1164550000000002E-2</v>
      </c>
      <c r="W3562">
        <v>0.1444733</v>
      </c>
      <c r="X3562">
        <v>0.98617429999999995</v>
      </c>
      <c r="Y3562">
        <v>0.13726070000000001</v>
      </c>
      <c r="Z3562">
        <v>-6.3367509999999998E-3</v>
      </c>
      <c r="AA3562">
        <v>0.99051469999999997</v>
      </c>
      <c r="AB3562">
        <v>53</v>
      </c>
      <c r="AC3562">
        <v>18.934899999999999</v>
      </c>
      <c r="AD3562">
        <v>-1.11264241070099</v>
      </c>
      <c r="AE3562">
        <v>-1.8825999999999601</v>
      </c>
      <c r="AF3562">
        <v>2.6644692508532701</v>
      </c>
      <c r="AG3562">
        <v>-1.11264241070099</v>
      </c>
      <c r="AH3562">
        <v>18.775300763798001</v>
      </c>
      <c r="AI3562">
        <v>93.357870574039794</v>
      </c>
      <c r="AJ3562">
        <v>81.9228882370561</v>
      </c>
      <c r="AK3562">
        <v>18.996033488439199</v>
      </c>
      <c r="AL3562">
        <v>81.693219513306303</v>
      </c>
      <c r="AM3562">
        <v>85.295021846865595</v>
      </c>
      <c r="AN3562">
        <v>0.999999984285041</v>
      </c>
    </row>
    <row r="3563" spans="1:40" x14ac:dyDescent="0.25">
      <c r="A3563" t="str">
        <f>"20190312173001204"</f>
        <v>20190312173001204</v>
      </c>
      <c r="B3563" t="str">
        <f>"1552383001201039"</f>
        <v>1552383001201039</v>
      </c>
      <c r="C3563" t="s">
        <v>40</v>
      </c>
      <c r="D3563">
        <v>3.5248539999999999</v>
      </c>
      <c r="E3563">
        <v>0.52233629999999998</v>
      </c>
      <c r="F3563" t="s">
        <v>47</v>
      </c>
      <c r="G3563">
        <v>-229.30090000000001</v>
      </c>
      <c r="H3563" s="1">
        <v>3.5170060000000001E-6</v>
      </c>
      <c r="I3563">
        <v>212.22970000000001</v>
      </c>
      <c r="J3563">
        <v>-248.04920000000001</v>
      </c>
      <c r="K3563">
        <v>1.1126549999999999</v>
      </c>
      <c r="L3563">
        <v>214.0857</v>
      </c>
      <c r="M3563">
        <v>0.99872320000000003</v>
      </c>
      <c r="N3563">
        <v>0</v>
      </c>
      <c r="O3563">
        <v>4.2639589999999998E-2</v>
      </c>
      <c r="P3563">
        <v>0.99230770000000001</v>
      </c>
      <c r="Q3563">
        <v>0.11710660000000001</v>
      </c>
      <c r="R3563">
        <v>-4.0147849999999999E-2</v>
      </c>
      <c r="S3563">
        <v>3.0324710000000001</v>
      </c>
      <c r="T3563">
        <v>-0.176953799999999</v>
      </c>
      <c r="U3563">
        <v>-0.29293819999999998</v>
      </c>
      <c r="V3563">
        <v>8.1750139999999999E-2</v>
      </c>
      <c r="W3563">
        <v>0.1442696</v>
      </c>
      <c r="X3563">
        <v>0.98615569999999997</v>
      </c>
      <c r="Y3563">
        <v>0.13821789999999901</v>
      </c>
      <c r="Z3563">
        <v>-6.5018530000000001E-3</v>
      </c>
      <c r="AA3563">
        <v>0.9903805</v>
      </c>
      <c r="AB3563">
        <v>53</v>
      </c>
      <c r="AC3563">
        <v>18.7483</v>
      </c>
      <c r="AD3563">
        <v>-1.112651482994</v>
      </c>
      <c r="AE3563">
        <v>-1.8559999999999901</v>
      </c>
      <c r="AF3563">
        <v>2.6447993802863401</v>
      </c>
      <c r="AG3563">
        <v>-1.112651482994</v>
      </c>
      <c r="AH3563">
        <v>18.587238427110499</v>
      </c>
      <c r="AI3563">
        <v>93.3916155983121</v>
      </c>
      <c r="AJ3563">
        <v>81.901681038658296</v>
      </c>
      <c r="AK3563">
        <v>18.807402516850299</v>
      </c>
      <c r="AL3563">
        <v>81.705013808325504</v>
      </c>
      <c r="AM3563">
        <v>85.261141208635493</v>
      </c>
      <c r="AN3563">
        <v>0.99999993375833196</v>
      </c>
    </row>
    <row r="3564" spans="1:40" x14ac:dyDescent="0.25">
      <c r="A3564" t="str">
        <f>"20190312173001217"</f>
        <v>20190312173001217</v>
      </c>
      <c r="B3564" t="str">
        <f>"1552383001210799"</f>
        <v>1552383001210799</v>
      </c>
      <c r="C3564" t="s">
        <v>40</v>
      </c>
      <c r="D3564">
        <v>3.5139</v>
      </c>
      <c r="E3564">
        <v>0.52233629999999998</v>
      </c>
      <c r="F3564" t="s">
        <v>47</v>
      </c>
      <c r="G3564">
        <v>-229.07560000000001</v>
      </c>
      <c r="H3564" s="1">
        <v>3.392701E-6</v>
      </c>
      <c r="I3564">
        <v>212.3305</v>
      </c>
      <c r="J3564">
        <v>-247.7242</v>
      </c>
      <c r="K3564">
        <v>1.112663</v>
      </c>
      <c r="L3564">
        <v>214.10040000000001</v>
      </c>
      <c r="M3564">
        <v>0.99868230000000002</v>
      </c>
      <c r="N3564">
        <v>0</v>
      </c>
      <c r="O3564">
        <v>4.3451579999999997E-2</v>
      </c>
      <c r="P3564">
        <v>0.99230209999999996</v>
      </c>
      <c r="Q3564">
        <v>0.1169829</v>
      </c>
      <c r="R3564">
        <v>-4.0645420000000002E-2</v>
      </c>
      <c r="S3564">
        <v>3.0329130000000002</v>
      </c>
      <c r="T3564">
        <v>-0.17785619999999999</v>
      </c>
      <c r="U3564">
        <v>-0.28056340000000002</v>
      </c>
      <c r="V3564">
        <v>8.305825E-2</v>
      </c>
      <c r="W3564">
        <v>0.14436160000000001</v>
      </c>
      <c r="X3564">
        <v>0.98603300000000005</v>
      </c>
      <c r="Y3564">
        <v>0.1350046</v>
      </c>
      <c r="Z3564">
        <v>-6.488784E-3</v>
      </c>
      <c r="AA3564">
        <v>0.99082369999999997</v>
      </c>
      <c r="AB3564">
        <v>53</v>
      </c>
      <c r="AC3564">
        <v>18.648599999999899</v>
      </c>
      <c r="AD3564">
        <v>-1.112659607299</v>
      </c>
      <c r="AE3564">
        <v>-1.7699</v>
      </c>
      <c r="AF3564">
        <v>2.5697741839886801</v>
      </c>
      <c r="AG3564">
        <v>-1.112659607299</v>
      </c>
      <c r="AH3564">
        <v>18.488810341153702</v>
      </c>
      <c r="AI3564">
        <v>93.411202381132895</v>
      </c>
      <c r="AJ3564">
        <v>82.087109888372197</v>
      </c>
      <c r="AK3564">
        <v>18.699675360539398</v>
      </c>
      <c r="AL3564">
        <v>81.699687475641099</v>
      </c>
      <c r="AM3564">
        <v>85.185070577539804</v>
      </c>
      <c r="AN3564">
        <v>1.00000001076831</v>
      </c>
    </row>
    <row r="3565" spans="1:40" x14ac:dyDescent="0.25">
      <c r="A3565" t="str">
        <f>"20190312173001238"</f>
        <v>20190312173001238</v>
      </c>
      <c r="B3565" t="str">
        <f>"1552383001231296"</f>
        <v>1552383001231296</v>
      </c>
      <c r="C3565" t="s">
        <v>40</v>
      </c>
      <c r="D3565">
        <v>3.4355090000000001</v>
      </c>
      <c r="E3565">
        <v>0.49916650000000001</v>
      </c>
      <c r="F3565" t="s">
        <v>47</v>
      </c>
      <c r="G3565">
        <v>-228.8021</v>
      </c>
      <c r="H3565" s="1">
        <v>3.2466649999999999E-6</v>
      </c>
      <c r="I3565">
        <v>212.3424</v>
      </c>
      <c r="J3565">
        <v>-247.2714</v>
      </c>
      <c r="K3565">
        <v>1.1126799999999999</v>
      </c>
      <c r="L3565">
        <v>214.12129999999999</v>
      </c>
      <c r="M3565">
        <v>0.99862379999999995</v>
      </c>
      <c r="N3565">
        <v>0</v>
      </c>
      <c r="O3565">
        <v>4.4584699999999998E-2</v>
      </c>
      <c r="P3565">
        <v>0.99228349999999998</v>
      </c>
      <c r="Q3565">
        <v>0.11718969999999999</v>
      </c>
      <c r="R3565">
        <v>-4.05026E-2</v>
      </c>
      <c r="S3565">
        <v>3.032791</v>
      </c>
      <c r="T3565">
        <v>-0.17833479999999999</v>
      </c>
      <c r="U3565">
        <v>-0.28176879999999999</v>
      </c>
      <c r="V3565">
        <v>8.404499E-2</v>
      </c>
      <c r="W3565">
        <v>0.14486879999999999</v>
      </c>
      <c r="X3565">
        <v>0.98587499999999995</v>
      </c>
      <c r="Y3565">
        <v>0.1365169</v>
      </c>
      <c r="Z3565">
        <v>-6.6171909999999997E-3</v>
      </c>
      <c r="AA3565">
        <v>0.99061560000000004</v>
      </c>
      <c r="AB3565">
        <v>53</v>
      </c>
      <c r="AC3565">
        <v>18.4693</v>
      </c>
      <c r="AD3565">
        <v>-1.1126767533349999</v>
      </c>
      <c r="AE3565">
        <v>-1.7788999999999899</v>
      </c>
      <c r="AF3565">
        <v>2.5915726819827598</v>
      </c>
      <c r="AG3565">
        <v>-1.1126767533349999</v>
      </c>
      <c r="AH3565">
        <v>18.305749702325599</v>
      </c>
      <c r="AI3565">
        <v>93.444066135434895</v>
      </c>
      <c r="AJ3565">
        <v>81.942098544397993</v>
      </c>
      <c r="AK3565">
        <v>18.521737788004799</v>
      </c>
      <c r="AL3565">
        <v>81.670318426078794</v>
      </c>
      <c r="AM3565">
        <v>85.127365443675501</v>
      </c>
      <c r="AN3565">
        <v>1.00000002259126</v>
      </c>
    </row>
    <row r="3566" spans="1:40" x14ac:dyDescent="0.25">
      <c r="A3566" t="str">
        <f>"20190312173001253"</f>
        <v>20190312173001253</v>
      </c>
      <c r="B3566" t="str">
        <f>"1552383001241562"</f>
        <v>1552383001241562</v>
      </c>
      <c r="C3566" t="s">
        <v>40</v>
      </c>
      <c r="D3566">
        <v>3.4669650000000001</v>
      </c>
      <c r="E3566">
        <v>0.49925039999999998</v>
      </c>
      <c r="F3566" t="s">
        <v>47</v>
      </c>
      <c r="G3566">
        <v>-226.12020000000001</v>
      </c>
      <c r="H3566" s="1">
        <v>1.7712230000000001E-6</v>
      </c>
      <c r="I3566">
        <v>213.44649999999999</v>
      </c>
      <c r="J3566">
        <v>-246.9144</v>
      </c>
      <c r="K3566">
        <v>1.1127020000000001</v>
      </c>
      <c r="L3566">
        <v>214.13810000000001</v>
      </c>
      <c r="M3566">
        <v>0.99857660000000004</v>
      </c>
      <c r="N3566">
        <v>0</v>
      </c>
      <c r="O3566">
        <v>4.5480090000000001E-2</v>
      </c>
      <c r="P3566">
        <v>0.99219869999999999</v>
      </c>
      <c r="Q3566">
        <v>0.117704</v>
      </c>
      <c r="R3566">
        <v>-4.1081529999999998E-2</v>
      </c>
      <c r="S3566">
        <v>3.0382389999999999</v>
      </c>
      <c r="T3566">
        <v>-0.15982939999999901</v>
      </c>
      <c r="U3566">
        <v>-9.6923830000000002E-2</v>
      </c>
      <c r="V3566">
        <v>8.5510660000000002E-2</v>
      </c>
      <c r="W3566">
        <v>0.14562310000000001</v>
      </c>
      <c r="X3566">
        <v>0.98563780000000001</v>
      </c>
      <c r="Y3566">
        <v>7.715727E-2</v>
      </c>
      <c r="Z3566">
        <v>-4.4185539999999999E-3</v>
      </c>
      <c r="AA3566">
        <v>0.99700920000000004</v>
      </c>
      <c r="AB3566">
        <v>52</v>
      </c>
      <c r="AC3566">
        <v>20.794199999999901</v>
      </c>
      <c r="AD3566">
        <v>-1.112700228777</v>
      </c>
      <c r="AE3566">
        <v>-0.69160000000002197</v>
      </c>
      <c r="AF3566">
        <v>1.6323045397459801</v>
      </c>
      <c r="AG3566">
        <v>-1.112700228777</v>
      </c>
      <c r="AH3566">
        <v>20.682045973871301</v>
      </c>
      <c r="AI3566">
        <v>93.070032684561795</v>
      </c>
      <c r="AJ3566">
        <v>85.487356635562705</v>
      </c>
      <c r="AK3566">
        <v>20.776177357129999</v>
      </c>
      <c r="AL3566">
        <v>81.626636952025606</v>
      </c>
      <c r="AM3566">
        <v>85.041623811832807</v>
      </c>
      <c r="AN3566">
        <v>1.00000001650804</v>
      </c>
    </row>
    <row r="3567" spans="1:40" x14ac:dyDescent="0.25">
      <c r="A3567" t="str">
        <f>"20190312173001274"</f>
        <v>20190312173001274</v>
      </c>
      <c r="B3567" t="str">
        <f>"1552383001270842"</f>
        <v>1552383001270842</v>
      </c>
      <c r="C3567" t="s">
        <v>40</v>
      </c>
      <c r="D3567">
        <v>3.4417140000000002</v>
      </c>
      <c r="E3567">
        <v>0.49988759999999999</v>
      </c>
      <c r="F3567" t="s">
        <v>47</v>
      </c>
      <c r="G3567">
        <v>-225.82419999999999</v>
      </c>
      <c r="H3567" s="1">
        <v>1.6134760000000001E-6</v>
      </c>
      <c r="I3567">
        <v>213.45169999999999</v>
      </c>
      <c r="J3567">
        <v>-246.4153</v>
      </c>
      <c r="K3567">
        <v>1.112733</v>
      </c>
      <c r="L3567">
        <v>214.16220000000001</v>
      </c>
      <c r="M3567">
        <v>0.99850890000000003</v>
      </c>
      <c r="N3567">
        <v>0</v>
      </c>
      <c r="O3567">
        <v>4.6733459999999998E-2</v>
      </c>
      <c r="P3567">
        <v>0.99215730000000002</v>
      </c>
      <c r="Q3567">
        <v>0.1179414</v>
      </c>
      <c r="R3567">
        <v>-4.1392289999999998E-2</v>
      </c>
      <c r="S3567">
        <v>3.038513</v>
      </c>
      <c r="T3567">
        <v>-0.1603097</v>
      </c>
      <c r="U3567">
        <v>-9.8892209999999994E-2</v>
      </c>
      <c r="V3567">
        <v>8.7068450000000006E-2</v>
      </c>
      <c r="W3567">
        <v>0.14619960000000001</v>
      </c>
      <c r="X3567">
        <v>0.98541610000000002</v>
      </c>
      <c r="Y3567">
        <v>7.9045969999999993E-2</v>
      </c>
      <c r="Z3567">
        <v>-4.547237E-3</v>
      </c>
      <c r="AA3567">
        <v>0.99686059999999999</v>
      </c>
      <c r="AB3567">
        <v>52</v>
      </c>
      <c r="AC3567">
        <v>20.591100000000001</v>
      </c>
      <c r="AD3567">
        <v>-1.1127313865240001</v>
      </c>
      <c r="AE3567">
        <v>-0.710500000000024</v>
      </c>
      <c r="AF3567">
        <v>1.6675357882342801</v>
      </c>
      <c r="AG3567">
        <v>-1.1127313865240001</v>
      </c>
      <c r="AH3567">
        <v>20.4756436783344</v>
      </c>
      <c r="AI3567">
        <v>93.100385978812696</v>
      </c>
      <c r="AJ3567">
        <v>85.344108696005804</v>
      </c>
      <c r="AK3567">
        <v>20.573546869359099</v>
      </c>
      <c r="AL3567">
        <v>81.593249004863793</v>
      </c>
      <c r="AM3567">
        <v>84.950627353991806</v>
      </c>
      <c r="AN3567">
        <v>1.0000000640823801</v>
      </c>
    </row>
    <row r="3568" spans="1:40" x14ac:dyDescent="0.25">
      <c r="A3568" t="str">
        <f>"20190312173001298"</f>
        <v>20190312173001298</v>
      </c>
      <c r="B3568" t="str">
        <f>"1552383001291338"</f>
        <v>1552383001291338</v>
      </c>
      <c r="C3568" t="s">
        <v>40</v>
      </c>
      <c r="D3568">
        <v>3.4849939999999999</v>
      </c>
      <c r="E3568">
        <v>0.50007900000000005</v>
      </c>
      <c r="F3568" t="s">
        <v>47</v>
      </c>
      <c r="G3568">
        <v>-225.35659999999999</v>
      </c>
      <c r="H3568" s="1">
        <v>1.365188E-6</v>
      </c>
      <c r="I3568">
        <v>213.4391</v>
      </c>
      <c r="J3568">
        <v>-245.89519999999999</v>
      </c>
      <c r="K3568">
        <v>1.1127640000000001</v>
      </c>
      <c r="L3568">
        <v>214.18799999999999</v>
      </c>
      <c r="M3568">
        <v>0.99843630000000005</v>
      </c>
      <c r="N3568">
        <v>0</v>
      </c>
      <c r="O3568">
        <v>4.8041050000000002E-2</v>
      </c>
      <c r="P3568">
        <v>0.99211329999999998</v>
      </c>
      <c r="Q3568">
        <v>0.1180976</v>
      </c>
      <c r="R3568">
        <v>-4.2003749999999999E-2</v>
      </c>
      <c r="S3568">
        <v>3.0384519999999999</v>
      </c>
      <c r="T3568">
        <v>-0.16055039999999901</v>
      </c>
      <c r="U3568">
        <v>-0.10432429999999999</v>
      </c>
      <c r="V3568">
        <v>8.8979489999999994E-2</v>
      </c>
      <c r="W3568">
        <v>0.1467204</v>
      </c>
      <c r="X3568">
        <v>0.98516789999999999</v>
      </c>
      <c r="Y3568">
        <v>8.2125779999999995E-2</v>
      </c>
      <c r="Z3568">
        <v>-4.7043709999999997E-3</v>
      </c>
      <c r="AA3568">
        <v>0.99661089999999997</v>
      </c>
      <c r="AB3568">
        <v>52</v>
      </c>
      <c r="AC3568">
        <v>20.538599999999999</v>
      </c>
      <c r="AD3568">
        <v>-1.1127626348120001</v>
      </c>
      <c r="AE3568">
        <v>-0.74889999999999102</v>
      </c>
      <c r="AF3568">
        <v>1.7300621763707</v>
      </c>
      <c r="AG3568">
        <v>-1.1127626348120001</v>
      </c>
      <c r="AH3568">
        <v>20.4190154484453</v>
      </c>
      <c r="AI3568">
        <v>93.108212853173399</v>
      </c>
      <c r="AJ3568">
        <v>85.157010556226894</v>
      </c>
      <c r="AK3568">
        <v>20.522367010152401</v>
      </c>
      <c r="AL3568">
        <v>81.563083609836198</v>
      </c>
      <c r="AM3568">
        <v>84.839099091373498</v>
      </c>
      <c r="AN3568">
        <v>1.00000000830361</v>
      </c>
    </row>
    <row r="3569" spans="1:40" x14ac:dyDescent="0.25">
      <c r="A3569" t="str">
        <f>"20190312173001319"</f>
        <v>20190312173001319</v>
      </c>
      <c r="B3569" t="str">
        <f>"1552383001310858"</f>
        <v>1552383001310858</v>
      </c>
      <c r="C3569" t="s">
        <v>40</v>
      </c>
      <c r="D3569">
        <v>3.43913</v>
      </c>
      <c r="E3569">
        <v>0.50029979999999996</v>
      </c>
      <c r="F3569" t="s">
        <v>47</v>
      </c>
      <c r="G3569">
        <v>-224.68520000000001</v>
      </c>
      <c r="H3569" s="1">
        <v>1.0080590000000001E-6</v>
      </c>
      <c r="I3569">
        <v>213.4358</v>
      </c>
      <c r="J3569">
        <v>-245.40100000000001</v>
      </c>
      <c r="K3569">
        <v>1.112798</v>
      </c>
      <c r="L3569">
        <v>214.21299999999999</v>
      </c>
      <c r="M3569">
        <v>0.99836499999999995</v>
      </c>
      <c r="N3569">
        <v>0</v>
      </c>
      <c r="O3569">
        <v>4.9286440000000001E-2</v>
      </c>
      <c r="P3569">
        <v>0.99220469999999905</v>
      </c>
      <c r="Q3569">
        <v>0.1171967</v>
      </c>
      <c r="R3569">
        <v>-4.2364699999999998E-2</v>
      </c>
      <c r="S3569">
        <v>3.038284</v>
      </c>
      <c r="T3569">
        <v>-0.15940119999999999</v>
      </c>
      <c r="U3569">
        <v>-0.1077423</v>
      </c>
      <c r="V3569">
        <v>9.0589610000000001E-2</v>
      </c>
      <c r="W3569">
        <v>0.14617929999999901</v>
      </c>
      <c r="X3569">
        <v>0.98510160000000002</v>
      </c>
      <c r="Y3569">
        <v>8.4488499999999994E-2</v>
      </c>
      <c r="Z3569">
        <v>-4.7981409999999997E-3</v>
      </c>
      <c r="AA3569">
        <v>0.99641290000000005</v>
      </c>
      <c r="AB3569">
        <v>52</v>
      </c>
      <c r="AC3569">
        <v>20.715799999999899</v>
      </c>
      <c r="AD3569">
        <v>-1.1127969919409999</v>
      </c>
      <c r="AE3569">
        <v>-0.77719999999999301</v>
      </c>
      <c r="AF3569">
        <v>1.7925257074575001</v>
      </c>
      <c r="AG3569">
        <v>-1.1127969919409999</v>
      </c>
      <c r="AH3569">
        <v>20.592942733026199</v>
      </c>
      <c r="AI3569">
        <v>93.081499014526003</v>
      </c>
      <c r="AJ3569">
        <v>85.025192005926797</v>
      </c>
      <c r="AK3569">
        <v>20.700742884323301</v>
      </c>
      <c r="AL3569">
        <v>81.594424314408101</v>
      </c>
      <c r="AM3569">
        <v>84.745876876251799</v>
      </c>
      <c r="AN3569">
        <v>1.0000000137555001</v>
      </c>
    </row>
    <row r="3570" spans="1:40" x14ac:dyDescent="0.25">
      <c r="A3570" t="str">
        <f>"20190312173001342"</f>
        <v>20190312173001342</v>
      </c>
      <c r="B3570" t="str">
        <f>"1552383001331354"</f>
        <v>1552383001331354</v>
      </c>
      <c r="C3570" t="s">
        <v>40</v>
      </c>
      <c r="D3570">
        <v>3.5094530000000002</v>
      </c>
      <c r="E3570">
        <v>0.5001042</v>
      </c>
      <c r="F3570" t="s">
        <v>47</v>
      </c>
      <c r="G3570">
        <v>-224.51820000000001</v>
      </c>
      <c r="H3570" s="1">
        <v>9.184571E-7</v>
      </c>
      <c r="I3570">
        <v>213.4521</v>
      </c>
      <c r="J3570">
        <v>-244.8802</v>
      </c>
      <c r="K3570">
        <v>1.112833</v>
      </c>
      <c r="L3570">
        <v>214.24010000000001</v>
      </c>
      <c r="M3570">
        <v>0.99828779999999995</v>
      </c>
      <c r="N3570">
        <v>0</v>
      </c>
      <c r="O3570">
        <v>5.0605030000000002E-2</v>
      </c>
      <c r="P3570">
        <v>0.99224749999999995</v>
      </c>
      <c r="Q3570">
        <v>0.1168778</v>
      </c>
      <c r="R3570">
        <v>-4.2244320000000002E-2</v>
      </c>
      <c r="S3570">
        <v>3.0379640000000001</v>
      </c>
      <c r="T3570">
        <v>-0.16188620000000001</v>
      </c>
      <c r="U3570">
        <v>-0.1107025</v>
      </c>
      <c r="V3570">
        <v>9.1786409999999999E-2</v>
      </c>
      <c r="W3570">
        <v>0.1462387</v>
      </c>
      <c r="X3570">
        <v>0.98498200000000002</v>
      </c>
      <c r="Y3570">
        <v>8.6767380000000005E-2</v>
      </c>
      <c r="Z3570">
        <v>-5.0041549999999997E-3</v>
      </c>
      <c r="AA3570">
        <v>0.99621610000000005</v>
      </c>
      <c r="AB3570">
        <v>51</v>
      </c>
      <c r="AC3570">
        <v>20.361999999999899</v>
      </c>
      <c r="AD3570">
        <v>-1.11283208154289</v>
      </c>
      <c r="AE3570">
        <v>-0.78800000000001003</v>
      </c>
      <c r="AF3570">
        <v>1.81244732203657</v>
      </c>
      <c r="AG3570">
        <v>-1.11283208154289</v>
      </c>
      <c r="AH3570">
        <v>20.2356435173105</v>
      </c>
      <c r="AI3570">
        <v>93.135208469054504</v>
      </c>
      <c r="AJ3570">
        <v>84.881842083319299</v>
      </c>
      <c r="AK3570">
        <v>20.3471037028993</v>
      </c>
      <c r="AL3570">
        <v>81.590984038893197</v>
      </c>
      <c r="AM3570">
        <v>84.676216983236003</v>
      </c>
      <c r="AN3570">
        <v>1.0000000213811799</v>
      </c>
    </row>
    <row r="3571" spans="1:40" x14ac:dyDescent="0.25">
      <c r="A3571" t="str">
        <f>"20190312173001365"</f>
        <v>20190312173001365</v>
      </c>
      <c r="B3571" t="str">
        <f>"1552383001351382"</f>
        <v>1552383001351382</v>
      </c>
      <c r="C3571" t="s">
        <v>40</v>
      </c>
      <c r="D3571">
        <v>3.4696889999999998</v>
      </c>
      <c r="E3571">
        <v>0.4999979</v>
      </c>
      <c r="F3571" t="s">
        <v>47</v>
      </c>
      <c r="G3571">
        <v>-224.12970000000001</v>
      </c>
      <c r="H3571" s="1">
        <v>7.0978580000000002E-7</v>
      </c>
      <c r="I3571">
        <v>213.4966</v>
      </c>
      <c r="J3571">
        <v>-244.39060000000001</v>
      </c>
      <c r="K3571">
        <v>1.1128709999999999</v>
      </c>
      <c r="L3571">
        <v>214.2663</v>
      </c>
      <c r="M3571">
        <v>0.99821320000000002</v>
      </c>
      <c r="N3571">
        <v>0</v>
      </c>
      <c r="O3571">
        <v>5.1850640000000003E-2</v>
      </c>
      <c r="P3571">
        <v>0.9923322</v>
      </c>
      <c r="Q3571">
        <v>0.11629249999999999</v>
      </c>
      <c r="R3571">
        <v>-4.1867639999999998E-2</v>
      </c>
      <c r="S3571">
        <v>3.037979</v>
      </c>
      <c r="T3571">
        <v>-0.16292409999999999</v>
      </c>
      <c r="U3571">
        <v>-0.1088562</v>
      </c>
      <c r="V3571">
        <v>9.2657470000000006E-2</v>
      </c>
      <c r="W3571">
        <v>0.14601140000000001</v>
      </c>
      <c r="X3571">
        <v>0.98493419999999998</v>
      </c>
      <c r="Y3571">
        <v>8.7400930000000002E-2</v>
      </c>
      <c r="Z3571">
        <v>-5.1199349999999999E-3</v>
      </c>
      <c r="AA3571">
        <v>0.99616000000000005</v>
      </c>
      <c r="AB3571">
        <v>51</v>
      </c>
      <c r="AC3571">
        <v>20.2608999999999</v>
      </c>
      <c r="AD3571">
        <v>-1.1128702902142</v>
      </c>
      <c r="AE3571">
        <v>-0.76970000000000005</v>
      </c>
      <c r="AF3571">
        <v>1.81420239394401</v>
      </c>
      <c r="AG3571">
        <v>-1.1128702902142</v>
      </c>
      <c r="AH3571">
        <v>20.133041609540001</v>
      </c>
      <c r="AI3571">
        <v>93.151109600490699</v>
      </c>
      <c r="AJ3571">
        <v>84.850944046079505</v>
      </c>
      <c r="AK3571">
        <v>20.245225981956899</v>
      </c>
      <c r="AL3571">
        <v>81.604148978112804</v>
      </c>
      <c r="AM3571">
        <v>84.625729012818695</v>
      </c>
      <c r="AN3571">
        <v>1.0000000570031899</v>
      </c>
    </row>
    <row r="3572" spans="1:40" x14ac:dyDescent="0.25">
      <c r="A3572" t="str">
        <f>"20190312173001386"</f>
        <v>20190312173001386</v>
      </c>
      <c r="B3572" t="str">
        <f>"1552383001381639"</f>
        <v>1552383001381639</v>
      </c>
      <c r="C3572" t="s">
        <v>40</v>
      </c>
      <c r="D3572">
        <v>3.5292819999999998</v>
      </c>
      <c r="E3572">
        <v>0.50011899999999998</v>
      </c>
      <c r="F3572" t="s">
        <v>47</v>
      </c>
      <c r="G3572">
        <v>-223.93860000000001</v>
      </c>
      <c r="H3572" s="1">
        <v>6.059526E-7</v>
      </c>
      <c r="I3572">
        <v>213.54570000000001</v>
      </c>
      <c r="J3572">
        <v>-243.8997</v>
      </c>
      <c r="K3572">
        <v>1.11291299999999</v>
      </c>
      <c r="L3572">
        <v>214.29320000000001</v>
      </c>
      <c r="M3572">
        <v>0.99813589999999996</v>
      </c>
      <c r="N3572">
        <v>0</v>
      </c>
      <c r="O3572">
        <v>5.3104039999999998E-2</v>
      </c>
      <c r="P3572">
        <v>0.992394</v>
      </c>
      <c r="Q3572">
        <v>0.115994</v>
      </c>
      <c r="R3572">
        <v>-4.1227680000000003E-2</v>
      </c>
      <c r="S3572">
        <v>3.0380400000000001</v>
      </c>
      <c r="T3572">
        <v>-0.16531119999999999</v>
      </c>
      <c r="U3572">
        <v>-0.10704039999999999</v>
      </c>
      <c r="V3572">
        <v>9.3271229999999997E-2</v>
      </c>
      <c r="W3572">
        <v>0.14608399999999999</v>
      </c>
      <c r="X3572">
        <v>0.9848654</v>
      </c>
      <c r="Y3572">
        <v>8.8048290000000001E-2</v>
      </c>
      <c r="Z3572">
        <v>-5.2805309999999998E-3</v>
      </c>
      <c r="AA3572">
        <v>0.99610220000000005</v>
      </c>
      <c r="AB3572">
        <v>50</v>
      </c>
      <c r="AC3572">
        <v>19.961099999999899</v>
      </c>
      <c r="AD3572">
        <v>-1.11291239404739</v>
      </c>
      <c r="AE3572">
        <v>-0.74750000000000205</v>
      </c>
      <c r="AF3572">
        <v>1.80134750444062</v>
      </c>
      <c r="AG3572">
        <v>-1.11291239404739</v>
      </c>
      <c r="AH3572">
        <v>19.8316352145861</v>
      </c>
      <c r="AI3572">
        <v>93.198816412447997</v>
      </c>
      <c r="AJ3572">
        <v>84.809950713544495</v>
      </c>
      <c r="AK3572">
        <v>19.944352135704801</v>
      </c>
      <c r="AL3572">
        <v>81.599943371304803</v>
      </c>
      <c r="AM3572">
        <v>84.589964857090806</v>
      </c>
      <c r="AN3572">
        <v>0.99999995675943498</v>
      </c>
    </row>
    <row r="3573" spans="1:40" x14ac:dyDescent="0.25">
      <c r="A3573" t="str">
        <f>"20190312173001408"</f>
        <v>20190312173001408</v>
      </c>
      <c r="B3573" t="str">
        <f>"1552383001401162"</f>
        <v>1552383001401162</v>
      </c>
      <c r="C3573" t="s">
        <v>40</v>
      </c>
      <c r="D3573">
        <v>3.4684599999999999</v>
      </c>
      <c r="E3573">
        <v>0.50016490000000002</v>
      </c>
      <c r="F3573" t="s">
        <v>47</v>
      </c>
      <c r="G3573">
        <v>-223.70949999999999</v>
      </c>
      <c r="H3573" s="1">
        <v>4.8213809999999899E-7</v>
      </c>
      <c r="I3573">
        <v>213.5889</v>
      </c>
      <c r="J3573">
        <v>-243.40880000000001</v>
      </c>
      <c r="K3573">
        <v>1.1129530000000001</v>
      </c>
      <c r="L3573">
        <v>214.32060000000001</v>
      </c>
      <c r="M3573">
        <v>0.99805630000000001</v>
      </c>
      <c r="N3573">
        <v>0</v>
      </c>
      <c r="O3573">
        <v>5.4362639999999997E-2</v>
      </c>
      <c r="P3573">
        <v>0.99248210000000003</v>
      </c>
      <c r="Q3573">
        <v>0.115351</v>
      </c>
      <c r="R3573">
        <v>-4.0909399999999999E-2</v>
      </c>
      <c r="S3573">
        <v>3.0381619999999998</v>
      </c>
      <c r="T3573">
        <v>-0.1674677</v>
      </c>
      <c r="U3573">
        <v>-0.10597230000000001</v>
      </c>
      <c r="V3573">
        <v>9.4214099999999995E-2</v>
      </c>
      <c r="W3573">
        <v>0.1458227</v>
      </c>
      <c r="X3573">
        <v>0.98481439999999998</v>
      </c>
      <c r="Y3573">
        <v>8.8945079999999996E-2</v>
      </c>
      <c r="Z3573">
        <v>-5.4431389999999996E-3</v>
      </c>
      <c r="AA3573">
        <v>0.99602170000000001</v>
      </c>
      <c r="AB3573">
        <v>50</v>
      </c>
      <c r="AC3573">
        <v>19.699300000000001</v>
      </c>
      <c r="AD3573">
        <v>-1.1129525178619</v>
      </c>
      <c r="AE3573">
        <v>-0.731700000000017</v>
      </c>
      <c r="AF3573">
        <v>1.7962946484581099</v>
      </c>
      <c r="AG3573">
        <v>-1.1129525178619</v>
      </c>
      <c r="AH3573">
        <v>19.5679738080748</v>
      </c>
      <c r="AI3573">
        <v>93.241660094690602</v>
      </c>
      <c r="AJ3573">
        <v>84.755079913921804</v>
      </c>
      <c r="AK3573">
        <v>19.681741201545002</v>
      </c>
      <c r="AL3573">
        <v>81.615077007812602</v>
      </c>
      <c r="AM3573">
        <v>84.535323442764295</v>
      </c>
      <c r="AN3573">
        <v>0.99999997946072905</v>
      </c>
    </row>
    <row r="3574" spans="1:40" x14ac:dyDescent="0.25">
      <c r="A3574" t="str">
        <f>"20190312173001426"</f>
        <v>20190312173001426</v>
      </c>
      <c r="B3574" t="str">
        <f>"1552383001420679"</f>
        <v>1552383001420679</v>
      </c>
      <c r="C3574" t="s">
        <v>40</v>
      </c>
      <c r="D3574">
        <v>3.494488</v>
      </c>
      <c r="E3574">
        <v>0.50025549999999996</v>
      </c>
      <c r="F3574" t="s">
        <v>47</v>
      </c>
      <c r="G3574">
        <v>-223.49529999999999</v>
      </c>
      <c r="H3574" s="1">
        <v>3.6627060000000002E-7</v>
      </c>
      <c r="I3574">
        <v>213.63200000000001</v>
      </c>
      <c r="J3574">
        <v>-243.01320000000001</v>
      </c>
      <c r="K3574">
        <v>1.1129849999999999</v>
      </c>
      <c r="L3574">
        <v>214.3432</v>
      </c>
      <c r="M3574">
        <v>0.99799079999999996</v>
      </c>
      <c r="N3574">
        <v>0</v>
      </c>
      <c r="O3574">
        <v>5.5382300000000002E-2</v>
      </c>
      <c r="P3574">
        <v>0.99255629999999995</v>
      </c>
      <c r="Q3574">
        <v>0.1149083</v>
      </c>
      <c r="R3574">
        <v>-4.0352899999999997E-2</v>
      </c>
      <c r="S3574">
        <v>3.038116</v>
      </c>
      <c r="T3574">
        <v>-0.1697987</v>
      </c>
      <c r="U3574">
        <v>-0.10505680000000001</v>
      </c>
      <c r="V3574">
        <v>9.4679529999999998E-2</v>
      </c>
      <c r="W3574">
        <v>0.14568349999999999</v>
      </c>
      <c r="X3574">
        <v>0.98479039999999995</v>
      </c>
      <c r="Y3574">
        <v>8.9655109999999996E-2</v>
      </c>
      <c r="Z3574">
        <v>-5.5956570000000004E-3</v>
      </c>
      <c r="AA3574">
        <v>0.99595710000000004</v>
      </c>
      <c r="AB3574">
        <v>49</v>
      </c>
      <c r="AC3574">
        <v>19.517900000000001</v>
      </c>
      <c r="AD3574">
        <v>-1.11298463372939</v>
      </c>
      <c r="AE3574">
        <v>-0.71119999999999095</v>
      </c>
      <c r="AF3574">
        <v>1.7857668037424499</v>
      </c>
      <c r="AG3574">
        <v>-1.11298463372939</v>
      </c>
      <c r="AH3574">
        <v>19.385556714901899</v>
      </c>
      <c r="AI3574">
        <v>93.272096700931201</v>
      </c>
      <c r="AJ3574">
        <v>84.736857262407995</v>
      </c>
      <c r="AK3574">
        <v>19.499423248366799</v>
      </c>
      <c r="AL3574">
        <v>81.623138960349607</v>
      </c>
      <c r="AM3574">
        <v>84.508358834956496</v>
      </c>
      <c r="AN3574">
        <v>1.0000000137527101</v>
      </c>
    </row>
    <row r="3575" spans="1:40" x14ac:dyDescent="0.25">
      <c r="A3575" t="str">
        <f>"20190312173001442"</f>
        <v>20190312173001442</v>
      </c>
      <c r="B3575" t="str">
        <f>"1552383001431415"</f>
        <v>1552383001431415</v>
      </c>
      <c r="C3575" t="s">
        <v>40</v>
      </c>
      <c r="D3575">
        <v>3.4986100000000002</v>
      </c>
      <c r="E3575">
        <v>0.50024990000000003</v>
      </c>
      <c r="F3575" t="s">
        <v>47</v>
      </c>
      <c r="G3575">
        <v>-223.2054</v>
      </c>
      <c r="H3575" s="1">
        <v>2.105871E-7</v>
      </c>
      <c r="I3575">
        <v>213.6644</v>
      </c>
      <c r="J3575">
        <v>-242.66640000000001</v>
      </c>
      <c r="K3575">
        <v>1.1130100000000001</v>
      </c>
      <c r="L3575">
        <v>214.36340000000001</v>
      </c>
      <c r="M3575">
        <v>0.99793229999999999</v>
      </c>
      <c r="N3575">
        <v>0</v>
      </c>
      <c r="O3575">
        <v>5.6281119999999997E-2</v>
      </c>
      <c r="P3575">
        <v>0.99262059999999996</v>
      </c>
      <c r="Q3575">
        <v>0.1142536</v>
      </c>
      <c r="R3575">
        <v>-4.0631769999999998E-2</v>
      </c>
      <c r="S3575">
        <v>3.0380549999999999</v>
      </c>
      <c r="T3575">
        <v>-0.17070579999999999</v>
      </c>
      <c r="U3575">
        <v>-0.1041107</v>
      </c>
      <c r="V3575">
        <v>9.5859040000000006E-2</v>
      </c>
      <c r="W3575">
        <v>0.145294799999999</v>
      </c>
      <c r="X3575">
        <v>0.98473370000000005</v>
      </c>
      <c r="Y3575">
        <v>9.0238719999999994E-2</v>
      </c>
      <c r="Z3575">
        <v>-5.6924810000000001E-3</v>
      </c>
      <c r="AA3575">
        <v>0.99590389999999995</v>
      </c>
      <c r="AB3575">
        <v>49</v>
      </c>
      <c r="AC3575">
        <v>19.460999999999999</v>
      </c>
      <c r="AD3575">
        <v>-1.1130097894128901</v>
      </c>
      <c r="AE3575">
        <v>-0.69900000000001195</v>
      </c>
      <c r="AF3575">
        <v>1.7878655340696401</v>
      </c>
      <c r="AG3575">
        <v>-1.1130097894128901</v>
      </c>
      <c r="AH3575">
        <v>19.327626983622299</v>
      </c>
      <c r="AI3575">
        <v>93.281841296418307</v>
      </c>
      <c r="AJ3575">
        <v>84.715002437575905</v>
      </c>
      <c r="AK3575">
        <v>19.4420271262358</v>
      </c>
      <c r="AL3575">
        <v>81.645649204212006</v>
      </c>
      <c r="AM3575">
        <v>84.440052318433402</v>
      </c>
      <c r="AN3575">
        <v>0.99999999718622501</v>
      </c>
    </row>
    <row r="3576" spans="1:40" x14ac:dyDescent="0.25">
      <c r="A3576" t="str">
        <f>"20190312173001464"</f>
        <v>20190312173001464</v>
      </c>
      <c r="B3576" t="str">
        <f>"1552383001460695"</f>
        <v>1552383001460695</v>
      </c>
      <c r="C3576" t="s">
        <v>40</v>
      </c>
      <c r="D3576">
        <v>3.5072049999999999</v>
      </c>
      <c r="E3576">
        <v>0.5003959</v>
      </c>
      <c r="F3576" t="s">
        <v>47</v>
      </c>
      <c r="G3576">
        <v>-223.06370000000001</v>
      </c>
      <c r="H3576" s="1">
        <v>1.3413279999999999E-7</v>
      </c>
      <c r="I3576">
        <v>213.6884</v>
      </c>
      <c r="J3576">
        <v>-242.19479999999999</v>
      </c>
      <c r="K3576">
        <v>1.113046</v>
      </c>
      <c r="L3576">
        <v>214.3913</v>
      </c>
      <c r="M3576">
        <v>0.99785089999999999</v>
      </c>
      <c r="N3576">
        <v>0</v>
      </c>
      <c r="O3576">
        <v>5.7508879999999998E-2</v>
      </c>
      <c r="P3576">
        <v>0.99264240000000004</v>
      </c>
      <c r="Q3576">
        <v>0.1139748</v>
      </c>
      <c r="R3576">
        <v>-4.087383E-2</v>
      </c>
      <c r="S3576">
        <v>3.0378880000000001</v>
      </c>
      <c r="T3576">
        <v>-0.17248649999999999</v>
      </c>
      <c r="U3576">
        <v>-0.104599</v>
      </c>
      <c r="V3576">
        <v>9.7325270000000005E-2</v>
      </c>
      <c r="W3576">
        <v>0.14536930000000001</v>
      </c>
      <c r="X3576">
        <v>0.98457879999999998</v>
      </c>
      <c r="Y3576">
        <v>9.1617299999999999E-2</v>
      </c>
      <c r="Z3576">
        <v>-5.8608200000000001E-3</v>
      </c>
      <c r="AA3576">
        <v>0.99577709999999997</v>
      </c>
      <c r="AB3576">
        <v>49</v>
      </c>
      <c r="AC3576">
        <v>19.131099999999901</v>
      </c>
      <c r="AD3576">
        <v>-1.1130458658672</v>
      </c>
      <c r="AE3576">
        <v>-0.70289999999999897</v>
      </c>
      <c r="AF3576">
        <v>1.7964141659739099</v>
      </c>
      <c r="AG3576">
        <v>-1.1130458658672</v>
      </c>
      <c r="AH3576">
        <v>18.994754975912201</v>
      </c>
      <c r="AI3576">
        <v>93.338692813833404</v>
      </c>
      <c r="AJ3576">
        <v>84.597365577223599</v>
      </c>
      <c r="AK3576">
        <v>19.111951536935699</v>
      </c>
      <c r="AL3576">
        <v>81.641334276223304</v>
      </c>
      <c r="AM3576">
        <v>84.354671878602502</v>
      </c>
      <c r="AN3576">
        <v>0.999999927486248</v>
      </c>
    </row>
    <row r="3577" spans="1:40" x14ac:dyDescent="0.25">
      <c r="A3577" t="str">
        <f>"20190312173001487"</f>
        <v>20190312173001487</v>
      </c>
      <c r="B3577" t="str">
        <f>"1552383001481192"</f>
        <v>1552383001481192</v>
      </c>
      <c r="C3577" t="s">
        <v>40</v>
      </c>
      <c r="D3577">
        <v>3.5292219999999999</v>
      </c>
      <c r="E3577">
        <v>0.50052429999999903</v>
      </c>
      <c r="F3577" t="s">
        <v>47</v>
      </c>
      <c r="G3577">
        <v>-222.6593</v>
      </c>
      <c r="H3577" s="1">
        <v>-8.1847419999999901E-8</v>
      </c>
      <c r="I3577">
        <v>213.7055</v>
      </c>
      <c r="J3577">
        <v>-241.71199999999999</v>
      </c>
      <c r="K3577">
        <v>1.1130819999999999</v>
      </c>
      <c r="L3577">
        <v>214.4205</v>
      </c>
      <c r="M3577">
        <v>0.99776569999999998</v>
      </c>
      <c r="N3577">
        <v>0</v>
      </c>
      <c r="O3577">
        <v>5.8771299999999999E-2</v>
      </c>
      <c r="P3577">
        <v>0.99271149999999997</v>
      </c>
      <c r="Q3577">
        <v>0.11331239999999999</v>
      </c>
      <c r="R3577">
        <v>-4.1044310000000001E-2</v>
      </c>
      <c r="S3577">
        <v>3.0377350000000001</v>
      </c>
      <c r="T3577">
        <v>-0.17307620000000001</v>
      </c>
      <c r="U3577">
        <v>-0.106628399999999</v>
      </c>
      <c r="V3577">
        <v>9.8758499999999999E-2</v>
      </c>
      <c r="W3577">
        <v>0.14507120000000001</v>
      </c>
      <c r="X3577">
        <v>0.98448009999999997</v>
      </c>
      <c r="Y3577">
        <v>9.3536999999999995E-2</v>
      </c>
      <c r="Z3577">
        <v>-6.0075579999999996E-3</v>
      </c>
      <c r="AA3577">
        <v>0.99559770000000003</v>
      </c>
      <c r="AB3577">
        <v>48</v>
      </c>
      <c r="AC3577">
        <v>19.052700000000002</v>
      </c>
      <c r="AD3577">
        <v>-1.1130820818474201</v>
      </c>
      <c r="AE3577">
        <v>-0.71500000000000297</v>
      </c>
      <c r="AF3577">
        <v>1.82785069426011</v>
      </c>
      <c r="AG3577">
        <v>-1.1130820818474201</v>
      </c>
      <c r="AH3577">
        <v>18.9132300598848</v>
      </c>
      <c r="AI3577">
        <v>93.352504247686198</v>
      </c>
      <c r="AJ3577">
        <v>84.479848803434905</v>
      </c>
      <c r="AK3577">
        <v>19.033923956440599</v>
      </c>
      <c r="AL3577">
        <v>81.658597595284803</v>
      </c>
      <c r="AM3577">
        <v>84.271516120253693</v>
      </c>
      <c r="AN3577">
        <v>0.999999980843849</v>
      </c>
    </row>
    <row r="3578" spans="1:40" x14ac:dyDescent="0.25">
      <c r="A3578" t="str">
        <f>"20190312173001509"</f>
        <v>20190312173001509</v>
      </c>
      <c r="B3578" t="str">
        <f>"1552383001500711"</f>
        <v>1552383001500711</v>
      </c>
      <c r="C3578" t="s">
        <v>40</v>
      </c>
      <c r="D3578">
        <v>3.537474</v>
      </c>
      <c r="E3578">
        <v>0.50064770000000003</v>
      </c>
      <c r="F3578" t="s">
        <v>47</v>
      </c>
      <c r="G3578">
        <v>-222.37649999999999</v>
      </c>
      <c r="H3578" s="1">
        <v>-2.334752E-7</v>
      </c>
      <c r="I3578">
        <v>213.7319</v>
      </c>
      <c r="J3578">
        <v>-241.24420000000001</v>
      </c>
      <c r="K3578">
        <v>1.113116</v>
      </c>
      <c r="L3578">
        <v>214.4494</v>
      </c>
      <c r="M3578">
        <v>0.99768100000000004</v>
      </c>
      <c r="N3578">
        <v>0</v>
      </c>
      <c r="O3578">
        <v>6.0000209999999998E-2</v>
      </c>
      <c r="P3578">
        <v>0.99278529999999998</v>
      </c>
      <c r="Q3578">
        <v>0.1125478</v>
      </c>
      <c r="R3578">
        <v>-4.1359880000000002E-2</v>
      </c>
      <c r="S3578">
        <v>3.0375209999999999</v>
      </c>
      <c r="T3578">
        <v>-0.17486019999999999</v>
      </c>
      <c r="U3578">
        <v>-0.1081696</v>
      </c>
      <c r="V3578">
        <v>0.1003045</v>
      </c>
      <c r="W3578">
        <v>0.14465790000000001</v>
      </c>
      <c r="X3578">
        <v>0.9843847</v>
      </c>
      <c r="Y3578">
        <v>9.5260739999999997E-2</v>
      </c>
      <c r="Z3578">
        <v>-6.1900069999999904E-3</v>
      </c>
      <c r="AA3578">
        <v>0.99543309999999996</v>
      </c>
      <c r="AB3578">
        <v>48</v>
      </c>
      <c r="AC3578">
        <v>18.867699999999999</v>
      </c>
      <c r="AD3578">
        <v>-1.1131162334751901</v>
      </c>
      <c r="AE3578">
        <v>-0.71750000000000103</v>
      </c>
      <c r="AF3578">
        <v>1.84245346748238</v>
      </c>
      <c r="AG3578">
        <v>-1.1131162334751901</v>
      </c>
      <c r="AH3578">
        <v>18.725519440748801</v>
      </c>
      <c r="AI3578">
        <v>93.385566073982204</v>
      </c>
      <c r="AJ3578">
        <v>84.380603883804696</v>
      </c>
      <c r="AK3578">
        <v>18.8488392442326</v>
      </c>
      <c r="AL3578">
        <v>81.682531136749503</v>
      </c>
      <c r="AM3578">
        <v>84.181890883936006</v>
      </c>
      <c r="AN3578">
        <v>1.0000000691733699</v>
      </c>
    </row>
    <row r="3579" spans="1:40" x14ac:dyDescent="0.25">
      <c r="A3579" t="str">
        <f>"20190312173001530"</f>
        <v>20190312173001530</v>
      </c>
      <c r="B3579" t="str">
        <f>"1552383001521207"</f>
        <v>1552383001521207</v>
      </c>
      <c r="C3579" t="s">
        <v>40</v>
      </c>
      <c r="D3579">
        <v>3.5433210000000002</v>
      </c>
      <c r="E3579">
        <v>0.50076909999999997</v>
      </c>
      <c r="F3579" t="s">
        <v>47</v>
      </c>
      <c r="G3579">
        <v>-222.12880000000001</v>
      </c>
      <c r="H3579" s="1">
        <v>-3.6625910000000002E-7</v>
      </c>
      <c r="I3579">
        <v>213.75370000000001</v>
      </c>
      <c r="J3579">
        <v>-240.77340000000001</v>
      </c>
      <c r="K3579">
        <v>1.1131519999999999</v>
      </c>
      <c r="L3579">
        <v>214.47900000000001</v>
      </c>
      <c r="M3579">
        <v>0.99759419999999999</v>
      </c>
      <c r="N3579">
        <v>0</v>
      </c>
      <c r="O3579">
        <v>6.1242030000000003E-2</v>
      </c>
      <c r="P3579">
        <v>0.99283670000000002</v>
      </c>
      <c r="Q3579">
        <v>0.1118469</v>
      </c>
      <c r="R3579">
        <v>-4.2022179999999999E-2</v>
      </c>
      <c r="S3579">
        <v>3.0372309999999998</v>
      </c>
      <c r="T3579">
        <v>-0.17686180000000001</v>
      </c>
      <c r="U3579">
        <v>-0.1105347</v>
      </c>
      <c r="V3579">
        <v>0.1022084</v>
      </c>
      <c r="W3579">
        <v>0.14430299999999999</v>
      </c>
      <c r="X3579">
        <v>0.98424080000000003</v>
      </c>
      <c r="Y3579">
        <v>9.7266370000000005E-2</v>
      </c>
      <c r="Z3579">
        <v>-6.3918419999999896E-3</v>
      </c>
      <c r="AA3579">
        <v>0.99523790000000001</v>
      </c>
      <c r="AB3579">
        <v>48</v>
      </c>
      <c r="AC3579">
        <v>18.644600000000001</v>
      </c>
      <c r="AD3579">
        <v>-1.1131523662591001</v>
      </c>
      <c r="AE3579">
        <v>-0.72530000000000405</v>
      </c>
      <c r="AF3579">
        <v>1.8597540636672201</v>
      </c>
      <c r="AG3579">
        <v>-1.1131523662591001</v>
      </c>
      <c r="AH3579">
        <v>18.499282032061</v>
      </c>
      <c r="AI3579">
        <v>93.426262852031002</v>
      </c>
      <c r="AJ3579">
        <v>84.259277211652901</v>
      </c>
      <c r="AK3579">
        <v>18.625821567640202</v>
      </c>
      <c r="AL3579">
        <v>81.703079883058294</v>
      </c>
      <c r="AM3579">
        <v>84.071374804756601</v>
      </c>
      <c r="AN3579">
        <v>0.99999993261209696</v>
      </c>
    </row>
    <row r="3580" spans="1:40" x14ac:dyDescent="0.25">
      <c r="A3580" t="str">
        <f>"20190312173001553"</f>
        <v>20190312173001553</v>
      </c>
      <c r="B3580" t="str">
        <f>"1552383001540727"</f>
        <v>1552383001540727</v>
      </c>
      <c r="C3580" t="s">
        <v>40</v>
      </c>
      <c r="D3580">
        <v>3.5371519999999999</v>
      </c>
      <c r="E3580">
        <v>0.50087539999999997</v>
      </c>
      <c r="F3580" t="s">
        <v>47</v>
      </c>
      <c r="G3580">
        <v>-221.89859999999999</v>
      </c>
      <c r="H3580" s="1">
        <v>-4.8959650000000005E-7</v>
      </c>
      <c r="I3580">
        <v>213.77279999999999</v>
      </c>
      <c r="J3580">
        <v>-240.31440000000001</v>
      </c>
      <c r="K3580">
        <v>1.113181</v>
      </c>
      <c r="L3580">
        <v>214.5085</v>
      </c>
      <c r="M3580">
        <v>0.99750819999999996</v>
      </c>
      <c r="N3580">
        <v>0</v>
      </c>
      <c r="O3580">
        <v>6.2448740000000003E-2</v>
      </c>
      <c r="P3580">
        <v>0.99283339999999998</v>
      </c>
      <c r="Q3580">
        <v>0.1113976</v>
      </c>
      <c r="R3580">
        <v>-4.3274100000000003E-2</v>
      </c>
      <c r="S3580">
        <v>3.0370180000000002</v>
      </c>
      <c r="T3580">
        <v>-0.17910980000000001</v>
      </c>
      <c r="U3580">
        <v>-0.1136322</v>
      </c>
      <c r="V3580">
        <v>0.1046628</v>
      </c>
      <c r="W3580">
        <v>0.1441865</v>
      </c>
      <c r="X3580">
        <v>0.98399999999999999</v>
      </c>
      <c r="Y3580">
        <v>9.9474149999999997E-2</v>
      </c>
      <c r="Z3580">
        <v>-6.6094300000000003E-3</v>
      </c>
      <c r="AA3580">
        <v>0.99501819999999996</v>
      </c>
      <c r="AB3580">
        <v>47</v>
      </c>
      <c r="AC3580">
        <v>18.415800000000001</v>
      </c>
      <c r="AD3580">
        <v>-1.1131814895965</v>
      </c>
      <c r="AE3580">
        <v>-0.73570000000000801</v>
      </c>
      <c r="AF3580">
        <v>1.8780748393054501</v>
      </c>
      <c r="AG3580">
        <v>-1.1131814895965</v>
      </c>
      <c r="AH3580">
        <v>18.267209116909601</v>
      </c>
      <c r="AI3580">
        <v>93.468982050432004</v>
      </c>
      <c r="AJ3580">
        <v>84.129972938218103</v>
      </c>
      <c r="AK3580">
        <v>18.397208131988901</v>
      </c>
      <c r="AL3580">
        <v>81.709826151006794</v>
      </c>
      <c r="AM3580">
        <v>83.928582899477803</v>
      </c>
      <c r="AN3580">
        <v>1.00000002424304</v>
      </c>
    </row>
    <row r="3581" spans="1:40" x14ac:dyDescent="0.25">
      <c r="A3581" t="str">
        <f>"20190312173001575"</f>
        <v>20190312173001575</v>
      </c>
      <c r="B3581" t="str">
        <f>"1552383001570986"</f>
        <v>1552383001570986</v>
      </c>
      <c r="C3581" t="s">
        <v>40</v>
      </c>
      <c r="D3581">
        <v>3.5616769999999902</v>
      </c>
      <c r="E3581">
        <v>0.50109559999999997</v>
      </c>
      <c r="F3581" t="s">
        <v>47</v>
      </c>
      <c r="G3581">
        <v>-221.57839999999999</v>
      </c>
      <c r="H3581" s="1">
        <v>-6.6016959999999999E-7</v>
      </c>
      <c r="I3581">
        <v>213.77780000000001</v>
      </c>
      <c r="J3581">
        <v>-239.8511</v>
      </c>
      <c r="K3581">
        <v>1.1132040000000001</v>
      </c>
      <c r="L3581">
        <v>214.53880000000001</v>
      </c>
      <c r="M3581">
        <v>0.99742090000000005</v>
      </c>
      <c r="N3581">
        <v>0</v>
      </c>
      <c r="O3581">
        <v>6.3649410000000003E-2</v>
      </c>
      <c r="P3581">
        <v>0.99283350000000004</v>
      </c>
      <c r="Q3581">
        <v>0.110967899999999</v>
      </c>
      <c r="R3581">
        <v>-4.436184E-2</v>
      </c>
      <c r="S3581">
        <v>3.0367579999999998</v>
      </c>
      <c r="T3581">
        <v>-0.18042620000000001</v>
      </c>
      <c r="U3581">
        <v>-0.11843869999999999</v>
      </c>
      <c r="V3581">
        <v>0.1069507</v>
      </c>
      <c r="W3581">
        <v>0.14409069999999999</v>
      </c>
      <c r="X3581">
        <v>0.98376799999999998</v>
      </c>
      <c r="Y3581">
        <v>0.1022368</v>
      </c>
      <c r="Z3581">
        <v>-6.8115659999999998E-3</v>
      </c>
      <c r="AA3581">
        <v>0.99473679999999998</v>
      </c>
      <c r="AB3581">
        <v>47</v>
      </c>
      <c r="AC3581">
        <v>18.2727</v>
      </c>
      <c r="AD3581">
        <v>-1.1132046601696</v>
      </c>
      <c r="AE3581">
        <v>-0.76099999999999501</v>
      </c>
      <c r="AF3581">
        <v>1.91604318626225</v>
      </c>
      <c r="AG3581">
        <v>-1.1132046601696</v>
      </c>
      <c r="AH3581">
        <v>18.120008883480399</v>
      </c>
      <c r="AI3581">
        <v>93.496111305678099</v>
      </c>
      <c r="AJ3581">
        <v>83.963869164126194</v>
      </c>
      <c r="AK3581">
        <v>18.255003917952301</v>
      </c>
      <c r="AL3581">
        <v>81.715373057103093</v>
      </c>
      <c r="AM3581">
        <v>83.795435665978999</v>
      </c>
      <c r="AN3581">
        <v>1.0000000299404801</v>
      </c>
    </row>
    <row r="3582" spans="1:40" x14ac:dyDescent="0.25">
      <c r="A3582" t="str">
        <f>"20190312173001594"</f>
        <v>20190312173001594</v>
      </c>
      <c r="B3582" t="str">
        <f>"1552383001591479"</f>
        <v>1552383001591479</v>
      </c>
      <c r="C3582" t="s">
        <v>40</v>
      </c>
      <c r="D3582">
        <v>3.574643</v>
      </c>
      <c r="E3582">
        <v>0.50124369999999996</v>
      </c>
      <c r="F3582" t="s">
        <v>47</v>
      </c>
      <c r="G3582">
        <v>-221.27690000000001</v>
      </c>
      <c r="H3582" s="1">
        <v>-8.2070589999999899E-7</v>
      </c>
      <c r="I3582">
        <v>213.77930000000001</v>
      </c>
      <c r="J3582">
        <v>-239.48140000000001</v>
      </c>
      <c r="K3582">
        <v>1.113211</v>
      </c>
      <c r="L3582">
        <v>214.5634</v>
      </c>
      <c r="M3582">
        <v>0.99735169999999995</v>
      </c>
      <c r="N3582">
        <v>0</v>
      </c>
      <c r="O3582">
        <v>6.4579659999999997E-2</v>
      </c>
      <c r="P3582">
        <v>0.99283259999999995</v>
      </c>
      <c r="Q3582">
        <v>0.11083220000000001</v>
      </c>
      <c r="R3582">
        <v>-4.4717970000000003E-2</v>
      </c>
      <c r="S3582">
        <v>3.036438</v>
      </c>
      <c r="T3582">
        <v>-0.18198249999999999</v>
      </c>
      <c r="U3582">
        <v>-0.1241608</v>
      </c>
      <c r="V3582">
        <v>0.1082408</v>
      </c>
      <c r="W3582">
        <v>0.14422279999999901</v>
      </c>
      <c r="X3582">
        <v>0.98360749999999997</v>
      </c>
      <c r="Y3582">
        <v>0.1050286</v>
      </c>
      <c r="Z3582">
        <v>-7.0099869999999996E-3</v>
      </c>
      <c r="AA3582">
        <v>0.99444449999999995</v>
      </c>
      <c r="AB3582">
        <v>47</v>
      </c>
      <c r="AC3582">
        <v>18.204499999999999</v>
      </c>
      <c r="AD3582">
        <v>-1.1132118207059001</v>
      </c>
      <c r="AE3582">
        <v>-0.78409999999999502</v>
      </c>
      <c r="AF3582">
        <v>1.95147640040388</v>
      </c>
      <c r="AG3582">
        <v>-1.1132118207059001</v>
      </c>
      <c r="AH3582">
        <v>18.048426503474499</v>
      </c>
      <c r="AI3582">
        <v>93.509083417562593</v>
      </c>
      <c r="AJ3582">
        <v>83.828898738671199</v>
      </c>
      <c r="AK3582">
        <v>18.187721131313101</v>
      </c>
      <c r="AL3582">
        <v>81.707724147188003</v>
      </c>
      <c r="AM3582">
        <v>83.720170574692006</v>
      </c>
      <c r="AN3582">
        <v>1.00000000044036</v>
      </c>
    </row>
    <row r="3583" spans="1:40" x14ac:dyDescent="0.25">
      <c r="A3583" t="str">
        <f>"20190312173001610"</f>
        <v>20190312173001610</v>
      </c>
      <c r="B3583" t="str">
        <f>"1552383001601239"</f>
        <v>1552383001601239</v>
      </c>
      <c r="C3583" t="s">
        <v>40</v>
      </c>
      <c r="D3583">
        <v>3.584308</v>
      </c>
      <c r="E3583">
        <v>0.50131079999999995</v>
      </c>
      <c r="F3583" t="s">
        <v>47</v>
      </c>
      <c r="G3583">
        <v>-220.93780000000001</v>
      </c>
      <c r="H3583" s="1">
        <v>-1.0017179999999999E-6</v>
      </c>
      <c r="I3583">
        <v>213.7921</v>
      </c>
      <c r="J3583">
        <v>-239.1651</v>
      </c>
      <c r="K3583">
        <v>1.113205</v>
      </c>
      <c r="L3583">
        <v>214.58459999999999</v>
      </c>
      <c r="M3583">
        <v>0.9972934</v>
      </c>
      <c r="N3583">
        <v>0</v>
      </c>
      <c r="O3583">
        <v>6.5347950000000002E-2</v>
      </c>
      <c r="P3583">
        <v>0.99274430000000002</v>
      </c>
      <c r="Q3583">
        <v>0.1108377</v>
      </c>
      <c r="R3583">
        <v>-4.6625760000000002E-2</v>
      </c>
      <c r="S3583">
        <v>3.0363009999999999</v>
      </c>
      <c r="T3583">
        <v>-0.1822751</v>
      </c>
      <c r="U3583">
        <v>-0.1262817</v>
      </c>
      <c r="V3583">
        <v>0.1109139</v>
      </c>
      <c r="W3583">
        <v>0.1444578</v>
      </c>
      <c r="X3583">
        <v>0.98327520000000002</v>
      </c>
      <c r="Y3583">
        <v>0.1064855</v>
      </c>
      <c r="Z3583">
        <v>-7.1112199999999997E-3</v>
      </c>
      <c r="AA3583">
        <v>0.99428879999999997</v>
      </c>
      <c r="AB3583">
        <v>46</v>
      </c>
      <c r="AC3583">
        <v>18.2272999999999</v>
      </c>
      <c r="AD3583">
        <v>-1.1132060017180001</v>
      </c>
      <c r="AE3583">
        <v>-0.79249999999998899</v>
      </c>
      <c r="AF3583">
        <v>1.97524395053985</v>
      </c>
      <c r="AG3583">
        <v>-1.1132060017180001</v>
      </c>
      <c r="AH3583">
        <v>18.069207232194199</v>
      </c>
      <c r="AI3583">
        <v>93.504592133409503</v>
      </c>
      <c r="AJ3583">
        <v>83.761455953595302</v>
      </c>
      <c r="AK3583">
        <v>18.210905146817598</v>
      </c>
      <c r="AL3583">
        <v>81.694117429208603</v>
      </c>
      <c r="AM3583">
        <v>83.564213607828094</v>
      </c>
      <c r="AN3583">
        <v>1.0000000340645401</v>
      </c>
    </row>
    <row r="3584" spans="1:40" x14ac:dyDescent="0.25">
      <c r="A3584" t="str">
        <f>"20190312173001627"</f>
        <v>20190312173001627</v>
      </c>
      <c r="B3584" t="str">
        <f>"1552383001620759"</f>
        <v>1552383001620759</v>
      </c>
      <c r="C3584" t="s">
        <v>40</v>
      </c>
      <c r="D3584">
        <v>3.5453610000000002</v>
      </c>
      <c r="E3584">
        <v>0.50146959999999996</v>
      </c>
      <c r="F3584" t="s">
        <v>47</v>
      </c>
      <c r="G3584">
        <v>-220.63069999999999</v>
      </c>
      <c r="H3584" s="1">
        <v>-1.1643780000000001E-6</v>
      </c>
      <c r="I3584">
        <v>213.77440000000001</v>
      </c>
      <c r="J3584">
        <v>-238.8047</v>
      </c>
      <c r="K3584">
        <v>1.113189</v>
      </c>
      <c r="L3584">
        <v>214.60910000000001</v>
      </c>
      <c r="M3584">
        <v>0.99722880000000003</v>
      </c>
      <c r="N3584">
        <v>0</v>
      </c>
      <c r="O3584">
        <v>6.6182009999999999E-2</v>
      </c>
      <c r="P3584">
        <v>0.99266209999999999</v>
      </c>
      <c r="Q3584">
        <v>0.110903</v>
      </c>
      <c r="R3584">
        <v>-4.8195710000000003E-2</v>
      </c>
      <c r="S3584">
        <v>3.0360870000000002</v>
      </c>
      <c r="T3584">
        <v>-0.18235209999999999</v>
      </c>
      <c r="U3584">
        <v>-0.132720899999999</v>
      </c>
      <c r="V3584">
        <v>0.11332159999999999</v>
      </c>
      <c r="W3584">
        <v>0.14478379999999999</v>
      </c>
      <c r="X3584">
        <v>0.98295259999999995</v>
      </c>
      <c r="Y3584">
        <v>0.109418</v>
      </c>
      <c r="Z3584">
        <v>-7.2524569999999899E-3</v>
      </c>
      <c r="AA3584">
        <v>0.9939694</v>
      </c>
      <c r="AB3584">
        <v>46</v>
      </c>
      <c r="AC3584">
        <v>18.173999999999999</v>
      </c>
      <c r="AD3584">
        <v>-1.113190164378</v>
      </c>
      <c r="AE3584">
        <v>-0.834699999999997</v>
      </c>
      <c r="AF3584">
        <v>2.02875927732501</v>
      </c>
      <c r="AG3584">
        <v>-1.113190164378</v>
      </c>
      <c r="AH3584">
        <v>18.0114019506753</v>
      </c>
      <c r="AI3584">
        <v>93.514484681020306</v>
      </c>
      <c r="AJ3584">
        <v>83.573433711968605</v>
      </c>
      <c r="AK3584">
        <v>18.1594508941265</v>
      </c>
      <c r="AL3584">
        <v>81.675240050768096</v>
      </c>
      <c r="AM3584">
        <v>83.423578115886997</v>
      </c>
      <c r="AN3584">
        <v>0.99999997380787897</v>
      </c>
    </row>
    <row r="3585" spans="1:40" x14ac:dyDescent="0.25">
      <c r="A3585" t="str">
        <f>"20190312173001654"</f>
        <v>20190312173001654</v>
      </c>
      <c r="B3585" t="str">
        <f>"1552383001651016"</f>
        <v>1552383001651016</v>
      </c>
      <c r="C3585" t="s">
        <v>40</v>
      </c>
      <c r="D3585">
        <v>3.587005</v>
      </c>
      <c r="E3585">
        <v>0.50164620000000004</v>
      </c>
      <c r="F3585" t="s">
        <v>47</v>
      </c>
      <c r="G3585">
        <v>-220.2672</v>
      </c>
      <c r="H3585" s="1">
        <v>-1.3571159999999999E-6</v>
      </c>
      <c r="I3585">
        <v>213.75909999999999</v>
      </c>
      <c r="J3585">
        <v>-238.2654</v>
      </c>
      <c r="K3585">
        <v>1.1131500000000001</v>
      </c>
      <c r="L3585">
        <v>214.6463</v>
      </c>
      <c r="M3585">
        <v>0.99713790000000002</v>
      </c>
      <c r="N3585">
        <v>0</v>
      </c>
      <c r="O3585">
        <v>6.7319329999999997E-2</v>
      </c>
      <c r="P3585">
        <v>0.99251270000000003</v>
      </c>
      <c r="Q3585">
        <v>0.1110392</v>
      </c>
      <c r="R3585">
        <v>-5.0886300000000002E-2</v>
      </c>
      <c r="S3585">
        <v>3.0357820000000002</v>
      </c>
      <c r="T3585">
        <v>-0.18230070000000001</v>
      </c>
      <c r="U3585">
        <v>-0.13920589999999999</v>
      </c>
      <c r="V3585">
        <v>0.1171619</v>
      </c>
      <c r="W3585">
        <v>0.14530799999999999</v>
      </c>
      <c r="X3585">
        <v>0.98242490000000005</v>
      </c>
      <c r="Y3585">
        <v>0.1126677</v>
      </c>
      <c r="Z3585">
        <v>-7.4165389999999998E-3</v>
      </c>
      <c r="AA3585">
        <v>0.99360510000000002</v>
      </c>
      <c r="AB3585">
        <v>45</v>
      </c>
      <c r="AC3585">
        <v>17.998199999999901</v>
      </c>
      <c r="AD3585">
        <v>-1.1131513571160001</v>
      </c>
      <c r="AE3585">
        <v>-0.88720000000000698</v>
      </c>
      <c r="AF3585">
        <v>2.08955621260837</v>
      </c>
      <c r="AG3585">
        <v>-1.1131513571160001</v>
      </c>
      <c r="AH3585">
        <v>17.829525599101299</v>
      </c>
      <c r="AI3585">
        <v>93.548290260446294</v>
      </c>
      <c r="AJ3585">
        <v>83.315632872201107</v>
      </c>
      <c r="AK3585">
        <v>17.986031641207301</v>
      </c>
      <c r="AL3585">
        <v>81.644884852476693</v>
      </c>
      <c r="AM3585">
        <v>83.199147625829596</v>
      </c>
      <c r="AN3585">
        <v>1.0000000049078099</v>
      </c>
    </row>
    <row r="3586" spans="1:40" x14ac:dyDescent="0.25">
      <c r="A3586" t="str">
        <f>"20190312173001677"</f>
        <v>20190312173001677</v>
      </c>
      <c r="B3586" t="str">
        <f>"1552383001671511"</f>
        <v>1552383001671511</v>
      </c>
      <c r="C3586" t="s">
        <v>40</v>
      </c>
      <c r="D3586">
        <v>3.5603120000000001</v>
      </c>
      <c r="E3586">
        <v>0.50176350000000003</v>
      </c>
      <c r="F3586" t="s">
        <v>47</v>
      </c>
      <c r="G3586">
        <v>-219.69499999999999</v>
      </c>
      <c r="H3586" s="1">
        <v>3.660916E-6</v>
      </c>
      <c r="I3586">
        <v>213.73480000000001</v>
      </c>
      <c r="J3586">
        <v>-237.81030000000001</v>
      </c>
      <c r="K3586">
        <v>1.113094</v>
      </c>
      <c r="L3586">
        <v>214.678</v>
      </c>
      <c r="M3586">
        <v>0.99706779999999995</v>
      </c>
      <c r="N3586">
        <v>0</v>
      </c>
      <c r="O3586">
        <v>6.8164920000000004E-2</v>
      </c>
      <c r="P3586">
        <v>0.99240649999999997</v>
      </c>
      <c r="Q3586">
        <v>0.1110869</v>
      </c>
      <c r="R3586">
        <v>-5.2813760000000001E-2</v>
      </c>
      <c r="S3586">
        <v>3.035355</v>
      </c>
      <c r="T3586">
        <v>-0.18194460000000001</v>
      </c>
      <c r="U3586">
        <v>-0.14897160000000001</v>
      </c>
      <c r="V3586">
        <v>0.1199561</v>
      </c>
      <c r="W3586">
        <v>0.145676</v>
      </c>
      <c r="X3586">
        <v>0.98203309999999999</v>
      </c>
      <c r="Y3586">
        <v>0.1166986</v>
      </c>
      <c r="Z3586">
        <v>-7.573939E-3</v>
      </c>
      <c r="AA3586">
        <v>0.99313850000000004</v>
      </c>
      <c r="AB3586">
        <v>45</v>
      </c>
      <c r="AC3586">
        <v>18.115300000000001</v>
      </c>
      <c r="AD3586">
        <v>-1.1130903390839999</v>
      </c>
      <c r="AE3586">
        <v>-0.94319999999999005</v>
      </c>
      <c r="AF3586">
        <v>2.1684142152565502</v>
      </c>
      <c r="AG3586">
        <v>-1.1130903390839999</v>
      </c>
      <c r="AH3586">
        <v>17.9412286392919</v>
      </c>
      <c r="AI3586">
        <v>93.524548674623503</v>
      </c>
      <c r="AJ3586">
        <v>83.1085391758035</v>
      </c>
      <c r="AK3586">
        <v>18.106039749189701</v>
      </c>
      <c r="AL3586">
        <v>81.623573079988205</v>
      </c>
      <c r="AM3586">
        <v>83.035776909771997</v>
      </c>
      <c r="AN3586">
        <v>0.999999986199409</v>
      </c>
    </row>
    <row r="3587" spans="1:40" x14ac:dyDescent="0.25">
      <c r="A3587" t="str">
        <f>"20190312173001698"</f>
        <v>20190312173001698</v>
      </c>
      <c r="B3587" t="str">
        <f>"1552383001691031"</f>
        <v>1552383001691031</v>
      </c>
      <c r="C3587" t="s">
        <v>40</v>
      </c>
      <c r="D3587">
        <v>3.6300340000000002</v>
      </c>
      <c r="E3587">
        <v>0.50188429999999995</v>
      </c>
      <c r="F3587" t="s">
        <v>47</v>
      </c>
      <c r="G3587">
        <v>-219.2389</v>
      </c>
      <c r="H3587" s="1">
        <v>3.4186530000000002E-6</v>
      </c>
      <c r="I3587">
        <v>213.72460000000001</v>
      </c>
      <c r="J3587">
        <v>-237.3998</v>
      </c>
      <c r="K3587">
        <v>1.1130249999999999</v>
      </c>
      <c r="L3587">
        <v>214.70679999999999</v>
      </c>
      <c r="M3587">
        <v>0.99701240000000002</v>
      </c>
      <c r="N3587">
        <v>0</v>
      </c>
      <c r="O3587">
        <v>6.8810899999999994E-2</v>
      </c>
      <c r="P3587">
        <v>0.99226630000000005</v>
      </c>
      <c r="Q3587">
        <v>0.11114250000000001</v>
      </c>
      <c r="R3587">
        <v>-5.5274450000000003E-2</v>
      </c>
      <c r="S3587">
        <v>3.0350190000000001</v>
      </c>
      <c r="T3587">
        <v>-0.18190609999999999</v>
      </c>
      <c r="U3587">
        <v>-0.15580749999999999</v>
      </c>
      <c r="V3587">
        <v>0.1230837</v>
      </c>
      <c r="W3587">
        <v>0.14600239999999901</v>
      </c>
      <c r="X3587">
        <v>0.98159750000000001</v>
      </c>
      <c r="Y3587">
        <v>0.11957280000000001</v>
      </c>
      <c r="Z3587">
        <v>-7.6975169999999897E-3</v>
      </c>
      <c r="AA3587">
        <v>0.9927956</v>
      </c>
      <c r="AB3587">
        <v>44</v>
      </c>
      <c r="AC3587">
        <v>18.160900000000002</v>
      </c>
      <c r="AD3587">
        <v>-1.1130215813469999</v>
      </c>
      <c r="AE3587">
        <v>-0.98219999999997698</v>
      </c>
      <c r="AF3587">
        <v>2.22198543434813</v>
      </c>
      <c r="AG3587">
        <v>-1.1130215813469999</v>
      </c>
      <c r="AH3587">
        <v>17.982825184599101</v>
      </c>
      <c r="AI3587">
        <v>93.515059870678897</v>
      </c>
      <c r="AJ3587">
        <v>82.956148125031504</v>
      </c>
      <c r="AK3587">
        <v>18.153733443312699</v>
      </c>
      <c r="AL3587">
        <v>81.604669532675501</v>
      </c>
      <c r="AM3587">
        <v>82.852914774026303</v>
      </c>
      <c r="AN3587">
        <v>0.99999997500884896</v>
      </c>
    </row>
    <row r="3588" spans="1:40" x14ac:dyDescent="0.25">
      <c r="A3588" t="str">
        <f>"20190312173001721"</f>
        <v>20190312173001721</v>
      </c>
      <c r="B3588" t="str">
        <f>"1552383001711528"</f>
        <v>1552383001711528</v>
      </c>
      <c r="C3588" t="s">
        <v>40</v>
      </c>
      <c r="D3588">
        <v>3.5888469999999999</v>
      </c>
      <c r="E3588">
        <v>0.5019728</v>
      </c>
      <c r="F3588" t="s">
        <v>47</v>
      </c>
      <c r="G3588">
        <v>-218.84710000000001</v>
      </c>
      <c r="H3588" s="1">
        <v>3.2112840000000001E-6</v>
      </c>
      <c r="I3588">
        <v>213.6996</v>
      </c>
      <c r="J3588">
        <v>-236.96199999999999</v>
      </c>
      <c r="K3588">
        <v>1.112927</v>
      </c>
      <c r="L3588">
        <v>214.73769999999999</v>
      </c>
      <c r="M3588">
        <v>0.9969633</v>
      </c>
      <c r="N3588">
        <v>0</v>
      </c>
      <c r="O3588">
        <v>6.9355020000000003E-2</v>
      </c>
      <c r="P3588">
        <v>0.99210419999999999</v>
      </c>
      <c r="Q3588">
        <v>0.1115348</v>
      </c>
      <c r="R3588">
        <v>-5.7356129999999998E-2</v>
      </c>
      <c r="S3588">
        <v>3.034592</v>
      </c>
      <c r="T3588">
        <v>-0.1820532</v>
      </c>
      <c r="U3588">
        <v>-0.16473389999999999</v>
      </c>
      <c r="V3588">
        <v>0.12573980000000001</v>
      </c>
      <c r="W3588">
        <v>0.14665710000000001</v>
      </c>
      <c r="X3588">
        <v>0.98116320000000001</v>
      </c>
      <c r="Y3588">
        <v>0.12302630000000001</v>
      </c>
      <c r="Z3588">
        <v>-7.8403740000000006E-3</v>
      </c>
      <c r="AA3588">
        <v>0.99237249999999999</v>
      </c>
      <c r="AB3588">
        <v>44</v>
      </c>
      <c r="AC3588">
        <v>18.114899999999999</v>
      </c>
      <c r="AD3588">
        <v>-1.112923788716</v>
      </c>
      <c r="AE3588">
        <v>-1.03809999999998</v>
      </c>
      <c r="AF3588">
        <v>2.2841516234344899</v>
      </c>
      <c r="AG3588">
        <v>-1.112923788716</v>
      </c>
      <c r="AH3588">
        <v>17.9317209387108</v>
      </c>
      <c r="AI3588">
        <v>93.523085213065102</v>
      </c>
      <c r="AJ3588">
        <v>82.740728836438194</v>
      </c>
      <c r="AK3588">
        <v>18.110841057834001</v>
      </c>
      <c r="AL3588">
        <v>81.566750139611102</v>
      </c>
      <c r="AM3588">
        <v>82.697133387631794</v>
      </c>
      <c r="AN3588">
        <v>1.0000000136593401</v>
      </c>
    </row>
    <row r="3589" spans="1:40" x14ac:dyDescent="0.25">
      <c r="A3589" t="str">
        <f>"20190312173001742"</f>
        <v>20190312173001742</v>
      </c>
      <c r="B3589" t="str">
        <f>"1552383001731047"</f>
        <v>1552383001731047</v>
      </c>
      <c r="C3589" t="s">
        <v>40</v>
      </c>
      <c r="D3589">
        <v>3.5971389999999999</v>
      </c>
      <c r="E3589">
        <v>0.50204870000000001</v>
      </c>
      <c r="F3589" t="s">
        <v>47</v>
      </c>
      <c r="G3589">
        <v>-218.3364</v>
      </c>
      <c r="H3589" s="1">
        <v>2.9404069999999998E-6</v>
      </c>
      <c r="I3589">
        <v>213.67830000000001</v>
      </c>
      <c r="J3589">
        <v>-236.54509999999999</v>
      </c>
      <c r="K3589">
        <v>1.112816</v>
      </c>
      <c r="L3589">
        <v>214.7672</v>
      </c>
      <c r="M3589">
        <v>0.99692700000000001</v>
      </c>
      <c r="N3589">
        <v>0</v>
      </c>
      <c r="O3589">
        <v>6.9729379999999994E-2</v>
      </c>
      <c r="P3589">
        <v>0.99196890000000004</v>
      </c>
      <c r="Q3589">
        <v>0.1117369</v>
      </c>
      <c r="R3589">
        <v>-5.9272470000000001E-2</v>
      </c>
      <c r="S3589">
        <v>3.0343019999999998</v>
      </c>
      <c r="T3589">
        <v>-0.18130640000000001</v>
      </c>
      <c r="U3589">
        <v>-0.17257690000000001</v>
      </c>
      <c r="V3589">
        <v>0.12806769999999901</v>
      </c>
      <c r="W3589">
        <v>0.14708640000000001</v>
      </c>
      <c r="X3589">
        <v>0.98079780000000005</v>
      </c>
      <c r="Y3589">
        <v>0.12595819999999999</v>
      </c>
      <c r="Z3589">
        <v>-7.918362E-3</v>
      </c>
      <c r="AA3589">
        <v>0.99200390000000005</v>
      </c>
      <c r="AB3589">
        <v>44</v>
      </c>
      <c r="AC3589">
        <v>18.2087</v>
      </c>
      <c r="AD3589">
        <v>-1.1128130595929999</v>
      </c>
      <c r="AE3589">
        <v>-1.08889999999999</v>
      </c>
      <c r="AF3589">
        <v>2.3479988848938298</v>
      </c>
      <c r="AG3589">
        <v>-1.1128130595929999</v>
      </c>
      <c r="AH3589">
        <v>18.021276653018202</v>
      </c>
      <c r="AI3589">
        <v>93.503984102025697</v>
      </c>
      <c r="AJ3589">
        <v>82.576727739870705</v>
      </c>
      <c r="AK3589">
        <v>18.2076320226899</v>
      </c>
      <c r="AL3589">
        <v>81.541883574257497</v>
      </c>
      <c r="AM3589">
        <v>82.560691135651098</v>
      </c>
      <c r="AN3589">
        <v>1.0000000346665401</v>
      </c>
    </row>
    <row r="3590" spans="1:40" x14ac:dyDescent="0.25">
      <c r="A3590" t="str">
        <f>"20190312173001766"</f>
        <v>20190312173001766</v>
      </c>
      <c r="B3590" t="str">
        <f>"1552383001761303"</f>
        <v>1552383001761303</v>
      </c>
      <c r="C3590" t="s">
        <v>40</v>
      </c>
      <c r="D3590">
        <v>3.6108090000000002</v>
      </c>
      <c r="E3590">
        <v>0.50215259999999995</v>
      </c>
      <c r="F3590" t="s">
        <v>47</v>
      </c>
      <c r="G3590">
        <v>-217.90199999999999</v>
      </c>
      <c r="H3590" s="1">
        <v>2.7098299999999999E-6</v>
      </c>
      <c r="I3590">
        <v>213.66499999999999</v>
      </c>
      <c r="J3590">
        <v>-236.11869999999999</v>
      </c>
      <c r="K3590">
        <v>1.1126860000000001</v>
      </c>
      <c r="L3590">
        <v>214.79740000000001</v>
      </c>
      <c r="M3590">
        <v>0.9969015</v>
      </c>
      <c r="N3590">
        <v>0</v>
      </c>
      <c r="O3590">
        <v>6.995295E-2</v>
      </c>
      <c r="P3590">
        <v>0.99182780000000004</v>
      </c>
      <c r="Q3590">
        <v>0.11140650000000001</v>
      </c>
      <c r="R3590">
        <v>-6.2176160000000001E-2</v>
      </c>
      <c r="S3590">
        <v>3.0339659999999999</v>
      </c>
      <c r="T3590">
        <v>-0.18109790000000001</v>
      </c>
      <c r="U3590">
        <v>-0.1793671</v>
      </c>
      <c r="V3590">
        <v>0.131236299999999</v>
      </c>
      <c r="W3590">
        <v>0.14695859999999999</v>
      </c>
      <c r="X3590">
        <v>0.98039799999999999</v>
      </c>
      <c r="Y3590">
        <v>0.12839600000000001</v>
      </c>
      <c r="Z3590">
        <v>-7.9957009999999992E-3</v>
      </c>
      <c r="AA3590">
        <v>0.99169079999999998</v>
      </c>
      <c r="AB3590">
        <v>43</v>
      </c>
      <c r="AC3590">
        <v>18.2166999999999</v>
      </c>
      <c r="AD3590">
        <v>-1.1126832901699999</v>
      </c>
      <c r="AE3590">
        <v>-1.1324000000000101</v>
      </c>
      <c r="AF3590">
        <v>2.3958554404833201</v>
      </c>
      <c r="AG3590">
        <v>-1.1126832901699999</v>
      </c>
      <c r="AH3590">
        <v>18.0257585884757</v>
      </c>
      <c r="AI3590">
        <v>93.501522410443599</v>
      </c>
      <c r="AJ3590">
        <v>82.429027494782005</v>
      </c>
      <c r="AK3590">
        <v>18.218291909120399</v>
      </c>
      <c r="AL3590">
        <v>81.549286273937597</v>
      </c>
      <c r="AM3590">
        <v>82.375697145798298</v>
      </c>
      <c r="AN3590">
        <v>1.0000000174778201</v>
      </c>
    </row>
    <row r="3591" spans="1:40" x14ac:dyDescent="0.25">
      <c r="A3591" t="str">
        <f>"20190312173001787"</f>
        <v>20190312173001787</v>
      </c>
      <c r="B3591" t="str">
        <f>"1552383001781799"</f>
        <v>1552383001781799</v>
      </c>
      <c r="C3591" t="s">
        <v>40</v>
      </c>
      <c r="D3591">
        <v>3.5941990000000001</v>
      </c>
      <c r="E3591">
        <v>0.50219740000000002</v>
      </c>
      <c r="F3591" t="s">
        <v>47</v>
      </c>
      <c r="G3591">
        <v>-217.63849999999999</v>
      </c>
      <c r="H3591" s="1">
        <v>2.570471E-6</v>
      </c>
      <c r="I3591">
        <v>213.64529999999999</v>
      </c>
      <c r="J3591">
        <v>-235.70179999999999</v>
      </c>
      <c r="K3591">
        <v>1.112555</v>
      </c>
      <c r="L3591">
        <v>214.82679999999999</v>
      </c>
      <c r="M3591">
        <v>0.99688849999999996</v>
      </c>
      <c r="N3591">
        <v>0</v>
      </c>
      <c r="O3591">
        <v>7.0018399999999995E-2</v>
      </c>
      <c r="P3591">
        <v>0.9916412</v>
      </c>
      <c r="Q3591">
        <v>0.11139689999999999</v>
      </c>
      <c r="R3591">
        <v>-6.5106369999999997E-2</v>
      </c>
      <c r="S3591">
        <v>3.0333709999999998</v>
      </c>
      <c r="T3591">
        <v>-0.18263760000000001</v>
      </c>
      <c r="U3591">
        <v>-0.1891022</v>
      </c>
      <c r="V3591">
        <v>0.13427149999999999</v>
      </c>
      <c r="W3591">
        <v>0.14711659999999999</v>
      </c>
      <c r="X3591">
        <v>0.97996320000000003</v>
      </c>
      <c r="Y3591">
        <v>0.13163139999999901</v>
      </c>
      <c r="Z3591">
        <v>-8.1656590000000005E-3</v>
      </c>
      <c r="AA3591">
        <v>0.99126510000000001</v>
      </c>
      <c r="AB3591">
        <v>42</v>
      </c>
      <c r="AC3591">
        <v>18.063300000000002</v>
      </c>
      <c r="AD3591">
        <v>-1.1125524295289999</v>
      </c>
      <c r="AE3591">
        <v>-1.18149999999999</v>
      </c>
      <c r="AF3591">
        <v>2.4349915726846501</v>
      </c>
      <c r="AG3591">
        <v>-1.1125524295289999</v>
      </c>
      <c r="AH3591">
        <v>17.868631053648699</v>
      </c>
      <c r="AI3591">
        <v>93.530257024403596</v>
      </c>
      <c r="AJ3591">
        <v>82.239996500598295</v>
      </c>
      <c r="AK3591">
        <v>18.068063886286101</v>
      </c>
      <c r="AL3591">
        <v>81.540133928783206</v>
      </c>
      <c r="AM3591">
        <v>82.198092378325597</v>
      </c>
      <c r="AN3591">
        <v>1.00000000153102</v>
      </c>
    </row>
    <row r="3592" spans="1:40" x14ac:dyDescent="0.25">
      <c r="A3592" t="str">
        <f>"20190312173001811"</f>
        <v>20190312173001811</v>
      </c>
      <c r="B3592" t="str">
        <f>"1552383001801319"</f>
        <v>1552383001801319</v>
      </c>
      <c r="C3592" t="s">
        <v>40</v>
      </c>
      <c r="D3592">
        <v>3.5933069999999998</v>
      </c>
      <c r="E3592">
        <v>0.50225659999999905</v>
      </c>
      <c r="F3592" t="s">
        <v>47</v>
      </c>
      <c r="G3592">
        <v>-217.26750000000001</v>
      </c>
      <c r="H3592" s="1">
        <v>2.3741310000000001E-6</v>
      </c>
      <c r="I3592">
        <v>213.62100000000001</v>
      </c>
      <c r="J3592">
        <v>-235.274</v>
      </c>
      <c r="K3592">
        <v>1.1124210000000001</v>
      </c>
      <c r="L3592">
        <v>214.8569</v>
      </c>
      <c r="M3592">
        <v>0.99688580000000004</v>
      </c>
      <c r="N3592">
        <v>0</v>
      </c>
      <c r="O3592">
        <v>6.9942610000000002E-2</v>
      </c>
      <c r="P3592">
        <v>0.99147200000000002</v>
      </c>
      <c r="Q3592">
        <v>0.1114122</v>
      </c>
      <c r="R3592">
        <v>-6.7607429999999996E-2</v>
      </c>
      <c r="S3592">
        <v>3.0328219999999999</v>
      </c>
      <c r="T3592">
        <v>-0.18303849999999999</v>
      </c>
      <c r="U3592">
        <v>-0.19837949999999999</v>
      </c>
      <c r="V3592">
        <v>0.1367409</v>
      </c>
      <c r="W3592">
        <v>0.14727879999999999</v>
      </c>
      <c r="X3592">
        <v>0.9795973</v>
      </c>
      <c r="Y3592">
        <v>0.13458020000000001</v>
      </c>
      <c r="Z3592">
        <v>-8.2686249999999999E-3</v>
      </c>
      <c r="AA3592">
        <v>0.99086819999999998</v>
      </c>
      <c r="AB3592">
        <v>42</v>
      </c>
      <c r="AC3592">
        <v>18.0064999999999</v>
      </c>
      <c r="AD3592">
        <v>-1.1124186258690001</v>
      </c>
      <c r="AE3592">
        <v>-1.23590000000001</v>
      </c>
      <c r="AF3592">
        <v>2.4836923328713598</v>
      </c>
      <c r="AG3592">
        <v>-1.1124186258690001</v>
      </c>
      <c r="AH3592">
        <v>17.808195989909098</v>
      </c>
      <c r="AI3592">
        <v>93.540254295595901</v>
      </c>
      <c r="AJ3592">
        <v>82.060227686852997</v>
      </c>
      <c r="AK3592">
        <v>18.0149395563393</v>
      </c>
      <c r="AL3592">
        <v>81.530738145889003</v>
      </c>
      <c r="AM3592">
        <v>82.053492961869793</v>
      </c>
      <c r="AN3592">
        <v>0.99999999441476894</v>
      </c>
    </row>
    <row r="3593" spans="1:40" x14ac:dyDescent="0.25">
      <c r="A3593" t="str">
        <f>"20190312173001832"</f>
        <v>20190312173001832</v>
      </c>
      <c r="B3593" t="str">
        <f>"1552383001821815"</f>
        <v>1552383001821815</v>
      </c>
      <c r="C3593" t="s">
        <v>40</v>
      </c>
      <c r="D3593">
        <v>3.5770460000000002</v>
      </c>
      <c r="E3593">
        <v>0.50232219999999905</v>
      </c>
      <c r="F3593" t="s">
        <v>47</v>
      </c>
      <c r="G3593">
        <v>-216.8768</v>
      </c>
      <c r="H3593" s="1">
        <v>2.1669989999999999E-6</v>
      </c>
      <c r="I3593">
        <v>213.6027</v>
      </c>
      <c r="J3593">
        <v>-234.87979999999999</v>
      </c>
      <c r="K3593">
        <v>1.1122989999999999</v>
      </c>
      <c r="L3593">
        <v>214.8844</v>
      </c>
      <c r="M3593">
        <v>0.99689329999999998</v>
      </c>
      <c r="N3593">
        <v>0</v>
      </c>
      <c r="O3593">
        <v>6.9743860000000005E-2</v>
      </c>
      <c r="P3593">
        <v>0.99131290000000005</v>
      </c>
      <c r="Q3593">
        <v>0.11122940000000001</v>
      </c>
      <c r="R3593">
        <v>-7.019483E-2</v>
      </c>
      <c r="S3593">
        <v>3.0323180000000001</v>
      </c>
      <c r="T3593">
        <v>-0.18335380000000001</v>
      </c>
      <c r="U3593">
        <v>-0.2067261</v>
      </c>
      <c r="V3593">
        <v>0.1391696</v>
      </c>
      <c r="W3593">
        <v>0.14720800000000001</v>
      </c>
      <c r="X3593">
        <v>0.97926590000000002</v>
      </c>
      <c r="Y3593">
        <v>0.13710310000000001</v>
      </c>
      <c r="Z3593">
        <v>-8.3477099999999995E-3</v>
      </c>
      <c r="AA3593">
        <v>0.9905216</v>
      </c>
      <c r="AB3593">
        <v>41</v>
      </c>
      <c r="AC3593">
        <v>18.002999999999901</v>
      </c>
      <c r="AD3593">
        <v>-1.1122968330009999</v>
      </c>
      <c r="AE3593">
        <v>-1.2817000000000001</v>
      </c>
      <c r="AF3593">
        <v>2.5254237220773201</v>
      </c>
      <c r="AG3593">
        <v>-1.1122968330009999</v>
      </c>
      <c r="AH3593">
        <v>17.802039661607498</v>
      </c>
      <c r="AI3593">
        <v>93.539923327878995</v>
      </c>
      <c r="AJ3593">
        <v>81.925811665630704</v>
      </c>
      <c r="AK3593">
        <v>18.014649187097199</v>
      </c>
      <c r="AL3593">
        <v>81.534839759990703</v>
      </c>
      <c r="AM3593">
        <v>81.911502841535594</v>
      </c>
      <c r="AN3593">
        <v>1.0000000378654801</v>
      </c>
    </row>
    <row r="3594" spans="1:40" x14ac:dyDescent="0.25">
      <c r="A3594" t="str">
        <f>"20190312173001855"</f>
        <v>20190312173001855</v>
      </c>
      <c r="B3594" t="str">
        <f>"1552383001851095"</f>
        <v>1552383001851095</v>
      </c>
      <c r="C3594" t="s">
        <v>40</v>
      </c>
      <c r="D3594">
        <v>3.554481</v>
      </c>
      <c r="E3594">
        <v>0.50237699999999996</v>
      </c>
      <c r="F3594" t="s">
        <v>47</v>
      </c>
      <c r="G3594">
        <v>-216.5539</v>
      </c>
      <c r="H3594" s="1">
        <v>1.9960009999999998E-6</v>
      </c>
      <c r="I3594">
        <v>213.5838</v>
      </c>
      <c r="J3594">
        <v>-234.47579999999999</v>
      </c>
      <c r="K3594">
        <v>1.112171</v>
      </c>
      <c r="L3594">
        <v>214.91239999999999</v>
      </c>
      <c r="M3594">
        <v>0.99691079999999999</v>
      </c>
      <c r="N3594">
        <v>0</v>
      </c>
      <c r="O3594">
        <v>6.9407819999999995E-2</v>
      </c>
      <c r="P3594">
        <v>0.99113269999999998</v>
      </c>
      <c r="Q3594">
        <v>0.11093500000000001</v>
      </c>
      <c r="R3594">
        <v>-7.3140140000000006E-2</v>
      </c>
      <c r="S3594">
        <v>3.0316930000000002</v>
      </c>
      <c r="T3594">
        <v>-0.1840098</v>
      </c>
      <c r="U3594">
        <v>-0.2151642</v>
      </c>
      <c r="V3594">
        <v>0.14181949999999999</v>
      </c>
      <c r="W3594">
        <v>0.14700379999999999</v>
      </c>
      <c r="X3594">
        <v>0.97891629999999996</v>
      </c>
      <c r="Y3594">
        <v>0.13952020000000001</v>
      </c>
      <c r="Z3594">
        <v>-8.4314049999999995E-3</v>
      </c>
      <c r="AA3594">
        <v>0.99018340000000005</v>
      </c>
      <c r="AB3594">
        <v>41</v>
      </c>
      <c r="AC3594">
        <v>17.921899999999901</v>
      </c>
      <c r="AD3594">
        <v>-1.112169003999</v>
      </c>
      <c r="AE3594">
        <v>-1.32859999999999</v>
      </c>
      <c r="AF3594">
        <v>2.56034694766036</v>
      </c>
      <c r="AG3594">
        <v>-1.112169003999</v>
      </c>
      <c r="AH3594">
        <v>17.718481907061999</v>
      </c>
      <c r="AI3594">
        <v>93.554853049972806</v>
      </c>
      <c r="AJ3594">
        <v>81.777589387796397</v>
      </c>
      <c r="AK3594">
        <v>17.937025881587399</v>
      </c>
      <c r="AL3594">
        <v>81.546667963778006</v>
      </c>
      <c r="AM3594">
        <v>81.756684655432693</v>
      </c>
      <c r="AN3594">
        <v>1.0000000051001801</v>
      </c>
    </row>
    <row r="3595" spans="1:40" x14ac:dyDescent="0.25">
      <c r="A3595" t="str">
        <f>"20190312173001878"</f>
        <v>20190312173001878</v>
      </c>
      <c r="B3595" t="str">
        <f>"1552383001871591"</f>
        <v>1552383001871591</v>
      </c>
      <c r="C3595" t="s">
        <v>40</v>
      </c>
      <c r="D3595">
        <v>3.5844550000000002</v>
      </c>
      <c r="E3595">
        <v>0.50240030000000002</v>
      </c>
      <c r="F3595" t="s">
        <v>47</v>
      </c>
      <c r="G3595">
        <v>-216.2758</v>
      </c>
      <c r="H3595" s="1">
        <v>1.8488279999999999E-6</v>
      </c>
      <c r="I3595">
        <v>213.5652</v>
      </c>
      <c r="J3595">
        <v>-234.06379999999999</v>
      </c>
      <c r="K3595">
        <v>1.112034</v>
      </c>
      <c r="L3595">
        <v>214.94069999999999</v>
      </c>
      <c r="M3595">
        <v>0.99693900000000002</v>
      </c>
      <c r="N3595">
        <v>0</v>
      </c>
      <c r="O3595">
        <v>6.8928639999999999E-2</v>
      </c>
      <c r="P3595">
        <v>0.99091680000000004</v>
      </c>
      <c r="Q3595">
        <v>0.1105883</v>
      </c>
      <c r="R3595">
        <v>-7.6512689999999994E-2</v>
      </c>
      <c r="S3595">
        <v>3.031021</v>
      </c>
      <c r="T3595">
        <v>-0.1852201</v>
      </c>
      <c r="U3595">
        <v>-0.22436519999999999</v>
      </c>
      <c r="V3595">
        <v>0.14475270000000001</v>
      </c>
      <c r="W3595">
        <v>0.1467251</v>
      </c>
      <c r="X3595">
        <v>0.97852870000000003</v>
      </c>
      <c r="Y3595">
        <v>0.14204079999999999</v>
      </c>
      <c r="Z3595">
        <v>-8.5354569999999998E-3</v>
      </c>
      <c r="AA3595">
        <v>0.98982400000000004</v>
      </c>
      <c r="AB3595">
        <v>41</v>
      </c>
      <c r="AC3595">
        <v>17.787999999999901</v>
      </c>
      <c r="AD3595">
        <v>-1.1120321511719999</v>
      </c>
      <c r="AE3595">
        <v>-1.37549999999998</v>
      </c>
      <c r="AF3595">
        <v>2.58910351621584</v>
      </c>
      <c r="AG3595">
        <v>-1.1120321511719999</v>
      </c>
      <c r="AH3595">
        <v>17.5824513276037</v>
      </c>
      <c r="AI3595">
        <v>93.580440155724602</v>
      </c>
      <c r="AJ3595">
        <v>81.623113167895298</v>
      </c>
      <c r="AK3595">
        <v>17.806815189990399</v>
      </c>
      <c r="AL3595">
        <v>81.562811370225205</v>
      </c>
      <c r="AM3595">
        <v>81.585322097030996</v>
      </c>
      <c r="AN3595">
        <v>1.00000000792549</v>
      </c>
    </row>
    <row r="3596" spans="1:40" x14ac:dyDescent="0.25">
      <c r="A3596" t="str">
        <f>"20190312173001899"</f>
        <v>20190312173001899</v>
      </c>
      <c r="B3596" t="str">
        <f>"1552383001891111"</f>
        <v>1552383001891111</v>
      </c>
      <c r="C3596" t="s">
        <v>40</v>
      </c>
      <c r="D3596">
        <v>3.5474320000000001</v>
      </c>
      <c r="E3596">
        <v>0.50243000000000004</v>
      </c>
      <c r="F3596" t="s">
        <v>47</v>
      </c>
      <c r="G3596">
        <v>-215.99619999999999</v>
      </c>
      <c r="H3596" s="1">
        <v>1.70090999999999E-6</v>
      </c>
      <c r="I3596">
        <v>213.54509999999999</v>
      </c>
      <c r="J3596">
        <v>-233.68780000000001</v>
      </c>
      <c r="K3596">
        <v>1.1119059999999901</v>
      </c>
      <c r="L3596">
        <v>214.96619999999999</v>
      </c>
      <c r="M3596">
        <v>0.9969732</v>
      </c>
      <c r="N3596">
        <v>0</v>
      </c>
      <c r="O3596">
        <v>6.8372039999999995E-2</v>
      </c>
      <c r="P3596">
        <v>0.99083759999999999</v>
      </c>
      <c r="Q3596">
        <v>0.10919470000000001</v>
      </c>
      <c r="R3596">
        <v>-7.9483849999999995E-2</v>
      </c>
      <c r="S3596">
        <v>3.0302730000000002</v>
      </c>
      <c r="T3596">
        <v>-0.18650829999999999</v>
      </c>
      <c r="U3596">
        <v>-0.23406979999999999</v>
      </c>
      <c r="V3596">
        <v>0.1472116</v>
      </c>
      <c r="W3596">
        <v>0.1453816</v>
      </c>
      <c r="X3596">
        <v>0.97836239999999997</v>
      </c>
      <c r="Y3596">
        <v>0.14464850000000001</v>
      </c>
      <c r="Z3596">
        <v>-8.6417909999999994E-3</v>
      </c>
      <c r="AA3596">
        <v>0.98944540000000003</v>
      </c>
      <c r="AB3596">
        <v>40</v>
      </c>
      <c r="AC3596">
        <v>17.691600000000001</v>
      </c>
      <c r="AD3596">
        <v>-1.1119042990900001</v>
      </c>
      <c r="AE3596">
        <v>-1.42109999999999</v>
      </c>
      <c r="AF3596">
        <v>2.61793531444542</v>
      </c>
      <c r="AG3596">
        <v>-1.1119042990900001</v>
      </c>
      <c r="AH3596">
        <v>17.484292065570699</v>
      </c>
      <c r="AI3596">
        <v>93.598784359626194</v>
      </c>
      <c r="AJ3596">
        <v>81.484325130871696</v>
      </c>
      <c r="AK3596">
        <v>17.714129544381699</v>
      </c>
      <c r="AL3596">
        <v>81.640622794156997</v>
      </c>
      <c r="AM3596">
        <v>81.443048100030197</v>
      </c>
      <c r="AN3596">
        <v>1.00000002526343</v>
      </c>
    </row>
    <row r="3597" spans="1:40" x14ac:dyDescent="0.25">
      <c r="A3597" t="str">
        <f>"20190312173001922"</f>
        <v>20190312173001922</v>
      </c>
      <c r="B3597" t="str">
        <f>"1552383001911607"</f>
        <v>1552383001911607</v>
      </c>
      <c r="C3597" t="s">
        <v>40</v>
      </c>
      <c r="D3597">
        <v>3.570106</v>
      </c>
      <c r="E3597">
        <v>0.50246729999999995</v>
      </c>
      <c r="F3597" t="s">
        <v>47</v>
      </c>
      <c r="G3597">
        <v>-216.07040000000001</v>
      </c>
      <c r="H3597" s="1">
        <v>1.74009E-6</v>
      </c>
      <c r="I3597">
        <v>213.55260000000001</v>
      </c>
      <c r="J3597">
        <v>-233.2929</v>
      </c>
      <c r="K3597">
        <v>1.1117809999999999</v>
      </c>
      <c r="L3597">
        <v>214.99260000000001</v>
      </c>
      <c r="M3597">
        <v>0.9970173</v>
      </c>
      <c r="N3597">
        <v>0</v>
      </c>
      <c r="O3597">
        <v>6.7671789999999996E-2</v>
      </c>
      <c r="P3597">
        <v>0.99075899999999995</v>
      </c>
      <c r="Q3597">
        <v>0.1079857</v>
      </c>
      <c r="R3597">
        <v>-8.2072279999999997E-2</v>
      </c>
      <c r="S3597">
        <v>3.0292970000000001</v>
      </c>
      <c r="T3597">
        <v>-0.191191</v>
      </c>
      <c r="U3597">
        <v>-0.2430573</v>
      </c>
      <c r="V3597">
        <v>0.1491468</v>
      </c>
      <c r="W3597">
        <v>0.14421199999999901</v>
      </c>
      <c r="X3597">
        <v>0.97824239999999996</v>
      </c>
      <c r="Y3597">
        <v>0.14687169999999999</v>
      </c>
      <c r="Z3597">
        <v>-8.8861579999999999E-3</v>
      </c>
      <c r="AA3597">
        <v>0.98911570000000004</v>
      </c>
      <c r="AB3597">
        <v>40</v>
      </c>
      <c r="AC3597">
        <v>17.222499999999901</v>
      </c>
      <c r="AD3597">
        <v>-1.11177925990999</v>
      </c>
      <c r="AE3597">
        <v>-1.43999999999999</v>
      </c>
      <c r="AF3597">
        <v>2.5922476927889</v>
      </c>
      <c r="AG3597">
        <v>-1.11177925990999</v>
      </c>
      <c r="AH3597">
        <v>17.015037850284099</v>
      </c>
      <c r="AI3597">
        <v>93.695922033834194</v>
      </c>
      <c r="AJ3597">
        <v>81.337575799405499</v>
      </c>
      <c r="AK3597">
        <v>17.247240772660799</v>
      </c>
      <c r="AL3597">
        <v>81.708349734196403</v>
      </c>
      <c r="AM3597">
        <v>81.331211422504097</v>
      </c>
      <c r="AN3597">
        <v>1.00000003102599</v>
      </c>
    </row>
    <row r="3598" spans="1:40" x14ac:dyDescent="0.25">
      <c r="A3598" t="str">
        <f>"20190312173001944"</f>
        <v>20190312173001944</v>
      </c>
      <c r="B3598" t="str">
        <f>"1552383001931127"</f>
        <v>1552383001931127</v>
      </c>
      <c r="C3598" t="s">
        <v>40</v>
      </c>
      <c r="D3598">
        <v>3.5152389999999998</v>
      </c>
      <c r="E3598">
        <v>0.51813710000000002</v>
      </c>
      <c r="F3598" t="s">
        <v>47</v>
      </c>
      <c r="G3598">
        <v>-216.02019999999999</v>
      </c>
      <c r="H3598" s="1">
        <v>1.7131360000000001E-6</v>
      </c>
      <c r="I3598">
        <v>213.55760000000001</v>
      </c>
      <c r="J3598">
        <v>-232.91399999999999</v>
      </c>
      <c r="K3598">
        <v>1.111675</v>
      </c>
      <c r="L3598">
        <v>215.01750000000001</v>
      </c>
      <c r="M3598">
        <v>0.99706719999999904</v>
      </c>
      <c r="N3598">
        <v>0</v>
      </c>
      <c r="O3598">
        <v>6.6887699999999994E-2</v>
      </c>
      <c r="P3598">
        <v>0.99068560000000006</v>
      </c>
      <c r="Q3598">
        <v>0.10704660000000001</v>
      </c>
      <c r="R3598">
        <v>-8.4162539999999994E-2</v>
      </c>
      <c r="S3598">
        <v>3.028381</v>
      </c>
      <c r="T3598">
        <v>-0.19492509999999999</v>
      </c>
      <c r="U3598">
        <v>-0.2515869</v>
      </c>
      <c r="V3598">
        <v>0.15049650000000001</v>
      </c>
      <c r="W3598">
        <v>0.14330079999999901</v>
      </c>
      <c r="X3598">
        <v>0.97816959999999997</v>
      </c>
      <c r="Y3598">
        <v>0.14886569999999999</v>
      </c>
      <c r="Z3598">
        <v>-9.0748140000000005E-3</v>
      </c>
      <c r="AA3598">
        <v>0.98881580000000002</v>
      </c>
      <c r="AB3598">
        <v>39</v>
      </c>
      <c r="AC3598">
        <v>16.893799999999999</v>
      </c>
      <c r="AD3598">
        <v>-1.111673286864</v>
      </c>
      <c r="AE3598">
        <v>-1.4599</v>
      </c>
      <c r="AF3598">
        <v>2.5763225918874002</v>
      </c>
      <c r="AG3598">
        <v>-1.111673286864</v>
      </c>
      <c r="AH3598">
        <v>16.6864782754431</v>
      </c>
      <c r="AI3598">
        <v>93.7669780638237</v>
      </c>
      <c r="AJ3598">
        <v>81.223074584765101</v>
      </c>
      <c r="AK3598">
        <v>16.920750953519502</v>
      </c>
      <c r="AL3598">
        <v>81.7611057020288</v>
      </c>
      <c r="AM3598">
        <v>81.253330239327298</v>
      </c>
      <c r="AN3598">
        <v>1.0000000410785199</v>
      </c>
    </row>
    <row r="3599" spans="1:40" x14ac:dyDescent="0.25">
      <c r="A3599" t="str">
        <f>"20190312173001967"</f>
        <v>20190312173001967</v>
      </c>
      <c r="B3599" t="str">
        <f>"1552383001961383"</f>
        <v>1552383001961383</v>
      </c>
      <c r="C3599" t="s">
        <v>40</v>
      </c>
      <c r="D3599">
        <v>3.504143</v>
      </c>
      <c r="E3599">
        <v>0.51868130000000001</v>
      </c>
      <c r="F3599" t="s">
        <v>47</v>
      </c>
      <c r="G3599">
        <v>-212.57480000000001</v>
      </c>
      <c r="H3599" s="1">
        <v>-7.1093889999999999E-8</v>
      </c>
      <c r="I3599">
        <v>212.4308</v>
      </c>
      <c r="J3599">
        <v>-232.52930000000001</v>
      </c>
      <c r="K3599">
        <v>1.11158</v>
      </c>
      <c r="L3599">
        <v>215.04230000000001</v>
      </c>
      <c r="M3599">
        <v>0.99712469999999997</v>
      </c>
      <c r="N3599">
        <v>0</v>
      </c>
      <c r="O3599">
        <v>6.5989870000000006E-2</v>
      </c>
      <c r="P3599">
        <v>0.99052169999999895</v>
      </c>
      <c r="Q3599">
        <v>0.1065903</v>
      </c>
      <c r="R3599">
        <v>-8.6633639999999998E-2</v>
      </c>
      <c r="S3599">
        <v>3.0134280000000002</v>
      </c>
      <c r="T3599">
        <v>-0.1647042</v>
      </c>
      <c r="U3599">
        <v>-0.38323970000000002</v>
      </c>
      <c r="V3599">
        <v>0.15210379999999901</v>
      </c>
      <c r="W3599">
        <v>0.14285619999999999</v>
      </c>
      <c r="X3599">
        <v>0.97798600000000002</v>
      </c>
      <c r="Y3599">
        <v>0.19101560000000001</v>
      </c>
      <c r="Z3599">
        <v>-8.7893469999999994E-3</v>
      </c>
      <c r="AA3599">
        <v>0.98154770000000002</v>
      </c>
      <c r="AB3599">
        <v>39</v>
      </c>
      <c r="AC3599">
        <v>19.954499999999999</v>
      </c>
      <c r="AD3599">
        <v>-1.1115800710938899</v>
      </c>
      <c r="AE3599">
        <v>-2.6114999999999999</v>
      </c>
      <c r="AF3599">
        <v>3.9115755017851099</v>
      </c>
      <c r="AG3599">
        <v>-1.1115800710938899</v>
      </c>
      <c r="AH3599">
        <v>19.6784557913344</v>
      </c>
      <c r="AI3599">
        <v>93.171129600885706</v>
      </c>
      <c r="AJ3599">
        <v>78.757597957950793</v>
      </c>
      <c r="AK3599">
        <v>20.094219454662099</v>
      </c>
      <c r="AL3599">
        <v>81.7868441942761</v>
      </c>
      <c r="AM3599">
        <v>81.159750221132498</v>
      </c>
      <c r="AN3599">
        <v>1.00000003802443</v>
      </c>
    </row>
    <row r="3600" spans="1:40" x14ac:dyDescent="0.25">
      <c r="A3600" t="str">
        <f>"20190312173001990"</f>
        <v>20190312173001990</v>
      </c>
      <c r="B3600" t="str">
        <f>"1552383001980904"</f>
        <v>1552383001980904</v>
      </c>
      <c r="C3600" t="s">
        <v>40</v>
      </c>
      <c r="D3600">
        <v>3.5209389999999998</v>
      </c>
      <c r="E3600">
        <v>0.5187543</v>
      </c>
      <c r="F3600" t="s">
        <v>47</v>
      </c>
      <c r="G3600">
        <v>-212.50800000000001</v>
      </c>
      <c r="H3600" s="1">
        <v>-1.060493E-7</v>
      </c>
      <c r="I3600">
        <v>212.4179</v>
      </c>
      <c r="J3600">
        <v>-232.1429</v>
      </c>
      <c r="K3600">
        <v>1.1114999999999999</v>
      </c>
      <c r="L3600">
        <v>215.0668</v>
      </c>
      <c r="M3600">
        <v>0.99718850000000003</v>
      </c>
      <c r="N3600">
        <v>0</v>
      </c>
      <c r="O3600">
        <v>6.5006590000000003E-2</v>
      </c>
      <c r="P3600">
        <v>0.99039630000000001</v>
      </c>
      <c r="Q3600">
        <v>0.1061473</v>
      </c>
      <c r="R3600">
        <v>-8.8589689999999999E-2</v>
      </c>
      <c r="S3600">
        <v>3.0121769999999999</v>
      </c>
      <c r="T3600">
        <v>-0.16723560000000001</v>
      </c>
      <c r="U3600">
        <v>-0.39483639999999998</v>
      </c>
      <c r="V3600">
        <v>0.15310960000000001</v>
      </c>
      <c r="W3600">
        <v>0.14239739999999901</v>
      </c>
      <c r="X3600">
        <v>0.97789590000000004</v>
      </c>
      <c r="Y3600">
        <v>0.19380040000000001</v>
      </c>
      <c r="Z3600">
        <v>-8.9483689999999994E-3</v>
      </c>
      <c r="AA3600">
        <v>0.98100019999999999</v>
      </c>
      <c r="AB3600">
        <v>38</v>
      </c>
      <c r="AC3600">
        <v>19.634899999999998</v>
      </c>
      <c r="AD3600">
        <v>-1.1115001060492999</v>
      </c>
      <c r="AE3600">
        <v>-2.64889999999999</v>
      </c>
      <c r="AF3600">
        <v>3.9082745260866498</v>
      </c>
      <c r="AG3600">
        <v>-1.1115001060492999</v>
      </c>
      <c r="AH3600">
        <v>19.360064831808899</v>
      </c>
      <c r="AI3600">
        <v>93.221022106815795</v>
      </c>
      <c r="AJ3600">
        <v>78.586916846033802</v>
      </c>
      <c r="AK3600">
        <v>19.781864233404502</v>
      </c>
      <c r="AL3600">
        <v>81.813402543551405</v>
      </c>
      <c r="AM3600">
        <v>81.101418927213402</v>
      </c>
      <c r="AN3600">
        <v>0.99999998018786396</v>
      </c>
    </row>
    <row r="3601" spans="1:40" x14ac:dyDescent="0.25">
      <c r="A3601" t="str">
        <f>"20190312173002011"</f>
        <v>20190312173002011</v>
      </c>
      <c r="B3601" t="str">
        <f>"1552383002001400"</f>
        <v>1552383002001400</v>
      </c>
      <c r="C3601" t="s">
        <v>40</v>
      </c>
      <c r="D3601">
        <v>3.5206230000000001</v>
      </c>
      <c r="E3601">
        <v>0.51891019999999999</v>
      </c>
      <c r="F3601" t="s">
        <v>47</v>
      </c>
      <c r="G3601">
        <v>-212.1429</v>
      </c>
      <c r="H3601" s="1">
        <v>-2.9958739999999999E-7</v>
      </c>
      <c r="I3601">
        <v>212.40100000000001</v>
      </c>
      <c r="J3601">
        <v>-231.7818</v>
      </c>
      <c r="K3601">
        <v>1.111437</v>
      </c>
      <c r="L3601">
        <v>215.08930000000001</v>
      </c>
      <c r="M3601">
        <v>0.99725189999999997</v>
      </c>
      <c r="N3601">
        <v>0</v>
      </c>
      <c r="O3601">
        <v>6.4030340000000005E-2</v>
      </c>
      <c r="P3601">
        <v>0.99030609999999997</v>
      </c>
      <c r="Q3601">
        <v>0.10587489999999999</v>
      </c>
      <c r="R3601">
        <v>-8.9914499999999994E-2</v>
      </c>
      <c r="S3601">
        <v>3.011139</v>
      </c>
      <c r="T3601">
        <v>-0.1673442</v>
      </c>
      <c r="U3601">
        <v>-0.40136719999999998</v>
      </c>
      <c r="V3601">
        <v>0.15348729999999999</v>
      </c>
      <c r="W3601">
        <v>0.14208879999999999</v>
      </c>
      <c r="X3601">
        <v>0.97788160000000002</v>
      </c>
      <c r="Y3601">
        <v>0.1949737</v>
      </c>
      <c r="Z3601">
        <v>-8.9344130000000004E-3</v>
      </c>
      <c r="AA3601">
        <v>0.98076779999999997</v>
      </c>
      <c r="AB3601">
        <v>38</v>
      </c>
      <c r="AC3601">
        <v>19.6389</v>
      </c>
      <c r="AD3601">
        <v>-1.1114372995874</v>
      </c>
      <c r="AE3601">
        <v>-2.6883000000000199</v>
      </c>
      <c r="AF3601">
        <v>3.9287835019204902</v>
      </c>
      <c r="AG3601">
        <v>-1.1114372995874</v>
      </c>
      <c r="AH3601">
        <v>19.3654079981515</v>
      </c>
      <c r="AI3601">
        <v>93.219326966259999</v>
      </c>
      <c r="AJ3601">
        <v>78.531690785411897</v>
      </c>
      <c r="AK3601">
        <v>19.791151043098701</v>
      </c>
      <c r="AL3601">
        <v>81.831265829119701</v>
      </c>
      <c r="AM3601">
        <v>81.079691597717698</v>
      </c>
      <c r="AN3601">
        <v>1.00000000098264</v>
      </c>
    </row>
    <row r="3602" spans="1:40" x14ac:dyDescent="0.25">
      <c r="A3602" t="str">
        <f>"20190312173002033"</f>
        <v>20190312173002033</v>
      </c>
      <c r="B3602" t="str">
        <f>"1552383002020919"</f>
        <v>1552383002020919</v>
      </c>
      <c r="C3602" t="s">
        <v>40</v>
      </c>
      <c r="D3602">
        <v>3.4799199999999999</v>
      </c>
      <c r="E3602">
        <v>0.51914939999999998</v>
      </c>
      <c r="F3602" t="s">
        <v>47</v>
      </c>
      <c r="G3602">
        <v>-211.84809999999999</v>
      </c>
      <c r="H3602" s="1">
        <v>-4.563213E-7</v>
      </c>
      <c r="I3602">
        <v>212.3974</v>
      </c>
      <c r="J3602">
        <v>-231.42779999999999</v>
      </c>
      <c r="K3602">
        <v>1.111394</v>
      </c>
      <c r="L3602">
        <v>215.11099999999999</v>
      </c>
      <c r="M3602">
        <v>0.99731639999999999</v>
      </c>
      <c r="N3602">
        <v>0</v>
      </c>
      <c r="O3602">
        <v>6.3033140000000001E-2</v>
      </c>
      <c r="P3602">
        <v>0.99006159999999999</v>
      </c>
      <c r="Q3602">
        <v>0.1067564</v>
      </c>
      <c r="R3602">
        <v>-9.1549630000000007E-2</v>
      </c>
      <c r="S3602">
        <v>3.0104060000000001</v>
      </c>
      <c r="T3602">
        <v>-0.16785029999999901</v>
      </c>
      <c r="U3602">
        <v>-0.40653990000000001</v>
      </c>
      <c r="V3602">
        <v>0.1541411</v>
      </c>
      <c r="W3602">
        <v>0.1429175</v>
      </c>
      <c r="X3602">
        <v>0.97765800000000003</v>
      </c>
      <c r="Y3602">
        <v>0.19567760000000001</v>
      </c>
      <c r="Z3602">
        <v>-8.9267169999999903E-3</v>
      </c>
      <c r="AA3602">
        <v>0.98062769999999999</v>
      </c>
      <c r="AB3602">
        <v>37</v>
      </c>
      <c r="AC3602">
        <v>19.579699999999999</v>
      </c>
      <c r="AD3602">
        <v>-1.1113944563213001</v>
      </c>
      <c r="AE3602">
        <v>-2.71359999999998</v>
      </c>
      <c r="AF3602">
        <v>3.9307966660970299</v>
      </c>
      <c r="AG3602">
        <v>-1.1113944563213001</v>
      </c>
      <c r="AH3602">
        <v>19.308505497394499</v>
      </c>
      <c r="AI3602">
        <v>93.228228661108503</v>
      </c>
      <c r="AJ3602">
        <v>78.493056588927502</v>
      </c>
      <c r="AK3602">
        <v>19.735874559052501</v>
      </c>
      <c r="AL3602">
        <v>81.783295465511998</v>
      </c>
      <c r="AM3602">
        <v>81.040293727156694</v>
      </c>
      <c r="AN3602">
        <v>1.0000000277397201</v>
      </c>
    </row>
    <row r="3603" spans="1:40" x14ac:dyDescent="0.25">
      <c r="A3603" t="str">
        <f>"20190312173002057"</f>
        <v>20190312173002057</v>
      </c>
      <c r="B3603" t="str">
        <f>"1552383002051175"</f>
        <v>1552383002051175</v>
      </c>
      <c r="C3603" t="s">
        <v>40</v>
      </c>
      <c r="D3603">
        <v>3.4860739999999999</v>
      </c>
      <c r="E3603">
        <v>0.51935880000000001</v>
      </c>
      <c r="F3603" t="s">
        <v>47</v>
      </c>
      <c r="G3603">
        <v>-211.0745</v>
      </c>
      <c r="H3603" s="1">
        <v>-8.6437429999999998E-7</v>
      </c>
      <c r="I3603">
        <v>212.31489999999999</v>
      </c>
      <c r="J3603">
        <v>-231.0566</v>
      </c>
      <c r="K3603">
        <v>1.1113660000000001</v>
      </c>
      <c r="L3603">
        <v>215.13319999999999</v>
      </c>
      <c r="M3603">
        <v>0.99738530000000003</v>
      </c>
      <c r="N3603">
        <v>0</v>
      </c>
      <c r="O3603">
        <v>6.1956869999999997E-2</v>
      </c>
      <c r="P3603">
        <v>0.98980860000000004</v>
      </c>
      <c r="Q3603">
        <v>0.1073837</v>
      </c>
      <c r="R3603">
        <v>-9.3530349999999998E-2</v>
      </c>
      <c r="S3603">
        <v>3.0096129999999999</v>
      </c>
      <c r="T3603">
        <v>-0.16434099999999999</v>
      </c>
      <c r="U3603">
        <v>-0.41345209999999999</v>
      </c>
      <c r="V3603">
        <v>0.15505679999999999</v>
      </c>
      <c r="W3603">
        <v>0.14348150000000001</v>
      </c>
      <c r="X3603">
        <v>0.97743049999999998</v>
      </c>
      <c r="Y3603">
        <v>0.19688069999999999</v>
      </c>
      <c r="Z3603">
        <v>-8.7154910000000006E-3</v>
      </c>
      <c r="AA3603">
        <v>0.9803887</v>
      </c>
      <c r="AB3603">
        <v>37</v>
      </c>
      <c r="AC3603">
        <v>19.982099999999999</v>
      </c>
      <c r="AD3603">
        <v>-1.1113668643743</v>
      </c>
      <c r="AE3603">
        <v>-2.81829999999999</v>
      </c>
      <c r="AF3603">
        <v>4.0395119686799896</v>
      </c>
      <c r="AG3603">
        <v>-1.1113668643743</v>
      </c>
      <c r="AH3603">
        <v>19.709145063064899</v>
      </c>
      <c r="AI3603">
        <v>93.161810220037196</v>
      </c>
      <c r="AJ3603">
        <v>78.417280769683501</v>
      </c>
      <c r="AK3603">
        <v>20.149520896767601</v>
      </c>
      <c r="AL3603">
        <v>81.7506436337016</v>
      </c>
      <c r="AM3603">
        <v>80.985875047176094</v>
      </c>
      <c r="AN3603">
        <v>0.99999996719936901</v>
      </c>
    </row>
    <row r="3604" spans="1:40" x14ac:dyDescent="0.25">
      <c r="A3604" t="str">
        <f>"20190312173002079"</f>
        <v>20190312173002079</v>
      </c>
      <c r="B3604" t="str">
        <f>"1552383002071671"</f>
        <v>1552383002071671</v>
      </c>
      <c r="C3604" t="s">
        <v>40</v>
      </c>
      <c r="D3604">
        <v>3.4840279999999999</v>
      </c>
      <c r="E3604">
        <v>0.51946959999999998</v>
      </c>
      <c r="F3604" t="s">
        <v>47</v>
      </c>
      <c r="G3604">
        <v>-210.50139999999999</v>
      </c>
      <c r="H3604" s="1">
        <v>-1.166976E-6</v>
      </c>
      <c r="I3604">
        <v>212.2595</v>
      </c>
      <c r="J3604">
        <v>-230.68989999999999</v>
      </c>
      <c r="K3604">
        <v>1.111359</v>
      </c>
      <c r="L3604">
        <v>215.15469999999999</v>
      </c>
      <c r="M3604">
        <v>0.99745410000000001</v>
      </c>
      <c r="N3604">
        <v>0</v>
      </c>
      <c r="O3604">
        <v>6.0871639999999998E-2</v>
      </c>
      <c r="P3604">
        <v>0.98958670000000004</v>
      </c>
      <c r="Q3604">
        <v>0.1076609</v>
      </c>
      <c r="R3604">
        <v>-9.5538709999999999E-2</v>
      </c>
      <c r="S3604">
        <v>3.0087739999999998</v>
      </c>
      <c r="T3604">
        <v>-0.1626763</v>
      </c>
      <c r="U3604">
        <v>-0.42063899999999999</v>
      </c>
      <c r="V3604">
        <v>0.15598809999999999</v>
      </c>
      <c r="W3604">
        <v>0.14368819999999999</v>
      </c>
      <c r="X3604">
        <v>0.97725189999999995</v>
      </c>
      <c r="Y3604">
        <v>0.19815559999999999</v>
      </c>
      <c r="Z3604">
        <v>-8.6042110000000005E-3</v>
      </c>
      <c r="AA3604">
        <v>0.98013280000000003</v>
      </c>
      <c r="AB3604">
        <v>36</v>
      </c>
      <c r="AC3604">
        <v>20.188500000000001</v>
      </c>
      <c r="AD3604">
        <v>-1.111360166976</v>
      </c>
      <c r="AE3604">
        <v>-2.89519999999998</v>
      </c>
      <c r="AF3604">
        <v>4.1073833940850202</v>
      </c>
      <c r="AG3604">
        <v>-1.111360166976</v>
      </c>
      <c r="AH3604">
        <v>19.915517397330401</v>
      </c>
      <c r="AI3604">
        <v>93.128301994661896</v>
      </c>
      <c r="AJ3604">
        <v>78.346689440032307</v>
      </c>
      <c r="AK3604">
        <v>20.365008052296801</v>
      </c>
      <c r="AL3604">
        <v>81.738676293051398</v>
      </c>
      <c r="AM3604">
        <v>80.931001770691907</v>
      </c>
      <c r="AN3604">
        <v>0.99999993110722696</v>
      </c>
    </row>
    <row r="3605" spans="1:40" x14ac:dyDescent="0.25">
      <c r="A3605" t="str">
        <f>"20190312173002100"</f>
        <v>20190312173002100</v>
      </c>
      <c r="B3605" t="str">
        <f>"1552383002091192"</f>
        <v>1552383002091192</v>
      </c>
      <c r="C3605" t="s">
        <v>40</v>
      </c>
      <c r="D3605">
        <v>3.4836429999999998</v>
      </c>
      <c r="E3605">
        <v>0.51962390000000003</v>
      </c>
      <c r="F3605" t="s">
        <v>47</v>
      </c>
      <c r="G3605">
        <v>-210.0119</v>
      </c>
      <c r="H3605" s="1">
        <v>-1.425419E-6</v>
      </c>
      <c r="I3605">
        <v>212.21369999999999</v>
      </c>
      <c r="J3605">
        <v>-230.34870000000001</v>
      </c>
      <c r="K3605">
        <v>1.1113470000000001</v>
      </c>
      <c r="L3605">
        <v>215.17439999999999</v>
      </c>
      <c r="M3605">
        <v>0.99751880000000004</v>
      </c>
      <c r="N3605">
        <v>0</v>
      </c>
      <c r="O3605">
        <v>5.9847490000000003E-2</v>
      </c>
      <c r="P3605">
        <v>0.98942169999999896</v>
      </c>
      <c r="Q3605">
        <v>0.1075453</v>
      </c>
      <c r="R3605">
        <v>-9.7360459999999996E-2</v>
      </c>
      <c r="S3605">
        <v>3.0078580000000001</v>
      </c>
      <c r="T3605">
        <v>-0.16166029999999901</v>
      </c>
      <c r="U3605">
        <v>-0.42781069999999999</v>
      </c>
      <c r="V3605">
        <v>0.15679199999999999</v>
      </c>
      <c r="W3605">
        <v>0.14349139999999999</v>
      </c>
      <c r="X3605">
        <v>0.97715220000000003</v>
      </c>
      <c r="Y3605">
        <v>0.1994853</v>
      </c>
      <c r="Z3605">
        <v>-8.5324790000000008E-3</v>
      </c>
      <c r="AA3605">
        <v>0.97986359999999995</v>
      </c>
      <c r="AB3605">
        <v>36</v>
      </c>
      <c r="AC3605">
        <v>20.3368</v>
      </c>
      <c r="AD3605">
        <v>-1.11134842541899</v>
      </c>
      <c r="AE3605">
        <v>-2.9607000000000001</v>
      </c>
      <c r="AF3605">
        <v>4.1611608793678103</v>
      </c>
      <c r="AG3605">
        <v>-1.11134842541899</v>
      </c>
      <c r="AH3605">
        <v>20.0643096470912</v>
      </c>
      <c r="AI3605">
        <v>93.104408797266203</v>
      </c>
      <c r="AJ3605">
        <v>78.283456644319401</v>
      </c>
      <c r="AK3605">
        <v>20.521376094234501</v>
      </c>
      <c r="AL3605">
        <v>81.750070477500699</v>
      </c>
      <c r="AM3605">
        <v>80.884132036074007</v>
      </c>
      <c r="AN3605">
        <v>0.99999996755139897</v>
      </c>
    </row>
    <row r="3606" spans="1:40" x14ac:dyDescent="0.25">
      <c r="A3606" t="str">
        <f>"20190312173002122"</f>
        <v>20190312173002122</v>
      </c>
      <c r="B3606" t="str">
        <f>"1552383002111688"</f>
        <v>1552383002111688</v>
      </c>
      <c r="C3606" t="s">
        <v>40</v>
      </c>
      <c r="D3606">
        <v>3.4930910000000002</v>
      </c>
      <c r="E3606">
        <v>0.51969620000000005</v>
      </c>
      <c r="F3606" t="s">
        <v>46</v>
      </c>
      <c r="G3606">
        <v>-209.739</v>
      </c>
      <c r="H3606" s="1">
        <v>6.747609E-6</v>
      </c>
      <c r="I3606">
        <v>212.19370000000001</v>
      </c>
      <c r="J3606">
        <v>-230.00890000000001</v>
      </c>
      <c r="K3606">
        <v>1.1113459999999999</v>
      </c>
      <c r="L3606">
        <v>215.1936</v>
      </c>
      <c r="M3606">
        <v>0.99758329999999995</v>
      </c>
      <c r="N3606">
        <v>0</v>
      </c>
      <c r="O3606">
        <v>5.882018E-2</v>
      </c>
      <c r="P3606">
        <v>0.98917100000000002</v>
      </c>
      <c r="Q3606">
        <v>0.1076593</v>
      </c>
      <c r="R3606">
        <v>-9.9751080000000006E-2</v>
      </c>
      <c r="S3606">
        <v>3.0068969999999999</v>
      </c>
      <c r="T3606">
        <v>-0.16214120000000001</v>
      </c>
      <c r="U3606">
        <v>-0.43487550000000003</v>
      </c>
      <c r="V3606">
        <v>0.15815399999999999</v>
      </c>
      <c r="W3606">
        <v>0.1435023</v>
      </c>
      <c r="X3606">
        <v>0.97693110000000005</v>
      </c>
      <c r="Y3606">
        <v>0.2007728</v>
      </c>
      <c r="Z3606">
        <v>-8.5385129999999993E-3</v>
      </c>
      <c r="AA3606">
        <v>0.97960060000000004</v>
      </c>
      <c r="AB3606">
        <v>36</v>
      </c>
      <c r="AC3606">
        <v>20.2699</v>
      </c>
      <c r="AD3606">
        <v>-1.111339252391</v>
      </c>
      <c r="AE3606">
        <v>-2.99989999999999</v>
      </c>
      <c r="AF3606">
        <v>4.17551161704833</v>
      </c>
      <c r="AG3606">
        <v>-1.111339252391</v>
      </c>
      <c r="AH3606">
        <v>19.999351377041201</v>
      </c>
      <c r="AI3606">
        <v>93.1135841567786</v>
      </c>
      <c r="AJ3606">
        <v>78.207056580133298</v>
      </c>
      <c r="AK3606">
        <v>20.4607924504494</v>
      </c>
      <c r="AL3606">
        <v>81.749439575694197</v>
      </c>
      <c r="AM3606">
        <v>80.804246927545705</v>
      </c>
      <c r="AN3606">
        <v>0.999999985984249</v>
      </c>
    </row>
    <row r="3607" spans="1:40" x14ac:dyDescent="0.25">
      <c r="A3607" t="str">
        <f>"20190312173002145"</f>
        <v>20190312173002145</v>
      </c>
      <c r="B3607" t="str">
        <f>"1552383002140971"</f>
        <v>1552383002140971</v>
      </c>
      <c r="C3607" t="s">
        <v>40</v>
      </c>
      <c r="D3607">
        <v>3.5140159999999998</v>
      </c>
      <c r="E3607">
        <v>0.51983409999999997</v>
      </c>
      <c r="F3607" t="s">
        <v>46</v>
      </c>
      <c r="G3607">
        <v>-209.36619999999999</v>
      </c>
      <c r="H3607" s="1">
        <v>6.5858380000000003E-6</v>
      </c>
      <c r="I3607">
        <v>212.1532</v>
      </c>
      <c r="J3607">
        <v>-229.65639999999999</v>
      </c>
      <c r="K3607">
        <v>1.1113550000000001</v>
      </c>
      <c r="L3607">
        <v>215.2131</v>
      </c>
      <c r="M3607">
        <v>0.99765009999999998</v>
      </c>
      <c r="N3607">
        <v>0</v>
      </c>
      <c r="O3607">
        <v>5.7747079999999999E-2</v>
      </c>
      <c r="P3607">
        <v>0.98900849999999996</v>
      </c>
      <c r="Q3607">
        <v>0.10771409999999999</v>
      </c>
      <c r="R3607">
        <v>-0.1012912</v>
      </c>
      <c r="S3607">
        <v>3.005814</v>
      </c>
      <c r="T3607">
        <v>-0.16182340000000001</v>
      </c>
      <c r="U3607">
        <v>-0.44271850000000001</v>
      </c>
      <c r="V3607">
        <v>0.15862490000000001</v>
      </c>
      <c r="W3607">
        <v>0.14344189999999901</v>
      </c>
      <c r="X3607">
        <v>0.97686360000000005</v>
      </c>
      <c r="Y3607">
        <v>0.20227210000000001</v>
      </c>
      <c r="Z3607">
        <v>-8.5058949999999994E-3</v>
      </c>
      <c r="AA3607">
        <v>0.97929239999999995</v>
      </c>
      <c r="AB3607">
        <v>35</v>
      </c>
      <c r="AC3607">
        <v>20.290199999999999</v>
      </c>
      <c r="AD3607">
        <v>-1.11134841416199</v>
      </c>
      <c r="AE3607">
        <v>-3.0598999999999901</v>
      </c>
      <c r="AF3607">
        <v>4.2149201625257096</v>
      </c>
      <c r="AG3607">
        <v>-1.11134841416199</v>
      </c>
      <c r="AH3607">
        <v>20.020746438711999</v>
      </c>
      <c r="AI3607">
        <v>93.109201147390394</v>
      </c>
      <c r="AJ3607">
        <v>78.111270230194904</v>
      </c>
      <c r="AK3607">
        <v>20.489776358889898</v>
      </c>
      <c r="AL3607">
        <v>81.752936246036995</v>
      </c>
      <c r="AM3607">
        <v>80.776710278766998</v>
      </c>
      <c r="AN3607">
        <v>0.99999996529028901</v>
      </c>
    </row>
    <row r="3608" spans="1:40" x14ac:dyDescent="0.25">
      <c r="A3608" t="str">
        <f>"20190312173002168"</f>
        <v>20190312173002168</v>
      </c>
      <c r="B3608" t="str">
        <f>"1552383002161463"</f>
        <v>1552383002161463</v>
      </c>
      <c r="C3608" t="s">
        <v>40</v>
      </c>
      <c r="D3608">
        <v>3.4842719999999998</v>
      </c>
      <c r="E3608">
        <v>0.51991809999999905</v>
      </c>
      <c r="F3608" t="s">
        <v>46</v>
      </c>
      <c r="G3608">
        <v>-209.04679999999999</v>
      </c>
      <c r="H3608" s="1">
        <v>6.4456779999999998E-6</v>
      </c>
      <c r="I3608">
        <v>212.13630000000001</v>
      </c>
      <c r="J3608">
        <v>-229.3186</v>
      </c>
      <c r="K3608">
        <v>1.1113649999999999</v>
      </c>
      <c r="L3608">
        <v>215.23140000000001</v>
      </c>
      <c r="M3608">
        <v>0.99771399999999999</v>
      </c>
      <c r="N3608">
        <v>0</v>
      </c>
      <c r="O3608">
        <v>5.6710999999999998E-2</v>
      </c>
      <c r="P3608">
        <v>0.98880900000000005</v>
      </c>
      <c r="Q3608">
        <v>0.1079176</v>
      </c>
      <c r="R3608">
        <v>-0.103007</v>
      </c>
      <c r="S3608">
        <v>3.0050659999999998</v>
      </c>
      <c r="T3608">
        <v>-0.16204460000000001</v>
      </c>
      <c r="U3608">
        <v>-0.44862370000000001</v>
      </c>
      <c r="V3608">
        <v>0.15930520000000001</v>
      </c>
      <c r="W3608">
        <v>0.14352300000000001</v>
      </c>
      <c r="X3608">
        <v>0.97674099999999997</v>
      </c>
      <c r="Y3608">
        <v>0.20317209999999999</v>
      </c>
      <c r="Z3608">
        <v>-8.4869170000000001E-3</v>
      </c>
      <c r="AA3608">
        <v>0.97910620000000004</v>
      </c>
      <c r="AB3608">
        <v>34</v>
      </c>
      <c r="AC3608">
        <v>20.271799999999999</v>
      </c>
      <c r="AD3608">
        <v>-1.1113585543219999</v>
      </c>
      <c r="AE3608">
        <v>-3.0951</v>
      </c>
      <c r="AF3608">
        <v>4.2281050317770603</v>
      </c>
      <c r="AG3608">
        <v>-1.1113585543219999</v>
      </c>
      <c r="AH3608">
        <v>20.004730737532199</v>
      </c>
      <c r="AI3608">
        <v>93.111194763809195</v>
      </c>
      <c r="AJ3608">
        <v>78.065870361555199</v>
      </c>
      <c r="AK3608">
        <v>20.476846482727002</v>
      </c>
      <c r="AL3608">
        <v>81.748241178187797</v>
      </c>
      <c r="AM3608">
        <v>80.736695730156995</v>
      </c>
      <c r="AN3608">
        <v>0.999999989678519</v>
      </c>
    </row>
    <row r="3609" spans="1:40" x14ac:dyDescent="0.25">
      <c r="A3609" t="str">
        <f>"20190312173002185"</f>
        <v>20190312173002185</v>
      </c>
      <c r="B3609" t="str">
        <f>"1552383002180984"</f>
        <v>1552383002180984</v>
      </c>
      <c r="C3609" t="s">
        <v>40</v>
      </c>
      <c r="D3609">
        <v>3.481573</v>
      </c>
      <c r="E3609">
        <v>0.51998109999999997</v>
      </c>
      <c r="F3609" t="s">
        <v>46</v>
      </c>
      <c r="G3609">
        <v>-208.6859</v>
      </c>
      <c r="H3609" s="1">
        <v>6.2880690000000002E-6</v>
      </c>
      <c r="I3609">
        <v>212.10849999999999</v>
      </c>
      <c r="J3609">
        <v>-229.05099999999999</v>
      </c>
      <c r="K3609">
        <v>1.1113710000000001</v>
      </c>
      <c r="L3609">
        <v>215.2456</v>
      </c>
      <c r="M3609">
        <v>0.99776480000000001</v>
      </c>
      <c r="N3609">
        <v>0</v>
      </c>
      <c r="O3609">
        <v>5.5883629999999997E-2</v>
      </c>
      <c r="P3609">
        <v>0.98871580000000003</v>
      </c>
      <c r="Q3609">
        <v>0.1076646</v>
      </c>
      <c r="R3609">
        <v>-0.1041608</v>
      </c>
      <c r="S3609">
        <v>3.0042420000000001</v>
      </c>
      <c r="T3609">
        <v>-0.16182050000000001</v>
      </c>
      <c r="U3609">
        <v>-0.4547119</v>
      </c>
      <c r="V3609">
        <v>0.1596349</v>
      </c>
      <c r="W3609">
        <v>0.1431644</v>
      </c>
      <c r="X3609">
        <v>0.97673980000000005</v>
      </c>
      <c r="Y3609">
        <v>0.20433979999999999</v>
      </c>
      <c r="Z3609">
        <v>-8.4631519999999998E-3</v>
      </c>
      <c r="AA3609">
        <v>0.97886340000000005</v>
      </c>
      <c r="AB3609">
        <v>34</v>
      </c>
      <c r="AC3609">
        <v>20.365099999999899</v>
      </c>
      <c r="AD3609">
        <v>-1.1113647119309999</v>
      </c>
      <c r="AE3609">
        <v>-3.1371000000000002</v>
      </c>
      <c r="AF3609">
        <v>4.2586426836502804</v>
      </c>
      <c r="AG3609">
        <v>-1.1113647119309999</v>
      </c>
      <c r="AH3609">
        <v>20.099331617775398</v>
      </c>
      <c r="AI3609">
        <v>93.096268743453095</v>
      </c>
      <c r="AJ3609">
        <v>78.037103652231295</v>
      </c>
      <c r="AK3609">
        <v>20.575575338523102</v>
      </c>
      <c r="AL3609">
        <v>81.769001858791299</v>
      </c>
      <c r="AM3609">
        <v>80.717846425043803</v>
      </c>
      <c r="AN3609">
        <v>0.999999991814705</v>
      </c>
    </row>
    <row r="3610" spans="1:40" x14ac:dyDescent="0.25">
      <c r="A3610" t="str">
        <f>"20190312173002201"</f>
        <v>20190312173002201</v>
      </c>
      <c r="B3610" t="str">
        <f>"1552383002191719"</f>
        <v>1552383002191719</v>
      </c>
      <c r="C3610" t="s">
        <v>40</v>
      </c>
      <c r="D3610">
        <v>3.4791799999999999</v>
      </c>
      <c r="E3610">
        <v>0.52000089999999999</v>
      </c>
      <c r="F3610" t="s">
        <v>46</v>
      </c>
      <c r="G3610">
        <v>-208.54859999999999</v>
      </c>
      <c r="H3610" s="1">
        <v>6.22673599999999E-6</v>
      </c>
      <c r="I3610">
        <v>212.11349999999999</v>
      </c>
      <c r="J3610">
        <v>-228.8126</v>
      </c>
      <c r="K3610">
        <v>1.11137</v>
      </c>
      <c r="L3610">
        <v>215.25810000000001</v>
      </c>
      <c r="M3610">
        <v>0.99781010000000003</v>
      </c>
      <c r="N3610">
        <v>0</v>
      </c>
      <c r="O3610">
        <v>5.5137699999999998E-2</v>
      </c>
      <c r="P3610">
        <v>0.98861929999999998</v>
      </c>
      <c r="Q3610">
        <v>0.1072157</v>
      </c>
      <c r="R3610">
        <v>-0.1055306</v>
      </c>
      <c r="S3610">
        <v>3.0036320000000001</v>
      </c>
      <c r="T3610">
        <v>-0.16281619999999999</v>
      </c>
      <c r="U3610">
        <v>-0.4588623</v>
      </c>
      <c r="V3610">
        <v>0.1602604</v>
      </c>
      <c r="W3610">
        <v>0.1426103</v>
      </c>
      <c r="X3610">
        <v>0.97671839999999999</v>
      </c>
      <c r="Y3610">
        <v>0.2049549</v>
      </c>
      <c r="Z3610">
        <v>-8.4923210000000006E-3</v>
      </c>
      <c r="AA3610">
        <v>0.97873460000000001</v>
      </c>
      <c r="AB3610">
        <v>34</v>
      </c>
      <c r="AC3610">
        <v>20.263999999999999</v>
      </c>
      <c r="AD3610">
        <v>-1.111363773264</v>
      </c>
      <c r="AE3610">
        <v>-3.14460000000002</v>
      </c>
      <c r="AF3610">
        <v>4.2453973111418897</v>
      </c>
      <c r="AG3610">
        <v>-1.111363773264</v>
      </c>
      <c r="AH3610">
        <v>20.0008847007322</v>
      </c>
      <c r="AI3610">
        <v>93.111236592271297</v>
      </c>
      <c r="AJ3610">
        <v>78.016232097601005</v>
      </c>
      <c r="AK3610">
        <v>20.4766676140908</v>
      </c>
      <c r="AL3610">
        <v>81.801078355287899</v>
      </c>
      <c r="AM3610">
        <v>80.681912122707104</v>
      </c>
      <c r="AN3610">
        <v>0.99999996318640405</v>
      </c>
    </row>
    <row r="3611" spans="1:40" x14ac:dyDescent="0.25">
      <c r="A3611" t="str">
        <f>"20190312173002220"</f>
        <v>20190312173002220</v>
      </c>
      <c r="B3611" t="str">
        <f>"1552383002211239"</f>
        <v>1552383002211239</v>
      </c>
      <c r="C3611" t="s">
        <v>40</v>
      </c>
      <c r="D3611">
        <v>3.479403</v>
      </c>
      <c r="E3611">
        <v>0.52001600000000003</v>
      </c>
      <c r="F3611" t="s">
        <v>46</v>
      </c>
      <c r="G3611">
        <v>-208.48740000000001</v>
      </c>
      <c r="H3611" s="1">
        <v>6.1988519999999996E-6</v>
      </c>
      <c r="I3611">
        <v>212.12219999999999</v>
      </c>
      <c r="J3611">
        <v>-228.5471</v>
      </c>
      <c r="K3611">
        <v>1.1113660000000001</v>
      </c>
      <c r="L3611">
        <v>215.27180000000001</v>
      </c>
      <c r="M3611">
        <v>0.99786169999999996</v>
      </c>
      <c r="N3611">
        <v>0</v>
      </c>
      <c r="O3611">
        <v>5.428873E-2</v>
      </c>
      <c r="P3611">
        <v>0.98851630000000001</v>
      </c>
      <c r="Q3611">
        <v>0.10718759999999999</v>
      </c>
      <c r="R3611">
        <v>-0.10652010000000001</v>
      </c>
      <c r="S3611">
        <v>3.0028839999999999</v>
      </c>
      <c r="T3611">
        <v>-0.16419510000000001</v>
      </c>
      <c r="U3611">
        <v>-0.46330260000000001</v>
      </c>
      <c r="V3611">
        <v>0.16040689999999999</v>
      </c>
      <c r="W3611">
        <v>0.14244560000000001</v>
      </c>
      <c r="X3611">
        <v>0.97671839999999999</v>
      </c>
      <c r="Y3611">
        <v>0.2055661</v>
      </c>
      <c r="Z3611">
        <v>-8.535717E-3</v>
      </c>
      <c r="AA3611">
        <v>0.97860599999999998</v>
      </c>
      <c r="AB3611">
        <v>34</v>
      </c>
      <c r="AC3611">
        <v>20.0596999999999</v>
      </c>
      <c r="AD3611">
        <v>-1.1113598011479999</v>
      </c>
      <c r="AE3611">
        <v>-3.1496000000000199</v>
      </c>
      <c r="AF3611">
        <v>4.2220392098682504</v>
      </c>
      <c r="AG3611">
        <v>-1.1113598011479999</v>
      </c>
      <c r="AH3611">
        <v>19.799665238576601</v>
      </c>
      <c r="AI3611">
        <v>93.142157180614902</v>
      </c>
      <c r="AJ3611">
        <v>77.962654386468699</v>
      </c>
      <c r="AK3611">
        <v>20.275292334685801</v>
      </c>
      <c r="AL3611">
        <v>81.810612424528799</v>
      </c>
      <c r="AM3611">
        <v>80.673543714603497</v>
      </c>
      <c r="AN3611">
        <v>0.99999997771276405</v>
      </c>
    </row>
    <row r="3612" spans="1:40" x14ac:dyDescent="0.25">
      <c r="A3612" t="str">
        <f>"20190312173002234"</f>
        <v>20190312173002234</v>
      </c>
      <c r="B3612" t="str">
        <f>"1552383002231736"</f>
        <v>1552383002231736</v>
      </c>
      <c r="C3612" t="s">
        <v>40</v>
      </c>
      <c r="D3612">
        <v>3.459222</v>
      </c>
      <c r="E3612">
        <v>0.52009399999999995</v>
      </c>
      <c r="F3612" t="s">
        <v>46</v>
      </c>
      <c r="G3612">
        <v>-208.25470000000001</v>
      </c>
      <c r="H3612" s="1">
        <v>6.0958659999999999E-6</v>
      </c>
      <c r="I3612">
        <v>212.11949999999999</v>
      </c>
      <c r="J3612">
        <v>-228.3263</v>
      </c>
      <c r="K3612">
        <v>1.1113569999999999</v>
      </c>
      <c r="L3612">
        <v>215.28290000000001</v>
      </c>
      <c r="M3612">
        <v>0.99790639999999997</v>
      </c>
      <c r="N3612">
        <v>0</v>
      </c>
      <c r="O3612">
        <v>5.3556880000000001E-2</v>
      </c>
      <c r="P3612">
        <v>0.98842870000000005</v>
      </c>
      <c r="Q3612">
        <v>0.1072622</v>
      </c>
      <c r="R3612">
        <v>-0.10725750000000001</v>
      </c>
      <c r="S3612">
        <v>3.0024109999999999</v>
      </c>
      <c r="T3612">
        <v>-0.16443350000000001</v>
      </c>
      <c r="U3612">
        <v>-0.46640009999999998</v>
      </c>
      <c r="V3612">
        <v>0.16042000000000001</v>
      </c>
      <c r="W3612">
        <v>0.14238329999999999</v>
      </c>
      <c r="X3612">
        <v>0.97672530000000002</v>
      </c>
      <c r="Y3612">
        <v>0.20585680000000001</v>
      </c>
      <c r="Z3612">
        <v>-8.5167860000000001E-3</v>
      </c>
      <c r="AA3612">
        <v>0.97854509999999995</v>
      </c>
      <c r="AB3612">
        <v>33</v>
      </c>
      <c r="AC3612">
        <v>20.071599999999901</v>
      </c>
      <c r="AD3612">
        <v>-1.111350904134</v>
      </c>
      <c r="AE3612">
        <v>-3.1634000000000202</v>
      </c>
      <c r="AF3612">
        <v>4.2219037559125798</v>
      </c>
      <c r="AG3612">
        <v>-1.111350904134</v>
      </c>
      <c r="AH3612">
        <v>19.813949463266798</v>
      </c>
      <c r="AI3612">
        <v>93.139973980723099</v>
      </c>
      <c r="AJ3612">
        <v>77.971454155299</v>
      </c>
      <c r="AK3612">
        <v>20.289213032771901</v>
      </c>
      <c r="AL3612">
        <v>81.8142184494926</v>
      </c>
      <c r="AM3612">
        <v>80.672860166180001</v>
      </c>
      <c r="AN3612">
        <v>0.99999994608948795</v>
      </c>
    </row>
    <row r="3613" spans="1:40" x14ac:dyDescent="0.25">
      <c r="A3613" t="str">
        <f>"20190312173002253"</f>
        <v>20190312173002253</v>
      </c>
      <c r="B3613" t="str">
        <f>"1552383002241496"</f>
        <v>1552383002241496</v>
      </c>
      <c r="C3613" t="s">
        <v>40</v>
      </c>
      <c r="D3613">
        <v>3.4823740000000001</v>
      </c>
      <c r="E3613">
        <v>0.52014170000000004</v>
      </c>
      <c r="F3613" t="s">
        <v>46</v>
      </c>
      <c r="G3613">
        <v>-207.9881</v>
      </c>
      <c r="H3613" s="1">
        <v>5.9791309999999999E-6</v>
      </c>
      <c r="I3613">
        <v>212.1028</v>
      </c>
      <c r="J3613">
        <v>-228.05930000000001</v>
      </c>
      <c r="K3613">
        <v>1.1113230000000001</v>
      </c>
      <c r="L3613">
        <v>215.2962</v>
      </c>
      <c r="M3613">
        <v>0.99796280000000004</v>
      </c>
      <c r="N3613">
        <v>0</v>
      </c>
      <c r="O3613">
        <v>5.26347E-2</v>
      </c>
      <c r="P3613">
        <v>0.98828099999999997</v>
      </c>
      <c r="Q3613">
        <v>0.1076698</v>
      </c>
      <c r="R3613">
        <v>-0.10820299999999999</v>
      </c>
      <c r="S3613">
        <v>3.0019990000000001</v>
      </c>
      <c r="T3613">
        <v>-0.16404009999999999</v>
      </c>
      <c r="U3613">
        <v>-0.46940609999999999</v>
      </c>
      <c r="V3613">
        <v>0.16045570000000001</v>
      </c>
      <c r="W3613">
        <v>0.14257919999999999</v>
      </c>
      <c r="X3613">
        <v>0.97669090000000003</v>
      </c>
      <c r="Y3613">
        <v>0.20593220000000001</v>
      </c>
      <c r="Z3613">
        <v>-8.4488529999999992E-3</v>
      </c>
      <c r="AA3613">
        <v>0.97852980000000001</v>
      </c>
      <c r="AB3613">
        <v>33</v>
      </c>
      <c r="AC3613">
        <v>20.071200000000001</v>
      </c>
      <c r="AD3613">
        <v>-1.111317020869</v>
      </c>
      <c r="AE3613">
        <v>-3.1933999999999898</v>
      </c>
      <c r="AF3613">
        <v>4.2334384966118002</v>
      </c>
      <c r="AG3613">
        <v>-1.111317020869</v>
      </c>
      <c r="AH3613">
        <v>19.8158990374497</v>
      </c>
      <c r="AI3613">
        <v>93.139211372573001</v>
      </c>
      <c r="AJ3613">
        <v>77.940703492793901</v>
      </c>
      <c r="AK3613">
        <v>20.293518218580701</v>
      </c>
      <c r="AL3613">
        <v>81.802878847906101</v>
      </c>
      <c r="AM3613">
        <v>80.670498179878194</v>
      </c>
      <c r="AN3613">
        <v>0.99999998703896897</v>
      </c>
    </row>
    <row r="3614" spans="1:40" x14ac:dyDescent="0.25">
      <c r="A3614" t="str">
        <f>"20190312173002268"</f>
        <v>20190312173002268</v>
      </c>
      <c r="B3614" t="str">
        <f>"1552383002261016"</f>
        <v>1552383002261016</v>
      </c>
      <c r="C3614" t="s">
        <v>40</v>
      </c>
      <c r="D3614">
        <v>3.4608319999999999</v>
      </c>
      <c r="E3614">
        <v>0.52025670000000002</v>
      </c>
      <c r="F3614" t="s">
        <v>46</v>
      </c>
      <c r="G3614">
        <v>-207.5795</v>
      </c>
      <c r="H3614" s="1">
        <v>5.8006690000000004E-6</v>
      </c>
      <c r="I3614">
        <v>212.07130000000001</v>
      </c>
      <c r="J3614">
        <v>-227.83619999999999</v>
      </c>
      <c r="K3614">
        <v>1.1112820000000001</v>
      </c>
      <c r="L3614">
        <v>215.30699999999999</v>
      </c>
      <c r="M3614">
        <v>0.99801300000000004</v>
      </c>
      <c r="N3614">
        <v>0</v>
      </c>
      <c r="O3614">
        <v>5.1826440000000001E-2</v>
      </c>
      <c r="P3614">
        <v>0.98810989999999999</v>
      </c>
      <c r="Q3614">
        <v>0.1078759</v>
      </c>
      <c r="R3614">
        <v>-0.10955429999999999</v>
      </c>
      <c r="S3614">
        <v>3.0015559999999999</v>
      </c>
      <c r="T3614">
        <v>-0.16287679999999999</v>
      </c>
      <c r="U3614">
        <v>-0.47264099999999998</v>
      </c>
      <c r="V3614">
        <v>0.16100900000000001</v>
      </c>
      <c r="W3614">
        <v>0.1425622</v>
      </c>
      <c r="X3614">
        <v>0.97660230000000003</v>
      </c>
      <c r="Y3614">
        <v>0.20619670000000001</v>
      </c>
      <c r="Z3614">
        <v>-8.3530429999999992E-3</v>
      </c>
      <c r="AA3614">
        <v>0.97847490000000004</v>
      </c>
      <c r="AB3614">
        <v>33</v>
      </c>
      <c r="AC3614">
        <v>20.256699999999899</v>
      </c>
      <c r="AD3614">
        <v>-1.1112761993310001</v>
      </c>
      <c r="AE3614">
        <v>-3.2357</v>
      </c>
      <c r="AF3614">
        <v>4.2693240892231401</v>
      </c>
      <c r="AG3614">
        <v>-1.1112761993310001</v>
      </c>
      <c r="AH3614">
        <v>20.0029368278921</v>
      </c>
      <c r="AI3614">
        <v>93.109931066901098</v>
      </c>
      <c r="AJ3614">
        <v>77.951860953448701</v>
      </c>
      <c r="AK3614">
        <v>20.483640904650301</v>
      </c>
      <c r="AL3614">
        <v>81.803862752481507</v>
      </c>
      <c r="AM3614">
        <v>80.638061501886199</v>
      </c>
      <c r="AN3614">
        <v>0.99999996565756399</v>
      </c>
    </row>
    <row r="3615" spans="1:40" x14ac:dyDescent="0.25">
      <c r="A3615" t="str">
        <f>"20190312173002291"</f>
        <v>20190312173002291</v>
      </c>
      <c r="B3615" t="str">
        <f>"1552383002281513"</f>
        <v>1552383002281513</v>
      </c>
      <c r="C3615" t="s">
        <v>40</v>
      </c>
      <c r="D3615">
        <v>3.4847929999999998</v>
      </c>
      <c r="E3615">
        <v>0.5204008</v>
      </c>
      <c r="F3615" t="s">
        <v>46</v>
      </c>
      <c r="G3615">
        <v>-207.26179999999999</v>
      </c>
      <c r="H3615" s="1">
        <v>5.6631860000000003E-6</v>
      </c>
      <c r="I3615">
        <v>212.0326</v>
      </c>
      <c r="J3615">
        <v>-227.51599999999999</v>
      </c>
      <c r="K3615">
        <v>1.111194</v>
      </c>
      <c r="L3615">
        <v>215.32210000000001</v>
      </c>
      <c r="M3615">
        <v>0.99808889999999995</v>
      </c>
      <c r="N3615">
        <v>0</v>
      </c>
      <c r="O3615">
        <v>5.0595349999999997E-2</v>
      </c>
      <c r="P3615">
        <v>0.98783670000000001</v>
      </c>
      <c r="Q3615">
        <v>0.1081014</v>
      </c>
      <c r="R3615">
        <v>-0.11177330000000001</v>
      </c>
      <c r="S3615">
        <v>3.000839</v>
      </c>
      <c r="T3615">
        <v>-0.16208349999999999</v>
      </c>
      <c r="U3615">
        <v>-0.47758479999999998</v>
      </c>
      <c r="V3615">
        <v>0.162015299999999</v>
      </c>
      <c r="W3615">
        <v>0.14241210000000001</v>
      </c>
      <c r="X3615">
        <v>0.97645780000000004</v>
      </c>
      <c r="Y3615">
        <v>0.20660239999999999</v>
      </c>
      <c r="Z3615">
        <v>-8.2580489999999999E-3</v>
      </c>
      <c r="AA3615">
        <v>0.97839010000000004</v>
      </c>
      <c r="AB3615">
        <v>32</v>
      </c>
      <c r="AC3615">
        <v>20.254200000000001</v>
      </c>
      <c r="AD3615">
        <v>-1.1111883368140001</v>
      </c>
      <c r="AE3615">
        <v>-3.2894999999999999</v>
      </c>
      <c r="AF3615">
        <v>4.2980913186277698</v>
      </c>
      <c r="AG3615">
        <v>-1.1111883368140001</v>
      </c>
      <c r="AH3615">
        <v>20.003029274917399</v>
      </c>
      <c r="AI3615">
        <v>93.108758148489102</v>
      </c>
      <c r="AJ3615">
        <v>77.873128715326601</v>
      </c>
      <c r="AK3615">
        <v>20.489741547329</v>
      </c>
      <c r="AL3615">
        <v>81.812551781980204</v>
      </c>
      <c r="AM3615">
        <v>80.579226241381804</v>
      </c>
      <c r="AN3615">
        <v>0.99999999942066997</v>
      </c>
    </row>
    <row r="3616" spans="1:40" x14ac:dyDescent="0.25">
      <c r="A3616" t="str">
        <f>"20190312173002313"</f>
        <v>20190312173002313</v>
      </c>
      <c r="B3616" t="str">
        <f>"1552383002311767"</f>
        <v>1552383002311767</v>
      </c>
      <c r="C3616" t="s">
        <v>40</v>
      </c>
      <c r="D3616">
        <v>3.4971580000000002</v>
      </c>
      <c r="E3616">
        <v>0.52043989999999996</v>
      </c>
      <c r="F3616" t="s">
        <v>46</v>
      </c>
      <c r="G3616">
        <v>-206.82740000000001</v>
      </c>
      <c r="H3616" s="1">
        <v>5.475626E-6</v>
      </c>
      <c r="I3616">
        <v>211.9743</v>
      </c>
      <c r="J3616">
        <v>-227.19640000000001</v>
      </c>
      <c r="K3616">
        <v>1.1111070000000001</v>
      </c>
      <c r="L3616">
        <v>215.33670000000001</v>
      </c>
      <c r="M3616">
        <v>0.99816859999999996</v>
      </c>
      <c r="N3616">
        <v>0</v>
      </c>
      <c r="O3616">
        <v>4.9275979999999997E-2</v>
      </c>
      <c r="P3616">
        <v>0.98756790000000005</v>
      </c>
      <c r="Q3616">
        <v>0.1083112</v>
      </c>
      <c r="R3616">
        <v>-0.1139216</v>
      </c>
      <c r="S3616">
        <v>2.9996489999999998</v>
      </c>
      <c r="T3616">
        <v>-0.16111210000000001</v>
      </c>
      <c r="U3616">
        <v>-0.48539729999999998</v>
      </c>
      <c r="V3616">
        <v>0.16286719999999999</v>
      </c>
      <c r="W3616">
        <v>0.14221619999999999</v>
      </c>
      <c r="X3616">
        <v>0.97634460000000001</v>
      </c>
      <c r="Y3616">
        <v>0.20785719999999999</v>
      </c>
      <c r="Z3616">
        <v>-8.1731440000000002E-3</v>
      </c>
      <c r="AA3616">
        <v>0.97812500000000002</v>
      </c>
      <c r="AB3616">
        <v>32</v>
      </c>
      <c r="AC3616">
        <v>20.369</v>
      </c>
      <c r="AD3616">
        <v>-1.1111015243739999</v>
      </c>
      <c r="AE3616">
        <v>-3.3624000000000001</v>
      </c>
      <c r="AF3616">
        <v>4.3500308669594396</v>
      </c>
      <c r="AG3616">
        <v>-1.1111015243739999</v>
      </c>
      <c r="AH3616">
        <v>20.1201570518007</v>
      </c>
      <c r="AI3616">
        <v>93.08960974723</v>
      </c>
      <c r="AJ3616">
        <v>77.8002749514757</v>
      </c>
      <c r="AK3616">
        <v>20.614995390009</v>
      </c>
      <c r="AL3616">
        <v>81.823891245830396</v>
      </c>
      <c r="AM3616">
        <v>80.529507274008196</v>
      </c>
      <c r="AN3616">
        <v>0.99999997516371897</v>
      </c>
    </row>
    <row r="3617" spans="1:40" x14ac:dyDescent="0.25">
      <c r="A3617" t="str">
        <f>"20190312173002336"</f>
        <v>20190312173002336</v>
      </c>
      <c r="B3617" t="str">
        <f>"1552383002331287"</f>
        <v>1552383002331287</v>
      </c>
      <c r="C3617" t="s">
        <v>40</v>
      </c>
      <c r="D3617">
        <v>3.463155</v>
      </c>
      <c r="E3617">
        <v>0.52047770000000004</v>
      </c>
      <c r="F3617" t="s">
        <v>46</v>
      </c>
      <c r="G3617">
        <v>-206.47190000000001</v>
      </c>
      <c r="H3617" s="1">
        <v>5.3213929999999996E-6</v>
      </c>
      <c r="I3617">
        <v>211.93510000000001</v>
      </c>
      <c r="J3617">
        <v>-226.8946</v>
      </c>
      <c r="K3617">
        <v>1.11102099999999</v>
      </c>
      <c r="L3617">
        <v>215.35</v>
      </c>
      <c r="M3617">
        <v>0.99824740000000001</v>
      </c>
      <c r="N3617">
        <v>0</v>
      </c>
      <c r="O3617">
        <v>4.7933770000000001E-2</v>
      </c>
      <c r="P3617">
        <v>0.98732750000000002</v>
      </c>
      <c r="Q3617">
        <v>0.1080275</v>
      </c>
      <c r="R3617">
        <v>-0.1162527</v>
      </c>
      <c r="S3617">
        <v>2.9986109999999999</v>
      </c>
      <c r="T3617">
        <v>-0.1607642</v>
      </c>
      <c r="U3617">
        <v>-0.4921722</v>
      </c>
      <c r="V3617">
        <v>0.16387950000000001</v>
      </c>
      <c r="W3617">
        <v>0.1415285</v>
      </c>
      <c r="X3617">
        <v>0.97627509999999995</v>
      </c>
      <c r="Y3617">
        <v>0.2087495</v>
      </c>
      <c r="Z3617">
        <v>-8.1090290000000002E-3</v>
      </c>
      <c r="AA3617">
        <v>0.97793549999999996</v>
      </c>
      <c r="AB3617">
        <v>32</v>
      </c>
      <c r="AC3617">
        <v>20.422699999999899</v>
      </c>
      <c r="AD3617">
        <v>-1.11101567860699</v>
      </c>
      <c r="AE3617">
        <v>-3.4148999999999798</v>
      </c>
      <c r="AF3617">
        <v>4.3778931356333999</v>
      </c>
      <c r="AG3617">
        <v>-1.11101567860699</v>
      </c>
      <c r="AH3617">
        <v>20.177318394233101</v>
      </c>
      <c r="AI3617">
        <v>93.080147618166905</v>
      </c>
      <c r="AJ3617">
        <v>77.758222719505795</v>
      </c>
      <c r="AK3617">
        <v>20.6766651500525</v>
      </c>
      <c r="AL3617">
        <v>81.863695886324507</v>
      </c>
      <c r="AM3617">
        <v>80.4710536730054</v>
      </c>
      <c r="AN3617">
        <v>0.99999993885625305</v>
      </c>
    </row>
    <row r="3618" spans="1:40" x14ac:dyDescent="0.25">
      <c r="A3618" t="str">
        <f>"20190312173002358"</f>
        <v>20190312173002358</v>
      </c>
      <c r="B3618" t="str">
        <f>"1552383002351783"</f>
        <v>1552383002351783</v>
      </c>
      <c r="C3618" t="s">
        <v>40</v>
      </c>
      <c r="D3618">
        <v>3.5104630000000001</v>
      </c>
      <c r="E3618">
        <v>0.52052940000000003</v>
      </c>
      <c r="F3618" t="s">
        <v>46</v>
      </c>
      <c r="G3618">
        <v>-206.3023</v>
      </c>
      <c r="H3618" s="1">
        <v>5.2475619999999998E-6</v>
      </c>
      <c r="I3618">
        <v>211.9195</v>
      </c>
      <c r="J3618">
        <v>-226.58690000000001</v>
      </c>
      <c r="K3618">
        <v>1.1109340000000001</v>
      </c>
      <c r="L3618">
        <v>215.363</v>
      </c>
      <c r="M3618">
        <v>0.99833090000000002</v>
      </c>
      <c r="N3618">
        <v>0</v>
      </c>
      <c r="O3618">
        <v>4.6465159999999998E-2</v>
      </c>
      <c r="P3618">
        <v>0.98710810000000004</v>
      </c>
      <c r="Q3618">
        <v>0.10711469999999999</v>
      </c>
      <c r="R3618">
        <v>-0.11893049999999999</v>
      </c>
      <c r="S3618">
        <v>2.9974059999999998</v>
      </c>
      <c r="T3618">
        <v>-0.1617188</v>
      </c>
      <c r="U3618">
        <v>-0.49934390000000001</v>
      </c>
      <c r="V3618">
        <v>0.1651156</v>
      </c>
      <c r="W3618">
        <v>0.1401906</v>
      </c>
      <c r="X3618">
        <v>0.97625989999999996</v>
      </c>
      <c r="Y3618">
        <v>0.209647</v>
      </c>
      <c r="Z3618">
        <v>-8.1040230000000001E-3</v>
      </c>
      <c r="AA3618">
        <v>0.97774360000000005</v>
      </c>
      <c r="AB3618">
        <v>31</v>
      </c>
      <c r="AC3618">
        <v>20.284600000000001</v>
      </c>
      <c r="AD3618">
        <v>-1.110928752438</v>
      </c>
      <c r="AE3618">
        <v>-3.4434999999999998</v>
      </c>
      <c r="AF3618">
        <v>4.3701176804098196</v>
      </c>
      <c r="AG3618">
        <v>-1.110928752438</v>
      </c>
      <c r="AH3618">
        <v>20.0441310107771</v>
      </c>
      <c r="AI3618">
        <v>93.099655283712593</v>
      </c>
      <c r="AJ3618">
        <v>77.700572070758597</v>
      </c>
      <c r="AK3618">
        <v>20.545054860253298</v>
      </c>
      <c r="AL3618">
        <v>81.941124235744297</v>
      </c>
      <c r="AM3618">
        <v>80.400365300516398</v>
      </c>
      <c r="AN3618">
        <v>0.99999997901986404</v>
      </c>
    </row>
    <row r="3619" spans="1:40" x14ac:dyDescent="0.25">
      <c r="A3619" t="str">
        <f>"20190312173002380"</f>
        <v>20190312173002380</v>
      </c>
      <c r="B3619" t="str">
        <f>"1552383002371304"</f>
        <v>1552383002371304</v>
      </c>
      <c r="C3619" t="s">
        <v>40</v>
      </c>
      <c r="D3619">
        <v>3.4842080000000002</v>
      </c>
      <c r="E3619">
        <v>0.52059169999999999</v>
      </c>
      <c r="F3619" t="s">
        <v>46</v>
      </c>
      <c r="G3619">
        <v>-206.31809999999999</v>
      </c>
      <c r="H3619" s="1">
        <v>5.2541640000000003E-6</v>
      </c>
      <c r="I3619">
        <v>211.92429999999999</v>
      </c>
      <c r="J3619">
        <v>-226.29150000000001</v>
      </c>
      <c r="K3619">
        <v>1.110843</v>
      </c>
      <c r="L3619">
        <v>215.375</v>
      </c>
      <c r="M3619">
        <v>0.99841340000000001</v>
      </c>
      <c r="N3619">
        <v>0</v>
      </c>
      <c r="O3619">
        <v>4.4960260000000002E-2</v>
      </c>
      <c r="P3619">
        <v>0.98682320000000001</v>
      </c>
      <c r="Q3619">
        <v>0.1065512</v>
      </c>
      <c r="R3619">
        <v>-0.1217662</v>
      </c>
      <c r="S3619">
        <v>2.995743</v>
      </c>
      <c r="T3619">
        <v>-0.16419600000000001</v>
      </c>
      <c r="U3619">
        <v>-0.50823969999999996</v>
      </c>
      <c r="V3619">
        <v>0.166472799999999</v>
      </c>
      <c r="W3619">
        <v>0.1392033</v>
      </c>
      <c r="X3619">
        <v>0.97617069999999995</v>
      </c>
      <c r="Y3619">
        <v>0.2110727</v>
      </c>
      <c r="Z3619">
        <v>-8.1872660000000003E-3</v>
      </c>
      <c r="AA3619">
        <v>0.97743610000000003</v>
      </c>
      <c r="AB3619">
        <v>31</v>
      </c>
      <c r="AC3619">
        <v>19.973400000000002</v>
      </c>
      <c r="AD3619">
        <v>-1.1108377458359999</v>
      </c>
      <c r="AE3619">
        <v>-3.4507000000000101</v>
      </c>
      <c r="AF3619">
        <v>4.33271905678507</v>
      </c>
      <c r="AG3619">
        <v>-1.1108377458359999</v>
      </c>
      <c r="AH3619">
        <v>19.738660967391201</v>
      </c>
      <c r="AI3619">
        <v>93.146301685260099</v>
      </c>
      <c r="AJ3619">
        <v>77.619679900624504</v>
      </c>
      <c r="AK3619">
        <v>20.239099577506298</v>
      </c>
      <c r="AL3619">
        <v>81.998252663589597</v>
      </c>
      <c r="AM3619">
        <v>80.322077827627794</v>
      </c>
      <c r="AN3619">
        <v>0.99999999370460901</v>
      </c>
    </row>
    <row r="3620" spans="1:40" x14ac:dyDescent="0.25">
      <c r="A3620" t="str">
        <f>"20190312173002401"</f>
        <v>20190312173002401</v>
      </c>
      <c r="B3620" t="str">
        <f>"1552383002391800"</f>
        <v>1552383002391800</v>
      </c>
      <c r="C3620" t="s">
        <v>40</v>
      </c>
      <c r="D3620">
        <v>3.4677959999999999</v>
      </c>
      <c r="E3620">
        <v>0.52061650000000004</v>
      </c>
      <c r="F3620" t="s">
        <v>46</v>
      </c>
      <c r="G3620">
        <v>-206.21260000000001</v>
      </c>
      <c r="H3620" s="1">
        <v>5.2088680000000002E-6</v>
      </c>
      <c r="I3620">
        <v>211.90729999999999</v>
      </c>
      <c r="J3620">
        <v>-225.9956</v>
      </c>
      <c r="K3620">
        <v>1.11076</v>
      </c>
      <c r="L3620">
        <v>215.38640000000001</v>
      </c>
      <c r="M3620">
        <v>0.99849849999999996</v>
      </c>
      <c r="N3620">
        <v>0</v>
      </c>
      <c r="O3620">
        <v>4.3364279999999998E-2</v>
      </c>
      <c r="P3620">
        <v>0.98638979999999998</v>
      </c>
      <c r="Q3620">
        <v>0.1069039</v>
      </c>
      <c r="R3620">
        <v>-0.1249299</v>
      </c>
      <c r="S3620">
        <v>2.9941409999999999</v>
      </c>
      <c r="T3620">
        <v>-0.16564709999999999</v>
      </c>
      <c r="U3620">
        <v>-0.51708980000000004</v>
      </c>
      <c r="V3620">
        <v>0.16806470000000001</v>
      </c>
      <c r="W3620">
        <v>0.13909939999999901</v>
      </c>
      <c r="X3620">
        <v>0.97591269999999997</v>
      </c>
      <c r="Y3620">
        <v>0.21239630000000001</v>
      </c>
      <c r="Z3620">
        <v>-8.2104150000000004E-3</v>
      </c>
      <c r="AA3620">
        <v>0.97714909999999999</v>
      </c>
      <c r="AB3620">
        <v>31</v>
      </c>
      <c r="AC3620">
        <v>19.782999999999902</v>
      </c>
      <c r="AD3620">
        <v>-1.1107547911319999</v>
      </c>
      <c r="AE3620">
        <v>-3.4791000000000101</v>
      </c>
      <c r="AF3620">
        <v>4.3209670192029002</v>
      </c>
      <c r="AG3620">
        <v>-1.1107547911319999</v>
      </c>
      <c r="AH3620">
        <v>19.553623443048899</v>
      </c>
      <c r="AI3620">
        <v>93.174795473376903</v>
      </c>
      <c r="AJ3620">
        <v>77.539014402796994</v>
      </c>
      <c r="AK3620">
        <v>20.056139258082901</v>
      </c>
      <c r="AL3620">
        <v>82.004264168659404</v>
      </c>
      <c r="AM3620">
        <v>80.228774592004498</v>
      </c>
      <c r="AN3620">
        <v>0.99999999224386904</v>
      </c>
    </row>
    <row r="3621" spans="1:40" x14ac:dyDescent="0.25">
      <c r="A3621" t="str">
        <f>"20190312173002421"</f>
        <v>20190312173002421</v>
      </c>
      <c r="B3621" t="str">
        <f>"1552383002411320"</f>
        <v>1552383002411320</v>
      </c>
      <c r="C3621" t="s">
        <v>40</v>
      </c>
      <c r="D3621">
        <v>3.4636260000000001</v>
      </c>
      <c r="E3621">
        <v>0.52065790000000001</v>
      </c>
      <c r="F3621" t="s">
        <v>46</v>
      </c>
      <c r="G3621">
        <v>-205.7705</v>
      </c>
      <c r="H3621" s="1">
        <v>5.0197399999999998E-6</v>
      </c>
      <c r="I3621">
        <v>211.828</v>
      </c>
      <c r="J3621">
        <v>-225.738</v>
      </c>
      <c r="K3621">
        <v>1.1106799999999999</v>
      </c>
      <c r="L3621">
        <v>215.39580000000001</v>
      </c>
      <c r="M3621">
        <v>0.99857470000000004</v>
      </c>
      <c r="N3621">
        <v>0</v>
      </c>
      <c r="O3621">
        <v>4.1903160000000002E-2</v>
      </c>
      <c r="P3621">
        <v>0.98608929999999995</v>
      </c>
      <c r="Q3621">
        <v>0.107159199999999</v>
      </c>
      <c r="R3621">
        <v>-0.12706249999999999</v>
      </c>
      <c r="S3621">
        <v>2.9925079999999999</v>
      </c>
      <c r="T3621">
        <v>-0.1643474</v>
      </c>
      <c r="U3621">
        <v>-0.52648930000000005</v>
      </c>
      <c r="V3621">
        <v>0.1687621</v>
      </c>
      <c r="W3621">
        <v>0.13892570000000001</v>
      </c>
      <c r="X3621">
        <v>0.97581709999999999</v>
      </c>
      <c r="Y3621">
        <v>0.21403920000000001</v>
      </c>
      <c r="Z3621">
        <v>-8.1133160000000006E-3</v>
      </c>
      <c r="AA3621">
        <v>0.97679139999999998</v>
      </c>
      <c r="AB3621">
        <v>30</v>
      </c>
      <c r="AC3621">
        <v>19.967500000000001</v>
      </c>
      <c r="AD3621">
        <v>-1.11067498026</v>
      </c>
      <c r="AE3621">
        <v>-3.5678000000000001</v>
      </c>
      <c r="AF3621">
        <v>4.3886631311634998</v>
      </c>
      <c r="AG3621">
        <v>-1.11067498026</v>
      </c>
      <c r="AH3621">
        <v>19.741168738465099</v>
      </c>
      <c r="AI3621">
        <v>93.143588031123997</v>
      </c>
      <c r="AJ3621">
        <v>77.466388945751703</v>
      </c>
      <c r="AK3621">
        <v>20.2535850197233</v>
      </c>
      <c r="AL3621">
        <v>82.014314122711198</v>
      </c>
      <c r="AM3621">
        <v>80.188071863873006</v>
      </c>
      <c r="AN3621">
        <v>1.00000000458465</v>
      </c>
    </row>
    <row r="3622" spans="1:40" x14ac:dyDescent="0.25">
      <c r="A3622" t="str">
        <f>"20190312173002435"</f>
        <v>20190312173002435</v>
      </c>
      <c r="B3622" t="str">
        <f>"1552383002430843"</f>
        <v>1552383002430843</v>
      </c>
      <c r="C3622" t="s">
        <v>40</v>
      </c>
      <c r="D3622">
        <v>3.4338709999999999</v>
      </c>
      <c r="E3622">
        <v>0.52070950000000005</v>
      </c>
      <c r="F3622" t="s">
        <v>46</v>
      </c>
      <c r="G3622">
        <v>-205.44220000000001</v>
      </c>
      <c r="H3622" s="1">
        <v>4.8786430000000003E-6</v>
      </c>
      <c r="I3622">
        <v>211.7765</v>
      </c>
      <c r="J3622">
        <v>-225.55080000000001</v>
      </c>
      <c r="K3622">
        <v>1.1106149999999999</v>
      </c>
      <c r="L3622">
        <v>215.4023</v>
      </c>
      <c r="M3622">
        <v>0.99863170000000001</v>
      </c>
      <c r="N3622">
        <v>0</v>
      </c>
      <c r="O3622">
        <v>4.0801120000000003E-2</v>
      </c>
      <c r="P3622">
        <v>0.98582780000000003</v>
      </c>
      <c r="Q3622">
        <v>0.1067829</v>
      </c>
      <c r="R3622">
        <v>-0.1293887</v>
      </c>
      <c r="S3622">
        <v>2.9913789999999998</v>
      </c>
      <c r="T3622">
        <v>-0.16370119999999999</v>
      </c>
      <c r="U3622">
        <v>-0.53344729999999996</v>
      </c>
      <c r="V3622">
        <v>0.16999979999999901</v>
      </c>
      <c r="W3622">
        <v>0.1381927</v>
      </c>
      <c r="X3622">
        <v>0.97570630000000003</v>
      </c>
      <c r="Y3622">
        <v>0.21522920000000001</v>
      </c>
      <c r="Z3622">
        <v>-8.0552260000000004E-3</v>
      </c>
      <c r="AA3622">
        <v>0.97653029999999996</v>
      </c>
      <c r="AB3622">
        <v>30</v>
      </c>
      <c r="AC3622">
        <v>20.108599999999999</v>
      </c>
      <c r="AD3622">
        <v>-1.1106101213570001</v>
      </c>
      <c r="AE3622">
        <v>-3.6257999999999901</v>
      </c>
      <c r="AF3622">
        <v>4.4305806493370898</v>
      </c>
      <c r="AG3622">
        <v>-1.1106101213570001</v>
      </c>
      <c r="AH3622">
        <v>19.8850736573057</v>
      </c>
      <c r="AI3622">
        <v>93.120372002781295</v>
      </c>
      <c r="AJ3622">
        <v>77.439138532550501</v>
      </c>
      <c r="AK3622">
        <v>20.402932487473802</v>
      </c>
      <c r="AL3622">
        <v>82.056720696263397</v>
      </c>
      <c r="AM3622">
        <v>80.116424887377704</v>
      </c>
      <c r="AN3622">
        <v>0.99999996909650901</v>
      </c>
    </row>
    <row r="3623" spans="1:40" x14ac:dyDescent="0.25">
      <c r="A3623" t="str">
        <f>"20190312173002455"</f>
        <v>20190312173002455</v>
      </c>
      <c r="B3623" t="str">
        <f>"1552383002451345"</f>
        <v>1552383002451345</v>
      </c>
      <c r="C3623" t="s">
        <v>40</v>
      </c>
      <c r="D3623">
        <v>3.4005550000000002</v>
      </c>
      <c r="E3623">
        <v>0.5095248</v>
      </c>
      <c r="F3623" t="s">
        <v>46</v>
      </c>
      <c r="G3623">
        <v>-205.422</v>
      </c>
      <c r="H3623" s="1">
        <v>4.8709619999999998E-6</v>
      </c>
      <c r="I3623">
        <v>211.76159999999999</v>
      </c>
      <c r="J3623">
        <v>-225.30119999999999</v>
      </c>
      <c r="K3623">
        <v>1.110527</v>
      </c>
      <c r="L3623">
        <v>215.41069999999999</v>
      </c>
      <c r="M3623">
        <v>0.99870899999999996</v>
      </c>
      <c r="N3623">
        <v>0</v>
      </c>
      <c r="O3623">
        <v>3.9290220000000001E-2</v>
      </c>
      <c r="P3623">
        <v>0.98565360000000002</v>
      </c>
      <c r="Q3623">
        <v>0.1064922</v>
      </c>
      <c r="R3623">
        <v>-0.13094639999999999</v>
      </c>
      <c r="S3623">
        <v>2.990021</v>
      </c>
      <c r="T3623">
        <v>-0.16497419999999999</v>
      </c>
      <c r="U3623">
        <v>-0.540802</v>
      </c>
      <c r="V3623">
        <v>0.17007229999999901</v>
      </c>
      <c r="W3623">
        <v>0.13739029999999999</v>
      </c>
      <c r="X3623">
        <v>0.97580699999999998</v>
      </c>
      <c r="Y3623">
        <v>0.2161497</v>
      </c>
      <c r="Z3623">
        <v>-8.0620399999999995E-3</v>
      </c>
      <c r="AA3623">
        <v>0.9763269</v>
      </c>
      <c r="AB3623">
        <v>30</v>
      </c>
      <c r="AC3623">
        <v>19.879200000000001</v>
      </c>
      <c r="AD3623">
        <v>-1.1105221290379901</v>
      </c>
      <c r="AE3623">
        <v>-3.6490999999999998</v>
      </c>
      <c r="AF3623">
        <v>4.4144155278644304</v>
      </c>
      <c r="AG3623">
        <v>-1.1105221290379901</v>
      </c>
      <c r="AH3623">
        <v>19.6610290945899</v>
      </c>
      <c r="AI3623">
        <v>93.154457315630594</v>
      </c>
      <c r="AJ3623">
        <v>77.3454595146939</v>
      </c>
      <c r="AK3623">
        <v>20.181089884098</v>
      </c>
      <c r="AL3623">
        <v>82.103137769422105</v>
      </c>
      <c r="AM3623">
        <v>80.113293243735697</v>
      </c>
      <c r="AN3623">
        <v>0.99999999150518903</v>
      </c>
    </row>
    <row r="3624" spans="1:40" x14ac:dyDescent="0.25">
      <c r="A3624" t="str">
        <f>"20190312173002470"</f>
        <v>20190312173002470</v>
      </c>
      <c r="B3624" t="str">
        <f>"1552383002461106"</f>
        <v>1552383002461106</v>
      </c>
      <c r="C3624" t="s">
        <v>40</v>
      </c>
      <c r="D3624">
        <v>3.3555959999999998</v>
      </c>
      <c r="E3624">
        <v>0.50535010000000002</v>
      </c>
      <c r="F3624" t="s">
        <v>47</v>
      </c>
      <c r="G3624">
        <v>-214.78200000000001</v>
      </c>
      <c r="H3624" s="1">
        <v>1.042294E-6</v>
      </c>
      <c r="I3624">
        <v>213.83</v>
      </c>
      <c r="J3624">
        <v>-225.0942</v>
      </c>
      <c r="K3624">
        <v>1.1104529999999999</v>
      </c>
      <c r="L3624">
        <v>215.41739999999999</v>
      </c>
      <c r="M3624">
        <v>0.99877400000000005</v>
      </c>
      <c r="N3624">
        <v>0</v>
      </c>
      <c r="O3624">
        <v>3.8002559999999998E-2</v>
      </c>
      <c r="P3624">
        <v>0.98550970000000004</v>
      </c>
      <c r="Q3624">
        <v>0.10545549999999999</v>
      </c>
      <c r="R3624">
        <v>-0.13285269999999999</v>
      </c>
      <c r="S3624">
        <v>3.017868</v>
      </c>
      <c r="T3624">
        <v>-0.31859759999999998</v>
      </c>
      <c r="U3624">
        <v>-0.45347599999999999</v>
      </c>
      <c r="V3624">
        <v>0.17070669999999999</v>
      </c>
      <c r="W3624">
        <v>0.13588539999999999</v>
      </c>
      <c r="X3624">
        <v>0.97590699999999997</v>
      </c>
      <c r="Y3624">
        <v>0.1848746</v>
      </c>
      <c r="Z3624">
        <v>-1.3660510000000001E-2</v>
      </c>
      <c r="AA3624">
        <v>0.98266710000000002</v>
      </c>
      <c r="AB3624">
        <v>29</v>
      </c>
      <c r="AC3624">
        <v>10.312199999999899</v>
      </c>
      <c r="AD3624">
        <v>-1.1104519577059999</v>
      </c>
      <c r="AE3624">
        <v>-1.5873999999999699</v>
      </c>
      <c r="AF3624">
        <v>1.95618126960503</v>
      </c>
      <c r="AG3624">
        <v>-1.1104519577059999</v>
      </c>
      <c r="AH3624">
        <v>10.129646315516201</v>
      </c>
      <c r="AI3624">
        <v>96.1433968084295</v>
      </c>
      <c r="AJ3624">
        <v>79.069903256186095</v>
      </c>
      <c r="AK3624">
        <v>10.3763906628161</v>
      </c>
      <c r="AL3624">
        <v>82.190178975442095</v>
      </c>
      <c r="AM3624">
        <v>80.078142336074805</v>
      </c>
      <c r="AN3624">
        <v>1.0000000460035201</v>
      </c>
    </row>
    <row r="3625" spans="1:40" x14ac:dyDescent="0.25">
      <c r="A3625" t="str">
        <f>"20190312173002493"</f>
        <v>20190312173002493</v>
      </c>
      <c r="B3625" t="str">
        <f>"1552383002481600"</f>
        <v>1552383002481600</v>
      </c>
      <c r="C3625" t="s">
        <v>40</v>
      </c>
      <c r="D3625">
        <v>3.3495780000000002</v>
      </c>
      <c r="E3625">
        <v>0.50114579999999997</v>
      </c>
      <c r="F3625" t="s">
        <v>42</v>
      </c>
      <c r="G3625">
        <v>-224.20840000000001</v>
      </c>
      <c r="H3625">
        <v>0.99676759999999998</v>
      </c>
      <c r="I3625">
        <v>215.29310000000001</v>
      </c>
      <c r="J3625">
        <v>-224.8022</v>
      </c>
      <c r="K3625">
        <v>1.1103609999999999</v>
      </c>
      <c r="L3625">
        <v>215.4263</v>
      </c>
      <c r="M3625">
        <v>0.99886569999999997</v>
      </c>
      <c r="N3625">
        <v>0</v>
      </c>
      <c r="O3625">
        <v>3.6143670000000003E-2</v>
      </c>
      <c r="P3625">
        <v>0.98519800000000002</v>
      </c>
      <c r="Q3625">
        <v>0.10505340000000001</v>
      </c>
      <c r="R3625">
        <v>-0.135458</v>
      </c>
      <c r="S3625">
        <v>3.0284879999999998</v>
      </c>
      <c r="T3625">
        <v>-0.38870389999999999</v>
      </c>
      <c r="U3625">
        <v>-0.4245911</v>
      </c>
      <c r="V3625">
        <v>0.17147109999999999</v>
      </c>
      <c r="W3625">
        <v>0.1347737</v>
      </c>
      <c r="X3625">
        <v>0.97592710000000005</v>
      </c>
      <c r="Y3625">
        <v>0.17287729999999901</v>
      </c>
      <c r="Z3625">
        <v>-1.559809E-2</v>
      </c>
      <c r="AA3625">
        <v>0.98481980000000002</v>
      </c>
      <c r="AB3625">
        <v>29</v>
      </c>
      <c r="AC3625">
        <v>0.593799999999987</v>
      </c>
      <c r="AD3625">
        <v>-0.1135934</v>
      </c>
      <c r="AE3625">
        <v>-0.13319999999998799</v>
      </c>
      <c r="AF3625">
        <v>0.14938057617442099</v>
      </c>
      <c r="AG3625">
        <v>-0.1135934</v>
      </c>
      <c r="AH3625">
        <v>0.56877756303085203</v>
      </c>
      <c r="AI3625">
        <v>100.93284004192201</v>
      </c>
      <c r="AJ3625">
        <v>75.284490106192905</v>
      </c>
      <c r="AK3625">
        <v>0.59893733667978799</v>
      </c>
      <c r="AL3625">
        <v>82.254465707943297</v>
      </c>
      <c r="AM3625">
        <v>80.034803507129197</v>
      </c>
      <c r="AN3625">
        <v>0.99999999643065496</v>
      </c>
    </row>
    <row r="3626" spans="1:40" x14ac:dyDescent="0.25">
      <c r="A3626" t="str">
        <f>"20190312173002513"</f>
        <v>20190312173002513</v>
      </c>
      <c r="B3626" t="str">
        <f>"1552383002510881"</f>
        <v>1552383002510881</v>
      </c>
      <c r="C3626" t="s">
        <v>40</v>
      </c>
      <c r="D3626">
        <v>3.3522470000000002</v>
      </c>
      <c r="E3626">
        <v>0.49788399999999999</v>
      </c>
      <c r="F3626" t="s">
        <v>42</v>
      </c>
      <c r="G3626">
        <v>-223.9648</v>
      </c>
      <c r="H3626">
        <v>0.97070279999999998</v>
      </c>
      <c r="I3626">
        <v>215.31710000000001</v>
      </c>
      <c r="J3626">
        <v>-224.53550000000001</v>
      </c>
      <c r="K3626">
        <v>1.1102780000000001</v>
      </c>
      <c r="L3626">
        <v>215.43379999999999</v>
      </c>
      <c r="M3626">
        <v>0.9989479</v>
      </c>
      <c r="N3626">
        <v>0</v>
      </c>
      <c r="O3626">
        <v>3.441926E-2</v>
      </c>
      <c r="P3626">
        <v>0.98490259999999996</v>
      </c>
      <c r="Q3626">
        <v>0.10514900000000001</v>
      </c>
      <c r="R3626">
        <v>-0.13751640000000001</v>
      </c>
      <c r="S3626">
        <v>3.0447389999999999</v>
      </c>
      <c r="T3626">
        <v>-0.50776030000000005</v>
      </c>
      <c r="U3626">
        <v>-0.3960571</v>
      </c>
      <c r="V3626">
        <v>0.17182149999999999</v>
      </c>
      <c r="W3626">
        <v>0.13418820000000001</v>
      </c>
      <c r="X3626">
        <v>0.97594610000000004</v>
      </c>
      <c r="Y3626">
        <v>0.1604141</v>
      </c>
      <c r="Z3626">
        <v>-1.8911620000000001E-2</v>
      </c>
      <c r="AA3626">
        <v>0.98686859999999998</v>
      </c>
      <c r="AB3626">
        <v>29</v>
      </c>
      <c r="AC3626">
        <v>0.57070000000001597</v>
      </c>
      <c r="AD3626">
        <v>-0.13957520000000001</v>
      </c>
      <c r="AE3626">
        <v>-0.11669999999998</v>
      </c>
      <c r="AF3626">
        <v>0.12888330735287701</v>
      </c>
      <c r="AG3626">
        <v>-0.13957520000000001</v>
      </c>
      <c r="AH3626">
        <v>0.53559295497189296</v>
      </c>
      <c r="AI3626">
        <v>104.217660178043</v>
      </c>
      <c r="AJ3626">
        <v>76.469779706668803</v>
      </c>
      <c r="AK3626">
        <v>0.56828862102349098</v>
      </c>
      <c r="AL3626">
        <v>82.288319517817797</v>
      </c>
      <c r="AM3626">
        <v>80.015039594853306</v>
      </c>
      <c r="AN3626">
        <v>0.99999994549334803</v>
      </c>
    </row>
    <row r="3627" spans="1:40" x14ac:dyDescent="0.25">
      <c r="A3627" t="str">
        <f>"20190312173002533"</f>
        <v>20190312173002533</v>
      </c>
      <c r="B3627" t="str">
        <f>"1552383002531377"</f>
        <v>1552383002531377</v>
      </c>
      <c r="C3627" t="s">
        <v>40</v>
      </c>
      <c r="D3627">
        <v>3.3289279999999999</v>
      </c>
      <c r="E3627">
        <v>0.49701400000000001</v>
      </c>
      <c r="F3627" t="s">
        <v>42</v>
      </c>
      <c r="G3627">
        <v>-223.71770000000001</v>
      </c>
      <c r="H3627">
        <v>0.95375860000000001</v>
      </c>
      <c r="I3627">
        <v>215.33340000000001</v>
      </c>
      <c r="J3627">
        <v>-224.2843</v>
      </c>
      <c r="K3627">
        <v>1.110212</v>
      </c>
      <c r="L3627">
        <v>215.44059999999999</v>
      </c>
      <c r="M3627">
        <v>0.9990232</v>
      </c>
      <c r="N3627">
        <v>0</v>
      </c>
      <c r="O3627">
        <v>3.2784149999999998E-2</v>
      </c>
      <c r="P3627">
        <v>0.98458670000000004</v>
      </c>
      <c r="Q3627">
        <v>0.1055823</v>
      </c>
      <c r="R3627">
        <v>-0.139433</v>
      </c>
      <c r="S3627">
        <v>3.0560610000000001</v>
      </c>
      <c r="T3627">
        <v>-0.58485039999999999</v>
      </c>
      <c r="U3627">
        <v>-0.37492370000000003</v>
      </c>
      <c r="V3627">
        <v>0.1721183</v>
      </c>
      <c r="W3627">
        <v>0.13395860000000001</v>
      </c>
      <c r="X3627">
        <v>0.97592540000000005</v>
      </c>
      <c r="Y3627">
        <v>0.15096899999999999</v>
      </c>
      <c r="Z3627">
        <v>-2.0463789999999999E-2</v>
      </c>
      <c r="AA3627">
        <v>0.9883267</v>
      </c>
      <c r="AB3627">
        <v>29</v>
      </c>
      <c r="AC3627">
        <v>0.566599999999994</v>
      </c>
      <c r="AD3627">
        <v>-0.15645339999999999</v>
      </c>
      <c r="AE3627">
        <v>-0.10719999999997699</v>
      </c>
      <c r="AF3627">
        <v>0.117105716478177</v>
      </c>
      <c r="AG3627">
        <v>-0.15645339999999999</v>
      </c>
      <c r="AH3627">
        <v>0.52419281074199697</v>
      </c>
      <c r="AI3627">
        <v>106.24005306134001</v>
      </c>
      <c r="AJ3627">
        <v>77.406793728144393</v>
      </c>
      <c r="AK3627">
        <v>0.55943678645314598</v>
      </c>
      <c r="AL3627">
        <v>82.301594914050895</v>
      </c>
      <c r="AM3627">
        <v>79.997931946235695</v>
      </c>
      <c r="AN3627">
        <v>1.000000001037</v>
      </c>
    </row>
    <row r="3628" spans="1:40" x14ac:dyDescent="0.25">
      <c r="A3628" t="str">
        <f>"20190312173002547"</f>
        <v>20190312173002547</v>
      </c>
      <c r="B3628" t="str">
        <f>"1552383002541136"</f>
        <v>1552383002541136</v>
      </c>
      <c r="C3628" t="s">
        <v>40</v>
      </c>
      <c r="D3628">
        <v>3.3560189999999999</v>
      </c>
      <c r="E3628">
        <v>0.4965967</v>
      </c>
      <c r="F3628" t="s">
        <v>42</v>
      </c>
      <c r="G3628">
        <v>-223.4666</v>
      </c>
      <c r="H3628">
        <v>0.94655230000000001</v>
      </c>
      <c r="I3628">
        <v>215.34049999999999</v>
      </c>
      <c r="J3628">
        <v>-224.09979999999999</v>
      </c>
      <c r="K3628">
        <v>1.11016</v>
      </c>
      <c r="L3628">
        <v>215.4453</v>
      </c>
      <c r="M3628">
        <v>0.99907699999999999</v>
      </c>
      <c r="N3628">
        <v>0</v>
      </c>
      <c r="O3628">
        <v>3.1581570000000003E-2</v>
      </c>
      <c r="P3628">
        <v>0.98441449999999997</v>
      </c>
      <c r="Q3628">
        <v>0.10546700000000001</v>
      </c>
      <c r="R3628">
        <v>-0.1407312</v>
      </c>
      <c r="S3628">
        <v>3.059723</v>
      </c>
      <c r="T3628">
        <v>-0.61243259999999999</v>
      </c>
      <c r="U3628">
        <v>-0.37347409999999998</v>
      </c>
      <c r="V3628">
        <v>0.17222609999999999</v>
      </c>
      <c r="W3628">
        <v>0.13335089999999999</v>
      </c>
      <c r="X3628">
        <v>0.97598960000000001</v>
      </c>
      <c r="Y3628">
        <v>0.14893190000000001</v>
      </c>
      <c r="Z3628">
        <v>-2.094733E-2</v>
      </c>
      <c r="AA3628">
        <v>0.98862559999999999</v>
      </c>
      <c r="AB3628">
        <v>29</v>
      </c>
      <c r="AC3628">
        <v>0.633199999999987</v>
      </c>
      <c r="AD3628">
        <v>-0.163607699999999</v>
      </c>
      <c r="AE3628">
        <v>-0.104800000000011</v>
      </c>
      <c r="AF3628">
        <v>0.117141587230499</v>
      </c>
      <c r="AG3628">
        <v>-0.163607699999999</v>
      </c>
      <c r="AH3628">
        <v>0.59115842594743895</v>
      </c>
      <c r="AI3628">
        <v>105.188538210012</v>
      </c>
      <c r="AJ3628">
        <v>78.791693451821502</v>
      </c>
      <c r="AK3628">
        <v>0.62446610438583805</v>
      </c>
      <c r="AL3628">
        <v>82.336728741145905</v>
      </c>
      <c r="AM3628">
        <v>79.992439154129698</v>
      </c>
      <c r="AN3628">
        <v>0.99999999568008902</v>
      </c>
    </row>
    <row r="3629" spans="1:40" x14ac:dyDescent="0.25">
      <c r="A3629" t="str">
        <f>"20190312173002566"</f>
        <v>20190312173002566</v>
      </c>
      <c r="B3629" t="str">
        <f>"1552383002561633"</f>
        <v>1552383002561633</v>
      </c>
      <c r="C3629" t="s">
        <v>40</v>
      </c>
      <c r="D3629">
        <v>3.335474</v>
      </c>
      <c r="E3629">
        <v>0.49597190000000002</v>
      </c>
      <c r="F3629" t="s">
        <v>42</v>
      </c>
      <c r="G3629">
        <v>-223.22059999999999</v>
      </c>
      <c r="H3629">
        <v>0.93071020000000004</v>
      </c>
      <c r="I3629">
        <v>215.33770000000001</v>
      </c>
      <c r="J3629">
        <v>-223.86349999999999</v>
      </c>
      <c r="K3629">
        <v>1.110096</v>
      </c>
      <c r="L3629">
        <v>215.45099999999999</v>
      </c>
      <c r="M3629">
        <v>0.99914380000000003</v>
      </c>
      <c r="N3629">
        <v>0</v>
      </c>
      <c r="O3629">
        <v>3.0038769999999999E-2</v>
      </c>
      <c r="P3629">
        <v>0.98412529999999998</v>
      </c>
      <c r="Q3629">
        <v>0.105660199999999</v>
      </c>
      <c r="R3629">
        <v>-0.1425971</v>
      </c>
      <c r="S3629">
        <v>3.0609440000000001</v>
      </c>
      <c r="T3629">
        <v>-0.62472069999999902</v>
      </c>
      <c r="U3629">
        <v>-0.37408449999999999</v>
      </c>
      <c r="V3629">
        <v>0.17256459999999901</v>
      </c>
      <c r="W3629">
        <v>0.1328878</v>
      </c>
      <c r="X3629">
        <v>0.975993</v>
      </c>
      <c r="Y3629">
        <v>0.1474742</v>
      </c>
      <c r="Z3629">
        <v>-2.0893100000000001E-2</v>
      </c>
      <c r="AA3629">
        <v>0.98884519999999998</v>
      </c>
      <c r="AB3629">
        <v>28</v>
      </c>
      <c r="AC3629">
        <v>0.64289999999999703</v>
      </c>
      <c r="AD3629">
        <v>-0.17938580000000001</v>
      </c>
      <c r="AE3629">
        <v>-0.113299999999981</v>
      </c>
      <c r="AF3629">
        <v>0.123261093083382</v>
      </c>
      <c r="AG3629">
        <v>-0.17938580000000001</v>
      </c>
      <c r="AH3629">
        <v>0.59432706128697699</v>
      </c>
      <c r="AI3629">
        <v>106.464568012548</v>
      </c>
      <c r="AJ3629">
        <v>78.283188436570498</v>
      </c>
      <c r="AK3629">
        <v>0.63292749828693995</v>
      </c>
      <c r="AL3629">
        <v>82.363500891477599</v>
      </c>
      <c r="AM3629">
        <v>79.973202873380899</v>
      </c>
      <c r="AN3629">
        <v>1.0000000223054899</v>
      </c>
    </row>
    <row r="3630" spans="1:40" x14ac:dyDescent="0.25">
      <c r="A3630" t="str">
        <f>"20190312173002580"</f>
        <v>20190312173002580</v>
      </c>
      <c r="B3630" t="str">
        <f>"1552383002571393"</f>
        <v>1552383002571393</v>
      </c>
      <c r="C3630" t="s">
        <v>40</v>
      </c>
      <c r="D3630">
        <v>3.3257639999999999</v>
      </c>
      <c r="E3630">
        <v>0.49580610000000003</v>
      </c>
      <c r="F3630" t="s">
        <v>42</v>
      </c>
      <c r="G3630">
        <v>-222.97190000000001</v>
      </c>
      <c r="H3630">
        <v>0.92342080000000004</v>
      </c>
      <c r="I3630">
        <v>215.3416</v>
      </c>
      <c r="J3630">
        <v>-223.68029999999999</v>
      </c>
      <c r="K3630">
        <v>1.1100380000000001</v>
      </c>
      <c r="L3630">
        <v>215.45519999999999</v>
      </c>
      <c r="M3630">
        <v>0.99919440000000004</v>
      </c>
      <c r="N3630">
        <v>0</v>
      </c>
      <c r="O3630">
        <v>2.88407E-2</v>
      </c>
      <c r="P3630">
        <v>0.98394159999999997</v>
      </c>
      <c r="Q3630">
        <v>0.1053202</v>
      </c>
      <c r="R3630">
        <v>-0.1441067</v>
      </c>
      <c r="S3630">
        <v>3.062897</v>
      </c>
      <c r="T3630">
        <v>-0.64121499999999998</v>
      </c>
      <c r="U3630">
        <v>-0.37495420000000002</v>
      </c>
      <c r="V3630">
        <v>0.17288879999999901</v>
      </c>
      <c r="W3630">
        <v>0.13201949999999901</v>
      </c>
      <c r="X3630">
        <v>0.97605339999999996</v>
      </c>
      <c r="Y3630">
        <v>0.1463527</v>
      </c>
      <c r="Z3630">
        <v>-2.105636E-2</v>
      </c>
      <c r="AA3630">
        <v>0.98900840000000001</v>
      </c>
      <c r="AB3630">
        <v>28</v>
      </c>
      <c r="AC3630">
        <v>0.70839999999998304</v>
      </c>
      <c r="AD3630">
        <v>-0.18661719999999901</v>
      </c>
      <c r="AE3630">
        <v>-0.113599999999991</v>
      </c>
      <c r="AF3630">
        <v>0.12550031839671399</v>
      </c>
      <c r="AG3630">
        <v>-0.18661719999999901</v>
      </c>
      <c r="AH3630">
        <v>0.66016224847611504</v>
      </c>
      <c r="AI3630">
        <v>105.520513989373</v>
      </c>
      <c r="AJ3630">
        <v>79.236211991833599</v>
      </c>
      <c r="AK3630">
        <v>0.697417022710628</v>
      </c>
      <c r="AL3630">
        <v>82.413692594818897</v>
      </c>
      <c r="AM3630">
        <v>79.955357626474694</v>
      </c>
      <c r="AN3630">
        <v>0.999999962598624</v>
      </c>
    </row>
    <row r="3631" spans="1:40" x14ac:dyDescent="0.25">
      <c r="A3631" t="str">
        <f>"20190312173002603"</f>
        <v>20190312173002603</v>
      </c>
      <c r="B3631" t="str">
        <f>"1552383002590913"</f>
        <v>1552383002590913</v>
      </c>
      <c r="C3631" t="s">
        <v>40</v>
      </c>
      <c r="D3631">
        <v>3.4580660000000001</v>
      </c>
      <c r="E3631">
        <v>0.49523070000000002</v>
      </c>
      <c r="F3631" t="s">
        <v>42</v>
      </c>
      <c r="G3631">
        <v>-222.95679999999999</v>
      </c>
      <c r="H3631">
        <v>0.95684020000000003</v>
      </c>
      <c r="I3631">
        <v>215.3657</v>
      </c>
      <c r="J3631">
        <v>-223.3997</v>
      </c>
      <c r="K3631">
        <v>1.10995</v>
      </c>
      <c r="L3631">
        <v>215.46119999999999</v>
      </c>
      <c r="M3631">
        <v>0.99926899999999996</v>
      </c>
      <c r="N3631">
        <v>0</v>
      </c>
      <c r="O3631">
        <v>2.7002580000000002E-2</v>
      </c>
      <c r="P3631">
        <v>0.98359540000000001</v>
      </c>
      <c r="Q3631">
        <v>0.1043152</v>
      </c>
      <c r="R3631">
        <v>-0.14716899999999999</v>
      </c>
      <c r="S3631">
        <v>3.063034</v>
      </c>
      <c r="T3631">
        <v>-0.64861579999999996</v>
      </c>
      <c r="U3631">
        <v>-0.37799070000000001</v>
      </c>
      <c r="V3631">
        <v>0.17412949999999999</v>
      </c>
      <c r="W3631">
        <v>0.1301863</v>
      </c>
      <c r="X3631">
        <v>0.97607909999999998</v>
      </c>
      <c r="Y3631">
        <v>0.1454684</v>
      </c>
      <c r="Z3631">
        <v>-2.0815750000000001E-2</v>
      </c>
      <c r="AA3631">
        <v>0.98914389999999996</v>
      </c>
      <c r="AB3631">
        <v>28</v>
      </c>
      <c r="AC3631">
        <v>0.44290000000000801</v>
      </c>
      <c r="AD3631">
        <v>-0.15310979999999899</v>
      </c>
      <c r="AE3631">
        <v>-9.5499999999986998E-2</v>
      </c>
      <c r="AF3631">
        <v>9.6418221885782002E-2</v>
      </c>
      <c r="AG3631">
        <v>-0.15310979999999899</v>
      </c>
      <c r="AH3631">
        <v>0.39504536067156198</v>
      </c>
      <c r="AI3631">
        <v>110.632500475477</v>
      </c>
      <c r="AJ3631">
        <v>76.284046206187696</v>
      </c>
      <c r="AK3631">
        <v>0.43451112915065898</v>
      </c>
      <c r="AL3631">
        <v>82.519641858674703</v>
      </c>
      <c r="AM3631">
        <v>79.885018552471493</v>
      </c>
      <c r="AN3631">
        <v>0.99999998246737398</v>
      </c>
    </row>
    <row r="3632" spans="1:40" x14ac:dyDescent="0.25">
      <c r="A3632" t="str">
        <f>"20190312173002626"</f>
        <v>20190312173002626</v>
      </c>
      <c r="B3632" t="str">
        <f>"1552383002621172"</f>
        <v>1552383002621172</v>
      </c>
      <c r="C3632" t="s">
        <v>40</v>
      </c>
      <c r="D3632">
        <v>3.383219</v>
      </c>
      <c r="E3632">
        <v>0.49519489999999999</v>
      </c>
      <c r="F3632" t="s">
        <v>42</v>
      </c>
      <c r="G3632">
        <v>-222.70480000000001</v>
      </c>
      <c r="H3632">
        <v>0.9592408</v>
      </c>
      <c r="I3632">
        <v>215.3741</v>
      </c>
      <c r="J3632">
        <v>-223.1182</v>
      </c>
      <c r="K3632">
        <v>1.1098709999999901</v>
      </c>
      <c r="L3632">
        <v>215.4666</v>
      </c>
      <c r="M3632">
        <v>0.9993398</v>
      </c>
      <c r="N3632">
        <v>0</v>
      </c>
      <c r="O3632">
        <v>2.5141449999999999E-2</v>
      </c>
      <c r="P3632">
        <v>0.983186</v>
      </c>
      <c r="Q3632">
        <v>0.1042906</v>
      </c>
      <c r="R3632">
        <v>-0.14989539999999901</v>
      </c>
      <c r="S3632">
        <v>3.06311</v>
      </c>
      <c r="T3632">
        <v>-0.66428140000000002</v>
      </c>
      <c r="U3632">
        <v>-0.38365169999999998</v>
      </c>
      <c r="V3632">
        <v>0.175015899999999</v>
      </c>
      <c r="W3632">
        <v>0.1293386</v>
      </c>
      <c r="X3632">
        <v>0.97603329999999999</v>
      </c>
      <c r="Y3632">
        <v>0.14528949999999999</v>
      </c>
      <c r="Z3632">
        <v>-2.0887429999999998E-2</v>
      </c>
      <c r="AA3632">
        <v>0.98916870000000001</v>
      </c>
      <c r="AB3632">
        <v>28</v>
      </c>
      <c r="AC3632">
        <v>0.41339999999999499</v>
      </c>
      <c r="AD3632">
        <v>-0.15063019999999899</v>
      </c>
      <c r="AE3632">
        <v>-9.2500000000001095E-2</v>
      </c>
      <c r="AF3632">
        <v>9.1321569701008895E-2</v>
      </c>
      <c r="AG3632">
        <v>-0.15063019999999899</v>
      </c>
      <c r="AH3632">
        <v>0.36481725896327499</v>
      </c>
      <c r="AI3632">
        <v>111.82777850166801</v>
      </c>
      <c r="AJ3632">
        <v>75.946425808884698</v>
      </c>
      <c r="AK3632">
        <v>0.40511815397754403</v>
      </c>
      <c r="AL3632">
        <v>82.568625931655703</v>
      </c>
      <c r="AM3632">
        <v>79.8341326548572</v>
      </c>
      <c r="AN3632">
        <v>1.0000000207058299</v>
      </c>
    </row>
    <row r="3633" spans="1:40" x14ac:dyDescent="0.25">
      <c r="A3633" t="str">
        <f>"20190312173002648"</f>
        <v>20190312173002648</v>
      </c>
      <c r="B3633" t="str">
        <f>"1552383002641668"</f>
        <v>1552383002641668</v>
      </c>
      <c r="C3633" t="s">
        <v>40</v>
      </c>
      <c r="D3633">
        <v>3.3768349999999998</v>
      </c>
      <c r="E3633">
        <v>0.4991331</v>
      </c>
      <c r="F3633" t="s">
        <v>42</v>
      </c>
      <c r="G3633">
        <v>-222.2268</v>
      </c>
      <c r="H3633">
        <v>0.91337740000000001</v>
      </c>
      <c r="I3633">
        <v>215.35249999999999</v>
      </c>
      <c r="J3633">
        <v>-222.84399999999999</v>
      </c>
      <c r="K3633">
        <v>1.109802</v>
      </c>
      <c r="L3633">
        <v>215.47139999999999</v>
      </c>
      <c r="M3633">
        <v>0.99940490000000004</v>
      </c>
      <c r="N3633">
        <v>0</v>
      </c>
      <c r="O3633">
        <v>2.3302710000000001E-2</v>
      </c>
      <c r="P3633">
        <v>0.98261229999999999</v>
      </c>
      <c r="Q3633">
        <v>0.1054601</v>
      </c>
      <c r="R3633">
        <v>-0.15281210000000001</v>
      </c>
      <c r="S3633">
        <v>3.0631409999999999</v>
      </c>
      <c r="T3633">
        <v>-0.67523100000000003</v>
      </c>
      <c r="U3633">
        <v>-0.39218140000000001</v>
      </c>
      <c r="V3633">
        <v>0.17611789999999999</v>
      </c>
      <c r="W3633">
        <v>0.1297239</v>
      </c>
      <c r="X3633">
        <v>0.97578390000000004</v>
      </c>
      <c r="Y3633">
        <v>0.14607800000000001</v>
      </c>
      <c r="Z3633">
        <v>-2.090622E-2</v>
      </c>
      <c r="AA3633">
        <v>0.98905220000000005</v>
      </c>
      <c r="AB3633">
        <v>28</v>
      </c>
      <c r="AC3633">
        <v>0.61720000000002495</v>
      </c>
      <c r="AD3633">
        <v>-0.1964246</v>
      </c>
      <c r="AE3633">
        <v>-0.118899999999996</v>
      </c>
      <c r="AF3633">
        <v>0.121399015601637</v>
      </c>
      <c r="AG3633">
        <v>-0.1964246</v>
      </c>
      <c r="AH3633">
        <v>0.55960953616368503</v>
      </c>
      <c r="AI3633">
        <v>108.933210542287</v>
      </c>
      <c r="AJ3633">
        <v>77.760181331687306</v>
      </c>
      <c r="AK3633">
        <v>0.60537854061697705</v>
      </c>
      <c r="AL3633">
        <v>82.546362241000594</v>
      </c>
      <c r="AM3633">
        <v>79.768910730411307</v>
      </c>
      <c r="AN3633">
        <v>1.00000001221541</v>
      </c>
    </row>
    <row r="3634" spans="1:40" x14ac:dyDescent="0.25">
      <c r="A3634" t="str">
        <f>"20190312173002670"</f>
        <v>20190312173002670</v>
      </c>
      <c r="B3634" t="str">
        <f>"1552383002661188"</f>
        <v>1552383002661188</v>
      </c>
      <c r="C3634" t="s">
        <v>40</v>
      </c>
      <c r="D3634">
        <v>3.393472</v>
      </c>
      <c r="E3634">
        <v>0.49896889999999999</v>
      </c>
      <c r="F3634" t="s">
        <v>42</v>
      </c>
      <c r="G3634">
        <v>-221.99010000000001</v>
      </c>
      <c r="H3634">
        <v>0.88740560000000002</v>
      </c>
      <c r="I3634">
        <v>215.35149999999999</v>
      </c>
      <c r="J3634">
        <v>-222.559</v>
      </c>
      <c r="K3634">
        <v>1.1097379999999999</v>
      </c>
      <c r="L3634">
        <v>215.47579999999999</v>
      </c>
      <c r="M3634">
        <v>0.99946789999999996</v>
      </c>
      <c r="N3634">
        <v>0</v>
      </c>
      <c r="O3634">
        <v>2.136236E-2</v>
      </c>
      <c r="P3634">
        <v>0.98186929999999994</v>
      </c>
      <c r="Q3634">
        <v>0.1069934</v>
      </c>
      <c r="R3634">
        <v>-0.156477</v>
      </c>
      <c r="S3634">
        <v>3.0719759999999998</v>
      </c>
      <c r="T3634">
        <v>-0.80005760000000004</v>
      </c>
      <c r="U3634">
        <v>-0.43074040000000002</v>
      </c>
      <c r="V3634">
        <v>0.17787020000000001</v>
      </c>
      <c r="W3634">
        <v>0.13046569999999999</v>
      </c>
      <c r="X3634">
        <v>0.97536710000000004</v>
      </c>
      <c r="Y3634">
        <v>0.15423689999999901</v>
      </c>
      <c r="Z3634">
        <v>-2.5113730000000001E-2</v>
      </c>
      <c r="AA3634">
        <v>0.9877146</v>
      </c>
      <c r="AB3634">
        <v>28</v>
      </c>
      <c r="AC3634">
        <v>0.56890000000001295</v>
      </c>
      <c r="AD3634">
        <v>-0.22233239999999899</v>
      </c>
      <c r="AE3634">
        <v>-0.124300000000005</v>
      </c>
      <c r="AF3634">
        <v>0.119070893256515</v>
      </c>
      <c r="AG3634">
        <v>-0.22233239999999899</v>
      </c>
      <c r="AH3634">
        <v>0.49408858114641102</v>
      </c>
      <c r="AI3634">
        <v>113.627503689766</v>
      </c>
      <c r="AJ3634">
        <v>76.450591977240506</v>
      </c>
      <c r="AK3634">
        <v>0.55473696445246701</v>
      </c>
      <c r="AL3634">
        <v>82.503496169191905</v>
      </c>
      <c r="AM3634">
        <v>79.664977670717604</v>
      </c>
      <c r="AN3634">
        <v>1.0000000433434599</v>
      </c>
    </row>
    <row r="3635" spans="1:40" x14ac:dyDescent="0.25">
      <c r="A3635" t="str">
        <f>"20190312173002693"</f>
        <v>20190312173002693</v>
      </c>
      <c r="B3635" t="str">
        <f>"1552383002681682"</f>
        <v>1552383002681682</v>
      </c>
      <c r="C3635" t="s">
        <v>40</v>
      </c>
      <c r="D3635">
        <v>3.3763010000000002</v>
      </c>
      <c r="E3635">
        <v>0.49867840000000002</v>
      </c>
      <c r="F3635" t="s">
        <v>42</v>
      </c>
      <c r="G3635">
        <v>-221.7389</v>
      </c>
      <c r="H3635">
        <v>0.89768110000000001</v>
      </c>
      <c r="I3635">
        <v>215.3579</v>
      </c>
      <c r="J3635">
        <v>-222.2895</v>
      </c>
      <c r="K3635">
        <v>1.109674</v>
      </c>
      <c r="L3635">
        <v>215.4795</v>
      </c>
      <c r="M3635">
        <v>0.9995233</v>
      </c>
      <c r="N3635">
        <v>0</v>
      </c>
      <c r="O3635">
        <v>1.9494930000000001E-2</v>
      </c>
      <c r="P3635">
        <v>0.98102180000000005</v>
      </c>
      <c r="Q3635">
        <v>0.10848530000000001</v>
      </c>
      <c r="R3635">
        <v>-0.1607092</v>
      </c>
      <c r="S3635">
        <v>3.071625</v>
      </c>
      <c r="T3635">
        <v>-0.79423129999999997</v>
      </c>
      <c r="U3635">
        <v>-0.44146730000000001</v>
      </c>
      <c r="V3635">
        <v>0.18026400000000001</v>
      </c>
      <c r="W3635">
        <v>0.13124060000000001</v>
      </c>
      <c r="X3635">
        <v>0.97482349999999995</v>
      </c>
      <c r="Y3635">
        <v>0.15588060000000001</v>
      </c>
      <c r="Z3635">
        <v>-2.46684E-2</v>
      </c>
      <c r="AA3635">
        <v>0.98746780000000001</v>
      </c>
      <c r="AB3635">
        <v>28</v>
      </c>
      <c r="AC3635">
        <v>0.55060000000000198</v>
      </c>
      <c r="AD3635">
        <v>-0.21199290000000001</v>
      </c>
      <c r="AE3635">
        <v>-0.1216</v>
      </c>
      <c r="AF3635">
        <v>0.11592776754342</v>
      </c>
      <c r="AG3635">
        <v>-0.21199290000000001</v>
      </c>
      <c r="AH3635">
        <v>0.48024292130384599</v>
      </c>
      <c r="AI3635">
        <v>113.224332115948</v>
      </c>
      <c r="AJ3635">
        <v>76.428769421439696</v>
      </c>
      <c r="AK3635">
        <v>0.53759975855692399</v>
      </c>
      <c r="AL3635">
        <v>82.458712513048894</v>
      </c>
      <c r="AM3635">
        <v>79.523234448841706</v>
      </c>
      <c r="AN3635">
        <v>1.0000000304683001</v>
      </c>
    </row>
    <row r="3636" spans="1:40" x14ac:dyDescent="0.25">
      <c r="A3636" t="str">
        <f>"20190312173002714"</f>
        <v>20190312173002714</v>
      </c>
      <c r="B3636" t="str">
        <f>"1552383002710960"</f>
        <v>1552383002710960</v>
      </c>
      <c r="C3636" t="s">
        <v>40</v>
      </c>
      <c r="D3636">
        <v>3.3868480000000001</v>
      </c>
      <c r="E3636">
        <v>0.49871779999999999</v>
      </c>
      <c r="F3636" t="s">
        <v>42</v>
      </c>
      <c r="G3636">
        <v>-221.49019999999999</v>
      </c>
      <c r="H3636">
        <v>0.90398900000000004</v>
      </c>
      <c r="I3636">
        <v>215.36150000000001</v>
      </c>
      <c r="J3636">
        <v>-222.017</v>
      </c>
      <c r="K3636">
        <v>1.109604</v>
      </c>
      <c r="L3636">
        <v>215.48259999999999</v>
      </c>
      <c r="M3636">
        <v>0.9995754</v>
      </c>
      <c r="N3636">
        <v>0</v>
      </c>
      <c r="O3636">
        <v>1.756046E-2</v>
      </c>
      <c r="P3636">
        <v>0.98020739999999995</v>
      </c>
      <c r="Q3636">
        <v>0.1094541</v>
      </c>
      <c r="R3636">
        <v>-0.16496559999999999</v>
      </c>
      <c r="S3636">
        <v>3.0713200000000001</v>
      </c>
      <c r="T3636">
        <v>-0.79024349999999999</v>
      </c>
      <c r="U3636">
        <v>-0.45243840000000002</v>
      </c>
      <c r="V3636">
        <v>0.18262149999999999</v>
      </c>
      <c r="W3636">
        <v>0.13150479999999901</v>
      </c>
      <c r="X3636">
        <v>0.97434900000000002</v>
      </c>
      <c r="Y3636">
        <v>0.15750649999999999</v>
      </c>
      <c r="Z3636">
        <v>-2.426184E-2</v>
      </c>
      <c r="AA3636">
        <v>0.98721990000000004</v>
      </c>
      <c r="AB3636">
        <v>28</v>
      </c>
      <c r="AC3636">
        <v>0.52680000000000804</v>
      </c>
      <c r="AD3636">
        <v>-0.20561499999999999</v>
      </c>
      <c r="AE3636">
        <v>-0.121099999999984</v>
      </c>
      <c r="AF3636">
        <v>0.113859719515047</v>
      </c>
      <c r="AG3636">
        <v>-0.20561499999999999</v>
      </c>
      <c r="AH3636">
        <v>0.45828059832172202</v>
      </c>
      <c r="AI3636">
        <v>113.529680721853</v>
      </c>
      <c r="AJ3636">
        <v>76.047382601802298</v>
      </c>
      <c r="AK3636">
        <v>0.51503657224624499</v>
      </c>
      <c r="AL3636">
        <v>82.443442767852403</v>
      </c>
      <c r="AM3636">
        <v>79.384260909523405</v>
      </c>
      <c r="AN3636">
        <v>1.00000004924314</v>
      </c>
    </row>
    <row r="3637" spans="1:40" x14ac:dyDescent="0.25">
      <c r="A3637" t="str">
        <f>"20190312173002737"</f>
        <v>20190312173002737</v>
      </c>
      <c r="B3637" t="str">
        <f>"1552383002731457"</f>
        <v>1552383002731457</v>
      </c>
      <c r="C3637" t="s">
        <v>40</v>
      </c>
      <c r="D3637">
        <v>3.4254720000000001</v>
      </c>
      <c r="E3637">
        <v>0.49875029999999998</v>
      </c>
      <c r="F3637" t="s">
        <v>42</v>
      </c>
      <c r="G3637">
        <v>-221.24160000000001</v>
      </c>
      <c r="H3637">
        <v>0.91124019999999994</v>
      </c>
      <c r="I3637">
        <v>215.36490000000001</v>
      </c>
      <c r="J3637">
        <v>-221.74170000000001</v>
      </c>
      <c r="K3637">
        <v>1.1095090000000001</v>
      </c>
      <c r="L3637">
        <v>215.48519999999999</v>
      </c>
      <c r="M3637">
        <v>0.99962479999999998</v>
      </c>
      <c r="N3637">
        <v>0</v>
      </c>
      <c r="O3637">
        <v>1.5545049999999999E-2</v>
      </c>
      <c r="P3637">
        <v>0.97928850000000001</v>
      </c>
      <c r="Q3637">
        <v>0.1103687</v>
      </c>
      <c r="R3637">
        <v>-0.16974449999999999</v>
      </c>
      <c r="S3637">
        <v>3.0698699999999999</v>
      </c>
      <c r="T3637">
        <v>-0.78534090000000001</v>
      </c>
      <c r="U3637">
        <v>-0.46594239999999998</v>
      </c>
      <c r="V3637">
        <v>0.18542719999999999</v>
      </c>
      <c r="W3637">
        <v>0.13169339999999999</v>
      </c>
      <c r="X3637">
        <v>0.97379340000000003</v>
      </c>
      <c r="Y3637">
        <v>0.15988759999999999</v>
      </c>
      <c r="Z3637">
        <v>-2.391246E-2</v>
      </c>
      <c r="AA3637">
        <v>0.98684559999999999</v>
      </c>
      <c r="AB3637">
        <v>28</v>
      </c>
      <c r="AC3637">
        <v>0.50010000000000299</v>
      </c>
      <c r="AD3637">
        <v>-0.1982688</v>
      </c>
      <c r="AE3637">
        <v>-0.120299999999986</v>
      </c>
      <c r="AF3637">
        <v>0.111495366095098</v>
      </c>
      <c r="AG3637">
        <v>-0.1982688</v>
      </c>
      <c r="AH3637">
        <v>0.43372542573311801</v>
      </c>
      <c r="AI3637">
        <v>113.880664154896</v>
      </c>
      <c r="AJ3637">
        <v>75.5834434419492</v>
      </c>
      <c r="AK3637">
        <v>0.48975450854636798</v>
      </c>
      <c r="AL3637">
        <v>82.432541544655805</v>
      </c>
      <c r="AM3637">
        <v>79.218953099437698</v>
      </c>
      <c r="AN3637">
        <v>0.99999999199348</v>
      </c>
    </row>
    <row r="3638" spans="1:40" x14ac:dyDescent="0.25">
      <c r="A3638" t="str">
        <f>"20190312173002759"</f>
        <v>20190312173002759</v>
      </c>
      <c r="B3638" t="str">
        <f>"1552383002750980"</f>
        <v>1552383002750980</v>
      </c>
      <c r="C3638" t="s">
        <v>40</v>
      </c>
      <c r="D3638">
        <v>3.416372</v>
      </c>
      <c r="E3638">
        <v>0.49870300000000001</v>
      </c>
      <c r="F3638" t="s">
        <v>42</v>
      </c>
      <c r="G3638">
        <v>-220.99340000000001</v>
      </c>
      <c r="H3638">
        <v>0.91856470000000001</v>
      </c>
      <c r="I3638">
        <v>215.36750000000001</v>
      </c>
      <c r="J3638">
        <v>-221.471</v>
      </c>
      <c r="K3638">
        <v>1.1094029999999999</v>
      </c>
      <c r="L3638">
        <v>215.4871</v>
      </c>
      <c r="M3638">
        <v>0.99967050000000002</v>
      </c>
      <c r="N3638">
        <v>0</v>
      </c>
      <c r="O3638">
        <v>1.3496889999999999E-2</v>
      </c>
      <c r="P3638">
        <v>0.97829279999999996</v>
      </c>
      <c r="Q3638">
        <v>0.11110059999999999</v>
      </c>
      <c r="R3638">
        <v>-0.17492959999999999</v>
      </c>
      <c r="S3638">
        <v>3.0681759999999998</v>
      </c>
      <c r="T3638">
        <v>-0.78285380000000004</v>
      </c>
      <c r="U3638">
        <v>-0.48173519999999997</v>
      </c>
      <c r="V3638">
        <v>0.18861120000000001</v>
      </c>
      <c r="W3638">
        <v>0.13168629999999901</v>
      </c>
      <c r="X3638">
        <v>0.97318269999999996</v>
      </c>
      <c r="Y3638">
        <v>0.16291169999999999</v>
      </c>
      <c r="Z3638">
        <v>-2.3708529999999998E-2</v>
      </c>
      <c r="AA3638">
        <v>0.9863558</v>
      </c>
      <c r="AB3638">
        <v>27</v>
      </c>
      <c r="AC3638">
        <v>0.477599999999966</v>
      </c>
      <c r="AD3638">
        <v>-0.19083829999999999</v>
      </c>
      <c r="AE3638">
        <v>-0.11959999999999101</v>
      </c>
      <c r="AF3638">
        <v>0.10957423322143001</v>
      </c>
      <c r="AG3638">
        <v>-0.19083829999999999</v>
      </c>
      <c r="AH3638">
        <v>0.41377585241355902</v>
      </c>
      <c r="AI3638">
        <v>114.029404338863</v>
      </c>
      <c r="AJ3638">
        <v>75.167654189464898</v>
      </c>
      <c r="AK3638">
        <v>0.46865363049220299</v>
      </c>
      <c r="AL3638">
        <v>82.432952108806305</v>
      </c>
      <c r="AM3638">
        <v>79.031565970019102</v>
      </c>
      <c r="AN3638">
        <v>1.0000000169762</v>
      </c>
    </row>
    <row r="3639" spans="1:40" x14ac:dyDescent="0.25">
      <c r="A3639" t="str">
        <f>"20190312173002782"</f>
        <v>20190312173002782</v>
      </c>
      <c r="B3639" t="str">
        <f>"1552383002771472"</f>
        <v>1552383002771472</v>
      </c>
      <c r="C3639" t="s">
        <v>40</v>
      </c>
      <c r="D3639">
        <v>3.4113199999999999</v>
      </c>
      <c r="E3639">
        <v>0.49866329999999998</v>
      </c>
      <c r="F3639" t="s">
        <v>42</v>
      </c>
      <c r="G3639">
        <v>-220.74619999999999</v>
      </c>
      <c r="H3639">
        <v>0.92494089999999995</v>
      </c>
      <c r="I3639">
        <v>215.36930000000001</v>
      </c>
      <c r="J3639">
        <v>-221.19380000000001</v>
      </c>
      <c r="K3639">
        <v>1.1092820000000001</v>
      </c>
      <c r="L3639">
        <v>215.48840000000001</v>
      </c>
      <c r="M3639">
        <v>0.99971350000000003</v>
      </c>
      <c r="N3639">
        <v>0</v>
      </c>
      <c r="O3639">
        <v>1.132352E-2</v>
      </c>
      <c r="P3639">
        <v>0.97729940000000004</v>
      </c>
      <c r="Q3639">
        <v>0.11230759999999999</v>
      </c>
      <c r="R3639">
        <v>-0.1796478</v>
      </c>
      <c r="S3639">
        <v>3.0661619999999998</v>
      </c>
      <c r="T3639">
        <v>-0.78028540000000002</v>
      </c>
      <c r="U3639">
        <v>-0.49795529999999999</v>
      </c>
      <c r="V3639">
        <v>0.19121369999999999</v>
      </c>
      <c r="W3639">
        <v>0.1321145</v>
      </c>
      <c r="X3639">
        <v>0.97261660000000005</v>
      </c>
      <c r="Y3639">
        <v>0.16596229999999901</v>
      </c>
      <c r="Z3639">
        <v>-2.3476919999999998E-2</v>
      </c>
      <c r="AA3639">
        <v>0.98585259999999997</v>
      </c>
      <c r="AB3639">
        <v>27</v>
      </c>
      <c r="AC3639">
        <v>0.44760000000002198</v>
      </c>
      <c r="AD3639">
        <v>-0.18434109999999901</v>
      </c>
      <c r="AE3639">
        <v>-0.119100000000003</v>
      </c>
      <c r="AF3639">
        <v>0.107183957336303</v>
      </c>
      <c r="AG3639">
        <v>-0.18434109999999901</v>
      </c>
      <c r="AH3639">
        <v>0.38520576748344898</v>
      </c>
      <c r="AI3639">
        <v>114.751467411729</v>
      </c>
      <c r="AJ3639">
        <v>74.450711382888599</v>
      </c>
      <c r="AK3639">
        <v>0.44028800251879902</v>
      </c>
      <c r="AL3639">
        <v>82.408201571033899</v>
      </c>
      <c r="AM3639">
        <v>78.877657008237705</v>
      </c>
      <c r="AN3639">
        <v>0.99999998538674895</v>
      </c>
    </row>
    <row r="3640" spans="1:40" x14ac:dyDescent="0.25">
      <c r="A3640" t="str">
        <f>"20190312173002803"</f>
        <v>20190312173002803</v>
      </c>
      <c r="B3640" t="str">
        <f>"1552383002801729"</f>
        <v>1552383002801729</v>
      </c>
      <c r="C3640" t="s">
        <v>40</v>
      </c>
      <c r="D3640">
        <v>3.2954330000000001</v>
      </c>
      <c r="E3640">
        <v>0.50099959999999999</v>
      </c>
      <c r="F3640" t="s">
        <v>42</v>
      </c>
      <c r="G3640">
        <v>-220.49860000000001</v>
      </c>
      <c r="H3640">
        <v>0.93286360000000002</v>
      </c>
      <c r="I3640">
        <v>215.37200000000001</v>
      </c>
      <c r="J3640">
        <v>-220.92750000000001</v>
      </c>
      <c r="K3640">
        <v>1.109145</v>
      </c>
      <c r="L3640">
        <v>215.489</v>
      </c>
      <c r="M3640">
        <v>0.99975159999999996</v>
      </c>
      <c r="N3640">
        <v>0</v>
      </c>
      <c r="O3640">
        <v>9.1508049999999997E-3</v>
      </c>
      <c r="P3640">
        <v>0.97622949999999997</v>
      </c>
      <c r="Q3640">
        <v>0.1134442</v>
      </c>
      <c r="R3640">
        <v>-0.1846805</v>
      </c>
      <c r="S3640">
        <v>3.0648650000000002</v>
      </c>
      <c r="T3640">
        <v>-0.77769659999999996</v>
      </c>
      <c r="U3640">
        <v>-0.51239009999999996</v>
      </c>
      <c r="V3640">
        <v>0.1941338</v>
      </c>
      <c r="W3640">
        <v>0.1324591</v>
      </c>
      <c r="X3640">
        <v>0.9719911</v>
      </c>
      <c r="Y3640">
        <v>0.16843459999999999</v>
      </c>
      <c r="Z3640">
        <v>-2.316961E-2</v>
      </c>
      <c r="AA3640">
        <v>0.98544050000000005</v>
      </c>
      <c r="AB3640">
        <v>27</v>
      </c>
      <c r="AC3640">
        <v>0.42889999999999801</v>
      </c>
      <c r="AD3640">
        <v>-0.1762814</v>
      </c>
      <c r="AE3640">
        <v>-0.11699999999999</v>
      </c>
      <c r="AF3640">
        <v>0.10449170623557499</v>
      </c>
      <c r="AG3640">
        <v>-0.1762814</v>
      </c>
      <c r="AH3640">
        <v>0.36968627083991701</v>
      </c>
      <c r="AI3640">
        <v>114.64864900203899</v>
      </c>
      <c r="AJ3640">
        <v>74.217072148385299</v>
      </c>
      <c r="AK3640">
        <v>0.42268379139198797</v>
      </c>
      <c r="AL3640">
        <v>82.388282665060899</v>
      </c>
      <c r="AM3640">
        <v>78.7050555374433</v>
      </c>
      <c r="AN3640">
        <v>1.00000002197722</v>
      </c>
    </row>
    <row r="3641" spans="1:40" x14ac:dyDescent="0.25">
      <c r="A3641" t="str">
        <f>"20190312173002849"</f>
        <v>20190312173002849</v>
      </c>
      <c r="B3641" t="str">
        <f>"1552383002841747"</f>
        <v>1552383002841747</v>
      </c>
      <c r="C3641" t="s">
        <v>40</v>
      </c>
      <c r="D3641">
        <v>3.4812150000000002</v>
      </c>
      <c r="E3641">
        <v>0.50304539999999998</v>
      </c>
      <c r="F3641" t="s">
        <v>42</v>
      </c>
      <c r="G3641">
        <v>-220.02809999999999</v>
      </c>
      <c r="H3641">
        <v>0.88996030000000004</v>
      </c>
      <c r="I3641">
        <v>215.32769999999999</v>
      </c>
      <c r="J3641">
        <v>-220.3809</v>
      </c>
      <c r="K3641">
        <v>1.1089089999999999</v>
      </c>
      <c r="L3641">
        <v>215.4881</v>
      </c>
      <c r="M3641">
        <v>0.99981220000000004</v>
      </c>
      <c r="N3641">
        <v>0</v>
      </c>
      <c r="O3641">
        <v>4.4764560000000002E-3</v>
      </c>
      <c r="P3641">
        <v>0.97439719999999996</v>
      </c>
      <c r="Q3641">
        <v>0.1153817</v>
      </c>
      <c r="R3641">
        <v>-0.19297030000000001</v>
      </c>
      <c r="S3641">
        <v>3.0560459999999998</v>
      </c>
      <c r="T3641">
        <v>-0.74467649999999996</v>
      </c>
      <c r="U3641">
        <v>-0.54722599999999999</v>
      </c>
      <c r="V3641">
        <v>0.19788559999999999</v>
      </c>
      <c r="W3641">
        <v>0.1328944</v>
      </c>
      <c r="X3641">
        <v>0.97117469999999995</v>
      </c>
      <c r="Y3641">
        <v>0.17555789999999999</v>
      </c>
      <c r="Z3641">
        <v>-2.1988790000000001E-2</v>
      </c>
      <c r="AA3641">
        <v>0.98422350000000003</v>
      </c>
      <c r="AB3641">
        <v>27</v>
      </c>
      <c r="AC3641">
        <v>0.352800000000002</v>
      </c>
      <c r="AD3641">
        <v>-0.218948699999999</v>
      </c>
      <c r="AE3641">
        <v>-0.16040000000000901</v>
      </c>
      <c r="AF3641">
        <v>0.122787493459318</v>
      </c>
      <c r="AG3641">
        <v>-0.218948699999999</v>
      </c>
      <c r="AH3641">
        <v>0.26689317298941501</v>
      </c>
      <c r="AI3641">
        <v>126.69614351100699</v>
      </c>
      <c r="AJ3641">
        <v>65.294622574324606</v>
      </c>
      <c r="AK3641">
        <v>0.36639769045406001</v>
      </c>
      <c r="AL3641">
        <v>82.363118915726702</v>
      </c>
      <c r="AM3641">
        <v>78.483126022877101</v>
      </c>
      <c r="AN3641">
        <v>0.99999996507940403</v>
      </c>
    </row>
    <row r="3642" spans="1:40" x14ac:dyDescent="0.25">
      <c r="A3642" t="str">
        <f>"20190312173002872"</f>
        <v>20190312173002872</v>
      </c>
      <c r="B3642" t="str">
        <f>"1552383002861270"</f>
        <v>1552383002861270</v>
      </c>
      <c r="C3642" t="s">
        <v>40</v>
      </c>
      <c r="D3642">
        <v>3.5199310000000001</v>
      </c>
      <c r="E3642">
        <v>0.50723019999999996</v>
      </c>
      <c r="F3642" t="s">
        <v>42</v>
      </c>
      <c r="G3642">
        <v>-219.53530000000001</v>
      </c>
      <c r="H3642">
        <v>0.90475399999999995</v>
      </c>
      <c r="I3642">
        <v>215.32470000000001</v>
      </c>
      <c r="J3642">
        <v>-220.1026</v>
      </c>
      <c r="K3642">
        <v>1.1088209999999901</v>
      </c>
      <c r="L3642">
        <v>215.48660000000001</v>
      </c>
      <c r="M3642">
        <v>0.99983259999999996</v>
      </c>
      <c r="N3642">
        <v>0</v>
      </c>
      <c r="O3642">
        <v>2.00964E-3</v>
      </c>
      <c r="P3642">
        <v>0.97339960000000003</v>
      </c>
      <c r="Q3642">
        <v>0.1161186</v>
      </c>
      <c r="R3642">
        <v>-0.19751060000000001</v>
      </c>
      <c r="S3642">
        <v>3.049423</v>
      </c>
      <c r="T3642">
        <v>-0.73608960000000001</v>
      </c>
      <c r="U3642">
        <v>-0.58859249999999996</v>
      </c>
      <c r="V3642">
        <v>0.2000314</v>
      </c>
      <c r="W3642">
        <v>0.1329563</v>
      </c>
      <c r="X3642">
        <v>0.97072650000000005</v>
      </c>
      <c r="Y3642">
        <v>0.186276</v>
      </c>
      <c r="Z3642">
        <v>-2.2443709999999999E-2</v>
      </c>
      <c r="AA3642">
        <v>0.98224109999999998</v>
      </c>
      <c r="AB3642">
        <v>27</v>
      </c>
      <c r="AC3642">
        <v>0.56729999999998804</v>
      </c>
      <c r="AD3642">
        <v>-0.204066999999999</v>
      </c>
      <c r="AE3642">
        <v>-0.16190000000000199</v>
      </c>
      <c r="AF3642">
        <v>0.14561677939571399</v>
      </c>
      <c r="AG3642">
        <v>-0.204066999999999</v>
      </c>
      <c r="AH3642">
        <v>0.50638420973856801</v>
      </c>
      <c r="AI3642">
        <v>111.171061395371</v>
      </c>
      <c r="AJ3642">
        <v>73.9567836339005</v>
      </c>
      <c r="AK3642">
        <v>0.56504208232939102</v>
      </c>
      <c r="AL3642">
        <v>82.359540346420104</v>
      </c>
      <c r="AM3642">
        <v>78.356403790096607</v>
      </c>
      <c r="AN3642">
        <v>0.99999993824894795</v>
      </c>
    </row>
    <row r="3643" spans="1:40" x14ac:dyDescent="0.25">
      <c r="A3643" t="str">
        <f>"20190312173002894"</f>
        <v>20190312173002894</v>
      </c>
      <c r="B3643" t="str">
        <f>"1552383002891527"</f>
        <v>1552383002891527</v>
      </c>
      <c r="C3643" t="s">
        <v>40</v>
      </c>
      <c r="D3643">
        <v>3.5061840000000002</v>
      </c>
      <c r="E3643">
        <v>0.54952639999999997</v>
      </c>
      <c r="F3643" t="s">
        <v>42</v>
      </c>
      <c r="G3643">
        <v>-219.28579999999999</v>
      </c>
      <c r="H3643">
        <v>0.91918339999999998</v>
      </c>
      <c r="I3643">
        <v>215.31559999999999</v>
      </c>
      <c r="J3643">
        <v>-219.82679999999999</v>
      </c>
      <c r="K3643">
        <v>1.1087499999999999</v>
      </c>
      <c r="L3643">
        <v>215.4845</v>
      </c>
      <c r="M3643">
        <v>0.99984510000000004</v>
      </c>
      <c r="N3643">
        <v>0</v>
      </c>
      <c r="O3643">
        <v>-4.8264100000000002E-4</v>
      </c>
      <c r="P3643">
        <v>0.97249470000000005</v>
      </c>
      <c r="Q3643">
        <v>0.1163713</v>
      </c>
      <c r="R3643">
        <v>-0.20177149999999999</v>
      </c>
      <c r="S3643">
        <v>3.0371250000000001</v>
      </c>
      <c r="T3643">
        <v>-0.70508749999999998</v>
      </c>
      <c r="U3643">
        <v>-0.63574219999999904</v>
      </c>
      <c r="V3643">
        <v>0.20187459999999999</v>
      </c>
      <c r="W3643">
        <v>0.13260139999999901</v>
      </c>
      <c r="X3643">
        <v>0.97039350000000002</v>
      </c>
      <c r="Y3643">
        <v>0.1993415</v>
      </c>
      <c r="Z3643">
        <v>-2.2490530000000002E-2</v>
      </c>
      <c r="AA3643">
        <v>0.97967199999999999</v>
      </c>
      <c r="AB3643">
        <v>27</v>
      </c>
      <c r="AC3643">
        <v>0.54099999999999604</v>
      </c>
      <c r="AD3643">
        <v>-0.189566599999999</v>
      </c>
      <c r="AE3643">
        <v>-0.16890000000000699</v>
      </c>
      <c r="AF3643">
        <v>0.15167053540424899</v>
      </c>
      <c r="AG3643">
        <v>-0.189566599999999</v>
      </c>
      <c r="AH3643">
        <v>0.48663831071228397</v>
      </c>
      <c r="AI3643">
        <v>110.400111216564</v>
      </c>
      <c r="AJ3643">
        <v>72.689313062589505</v>
      </c>
      <c r="AK3643">
        <v>0.54383480267290496</v>
      </c>
      <c r="AL3643">
        <v>82.380056863633698</v>
      </c>
      <c r="AM3643">
        <v>78.2481628307237</v>
      </c>
      <c r="AN3643">
        <v>1.00000001512468</v>
      </c>
    </row>
    <row r="3644" spans="1:40" x14ac:dyDescent="0.25">
      <c r="A3644" t="str">
        <f>"20190312173002915"</f>
        <v>20190312173002915</v>
      </c>
      <c r="B3644" t="str">
        <f>"1552383002911051"</f>
        <v>1552383002911051</v>
      </c>
      <c r="C3644" t="s">
        <v>40</v>
      </c>
      <c r="D3644">
        <v>3.4938359999999999</v>
      </c>
      <c r="E3644">
        <v>0.54913679999999998</v>
      </c>
      <c r="F3644" t="s">
        <v>46</v>
      </c>
      <c r="G3644">
        <v>-203.547</v>
      </c>
      <c r="H3644" s="1">
        <v>4.1968799999999999E-6</v>
      </c>
      <c r="I3644">
        <v>209.9615</v>
      </c>
      <c r="J3644">
        <v>-219.56379999999999</v>
      </c>
      <c r="K3644">
        <v>1.1086990000000001</v>
      </c>
      <c r="L3644">
        <v>215.48169999999999</v>
      </c>
      <c r="M3644">
        <v>0.99984989999999996</v>
      </c>
      <c r="N3644">
        <v>0</v>
      </c>
      <c r="O3644">
        <v>-2.890325E-3</v>
      </c>
      <c r="P3644">
        <v>0.97158580000000005</v>
      </c>
      <c r="Q3644">
        <v>0.11687839999999999</v>
      </c>
      <c r="R3644">
        <v>-0.205818</v>
      </c>
      <c r="S3644">
        <v>2.904099</v>
      </c>
      <c r="T3644">
        <v>-0.19778609999999999</v>
      </c>
      <c r="U3644">
        <v>-0.98522949999999998</v>
      </c>
      <c r="V3644">
        <v>0.2035894</v>
      </c>
      <c r="W3644">
        <v>0.1325857</v>
      </c>
      <c r="X3644">
        <v>0.97003729999999999</v>
      </c>
      <c r="Y3644">
        <v>0.31787700000000002</v>
      </c>
      <c r="Z3644">
        <v>-1.03274E-2</v>
      </c>
      <c r="AA3644">
        <v>0.94807569999999997</v>
      </c>
      <c r="AB3644">
        <v>27</v>
      </c>
      <c r="AC3644">
        <v>16.0167999999999</v>
      </c>
      <c r="AD3644">
        <v>-1.1086948031199999</v>
      </c>
      <c r="AE3644">
        <v>-5.5201999999999796</v>
      </c>
      <c r="AF3644">
        <v>5.4505329619179301</v>
      </c>
      <c r="AG3644">
        <v>-1.1086948031199999</v>
      </c>
      <c r="AH3644">
        <v>15.9643188368238</v>
      </c>
      <c r="AI3644">
        <v>93.760257844322894</v>
      </c>
      <c r="AJ3644">
        <v>71.149084342879306</v>
      </c>
      <c r="AK3644">
        <v>16.905531333240798</v>
      </c>
      <c r="AL3644">
        <v>82.380964209022096</v>
      </c>
      <c r="AM3644">
        <v>78.146920889743598</v>
      </c>
      <c r="AN3644">
        <v>0.99999998751406904</v>
      </c>
    </row>
    <row r="3645" spans="1:40" x14ac:dyDescent="0.25">
      <c r="A3645" t="str">
        <f>"20190312173002938"</f>
        <v>20190312173002938</v>
      </c>
      <c r="B3645" t="str">
        <f>"1552383002931542"</f>
        <v>1552383002931542</v>
      </c>
      <c r="C3645" t="s">
        <v>40</v>
      </c>
      <c r="D3645">
        <v>3.5540690000000001</v>
      </c>
      <c r="E3645">
        <v>0.54904739999999996</v>
      </c>
      <c r="F3645" t="s">
        <v>46</v>
      </c>
      <c r="G3645">
        <v>-203.53469999999999</v>
      </c>
      <c r="H3645" s="1">
        <v>4.1889779999999999E-6</v>
      </c>
      <c r="I3645">
        <v>209.98920000000001</v>
      </c>
      <c r="J3645">
        <v>-219.28970000000001</v>
      </c>
      <c r="K3645">
        <v>1.1086510000000001</v>
      </c>
      <c r="L3645">
        <v>215.47819999999999</v>
      </c>
      <c r="M3645">
        <v>0.99984740000000005</v>
      </c>
      <c r="N3645">
        <v>0</v>
      </c>
      <c r="O3645">
        <v>-5.4206790000000003E-3</v>
      </c>
      <c r="P3645">
        <v>0.97098300000000004</v>
      </c>
      <c r="Q3645">
        <v>0.1169838</v>
      </c>
      <c r="R3645">
        <v>-0.20858399999999999</v>
      </c>
      <c r="S3645">
        <v>2.9012760000000002</v>
      </c>
      <c r="T3645">
        <v>-0.2006744</v>
      </c>
      <c r="U3645">
        <v>-0.99415589999999998</v>
      </c>
      <c r="V3645">
        <v>0.20390449999999999</v>
      </c>
      <c r="W3645">
        <v>0.13221759999999999</v>
      </c>
      <c r="X3645">
        <v>0.97002140000000003</v>
      </c>
      <c r="Y3645">
        <v>0.31835649999999999</v>
      </c>
      <c r="Z3645">
        <v>-1.032864E-2</v>
      </c>
      <c r="AA3645">
        <v>0.94791479999999995</v>
      </c>
      <c r="AB3645">
        <v>27</v>
      </c>
      <c r="AC3645">
        <v>15.755000000000001</v>
      </c>
      <c r="AD3645">
        <v>-1.108646811022</v>
      </c>
      <c r="AE3645">
        <v>-5.4889999999999697</v>
      </c>
      <c r="AF3645">
        <v>5.3797495621423996</v>
      </c>
      <c r="AG3645">
        <v>-1.108646811022</v>
      </c>
      <c r="AH3645">
        <v>15.7151338422103</v>
      </c>
      <c r="AI3645">
        <v>93.818481820561004</v>
      </c>
      <c r="AJ3645">
        <v>71.102425901030003</v>
      </c>
      <c r="AK3645">
        <v>16.647409251338299</v>
      </c>
      <c r="AL3645">
        <v>82.402242420235396</v>
      </c>
      <c r="AM3645">
        <v>78.1289066691958</v>
      </c>
      <c r="AN3645">
        <v>1.00000002766398</v>
      </c>
    </row>
    <row r="3646" spans="1:40" x14ac:dyDescent="0.25">
      <c r="A3646" t="str">
        <f>"20190312173002960"</f>
        <v>20190312173002960</v>
      </c>
      <c r="B3646" t="str">
        <f>"1552383002951031"</f>
        <v>1552383002951031</v>
      </c>
      <c r="C3646" t="s">
        <v>40</v>
      </c>
      <c r="D3646">
        <v>3.5524589999999998</v>
      </c>
      <c r="E3646">
        <v>0.54898639999999999</v>
      </c>
      <c r="F3646" t="s">
        <v>46</v>
      </c>
      <c r="G3646">
        <v>-203.47880000000001</v>
      </c>
      <c r="H3646" s="1">
        <v>4.1621369999999999E-6</v>
      </c>
      <c r="I3646">
        <v>210.01300000000001</v>
      </c>
      <c r="J3646">
        <v>-219.02279999999999</v>
      </c>
      <c r="K3646">
        <v>1.108614</v>
      </c>
      <c r="L3646">
        <v>215.47399999999999</v>
      </c>
      <c r="M3646">
        <v>0.99983750000000005</v>
      </c>
      <c r="N3646">
        <v>0</v>
      </c>
      <c r="O3646">
        <v>-7.8988630000000008E-3</v>
      </c>
      <c r="P3646">
        <v>0.97016250000000004</v>
      </c>
      <c r="Q3646">
        <v>0.117772</v>
      </c>
      <c r="R3646">
        <v>-0.2119297</v>
      </c>
      <c r="S3646">
        <v>2.898895</v>
      </c>
      <c r="T3646">
        <v>-0.20326759999999999</v>
      </c>
      <c r="U3646">
        <v>-1.0020290000000001</v>
      </c>
      <c r="V3646">
        <v>0.20485500000000001</v>
      </c>
      <c r="W3646">
        <v>0.13259099999999999</v>
      </c>
      <c r="X3646">
        <v>0.96977009999999997</v>
      </c>
      <c r="Y3646">
        <v>0.31853540000000002</v>
      </c>
      <c r="Z3646">
        <v>-1.030292E-2</v>
      </c>
      <c r="AA3646">
        <v>0.94785489999999994</v>
      </c>
      <c r="AB3646">
        <v>27</v>
      </c>
      <c r="AC3646">
        <v>15.543999999999899</v>
      </c>
      <c r="AD3646">
        <v>-1.108609837863</v>
      </c>
      <c r="AE3646">
        <v>-5.4610000000000101</v>
      </c>
      <c r="AF3646">
        <v>5.3139729987521003</v>
      </c>
      <c r="AG3646">
        <v>-1.108609837863</v>
      </c>
      <c r="AH3646">
        <v>15.5164013345715</v>
      </c>
      <c r="AI3646">
        <v>93.866940761348602</v>
      </c>
      <c r="AJ3646">
        <v>71.094971623668698</v>
      </c>
      <c r="AK3646">
        <v>16.438553317721301</v>
      </c>
      <c r="AL3646">
        <v>82.380657898304094</v>
      </c>
      <c r="AM3646">
        <v>78.072148722273795</v>
      </c>
      <c r="AN3646">
        <v>0.99999999558000496</v>
      </c>
    </row>
    <row r="3647" spans="1:40" x14ac:dyDescent="0.25">
      <c r="A3647" t="str">
        <f>"20190312173002983"</f>
        <v>20190312173002983</v>
      </c>
      <c r="B3647" t="str">
        <f>"1552383002971527"</f>
        <v>1552383002971527</v>
      </c>
      <c r="C3647" t="s">
        <v>40</v>
      </c>
      <c r="D3647">
        <v>3.5467659999999999</v>
      </c>
      <c r="E3647">
        <v>0.54894219999999905</v>
      </c>
      <c r="F3647" t="s">
        <v>46</v>
      </c>
      <c r="G3647">
        <v>-203.20650000000001</v>
      </c>
      <c r="H3647" s="1">
        <v>4.0470240000000002E-6</v>
      </c>
      <c r="I3647">
        <v>209.94839999999999</v>
      </c>
      <c r="J3647">
        <v>-218.749</v>
      </c>
      <c r="K3647">
        <v>1.1085799999999999</v>
      </c>
      <c r="L3647">
        <v>215.46899999999999</v>
      </c>
      <c r="M3647">
        <v>0.99981989999999998</v>
      </c>
      <c r="N3647">
        <v>0</v>
      </c>
      <c r="O3647">
        <v>-1.045078E-2</v>
      </c>
      <c r="P3647">
        <v>0.96917629999999999</v>
      </c>
      <c r="Q3647">
        <v>0.118729</v>
      </c>
      <c r="R3647">
        <v>-0.21587210000000001</v>
      </c>
      <c r="S3647">
        <v>2.8958889999999999</v>
      </c>
      <c r="T3647">
        <v>-0.20298099999999999</v>
      </c>
      <c r="U3647">
        <v>-1.011719</v>
      </c>
      <c r="V3647">
        <v>0.2063333</v>
      </c>
      <c r="W3647">
        <v>0.13316989999999901</v>
      </c>
      <c r="X3647">
        <v>0.9693773</v>
      </c>
      <c r="Y3647">
        <v>0.31925530000000002</v>
      </c>
      <c r="Z3647">
        <v>-1.014409E-2</v>
      </c>
      <c r="AA3647">
        <v>0.94761439999999997</v>
      </c>
      <c r="AB3647">
        <v>27</v>
      </c>
      <c r="AC3647">
        <v>15.5425</v>
      </c>
      <c r="AD3647">
        <v>-1.108575952976</v>
      </c>
      <c r="AE3647">
        <v>-5.5206000000000301</v>
      </c>
      <c r="AF3647">
        <v>5.3337521429871897</v>
      </c>
      <c r="AG3647">
        <v>-1.108575952976</v>
      </c>
      <c r="AH3647">
        <v>15.5292012826812</v>
      </c>
      <c r="AI3647">
        <v>93.862473650313206</v>
      </c>
      <c r="AJ3647">
        <v>71.044147555151795</v>
      </c>
      <c r="AK3647">
        <v>16.457033300214299</v>
      </c>
      <c r="AL3647">
        <v>82.3471926475613</v>
      </c>
      <c r="AM3647">
        <v>77.983839088155094</v>
      </c>
      <c r="AN3647">
        <v>1.00000000135509</v>
      </c>
    </row>
    <row r="3648" spans="1:40" x14ac:dyDescent="0.25">
      <c r="A3648" t="str">
        <f>"20190312173003005"</f>
        <v>20190312173003005</v>
      </c>
      <c r="B3648" t="str">
        <f>"1552383003000810"</f>
        <v>1552383003000810</v>
      </c>
      <c r="C3648" t="s">
        <v>40</v>
      </c>
      <c r="D3648">
        <v>3.5482100000000001</v>
      </c>
      <c r="E3648">
        <v>0.54892459999999998</v>
      </c>
      <c r="F3648" t="s">
        <v>46</v>
      </c>
      <c r="G3648">
        <v>-202.9102</v>
      </c>
      <c r="H3648" s="1">
        <v>3.9225680000000003E-6</v>
      </c>
      <c r="I3648">
        <v>209.869</v>
      </c>
      <c r="J3648">
        <v>-218.48079999999999</v>
      </c>
      <c r="K3648">
        <v>1.1085609999999999</v>
      </c>
      <c r="L3648">
        <v>215.46350000000001</v>
      </c>
      <c r="M3648">
        <v>0.99979560000000001</v>
      </c>
      <c r="N3648">
        <v>0</v>
      </c>
      <c r="O3648">
        <v>-1.2956290000000001E-2</v>
      </c>
      <c r="P3648">
        <v>0.96827549999999996</v>
      </c>
      <c r="Q3648">
        <v>0.1189472</v>
      </c>
      <c r="R3648">
        <v>-0.2197595</v>
      </c>
      <c r="S3648">
        <v>2.8924259999999999</v>
      </c>
      <c r="T3648">
        <v>-0.2024444</v>
      </c>
      <c r="U3648">
        <v>-1.022659</v>
      </c>
      <c r="V3648">
        <v>0.2077987</v>
      </c>
      <c r="W3648">
        <v>0.13306970000000001</v>
      </c>
      <c r="X3648">
        <v>0.96907799999999999</v>
      </c>
      <c r="Y3648">
        <v>0.32042999999999999</v>
      </c>
      <c r="Z3648">
        <v>-9.9926129999999991E-3</v>
      </c>
      <c r="AA3648">
        <v>0.94721949999999999</v>
      </c>
      <c r="AB3648">
        <v>27</v>
      </c>
      <c r="AC3648">
        <v>15.570599999999899</v>
      </c>
      <c r="AD3648">
        <v>-1.1085570774319999</v>
      </c>
      <c r="AE3648">
        <v>-5.5944999999999796</v>
      </c>
      <c r="AF3648">
        <v>5.3681696896085196</v>
      </c>
      <c r="AG3648">
        <v>-1.1085570774319999</v>
      </c>
      <c r="AH3648">
        <v>15.571879245205601</v>
      </c>
      <c r="AI3648">
        <v>93.850355307296496</v>
      </c>
      <c r="AJ3648">
        <v>70.979142068638794</v>
      </c>
      <c r="AK3648">
        <v>16.508469578904698</v>
      </c>
      <c r="AL3648">
        <v>82.352985285740502</v>
      </c>
      <c r="AM3648">
        <v>77.897378449415996</v>
      </c>
      <c r="AN3648">
        <v>1.00000000743189</v>
      </c>
    </row>
    <row r="3649" spans="1:40" x14ac:dyDescent="0.25">
      <c r="A3649" t="str">
        <f>"20190312173003028"</f>
        <v>20190312173003028</v>
      </c>
      <c r="B3649" t="str">
        <f>"1552383003021310"</f>
        <v>1552383003021310</v>
      </c>
      <c r="C3649" t="s">
        <v>40</v>
      </c>
      <c r="D3649">
        <v>3.5391240000000002</v>
      </c>
      <c r="E3649">
        <v>0.54896489999999998</v>
      </c>
      <c r="F3649" t="s">
        <v>46</v>
      </c>
      <c r="G3649">
        <v>-202.876</v>
      </c>
      <c r="H3649" s="1">
        <v>3.9064709999999996E-6</v>
      </c>
      <c r="I3649">
        <v>209.87950000000001</v>
      </c>
      <c r="J3649">
        <v>-218.20490000000001</v>
      </c>
      <c r="K3649">
        <v>1.108549</v>
      </c>
      <c r="L3649">
        <v>215.45699999999999</v>
      </c>
      <c r="M3649">
        <v>0.99976310000000002</v>
      </c>
      <c r="N3649">
        <v>0</v>
      </c>
      <c r="O3649">
        <v>-1.55344E-2</v>
      </c>
      <c r="P3649">
        <v>0.96734010000000004</v>
      </c>
      <c r="Q3649">
        <v>0.11934790000000001</v>
      </c>
      <c r="R3649">
        <v>-0.22362779999999999</v>
      </c>
      <c r="S3649">
        <v>2.8888850000000001</v>
      </c>
      <c r="T3649">
        <v>-0.2052252</v>
      </c>
      <c r="U3649">
        <v>-1.033752</v>
      </c>
      <c r="V3649">
        <v>0.20917729999999901</v>
      </c>
      <c r="W3649">
        <v>0.13318550000000001</v>
      </c>
      <c r="X3649">
        <v>0.9687654</v>
      </c>
      <c r="Y3649">
        <v>0.3215652</v>
      </c>
      <c r="Z3649">
        <v>-9.9967779999999996E-3</v>
      </c>
      <c r="AA3649">
        <v>0.94683470000000003</v>
      </c>
      <c r="AB3649">
        <v>27</v>
      </c>
      <c r="AC3649">
        <v>15.328900000000001</v>
      </c>
      <c r="AD3649">
        <v>-1.108545093529</v>
      </c>
      <c r="AE3649">
        <v>-5.5774999999999801</v>
      </c>
      <c r="AF3649">
        <v>5.3141312751159298</v>
      </c>
      <c r="AG3649">
        <v>-1.108545093529</v>
      </c>
      <c r="AH3649">
        <v>15.3428441858266</v>
      </c>
      <c r="AI3649">
        <v>93.905661335553205</v>
      </c>
      <c r="AJ3649">
        <v>70.896014939069801</v>
      </c>
      <c r="AK3649">
        <v>16.274880372651101</v>
      </c>
      <c r="AL3649">
        <v>82.346290483343495</v>
      </c>
      <c r="AM3649">
        <v>77.815662869608204</v>
      </c>
      <c r="AN3649">
        <v>0.99999996024134896</v>
      </c>
    </row>
    <row r="3650" spans="1:40" x14ac:dyDescent="0.25">
      <c r="A3650" t="str">
        <f>"20190312173003050"</f>
        <v>20190312173003050</v>
      </c>
      <c r="B3650" t="str">
        <f>"1552383003040823"</f>
        <v>1552383003040823</v>
      </c>
      <c r="C3650" t="s">
        <v>40</v>
      </c>
      <c r="D3650">
        <v>3.568622</v>
      </c>
      <c r="E3650">
        <v>0.54901739999999999</v>
      </c>
      <c r="F3650" t="s">
        <v>46</v>
      </c>
      <c r="G3650">
        <v>-202.68379999999999</v>
      </c>
      <c r="H3650" s="1">
        <v>3.8255129999999998E-6</v>
      </c>
      <c r="I3650">
        <v>209.8306</v>
      </c>
      <c r="J3650">
        <v>-217.9409</v>
      </c>
      <c r="K3650">
        <v>1.1085339999999999</v>
      </c>
      <c r="L3650">
        <v>215.45009999999999</v>
      </c>
      <c r="M3650">
        <v>0.99972539999999999</v>
      </c>
      <c r="N3650">
        <v>0</v>
      </c>
      <c r="O3650">
        <v>-1.7999580000000001E-2</v>
      </c>
      <c r="P3650">
        <v>0.96644620000000003</v>
      </c>
      <c r="Q3650">
        <v>0.1197675</v>
      </c>
      <c r="R3650">
        <v>-0.22723950000000001</v>
      </c>
      <c r="S3650">
        <v>2.8849330000000002</v>
      </c>
      <c r="T3650">
        <v>-0.2060467</v>
      </c>
      <c r="U3650">
        <v>-1.0457920000000001</v>
      </c>
      <c r="V3650">
        <v>0.2104106</v>
      </c>
      <c r="W3650">
        <v>0.13336789999999901</v>
      </c>
      <c r="X3650">
        <v>0.96847329999999998</v>
      </c>
      <c r="Y3650">
        <v>0.32313520000000001</v>
      </c>
      <c r="Z3650">
        <v>-9.9268470000000008E-3</v>
      </c>
      <c r="AA3650">
        <v>0.94630069999999999</v>
      </c>
      <c r="AB3650">
        <v>27</v>
      </c>
      <c r="AC3650">
        <v>15.257099999999999</v>
      </c>
      <c r="AD3650">
        <v>-1.108530174487</v>
      </c>
      <c r="AE3650">
        <v>-5.61949999999998</v>
      </c>
      <c r="AF3650">
        <v>5.3192113122569404</v>
      </c>
      <c r="AG3650">
        <v>-1.108530174487</v>
      </c>
      <c r="AH3650">
        <v>15.284738275953201</v>
      </c>
      <c r="AI3650">
        <v>93.918413798291994</v>
      </c>
      <c r="AJ3650">
        <v>70.811694161592598</v>
      </c>
      <c r="AK3650">
        <v>16.2217777169021</v>
      </c>
      <c r="AL3650">
        <v>82.335746546385494</v>
      </c>
      <c r="AM3650">
        <v>77.742405026877904</v>
      </c>
      <c r="AN3650">
        <v>1.00000007507782</v>
      </c>
    </row>
    <row r="3651" spans="1:40" x14ac:dyDescent="0.25">
      <c r="A3651" t="str">
        <f>"20190312173003071"</f>
        <v>20190312173003071</v>
      </c>
      <c r="B3651" t="str">
        <f>"1552383003060849"</f>
        <v>1552383003060849</v>
      </c>
      <c r="C3651" t="s">
        <v>40</v>
      </c>
      <c r="D3651">
        <v>3.530081</v>
      </c>
      <c r="E3651">
        <v>0.54908419999999902</v>
      </c>
      <c r="F3651" t="s">
        <v>46</v>
      </c>
      <c r="G3651">
        <v>-202.5154</v>
      </c>
      <c r="H3651" s="1">
        <v>3.7547670000000002E-6</v>
      </c>
      <c r="I3651">
        <v>209.78579999999999</v>
      </c>
      <c r="J3651">
        <v>-217.67330000000001</v>
      </c>
      <c r="K3651">
        <v>1.108519</v>
      </c>
      <c r="L3651">
        <v>215.4426</v>
      </c>
      <c r="M3651">
        <v>0.99968049999999997</v>
      </c>
      <c r="N3651">
        <v>0</v>
      </c>
      <c r="O3651">
        <v>-2.049554E-2</v>
      </c>
      <c r="P3651">
        <v>0.96549399999999996</v>
      </c>
      <c r="Q3651">
        <v>0.1204047</v>
      </c>
      <c r="R3651">
        <v>-0.23092109999999999</v>
      </c>
      <c r="S3651">
        <v>2.8810579999999999</v>
      </c>
      <c r="T3651">
        <v>-0.2070428</v>
      </c>
      <c r="U3651">
        <v>-1.0579379999999901</v>
      </c>
      <c r="V3651">
        <v>0.2116884</v>
      </c>
      <c r="W3651">
        <v>0.13379369999999999</v>
      </c>
      <c r="X3651">
        <v>0.968136</v>
      </c>
      <c r="Y3651">
        <v>0.32469569999999998</v>
      </c>
      <c r="Z3651">
        <v>-9.8613989999999999E-3</v>
      </c>
      <c r="AA3651">
        <v>0.94576709999999997</v>
      </c>
      <c r="AB3651">
        <v>27</v>
      </c>
      <c r="AC3651">
        <v>15.1579</v>
      </c>
      <c r="AD3651">
        <v>-1.108515245233</v>
      </c>
      <c r="AE3651">
        <v>-5.6567999999999996</v>
      </c>
      <c r="AF3651">
        <v>5.31993438156801</v>
      </c>
      <c r="AG3651">
        <v>-1.108515245233</v>
      </c>
      <c r="AH3651">
        <v>15.1993158554997</v>
      </c>
      <c r="AI3651">
        <v>93.937866307612694</v>
      </c>
      <c r="AJ3651">
        <v>70.709370012148</v>
      </c>
      <c r="AK3651">
        <v>16.141552290543402</v>
      </c>
      <c r="AL3651">
        <v>82.3111289866779</v>
      </c>
      <c r="AM3651">
        <v>77.666072173986805</v>
      </c>
      <c r="AN3651">
        <v>1.0000000236751201</v>
      </c>
    </row>
    <row r="3652" spans="1:40" x14ac:dyDescent="0.25">
      <c r="A3652" t="str">
        <f>"20190312173003095"</f>
        <v>20190312173003095</v>
      </c>
      <c r="B3652" t="str">
        <f>"1552383003091104"</f>
        <v>1552383003091104</v>
      </c>
      <c r="C3652" t="s">
        <v>40</v>
      </c>
      <c r="D3652">
        <v>3.5242740000000001</v>
      </c>
      <c r="E3652">
        <v>0.54922660000000001</v>
      </c>
      <c r="F3652" t="s">
        <v>46</v>
      </c>
      <c r="G3652">
        <v>-202.24420000000001</v>
      </c>
      <c r="H3652" s="1">
        <v>3.641517E-6</v>
      </c>
      <c r="I3652">
        <v>209.7054</v>
      </c>
      <c r="J3652">
        <v>-217.39529999999999</v>
      </c>
      <c r="K3652">
        <v>1.1085039999999999</v>
      </c>
      <c r="L3652">
        <v>215.43389999999999</v>
      </c>
      <c r="M3652">
        <v>0.99962669999999998</v>
      </c>
      <c r="N3652">
        <v>0</v>
      </c>
      <c r="O3652">
        <v>-2.308325E-2</v>
      </c>
      <c r="P3652">
        <v>0.9646515</v>
      </c>
      <c r="Q3652">
        <v>0.1204228</v>
      </c>
      <c r="R3652">
        <v>-0.234405</v>
      </c>
      <c r="S3652">
        <v>2.8771209999999998</v>
      </c>
      <c r="T3652">
        <v>-0.2067089</v>
      </c>
      <c r="U3652">
        <v>-1.069839</v>
      </c>
      <c r="V3652">
        <v>0.21267749999999999</v>
      </c>
      <c r="W3652">
        <v>0.13362449999999901</v>
      </c>
      <c r="X3652">
        <v>0.96794250000000004</v>
      </c>
      <c r="Y3652">
        <v>0.32611259999999997</v>
      </c>
      <c r="Z3652">
        <v>-9.7212189999999997E-3</v>
      </c>
      <c r="AA3652">
        <v>0.94528100000000004</v>
      </c>
      <c r="AB3652">
        <v>27</v>
      </c>
      <c r="AC3652">
        <v>15.1510999999999</v>
      </c>
      <c r="AD3652">
        <v>-1.108500358483</v>
      </c>
      <c r="AE3652">
        <v>-5.7284999999999897</v>
      </c>
      <c r="AF3652">
        <v>5.3521334845423398</v>
      </c>
      <c r="AG3652">
        <v>-1.108500358483</v>
      </c>
      <c r="AH3652">
        <v>15.2080840874979</v>
      </c>
      <c r="AI3652">
        <v>93.933202923265796</v>
      </c>
      <c r="AJ3652">
        <v>70.611659509485705</v>
      </c>
      <c r="AK3652">
        <v>16.1604432950808</v>
      </c>
      <c r="AL3652">
        <v>82.320910737966301</v>
      </c>
      <c r="AM3652">
        <v>77.607818276596404</v>
      </c>
      <c r="AN3652">
        <v>0.99999995465637403</v>
      </c>
    </row>
    <row r="3653" spans="1:40" x14ac:dyDescent="0.25">
      <c r="A3653" t="str">
        <f>"20190312173003117"</f>
        <v>20190312173003117</v>
      </c>
      <c r="B3653" t="str">
        <f>"1552383003111601"</f>
        <v>1552383003111601</v>
      </c>
      <c r="C3653" t="s">
        <v>40</v>
      </c>
      <c r="D3653">
        <v>3.5382690000000001</v>
      </c>
      <c r="E3653">
        <v>0.54923559999999905</v>
      </c>
      <c r="F3653" t="s">
        <v>46</v>
      </c>
      <c r="G3653">
        <v>-202.18819999999999</v>
      </c>
      <c r="H3653" s="1">
        <v>3.6162319999999998E-6</v>
      </c>
      <c r="I3653">
        <v>209.71039999999999</v>
      </c>
      <c r="J3653">
        <v>-217.13</v>
      </c>
      <c r="K3653">
        <v>1.1084969999999901</v>
      </c>
      <c r="L3653">
        <v>215.42500000000001</v>
      </c>
      <c r="M3653">
        <v>0.99956900000000004</v>
      </c>
      <c r="N3653">
        <v>0</v>
      </c>
      <c r="O3653">
        <v>-2.555077E-2</v>
      </c>
      <c r="P3653">
        <v>0.96403830000000001</v>
      </c>
      <c r="Q3653">
        <v>0.1198418</v>
      </c>
      <c r="R3653">
        <v>-0.237209</v>
      </c>
      <c r="S3653">
        <v>2.873291</v>
      </c>
      <c r="T3653">
        <v>-0.20944380000000001</v>
      </c>
      <c r="U3653">
        <v>-1.081421</v>
      </c>
      <c r="V3653">
        <v>0.21309700000000001</v>
      </c>
      <c r="W3653">
        <v>0.13289200000000001</v>
      </c>
      <c r="X3653">
        <v>0.96795109999999995</v>
      </c>
      <c r="Y3653">
        <v>0.32751649999999999</v>
      </c>
      <c r="Z3653">
        <v>-9.7312279999999998E-3</v>
      </c>
      <c r="AA3653">
        <v>0.9447953</v>
      </c>
      <c r="AB3653">
        <v>27</v>
      </c>
      <c r="AC3653">
        <v>14.941800000000001</v>
      </c>
      <c r="AD3653">
        <v>-1.10849338376799</v>
      </c>
      <c r="AE3653">
        <v>-5.7146000000000097</v>
      </c>
      <c r="AF3653">
        <v>5.3054457347942297</v>
      </c>
      <c r="AG3653">
        <v>-1.10849338376799</v>
      </c>
      <c r="AH3653">
        <v>15.010874644688</v>
      </c>
      <c r="AI3653">
        <v>93.9828012152268</v>
      </c>
      <c r="AJ3653">
        <v>70.534547040715594</v>
      </c>
      <c r="AK3653">
        <v>15.9594131980234</v>
      </c>
      <c r="AL3653">
        <v>82.3632577211159</v>
      </c>
      <c r="AM3653">
        <v>77.584239297678707</v>
      </c>
      <c r="AN3653">
        <v>0.99999997353210401</v>
      </c>
    </row>
    <row r="3654" spans="1:40" x14ac:dyDescent="0.25">
      <c r="A3654" t="str">
        <f>"20190312173003138"</f>
        <v>20190312173003138</v>
      </c>
      <c r="B3654" t="str">
        <f>"1552383003131124"</f>
        <v>1552383003131124</v>
      </c>
      <c r="C3654" t="s">
        <v>40</v>
      </c>
      <c r="D3654">
        <v>3.5216970000000001</v>
      </c>
      <c r="E3654">
        <v>0.54920349999999996</v>
      </c>
      <c r="F3654" t="s">
        <v>46</v>
      </c>
      <c r="G3654">
        <v>-202.16659999999999</v>
      </c>
      <c r="H3654" s="1">
        <v>3.6038469999999999E-6</v>
      </c>
      <c r="I3654">
        <v>209.74289999999999</v>
      </c>
      <c r="J3654">
        <v>-216.86420000000001</v>
      </c>
      <c r="K3654">
        <v>1.1084860000000001</v>
      </c>
      <c r="L3654">
        <v>215.41550000000001</v>
      </c>
      <c r="M3654">
        <v>0.99950490000000003</v>
      </c>
      <c r="N3654">
        <v>0</v>
      </c>
      <c r="O3654">
        <v>-2.8020880000000001E-2</v>
      </c>
      <c r="P3654">
        <v>0.9631246</v>
      </c>
      <c r="Q3654">
        <v>0.1194294</v>
      </c>
      <c r="R3654">
        <v>-0.2410968</v>
      </c>
      <c r="S3654">
        <v>2.8701780000000001</v>
      </c>
      <c r="T3654">
        <v>-0.2126247</v>
      </c>
      <c r="U3654">
        <v>-1.08992</v>
      </c>
      <c r="V3654">
        <v>0.2146081</v>
      </c>
      <c r="W3654">
        <v>0.13234000000000001</v>
      </c>
      <c r="X3654">
        <v>0.96769289999999997</v>
      </c>
      <c r="Y3654">
        <v>0.32795059999999998</v>
      </c>
      <c r="Z3654">
        <v>-9.7230670000000002E-3</v>
      </c>
      <c r="AA3654">
        <v>0.94464479999999995</v>
      </c>
      <c r="AB3654">
        <v>27</v>
      </c>
      <c r="AC3654">
        <v>14.6976</v>
      </c>
      <c r="AD3654">
        <v>-1.1084823961529999</v>
      </c>
      <c r="AE3654">
        <v>-5.6726000000000099</v>
      </c>
      <c r="AF3654">
        <v>5.2325857232366104</v>
      </c>
      <c r="AG3654">
        <v>-1.1084823961529999</v>
      </c>
      <c r="AH3654">
        <v>14.7776366845667</v>
      </c>
      <c r="AI3654">
        <v>94.044594004748902</v>
      </c>
      <c r="AJ3654">
        <v>70.501549945072298</v>
      </c>
      <c r="AK3654">
        <v>15.7158274537057</v>
      </c>
      <c r="AL3654">
        <v>82.395167265557106</v>
      </c>
      <c r="AM3654">
        <v>77.495725180510306</v>
      </c>
      <c r="AN3654">
        <v>1.0000000304479999</v>
      </c>
    </row>
    <row r="3655" spans="1:40" x14ac:dyDescent="0.25">
      <c r="A3655" t="str">
        <f>"20190312173003161"</f>
        <v>20190312173003161</v>
      </c>
      <c r="B3655" t="str">
        <f>"1552383003151617"</f>
        <v>1552383003151617</v>
      </c>
      <c r="C3655" t="s">
        <v>40</v>
      </c>
      <c r="D3655">
        <v>3.5240469999999999</v>
      </c>
      <c r="E3655">
        <v>0.54916880000000001</v>
      </c>
      <c r="F3655" t="s">
        <v>46</v>
      </c>
      <c r="G3655">
        <v>-202.06880000000001</v>
      </c>
      <c r="H3655" s="1">
        <v>3.5618450000000001E-6</v>
      </c>
      <c r="I3655">
        <v>209.72710000000001</v>
      </c>
      <c r="J3655">
        <v>-216.59190000000001</v>
      </c>
      <c r="K3655">
        <v>1.1084780000000001</v>
      </c>
      <c r="L3655">
        <v>215.405</v>
      </c>
      <c r="M3655">
        <v>0.99943230000000005</v>
      </c>
      <c r="N3655">
        <v>0</v>
      </c>
      <c r="O3655">
        <v>-3.055049E-2</v>
      </c>
      <c r="P3655">
        <v>0.96224080000000001</v>
      </c>
      <c r="Q3655">
        <v>0.11876539999999999</v>
      </c>
      <c r="R3655">
        <v>-0.24492439999999999</v>
      </c>
      <c r="S3655">
        <v>2.8656619999999999</v>
      </c>
      <c r="T3655">
        <v>-0.21469779999999999</v>
      </c>
      <c r="U3655">
        <v>-1.101761</v>
      </c>
      <c r="V3655">
        <v>0.21600140000000001</v>
      </c>
      <c r="W3655">
        <v>0.13155210000000001</v>
      </c>
      <c r="X3655">
        <v>0.96749030000000003</v>
      </c>
      <c r="Y3655">
        <v>0.32944709999999899</v>
      </c>
      <c r="Z3655">
        <v>-9.6969459999999997E-3</v>
      </c>
      <c r="AA3655">
        <v>0.94412430000000003</v>
      </c>
      <c r="AB3655">
        <v>27</v>
      </c>
      <c r="AC3655">
        <v>14.523099999999999</v>
      </c>
      <c r="AD3655">
        <v>-1.108474438155</v>
      </c>
      <c r="AE3655">
        <v>-5.6778999999999904</v>
      </c>
      <c r="AF3655">
        <v>5.2052139207702401</v>
      </c>
      <c r="AG3655">
        <v>-1.108474438155</v>
      </c>
      <c r="AH3655">
        <v>14.6159433767804</v>
      </c>
      <c r="AI3655">
        <v>94.086531785880297</v>
      </c>
      <c r="AJ3655">
        <v>70.397527911166193</v>
      </c>
      <c r="AK3655">
        <v>15.554702450843401</v>
      </c>
      <c r="AL3655">
        <v>82.4407087063029</v>
      </c>
      <c r="AM3655">
        <v>77.414569926749294</v>
      </c>
      <c r="AN3655">
        <v>1.0000000202052299</v>
      </c>
    </row>
    <row r="3656" spans="1:40" x14ac:dyDescent="0.25">
      <c r="A3656" t="str">
        <f>"20190312173003183"</f>
        <v>20190312173003183</v>
      </c>
      <c r="B3656" t="str">
        <f>"1552383003180897"</f>
        <v>1552383003180897</v>
      </c>
      <c r="C3656" t="s">
        <v>40</v>
      </c>
      <c r="D3656">
        <v>3.5041850000000001</v>
      </c>
      <c r="E3656">
        <v>0.54910360000000003</v>
      </c>
      <c r="F3656" t="s">
        <v>46</v>
      </c>
      <c r="G3656">
        <v>-202.00120000000001</v>
      </c>
      <c r="H3656" s="1">
        <v>3.53176E-6</v>
      </c>
      <c r="I3656">
        <v>209.72839999999999</v>
      </c>
      <c r="J3656">
        <v>-216.32769999999999</v>
      </c>
      <c r="K3656">
        <v>1.108465</v>
      </c>
      <c r="L3656">
        <v>215.39420000000001</v>
      </c>
      <c r="M3656">
        <v>0.99935580000000002</v>
      </c>
      <c r="N3656">
        <v>0</v>
      </c>
      <c r="O3656">
        <v>-3.3005800000000002E-2</v>
      </c>
      <c r="P3656">
        <v>0.961422</v>
      </c>
      <c r="Q3656">
        <v>0.1186784</v>
      </c>
      <c r="R3656">
        <v>-0.24816050000000001</v>
      </c>
      <c r="S3656">
        <v>2.8612060000000001</v>
      </c>
      <c r="T3656">
        <v>-0.21737000000000001</v>
      </c>
      <c r="U3656">
        <v>-1.1131740000000001</v>
      </c>
      <c r="V3656">
        <v>0.21687880000000001</v>
      </c>
      <c r="W3656">
        <v>0.13136249999999999</v>
      </c>
      <c r="X3656">
        <v>0.9673197</v>
      </c>
      <c r="Y3656">
        <v>0.33087919999999998</v>
      </c>
      <c r="Z3656">
        <v>-9.6980629999999998E-3</v>
      </c>
      <c r="AA3656">
        <v>0.94362330000000005</v>
      </c>
      <c r="AB3656">
        <v>27</v>
      </c>
      <c r="AC3656">
        <v>14.3264999999999</v>
      </c>
      <c r="AD3656">
        <v>-1.10846146824</v>
      </c>
      <c r="AE3656">
        <v>-5.6658000000000097</v>
      </c>
      <c r="AF3656">
        <v>5.1630802110721703</v>
      </c>
      <c r="AG3656">
        <v>-1.10846146824</v>
      </c>
      <c r="AH3656">
        <v>14.431010765173101</v>
      </c>
      <c r="AI3656">
        <v>94.136524988208294</v>
      </c>
      <c r="AJ3656">
        <v>70.313971271117893</v>
      </c>
      <c r="AK3656">
        <v>15.366852501312</v>
      </c>
      <c r="AL3656">
        <v>82.451666636168298</v>
      </c>
      <c r="AM3656">
        <v>77.3629291614956</v>
      </c>
      <c r="AN3656">
        <v>0.99999996115188905</v>
      </c>
    </row>
    <row r="3657" spans="1:40" x14ac:dyDescent="0.25">
      <c r="A3657" t="str">
        <f>"20190312173003207"</f>
        <v>20190312173003207</v>
      </c>
      <c r="B3657" t="str">
        <f>"1552383003201392"</f>
        <v>1552383003201392</v>
      </c>
      <c r="C3657" t="s">
        <v>40</v>
      </c>
      <c r="D3657">
        <v>3.4908670000000002</v>
      </c>
      <c r="E3657">
        <v>0.54908809999999997</v>
      </c>
      <c r="F3657" t="s">
        <v>46</v>
      </c>
      <c r="G3657">
        <v>-201.839</v>
      </c>
      <c r="H3657" s="1">
        <v>3.4620259999999999E-6</v>
      </c>
      <c r="I3657">
        <v>209.70310000000001</v>
      </c>
      <c r="J3657">
        <v>-216.05350000000001</v>
      </c>
      <c r="K3657">
        <v>1.108457</v>
      </c>
      <c r="L3657">
        <v>215.38229999999999</v>
      </c>
      <c r="M3657">
        <v>0.99926959999999998</v>
      </c>
      <c r="N3657">
        <v>0</v>
      </c>
      <c r="O3657">
        <v>-3.5553830000000002E-2</v>
      </c>
      <c r="P3657">
        <v>0.96058659999999996</v>
      </c>
      <c r="Q3657">
        <v>0.11853900000000001</v>
      </c>
      <c r="R3657">
        <v>-0.25143979999999999</v>
      </c>
      <c r="S3657">
        <v>2.8576510000000002</v>
      </c>
      <c r="T3657">
        <v>-0.21862490000000001</v>
      </c>
      <c r="U3657">
        <v>-1.122482</v>
      </c>
      <c r="V3657">
        <v>0.21771199999999999</v>
      </c>
      <c r="W3657">
        <v>0.13113229999999901</v>
      </c>
      <c r="X3657">
        <v>0.96716380000000002</v>
      </c>
      <c r="Y3657">
        <v>0.33153179999999999</v>
      </c>
      <c r="Z3657">
        <v>-9.5966609999999994E-3</v>
      </c>
      <c r="AA3657">
        <v>0.94339530000000005</v>
      </c>
      <c r="AB3657">
        <v>27</v>
      </c>
      <c r="AC3657">
        <v>14.2144999999999</v>
      </c>
      <c r="AD3657">
        <v>-1.1084535379739999</v>
      </c>
      <c r="AE3657">
        <v>-5.6791999999999803</v>
      </c>
      <c r="AF3657">
        <v>5.1432088184252498</v>
      </c>
      <c r="AG3657">
        <v>-1.1084535379739999</v>
      </c>
      <c r="AH3657">
        <v>14.332291588216499</v>
      </c>
      <c r="AI3657">
        <v>94.163467039641105</v>
      </c>
      <c r="AJ3657">
        <v>70.259241841537801</v>
      </c>
      <c r="AK3657">
        <v>15.2674768172556</v>
      </c>
      <c r="AL3657">
        <v>82.464971550879994</v>
      </c>
      <c r="AM3657">
        <v>77.313969810874198</v>
      </c>
      <c r="AN3657">
        <v>1.00000000553886</v>
      </c>
    </row>
    <row r="3658" spans="1:40" x14ac:dyDescent="0.25">
      <c r="A3658" t="str">
        <f>"20190312173003228"</f>
        <v>20190312173003228</v>
      </c>
      <c r="B3658" t="str">
        <f>"1552383003220916"</f>
        <v>1552383003220916</v>
      </c>
      <c r="C3658" t="s">
        <v>40</v>
      </c>
      <c r="D3658">
        <v>3.4943590000000002</v>
      </c>
      <c r="E3658">
        <v>0.54908000000000001</v>
      </c>
      <c r="F3658" t="s">
        <v>46</v>
      </c>
      <c r="G3658">
        <v>-201.67910000000001</v>
      </c>
      <c r="H3658" s="1">
        <v>3.393131E-6</v>
      </c>
      <c r="I3658">
        <v>209.68010000000001</v>
      </c>
      <c r="J3658">
        <v>-215.78579999999999</v>
      </c>
      <c r="K3658">
        <v>1.1084430000000001</v>
      </c>
      <c r="L3658">
        <v>215.3699</v>
      </c>
      <c r="M3658">
        <v>0.99917889999999998</v>
      </c>
      <c r="N3658">
        <v>0</v>
      </c>
      <c r="O3658">
        <v>-3.8042640000000003E-2</v>
      </c>
      <c r="P3658">
        <v>0.95966949999999995</v>
      </c>
      <c r="Q3658">
        <v>0.1189501</v>
      </c>
      <c r="R3658">
        <v>-0.25472660000000003</v>
      </c>
      <c r="S3658">
        <v>2.8538969999999999</v>
      </c>
      <c r="T3658">
        <v>-0.22007270000000001</v>
      </c>
      <c r="U3658">
        <v>-1.1321110000000001</v>
      </c>
      <c r="V3658">
        <v>0.21861749999999999</v>
      </c>
      <c r="W3658">
        <v>0.1314641</v>
      </c>
      <c r="X3658">
        <v>0.96691450000000001</v>
      </c>
      <c r="Y3658">
        <v>0.33235160000000002</v>
      </c>
      <c r="Z3658">
        <v>-9.5126029999999997E-3</v>
      </c>
      <c r="AA3658">
        <v>0.94310760000000005</v>
      </c>
      <c r="AB3658">
        <v>27</v>
      </c>
      <c r="AC3658">
        <v>14.106699999999901</v>
      </c>
      <c r="AD3658">
        <v>-1.1084396068689999</v>
      </c>
      <c r="AE3658">
        <v>-5.6897999999999902</v>
      </c>
      <c r="AF3658">
        <v>5.1217744979157702</v>
      </c>
      <c r="AG3658">
        <v>-1.1084396068689999</v>
      </c>
      <c r="AH3658">
        <v>14.237359077997301</v>
      </c>
      <c r="AI3658">
        <v>94.189898335812401</v>
      </c>
      <c r="AJ3658">
        <v>70.214216502034404</v>
      </c>
      <c r="AK3658">
        <v>15.1711438555374</v>
      </c>
      <c r="AL3658">
        <v>82.445795024965193</v>
      </c>
      <c r="AM3658">
        <v>77.259747548666994</v>
      </c>
      <c r="AN3658">
        <v>1.0000000356026499</v>
      </c>
    </row>
    <row r="3659" spans="1:40" x14ac:dyDescent="0.25">
      <c r="A3659" t="str">
        <f>"20190312173003251"</f>
        <v>20190312173003251</v>
      </c>
      <c r="B3659" t="str">
        <f>"1552383003241409"</f>
        <v>1552383003241409</v>
      </c>
      <c r="C3659" t="s">
        <v>40</v>
      </c>
      <c r="D3659">
        <v>3.4766689999999998</v>
      </c>
      <c r="E3659">
        <v>0.5491045</v>
      </c>
      <c r="F3659" t="s">
        <v>46</v>
      </c>
      <c r="G3659">
        <v>-201.38550000000001</v>
      </c>
      <c r="H3659" s="1">
        <v>3.2714370000000001E-6</v>
      </c>
      <c r="I3659">
        <v>209.59979999999999</v>
      </c>
      <c r="J3659">
        <v>-215.51660000000001</v>
      </c>
      <c r="K3659">
        <v>1.1084270000000001</v>
      </c>
      <c r="L3659">
        <v>215.35679999999999</v>
      </c>
      <c r="M3659">
        <v>0.99908160000000001</v>
      </c>
      <c r="N3659">
        <v>0</v>
      </c>
      <c r="O3659">
        <v>-4.054609E-2</v>
      </c>
      <c r="P3659">
        <v>0.95881070000000002</v>
      </c>
      <c r="Q3659">
        <v>0.1190741</v>
      </c>
      <c r="R3659">
        <v>-0.25788329999999998</v>
      </c>
      <c r="S3659">
        <v>2.8501280000000002</v>
      </c>
      <c r="T3659">
        <v>-0.21938489999999999</v>
      </c>
      <c r="U3659">
        <v>-1.1420440000000001</v>
      </c>
      <c r="V3659">
        <v>0.21937780000000001</v>
      </c>
      <c r="W3659">
        <v>0.1315199</v>
      </c>
      <c r="X3659">
        <v>0.9667346</v>
      </c>
      <c r="Y3659">
        <v>0.33326040000000001</v>
      </c>
      <c r="Z3659">
        <v>-9.3378760000000002E-3</v>
      </c>
      <c r="AA3659">
        <v>0.94278859999999998</v>
      </c>
      <c r="AB3659">
        <v>27</v>
      </c>
      <c r="AC3659">
        <v>14.1311</v>
      </c>
      <c r="AD3659">
        <v>-1.1084237285629901</v>
      </c>
      <c r="AE3659">
        <v>-5.7569999999999997</v>
      </c>
      <c r="AF3659">
        <v>5.1520626637907503</v>
      </c>
      <c r="AG3659">
        <v>-1.1084237285629901</v>
      </c>
      <c r="AH3659">
        <v>14.2775836028448</v>
      </c>
      <c r="AI3659">
        <v>94.176605649240003</v>
      </c>
      <c r="AJ3659">
        <v>70.158033471599595</v>
      </c>
      <c r="AK3659">
        <v>15.219124363441299</v>
      </c>
      <c r="AL3659">
        <v>82.442569229253706</v>
      </c>
      <c r="AM3659">
        <v>77.214592695695401</v>
      </c>
      <c r="AN3659">
        <v>0.99999994503300305</v>
      </c>
    </row>
    <row r="3660" spans="1:40" x14ac:dyDescent="0.25">
      <c r="A3660" t="str">
        <f>"20190312173003273"</f>
        <v>20190312173003273</v>
      </c>
      <c r="B3660" t="str">
        <f>"1552383003260929"</f>
        <v>1552383003260929</v>
      </c>
      <c r="C3660" t="s">
        <v>40</v>
      </c>
      <c r="D3660">
        <v>3.454701</v>
      </c>
      <c r="E3660">
        <v>0.54915939999999996</v>
      </c>
      <c r="F3660" t="s">
        <v>46</v>
      </c>
      <c r="G3660">
        <v>-201.15469999999999</v>
      </c>
      <c r="H3660" s="1">
        <v>3.1786139999999999E-6</v>
      </c>
      <c r="I3660">
        <v>209.54570000000001</v>
      </c>
      <c r="J3660">
        <v>-215.2542</v>
      </c>
      <c r="K3660">
        <v>1.108409</v>
      </c>
      <c r="L3660">
        <v>215.3434</v>
      </c>
      <c r="M3660">
        <v>0.99897999999999998</v>
      </c>
      <c r="N3660">
        <v>0</v>
      </c>
      <c r="O3660">
        <v>-4.2991630000000003E-2</v>
      </c>
      <c r="P3660">
        <v>0.95782029999999996</v>
      </c>
      <c r="Q3660">
        <v>0.119240899999999</v>
      </c>
      <c r="R3660">
        <v>-0.2614609</v>
      </c>
      <c r="S3660">
        <v>2.8463750000000001</v>
      </c>
      <c r="T3660">
        <v>-0.2196777</v>
      </c>
      <c r="U3660">
        <v>-1.1517029999999999</v>
      </c>
      <c r="V3660">
        <v>0.2206235</v>
      </c>
      <c r="W3660">
        <v>0.1316234</v>
      </c>
      <c r="X3660">
        <v>0.96643699999999999</v>
      </c>
      <c r="Y3660">
        <v>0.33413599999999999</v>
      </c>
      <c r="Z3660">
        <v>-9.2080359999999993E-3</v>
      </c>
      <c r="AA3660">
        <v>0.94247990000000004</v>
      </c>
      <c r="AB3660">
        <v>27</v>
      </c>
      <c r="AC3660">
        <v>14.099500000000001</v>
      </c>
      <c r="AD3660">
        <v>-1.108405821386</v>
      </c>
      <c r="AE3660">
        <v>-5.7976999999999901</v>
      </c>
      <c r="AF3660">
        <v>5.15884957446419</v>
      </c>
      <c r="AG3660">
        <v>-1.108405821386</v>
      </c>
      <c r="AH3660">
        <v>14.2603547144336</v>
      </c>
      <c r="AI3660">
        <v>94.180352347115203</v>
      </c>
      <c r="AJ3660">
        <v>70.111818681742406</v>
      </c>
      <c r="AK3660">
        <v>15.205262542235101</v>
      </c>
      <c r="AL3660">
        <v>82.436587237014805</v>
      </c>
      <c r="AM3660">
        <v>77.140571531207598</v>
      </c>
      <c r="AN3660">
        <v>0.99999996157440396</v>
      </c>
    </row>
    <row r="3661" spans="1:40" x14ac:dyDescent="0.25">
      <c r="A3661" t="str">
        <f>"20190312173003297"</f>
        <v>20190312173003297</v>
      </c>
      <c r="B3661" t="str">
        <f>"1552383003291184"</f>
        <v>1552383003291184</v>
      </c>
      <c r="C3661" t="s">
        <v>40</v>
      </c>
      <c r="D3661">
        <v>3.4601009999999999</v>
      </c>
      <c r="E3661">
        <v>0.54927990000000004</v>
      </c>
      <c r="F3661" t="s">
        <v>46</v>
      </c>
      <c r="G3661">
        <v>-200.928</v>
      </c>
      <c r="H3661" s="1">
        <v>3.0895109999999999E-6</v>
      </c>
      <c r="I3661">
        <v>209.48070000000001</v>
      </c>
      <c r="J3661">
        <v>-214.97710000000001</v>
      </c>
      <c r="K3661">
        <v>1.108392</v>
      </c>
      <c r="L3661">
        <v>215.32859999999999</v>
      </c>
      <c r="M3661">
        <v>0.99886580000000003</v>
      </c>
      <c r="N3661">
        <v>0</v>
      </c>
      <c r="O3661">
        <v>-4.5584510000000002E-2</v>
      </c>
      <c r="P3661">
        <v>0.95663010000000004</v>
      </c>
      <c r="Q3661">
        <v>0.1189407</v>
      </c>
      <c r="R3661">
        <v>-0.2659183</v>
      </c>
      <c r="S3661">
        <v>2.8420100000000001</v>
      </c>
      <c r="T3661">
        <v>-0.21988479999999999</v>
      </c>
      <c r="U3661">
        <v>-1.1630400000000001</v>
      </c>
      <c r="V3661">
        <v>0.2226157</v>
      </c>
      <c r="W3661">
        <v>0.1312575</v>
      </c>
      <c r="X3661">
        <v>0.9660299</v>
      </c>
      <c r="Y3661">
        <v>0.33541919999999997</v>
      </c>
      <c r="Z3661">
        <v>-9.0792210000000002E-3</v>
      </c>
      <c r="AA3661">
        <v>0.94202520000000001</v>
      </c>
      <c r="AB3661">
        <v>27</v>
      </c>
      <c r="AC3661">
        <v>14.049099999999999</v>
      </c>
      <c r="AD3661">
        <v>-1.1083889104889999</v>
      </c>
      <c r="AE3661">
        <v>-5.8478999999999797</v>
      </c>
      <c r="AF3661">
        <v>5.1738900242369503</v>
      </c>
      <c r="AG3661">
        <v>-1.1083889104889999</v>
      </c>
      <c r="AH3661">
        <v>14.2256237191545</v>
      </c>
      <c r="AI3661">
        <v>94.187861871426094</v>
      </c>
      <c r="AJ3661">
        <v>70.013564146457398</v>
      </c>
      <c r="AK3661">
        <v>15.177813879434799</v>
      </c>
      <c r="AL3661">
        <v>82.457735719268896</v>
      </c>
      <c r="AM3661">
        <v>77.023081942090101</v>
      </c>
      <c r="AN3661">
        <v>1.00000002444337</v>
      </c>
    </row>
    <row r="3662" spans="1:40" x14ac:dyDescent="0.25">
      <c r="A3662" t="str">
        <f>"20190312173003319"</f>
        <v>20190312173003319</v>
      </c>
      <c r="B3662" t="str">
        <f>"1552383003311682"</f>
        <v>1552383003311682</v>
      </c>
      <c r="C3662" t="s">
        <v>40</v>
      </c>
      <c r="D3662">
        <v>3.4705149999999998</v>
      </c>
      <c r="E3662">
        <v>0.54931600000000003</v>
      </c>
      <c r="F3662" t="s">
        <v>46</v>
      </c>
      <c r="G3662">
        <v>-200.8176</v>
      </c>
      <c r="H3662" s="1">
        <v>3.0455060000000001E-6</v>
      </c>
      <c r="I3662">
        <v>209.45269999999999</v>
      </c>
      <c r="J3662">
        <v>-214.70779999999999</v>
      </c>
      <c r="K3662">
        <v>1.108371</v>
      </c>
      <c r="L3662">
        <v>215.3134</v>
      </c>
      <c r="M3662">
        <v>0.9987473</v>
      </c>
      <c r="N3662">
        <v>0</v>
      </c>
      <c r="O3662">
        <v>-4.812205E-2</v>
      </c>
      <c r="P3662">
        <v>0.9554629</v>
      </c>
      <c r="Q3662">
        <v>0.117628</v>
      </c>
      <c r="R3662">
        <v>-0.27065600000000001</v>
      </c>
      <c r="S3662">
        <v>2.8364410000000002</v>
      </c>
      <c r="T3662">
        <v>-0.2220347</v>
      </c>
      <c r="U3662">
        <v>-1.177063</v>
      </c>
      <c r="V3662">
        <v>0.22494130000000001</v>
      </c>
      <c r="W3662">
        <v>0.12988379999999999</v>
      </c>
      <c r="X3662">
        <v>0.9656768</v>
      </c>
      <c r="Y3662">
        <v>0.33763939999999998</v>
      </c>
      <c r="Z3662">
        <v>-9.0700499999999996E-3</v>
      </c>
      <c r="AA3662">
        <v>0.94123179999999995</v>
      </c>
      <c r="AB3662">
        <v>27</v>
      </c>
      <c r="AC3662">
        <v>13.890199999999901</v>
      </c>
      <c r="AD3662">
        <v>-1.1083679544939999</v>
      </c>
      <c r="AE3662">
        <v>-5.8606999999999996</v>
      </c>
      <c r="AF3662">
        <v>5.1575445467463998</v>
      </c>
      <c r="AG3662">
        <v>-1.1083679544939999</v>
      </c>
      <c r="AH3662">
        <v>14.0800572783889</v>
      </c>
      <c r="AI3662">
        <v>94.227394128047607</v>
      </c>
      <c r="AJ3662">
        <v>69.882147281034904</v>
      </c>
      <c r="AK3662">
        <v>15.0358491026258</v>
      </c>
      <c r="AL3662">
        <v>82.537122653225694</v>
      </c>
      <c r="AM3662">
        <v>76.887546641873698</v>
      </c>
      <c r="AN3662">
        <v>1.00000003600318</v>
      </c>
    </row>
    <row r="3663" spans="1:40" x14ac:dyDescent="0.25">
      <c r="A3663" t="str">
        <f>"20190312173003340"</f>
        <v>20190312173003340</v>
      </c>
      <c r="B3663" t="str">
        <f>"1552383003331200"</f>
        <v>1552383003331200</v>
      </c>
      <c r="C3663" t="s">
        <v>40</v>
      </c>
      <c r="D3663">
        <v>3.4433310000000001</v>
      </c>
      <c r="E3663">
        <v>0.54932729999999996</v>
      </c>
      <c r="F3663" t="s">
        <v>46</v>
      </c>
      <c r="G3663">
        <v>-200.8929</v>
      </c>
      <c r="H3663" s="1">
        <v>3.0701999999999998E-6</v>
      </c>
      <c r="I3663">
        <v>209.50210000000001</v>
      </c>
      <c r="J3663">
        <v>-214.4479</v>
      </c>
      <c r="K3663">
        <v>1.1083350000000001</v>
      </c>
      <c r="L3663">
        <v>215.29820000000001</v>
      </c>
      <c r="M3663">
        <v>0.99862550000000005</v>
      </c>
      <c r="N3663">
        <v>0</v>
      </c>
      <c r="O3663">
        <v>-5.0596740000000001E-2</v>
      </c>
      <c r="P3663">
        <v>0.95436080000000001</v>
      </c>
      <c r="Q3663">
        <v>0.1155969</v>
      </c>
      <c r="R3663">
        <v>-0.27537810000000001</v>
      </c>
      <c r="S3663">
        <v>2.8305210000000001</v>
      </c>
      <c r="T3663">
        <v>-0.2270935</v>
      </c>
      <c r="U3663">
        <v>-1.1906890000000001</v>
      </c>
      <c r="V3663">
        <v>0.2273107</v>
      </c>
      <c r="W3663">
        <v>0.12779509999999999</v>
      </c>
      <c r="X3663">
        <v>0.96540060000000005</v>
      </c>
      <c r="Y3663">
        <v>0.33982509999999999</v>
      </c>
      <c r="Z3663">
        <v>-9.1807499999999997E-3</v>
      </c>
      <c r="AA3663">
        <v>0.94044380000000005</v>
      </c>
      <c r="AB3663">
        <v>27</v>
      </c>
      <c r="AC3663">
        <v>13.555</v>
      </c>
      <c r="AD3663">
        <v>-1.1083319298000001</v>
      </c>
      <c r="AE3663">
        <v>-5.7960999999999903</v>
      </c>
      <c r="AF3663">
        <v>5.0740922082755802</v>
      </c>
      <c r="AG3663">
        <v>-1.1083319298000001</v>
      </c>
      <c r="AH3663">
        <v>13.753190996957001</v>
      </c>
      <c r="AI3663">
        <v>94.323666253150407</v>
      </c>
      <c r="AJ3663">
        <v>69.749001953527099</v>
      </c>
      <c r="AK3663">
        <v>14.701192944910201</v>
      </c>
      <c r="AL3663">
        <v>82.657802131499807</v>
      </c>
      <c r="AM3663">
        <v>76.750616649086297</v>
      </c>
      <c r="AN3663">
        <v>1.0000000301994201</v>
      </c>
    </row>
    <row r="3664" spans="1:40" x14ac:dyDescent="0.25">
      <c r="A3664" t="str">
        <f>"20190312173003363"</f>
        <v>20190312173003363</v>
      </c>
      <c r="B3664" t="str">
        <f>"1552383003351697"</f>
        <v>1552383003351697</v>
      </c>
      <c r="C3664" t="s">
        <v>40</v>
      </c>
      <c r="D3664">
        <v>3.465214</v>
      </c>
      <c r="E3664">
        <v>0.54937619999999998</v>
      </c>
      <c r="F3664" t="s">
        <v>46</v>
      </c>
      <c r="G3664">
        <v>-201.06399999999999</v>
      </c>
      <c r="H3664" s="1">
        <v>3.1308479999999998E-6</v>
      </c>
      <c r="I3664">
        <v>209.58850000000001</v>
      </c>
      <c r="J3664">
        <v>-214.1808</v>
      </c>
      <c r="K3664">
        <v>1.1082959999999999</v>
      </c>
      <c r="L3664">
        <v>215.2818</v>
      </c>
      <c r="M3664">
        <v>0.99849189999999999</v>
      </c>
      <c r="N3664">
        <v>0</v>
      </c>
      <c r="O3664">
        <v>-5.3176889999999997E-2</v>
      </c>
      <c r="P3664">
        <v>0.95328959999999996</v>
      </c>
      <c r="Q3664">
        <v>0.11419319999999999</v>
      </c>
      <c r="R3664">
        <v>-0.27964119999999998</v>
      </c>
      <c r="S3664">
        <v>2.8241420000000002</v>
      </c>
      <c r="T3664">
        <v>-0.23386940000000001</v>
      </c>
      <c r="U3664">
        <v>-1.2048030000000001</v>
      </c>
      <c r="V3664">
        <v>0.22912550000000001</v>
      </c>
      <c r="W3664">
        <v>0.1263369</v>
      </c>
      <c r="X3664">
        <v>0.96516349999999995</v>
      </c>
      <c r="Y3664">
        <v>0.34208939999999999</v>
      </c>
      <c r="Z3664">
        <v>-9.3513410000000009E-3</v>
      </c>
      <c r="AA3664">
        <v>0.93962089999999998</v>
      </c>
      <c r="AB3664">
        <v>27</v>
      </c>
      <c r="AC3664">
        <v>13.1167999999999</v>
      </c>
      <c r="AD3664">
        <v>-1.108292869152</v>
      </c>
      <c r="AE3664">
        <v>-5.69329999999999</v>
      </c>
      <c r="AF3664">
        <v>4.95788317634974</v>
      </c>
      <c r="AG3664">
        <v>-1.108292869152</v>
      </c>
      <c r="AH3664">
        <v>13.320992326312499</v>
      </c>
      <c r="AI3664">
        <v>94.458533126114702</v>
      </c>
      <c r="AJ3664">
        <v>69.585451877178102</v>
      </c>
      <c r="AK3664">
        <v>14.256849414643501</v>
      </c>
      <c r="AL3664">
        <v>82.742033704101203</v>
      </c>
      <c r="AM3664">
        <v>76.645447810439407</v>
      </c>
      <c r="AN3664">
        <v>1.00000004439205</v>
      </c>
    </row>
    <row r="3665" spans="1:40" x14ac:dyDescent="0.25">
      <c r="A3665" t="str">
        <f>"20190312173003385"</f>
        <v>20190312173003385</v>
      </c>
      <c r="B3665" t="str">
        <f>"1552383003380980"</f>
        <v>1552383003380980</v>
      </c>
      <c r="C3665" t="s">
        <v>40</v>
      </c>
      <c r="D3665">
        <v>3.4792900000000002</v>
      </c>
      <c r="E3665">
        <v>0.54944649999999995</v>
      </c>
      <c r="F3665" t="s">
        <v>46</v>
      </c>
      <c r="G3665">
        <v>-201.08690000000001</v>
      </c>
      <c r="H3665" s="1">
        <v>3.1354020000000001E-6</v>
      </c>
      <c r="I3665">
        <v>209.6242</v>
      </c>
      <c r="J3665">
        <v>-213.9222</v>
      </c>
      <c r="K3665">
        <v>1.1082449999999999</v>
      </c>
      <c r="L3665">
        <v>215.26509999999999</v>
      </c>
      <c r="M3665">
        <v>0.99835339999999995</v>
      </c>
      <c r="N3665">
        <v>0</v>
      </c>
      <c r="O3665">
        <v>-5.5724360000000001E-2</v>
      </c>
      <c r="P3665">
        <v>0.95200850000000004</v>
      </c>
      <c r="Q3665">
        <v>0.11334760000000001</v>
      </c>
      <c r="R3665">
        <v>-0.28431040000000002</v>
      </c>
      <c r="S3665">
        <v>2.8183440000000002</v>
      </c>
      <c r="T3665">
        <v>-0.23854939999999999</v>
      </c>
      <c r="U3665">
        <v>-1.217743</v>
      </c>
      <c r="V3665">
        <v>0.2313963</v>
      </c>
      <c r="W3665">
        <v>0.125433399999999</v>
      </c>
      <c r="X3665">
        <v>0.96473940000000002</v>
      </c>
      <c r="Y3665">
        <v>0.34399809999999997</v>
      </c>
      <c r="Z3665">
        <v>-9.4202460000000002E-3</v>
      </c>
      <c r="AA3665">
        <v>0.93892310000000001</v>
      </c>
      <c r="AB3665">
        <v>27</v>
      </c>
      <c r="AC3665">
        <v>12.835299999999901</v>
      </c>
      <c r="AD3665">
        <v>-1.1082418645979999</v>
      </c>
      <c r="AE3665">
        <v>-5.6408999999999798</v>
      </c>
      <c r="AF3665">
        <v>4.8862971694894597</v>
      </c>
      <c r="AG3665">
        <v>-1.1082418645979999</v>
      </c>
      <c r="AH3665">
        <v>13.0481880379432</v>
      </c>
      <c r="AI3665">
        <v>94.547746399688805</v>
      </c>
      <c r="AJ3665">
        <v>69.470034734020103</v>
      </c>
      <c r="AK3665">
        <v>13.9770995250278</v>
      </c>
      <c r="AL3665">
        <v>82.794214855917701</v>
      </c>
      <c r="AM3665">
        <v>76.512193647600597</v>
      </c>
      <c r="AN3665">
        <v>0.99999994770080303</v>
      </c>
    </row>
    <row r="3666" spans="1:40" x14ac:dyDescent="0.25">
      <c r="A3666" t="str">
        <f>"20190312173003408"</f>
        <v>20190312173003408</v>
      </c>
      <c r="B3666" t="str">
        <f>"1552383003401473"</f>
        <v>1552383003401473</v>
      </c>
      <c r="C3666" t="s">
        <v>40</v>
      </c>
      <c r="D3666">
        <v>3.4413580000000001</v>
      </c>
      <c r="E3666">
        <v>0.54948929999999996</v>
      </c>
      <c r="F3666" t="s">
        <v>46</v>
      </c>
      <c r="G3666">
        <v>-201.0427</v>
      </c>
      <c r="H3666" s="1">
        <v>3.11608E-6</v>
      </c>
      <c r="I3666">
        <v>209.62090000000001</v>
      </c>
      <c r="J3666">
        <v>-213.649</v>
      </c>
      <c r="K3666">
        <v>1.1081970000000001</v>
      </c>
      <c r="L3666">
        <v>215.24680000000001</v>
      </c>
      <c r="M3666">
        <v>0.99819619999999998</v>
      </c>
      <c r="N3666">
        <v>0</v>
      </c>
      <c r="O3666">
        <v>-5.8477300000000003E-2</v>
      </c>
      <c r="P3666">
        <v>0.9505053</v>
      </c>
      <c r="Q3666">
        <v>0.1131559</v>
      </c>
      <c r="R3666">
        <v>-0.28937160000000001</v>
      </c>
      <c r="S3666">
        <v>2.8120419999999999</v>
      </c>
      <c r="T3666">
        <v>-0.2419664</v>
      </c>
      <c r="U3666">
        <v>-1.232315</v>
      </c>
      <c r="V3666">
        <v>0.23388120000000001</v>
      </c>
      <c r="W3666">
        <v>0.12517890000000001</v>
      </c>
      <c r="X3666">
        <v>0.96417310000000001</v>
      </c>
      <c r="Y3666">
        <v>0.34623939999999997</v>
      </c>
      <c r="Z3666">
        <v>-9.4326059999999996E-3</v>
      </c>
      <c r="AA3666">
        <v>0.93809880000000001</v>
      </c>
      <c r="AB3666">
        <v>27</v>
      </c>
      <c r="AC3666">
        <v>12.606299999999999</v>
      </c>
      <c r="AD3666">
        <v>-1.1081938839199901</v>
      </c>
      <c r="AE3666">
        <v>-5.6258999999999997</v>
      </c>
      <c r="AF3666">
        <v>4.8477796317287796</v>
      </c>
      <c r="AG3666">
        <v>-1.1081938839199901</v>
      </c>
      <c r="AH3666">
        <v>12.8310535861588</v>
      </c>
      <c r="AI3666">
        <v>94.619118164362206</v>
      </c>
      <c r="AJ3666">
        <v>69.3026238795361</v>
      </c>
      <c r="AK3666">
        <v>13.760995500800099</v>
      </c>
      <c r="AL3666">
        <v>82.808912636806099</v>
      </c>
      <c r="AM3666">
        <v>76.365020512335093</v>
      </c>
      <c r="AN3666">
        <v>0.99999996974112904</v>
      </c>
    </row>
    <row r="3667" spans="1:40" x14ac:dyDescent="0.25">
      <c r="A3667" t="str">
        <f>"20190312173003429"</f>
        <v>20190312173003429</v>
      </c>
      <c r="B3667" t="str">
        <f>"1552383003420993"</f>
        <v>1552383003420993</v>
      </c>
      <c r="C3667" t="s">
        <v>40</v>
      </c>
      <c r="D3667">
        <v>3.4659529999999998</v>
      </c>
      <c r="E3667">
        <v>0.54951530000000004</v>
      </c>
      <c r="F3667" t="s">
        <v>46</v>
      </c>
      <c r="G3667">
        <v>-200.86349999999999</v>
      </c>
      <c r="H3667" s="1">
        <v>3.0468569999999999E-6</v>
      </c>
      <c r="I3667">
        <v>209.56059999999999</v>
      </c>
      <c r="J3667">
        <v>-213.38939999999999</v>
      </c>
      <c r="K3667">
        <v>1.1081449999999999</v>
      </c>
      <c r="L3667">
        <v>215.2286</v>
      </c>
      <c r="M3667">
        <v>0.99803660000000005</v>
      </c>
      <c r="N3667">
        <v>0</v>
      </c>
      <c r="O3667">
        <v>-6.1144780000000003E-2</v>
      </c>
      <c r="P3667">
        <v>0.94928159999999895</v>
      </c>
      <c r="Q3667">
        <v>0.1124711</v>
      </c>
      <c r="R3667">
        <v>-0.29362349999999998</v>
      </c>
      <c r="S3667">
        <v>2.8053279999999998</v>
      </c>
      <c r="T3667">
        <v>-0.2431546</v>
      </c>
      <c r="U3667">
        <v>-1.247635</v>
      </c>
      <c r="V3667">
        <v>0.23562559999999999</v>
      </c>
      <c r="W3667">
        <v>0.12444180000000001</v>
      </c>
      <c r="X3667">
        <v>0.96384380000000003</v>
      </c>
      <c r="Y3667">
        <v>0.3488328</v>
      </c>
      <c r="Z3667">
        <v>-9.3781070000000001E-3</v>
      </c>
      <c r="AA3667">
        <v>0.93713809999999997</v>
      </c>
      <c r="AB3667">
        <v>27</v>
      </c>
      <c r="AC3667">
        <v>12.5259</v>
      </c>
      <c r="AD3667">
        <v>-1.1081419531429999</v>
      </c>
      <c r="AE3667">
        <v>-5.6680000000000001</v>
      </c>
      <c r="AF3667">
        <v>4.8598571304131797</v>
      </c>
      <c r="AG3667">
        <v>-1.1081419531429999</v>
      </c>
      <c r="AH3667">
        <v>12.766125215083299</v>
      </c>
      <c r="AI3667">
        <v>94.637899409424406</v>
      </c>
      <c r="AJ3667">
        <v>69.158981200046597</v>
      </c>
      <c r="AK3667">
        <v>13.7047489186606</v>
      </c>
      <c r="AL3667">
        <v>82.851478612385094</v>
      </c>
      <c r="AM3667">
        <v>76.262646978893599</v>
      </c>
      <c r="AN3667">
        <v>1.0000000278805099</v>
      </c>
    </row>
    <row r="3668" spans="1:40" x14ac:dyDescent="0.25">
      <c r="A3668" t="str">
        <f>"20190312173003452"</f>
        <v>20190312173003452</v>
      </c>
      <c r="B3668" t="str">
        <f>"1552383003441489"</f>
        <v>1552383003441489</v>
      </c>
      <c r="C3668" t="s">
        <v>40</v>
      </c>
      <c r="D3668">
        <v>3.4389820000000002</v>
      </c>
      <c r="E3668">
        <v>0.54948240000000004</v>
      </c>
      <c r="F3668" t="s">
        <v>46</v>
      </c>
      <c r="G3668">
        <v>-200.76849999999999</v>
      </c>
      <c r="H3668" s="1">
        <v>3.0072339999999999E-6</v>
      </c>
      <c r="I3668">
        <v>209.5462</v>
      </c>
      <c r="J3668">
        <v>-213.12780000000001</v>
      </c>
      <c r="K3668">
        <v>1.1080939999999999</v>
      </c>
      <c r="L3668">
        <v>215.20949999999999</v>
      </c>
      <c r="M3668">
        <v>0.99786470000000005</v>
      </c>
      <c r="N3668">
        <v>0</v>
      </c>
      <c r="O3668">
        <v>-6.3890509999999998E-2</v>
      </c>
      <c r="P3668">
        <v>0.94801530000000001</v>
      </c>
      <c r="Q3668">
        <v>0.11205179999999999</v>
      </c>
      <c r="R3668">
        <v>-0.29784460000000001</v>
      </c>
      <c r="S3668">
        <v>2.799515</v>
      </c>
      <c r="T3668">
        <v>-0.2458032</v>
      </c>
      <c r="U3668">
        <v>-1.260437</v>
      </c>
      <c r="V3668">
        <v>0.2372707</v>
      </c>
      <c r="W3668">
        <v>0.1239729</v>
      </c>
      <c r="X3668">
        <v>0.96350060000000004</v>
      </c>
      <c r="Y3668">
        <v>0.35052899999999998</v>
      </c>
      <c r="Z3668">
        <v>-9.3327779999999999E-3</v>
      </c>
      <c r="AA3668">
        <v>0.93650540000000004</v>
      </c>
      <c r="AB3668">
        <v>27</v>
      </c>
      <c r="AC3668">
        <v>12.359299999999999</v>
      </c>
      <c r="AD3668">
        <v>-1.1080909927660001</v>
      </c>
      <c r="AE3668">
        <v>-5.6632999999999898</v>
      </c>
      <c r="AF3668">
        <v>4.82992554423664</v>
      </c>
      <c r="AG3668">
        <v>-1.1080909927660001</v>
      </c>
      <c r="AH3668">
        <v>12.612121467029</v>
      </c>
      <c r="AI3668">
        <v>94.690523505500494</v>
      </c>
      <c r="AJ3668">
        <v>69.045208322106404</v>
      </c>
      <c r="AK3668">
        <v>13.550706782681599</v>
      </c>
      <c r="AL3668">
        <v>82.878554324387295</v>
      </c>
      <c r="AM3668">
        <v>76.165668174256695</v>
      </c>
      <c r="AN3668">
        <v>1.0000000356066201</v>
      </c>
    </row>
    <row r="3669" spans="1:40" x14ac:dyDescent="0.25">
      <c r="A3669" t="str">
        <f>"20190312173003473"</f>
        <v>20190312173003473</v>
      </c>
      <c r="B3669" t="str">
        <f>"1552383003461009"</f>
        <v>1552383003461009</v>
      </c>
      <c r="C3669" t="s">
        <v>40</v>
      </c>
      <c r="D3669">
        <v>3.4552049999999999</v>
      </c>
      <c r="E3669">
        <v>0.54947849999999998</v>
      </c>
      <c r="F3669" t="s">
        <v>46</v>
      </c>
      <c r="G3669">
        <v>-200.5942</v>
      </c>
      <c r="H3669" s="1">
        <v>2.9387060000000001E-6</v>
      </c>
      <c r="I3669">
        <v>209.4965</v>
      </c>
      <c r="J3669">
        <v>-212.86330000000001</v>
      </c>
      <c r="K3669">
        <v>1.1080509999999999</v>
      </c>
      <c r="L3669">
        <v>215.18940000000001</v>
      </c>
      <c r="M3669">
        <v>0.99767830000000002</v>
      </c>
      <c r="N3669">
        <v>0</v>
      </c>
      <c r="O3669">
        <v>-6.6739859999999998E-2</v>
      </c>
      <c r="P3669">
        <v>0.94664990000000004</v>
      </c>
      <c r="Q3669">
        <v>0.112222699999999</v>
      </c>
      <c r="R3669">
        <v>-0.302093</v>
      </c>
      <c r="S3669">
        <v>2.7936399999999999</v>
      </c>
      <c r="T3669">
        <v>-0.2469845</v>
      </c>
      <c r="U3669">
        <v>-1.2733760000000001</v>
      </c>
      <c r="V3669">
        <v>0.23885719999999999</v>
      </c>
      <c r="W3669">
        <v>0.1240921</v>
      </c>
      <c r="X3669">
        <v>0.96309319999999998</v>
      </c>
      <c r="Y3669">
        <v>0.35218369999999999</v>
      </c>
      <c r="Z3669">
        <v>-9.2190759999999997E-3</v>
      </c>
      <c r="AA3669">
        <v>0.93588550000000004</v>
      </c>
      <c r="AB3669">
        <v>27</v>
      </c>
      <c r="AC3669">
        <v>12.2691</v>
      </c>
      <c r="AD3669">
        <v>-1.108048061294</v>
      </c>
      <c r="AE3669">
        <v>-5.6928999999999998</v>
      </c>
      <c r="AF3669">
        <v>4.8288833155801996</v>
      </c>
      <c r="AG3669">
        <v>-1.108048061294</v>
      </c>
      <c r="AH3669">
        <v>12.5375743544515</v>
      </c>
      <c r="AI3669">
        <v>94.714657838273098</v>
      </c>
      <c r="AJ3669">
        <v>68.935664404728897</v>
      </c>
      <c r="AK3669">
        <v>13.4809738251739</v>
      </c>
      <c r="AL3669">
        <v>82.871671705878398</v>
      </c>
      <c r="AM3669">
        <v>76.071092775398697</v>
      </c>
      <c r="AN3669">
        <v>1.00000006158024</v>
      </c>
    </row>
    <row r="3670" spans="1:40" x14ac:dyDescent="0.25">
      <c r="A3670" t="str">
        <f>"20190312173003497"</f>
        <v>20190312173003497</v>
      </c>
      <c r="B3670" t="str">
        <f>"1552383003491265"</f>
        <v>1552383003491265</v>
      </c>
      <c r="C3670" t="s">
        <v>40</v>
      </c>
      <c r="D3670">
        <v>3.4674610000000001</v>
      </c>
      <c r="E3670">
        <v>0.54938989999999999</v>
      </c>
      <c r="F3670" t="s">
        <v>46</v>
      </c>
      <c r="G3670">
        <v>-200.33930000000001</v>
      </c>
      <c r="H3670" s="1">
        <v>2.8405869999999998E-6</v>
      </c>
      <c r="I3670">
        <v>209.4118</v>
      </c>
      <c r="J3670">
        <v>-212.58879999999999</v>
      </c>
      <c r="K3670">
        <v>1.1079939999999999</v>
      </c>
      <c r="L3670">
        <v>215.16759999999999</v>
      </c>
      <c r="M3670">
        <v>0.99747030000000003</v>
      </c>
      <c r="N3670">
        <v>0</v>
      </c>
      <c r="O3670">
        <v>-6.9784289999999999E-2</v>
      </c>
      <c r="P3670">
        <v>0.94487580000000004</v>
      </c>
      <c r="Q3670">
        <v>0.1129375</v>
      </c>
      <c r="R3670">
        <v>-0.30733529999999998</v>
      </c>
      <c r="S3670">
        <v>2.7879179999999999</v>
      </c>
      <c r="T3670">
        <v>-0.24665799999999999</v>
      </c>
      <c r="U3670">
        <v>-1.2861180000000001</v>
      </c>
      <c r="V3670">
        <v>0.24128540000000001</v>
      </c>
      <c r="W3670">
        <v>0.1247422</v>
      </c>
      <c r="X3670">
        <v>0.96240369999999997</v>
      </c>
      <c r="Y3670">
        <v>0.35359210000000002</v>
      </c>
      <c r="Z3670">
        <v>-9.0215409999999992E-3</v>
      </c>
      <c r="AA3670">
        <v>0.93535619999999997</v>
      </c>
      <c r="AB3670">
        <v>26</v>
      </c>
      <c r="AC3670">
        <v>12.2494999999999</v>
      </c>
      <c r="AD3670">
        <v>-1.1079911594130001</v>
      </c>
      <c r="AE3670">
        <v>-5.75579999999999</v>
      </c>
      <c r="AF3670">
        <v>4.8543313562994497</v>
      </c>
      <c r="AG3670">
        <v>-1.1079911594130001</v>
      </c>
      <c r="AH3670">
        <v>12.537309358667899</v>
      </c>
      <c r="AI3670">
        <v>94.711302883789003</v>
      </c>
      <c r="AJ3670">
        <v>68.834053052452902</v>
      </c>
      <c r="AK3670">
        <v>13.4898592758053</v>
      </c>
      <c r="AL3670">
        <v>82.834132107639107</v>
      </c>
      <c r="AM3670">
        <v>75.925410426415098</v>
      </c>
      <c r="AN3670">
        <v>1.0000000712438399</v>
      </c>
    </row>
    <row r="3671" spans="1:40" x14ac:dyDescent="0.25">
      <c r="A3671" t="str">
        <f>"20190312173003519"</f>
        <v>20190312173003519</v>
      </c>
      <c r="B3671" t="str">
        <f>"1552383003510785"</f>
        <v>1552383003510785</v>
      </c>
      <c r="C3671" t="s">
        <v>40</v>
      </c>
      <c r="D3671">
        <v>3.4363419999999998</v>
      </c>
      <c r="E3671">
        <v>0.54936909999999906</v>
      </c>
      <c r="F3671" t="s">
        <v>46</v>
      </c>
      <c r="G3671">
        <v>-200.01429999999999</v>
      </c>
      <c r="H3671" s="1">
        <v>2.7434529999999998E-6</v>
      </c>
      <c r="I3671">
        <v>209.28389999999999</v>
      </c>
      <c r="J3671">
        <v>-212.32810000000001</v>
      </c>
      <c r="K3671">
        <v>1.1079330000000001</v>
      </c>
      <c r="L3671">
        <v>215.14609999999999</v>
      </c>
      <c r="M3671">
        <v>0.99725710000000001</v>
      </c>
      <c r="N3671">
        <v>0</v>
      </c>
      <c r="O3671">
        <v>-7.2768630000000001E-2</v>
      </c>
      <c r="P3671">
        <v>0.94313689999999994</v>
      </c>
      <c r="Q3671">
        <v>0.1130739</v>
      </c>
      <c r="R3671">
        <v>-0.3125812</v>
      </c>
      <c r="S3671">
        <v>2.7810519999999999</v>
      </c>
      <c r="T3671">
        <v>-0.2450503</v>
      </c>
      <c r="U3671">
        <v>-1.301285</v>
      </c>
      <c r="V3671">
        <v>0.24377779999999999</v>
      </c>
      <c r="W3671">
        <v>0.1248113</v>
      </c>
      <c r="X3671">
        <v>0.96176640000000002</v>
      </c>
      <c r="Y3671">
        <v>0.35587780000000002</v>
      </c>
      <c r="Z3671">
        <v>-8.8218949999999997E-3</v>
      </c>
      <c r="AA3671">
        <v>0.93449090000000001</v>
      </c>
      <c r="AB3671">
        <v>26</v>
      </c>
      <c r="AC3671">
        <v>12.313800000000001</v>
      </c>
      <c r="AD3671">
        <v>-1.1079302565469999</v>
      </c>
      <c r="AE3671">
        <v>-5.8621999999999996</v>
      </c>
      <c r="AF3671">
        <v>4.9180575678273897</v>
      </c>
      <c r="AG3671">
        <v>-1.1079302565469999</v>
      </c>
      <c r="AH3671">
        <v>12.6244541094733</v>
      </c>
      <c r="AI3671">
        <v>94.674938279020495</v>
      </c>
      <c r="AJ3671">
        <v>68.715805124201395</v>
      </c>
      <c r="AK3671">
        <v>13.5938089311287</v>
      </c>
      <c r="AL3671">
        <v>82.830141575763705</v>
      </c>
      <c r="AM3671">
        <v>75.776851795919299</v>
      </c>
      <c r="AN3671">
        <v>1.0000000422747399</v>
      </c>
    </row>
    <row r="3672" spans="1:40" x14ac:dyDescent="0.25">
      <c r="A3672" t="str">
        <f>"20190312173003542"</f>
        <v>20190312173003542</v>
      </c>
      <c r="B3672" t="str">
        <f>"1552383003531281"</f>
        <v>1552383003531281</v>
      </c>
      <c r="C3672" t="s">
        <v>40</v>
      </c>
      <c r="D3672">
        <v>3.3881760000000001</v>
      </c>
      <c r="E3672">
        <v>0.54933399999999999</v>
      </c>
      <c r="F3672" t="s">
        <v>46</v>
      </c>
      <c r="G3672">
        <v>-199.79580000000001</v>
      </c>
      <c r="H3672" s="1">
        <v>2.7745770000000001E-6</v>
      </c>
      <c r="I3672">
        <v>209.19919999999999</v>
      </c>
      <c r="J3672">
        <v>-212.06460000000001</v>
      </c>
      <c r="K3672">
        <v>1.1078570000000001</v>
      </c>
      <c r="L3672">
        <v>215.1234</v>
      </c>
      <c r="M3672">
        <v>0.99702480000000004</v>
      </c>
      <c r="N3672">
        <v>0</v>
      </c>
      <c r="O3672">
        <v>-7.5887579999999996E-2</v>
      </c>
      <c r="P3672">
        <v>0.94143509999999997</v>
      </c>
      <c r="Q3672">
        <v>0.11309089999999999</v>
      </c>
      <c r="R3672">
        <v>-0.31766460000000002</v>
      </c>
      <c r="S3672">
        <v>2.7740019999999999</v>
      </c>
      <c r="T3672">
        <v>-0.2452385</v>
      </c>
      <c r="U3672">
        <v>-1.3163450000000001</v>
      </c>
      <c r="V3672">
        <v>0.24598320000000001</v>
      </c>
      <c r="W3672">
        <v>0.1247583</v>
      </c>
      <c r="X3672">
        <v>0.96121160000000005</v>
      </c>
      <c r="Y3672">
        <v>0.35801620000000001</v>
      </c>
      <c r="Z3672">
        <v>-8.6704769999999994E-3</v>
      </c>
      <c r="AA3672">
        <v>0.93367509999999998</v>
      </c>
      <c r="AB3672">
        <v>26</v>
      </c>
      <c r="AC3672">
        <v>12.268800000000001</v>
      </c>
      <c r="AD3672">
        <v>-1.1078542254229999</v>
      </c>
      <c r="AE3672">
        <v>-5.9242000000000097</v>
      </c>
      <c r="AF3672">
        <v>4.9432934637412096</v>
      </c>
      <c r="AG3672">
        <v>-1.1078542254229999</v>
      </c>
      <c r="AH3672">
        <v>12.5997182499783</v>
      </c>
      <c r="AI3672">
        <v>94.679380874283893</v>
      </c>
      <c r="AJ3672">
        <v>68.578251940001095</v>
      </c>
      <c r="AK3672">
        <v>13.579999677183</v>
      </c>
      <c r="AL3672">
        <v>82.833202258849198</v>
      </c>
      <c r="AM3672">
        <v>75.645528787007905</v>
      </c>
      <c r="AN3672">
        <v>1.00000005403784</v>
      </c>
    </row>
    <row r="3673" spans="1:40" x14ac:dyDescent="0.25">
      <c r="A3673" t="str">
        <f>"20190312173003564"</f>
        <v>20190312173003564</v>
      </c>
      <c r="B3673" t="str">
        <f>"1552383003550801"</f>
        <v>1552383003550801</v>
      </c>
      <c r="C3673" t="s">
        <v>40</v>
      </c>
      <c r="D3673">
        <v>3.4196789999999999</v>
      </c>
      <c r="E3673">
        <v>0.54927079999999995</v>
      </c>
      <c r="F3673" t="s">
        <v>46</v>
      </c>
      <c r="G3673">
        <v>-199.5729</v>
      </c>
      <c r="H3673" s="1">
        <v>2.8366020000000001E-6</v>
      </c>
      <c r="I3673">
        <v>209.11420000000001</v>
      </c>
      <c r="J3673">
        <v>-211.80199999999999</v>
      </c>
      <c r="K3673">
        <v>1.107769</v>
      </c>
      <c r="L3673">
        <v>215.09989999999999</v>
      </c>
      <c r="M3673">
        <v>0.9967741</v>
      </c>
      <c r="N3673">
        <v>0</v>
      </c>
      <c r="O3673">
        <v>-7.9112379999999996E-2</v>
      </c>
      <c r="P3673">
        <v>0.93986139999999996</v>
      </c>
      <c r="Q3673">
        <v>0.112465</v>
      </c>
      <c r="R3673">
        <v>-0.32250970000000001</v>
      </c>
      <c r="S3673">
        <v>2.7669830000000002</v>
      </c>
      <c r="T3673">
        <v>-0.2453959</v>
      </c>
      <c r="U3673">
        <v>-1.33107</v>
      </c>
      <c r="V3673">
        <v>0.24784249999999999</v>
      </c>
      <c r="W3673">
        <v>0.1240638</v>
      </c>
      <c r="X3673">
        <v>0.96082380000000001</v>
      </c>
      <c r="Y3673">
        <v>0.359958099999999</v>
      </c>
      <c r="Z3673">
        <v>-8.5005150000000002E-3</v>
      </c>
      <c r="AA3673">
        <v>0.93292980000000003</v>
      </c>
      <c r="AB3673">
        <v>26</v>
      </c>
      <c r="AC3673">
        <v>12.229100000000001</v>
      </c>
      <c r="AD3673">
        <v>-1.107766163398</v>
      </c>
      <c r="AE3673">
        <v>-5.98569999999998</v>
      </c>
      <c r="AF3673">
        <v>4.9664976136858403</v>
      </c>
      <c r="AG3673">
        <v>-1.107766163398</v>
      </c>
      <c r="AH3673">
        <v>12.581067422131399</v>
      </c>
      <c r="AI3673">
        <v>94.682061088512896</v>
      </c>
      <c r="AJ3673">
        <v>68.457894089509296</v>
      </c>
      <c r="AK3673">
        <v>13.571164353132501</v>
      </c>
      <c r="AL3673">
        <v>82.873305742130796</v>
      </c>
      <c r="AM3673">
        <v>75.535969459864205</v>
      </c>
      <c r="AN3673">
        <v>1.00000005296156</v>
      </c>
    </row>
    <row r="3674" spans="1:40" x14ac:dyDescent="0.25">
      <c r="A3674" t="str">
        <f>"20190312173003585"</f>
        <v>20190312173003585</v>
      </c>
      <c r="B3674" t="str">
        <f>"1552383003581061"</f>
        <v>1552383003581061</v>
      </c>
      <c r="C3674" t="s">
        <v>40</v>
      </c>
      <c r="D3674">
        <v>3.4234599999999999</v>
      </c>
      <c r="E3674">
        <v>0.54918129999999998</v>
      </c>
      <c r="F3674" t="s">
        <v>46</v>
      </c>
      <c r="G3674">
        <v>-199.43469999999999</v>
      </c>
      <c r="H3674" s="1">
        <v>2.8728790000000001E-6</v>
      </c>
      <c r="I3674">
        <v>209.06979999999999</v>
      </c>
      <c r="J3674">
        <v>-211.53890000000001</v>
      </c>
      <c r="K3674">
        <v>1.1076809999999999</v>
      </c>
      <c r="L3674">
        <v>215.0753</v>
      </c>
      <c r="M3674">
        <v>0.99650150000000004</v>
      </c>
      <c r="N3674">
        <v>0</v>
      </c>
      <c r="O3674">
        <v>-8.2474989999999998E-2</v>
      </c>
      <c r="P3674">
        <v>0.93807510000000005</v>
      </c>
      <c r="Q3674">
        <v>0.1121746</v>
      </c>
      <c r="R3674">
        <v>-0.32776860000000002</v>
      </c>
      <c r="S3674">
        <v>2.7597960000000001</v>
      </c>
      <c r="T3674">
        <v>-0.24720049999999999</v>
      </c>
      <c r="U3674">
        <v>-1.3456269999999999</v>
      </c>
      <c r="V3674">
        <v>0.25000620000000001</v>
      </c>
      <c r="W3674">
        <v>0.1236989</v>
      </c>
      <c r="X3674">
        <v>0.96031010000000006</v>
      </c>
      <c r="Y3674">
        <v>0.3617341</v>
      </c>
      <c r="Z3674">
        <v>-8.3676889999999993E-3</v>
      </c>
      <c r="AA3674">
        <v>0.93224379999999996</v>
      </c>
      <c r="AB3674">
        <v>26</v>
      </c>
      <c r="AC3674">
        <v>12.104200000000001</v>
      </c>
      <c r="AD3674">
        <v>-1.1076781271209999</v>
      </c>
      <c r="AE3674">
        <v>-6.0055000000000103</v>
      </c>
      <c r="AF3674">
        <v>4.9533639908464204</v>
      </c>
      <c r="AG3674">
        <v>-1.1076781271209999</v>
      </c>
      <c r="AH3674">
        <v>12.4744734363573</v>
      </c>
      <c r="AI3674">
        <v>94.717784091239196</v>
      </c>
      <c r="AJ3674">
        <v>68.342962571104096</v>
      </c>
      <c r="AK3674">
        <v>13.467563000539499</v>
      </c>
      <c r="AL3674">
        <v>82.894374912223697</v>
      </c>
      <c r="AM3674">
        <v>75.407590295270595</v>
      </c>
      <c r="AN3674">
        <v>1.00000000303083</v>
      </c>
    </row>
    <row r="3675" spans="1:40" x14ac:dyDescent="0.25">
      <c r="A3675" t="str">
        <f>"20190312173003608"</f>
        <v>20190312173003608</v>
      </c>
      <c r="B3675" t="str">
        <f>"1552383003601553"</f>
        <v>1552383003601553</v>
      </c>
      <c r="C3675" t="s">
        <v>40</v>
      </c>
      <c r="D3675">
        <v>3.4239799999999998</v>
      </c>
      <c r="E3675">
        <v>0.5491201</v>
      </c>
      <c r="F3675" t="s">
        <v>46</v>
      </c>
      <c r="G3675">
        <v>-199.25309999999999</v>
      </c>
      <c r="H3675" s="1">
        <v>2.9235870000000001E-6</v>
      </c>
      <c r="I3675">
        <v>209</v>
      </c>
      <c r="J3675">
        <v>-211.2791</v>
      </c>
      <c r="K3675">
        <v>1.1075900000000001</v>
      </c>
      <c r="L3675">
        <v>215.04990000000001</v>
      </c>
      <c r="M3675">
        <v>0.9962124</v>
      </c>
      <c r="N3675">
        <v>0</v>
      </c>
      <c r="O3675">
        <v>-8.5899279999999995E-2</v>
      </c>
      <c r="P3675">
        <v>0.9362876</v>
      </c>
      <c r="Q3675">
        <v>0.1115833</v>
      </c>
      <c r="R3675">
        <v>-0.33303949999999999</v>
      </c>
      <c r="S3675">
        <v>2.7521969999999998</v>
      </c>
      <c r="T3675">
        <v>-0.2481344</v>
      </c>
      <c r="U3675">
        <v>-1.3609469999999999</v>
      </c>
      <c r="V3675">
        <v>0.25212269999999998</v>
      </c>
      <c r="W3675">
        <v>0.12304030000000001</v>
      </c>
      <c r="X3675">
        <v>0.95984130000000001</v>
      </c>
      <c r="Y3675">
        <v>0.36371930000000002</v>
      </c>
      <c r="Z3675">
        <v>-8.2073219999999995E-3</v>
      </c>
      <c r="AA3675">
        <v>0.93147250000000004</v>
      </c>
      <c r="AB3675">
        <v>26</v>
      </c>
      <c r="AC3675">
        <v>12.026</v>
      </c>
      <c r="AD3675">
        <v>-1.107587076413</v>
      </c>
      <c r="AE3675">
        <v>-6.0499000000000001</v>
      </c>
      <c r="AF3675">
        <v>4.9608348610706798</v>
      </c>
      <c r="AG3675">
        <v>-1.107587076413</v>
      </c>
      <c r="AH3675">
        <v>12.4172168573894</v>
      </c>
      <c r="AI3675">
        <v>94.735108110813101</v>
      </c>
      <c r="AJ3675">
        <v>68.222667592185701</v>
      </c>
      <c r="AK3675">
        <v>13.4172987644342</v>
      </c>
      <c r="AL3675">
        <v>82.932400704697898</v>
      </c>
      <c r="AM3675">
        <v>75.282517887010997</v>
      </c>
      <c r="AN3675">
        <v>1.00000004623253</v>
      </c>
    </row>
    <row r="3676" spans="1:40" x14ac:dyDescent="0.25">
      <c r="A3676" t="str">
        <f>"20190312173003630"</f>
        <v>20190312173003630</v>
      </c>
      <c r="B3676" t="str">
        <f>"1552383003621073"</f>
        <v>1552383003621073</v>
      </c>
      <c r="C3676" t="s">
        <v>40</v>
      </c>
      <c r="D3676">
        <v>3.4226610000000002</v>
      </c>
      <c r="E3676">
        <v>0.54908800000000002</v>
      </c>
      <c r="F3676" t="s">
        <v>46</v>
      </c>
      <c r="G3676">
        <v>-199.13849999999999</v>
      </c>
      <c r="H3676" s="1">
        <v>2.9537670000000001E-6</v>
      </c>
      <c r="I3676">
        <v>208.96270000000001</v>
      </c>
      <c r="J3676">
        <v>-211.01320000000001</v>
      </c>
      <c r="K3676">
        <v>1.107486</v>
      </c>
      <c r="L3676">
        <v>215.023</v>
      </c>
      <c r="M3676">
        <v>0.99589470000000002</v>
      </c>
      <c r="N3676">
        <v>0</v>
      </c>
      <c r="O3676">
        <v>-8.9505699999999994E-2</v>
      </c>
      <c r="P3676">
        <v>0.93390839999999997</v>
      </c>
      <c r="Q3676">
        <v>0.1102991</v>
      </c>
      <c r="R3676">
        <v>-0.34007300000000001</v>
      </c>
      <c r="S3676">
        <v>2.744507</v>
      </c>
      <c r="T3676">
        <v>-0.25038310000000003</v>
      </c>
      <c r="U3676">
        <v>-1.3760829999999999</v>
      </c>
      <c r="V3676">
        <v>0.25587090000000001</v>
      </c>
      <c r="W3676">
        <v>0.1216773</v>
      </c>
      <c r="X3676">
        <v>0.95902279999999995</v>
      </c>
      <c r="Y3676">
        <v>0.36548629999999999</v>
      </c>
      <c r="Z3676">
        <v>-8.0629719999999998E-3</v>
      </c>
      <c r="AA3676">
        <v>0.93078179999999999</v>
      </c>
      <c r="AB3676">
        <v>26</v>
      </c>
      <c r="AC3676">
        <v>11.874700000000001</v>
      </c>
      <c r="AD3676">
        <v>-1.1074830462330001</v>
      </c>
      <c r="AE3676">
        <v>-6.0602999999999803</v>
      </c>
      <c r="AF3676">
        <v>4.9389384398370098</v>
      </c>
      <c r="AG3676">
        <v>-1.1074830462330001</v>
      </c>
      <c r="AH3676">
        <v>12.2847363063981</v>
      </c>
      <c r="AI3676">
        <v>94.781335903369296</v>
      </c>
      <c r="AJ3676">
        <v>68.097967938261306</v>
      </c>
      <c r="AK3676">
        <v>13.286624015449901</v>
      </c>
      <c r="AL3676">
        <v>83.011085825863006</v>
      </c>
      <c r="AM3676">
        <v>75.061249072474197</v>
      </c>
      <c r="AN3676">
        <v>1.00000000686096</v>
      </c>
    </row>
    <row r="3677" spans="1:40" x14ac:dyDescent="0.25">
      <c r="A3677" t="str">
        <f>"20190312173003664"</f>
        <v>20190312173003664</v>
      </c>
      <c r="B3677" t="str">
        <f>"1552383003661089"</f>
        <v>1552383003661089</v>
      </c>
      <c r="C3677" t="s">
        <v>40</v>
      </c>
      <c r="D3677">
        <v>3.3643740000000002</v>
      </c>
      <c r="E3677">
        <v>0.54491409999999996</v>
      </c>
      <c r="F3677" t="s">
        <v>46</v>
      </c>
      <c r="G3677">
        <v>-199.09800000000001</v>
      </c>
      <c r="H3677" s="1">
        <v>2.9684039999999999E-6</v>
      </c>
      <c r="I3677">
        <v>208.93459999999999</v>
      </c>
      <c r="J3677">
        <v>-210.6249</v>
      </c>
      <c r="K3677">
        <v>1.1073440000000001</v>
      </c>
      <c r="L3677">
        <v>214.98179999999999</v>
      </c>
      <c r="M3677">
        <v>0.99538950000000004</v>
      </c>
      <c r="N3677">
        <v>0</v>
      </c>
      <c r="O3677">
        <v>-9.4959660000000001E-2</v>
      </c>
      <c r="P3677">
        <v>0.93093119999999996</v>
      </c>
      <c r="Q3677">
        <v>0.1083103</v>
      </c>
      <c r="R3677">
        <v>-0.3487634</v>
      </c>
      <c r="S3677">
        <v>2.7336580000000001</v>
      </c>
      <c r="T3677">
        <v>-0.25408449999999999</v>
      </c>
      <c r="U3677">
        <v>-1.39682</v>
      </c>
      <c r="V3677">
        <v>0.25955489999999998</v>
      </c>
      <c r="W3677">
        <v>0.11959309999999999</v>
      </c>
      <c r="X3677">
        <v>0.95829470000000005</v>
      </c>
      <c r="Y3677">
        <v>0.36746630000000002</v>
      </c>
      <c r="Z3677">
        <v>-7.8146520000000001E-3</v>
      </c>
      <c r="AA3677">
        <v>0.93000400000000005</v>
      </c>
      <c r="AB3677">
        <v>26</v>
      </c>
      <c r="AC3677">
        <v>11.526899999999999</v>
      </c>
      <c r="AD3677">
        <v>-1.1073410315959999</v>
      </c>
      <c r="AE3677">
        <v>-6.0472000000000001</v>
      </c>
      <c r="AF3677">
        <v>4.8897912214663002</v>
      </c>
      <c r="AG3677">
        <v>-1.1073410315959999</v>
      </c>
      <c r="AH3677">
        <v>11.9625228138379</v>
      </c>
      <c r="AI3677">
        <v>94.897457485707307</v>
      </c>
      <c r="AJ3677">
        <v>67.767259218456502</v>
      </c>
      <c r="AK3677">
        <v>12.9706674624468</v>
      </c>
      <c r="AL3677">
        <v>83.131380143182895</v>
      </c>
      <c r="AM3677">
        <v>74.844998805374303</v>
      </c>
      <c r="AN3677">
        <v>0.99999999386485505</v>
      </c>
    </row>
    <row r="3678" spans="1:40" x14ac:dyDescent="0.25">
      <c r="A3678" t="str">
        <f>"20190312173003687"</f>
        <v>20190312173003687</v>
      </c>
      <c r="B3678" t="str">
        <f>"1552383003681588"</f>
        <v>1552383003681588</v>
      </c>
      <c r="C3678" t="s">
        <v>40</v>
      </c>
      <c r="D3678">
        <v>3.3790119999999999</v>
      </c>
      <c r="E3678">
        <v>0.54470779999999996</v>
      </c>
      <c r="F3678" t="s">
        <v>46</v>
      </c>
      <c r="G3678">
        <v>-199.93369999999999</v>
      </c>
      <c r="H3678" s="1">
        <v>2.6594759999999999E-6</v>
      </c>
      <c r="I3678">
        <v>209.54140000000001</v>
      </c>
      <c r="J3678">
        <v>-210.3578</v>
      </c>
      <c r="K3678">
        <v>1.1072630000000001</v>
      </c>
      <c r="L3678">
        <v>214.95189999999999</v>
      </c>
      <c r="M3678">
        <v>0.99501050000000002</v>
      </c>
      <c r="N3678">
        <v>0</v>
      </c>
      <c r="O3678">
        <v>-9.8853090000000005E-2</v>
      </c>
      <c r="P3678">
        <v>0.92850089999999996</v>
      </c>
      <c r="Q3678">
        <v>0.1064107</v>
      </c>
      <c r="R3678">
        <v>-0.3557574</v>
      </c>
      <c r="S3678">
        <v>2.7342680000000001</v>
      </c>
      <c r="T3678">
        <v>-0.2831998</v>
      </c>
      <c r="U3678">
        <v>-1.3913420000000001</v>
      </c>
      <c r="V3678">
        <v>0.26300499999999999</v>
      </c>
      <c r="W3678">
        <v>0.11761729999999999</v>
      </c>
      <c r="X3678">
        <v>0.95759830000000001</v>
      </c>
      <c r="Y3678">
        <v>0.36207630000000002</v>
      </c>
      <c r="Z3678">
        <v>-8.0720319999999998E-3</v>
      </c>
      <c r="AA3678">
        <v>0.93211350000000004</v>
      </c>
      <c r="AB3678">
        <v>26</v>
      </c>
      <c r="AC3678">
        <v>10.424099999999999</v>
      </c>
      <c r="AD3678">
        <v>-1.10726034052399</v>
      </c>
      <c r="AE3678">
        <v>-5.4104999999999803</v>
      </c>
      <c r="AF3678">
        <v>4.3150920830729698</v>
      </c>
      <c r="AG3678">
        <v>-1.10726034052399</v>
      </c>
      <c r="AH3678">
        <v>10.8118272970432</v>
      </c>
      <c r="AI3678">
        <v>95.433417617006498</v>
      </c>
      <c r="AJ3678">
        <v>68.24263824722</v>
      </c>
      <c r="AK3678">
        <v>11.6936587366053</v>
      </c>
      <c r="AL3678">
        <v>83.245389820937703</v>
      </c>
      <c r="AM3678">
        <v>74.642359140992696</v>
      </c>
      <c r="AN3678">
        <v>0.99999998172358995</v>
      </c>
    </row>
    <row r="3679" spans="1:40" x14ac:dyDescent="0.25">
      <c r="A3679" t="str">
        <f>"20190312173003708"</f>
        <v>20190312173003708</v>
      </c>
      <c r="B3679" t="str">
        <f>"1552383003701105"</f>
        <v>1552383003701105</v>
      </c>
      <c r="C3679" t="s">
        <v>40</v>
      </c>
      <c r="D3679">
        <v>3.3779599999999999</v>
      </c>
      <c r="E3679">
        <v>0.54465959999999902</v>
      </c>
      <c r="F3679" t="s">
        <v>46</v>
      </c>
      <c r="G3679">
        <v>-199.9</v>
      </c>
      <c r="H3679" s="1">
        <v>2.665087E-6</v>
      </c>
      <c r="I3679">
        <v>209.5428</v>
      </c>
      <c r="J3679">
        <v>-210.09899999999999</v>
      </c>
      <c r="K3679">
        <v>1.1071899999999999</v>
      </c>
      <c r="L3679">
        <v>214.92189999999999</v>
      </c>
      <c r="M3679">
        <v>0.99461999999999995</v>
      </c>
      <c r="N3679">
        <v>0</v>
      </c>
      <c r="O3679">
        <v>-0.1027074</v>
      </c>
      <c r="P3679">
        <v>0.92588970000000004</v>
      </c>
      <c r="Q3679">
        <v>0.10619919999999999</v>
      </c>
      <c r="R3679">
        <v>-0.36256080000000002</v>
      </c>
      <c r="S3679">
        <v>2.7241819999999999</v>
      </c>
      <c r="T3679">
        <v>-0.2884312</v>
      </c>
      <c r="U3679">
        <v>-1.4090119999999999</v>
      </c>
      <c r="V3679">
        <v>0.26633980000000002</v>
      </c>
      <c r="W3679">
        <v>0.1173308</v>
      </c>
      <c r="X3679">
        <v>0.95671139999999999</v>
      </c>
      <c r="Y3679">
        <v>0.36460330000000002</v>
      </c>
      <c r="Z3679">
        <v>-7.9854149999999992E-3</v>
      </c>
      <c r="AA3679">
        <v>0.93112870000000003</v>
      </c>
      <c r="AB3679">
        <v>26</v>
      </c>
      <c r="AC3679">
        <v>10.199</v>
      </c>
      <c r="AD3679">
        <v>-1.1071873349129999</v>
      </c>
      <c r="AE3679">
        <v>-5.3790999999999896</v>
      </c>
      <c r="AF3679">
        <v>4.26372742419096</v>
      </c>
      <c r="AG3679">
        <v>-1.1071873349129999</v>
      </c>
      <c r="AH3679">
        <v>10.5998450298348</v>
      </c>
      <c r="AI3679">
        <v>95.535087145217005</v>
      </c>
      <c r="AJ3679">
        <v>68.0878230204749</v>
      </c>
      <c r="AK3679">
        <v>11.478760821573999</v>
      </c>
      <c r="AL3679">
        <v>83.261920005747896</v>
      </c>
      <c r="AM3679">
        <v>74.443278365763106</v>
      </c>
      <c r="AN3679">
        <v>1.0000000542913099</v>
      </c>
    </row>
    <row r="3680" spans="1:40" x14ac:dyDescent="0.25">
      <c r="A3680" t="str">
        <f>"20190312173003732"</f>
        <v>20190312173003732</v>
      </c>
      <c r="B3680" t="str">
        <f>"1552383003721601"</f>
        <v>1552383003721601</v>
      </c>
      <c r="C3680" t="s">
        <v>40</v>
      </c>
      <c r="D3680">
        <v>3.3680409999999998</v>
      </c>
      <c r="E3680">
        <v>0.54457959999999905</v>
      </c>
      <c r="F3680" t="s">
        <v>46</v>
      </c>
      <c r="G3680">
        <v>-199.68549999999999</v>
      </c>
      <c r="H3680" s="1">
        <v>2.7297509999999998E-6</v>
      </c>
      <c r="I3680">
        <v>209.44229999999999</v>
      </c>
      <c r="J3680">
        <v>-209.82589999999999</v>
      </c>
      <c r="K3680">
        <v>1.107137</v>
      </c>
      <c r="L3680">
        <v>214.88900000000001</v>
      </c>
      <c r="M3680">
        <v>0.99418059999999997</v>
      </c>
      <c r="N3680">
        <v>0</v>
      </c>
      <c r="O3680">
        <v>-0.1068759</v>
      </c>
      <c r="P3680">
        <v>0.92304830000000004</v>
      </c>
      <c r="Q3680">
        <v>0.1075721</v>
      </c>
      <c r="R3680">
        <v>-0.36933769999999999</v>
      </c>
      <c r="S3680">
        <v>2.714035</v>
      </c>
      <c r="T3680">
        <v>-0.28856120000000002</v>
      </c>
      <c r="U3680">
        <v>-1.4281159999999999</v>
      </c>
      <c r="V3680">
        <v>0.2693913</v>
      </c>
      <c r="W3680">
        <v>0.11862540000000001</v>
      </c>
      <c r="X3680">
        <v>0.95569680000000001</v>
      </c>
      <c r="Y3680">
        <v>0.36727080000000001</v>
      </c>
      <c r="Z3680">
        <v>-7.7287780000000004E-3</v>
      </c>
      <c r="AA3680">
        <v>0.93008199999999996</v>
      </c>
      <c r="AB3680">
        <v>26</v>
      </c>
      <c r="AC3680">
        <v>10.1404</v>
      </c>
      <c r="AD3680">
        <v>-1.1071342702489999</v>
      </c>
      <c r="AE3680">
        <v>-5.4467000000000203</v>
      </c>
      <c r="AF3680">
        <v>4.2919283384080504</v>
      </c>
      <c r="AG3680">
        <v>-1.1071342702489999</v>
      </c>
      <c r="AH3680">
        <v>10.566726838186799</v>
      </c>
      <c r="AI3680">
        <v>95.544534744606196</v>
      </c>
      <c r="AJ3680">
        <v>67.894295749333494</v>
      </c>
      <c r="AK3680">
        <v>11.4587133321</v>
      </c>
      <c r="AL3680">
        <v>83.187222957007506</v>
      </c>
      <c r="AM3680">
        <v>74.257945847561601</v>
      </c>
      <c r="AN3680">
        <v>1.00000001578554</v>
      </c>
    </row>
    <row r="3681" spans="1:40" x14ac:dyDescent="0.25">
      <c r="A3681" t="str">
        <f>"20190312173003753"</f>
        <v>20190312173003753</v>
      </c>
      <c r="B3681" t="str">
        <f>"1552383003741121"</f>
        <v>1552383003741121</v>
      </c>
      <c r="C3681" t="s">
        <v>40</v>
      </c>
      <c r="D3681">
        <v>3.3648030000000002</v>
      </c>
      <c r="E3681">
        <v>0.5443038</v>
      </c>
      <c r="F3681" t="s">
        <v>46</v>
      </c>
      <c r="G3681">
        <v>-199.25190000000001</v>
      </c>
      <c r="H3681" s="1">
        <v>2.8639569999999999E-6</v>
      </c>
      <c r="I3681">
        <v>209.226</v>
      </c>
      <c r="J3681">
        <v>-209.57939999999999</v>
      </c>
      <c r="K3681">
        <v>1.107091</v>
      </c>
      <c r="L3681">
        <v>214.85820000000001</v>
      </c>
      <c r="M3681">
        <v>0.99375840000000004</v>
      </c>
      <c r="N3681">
        <v>0</v>
      </c>
      <c r="O3681">
        <v>-0.110733</v>
      </c>
      <c r="P3681">
        <v>0.92014249999999997</v>
      </c>
      <c r="Q3681">
        <v>0.1100231</v>
      </c>
      <c r="R3681">
        <v>-0.37580999999999998</v>
      </c>
      <c r="S3681">
        <v>2.7037200000000001</v>
      </c>
      <c r="T3681">
        <v>-0.28308749999999999</v>
      </c>
      <c r="U3681">
        <v>-1.4479979999999999</v>
      </c>
      <c r="V3681">
        <v>0.2724645</v>
      </c>
      <c r="W3681">
        <v>0.120999</v>
      </c>
      <c r="X3681">
        <v>0.95452729999999997</v>
      </c>
      <c r="Y3681">
        <v>0.3704964</v>
      </c>
      <c r="Z3681">
        <v>-7.3841549999999999E-3</v>
      </c>
      <c r="AA3681">
        <v>0.92880450000000003</v>
      </c>
      <c r="AB3681">
        <v>26</v>
      </c>
      <c r="AC3681">
        <v>10.327499999999899</v>
      </c>
      <c r="AD3681">
        <v>-1.107088136043</v>
      </c>
      <c r="AE3681">
        <v>-5.6322000000000099</v>
      </c>
      <c r="AF3681">
        <v>4.4147551279962904</v>
      </c>
      <c r="AG3681">
        <v>-1.107088136043</v>
      </c>
      <c r="AH3681">
        <v>10.7921160460278</v>
      </c>
      <c r="AI3681">
        <v>95.423748850528497</v>
      </c>
      <c r="AJ3681">
        <v>67.751892465161404</v>
      </c>
      <c r="AK3681">
        <v>11.712620361476199</v>
      </c>
      <c r="AL3681">
        <v>83.0502388968807</v>
      </c>
      <c r="AM3681">
        <v>74.068899857878094</v>
      </c>
      <c r="AN3681">
        <v>1.0000000141032701</v>
      </c>
    </row>
    <row r="3682" spans="1:40" x14ac:dyDescent="0.25">
      <c r="A3682" t="str">
        <f>"20190312173003776"</f>
        <v>20190312173003776</v>
      </c>
      <c r="B3682" t="str">
        <f>"1552383003771377"</f>
        <v>1552383003771377</v>
      </c>
      <c r="C3682" t="s">
        <v>40</v>
      </c>
      <c r="D3682">
        <v>3.3538139999999999</v>
      </c>
      <c r="E3682">
        <v>0.543906</v>
      </c>
      <c r="F3682" t="s">
        <v>46</v>
      </c>
      <c r="G3682">
        <v>-198.76320000000001</v>
      </c>
      <c r="H3682" s="1">
        <v>3.016729E-6</v>
      </c>
      <c r="I3682">
        <v>208.97640000000001</v>
      </c>
      <c r="J3682">
        <v>-209.3184</v>
      </c>
      <c r="K3682">
        <v>1.10702099999999</v>
      </c>
      <c r="L3682">
        <v>214.8244</v>
      </c>
      <c r="M3682">
        <v>0.99328360000000004</v>
      </c>
      <c r="N3682">
        <v>0</v>
      </c>
      <c r="O3682">
        <v>-0.11491369999999999</v>
      </c>
      <c r="P3682">
        <v>0.91711659999999995</v>
      </c>
      <c r="Q3682">
        <v>0.1116461</v>
      </c>
      <c r="R3682">
        <v>-0.38266489999999997</v>
      </c>
      <c r="S3682">
        <v>2.6948089999999998</v>
      </c>
      <c r="T3682">
        <v>-0.27582610000000002</v>
      </c>
      <c r="U3682">
        <v>-1.4654240000000001</v>
      </c>
      <c r="V3682">
        <v>0.27562769999999998</v>
      </c>
      <c r="W3682">
        <v>0.122541899999999</v>
      </c>
      <c r="X3682">
        <v>0.95342170000000004</v>
      </c>
      <c r="Y3682">
        <v>0.37257570000000001</v>
      </c>
      <c r="Z3682">
        <v>-6.9145209999999999E-3</v>
      </c>
      <c r="AA3682">
        <v>0.92797600000000002</v>
      </c>
      <c r="AB3682">
        <v>26</v>
      </c>
      <c r="AC3682">
        <v>10.5551999999999</v>
      </c>
      <c r="AD3682">
        <v>-1.1070179832710001</v>
      </c>
      <c r="AE3682">
        <v>-5.8479999999999803</v>
      </c>
      <c r="AF3682">
        <v>4.5578453341401302</v>
      </c>
      <c r="AG3682">
        <v>-1.1070179832710001</v>
      </c>
      <c r="AH3682">
        <v>11.064222406524999</v>
      </c>
      <c r="AI3682">
        <v>95.285488142209701</v>
      </c>
      <c r="AJ3682">
        <v>67.611058497679906</v>
      </c>
      <c r="AK3682">
        <v>12.0173399871302</v>
      </c>
      <c r="AL3682">
        <v>82.961174637088106</v>
      </c>
      <c r="AM3682">
        <v>73.875779571707</v>
      </c>
      <c r="AN3682">
        <v>1.00000004214689</v>
      </c>
    </row>
    <row r="3683" spans="1:40" x14ac:dyDescent="0.25">
      <c r="A3683" t="str">
        <f>"20190312173003798"</f>
        <v>20190312173003798</v>
      </c>
      <c r="B3683" t="str">
        <f>"1552383003790901"</f>
        <v>1552383003790901</v>
      </c>
      <c r="C3683" t="s">
        <v>40</v>
      </c>
      <c r="D3683">
        <v>3.4342359999999998</v>
      </c>
      <c r="E3683">
        <v>0.56754609999999905</v>
      </c>
      <c r="F3683" t="s">
        <v>46</v>
      </c>
      <c r="G3683">
        <v>-198.35589999999999</v>
      </c>
      <c r="H3683" s="1">
        <v>3.143107E-6</v>
      </c>
      <c r="I3683">
        <v>208.77189999999999</v>
      </c>
      <c r="J3683">
        <v>-209.0556</v>
      </c>
      <c r="K3683">
        <v>1.1069439999999999</v>
      </c>
      <c r="L3683">
        <v>214.78919999999999</v>
      </c>
      <c r="M3683">
        <v>0.99277510000000002</v>
      </c>
      <c r="N3683">
        <v>0</v>
      </c>
      <c r="O3683">
        <v>-0.1192267</v>
      </c>
      <c r="P3683">
        <v>0.9142323</v>
      </c>
      <c r="Q3683">
        <v>0.11121159999999999</v>
      </c>
      <c r="R3683">
        <v>-0.38962970000000002</v>
      </c>
      <c r="S3683">
        <v>2.6855009999999999</v>
      </c>
      <c r="T3683">
        <v>-0.27118900000000001</v>
      </c>
      <c r="U3683">
        <v>-1.4826969999999999</v>
      </c>
      <c r="V3683">
        <v>0.27875339999999998</v>
      </c>
      <c r="W3683">
        <v>0.122029399999999</v>
      </c>
      <c r="X3683">
        <v>0.95257820000000004</v>
      </c>
      <c r="Y3683">
        <v>0.3745231</v>
      </c>
      <c r="Z3683">
        <v>-6.5044949999999999E-3</v>
      </c>
      <c r="AA3683">
        <v>0.92719479999999999</v>
      </c>
      <c r="AB3683">
        <v>26</v>
      </c>
      <c r="AC3683">
        <v>10.6997</v>
      </c>
      <c r="AD3683">
        <v>-1.1069408568929999</v>
      </c>
      <c r="AE3683">
        <v>-6.0172999999999996</v>
      </c>
      <c r="AF3683">
        <v>4.6606673755601502</v>
      </c>
      <c r="AG3683">
        <v>-1.1069408568929999</v>
      </c>
      <c r="AH3683">
        <v>11.2493818660912</v>
      </c>
      <c r="AI3683">
        <v>95.194308224384699</v>
      </c>
      <c r="AJ3683">
        <v>67.495562200357099</v>
      </c>
      <c r="AK3683">
        <v>12.2268446794507</v>
      </c>
      <c r="AL3683">
        <v>82.990759977209606</v>
      </c>
      <c r="AM3683">
        <v>73.688916370528105</v>
      </c>
      <c r="AN3683">
        <v>0.99999992979557695</v>
      </c>
    </row>
    <row r="3684" spans="1:40" x14ac:dyDescent="0.25">
      <c r="A3684" t="str">
        <f>"20190312173003821"</f>
        <v>20190312173003821</v>
      </c>
      <c r="B3684" t="str">
        <f>"1552383003811393"</f>
        <v>1552383003811393</v>
      </c>
      <c r="C3684" t="s">
        <v>40</v>
      </c>
      <c r="D3684">
        <v>3.3896980000000001</v>
      </c>
      <c r="E3684">
        <v>0.57739249999999998</v>
      </c>
      <c r="F3684" t="s">
        <v>46</v>
      </c>
      <c r="G3684">
        <v>-196.88470000000001</v>
      </c>
      <c r="H3684" s="1">
        <v>3.891472E-6</v>
      </c>
      <c r="I3684">
        <v>206.9314</v>
      </c>
      <c r="J3684">
        <v>-208.79220000000001</v>
      </c>
      <c r="K3684">
        <v>1.1068610000000001</v>
      </c>
      <c r="L3684">
        <v>214.7527</v>
      </c>
      <c r="M3684">
        <v>0.99223320000000004</v>
      </c>
      <c r="N3684">
        <v>0</v>
      </c>
      <c r="O3684">
        <v>-0.123655399999999</v>
      </c>
      <c r="P3684">
        <v>0.91162529999999997</v>
      </c>
      <c r="Q3684">
        <v>0.1095131</v>
      </c>
      <c r="R3684">
        <v>-0.39616449999999997</v>
      </c>
      <c r="S3684">
        <v>2.595901</v>
      </c>
      <c r="T3684">
        <v>-0.23609649999999999</v>
      </c>
      <c r="U3684">
        <v>-1.67598</v>
      </c>
      <c r="V3684">
        <v>0.28130769999999999</v>
      </c>
      <c r="W3684">
        <v>0.1202606</v>
      </c>
      <c r="X3684">
        <v>0.95205220000000002</v>
      </c>
      <c r="Y3684">
        <v>0.43345660000000003</v>
      </c>
      <c r="Z3684">
        <v>-7.8277169999999997E-3</v>
      </c>
      <c r="AA3684">
        <v>0.90114050000000001</v>
      </c>
      <c r="AB3684">
        <v>26</v>
      </c>
      <c r="AC3684">
        <v>11.907500000000001</v>
      </c>
      <c r="AD3684">
        <v>-1.1068571085279999</v>
      </c>
      <c r="AE3684">
        <v>-7.8212999999999999</v>
      </c>
      <c r="AF3684">
        <v>6.2509684540689303</v>
      </c>
      <c r="AG3684">
        <v>-1.1068571085279999</v>
      </c>
      <c r="AH3684">
        <v>12.706629236155401</v>
      </c>
      <c r="AI3684">
        <v>94.469296206109505</v>
      </c>
      <c r="AJ3684">
        <v>63.805330299690297</v>
      </c>
      <c r="AK3684">
        <v>14.204160158826101</v>
      </c>
      <c r="AL3684">
        <v>83.092857309899998</v>
      </c>
      <c r="AM3684">
        <v>73.538903107729396</v>
      </c>
      <c r="AN3684">
        <v>1.00000001275824</v>
      </c>
    </row>
    <row r="3685" spans="1:40" x14ac:dyDescent="0.25">
      <c r="A3685" t="str">
        <f>"20190312173003842"</f>
        <v>20190312173003842</v>
      </c>
      <c r="B3685" t="str">
        <f>"1552383003830913"</f>
        <v>1552383003830913</v>
      </c>
      <c r="C3685" t="s">
        <v>40</v>
      </c>
      <c r="D3685">
        <v>3.3724799999999999</v>
      </c>
      <c r="E3685">
        <v>0.58084639999999998</v>
      </c>
      <c r="F3685" t="s">
        <v>46</v>
      </c>
      <c r="G3685">
        <v>-196.48249999999999</v>
      </c>
      <c r="H3685" s="1">
        <v>4.1620990000000001E-6</v>
      </c>
      <c r="I3685">
        <v>206.2227</v>
      </c>
      <c r="J3685">
        <v>-208.54040000000001</v>
      </c>
      <c r="K3685">
        <v>1.1067830000000001</v>
      </c>
      <c r="L3685">
        <v>214.71639999999999</v>
      </c>
      <c r="M3685">
        <v>0.99168219999999996</v>
      </c>
      <c r="N3685">
        <v>0</v>
      </c>
      <c r="O3685">
        <v>-0.12799849999999999</v>
      </c>
      <c r="P3685">
        <v>0.90899010000000002</v>
      </c>
      <c r="Q3685">
        <v>0.1088953</v>
      </c>
      <c r="R3685">
        <v>-0.40234199999999998</v>
      </c>
      <c r="S3685">
        <v>2.5503849999999999</v>
      </c>
      <c r="T3685">
        <v>-0.229324</v>
      </c>
      <c r="U3685">
        <v>-1.7672730000000001</v>
      </c>
      <c r="V3685">
        <v>0.28360920000000001</v>
      </c>
      <c r="W3685">
        <v>0.1195727</v>
      </c>
      <c r="X3685">
        <v>0.95145579999999996</v>
      </c>
      <c r="Y3685">
        <v>0.4587753</v>
      </c>
      <c r="Z3685">
        <v>-8.3354699999999993E-3</v>
      </c>
      <c r="AA3685">
        <v>0.8885132</v>
      </c>
      <c r="AB3685">
        <v>26</v>
      </c>
      <c r="AC3685">
        <v>12.0579</v>
      </c>
      <c r="AD3685">
        <v>-1.106778837901</v>
      </c>
      <c r="AE3685">
        <v>-8.4936999999999898</v>
      </c>
      <c r="AF3685">
        <v>6.8417604515710497</v>
      </c>
      <c r="AG3685">
        <v>-1.106778837901</v>
      </c>
      <c r="AH3685">
        <v>12.9729266720288</v>
      </c>
      <c r="AI3685">
        <v>94.315531983403801</v>
      </c>
      <c r="AJ3685">
        <v>62.193392242164897</v>
      </c>
      <c r="AK3685">
        <v>14.7082110370549</v>
      </c>
      <c r="AL3685">
        <v>83.132557288840303</v>
      </c>
      <c r="AM3685">
        <v>73.401774892966003</v>
      </c>
      <c r="AN3685">
        <v>0.99999997413178399</v>
      </c>
    </row>
    <row r="3686" spans="1:40" x14ac:dyDescent="0.25">
      <c r="A3686" t="str">
        <f>"20190312173003866"</f>
        <v>20190312173003866</v>
      </c>
      <c r="B3686" t="str">
        <f>"1552383003861173"</f>
        <v>1552383003861173</v>
      </c>
      <c r="C3686" t="s">
        <v>40</v>
      </c>
      <c r="D3686">
        <v>3.351985</v>
      </c>
      <c r="E3686">
        <v>0.58283469999999904</v>
      </c>
      <c r="F3686" t="s">
        <v>46</v>
      </c>
      <c r="G3686">
        <v>-196.2353</v>
      </c>
      <c r="H3686" s="1">
        <v>4.3326839999999996E-6</v>
      </c>
      <c r="I3686">
        <v>205.89519999999999</v>
      </c>
      <c r="J3686">
        <v>-208.2766</v>
      </c>
      <c r="K3686">
        <v>1.106708</v>
      </c>
      <c r="L3686">
        <v>214.6771</v>
      </c>
      <c r="M3686">
        <v>0.99106719999999904</v>
      </c>
      <c r="N3686">
        <v>0</v>
      </c>
      <c r="O3686">
        <v>-0.13267599999999999</v>
      </c>
      <c r="P3686">
        <v>0.9060452</v>
      </c>
      <c r="Q3686">
        <v>0.1089437</v>
      </c>
      <c r="R3686">
        <v>-0.40891749999999999</v>
      </c>
      <c r="S3686">
        <v>2.526062</v>
      </c>
      <c r="T3686">
        <v>-0.22720609999999999</v>
      </c>
      <c r="U3686">
        <v>-1.810867</v>
      </c>
      <c r="V3686">
        <v>0.28604069999999998</v>
      </c>
      <c r="W3686">
        <v>0.11954289999999899</v>
      </c>
      <c r="X3686">
        <v>0.9507314</v>
      </c>
      <c r="Y3686">
        <v>0.4687597</v>
      </c>
      <c r="Z3686">
        <v>-8.3248479999999993E-3</v>
      </c>
      <c r="AA3686">
        <v>0.88328649999999997</v>
      </c>
      <c r="AB3686">
        <v>26</v>
      </c>
      <c r="AC3686">
        <v>12.0413</v>
      </c>
      <c r="AD3686">
        <v>-1.106703667316</v>
      </c>
      <c r="AE3686">
        <v>-8.7819000000000091</v>
      </c>
      <c r="AF3686">
        <v>7.0675393000556799</v>
      </c>
      <c r="AG3686">
        <v>-1.106703667316</v>
      </c>
      <c r="AH3686">
        <v>13.028241975693501</v>
      </c>
      <c r="AI3686">
        <v>94.2702020876213</v>
      </c>
      <c r="AJ3686">
        <v>61.5211269545524</v>
      </c>
      <c r="AK3686">
        <v>14.863041200989301</v>
      </c>
      <c r="AL3686">
        <v>83.134277154635399</v>
      </c>
      <c r="AM3686">
        <v>73.2553588647109</v>
      </c>
      <c r="AN3686">
        <v>0.99999999097143</v>
      </c>
    </row>
    <row r="3687" spans="1:40" x14ac:dyDescent="0.25">
      <c r="A3687" t="str">
        <f>"20190312173003888"</f>
        <v>20190312173003888</v>
      </c>
      <c r="B3687" t="str">
        <f>"1552383003881669"</f>
        <v>1552383003881669</v>
      </c>
      <c r="C3687" t="s">
        <v>40</v>
      </c>
      <c r="D3687">
        <v>3.4012989999999999</v>
      </c>
      <c r="E3687">
        <v>0.58298509999999903</v>
      </c>
      <c r="F3687" t="s">
        <v>46</v>
      </c>
      <c r="G3687">
        <v>-196.01130000000001</v>
      </c>
      <c r="H3687" s="1">
        <v>4.4669369999999999E-6</v>
      </c>
      <c r="I3687">
        <v>205.65600000000001</v>
      </c>
      <c r="J3687">
        <v>-208.01509999999999</v>
      </c>
      <c r="K3687">
        <v>1.106622</v>
      </c>
      <c r="L3687">
        <v>214.63669999999999</v>
      </c>
      <c r="M3687">
        <v>0.99041749999999995</v>
      </c>
      <c r="N3687">
        <v>0</v>
      </c>
      <c r="O3687">
        <v>-0.137439899999999</v>
      </c>
      <c r="P3687">
        <v>0.90305630000000003</v>
      </c>
      <c r="Q3687">
        <v>0.108885</v>
      </c>
      <c r="R3687">
        <v>-0.41549190000000003</v>
      </c>
      <c r="S3687">
        <v>2.5063170000000001</v>
      </c>
      <c r="T3687">
        <v>-0.22614619999999999</v>
      </c>
      <c r="U3687">
        <v>-1.843399</v>
      </c>
      <c r="V3687">
        <v>0.28840460000000001</v>
      </c>
      <c r="W3687">
        <v>0.1194042</v>
      </c>
      <c r="X3687">
        <v>0.95003439999999995</v>
      </c>
      <c r="Y3687">
        <v>0.47527540000000001</v>
      </c>
      <c r="Z3687">
        <v>-8.2026219999999997E-3</v>
      </c>
      <c r="AA3687">
        <v>0.87979889999999905</v>
      </c>
      <c r="AB3687">
        <v>26</v>
      </c>
      <c r="AC3687">
        <v>12.003799999999901</v>
      </c>
      <c r="AD3687">
        <v>-1.1066175330629999</v>
      </c>
      <c r="AE3687">
        <v>-8.9807000000000095</v>
      </c>
      <c r="AF3687">
        <v>7.2062401118313</v>
      </c>
      <c r="AG3687">
        <v>-1.1066175330629999</v>
      </c>
      <c r="AH3687">
        <v>13.0531589780612</v>
      </c>
      <c r="AI3687">
        <v>94.244635570939707</v>
      </c>
      <c r="AJ3687">
        <v>61.098286874425398</v>
      </c>
      <c r="AK3687">
        <v>14.9512360097882</v>
      </c>
      <c r="AL3687">
        <v>83.142281257496606</v>
      </c>
      <c r="AM3687">
        <v>73.113137089690298</v>
      </c>
      <c r="AN3687">
        <v>0.99999996873107899</v>
      </c>
    </row>
    <row r="3688" spans="1:40" x14ac:dyDescent="0.25">
      <c r="A3688" t="str">
        <f>"20190312173003910"</f>
        <v>20190312173003910</v>
      </c>
      <c r="B3688" t="str">
        <f>"1552383003901185"</f>
        <v>1552383003901185</v>
      </c>
      <c r="C3688" t="s">
        <v>40</v>
      </c>
      <c r="D3688">
        <v>3.3894839999999902</v>
      </c>
      <c r="E3688">
        <v>0.58254249999999996</v>
      </c>
      <c r="F3688" t="s">
        <v>46</v>
      </c>
      <c r="G3688">
        <v>-195.8441</v>
      </c>
      <c r="H3688" s="1">
        <v>4.5422749999999996E-6</v>
      </c>
      <c r="I3688">
        <v>205.54769999999999</v>
      </c>
      <c r="J3688">
        <v>-207.75120000000001</v>
      </c>
      <c r="K3688">
        <v>1.1065499999999999</v>
      </c>
      <c r="L3688">
        <v>214.59440000000001</v>
      </c>
      <c r="M3688">
        <v>0.9897222</v>
      </c>
      <c r="N3688">
        <v>0</v>
      </c>
      <c r="O3688">
        <v>-0.14236119999999999</v>
      </c>
      <c r="P3688">
        <v>0.900205699999999</v>
      </c>
      <c r="Q3688">
        <v>0.1088841</v>
      </c>
      <c r="R3688">
        <v>-0.42163270000000003</v>
      </c>
      <c r="S3688">
        <v>2.492874</v>
      </c>
      <c r="T3688">
        <v>-0.22665850000000001</v>
      </c>
      <c r="U3688">
        <v>-1.861618</v>
      </c>
      <c r="V3688">
        <v>0.29017779999999999</v>
      </c>
      <c r="W3688">
        <v>0.1193327</v>
      </c>
      <c r="X3688">
        <v>0.94950330000000005</v>
      </c>
      <c r="Y3688">
        <v>0.47730699999999998</v>
      </c>
      <c r="Z3688">
        <v>-7.9386400000000003E-3</v>
      </c>
      <c r="AA3688">
        <v>0.8787007</v>
      </c>
      <c r="AB3688">
        <v>26</v>
      </c>
      <c r="AC3688">
        <v>11.9071</v>
      </c>
      <c r="AD3688">
        <v>-1.106545457725</v>
      </c>
      <c r="AE3688">
        <v>-9.0467000000000102</v>
      </c>
      <c r="AF3688">
        <v>7.2197442022887701</v>
      </c>
      <c r="AG3688">
        <v>-1.106545457725</v>
      </c>
      <c r="AH3688">
        <v>13.002622302756</v>
      </c>
      <c r="AI3688">
        <v>94.255071463411198</v>
      </c>
      <c r="AJ3688">
        <v>60.958647104908401</v>
      </c>
      <c r="AK3688">
        <v>14.9136627273323</v>
      </c>
      <c r="AL3688">
        <v>83.146407504661596</v>
      </c>
      <c r="AM3688">
        <v>73.006318363507404</v>
      </c>
      <c r="AN3688">
        <v>0.99999998280651003</v>
      </c>
    </row>
    <row r="3689" spans="1:40" x14ac:dyDescent="0.25">
      <c r="A3689" t="str">
        <f>"20190312173003932"</f>
        <v>20190312173003932</v>
      </c>
      <c r="B3689" t="str">
        <f>"1552383003921682"</f>
        <v>1552383003921682</v>
      </c>
      <c r="C3689" t="s">
        <v>40</v>
      </c>
      <c r="D3689">
        <v>3.4105029999999998</v>
      </c>
      <c r="E3689">
        <v>0.58214630000000001</v>
      </c>
      <c r="F3689" t="s">
        <v>46</v>
      </c>
      <c r="G3689">
        <v>-195.57919999999999</v>
      </c>
      <c r="H3689" s="1">
        <v>4.6545899999999996E-6</v>
      </c>
      <c r="I3689">
        <v>205.39609999999999</v>
      </c>
      <c r="J3689">
        <v>-207.499</v>
      </c>
      <c r="K3689">
        <v>1.106482</v>
      </c>
      <c r="L3689">
        <v>214.55279999999999</v>
      </c>
      <c r="M3689">
        <v>0.98901729999999999</v>
      </c>
      <c r="N3689">
        <v>0</v>
      </c>
      <c r="O3689">
        <v>-0.14717810000000001</v>
      </c>
      <c r="P3689">
        <v>0.89739950000000002</v>
      </c>
      <c r="Q3689">
        <v>0.1094831</v>
      </c>
      <c r="R3689">
        <v>-0.42742049999999998</v>
      </c>
      <c r="S3689">
        <v>2.481522</v>
      </c>
      <c r="T3689">
        <v>-0.22559309999999999</v>
      </c>
      <c r="U3689">
        <v>-1.875275</v>
      </c>
      <c r="V3689">
        <v>0.29170800000000002</v>
      </c>
      <c r="W3689">
        <v>0.1198644</v>
      </c>
      <c r="X3689">
        <v>0.94896729999999996</v>
      </c>
      <c r="Y3689">
        <v>0.47805740000000002</v>
      </c>
      <c r="Z3689">
        <v>-7.574201E-3</v>
      </c>
      <c r="AA3689">
        <v>0.87829599999999997</v>
      </c>
      <c r="AB3689">
        <v>26</v>
      </c>
      <c r="AC3689">
        <v>11.9198</v>
      </c>
      <c r="AD3689">
        <v>-1.1064773454100001</v>
      </c>
      <c r="AE3689">
        <v>-9.1567000000000007</v>
      </c>
      <c r="AF3689">
        <v>7.2631121754420098</v>
      </c>
      <c r="AG3689">
        <v>-1.1064773454100001</v>
      </c>
      <c r="AH3689">
        <v>13.066949323364801</v>
      </c>
      <c r="AI3689">
        <v>94.232892583581403</v>
      </c>
      <c r="AJ3689">
        <v>60.933013814237903</v>
      </c>
      <c r="AK3689">
        <v>14.9907389813959</v>
      </c>
      <c r="AL3689">
        <v>83.115723104014293</v>
      </c>
      <c r="AM3689">
        <v>72.912822697832098</v>
      </c>
      <c r="AN3689">
        <v>0.99999998406032398</v>
      </c>
    </row>
    <row r="3690" spans="1:40" x14ac:dyDescent="0.25">
      <c r="A3690" t="str">
        <f>"20190312173003954"</f>
        <v>20190312173003954</v>
      </c>
      <c r="B3690" t="str">
        <f>"1552383003950961"</f>
        <v>1552383003950961</v>
      </c>
      <c r="C3690" t="s">
        <v>40</v>
      </c>
      <c r="D3690">
        <v>3.3832779999999998</v>
      </c>
      <c r="E3690">
        <v>0.5815863</v>
      </c>
      <c r="F3690" t="s">
        <v>46</v>
      </c>
      <c r="G3690">
        <v>-195.30029999999999</v>
      </c>
      <c r="H3690" s="1">
        <v>4.7759780000000003E-6</v>
      </c>
      <c r="I3690">
        <v>205.2277</v>
      </c>
      <c r="J3690">
        <v>-207.2475</v>
      </c>
      <c r="K3690">
        <v>1.106411</v>
      </c>
      <c r="L3690">
        <v>214.50980000000001</v>
      </c>
      <c r="M3690">
        <v>0.98827039999999999</v>
      </c>
      <c r="N3690">
        <v>0</v>
      </c>
      <c r="O3690">
        <v>-0.15211169999999999</v>
      </c>
      <c r="P3690">
        <v>0.89445659999999905</v>
      </c>
      <c r="Q3690">
        <v>0.11034529999999999</v>
      </c>
      <c r="R3690">
        <v>-0.4333264</v>
      </c>
      <c r="S3690">
        <v>2.4707490000000001</v>
      </c>
      <c r="T3690">
        <v>-0.22410769999999999</v>
      </c>
      <c r="U3690">
        <v>-1.8887179999999999</v>
      </c>
      <c r="V3690">
        <v>0.29327690000000001</v>
      </c>
      <c r="W3690">
        <v>0.1206549</v>
      </c>
      <c r="X3690">
        <v>0.94838339999999999</v>
      </c>
      <c r="Y3690">
        <v>0.47856009999999999</v>
      </c>
      <c r="Z3690">
        <v>-7.1783230000000003E-3</v>
      </c>
      <c r="AA3690">
        <v>0.87802549999999902</v>
      </c>
      <c r="AB3690">
        <v>26</v>
      </c>
      <c r="AC3690">
        <v>11.9472</v>
      </c>
      <c r="AD3690">
        <v>-1.1064062240220001</v>
      </c>
      <c r="AE3690">
        <v>-9.2821000000000105</v>
      </c>
      <c r="AF3690">
        <v>7.31745707295799</v>
      </c>
      <c r="AG3690">
        <v>-1.1064062240220001</v>
      </c>
      <c r="AH3690">
        <v>13.1498677526137</v>
      </c>
      <c r="AI3690">
        <v>94.204910686938206</v>
      </c>
      <c r="AJ3690">
        <v>60.905540465450599</v>
      </c>
      <c r="AK3690">
        <v>15.089345070557799</v>
      </c>
      <c r="AL3690">
        <v>83.070099849975904</v>
      </c>
      <c r="AM3690">
        <v>72.816364579423194</v>
      </c>
      <c r="AN3690">
        <v>1.0000000091815899</v>
      </c>
    </row>
    <row r="3691" spans="1:40" x14ac:dyDescent="0.25">
      <c r="A3691" t="str">
        <f>"20190312173003977"</f>
        <v>20190312173003977</v>
      </c>
      <c r="B3691" t="str">
        <f>"1552383003971457"</f>
        <v>1552383003971457</v>
      </c>
      <c r="C3691" t="s">
        <v>40</v>
      </c>
      <c r="D3691">
        <v>3.36246</v>
      </c>
      <c r="E3691">
        <v>0.5813507</v>
      </c>
      <c r="F3691" t="s">
        <v>46</v>
      </c>
      <c r="G3691">
        <v>-194.9906</v>
      </c>
      <c r="H3691" s="1">
        <v>4.9116889999999998E-6</v>
      </c>
      <c r="I3691">
        <v>205.03800000000001</v>
      </c>
      <c r="J3691">
        <v>-206.98840000000001</v>
      </c>
      <c r="K3691">
        <v>1.1063270000000001</v>
      </c>
      <c r="L3691">
        <v>214.464</v>
      </c>
      <c r="M3691">
        <v>0.987452</v>
      </c>
      <c r="N3691">
        <v>0</v>
      </c>
      <c r="O3691">
        <v>-0.1573369</v>
      </c>
      <c r="P3691">
        <v>0.89153490000000002</v>
      </c>
      <c r="Q3691">
        <v>0.11104990000000001</v>
      </c>
      <c r="R3691">
        <v>-0.43912830000000003</v>
      </c>
      <c r="S3691">
        <v>2.4603120000000001</v>
      </c>
      <c r="T3691">
        <v>-0.2220887</v>
      </c>
      <c r="U3691">
        <v>-1.90126</v>
      </c>
      <c r="V3691">
        <v>0.29447129999999999</v>
      </c>
      <c r="W3691">
        <v>0.121284</v>
      </c>
      <c r="X3691">
        <v>0.94793289999999997</v>
      </c>
      <c r="Y3691">
        <v>0.47854790000000003</v>
      </c>
      <c r="Z3691">
        <v>-6.7269679999999998E-3</v>
      </c>
      <c r="AA3691">
        <v>0.87803569999999997</v>
      </c>
      <c r="AB3691">
        <v>26</v>
      </c>
      <c r="AC3691">
        <v>11.9978</v>
      </c>
      <c r="AD3691">
        <v>-1.1063220883110001</v>
      </c>
      <c r="AE3691">
        <v>-9.4260000000000392</v>
      </c>
      <c r="AF3691">
        <v>7.3818963672178599</v>
      </c>
      <c r="AG3691">
        <v>-1.1063220883110001</v>
      </c>
      <c r="AH3691">
        <v>13.2618083357853</v>
      </c>
      <c r="AI3691">
        <v>94.168941588062097</v>
      </c>
      <c r="AJ3691">
        <v>60.898454545711502</v>
      </c>
      <c r="AK3691">
        <v>15.2181438708712</v>
      </c>
      <c r="AL3691">
        <v>83.033788130949404</v>
      </c>
      <c r="AM3691">
        <v>72.742816543105604</v>
      </c>
      <c r="AN3691">
        <v>0.99999996904104904</v>
      </c>
    </row>
    <row r="3692" spans="1:40" x14ac:dyDescent="0.25">
      <c r="A3692" t="str">
        <f>"20190312173003999"</f>
        <v>20190312173003999</v>
      </c>
      <c r="B3692" t="str">
        <f>"1552383003990977"</f>
        <v>1552383003990977</v>
      </c>
      <c r="C3692" t="s">
        <v>40</v>
      </c>
      <c r="D3692">
        <v>3.3633419999999998</v>
      </c>
      <c r="E3692">
        <v>0.58110299999999904</v>
      </c>
      <c r="F3692" t="s">
        <v>46</v>
      </c>
      <c r="G3692">
        <v>-194.67179999999999</v>
      </c>
      <c r="H3692" s="1">
        <v>5.0578439999999996E-6</v>
      </c>
      <c r="I3692">
        <v>204.8245</v>
      </c>
      <c r="J3692">
        <v>-206.73390000000001</v>
      </c>
      <c r="K3692">
        <v>1.106222</v>
      </c>
      <c r="L3692">
        <v>214.41749999999999</v>
      </c>
      <c r="M3692">
        <v>0.98659430000000004</v>
      </c>
      <c r="N3692">
        <v>0</v>
      </c>
      <c r="O3692">
        <v>-0.1626271</v>
      </c>
      <c r="P3692">
        <v>0.88853689999999996</v>
      </c>
      <c r="Q3692">
        <v>0.1108176</v>
      </c>
      <c r="R3692">
        <v>-0.44522089999999998</v>
      </c>
      <c r="S3692">
        <v>2.4485169999999998</v>
      </c>
      <c r="T3692">
        <v>-0.21993470000000001</v>
      </c>
      <c r="U3692">
        <v>-1.9163060000000001</v>
      </c>
      <c r="V3692">
        <v>0.2959059</v>
      </c>
      <c r="W3692">
        <v>0.1209668</v>
      </c>
      <c r="X3692">
        <v>0.9475266</v>
      </c>
      <c r="Y3692">
        <v>0.479267</v>
      </c>
      <c r="Z3692">
        <v>-6.3031299999999997E-3</v>
      </c>
      <c r="AA3692">
        <v>0.8776465</v>
      </c>
      <c r="AB3692">
        <v>26</v>
      </c>
      <c r="AC3692">
        <v>12.062099999999999</v>
      </c>
      <c r="AD3692">
        <v>-1.106216942156</v>
      </c>
      <c r="AE3692">
        <v>-9.5929999999999893</v>
      </c>
      <c r="AF3692">
        <v>7.4650054254674503</v>
      </c>
      <c r="AG3692">
        <v>-1.106216942156</v>
      </c>
      <c r="AH3692">
        <v>13.392720127941301</v>
      </c>
      <c r="AI3692">
        <v>94.126604528210294</v>
      </c>
      <c r="AJ3692">
        <v>60.8650203919997</v>
      </c>
      <c r="AK3692">
        <v>15.3725396194232</v>
      </c>
      <c r="AL3692">
        <v>83.052097116369694</v>
      </c>
      <c r="AM3692">
        <v>72.6567823959912</v>
      </c>
      <c r="AN3692">
        <v>0.99999996303230398</v>
      </c>
    </row>
    <row r="3693" spans="1:40" x14ac:dyDescent="0.25">
      <c r="A3693" t="str">
        <f>"20190312173004021"</f>
        <v>20190312173004021</v>
      </c>
      <c r="B3693" t="str">
        <f>"1552383004011473"</f>
        <v>1552383004011473</v>
      </c>
      <c r="C3693" t="s">
        <v>40</v>
      </c>
      <c r="D3693">
        <v>3.3839160000000001</v>
      </c>
      <c r="E3693">
        <v>0.58086289999999996</v>
      </c>
      <c r="F3693" t="s">
        <v>46</v>
      </c>
      <c r="G3693">
        <v>-194.54259999999999</v>
      </c>
      <c r="H3693" s="1">
        <v>5.1121849999999997E-6</v>
      </c>
      <c r="I3693">
        <v>204.75190000000001</v>
      </c>
      <c r="J3693">
        <v>-206.4786</v>
      </c>
      <c r="K3693">
        <v>1.1061030000000001</v>
      </c>
      <c r="L3693">
        <v>214.36930000000001</v>
      </c>
      <c r="M3693">
        <v>0.98567519999999997</v>
      </c>
      <c r="N3693">
        <v>0</v>
      </c>
      <c r="O3693">
        <v>-0.1681076</v>
      </c>
      <c r="P3693">
        <v>0.88531459999999995</v>
      </c>
      <c r="Q3693">
        <v>0.1104928</v>
      </c>
      <c r="R3693">
        <v>-0.45167449999999998</v>
      </c>
      <c r="S3693">
        <v>2.4361269999999999</v>
      </c>
      <c r="T3693">
        <v>-0.22104940000000001</v>
      </c>
      <c r="U3693">
        <v>-1.931427</v>
      </c>
      <c r="V3693">
        <v>0.29756189999999999</v>
      </c>
      <c r="W3693">
        <v>0.1205451</v>
      </c>
      <c r="X3693">
        <v>0.94706170000000001</v>
      </c>
      <c r="Y3693">
        <v>0.47991099999999998</v>
      </c>
      <c r="Z3693">
        <v>-5.9571659999999999E-3</v>
      </c>
      <c r="AA3693">
        <v>0.87729690000000005</v>
      </c>
      <c r="AB3693">
        <v>26</v>
      </c>
      <c r="AC3693">
        <v>11.936</v>
      </c>
      <c r="AD3693">
        <v>-1.1060978878150001</v>
      </c>
      <c r="AE3693">
        <v>-9.6173999999999999</v>
      </c>
      <c r="AF3693">
        <v>7.4350743289349799</v>
      </c>
      <c r="AG3693">
        <v>-1.1060978878150001</v>
      </c>
      <c r="AH3693">
        <v>13.313685559543501</v>
      </c>
      <c r="AI3693">
        <v>94.148704626792096</v>
      </c>
      <c r="AJ3693">
        <v>60.818672299281701</v>
      </c>
      <c r="AK3693">
        <v>15.289146673134301</v>
      </c>
      <c r="AL3693">
        <v>83.076437357934395</v>
      </c>
      <c r="AM3693">
        <v>72.557550311851998</v>
      </c>
      <c r="AN3693">
        <v>1.0000000345362501</v>
      </c>
    </row>
    <row r="3694" spans="1:40" x14ac:dyDescent="0.25">
      <c r="A3694" t="str">
        <f>"20190312173004044"</f>
        <v>20190312173004044</v>
      </c>
      <c r="B3694" t="str">
        <f>"1552383004030994"</f>
        <v>1552383004030994</v>
      </c>
      <c r="C3694" t="s">
        <v>40</v>
      </c>
      <c r="D3694">
        <v>3.3234979999999998</v>
      </c>
      <c r="E3694">
        <v>0.58063160000000003</v>
      </c>
      <c r="F3694" t="s">
        <v>46</v>
      </c>
      <c r="G3694">
        <v>-194.428</v>
      </c>
      <c r="H3694" s="1">
        <v>5.1624860000000002E-6</v>
      </c>
      <c r="I3694">
        <v>204.6815</v>
      </c>
      <c r="J3694">
        <v>-206.22239999999999</v>
      </c>
      <c r="K3694">
        <v>1.105972</v>
      </c>
      <c r="L3694">
        <v>214.31909999999999</v>
      </c>
      <c r="M3694">
        <v>0.98468630000000001</v>
      </c>
      <c r="N3694">
        <v>0</v>
      </c>
      <c r="O3694">
        <v>-0.17380479999999901</v>
      </c>
      <c r="P3694">
        <v>0.88139920000000005</v>
      </c>
      <c r="Q3694">
        <v>0.1107959</v>
      </c>
      <c r="R3694">
        <v>-0.45919470000000001</v>
      </c>
      <c r="S3694">
        <v>2.4226990000000002</v>
      </c>
      <c r="T3694">
        <v>-0.2223736</v>
      </c>
      <c r="U3694">
        <v>-1.947662</v>
      </c>
      <c r="V3694">
        <v>0.30019879999999999</v>
      </c>
      <c r="W3694">
        <v>0.1207273</v>
      </c>
      <c r="X3694">
        <v>0.94620590000000004</v>
      </c>
      <c r="Y3694">
        <v>0.48078530000000003</v>
      </c>
      <c r="Z3694">
        <v>-5.6056109999999999E-3</v>
      </c>
      <c r="AA3694">
        <v>0.87682039999999895</v>
      </c>
      <c r="AB3694">
        <v>26</v>
      </c>
      <c r="AC3694">
        <v>11.7943999999999</v>
      </c>
      <c r="AD3694">
        <v>-1.1059668375139999</v>
      </c>
      <c r="AE3694">
        <v>-9.6375999999999902</v>
      </c>
      <c r="AF3694">
        <v>7.4017514605166097</v>
      </c>
      <c r="AG3694">
        <v>-1.1059668375139999</v>
      </c>
      <c r="AH3694">
        <v>13.2203694058803</v>
      </c>
      <c r="AI3694">
        <v>94.174872322036904</v>
      </c>
      <c r="AJ3694">
        <v>60.756635564316198</v>
      </c>
      <c r="AK3694">
        <v>15.1916837301491</v>
      </c>
      <c r="AL3694">
        <v>83.065921045120504</v>
      </c>
      <c r="AM3694">
        <v>72.397545831112794</v>
      </c>
      <c r="AN3694">
        <v>1.0000000028407701</v>
      </c>
    </row>
    <row r="3695" spans="1:40" x14ac:dyDescent="0.25">
      <c r="A3695" t="str">
        <f>"20190312173004066"</f>
        <v>20190312173004066</v>
      </c>
      <c r="B3695" t="str">
        <f>"1552383004061251"</f>
        <v>1552383004061251</v>
      </c>
      <c r="C3695" t="s">
        <v>40</v>
      </c>
      <c r="D3695">
        <v>3.3369300000000002</v>
      </c>
      <c r="E3695">
        <v>0.58028819999999903</v>
      </c>
      <c r="F3695" t="s">
        <v>46</v>
      </c>
      <c r="G3695">
        <v>-194.25049999999999</v>
      </c>
      <c r="H3695" s="1">
        <v>5.2463460000000001E-6</v>
      </c>
      <c r="I3695">
        <v>204.53530000000001</v>
      </c>
      <c r="J3695">
        <v>-205.96700000000001</v>
      </c>
      <c r="K3695">
        <v>1.105828</v>
      </c>
      <c r="L3695">
        <v>214.26730000000001</v>
      </c>
      <c r="M3695">
        <v>0.98362700000000003</v>
      </c>
      <c r="N3695">
        <v>0</v>
      </c>
      <c r="O3695">
        <v>-0.1797039</v>
      </c>
      <c r="P3695">
        <v>0.87658440000000004</v>
      </c>
      <c r="Q3695">
        <v>0.110808199999999</v>
      </c>
      <c r="R3695">
        <v>-0.46831810000000001</v>
      </c>
      <c r="S3695">
        <v>2.40686</v>
      </c>
      <c r="T3695">
        <v>-0.22234580000000001</v>
      </c>
      <c r="U3695">
        <v>-1.9669650000000001</v>
      </c>
      <c r="V3695">
        <v>0.30439260000000001</v>
      </c>
      <c r="W3695">
        <v>0.1205773</v>
      </c>
      <c r="X3695">
        <v>0.94488419999999895</v>
      </c>
      <c r="Y3695">
        <v>0.48258210000000001</v>
      </c>
      <c r="Z3695">
        <v>-5.2410379999999999E-3</v>
      </c>
      <c r="AA3695">
        <v>0.87583509999999998</v>
      </c>
      <c r="AB3695">
        <v>26</v>
      </c>
      <c r="AC3695">
        <v>11.7165</v>
      </c>
      <c r="AD3695">
        <v>-1.105822753654</v>
      </c>
      <c r="AE3695">
        <v>-9.7319999999999993</v>
      </c>
      <c r="AF3695">
        <v>7.4286882007347801</v>
      </c>
      <c r="AG3695">
        <v>-1.105822753654</v>
      </c>
      <c r="AH3695">
        <v>13.205161956460501</v>
      </c>
      <c r="AI3695">
        <v>94.174351921535205</v>
      </c>
      <c r="AJ3695">
        <v>60.639660470030002</v>
      </c>
      <c r="AK3695">
        <v>15.1915948683009</v>
      </c>
      <c r="AL3695">
        <v>83.074578260475604</v>
      </c>
      <c r="AM3695">
        <v>72.1437561691111</v>
      </c>
      <c r="AN3695">
        <v>0.99999994580984297</v>
      </c>
    </row>
    <row r="3696" spans="1:40" x14ac:dyDescent="0.25">
      <c r="A3696" t="str">
        <f>"20190312173004088"</f>
        <v>20190312173004088</v>
      </c>
      <c r="B3696" t="str">
        <f>"1552383004081748"</f>
        <v>1552383004081748</v>
      </c>
      <c r="C3696" t="s">
        <v>40</v>
      </c>
      <c r="D3696">
        <v>3.4430130000000001</v>
      </c>
      <c r="E3696">
        <v>0.58018630000000004</v>
      </c>
      <c r="F3696" t="s">
        <v>46</v>
      </c>
      <c r="G3696">
        <v>-194.18430000000001</v>
      </c>
      <c r="H3696" s="1">
        <v>5.2830519999999998E-6</v>
      </c>
      <c r="I3696">
        <v>204.4521</v>
      </c>
      <c r="J3696">
        <v>-205.7139</v>
      </c>
      <c r="K3696">
        <v>1.1056950000000001</v>
      </c>
      <c r="L3696">
        <v>214.2141</v>
      </c>
      <c r="M3696">
        <v>0.98250879999999996</v>
      </c>
      <c r="N3696">
        <v>0</v>
      </c>
      <c r="O3696">
        <v>-0.18572069999999999</v>
      </c>
      <c r="P3696">
        <v>0.87177019999999905</v>
      </c>
      <c r="Q3696">
        <v>0.10975210000000001</v>
      </c>
      <c r="R3696">
        <v>-0.4774639</v>
      </c>
      <c r="S3696">
        <v>2.387985</v>
      </c>
      <c r="T3696">
        <v>-0.22411529999999999</v>
      </c>
      <c r="U3696">
        <v>-1.9892270000000001</v>
      </c>
      <c r="V3696">
        <v>0.30850040000000001</v>
      </c>
      <c r="W3696">
        <v>0.1193573</v>
      </c>
      <c r="X3696">
        <v>0.94370620000000005</v>
      </c>
      <c r="Y3696">
        <v>0.48543799999999998</v>
      </c>
      <c r="Z3696">
        <v>-4.952349E-3</v>
      </c>
      <c r="AA3696">
        <v>0.87425710000000001</v>
      </c>
      <c r="AB3696">
        <v>26</v>
      </c>
      <c r="AC3696">
        <v>11.529599999999901</v>
      </c>
      <c r="AD3696">
        <v>-1.105689716948</v>
      </c>
      <c r="AE3696">
        <v>-9.7620000000000005</v>
      </c>
      <c r="AF3696">
        <v>7.4109538283865</v>
      </c>
      <c r="AG3696">
        <v>-1.105689716948</v>
      </c>
      <c r="AH3696">
        <v>13.072126495289201</v>
      </c>
      <c r="AI3696">
        <v>94.208325780185504</v>
      </c>
      <c r="AJ3696">
        <v>60.449887470643198</v>
      </c>
      <c r="AK3696">
        <v>15.0673580134502</v>
      </c>
      <c r="AL3696">
        <v>83.144988185848106</v>
      </c>
      <c r="AM3696">
        <v>71.897275557213405</v>
      </c>
      <c r="AN3696">
        <v>1.0000000268909399</v>
      </c>
    </row>
    <row r="3697" spans="1:40" x14ac:dyDescent="0.25">
      <c r="A3697" t="str">
        <f>"20190312173004112"</f>
        <v>20190312173004112</v>
      </c>
      <c r="B3697" t="str">
        <f>"1552383004101265"</f>
        <v>1552383004101265</v>
      </c>
      <c r="C3697" t="s">
        <v>40</v>
      </c>
      <c r="D3697">
        <v>3.3810150000000001</v>
      </c>
      <c r="E3697">
        <v>0.60505399999999998</v>
      </c>
      <c r="F3697" t="s">
        <v>46</v>
      </c>
      <c r="G3697">
        <v>-194.2287</v>
      </c>
      <c r="H3697" s="1">
        <v>5.2736709999999998E-6</v>
      </c>
      <c r="I3697">
        <v>204.4503</v>
      </c>
      <c r="J3697">
        <v>-205.45269999999999</v>
      </c>
      <c r="K3697">
        <v>1.10555</v>
      </c>
      <c r="L3697">
        <v>214.1574</v>
      </c>
      <c r="M3697">
        <v>0.98127850000000005</v>
      </c>
      <c r="N3697">
        <v>0</v>
      </c>
      <c r="O3697">
        <v>-0.1921187</v>
      </c>
      <c r="P3697">
        <v>0.86632419999999999</v>
      </c>
      <c r="Q3697">
        <v>0.1087186</v>
      </c>
      <c r="R3697">
        <v>-0.48750680000000002</v>
      </c>
      <c r="S3697">
        <v>2.3675989999999998</v>
      </c>
      <c r="T3697">
        <v>-0.22793079999999999</v>
      </c>
      <c r="U3697">
        <v>-2.0127410000000001</v>
      </c>
      <c r="V3697">
        <v>0.31325979999999998</v>
      </c>
      <c r="W3697">
        <v>0.1181183</v>
      </c>
      <c r="X3697">
        <v>0.94229320000000005</v>
      </c>
      <c r="Y3697">
        <v>0.48847449999999998</v>
      </c>
      <c r="Z3697">
        <v>-4.6784950000000004E-3</v>
      </c>
      <c r="AA3697">
        <v>0.87256559999999905</v>
      </c>
      <c r="AB3697">
        <v>26</v>
      </c>
      <c r="AC3697">
        <v>11.223999999999901</v>
      </c>
      <c r="AD3697">
        <v>-1.1055447263289999</v>
      </c>
      <c r="AE3697">
        <v>-9.7070999999999898</v>
      </c>
      <c r="AF3697">
        <v>7.3290233248155197</v>
      </c>
      <c r="AG3697">
        <v>-1.1055447263289999</v>
      </c>
      <c r="AH3697">
        <v>12.808869083730301</v>
      </c>
      <c r="AI3697">
        <v>94.284279257804997</v>
      </c>
      <c r="AJ3697">
        <v>60.222523015312298</v>
      </c>
      <c r="AK3697">
        <v>14.798781680994701</v>
      </c>
      <c r="AL3697">
        <v>83.216483633504396</v>
      </c>
      <c r="AM3697">
        <v>71.610918599324293</v>
      </c>
      <c r="AN3697">
        <v>1.0000000549285799</v>
      </c>
    </row>
    <row r="3698" spans="1:40" x14ac:dyDescent="0.25">
      <c r="A3698" t="str">
        <f>"20190312173004134"</f>
        <v>20190312173004134</v>
      </c>
      <c r="B3698" t="str">
        <f>"1552383004131521"</f>
        <v>1552383004131521</v>
      </c>
      <c r="C3698" t="s">
        <v>40</v>
      </c>
      <c r="D3698">
        <v>3.3640850000000002</v>
      </c>
      <c r="E3698">
        <v>0.62478859999999903</v>
      </c>
      <c r="F3698" t="s">
        <v>46</v>
      </c>
      <c r="G3698">
        <v>-194.02969999999999</v>
      </c>
      <c r="H3698" s="1">
        <v>5.7267630000000004E-6</v>
      </c>
      <c r="I3698">
        <v>202.9059</v>
      </c>
      <c r="J3698">
        <v>-205.2022</v>
      </c>
      <c r="K3698">
        <v>1.10541</v>
      </c>
      <c r="L3698">
        <v>214.1011</v>
      </c>
      <c r="M3698">
        <v>0.98002140000000004</v>
      </c>
      <c r="N3698">
        <v>0</v>
      </c>
      <c r="O3698">
        <v>-0.19843769999999999</v>
      </c>
      <c r="P3698">
        <v>0.86107599999999995</v>
      </c>
      <c r="Q3698">
        <v>0.1073177</v>
      </c>
      <c r="R3698">
        <v>-0.49702269999999998</v>
      </c>
      <c r="S3698">
        <v>2.245514</v>
      </c>
      <c r="T3698">
        <v>-0.2173264</v>
      </c>
      <c r="U3698">
        <v>-2.2118069999999999</v>
      </c>
      <c r="V3698">
        <v>0.31755609999999901</v>
      </c>
      <c r="W3698">
        <v>0.1164898</v>
      </c>
      <c r="X3698">
        <v>0.94105700000000003</v>
      </c>
      <c r="Y3698">
        <v>0.54560259999999905</v>
      </c>
      <c r="Z3698">
        <v>-6.3702639999999996E-3</v>
      </c>
      <c r="AA3698">
        <v>0.83801979999999998</v>
      </c>
      <c r="AB3698">
        <v>26</v>
      </c>
      <c r="AC3698">
        <v>11.172499999999999</v>
      </c>
      <c r="AD3698">
        <v>-1.105404273237</v>
      </c>
      <c r="AE3698">
        <v>-11.1952</v>
      </c>
      <c r="AF3698">
        <v>8.7127225454419506</v>
      </c>
      <c r="AG3698">
        <v>-1.105404273237</v>
      </c>
      <c r="AH3698">
        <v>13.1080005252667</v>
      </c>
      <c r="AI3698">
        <v>94.0173612490144</v>
      </c>
      <c r="AJ3698">
        <v>56.388515149356898</v>
      </c>
      <c r="AK3698">
        <v>15.778248652227999</v>
      </c>
      <c r="AL3698">
        <v>83.310438198831307</v>
      </c>
      <c r="AM3698">
        <v>71.353229063115194</v>
      </c>
      <c r="AN3698">
        <v>1.0000000137001199</v>
      </c>
    </row>
    <row r="3699" spans="1:40" x14ac:dyDescent="0.25">
      <c r="A3699" t="str">
        <f>"20190312173004155"</f>
        <v>20190312173004155</v>
      </c>
      <c r="B3699" t="str">
        <f>"1552383004151045"</f>
        <v>1552383004151045</v>
      </c>
      <c r="C3699" t="s">
        <v>40</v>
      </c>
      <c r="D3699">
        <v>3.3745069999999999</v>
      </c>
      <c r="E3699">
        <v>0.62997479999999995</v>
      </c>
      <c r="F3699" t="s">
        <v>46</v>
      </c>
      <c r="G3699">
        <v>-194.43010000000001</v>
      </c>
      <c r="H3699" s="1">
        <v>5.8532719999999996E-6</v>
      </c>
      <c r="I3699">
        <v>202.16489999999999</v>
      </c>
      <c r="J3699">
        <v>-204.95259999999999</v>
      </c>
      <c r="K3699">
        <v>1.1052679999999999</v>
      </c>
      <c r="L3699">
        <v>214.04320000000001</v>
      </c>
      <c r="M3699">
        <v>0.97868880000000003</v>
      </c>
      <c r="N3699">
        <v>0</v>
      </c>
      <c r="O3699">
        <v>-0.2049154</v>
      </c>
      <c r="P3699">
        <v>0.85651149999999998</v>
      </c>
      <c r="Q3699">
        <v>0.1073495</v>
      </c>
      <c r="R3699">
        <v>-0.50484090000000004</v>
      </c>
      <c r="S3699">
        <v>2.141632</v>
      </c>
      <c r="T3699">
        <v>-0.21976799999999999</v>
      </c>
      <c r="U3699">
        <v>-2.373062</v>
      </c>
      <c r="V3699">
        <v>0.31993519999999998</v>
      </c>
      <c r="W3699">
        <v>0.1162923</v>
      </c>
      <c r="X3699">
        <v>0.94027530000000004</v>
      </c>
      <c r="Y3699">
        <v>0.58845630000000004</v>
      </c>
      <c r="Z3699">
        <v>-7.7987869999999997E-3</v>
      </c>
      <c r="AA3699">
        <v>0.80849139999999997</v>
      </c>
      <c r="AB3699">
        <v>26</v>
      </c>
      <c r="AC3699">
        <v>10.5224999999999</v>
      </c>
      <c r="AD3699">
        <v>-1.1052621467279999</v>
      </c>
      <c r="AE3699">
        <v>-11.878299999999999</v>
      </c>
      <c r="AF3699">
        <v>9.4240616832457391</v>
      </c>
      <c r="AG3699">
        <v>-1.1052621467279999</v>
      </c>
      <c r="AH3699">
        <v>12.6719585697737</v>
      </c>
      <c r="AI3699">
        <v>94.003497136844402</v>
      </c>
      <c r="AJ3699">
        <v>53.3620335451822</v>
      </c>
      <c r="AK3699">
        <v>15.8307636270861</v>
      </c>
      <c r="AL3699">
        <v>83.321831696798498</v>
      </c>
      <c r="AM3699">
        <v>71.208771503380703</v>
      </c>
      <c r="AN3699">
        <v>1.0000000355142</v>
      </c>
    </row>
    <row r="3700" spans="1:40" x14ac:dyDescent="0.25">
      <c r="A3700" t="str">
        <f>"20190312173004178"</f>
        <v>20190312173004178</v>
      </c>
      <c r="B3700" t="str">
        <f>"1552383004171537"</f>
        <v>1552383004171537</v>
      </c>
      <c r="C3700" t="s">
        <v>40</v>
      </c>
      <c r="D3700">
        <v>3.3951980000000002</v>
      </c>
      <c r="E3700">
        <v>0.63258269999999905</v>
      </c>
      <c r="F3700" t="s">
        <v>46</v>
      </c>
      <c r="G3700">
        <v>-194.2535</v>
      </c>
      <c r="H3700" s="1">
        <v>6.0787120000000003E-6</v>
      </c>
      <c r="I3700">
        <v>201.6601</v>
      </c>
      <c r="J3700">
        <v>-204.697</v>
      </c>
      <c r="K3700">
        <v>1.1051089999999999</v>
      </c>
      <c r="L3700">
        <v>213.982</v>
      </c>
      <c r="M3700">
        <v>0.97723899999999997</v>
      </c>
      <c r="N3700">
        <v>0</v>
      </c>
      <c r="O3700">
        <v>-0.2117299</v>
      </c>
      <c r="P3700">
        <v>0.85096729999999998</v>
      </c>
      <c r="Q3700">
        <v>0.10770689999999999</v>
      </c>
      <c r="R3700">
        <v>-0.51405670000000003</v>
      </c>
      <c r="S3700">
        <v>2.098312</v>
      </c>
      <c r="T3700">
        <v>-0.2167645</v>
      </c>
      <c r="U3700">
        <v>-2.4285739999999998</v>
      </c>
      <c r="V3700">
        <v>0.323584599999999</v>
      </c>
      <c r="W3700">
        <v>0.1163676</v>
      </c>
      <c r="X3700">
        <v>0.93901630000000003</v>
      </c>
      <c r="Y3700">
        <v>0.600244</v>
      </c>
      <c r="Z3700">
        <v>-7.7055980000000001E-3</v>
      </c>
      <c r="AA3700">
        <v>0.79977980000000004</v>
      </c>
      <c r="AB3700">
        <v>26</v>
      </c>
      <c r="AC3700">
        <v>10.4435</v>
      </c>
      <c r="AD3700">
        <v>-1.1051029212879999</v>
      </c>
      <c r="AE3700">
        <v>-12.321899999999999</v>
      </c>
      <c r="AF3700">
        <v>9.7852923603844193</v>
      </c>
      <c r="AG3700">
        <v>-1.1051029212879999</v>
      </c>
      <c r="AH3700">
        <v>12.756116335412299</v>
      </c>
      <c r="AI3700">
        <v>93.932215434150905</v>
      </c>
      <c r="AJ3700">
        <v>52.5079731079731</v>
      </c>
      <c r="AK3700">
        <v>16.114952777076599</v>
      </c>
      <c r="AL3700">
        <v>83.317487672602894</v>
      </c>
      <c r="AM3700">
        <v>70.986071519982104</v>
      </c>
      <c r="AN3700">
        <v>1.0000000116762999</v>
      </c>
    </row>
    <row r="3701" spans="1:40" x14ac:dyDescent="0.25">
      <c r="A3701" t="str">
        <f>"20190312173004200"</f>
        <v>20190312173004200</v>
      </c>
      <c r="B3701" t="str">
        <f>"1552383004191058"</f>
        <v>1552383004191058</v>
      </c>
      <c r="C3701" t="s">
        <v>40</v>
      </c>
      <c r="D3701">
        <v>3.428785</v>
      </c>
      <c r="E3701">
        <v>0.63395550000000001</v>
      </c>
      <c r="F3701" t="s">
        <v>46</v>
      </c>
      <c r="G3701">
        <v>-194.0093</v>
      </c>
      <c r="H3701" s="1">
        <v>6.31409599999999E-6</v>
      </c>
      <c r="I3701">
        <v>201.178</v>
      </c>
      <c r="J3701">
        <v>-204.43969999999999</v>
      </c>
      <c r="K3701">
        <v>1.1049469999999999</v>
      </c>
      <c r="L3701">
        <v>213.91820000000001</v>
      </c>
      <c r="M3701">
        <v>0.97568699999999997</v>
      </c>
      <c r="N3701">
        <v>0</v>
      </c>
      <c r="O3701">
        <v>-0.21877859999999999</v>
      </c>
      <c r="P3701">
        <v>0.84506890000000001</v>
      </c>
      <c r="Q3701">
        <v>0.1076222</v>
      </c>
      <c r="R3701">
        <v>-0.52371409999999996</v>
      </c>
      <c r="S3701">
        <v>2.060883</v>
      </c>
      <c r="T3701">
        <v>-0.21309410000000001</v>
      </c>
      <c r="U3701">
        <v>-2.4689480000000001</v>
      </c>
      <c r="V3701">
        <v>0.3275363</v>
      </c>
      <c r="W3701">
        <v>0.1159792</v>
      </c>
      <c r="X3701">
        <v>0.93769340000000001</v>
      </c>
      <c r="Y3701">
        <v>0.60807679999999997</v>
      </c>
      <c r="Z3701">
        <v>-7.4124029999999997E-3</v>
      </c>
      <c r="AA3701">
        <v>0.79384370000000004</v>
      </c>
      <c r="AB3701">
        <v>26</v>
      </c>
      <c r="AC3701">
        <v>10.430399999999899</v>
      </c>
      <c r="AD3701">
        <v>-1.1049406859040001</v>
      </c>
      <c r="AE3701">
        <v>-12.7402</v>
      </c>
      <c r="AF3701">
        <v>10.103864439330501</v>
      </c>
      <c r="AG3701">
        <v>-1.1049406859040001</v>
      </c>
      <c r="AH3701">
        <v>12.9070706097678</v>
      </c>
      <c r="AI3701">
        <v>93.856443384782693</v>
      </c>
      <c r="AJ3701">
        <v>51.945583705244999</v>
      </c>
      <c r="AK3701">
        <v>16.428677434695299</v>
      </c>
      <c r="AL3701">
        <v>83.339893368077796</v>
      </c>
      <c r="AM3701">
        <v>70.745691935521805</v>
      </c>
      <c r="AN3701">
        <v>1.0000000575269401</v>
      </c>
    </row>
    <row r="3702" spans="1:40" x14ac:dyDescent="0.25">
      <c r="A3702" t="str">
        <f>"20190312173004222"</f>
        <v>20190312173004222</v>
      </c>
      <c r="B3702" t="str">
        <f>"1552383004211553"</f>
        <v>1552383004211553</v>
      </c>
      <c r="C3702" t="s">
        <v>40</v>
      </c>
      <c r="D3702">
        <v>3.375445</v>
      </c>
      <c r="E3702">
        <v>0.63464580000000004</v>
      </c>
      <c r="F3702" t="s">
        <v>46</v>
      </c>
      <c r="G3702">
        <v>-193.90940000000001</v>
      </c>
      <c r="H3702" s="1">
        <v>6.4313489999999996E-6</v>
      </c>
      <c r="I3702">
        <v>200.92160000000001</v>
      </c>
      <c r="J3702">
        <v>-204.19810000000001</v>
      </c>
      <c r="K3702">
        <v>1.1048020000000001</v>
      </c>
      <c r="L3702">
        <v>213.8563</v>
      </c>
      <c r="M3702">
        <v>0.97413899999999998</v>
      </c>
      <c r="N3702">
        <v>0</v>
      </c>
      <c r="O3702">
        <v>-0.22557929999999901</v>
      </c>
      <c r="P3702">
        <v>0.83983359999999996</v>
      </c>
      <c r="Q3702">
        <v>0.1077178</v>
      </c>
      <c r="R3702">
        <v>-0.53204989999999996</v>
      </c>
      <c r="S3702">
        <v>2.02684</v>
      </c>
      <c r="T3702">
        <v>-0.21267440000000001</v>
      </c>
      <c r="U3702">
        <v>-2.501541</v>
      </c>
      <c r="V3702">
        <v>0.33031509999999997</v>
      </c>
      <c r="W3702">
        <v>0.1158025</v>
      </c>
      <c r="X3702">
        <v>0.93673989999999996</v>
      </c>
      <c r="Y3702">
        <v>0.61411969999999905</v>
      </c>
      <c r="Z3702">
        <v>-7.1801649999999996E-3</v>
      </c>
      <c r="AA3702">
        <v>0.7891802</v>
      </c>
      <c r="AB3702">
        <v>26</v>
      </c>
      <c r="AC3702">
        <v>10.2887</v>
      </c>
      <c r="AD3702">
        <v>-1.104795568651</v>
      </c>
      <c r="AE3702">
        <v>-12.9346999999999</v>
      </c>
      <c r="AF3702">
        <v>10.2344071449163</v>
      </c>
      <c r="AG3702">
        <v>-1.104795568651</v>
      </c>
      <c r="AH3702">
        <v>12.883937299577401</v>
      </c>
      <c r="AI3702">
        <v>93.841296492388395</v>
      </c>
      <c r="AJ3702">
        <v>51.5379868795196</v>
      </c>
      <c r="AK3702">
        <v>16.491194717056299</v>
      </c>
      <c r="AL3702">
        <v>83.350085575292198</v>
      </c>
      <c r="AM3702">
        <v>70.576228414584605</v>
      </c>
      <c r="AN3702">
        <v>0.99999996227313404</v>
      </c>
    </row>
    <row r="3703" spans="1:40" x14ac:dyDescent="0.25">
      <c r="A3703" t="str">
        <f>"20190312173004245"</f>
        <v>20190312173004245</v>
      </c>
      <c r="B3703" t="str">
        <f>"1552383004241810"</f>
        <v>1552383004241810</v>
      </c>
      <c r="C3703" t="s">
        <v>40</v>
      </c>
      <c r="D3703">
        <v>3.4073440000000002</v>
      </c>
      <c r="E3703">
        <v>0.63487329999999997</v>
      </c>
      <c r="F3703" t="s">
        <v>46</v>
      </c>
      <c r="G3703">
        <v>-193.82310000000001</v>
      </c>
      <c r="H3703" s="1">
        <v>6.5153629999999999E-6</v>
      </c>
      <c r="I3703">
        <v>200.74889999999999</v>
      </c>
      <c r="J3703">
        <v>-203.93969999999999</v>
      </c>
      <c r="K3703">
        <v>1.1046309999999999</v>
      </c>
      <c r="L3703">
        <v>213.78790000000001</v>
      </c>
      <c r="M3703">
        <v>0.97237669999999998</v>
      </c>
      <c r="N3703">
        <v>0</v>
      </c>
      <c r="O3703">
        <v>-0.23306669999999999</v>
      </c>
      <c r="P3703">
        <v>0.83416429999999997</v>
      </c>
      <c r="Q3703">
        <v>0.1079065</v>
      </c>
      <c r="R3703">
        <v>-0.540857699999999</v>
      </c>
      <c r="S3703">
        <v>1.999268</v>
      </c>
      <c r="T3703">
        <v>-0.2128958</v>
      </c>
      <c r="U3703">
        <v>-2.525833</v>
      </c>
      <c r="V3703">
        <v>0.33301570000000003</v>
      </c>
      <c r="W3703">
        <v>0.1156993</v>
      </c>
      <c r="X3703">
        <v>0.93579610000000002</v>
      </c>
      <c r="Y3703">
        <v>0.61704769999999998</v>
      </c>
      <c r="Z3703">
        <v>-6.7827620000000003E-3</v>
      </c>
      <c r="AA3703">
        <v>0.7868965</v>
      </c>
      <c r="AB3703">
        <v>26</v>
      </c>
      <c r="AC3703">
        <v>10.116599999999901</v>
      </c>
      <c r="AD3703">
        <v>-1.1046244846369999</v>
      </c>
      <c r="AE3703">
        <v>-13.039</v>
      </c>
      <c r="AF3703">
        <v>10.2757847114261</v>
      </c>
      <c r="AG3703">
        <v>-1.1046244846369999</v>
      </c>
      <c r="AH3703">
        <v>12.8197221835206</v>
      </c>
      <c r="AI3703">
        <v>93.846386882924705</v>
      </c>
      <c r="AJ3703">
        <v>51.285710033862202</v>
      </c>
      <c r="AK3703">
        <v>16.4668522660006</v>
      </c>
      <c r="AL3703">
        <v>83.356039183703402</v>
      </c>
      <c r="AM3703">
        <v>70.411210643151904</v>
      </c>
      <c r="AN3703">
        <v>1.0000000626210901</v>
      </c>
    </row>
    <row r="3704" spans="1:40" x14ac:dyDescent="0.25">
      <c r="A3704" t="str">
        <f>"20190312173004268"</f>
        <v>20190312173004268</v>
      </c>
      <c r="B3704" t="str">
        <f>"1552383004261330"</f>
        <v>1552383004261330</v>
      </c>
      <c r="C3704" t="s">
        <v>40</v>
      </c>
      <c r="D3704">
        <v>3.450469</v>
      </c>
      <c r="E3704">
        <v>0.63437149999999998</v>
      </c>
      <c r="F3704" t="s">
        <v>46</v>
      </c>
      <c r="G3704">
        <v>-193.71080000000001</v>
      </c>
      <c r="H3704" s="1">
        <v>6.608612E-6</v>
      </c>
      <c r="I3704">
        <v>200.56960000000001</v>
      </c>
      <c r="J3704">
        <v>-203.6849</v>
      </c>
      <c r="K3704">
        <v>1.104463</v>
      </c>
      <c r="L3704">
        <v>213.71799999999999</v>
      </c>
      <c r="M3704">
        <v>0.97052749999999999</v>
      </c>
      <c r="N3704">
        <v>0</v>
      </c>
      <c r="O3704">
        <v>-0.2406576</v>
      </c>
      <c r="P3704">
        <v>0.8287331</v>
      </c>
      <c r="Q3704">
        <v>0.1079068</v>
      </c>
      <c r="R3704">
        <v>-0.54914280000000004</v>
      </c>
      <c r="S3704">
        <v>1.9718169999999999</v>
      </c>
      <c r="T3704">
        <v>-0.21293880000000001</v>
      </c>
      <c r="U3704">
        <v>-2.5480960000000001</v>
      </c>
      <c r="V3704">
        <v>0.3350708</v>
      </c>
      <c r="W3704">
        <v>0.1154213</v>
      </c>
      <c r="X3704">
        <v>0.9350965</v>
      </c>
      <c r="Y3704">
        <v>0.61953789999999997</v>
      </c>
      <c r="Z3704">
        <v>-6.3530230000000002E-3</v>
      </c>
      <c r="AA3704">
        <v>0.784941</v>
      </c>
      <c r="AB3704">
        <v>26</v>
      </c>
      <c r="AC3704">
        <v>9.9740999999999893</v>
      </c>
      <c r="AD3704">
        <v>-1.1044563913879999</v>
      </c>
      <c r="AE3704">
        <v>-13.148399999999899</v>
      </c>
      <c r="AF3704">
        <v>10.3151730277451</v>
      </c>
      <c r="AG3704">
        <v>-1.1044563913879999</v>
      </c>
      <c r="AH3704">
        <v>12.788156363223401</v>
      </c>
      <c r="AI3704">
        <v>93.8457840831054</v>
      </c>
      <c r="AJ3704">
        <v>51.109684358667202</v>
      </c>
      <c r="AK3704">
        <v>16.4669232609814</v>
      </c>
      <c r="AL3704">
        <v>83.372074363438998</v>
      </c>
      <c r="AM3704">
        <v>70.286001195513606</v>
      </c>
      <c r="AN3704">
        <v>0.99999999090928904</v>
      </c>
    </row>
    <row r="3705" spans="1:40" x14ac:dyDescent="0.25">
      <c r="A3705" t="str">
        <f>"20190312173004290"</f>
        <v>20190312173004290</v>
      </c>
      <c r="B3705" t="str">
        <f>"1552383004281830"</f>
        <v>1552383004281830</v>
      </c>
      <c r="C3705" t="s">
        <v>40</v>
      </c>
      <c r="D3705">
        <v>3.4227319999999999</v>
      </c>
      <c r="E3705">
        <v>0.63369249999999999</v>
      </c>
      <c r="F3705" t="s">
        <v>46</v>
      </c>
      <c r="G3705">
        <v>-193.66</v>
      </c>
      <c r="H3705" s="1">
        <v>6.6381250000000001E-6</v>
      </c>
      <c r="I3705">
        <v>200.52440000000001</v>
      </c>
      <c r="J3705">
        <v>-203.43369999999999</v>
      </c>
      <c r="K3705">
        <v>1.104317</v>
      </c>
      <c r="L3705">
        <v>213.64689999999999</v>
      </c>
      <c r="M3705">
        <v>0.96860020000000002</v>
      </c>
      <c r="N3705">
        <v>0</v>
      </c>
      <c r="O3705">
        <v>-0.24830730000000001</v>
      </c>
      <c r="P3705">
        <v>0.82330219999999898</v>
      </c>
      <c r="Q3705">
        <v>0.1076381</v>
      </c>
      <c r="R3705">
        <v>-0.55730419999999903</v>
      </c>
      <c r="S3705">
        <v>1.948593</v>
      </c>
      <c r="T3705">
        <v>-0.21467919999999999</v>
      </c>
      <c r="U3705">
        <v>-2.5645289999999998</v>
      </c>
      <c r="V3705">
        <v>0.3369586</v>
      </c>
      <c r="W3705">
        <v>0.1148984</v>
      </c>
      <c r="X3705">
        <v>0.93448240000000005</v>
      </c>
      <c r="Y3705">
        <v>0.620274199999999</v>
      </c>
      <c r="Z3705">
        <v>-5.8868490000000004E-3</v>
      </c>
      <c r="AA3705">
        <v>0.78436300000000003</v>
      </c>
      <c r="AB3705">
        <v>26</v>
      </c>
      <c r="AC3705">
        <v>9.7736999999999892</v>
      </c>
      <c r="AD3705">
        <v>-1.1043103618750001</v>
      </c>
      <c r="AE3705">
        <v>-13.122499999999899</v>
      </c>
      <c r="AF3705">
        <v>10.2377496812642</v>
      </c>
      <c r="AG3705">
        <v>-1.1043103618750001</v>
      </c>
      <c r="AH3705">
        <v>12.668514541142301</v>
      </c>
      <c r="AI3705">
        <v>93.878633729007802</v>
      </c>
      <c r="AJ3705">
        <v>51.057438563638698</v>
      </c>
      <c r="AK3705">
        <v>16.325510117319499</v>
      </c>
      <c r="AL3705">
        <v>83.402235366112194</v>
      </c>
      <c r="AM3705">
        <v>70.171550904511093</v>
      </c>
      <c r="AN3705">
        <v>1.0000000481731299</v>
      </c>
    </row>
    <row r="3706" spans="1:40" x14ac:dyDescent="0.25">
      <c r="A3706" t="str">
        <f>"20190312173004314"</f>
        <v>20190312173004314</v>
      </c>
      <c r="B3706" t="str">
        <f>"1552383004301346"</f>
        <v>1552383004301346</v>
      </c>
      <c r="C3706" t="s">
        <v>40</v>
      </c>
      <c r="D3706">
        <v>3.422806</v>
      </c>
      <c r="E3706">
        <v>0.63309280000000001</v>
      </c>
      <c r="F3706" t="s">
        <v>46</v>
      </c>
      <c r="G3706">
        <v>-193.60059999999999</v>
      </c>
      <c r="H3706" s="1">
        <v>6.6688920000000004E-6</v>
      </c>
      <c r="I3706">
        <v>200.4821</v>
      </c>
      <c r="J3706">
        <v>-203.17840000000001</v>
      </c>
      <c r="K3706">
        <v>1.104166</v>
      </c>
      <c r="L3706">
        <v>213.57220000000001</v>
      </c>
      <c r="M3706">
        <v>0.96652729999999998</v>
      </c>
      <c r="N3706">
        <v>0</v>
      </c>
      <c r="O3706">
        <v>-0.2562622</v>
      </c>
      <c r="P3706">
        <v>0.81804809999999994</v>
      </c>
      <c r="Q3706">
        <v>0.1077023</v>
      </c>
      <c r="R3706">
        <v>-0.56497569999999997</v>
      </c>
      <c r="S3706">
        <v>1.926361</v>
      </c>
      <c r="T3706">
        <v>-0.2163397</v>
      </c>
      <c r="U3706">
        <v>-2.579056</v>
      </c>
      <c r="V3706">
        <v>0.3380514</v>
      </c>
      <c r="W3706">
        <v>0.1147297</v>
      </c>
      <c r="X3706">
        <v>0.9341083</v>
      </c>
      <c r="Y3706">
        <v>0.62028559999999999</v>
      </c>
      <c r="Z3706">
        <v>-5.3534580000000002E-3</v>
      </c>
      <c r="AA3706">
        <v>0.78435779999999999</v>
      </c>
      <c r="AB3706">
        <v>26</v>
      </c>
      <c r="AC3706">
        <v>9.5778000000000194</v>
      </c>
      <c r="AD3706">
        <v>-1.104159331108</v>
      </c>
      <c r="AE3706">
        <v>-13.0901</v>
      </c>
      <c r="AF3706">
        <v>10.1512574274289</v>
      </c>
      <c r="AG3706">
        <v>-1.104159331108</v>
      </c>
      <c r="AH3706">
        <v>12.554499314131499</v>
      </c>
      <c r="AI3706">
        <v>93.912357774557407</v>
      </c>
      <c r="AJ3706">
        <v>51.041853599416299</v>
      </c>
      <c r="AK3706">
        <v>16.182788641483601</v>
      </c>
      <c r="AL3706">
        <v>83.411965088512503</v>
      </c>
      <c r="AM3706">
        <v>70.104939730597295</v>
      </c>
      <c r="AN3706">
        <v>0.999999984616469</v>
      </c>
    </row>
    <row r="3707" spans="1:40" x14ac:dyDescent="0.25">
      <c r="A3707" t="str">
        <f>"20190312173004335"</f>
        <v>20190312173004335</v>
      </c>
      <c r="B3707" t="str">
        <f>"1552383004331602"</f>
        <v>1552383004331602</v>
      </c>
      <c r="C3707" t="s">
        <v>40</v>
      </c>
      <c r="D3707">
        <v>3.4443049999999999</v>
      </c>
      <c r="E3707">
        <v>0.63224979999999997</v>
      </c>
      <c r="F3707" t="s">
        <v>46</v>
      </c>
      <c r="G3707">
        <v>-193.49539999999999</v>
      </c>
      <c r="H3707" s="1">
        <v>6.7294669999999901E-6</v>
      </c>
      <c r="I3707">
        <v>200.38980000000001</v>
      </c>
      <c r="J3707">
        <v>-202.9307</v>
      </c>
      <c r="K3707">
        <v>1.104023</v>
      </c>
      <c r="L3707">
        <v>213.4974</v>
      </c>
      <c r="M3707">
        <v>0.96439620000000004</v>
      </c>
      <c r="N3707">
        <v>0</v>
      </c>
      <c r="O3707">
        <v>-0.2641732</v>
      </c>
      <c r="P3707">
        <v>0.81260379999999999</v>
      </c>
      <c r="Q3707">
        <v>0.1076941</v>
      </c>
      <c r="R3707">
        <v>-0.57278019999999996</v>
      </c>
      <c r="S3707">
        <v>1.9048609999999999</v>
      </c>
      <c r="T3707">
        <v>-0.2172123</v>
      </c>
      <c r="U3707">
        <v>-2.5932620000000002</v>
      </c>
      <c r="V3707">
        <v>0.33937669999999998</v>
      </c>
      <c r="W3707">
        <v>0.11449380000000001</v>
      </c>
      <c r="X3707">
        <v>0.93365659999999895</v>
      </c>
      <c r="Y3707">
        <v>0.62014169999999902</v>
      </c>
      <c r="Z3707">
        <v>-4.7870070000000002E-3</v>
      </c>
      <c r="AA3707">
        <v>0.78447519999999904</v>
      </c>
      <c r="AB3707">
        <v>26</v>
      </c>
      <c r="AC3707">
        <v>9.4353000000000105</v>
      </c>
      <c r="AD3707">
        <v>-1.1040162705330001</v>
      </c>
      <c r="AE3707">
        <v>-13.1075999999999</v>
      </c>
      <c r="AF3707">
        <v>10.1019347395266</v>
      </c>
      <c r="AG3707">
        <v>-1.1040162705330001</v>
      </c>
      <c r="AH3707">
        <v>12.504569380892899</v>
      </c>
      <c r="AI3707">
        <v>93.928793690833302</v>
      </c>
      <c r="AJ3707">
        <v>51.066660679210301</v>
      </c>
      <c r="AK3707">
        <v>16.113106243329401</v>
      </c>
      <c r="AL3707">
        <v>83.425570992447604</v>
      </c>
      <c r="AM3707">
        <v>70.024199500531495</v>
      </c>
      <c r="AN3707">
        <v>1.00000001073244</v>
      </c>
    </row>
    <row r="3708" spans="1:40" x14ac:dyDescent="0.25">
      <c r="A3708" t="str">
        <f>"20190312173004358"</f>
        <v>20190312173004358</v>
      </c>
      <c r="B3708" t="str">
        <f>"1552383004351122"</f>
        <v>1552383004351122</v>
      </c>
      <c r="C3708" t="s">
        <v>40</v>
      </c>
      <c r="D3708">
        <v>3.4141560000000002</v>
      </c>
      <c r="E3708">
        <v>0.63177320000000003</v>
      </c>
      <c r="F3708" t="s">
        <v>46</v>
      </c>
      <c r="G3708">
        <v>-193.4572</v>
      </c>
      <c r="H3708" s="1">
        <v>6.738026E-6</v>
      </c>
      <c r="I3708">
        <v>200.39439999999999</v>
      </c>
      <c r="J3708">
        <v>-202.6729</v>
      </c>
      <c r="K3708">
        <v>1.103861</v>
      </c>
      <c r="L3708">
        <v>213.4171</v>
      </c>
      <c r="M3708">
        <v>0.96204559999999995</v>
      </c>
      <c r="N3708">
        <v>0</v>
      </c>
      <c r="O3708">
        <v>-0.27261390000000002</v>
      </c>
      <c r="P3708">
        <v>0.80676309999999996</v>
      </c>
      <c r="Q3708">
        <v>0.108055</v>
      </c>
      <c r="R3708">
        <v>-0.58091079999999995</v>
      </c>
      <c r="S3708">
        <v>1.8840939999999999</v>
      </c>
      <c r="T3708">
        <v>-0.21956729999999999</v>
      </c>
      <c r="U3708">
        <v>-2.6059269999999999</v>
      </c>
      <c r="V3708">
        <v>0.3406325</v>
      </c>
      <c r="W3708">
        <v>0.11462079999999999</v>
      </c>
      <c r="X3708">
        <v>0.9331836</v>
      </c>
      <c r="Y3708">
        <v>0.61918399999999996</v>
      </c>
      <c r="Z3708">
        <v>-4.165307E-3</v>
      </c>
      <c r="AA3708">
        <v>0.78523489999999996</v>
      </c>
      <c r="AB3708">
        <v>26</v>
      </c>
      <c r="AC3708">
        <v>9.2156999999999893</v>
      </c>
      <c r="AD3708">
        <v>-1.1038542619739999</v>
      </c>
      <c r="AE3708">
        <v>-13.0227</v>
      </c>
      <c r="AF3708">
        <v>9.96912779858169</v>
      </c>
      <c r="AG3708">
        <v>-1.1038542619739999</v>
      </c>
      <c r="AH3708">
        <v>12.357861204565801</v>
      </c>
      <c r="AI3708">
        <v>93.976944207421596</v>
      </c>
      <c r="AJ3708">
        <v>51.106765728617603</v>
      </c>
      <c r="AK3708">
        <v>15.915989973842199</v>
      </c>
      <c r="AL3708">
        <v>83.418246331430396</v>
      </c>
      <c r="AM3708">
        <v>69.946807929280496</v>
      </c>
      <c r="AN3708">
        <v>1.00000002957892</v>
      </c>
    </row>
    <row r="3709" spans="1:40" x14ac:dyDescent="0.25">
      <c r="A3709" t="str">
        <f>"20190312173004380"</f>
        <v>20190312173004380</v>
      </c>
      <c r="B3709" t="str">
        <f>"1552383004371618"</f>
        <v>1552383004371618</v>
      </c>
      <c r="C3709" t="s">
        <v>40</v>
      </c>
      <c r="D3709">
        <v>3.4414220000000002</v>
      </c>
      <c r="E3709">
        <v>0.63126490000000002</v>
      </c>
      <c r="F3709" t="s">
        <v>46</v>
      </c>
      <c r="G3709">
        <v>-193.309</v>
      </c>
      <c r="H3709" s="1">
        <v>6.8398140000000001E-6</v>
      </c>
      <c r="I3709">
        <v>200.21799999999999</v>
      </c>
      <c r="J3709">
        <v>-202.4349</v>
      </c>
      <c r="K3709">
        <v>1.103702</v>
      </c>
      <c r="L3709">
        <v>213.34039999999999</v>
      </c>
      <c r="M3709">
        <v>0.95974329999999997</v>
      </c>
      <c r="N3709">
        <v>0</v>
      </c>
      <c r="O3709">
        <v>-0.28061409999999998</v>
      </c>
      <c r="P3709">
        <v>0.80119879999999999</v>
      </c>
      <c r="Q3709">
        <v>0.1081356</v>
      </c>
      <c r="R3709">
        <v>-0.58854700000000004</v>
      </c>
      <c r="S3709">
        <v>1.8600620000000001</v>
      </c>
      <c r="T3709">
        <v>-0.21927060000000001</v>
      </c>
      <c r="U3709">
        <v>-2.6218720000000002</v>
      </c>
      <c r="V3709">
        <v>0.34177479999999999</v>
      </c>
      <c r="W3709">
        <v>0.1144867</v>
      </c>
      <c r="X3709">
        <v>0.93278229999999995</v>
      </c>
      <c r="Y3709">
        <v>0.61970419999999904</v>
      </c>
      <c r="Z3709">
        <v>-3.5856199999999999E-3</v>
      </c>
      <c r="AA3709">
        <v>0.78482730000000001</v>
      </c>
      <c r="AB3709">
        <v>26</v>
      </c>
      <c r="AC3709">
        <v>9.1258999999999695</v>
      </c>
      <c r="AD3709">
        <v>-1.1036951601859999</v>
      </c>
      <c r="AE3709">
        <v>-13.122400000000001</v>
      </c>
      <c r="AF3709">
        <v>9.9864085806291101</v>
      </c>
      <c r="AG3709">
        <v>-1.1036951601859999</v>
      </c>
      <c r="AH3709">
        <v>12.3827341350948</v>
      </c>
      <c r="AI3709">
        <v>93.968845802471805</v>
      </c>
      <c r="AJ3709">
        <v>51.114570896305203</v>
      </c>
      <c r="AK3709">
        <v>15.9461156400649</v>
      </c>
      <c r="AL3709">
        <v>83.425980538370894</v>
      </c>
      <c r="AM3709">
        <v>69.876983643645602</v>
      </c>
      <c r="AN3709">
        <v>1.0000000187925999</v>
      </c>
    </row>
    <row r="3710" spans="1:40" x14ac:dyDescent="0.25">
      <c r="A3710" t="str">
        <f>"20190312173004401"</f>
        <v>20190312173004401</v>
      </c>
      <c r="B3710" t="str">
        <f>"1552383004391138"</f>
        <v>1552383004391138</v>
      </c>
      <c r="C3710" t="s">
        <v>40</v>
      </c>
      <c r="D3710">
        <v>3.3966769999999902</v>
      </c>
      <c r="E3710">
        <v>0.63077190000000005</v>
      </c>
      <c r="F3710" t="s">
        <v>46</v>
      </c>
      <c r="G3710">
        <v>-193.1918</v>
      </c>
      <c r="H3710" s="1">
        <v>6.92156899999999E-6</v>
      </c>
      <c r="I3710">
        <v>200.07490000000001</v>
      </c>
      <c r="J3710">
        <v>-202.1866</v>
      </c>
      <c r="K3710">
        <v>1.1035189999999999</v>
      </c>
      <c r="L3710">
        <v>213.2578</v>
      </c>
      <c r="M3710">
        <v>0.95719799999999999</v>
      </c>
      <c r="N3710">
        <v>0</v>
      </c>
      <c r="O3710">
        <v>-0.2891803</v>
      </c>
      <c r="P3710">
        <v>0.79510769999999997</v>
      </c>
      <c r="Q3710">
        <v>0.1086376</v>
      </c>
      <c r="R3710">
        <v>-0.59665939999999995</v>
      </c>
      <c r="S3710">
        <v>1.837143</v>
      </c>
      <c r="T3710">
        <v>-0.2193687</v>
      </c>
      <c r="U3710">
        <v>-2.6366269999999998</v>
      </c>
      <c r="V3710">
        <v>0.34299619999999997</v>
      </c>
      <c r="W3710">
        <v>0.1147591</v>
      </c>
      <c r="X3710">
        <v>0.93230040000000003</v>
      </c>
      <c r="Y3710">
        <v>0.61935969999999996</v>
      </c>
      <c r="Z3710">
        <v>-2.9278419999999999E-3</v>
      </c>
      <c r="AA3710">
        <v>0.78510190000000002</v>
      </c>
      <c r="AB3710">
        <v>26</v>
      </c>
      <c r="AC3710">
        <v>8.9947999999999908</v>
      </c>
      <c r="AD3710">
        <v>-1.103512078431</v>
      </c>
      <c r="AE3710">
        <v>-13.182899999999901</v>
      </c>
      <c r="AF3710">
        <v>9.9705906429149795</v>
      </c>
      <c r="AG3710">
        <v>-1.103512078431</v>
      </c>
      <c r="AH3710">
        <v>12.3638375836568</v>
      </c>
      <c r="AI3710">
        <v>93.974325544497802</v>
      </c>
      <c r="AJ3710">
        <v>51.116194660601899</v>
      </c>
      <c r="AK3710">
        <v>15.9215230575115</v>
      </c>
      <c r="AL3710">
        <v>83.410269759448994</v>
      </c>
      <c r="AM3710">
        <v>69.801275148871895</v>
      </c>
      <c r="AN3710">
        <v>1.0000000400436999</v>
      </c>
    </row>
    <row r="3711" spans="1:40" x14ac:dyDescent="0.25">
      <c r="A3711" t="str">
        <f>"20190312173004425"</f>
        <v>20190312173004425</v>
      </c>
      <c r="B3711" t="str">
        <f>"1552383004411634"</f>
        <v>1552383004411634</v>
      </c>
      <c r="C3711" t="s">
        <v>40</v>
      </c>
      <c r="D3711">
        <v>3.3679700000000001</v>
      </c>
      <c r="E3711">
        <v>0.63024740000000001</v>
      </c>
      <c r="F3711" t="s">
        <v>46</v>
      </c>
      <c r="G3711">
        <v>-192.994</v>
      </c>
      <c r="H3711" s="1">
        <v>7.0701530000000003E-6</v>
      </c>
      <c r="I3711">
        <v>199.80350000000001</v>
      </c>
      <c r="J3711">
        <v>-201.9375</v>
      </c>
      <c r="K3711">
        <v>1.103332</v>
      </c>
      <c r="L3711">
        <v>213.1722</v>
      </c>
      <c r="M3711">
        <v>0.95448239999999995</v>
      </c>
      <c r="N3711">
        <v>0</v>
      </c>
      <c r="O3711">
        <v>-0.29802339999999999</v>
      </c>
      <c r="P3711">
        <v>0.78862569999999999</v>
      </c>
      <c r="Q3711">
        <v>0.11002089999999901</v>
      </c>
      <c r="R3711">
        <v>-0.60495109999999996</v>
      </c>
      <c r="S3711">
        <v>1.812317</v>
      </c>
      <c r="T3711">
        <v>-0.2175571</v>
      </c>
      <c r="U3711">
        <v>-2.6525270000000001</v>
      </c>
      <c r="V3711">
        <v>0.3442635</v>
      </c>
      <c r="W3711">
        <v>0.1159091</v>
      </c>
      <c r="X3711">
        <v>0.93169080000000004</v>
      </c>
      <c r="Y3711">
        <v>0.61932710000000002</v>
      </c>
      <c r="Z3711">
        <v>-2.2410059999999998E-3</v>
      </c>
      <c r="AA3711">
        <v>0.78512979999999999</v>
      </c>
      <c r="AB3711">
        <v>26</v>
      </c>
      <c r="AC3711">
        <v>8.94349999999997</v>
      </c>
      <c r="AD3711">
        <v>-1.103324929847</v>
      </c>
      <c r="AE3711">
        <v>-13.368699999999899</v>
      </c>
      <c r="AF3711">
        <v>10.048269445946</v>
      </c>
      <c r="AG3711">
        <v>-1.103324929847</v>
      </c>
      <c r="AH3711">
        <v>12.4628663682264</v>
      </c>
      <c r="AI3711">
        <v>93.942515424887503</v>
      </c>
      <c r="AJ3711">
        <v>51.122271192268599</v>
      </c>
      <c r="AK3711">
        <v>16.047058386863998</v>
      </c>
      <c r="AL3711">
        <v>83.343936768408796</v>
      </c>
      <c r="AM3711">
        <v>69.720525762665304</v>
      </c>
      <c r="AN3711">
        <v>1.00000001184985</v>
      </c>
    </row>
    <row r="3712" spans="1:40" x14ac:dyDescent="0.25">
      <c r="A3712" t="str">
        <f>"20190312173004446"</f>
        <v>20190312173004446</v>
      </c>
      <c r="B3712" t="str">
        <f>"1552383004441893"</f>
        <v>1552383004441893</v>
      </c>
      <c r="C3712" t="s">
        <v>40</v>
      </c>
      <c r="D3712">
        <v>3.400658</v>
      </c>
      <c r="E3712">
        <v>0.62960169999999904</v>
      </c>
      <c r="F3712" t="s">
        <v>41</v>
      </c>
      <c r="G3712">
        <v>-192.70079999999999</v>
      </c>
      <c r="H3712" s="1">
        <v>-4.6954419999999999E-6</v>
      </c>
      <c r="I3712">
        <v>199.3767</v>
      </c>
      <c r="J3712">
        <v>-201.69040000000001</v>
      </c>
      <c r="K3712">
        <v>1.1031489999999999</v>
      </c>
      <c r="L3712">
        <v>213.08430000000001</v>
      </c>
      <c r="M3712">
        <v>0.95161899999999999</v>
      </c>
      <c r="N3712">
        <v>0</v>
      </c>
      <c r="O3712">
        <v>-0.30704559999999997</v>
      </c>
      <c r="P3712">
        <v>0.78192530000000005</v>
      </c>
      <c r="Q3712">
        <v>0.11072369999999999</v>
      </c>
      <c r="R3712">
        <v>-0.61346009999999995</v>
      </c>
      <c r="S3712">
        <v>1.7867580000000001</v>
      </c>
      <c r="T3712">
        <v>-0.21343210000000001</v>
      </c>
      <c r="U3712">
        <v>-2.668625</v>
      </c>
      <c r="V3712">
        <v>0.34563389999999999</v>
      </c>
      <c r="W3712">
        <v>0.1163903</v>
      </c>
      <c r="X3712">
        <v>0.93112329999999999</v>
      </c>
      <c r="Y3712">
        <v>0.61931859999999905</v>
      </c>
      <c r="Z3712">
        <v>-1.5338140000000001E-3</v>
      </c>
      <c r="AA3712">
        <v>0.78513820000000001</v>
      </c>
      <c r="AB3712">
        <v>26</v>
      </c>
      <c r="AC3712">
        <v>8.9896000000000207</v>
      </c>
      <c r="AD3712">
        <v>-1.103153695442</v>
      </c>
      <c r="AE3712">
        <v>-13.707599999999999</v>
      </c>
      <c r="AF3712">
        <v>10.238568688458001</v>
      </c>
      <c r="AG3712">
        <v>-1.103153695442</v>
      </c>
      <c r="AH3712">
        <v>12.706905829696501</v>
      </c>
      <c r="AI3712">
        <v>93.8673894951514</v>
      </c>
      <c r="AJ3712">
        <v>51.139926400033303</v>
      </c>
      <c r="AK3712">
        <v>16.355754113730601</v>
      </c>
      <c r="AL3712">
        <v>83.316178399208098</v>
      </c>
      <c r="AM3712">
        <v>69.635023770037904</v>
      </c>
      <c r="AN3712">
        <v>1.0000000472830901</v>
      </c>
    </row>
    <row r="3713" spans="1:40" x14ac:dyDescent="0.25">
      <c r="A3713" t="str">
        <f>"20190312173004468"</f>
        <v>20190312173004468</v>
      </c>
      <c r="B3713" t="str">
        <f>"1552383004461062"</f>
        <v>1552383004461062</v>
      </c>
      <c r="C3713" t="s">
        <v>40</v>
      </c>
      <c r="D3713">
        <v>3.4037839999999902</v>
      </c>
      <c r="E3713">
        <v>0.62918249999999998</v>
      </c>
      <c r="F3713" t="s">
        <v>41</v>
      </c>
      <c r="G3713">
        <v>-192.49760000000001</v>
      </c>
      <c r="H3713" s="1">
        <v>-4.5537680000000003E-6</v>
      </c>
      <c r="I3713">
        <v>199.06639999999999</v>
      </c>
      <c r="J3713">
        <v>-201.44319999999999</v>
      </c>
      <c r="K3713">
        <v>1.1029789999999999</v>
      </c>
      <c r="L3713">
        <v>212.99350000000001</v>
      </c>
      <c r="M3713">
        <v>0.94858900000000002</v>
      </c>
      <c r="N3713">
        <v>0</v>
      </c>
      <c r="O3713">
        <v>-0.31628309999999998</v>
      </c>
      <c r="P3713">
        <v>0.7749663</v>
      </c>
      <c r="Q3713">
        <v>0.1111806</v>
      </c>
      <c r="R3713">
        <v>-0.62214669999999905</v>
      </c>
      <c r="S3713">
        <v>1.7604519999999999</v>
      </c>
      <c r="T3713">
        <v>-0.21125749999999999</v>
      </c>
      <c r="U3713">
        <v>-2.6844790000000001</v>
      </c>
      <c r="V3713">
        <v>0.34704770000000001</v>
      </c>
      <c r="W3713">
        <v>0.1166451</v>
      </c>
      <c r="X3713">
        <v>0.93056530000000004</v>
      </c>
      <c r="Y3713">
        <v>0.61922029999999995</v>
      </c>
      <c r="Z3713">
        <v>-8.3794999999999996E-4</v>
      </c>
      <c r="AA3713">
        <v>0.7852169</v>
      </c>
      <c r="AB3713">
        <v>26</v>
      </c>
      <c r="AC3713">
        <v>8.9455999999999793</v>
      </c>
      <c r="AD3713">
        <v>-1.1029835537679999</v>
      </c>
      <c r="AE3713">
        <v>-13.927099999999999</v>
      </c>
      <c r="AF3713">
        <v>10.3366018374942</v>
      </c>
      <c r="AG3713">
        <v>-1.1029835537679999</v>
      </c>
      <c r="AH3713">
        <v>12.834543272188601</v>
      </c>
      <c r="AI3713">
        <v>93.8291541152186</v>
      </c>
      <c r="AJ3713">
        <v>51.152950020904001</v>
      </c>
      <c r="AK3713">
        <v>16.516277161408201</v>
      </c>
      <c r="AL3713">
        <v>83.301478871432806</v>
      </c>
      <c r="AM3713">
        <v>69.547357843331994</v>
      </c>
      <c r="AN3713">
        <v>0.999999981496694</v>
      </c>
    </row>
    <row r="3714" spans="1:40" x14ac:dyDescent="0.25">
      <c r="A3714" t="str">
        <f>"20190312173004492"</f>
        <v>20190312173004492</v>
      </c>
      <c r="B3714" t="str">
        <f>"1552383004481554"</f>
        <v>1552383004481554</v>
      </c>
      <c r="C3714" t="s">
        <v>40</v>
      </c>
      <c r="D3714">
        <v>3.3885800000000001</v>
      </c>
      <c r="E3714">
        <v>0.61980429999999997</v>
      </c>
      <c r="F3714" t="s">
        <v>41</v>
      </c>
      <c r="G3714">
        <v>-192.33670000000001</v>
      </c>
      <c r="H3714" s="1">
        <v>-4.4311919999999998E-6</v>
      </c>
      <c r="I3714">
        <v>198.79</v>
      </c>
      <c r="J3714">
        <v>-201.19110000000001</v>
      </c>
      <c r="K3714">
        <v>1.1028209999999901</v>
      </c>
      <c r="L3714">
        <v>212.89779999999999</v>
      </c>
      <c r="M3714">
        <v>0.94532110000000003</v>
      </c>
      <c r="N3714">
        <v>0</v>
      </c>
      <c r="O3714">
        <v>-0.32592149999999998</v>
      </c>
      <c r="P3714">
        <v>0.76743799999999995</v>
      </c>
      <c r="Q3714">
        <v>0.1122802</v>
      </c>
      <c r="R3714">
        <v>-0.63121519999999898</v>
      </c>
      <c r="S3714">
        <v>1.7322390000000001</v>
      </c>
      <c r="T3714">
        <v>-0.20981</v>
      </c>
      <c r="U3714">
        <v>-2.7017820000000001</v>
      </c>
      <c r="V3714">
        <v>0.34863460000000002</v>
      </c>
      <c r="W3714">
        <v>0.1175486</v>
      </c>
      <c r="X3714">
        <v>0.92985819999999997</v>
      </c>
      <c r="Y3714">
        <v>0.61934929999999999</v>
      </c>
      <c r="Z3714">
        <v>-1.3452019999999999E-4</v>
      </c>
      <c r="AA3714">
        <v>0.78511549999999997</v>
      </c>
      <c r="AB3714">
        <v>26</v>
      </c>
      <c r="AC3714">
        <v>8.8543999999999894</v>
      </c>
      <c r="AD3714">
        <v>-1.1028254311919901</v>
      </c>
      <c r="AE3714">
        <v>-14.1077999999999</v>
      </c>
      <c r="AF3714">
        <v>10.4056926003255</v>
      </c>
      <c r="AG3714">
        <v>-1.1028254311919901</v>
      </c>
      <c r="AH3714">
        <v>12.9126076462887</v>
      </c>
      <c r="AI3714">
        <v>93.804636031687494</v>
      </c>
      <c r="AJ3714">
        <v>51.136213730812202</v>
      </c>
      <c r="AK3714">
        <v>16.620171438680899</v>
      </c>
      <c r="AL3714">
        <v>83.249353762065994</v>
      </c>
      <c r="AM3714">
        <v>69.447316314202993</v>
      </c>
      <c r="AN3714">
        <v>1.00000001489317</v>
      </c>
    </row>
    <row r="3715" spans="1:40" x14ac:dyDescent="0.25">
      <c r="A3715" t="str">
        <f>"20190312173004514"</f>
        <v>20190312173004514</v>
      </c>
      <c r="B3715" t="str">
        <f>"1552383004501074"</f>
        <v>1552383004501074</v>
      </c>
      <c r="C3715" t="s">
        <v>40</v>
      </c>
      <c r="D3715">
        <v>3.454167</v>
      </c>
      <c r="E3715">
        <v>0.62009289999999995</v>
      </c>
      <c r="F3715" t="s">
        <v>41</v>
      </c>
      <c r="G3715">
        <v>-192.4111</v>
      </c>
      <c r="H3715" s="1">
        <v>-4.689795E-6</v>
      </c>
      <c r="I3715">
        <v>199.5112</v>
      </c>
      <c r="J3715">
        <v>-200.9452</v>
      </c>
      <c r="K3715">
        <v>1.1026560000000001</v>
      </c>
      <c r="L3715">
        <v>212.8014</v>
      </c>
      <c r="M3715">
        <v>0.94195050000000002</v>
      </c>
      <c r="N3715">
        <v>0</v>
      </c>
      <c r="O3715">
        <v>-0.33553949999999999</v>
      </c>
      <c r="P3715">
        <v>0.75951369999999996</v>
      </c>
      <c r="Q3715">
        <v>0.1126603</v>
      </c>
      <c r="R3715">
        <v>-0.64066140000000005</v>
      </c>
      <c r="S3715">
        <v>1.748535</v>
      </c>
      <c r="T3715">
        <v>-0.21962770000000001</v>
      </c>
      <c r="U3715">
        <v>-2.6659389999999998</v>
      </c>
      <c r="V3715">
        <v>0.3507324</v>
      </c>
      <c r="W3715">
        <v>0.1177295</v>
      </c>
      <c r="X3715">
        <v>0.92904600000000004</v>
      </c>
      <c r="Y3715">
        <v>0.60307369999999905</v>
      </c>
      <c r="Z3715">
        <v>1.3447909999999999E-3</v>
      </c>
      <c r="AA3715">
        <v>0.79768439999999996</v>
      </c>
      <c r="AB3715">
        <v>26</v>
      </c>
      <c r="AC3715">
        <v>8.5340999999999898</v>
      </c>
      <c r="AD3715">
        <v>-1.10266068979499</v>
      </c>
      <c r="AE3715">
        <v>-13.2902</v>
      </c>
      <c r="AF3715">
        <v>9.6090367847665803</v>
      </c>
      <c r="AG3715">
        <v>-1.10266068979499</v>
      </c>
      <c r="AH3715">
        <v>12.438353310484199</v>
      </c>
      <c r="AI3715">
        <v>94.012956560337003</v>
      </c>
      <c r="AJ3715">
        <v>52.312734321596302</v>
      </c>
      <c r="AK3715">
        <v>15.7563346500463</v>
      </c>
      <c r="AL3715">
        <v>83.2389161165095</v>
      </c>
      <c r="AM3715">
        <v>69.317531801588103</v>
      </c>
      <c r="AN3715">
        <v>0.99999996084800402</v>
      </c>
    </row>
    <row r="3716" spans="1:40" x14ac:dyDescent="0.25">
      <c r="A3716" t="str">
        <f>"20190312173004538"</f>
        <v>20190312173004538</v>
      </c>
      <c r="B3716" t="str">
        <f>"1552383004531330"</f>
        <v>1552383004531330</v>
      </c>
      <c r="C3716" t="s">
        <v>40</v>
      </c>
      <c r="D3716">
        <v>3.3638400000000002</v>
      </c>
      <c r="E3716">
        <v>0.65392209999999995</v>
      </c>
      <c r="F3716" t="s">
        <v>41</v>
      </c>
      <c r="G3716">
        <v>-192.40100000000001</v>
      </c>
      <c r="H3716" s="1">
        <v>-4.6490559999999997E-6</v>
      </c>
      <c r="I3716">
        <v>199.39670000000001</v>
      </c>
      <c r="J3716">
        <v>-200.69579999999999</v>
      </c>
      <c r="K3716">
        <v>1.102484</v>
      </c>
      <c r="L3716">
        <v>212.70050000000001</v>
      </c>
      <c r="M3716">
        <v>0.93833509999999998</v>
      </c>
      <c r="N3716">
        <v>0</v>
      </c>
      <c r="O3716">
        <v>-0.3455222</v>
      </c>
      <c r="P3716">
        <v>0.75123409999999902</v>
      </c>
      <c r="Q3716">
        <v>0.1132705</v>
      </c>
      <c r="R3716">
        <v>-0.65024419999999905</v>
      </c>
      <c r="S3716">
        <v>1.7142029999999999</v>
      </c>
      <c r="T3716">
        <v>-0.22122320000000001</v>
      </c>
      <c r="U3716">
        <v>-2.6893310000000001</v>
      </c>
      <c r="V3716">
        <v>0.3527439</v>
      </c>
      <c r="W3716">
        <v>0.118133</v>
      </c>
      <c r="X3716">
        <v>0.92823290000000003</v>
      </c>
      <c r="Y3716">
        <v>0.60500030000000005</v>
      </c>
      <c r="Z3716">
        <v>2.0424219999999999E-3</v>
      </c>
      <c r="AA3716">
        <v>0.79622269999999995</v>
      </c>
      <c r="AB3716">
        <v>26</v>
      </c>
      <c r="AC3716">
        <v>8.2948000000000093</v>
      </c>
      <c r="AD3716">
        <v>-1.102488649056</v>
      </c>
      <c r="AE3716">
        <v>-13.303799999999899</v>
      </c>
      <c r="AF3716">
        <v>9.5707378713139306</v>
      </c>
      <c r="AG3716">
        <v>-1.102488649056</v>
      </c>
      <c r="AH3716">
        <v>12.320013373422899</v>
      </c>
      <c r="AI3716">
        <v>94.042326015383097</v>
      </c>
      <c r="AJ3716">
        <v>52.158339733533801</v>
      </c>
      <c r="AK3716">
        <v>15.6396046671269</v>
      </c>
      <c r="AL3716">
        <v>83.2156350090725</v>
      </c>
      <c r="AM3716">
        <v>69.192378467951002</v>
      </c>
      <c r="AN3716">
        <v>0.99999999065931</v>
      </c>
    </row>
    <row r="3717" spans="1:40" x14ac:dyDescent="0.25">
      <c r="A3717" t="str">
        <f>"20190312173004558"</f>
        <v>20190312173004558</v>
      </c>
      <c r="B3717" t="str">
        <f>"1552383004551826"</f>
        <v>1552383004551826</v>
      </c>
      <c r="C3717" t="s">
        <v>40</v>
      </c>
      <c r="D3717">
        <v>3.5023939999999998</v>
      </c>
      <c r="E3717">
        <v>0.65542509999999998</v>
      </c>
      <c r="F3717" t="s">
        <v>41</v>
      </c>
      <c r="G3717">
        <v>-192.50729999999999</v>
      </c>
      <c r="H3717" s="1">
        <v>-3.7626089999999998E-6</v>
      </c>
      <c r="I3717">
        <v>196.8047</v>
      </c>
      <c r="J3717">
        <v>-200.46</v>
      </c>
      <c r="K3717">
        <v>1.1023069999999999</v>
      </c>
      <c r="L3717">
        <v>212.602</v>
      </c>
      <c r="M3717">
        <v>0.93472299999999997</v>
      </c>
      <c r="N3717">
        <v>0</v>
      </c>
      <c r="O3717">
        <v>-0.35517840000000001</v>
      </c>
      <c r="P3717">
        <v>0.74314040000000003</v>
      </c>
      <c r="Q3717">
        <v>0.1133707</v>
      </c>
      <c r="R3717">
        <v>-0.65946199999999999</v>
      </c>
      <c r="S3717">
        <v>1.501312</v>
      </c>
      <c r="T3717">
        <v>-0.20213410000000001</v>
      </c>
      <c r="U3717">
        <v>-2.9143829999999999</v>
      </c>
      <c r="V3717">
        <v>0.35468100000000002</v>
      </c>
      <c r="W3717">
        <v>0.11802260000000001</v>
      </c>
      <c r="X3717">
        <v>0.92750849999999996</v>
      </c>
      <c r="Y3717">
        <v>0.66779829999999996</v>
      </c>
      <c r="Z3717">
        <v>-1.6437099999999999E-4</v>
      </c>
      <c r="AA3717">
        <v>0.74434230000000001</v>
      </c>
      <c r="AB3717">
        <v>26</v>
      </c>
      <c r="AC3717">
        <v>7.9527000000000196</v>
      </c>
      <c r="AD3717">
        <v>-1.1023107626090001</v>
      </c>
      <c r="AE3717">
        <v>-15.7973</v>
      </c>
      <c r="AF3717">
        <v>11.8961045853826</v>
      </c>
      <c r="AG3717">
        <v>-1.1023107626090001</v>
      </c>
      <c r="AH3717">
        <v>12.9948732001883</v>
      </c>
      <c r="AI3717">
        <v>93.580232482901295</v>
      </c>
      <c r="AJ3717">
        <v>47.527580908136102</v>
      </c>
      <c r="AK3717">
        <v>17.652170484467199</v>
      </c>
      <c r="AL3717">
        <v>83.222004964758298</v>
      </c>
      <c r="AM3717">
        <v>69.073051630605704</v>
      </c>
      <c r="AN3717">
        <v>0.99999998172200399</v>
      </c>
    </row>
    <row r="3718" spans="1:40" x14ac:dyDescent="0.25">
      <c r="A3718" t="str">
        <f>"20190312173004581"</f>
        <v>20190312173004581</v>
      </c>
      <c r="B3718" t="str">
        <f>"1552383004571346"</f>
        <v>1552383004571346</v>
      </c>
      <c r="C3718" t="s">
        <v>40</v>
      </c>
      <c r="D3718">
        <v>3.5361600000000002</v>
      </c>
      <c r="E3718">
        <v>0.65600249999999904</v>
      </c>
      <c r="F3718" t="s">
        <v>41</v>
      </c>
      <c r="G3718">
        <v>-193.0565</v>
      </c>
      <c r="H3718" s="1">
        <v>-4.1750090000000003E-6</v>
      </c>
      <c r="I3718">
        <v>197.66200000000001</v>
      </c>
      <c r="J3718">
        <v>-200.21520000000001</v>
      </c>
      <c r="K3718">
        <v>1.1021160000000001</v>
      </c>
      <c r="L3718">
        <v>212.4965</v>
      </c>
      <c r="M3718">
        <v>0.93076599999999998</v>
      </c>
      <c r="N3718">
        <v>0</v>
      </c>
      <c r="O3718">
        <v>-0.3654231</v>
      </c>
      <c r="P3718">
        <v>0.73430969999999995</v>
      </c>
      <c r="Q3718">
        <v>0.1134954</v>
      </c>
      <c r="R3718">
        <v>-0.6692593</v>
      </c>
      <c r="S3718">
        <v>1.458405</v>
      </c>
      <c r="T3718">
        <v>-0.21714310000000001</v>
      </c>
      <c r="U3718">
        <v>-2.9430079999999998</v>
      </c>
      <c r="V3718">
        <v>0.35685929999999999</v>
      </c>
      <c r="W3718">
        <v>0.1179166</v>
      </c>
      <c r="X3718">
        <v>0.92668609999999896</v>
      </c>
      <c r="Y3718">
        <v>0.67116189999999998</v>
      </c>
      <c r="Z3718">
        <v>4.4080060000000002E-4</v>
      </c>
      <c r="AA3718">
        <v>0.74131069999999999</v>
      </c>
      <c r="AB3718">
        <v>26</v>
      </c>
      <c r="AC3718">
        <v>7.1586999999999996</v>
      </c>
      <c r="AD3718">
        <v>-1.1021201750089999</v>
      </c>
      <c r="AE3718">
        <v>-14.834499999999901</v>
      </c>
      <c r="AF3718">
        <v>11.142395593680201</v>
      </c>
      <c r="AG3718">
        <v>-1.1021201750089999</v>
      </c>
      <c r="AH3718">
        <v>12.030929981154401</v>
      </c>
      <c r="AI3718">
        <v>93.845090327134301</v>
      </c>
      <c r="AJ3718">
        <v>47.195815335443697</v>
      </c>
      <c r="AK3718">
        <v>16.4350517083965</v>
      </c>
      <c r="AL3718">
        <v>83.228121191510695</v>
      </c>
      <c r="AM3718">
        <v>68.938709382198994</v>
      </c>
      <c r="AN3718">
        <v>1.00000000624262</v>
      </c>
    </row>
    <row r="3719" spans="1:40" x14ac:dyDescent="0.25">
      <c r="A3719" t="str">
        <f>"20190312173004602"</f>
        <v>20190312173004602</v>
      </c>
      <c r="B3719" t="str">
        <f>"1552383004591842"</f>
        <v>1552383004591842</v>
      </c>
      <c r="C3719" t="s">
        <v>40</v>
      </c>
      <c r="D3719">
        <v>3.54948</v>
      </c>
      <c r="E3719">
        <v>0.65620319999999899</v>
      </c>
      <c r="F3719" t="s">
        <v>41</v>
      </c>
      <c r="G3719">
        <v>-193.0787</v>
      </c>
      <c r="H3719" s="1">
        <v>-4.1391690000000003E-6</v>
      </c>
      <c r="I3719">
        <v>197.54519999999999</v>
      </c>
      <c r="J3719">
        <v>-199.97970000000001</v>
      </c>
      <c r="K3719">
        <v>1.1019159999999999</v>
      </c>
      <c r="L3719">
        <v>212.39169999999999</v>
      </c>
      <c r="M3719">
        <v>0.92674520000000005</v>
      </c>
      <c r="N3719">
        <v>0</v>
      </c>
      <c r="O3719">
        <v>-0.3755038</v>
      </c>
      <c r="P3719">
        <v>0.7253503</v>
      </c>
      <c r="Q3719">
        <v>0.11351849999999999</v>
      </c>
      <c r="R3719">
        <v>-0.678956</v>
      </c>
      <c r="S3719">
        <v>1.4158170000000001</v>
      </c>
      <c r="T3719">
        <v>-0.21865000000000001</v>
      </c>
      <c r="U3719">
        <v>-2.966202</v>
      </c>
      <c r="V3719">
        <v>0.35916859999999901</v>
      </c>
      <c r="W3719">
        <v>0.1177092</v>
      </c>
      <c r="X3719">
        <v>0.92581990000000003</v>
      </c>
      <c r="Y3719">
        <v>0.67404549999999996</v>
      </c>
      <c r="Z3719">
        <v>1.078617E-3</v>
      </c>
      <c r="AA3719">
        <v>0.73868900000000004</v>
      </c>
      <c r="AB3719">
        <v>26</v>
      </c>
      <c r="AC3719">
        <v>6.9010000000000096</v>
      </c>
      <c r="AD3719">
        <v>-1.1019201391689999</v>
      </c>
      <c r="AE3719">
        <v>-14.846499999999899</v>
      </c>
      <c r="AF3719">
        <v>11.1179896563151</v>
      </c>
      <c r="AG3719">
        <v>-1.1019201391689999</v>
      </c>
      <c r="AH3719">
        <v>11.917240262110401</v>
      </c>
      <c r="AI3719">
        <v>93.867884602506095</v>
      </c>
      <c r="AJ3719">
        <v>46.987187595193198</v>
      </c>
      <c r="AK3719">
        <v>16.3353768691114</v>
      </c>
      <c r="AL3719">
        <v>83.240087719637501</v>
      </c>
      <c r="AM3719">
        <v>68.796410612491897</v>
      </c>
      <c r="AN3719">
        <v>1.0000000131133</v>
      </c>
    </row>
    <row r="3720" spans="1:40" x14ac:dyDescent="0.25">
      <c r="A3720" t="str">
        <f>"20190312173004626"</f>
        <v>20190312173004626</v>
      </c>
      <c r="B3720" t="str">
        <f>"1552383004621122"</f>
        <v>1552383004621122</v>
      </c>
      <c r="C3720" t="s">
        <v>40</v>
      </c>
      <c r="D3720">
        <v>3.5488149999999998</v>
      </c>
      <c r="E3720">
        <v>0.65541850000000001</v>
      </c>
      <c r="F3720" t="s">
        <v>41</v>
      </c>
      <c r="G3720">
        <v>-193.15469999999999</v>
      </c>
      <c r="H3720" s="1">
        <v>-4.1635299999999996E-6</v>
      </c>
      <c r="I3720">
        <v>197.5771</v>
      </c>
      <c r="J3720">
        <v>-199.73859999999999</v>
      </c>
      <c r="K3720">
        <v>1.101715</v>
      </c>
      <c r="L3720">
        <v>212.2807</v>
      </c>
      <c r="M3720">
        <v>0.92239170000000004</v>
      </c>
      <c r="N3720">
        <v>0</v>
      </c>
      <c r="O3720">
        <v>-0.3860751</v>
      </c>
      <c r="P3720">
        <v>0.71608729999999998</v>
      </c>
      <c r="Q3720">
        <v>0.11340550000000001</v>
      </c>
      <c r="R3720">
        <v>-0.68873689999999999</v>
      </c>
      <c r="S3720">
        <v>1.3756409999999999</v>
      </c>
      <c r="T3720">
        <v>-0.22210369999999999</v>
      </c>
      <c r="U3720">
        <v>-2.9860380000000002</v>
      </c>
      <c r="V3720">
        <v>0.36119410000000002</v>
      </c>
      <c r="W3720">
        <v>0.11736920000000001</v>
      </c>
      <c r="X3720">
        <v>0.92507479999999997</v>
      </c>
      <c r="Y3720">
        <v>0.67566319999999902</v>
      </c>
      <c r="Z3720">
        <v>1.8441810000000001E-3</v>
      </c>
      <c r="AA3720">
        <v>0.73720819999999998</v>
      </c>
      <c r="AB3720">
        <v>26</v>
      </c>
      <c r="AC3720">
        <v>6.5838999999999999</v>
      </c>
      <c r="AD3720">
        <v>-1.1017191635299901</v>
      </c>
      <c r="AE3720">
        <v>-14.7035999999999</v>
      </c>
      <c r="AF3720">
        <v>10.970065139567</v>
      </c>
      <c r="AG3720">
        <v>-1.1017191635299901</v>
      </c>
      <c r="AH3720">
        <v>11.695752067190799</v>
      </c>
      <c r="AI3720">
        <v>93.930363439026394</v>
      </c>
      <c r="AJ3720">
        <v>46.833801067834699</v>
      </c>
      <c r="AK3720">
        <v>16.073168035543901</v>
      </c>
      <c r="AL3720">
        <v>83.259704486255103</v>
      </c>
      <c r="AM3720">
        <v>68.671913428091301</v>
      </c>
      <c r="AN3720">
        <v>1.00000004628924</v>
      </c>
    </row>
    <row r="3721" spans="1:40" x14ac:dyDescent="0.25">
      <c r="A3721" t="str">
        <f>"20190312173004647"</f>
        <v>20190312173004647</v>
      </c>
      <c r="B3721" t="str">
        <f>"1552383004641618"</f>
        <v>1552383004641618</v>
      </c>
      <c r="C3721" t="s">
        <v>40</v>
      </c>
      <c r="D3721">
        <v>3.5595210000000002</v>
      </c>
      <c r="E3721">
        <v>0.65488950000000001</v>
      </c>
      <c r="F3721" t="s">
        <v>41</v>
      </c>
      <c r="G3721">
        <v>-193.17789999999999</v>
      </c>
      <c r="H3721" s="1">
        <v>-4.169834E-6</v>
      </c>
      <c r="I3721">
        <v>197.58349999999999</v>
      </c>
      <c r="J3721">
        <v>-199.49430000000001</v>
      </c>
      <c r="K3721">
        <v>1.1015189999999999</v>
      </c>
      <c r="L3721">
        <v>212.16460000000001</v>
      </c>
      <c r="M3721">
        <v>0.91773059999999995</v>
      </c>
      <c r="N3721">
        <v>0</v>
      </c>
      <c r="O3721">
        <v>-0.39702749999999998</v>
      </c>
      <c r="P3721">
        <v>0.70637519999999998</v>
      </c>
      <c r="Q3721">
        <v>0.1129561</v>
      </c>
      <c r="R3721">
        <v>-0.69876660000000002</v>
      </c>
      <c r="S3721">
        <v>1.33931</v>
      </c>
      <c r="T3721">
        <v>-0.22490840000000001</v>
      </c>
      <c r="U3721">
        <v>-3.0003359999999999</v>
      </c>
      <c r="V3721">
        <v>0.3632456</v>
      </c>
      <c r="W3721">
        <v>0.1166981</v>
      </c>
      <c r="X3721">
        <v>0.92435610000000001</v>
      </c>
      <c r="Y3721">
        <v>0.67563989999999996</v>
      </c>
      <c r="Z3721">
        <v>2.7425739999999998E-3</v>
      </c>
      <c r="AA3721">
        <v>0.73722670000000001</v>
      </c>
      <c r="AB3721">
        <v>26</v>
      </c>
      <c r="AC3721">
        <v>6.3164000000000096</v>
      </c>
      <c r="AD3721">
        <v>-1.101523169834</v>
      </c>
      <c r="AE3721">
        <v>-14.581099999999999</v>
      </c>
      <c r="AF3721">
        <v>10.8224919594648</v>
      </c>
      <c r="AG3721">
        <v>-1.101523169834</v>
      </c>
      <c r="AH3721">
        <v>11.5312500360986</v>
      </c>
      <c r="AI3721">
        <v>93.984391298590495</v>
      </c>
      <c r="AJ3721">
        <v>46.816038078820398</v>
      </c>
      <c r="AK3721">
        <v>15.852741494813699</v>
      </c>
      <c r="AL3721">
        <v>83.298421478817502</v>
      </c>
      <c r="AM3721">
        <v>68.546587918913502</v>
      </c>
      <c r="AN3721">
        <v>1.00000000603509</v>
      </c>
    </row>
    <row r="3722" spans="1:40" x14ac:dyDescent="0.25">
      <c r="A3722" t="str">
        <f>"20190312173004670"</f>
        <v>20190312173004670</v>
      </c>
      <c r="B3722" t="str">
        <f>"1552383004661115"</f>
        <v>1552383004661115</v>
      </c>
      <c r="C3722" t="s">
        <v>40</v>
      </c>
      <c r="D3722">
        <v>3.5622389999999999</v>
      </c>
      <c r="E3722">
        <v>0.65422950000000002</v>
      </c>
      <c r="F3722" t="s">
        <v>41</v>
      </c>
      <c r="G3722">
        <v>-193.15889999999999</v>
      </c>
      <c r="H3722" s="1">
        <v>-4.1237879999999999E-6</v>
      </c>
      <c r="I3722">
        <v>197.4581</v>
      </c>
      <c r="J3722">
        <v>-199.25450000000001</v>
      </c>
      <c r="K3722">
        <v>1.101345</v>
      </c>
      <c r="L3722">
        <v>212.04679999999999</v>
      </c>
      <c r="M3722">
        <v>0.91291409999999995</v>
      </c>
      <c r="N3722">
        <v>0</v>
      </c>
      <c r="O3722">
        <v>-0.40798079999999998</v>
      </c>
      <c r="P3722">
        <v>0.69601550000000001</v>
      </c>
      <c r="Q3722">
        <v>0.1124549</v>
      </c>
      <c r="R3722">
        <v>-0.70916630000000003</v>
      </c>
      <c r="S3722">
        <v>1.299377</v>
      </c>
      <c r="T3722">
        <v>-0.2259207</v>
      </c>
      <c r="U3722">
        <v>-3.0162659999999999</v>
      </c>
      <c r="V3722">
        <v>0.3658999</v>
      </c>
      <c r="W3722">
        <v>0.11597590000000001</v>
      </c>
      <c r="X3722">
        <v>0.92339959999999999</v>
      </c>
      <c r="Y3722">
        <v>0.67647449999999998</v>
      </c>
      <c r="Z3722">
        <v>3.5965670000000002E-3</v>
      </c>
      <c r="AA3722">
        <v>0.73645729999999998</v>
      </c>
      <c r="AB3722">
        <v>26</v>
      </c>
      <c r="AC3722">
        <v>6.0956000000000099</v>
      </c>
      <c r="AD3722">
        <v>-1.101349123788</v>
      </c>
      <c r="AE3722">
        <v>-14.5886999999999</v>
      </c>
      <c r="AF3722">
        <v>10.779792721903499</v>
      </c>
      <c r="AG3722">
        <v>-1.101349123788</v>
      </c>
      <c r="AH3722">
        <v>11.4618575764138</v>
      </c>
      <c r="AI3722">
        <v>94.003905051184404</v>
      </c>
      <c r="AJ3722">
        <v>46.756488105306097</v>
      </c>
      <c r="AK3722">
        <v>15.773112569232101</v>
      </c>
      <c r="AL3722">
        <v>83.340083235087405</v>
      </c>
      <c r="AM3722">
        <v>68.383902499197006</v>
      </c>
      <c r="AN3722">
        <v>0.99999998374048904</v>
      </c>
    </row>
    <row r="3723" spans="1:40" x14ac:dyDescent="0.25">
      <c r="A3723" t="str">
        <f>"20190312173004703"</f>
        <v>20190312173004703</v>
      </c>
      <c r="B3723" t="str">
        <f>"1552383004691367"</f>
        <v>1552383004691367</v>
      </c>
      <c r="C3723" t="s">
        <v>40</v>
      </c>
      <c r="D3723">
        <v>3.5504869999999999</v>
      </c>
      <c r="E3723">
        <v>0.65325829999999996</v>
      </c>
      <c r="F3723" t="s">
        <v>41</v>
      </c>
      <c r="G3723">
        <v>-193.17339999999999</v>
      </c>
      <c r="H3723" s="1">
        <v>-4.1056059999999999E-6</v>
      </c>
      <c r="I3723">
        <v>197.3972</v>
      </c>
      <c r="J3723">
        <v>-198.90549999999999</v>
      </c>
      <c r="K3723">
        <v>1.101094</v>
      </c>
      <c r="L3723">
        <v>211.869</v>
      </c>
      <c r="M3723">
        <v>0.90546230000000005</v>
      </c>
      <c r="N3723">
        <v>0</v>
      </c>
      <c r="O3723">
        <v>-0.42426350000000002</v>
      </c>
      <c r="P3723">
        <v>0.68159789999999998</v>
      </c>
      <c r="Q3723">
        <v>0.1134351</v>
      </c>
      <c r="R3723">
        <v>-0.72288140000000001</v>
      </c>
      <c r="S3723">
        <v>1.258362</v>
      </c>
      <c r="T3723">
        <v>-0.22790070000000001</v>
      </c>
      <c r="U3723">
        <v>-3.0314329999999998</v>
      </c>
      <c r="V3723">
        <v>0.3679016</v>
      </c>
      <c r="W3723">
        <v>0.1166749</v>
      </c>
      <c r="X3723">
        <v>0.9225158</v>
      </c>
      <c r="Y3723">
        <v>0.67310749999999997</v>
      </c>
      <c r="Z3723">
        <v>5.1256619999999996E-3</v>
      </c>
      <c r="AA3723">
        <v>0.73952689999999999</v>
      </c>
      <c r="AB3723">
        <v>26</v>
      </c>
      <c r="AC3723">
        <v>5.7321</v>
      </c>
      <c r="AD3723">
        <v>-1.1010981056060001</v>
      </c>
      <c r="AE3723">
        <v>-14.4718</v>
      </c>
      <c r="AF3723">
        <v>10.6193484969364</v>
      </c>
      <c r="AG3723">
        <v>-1.1010981056060001</v>
      </c>
      <c r="AH3723">
        <v>11.2744245604485</v>
      </c>
      <c r="AI3723">
        <v>94.066480069006502</v>
      </c>
      <c r="AJ3723">
        <v>46.713816031921198</v>
      </c>
      <c r="AK3723">
        <v>15.5272543840435</v>
      </c>
      <c r="AL3723">
        <v>83.299759913264097</v>
      </c>
      <c r="AM3723">
        <v>68.257763333271996</v>
      </c>
      <c r="AN3723">
        <v>1.0000000104111</v>
      </c>
    </row>
    <row r="3724" spans="1:40" x14ac:dyDescent="0.25">
      <c r="A3724" t="str">
        <f>"20190312173004727"</f>
        <v>20190312173004727</v>
      </c>
      <c r="B3724" t="str">
        <f>"1552383004721623"</f>
        <v>1552383004721623</v>
      </c>
      <c r="C3724" t="s">
        <v>40</v>
      </c>
      <c r="D3724">
        <v>3.55084</v>
      </c>
      <c r="E3724">
        <v>0.65219380000000005</v>
      </c>
      <c r="F3724" t="s">
        <v>41</v>
      </c>
      <c r="G3724">
        <v>-193.0771</v>
      </c>
      <c r="H3724" s="1">
        <v>-3.9835629999999999E-6</v>
      </c>
      <c r="I3724">
        <v>197.08869999999999</v>
      </c>
      <c r="J3724">
        <v>-198.6585</v>
      </c>
      <c r="K3724">
        <v>1.100922</v>
      </c>
      <c r="L3724">
        <v>211.73759999999999</v>
      </c>
      <c r="M3724">
        <v>0.89982779999999996</v>
      </c>
      <c r="N3724">
        <v>0</v>
      </c>
      <c r="O3724">
        <v>-0.43608669999999999</v>
      </c>
      <c r="P3724">
        <v>0.67054579999999997</v>
      </c>
      <c r="Q3724">
        <v>0.1139545</v>
      </c>
      <c r="R3724">
        <v>-0.7330643</v>
      </c>
      <c r="S3724">
        <v>1.2032320000000001</v>
      </c>
      <c r="T3724">
        <v>-0.2273124</v>
      </c>
      <c r="U3724">
        <v>-3.0512700000000001</v>
      </c>
      <c r="V3724">
        <v>0.36980960000000002</v>
      </c>
      <c r="W3724">
        <v>0.1169761</v>
      </c>
      <c r="X3724">
        <v>0.92171440000000004</v>
      </c>
      <c r="Y3724">
        <v>0.67662529999999999</v>
      </c>
      <c r="Z3724">
        <v>5.9144870000000004E-3</v>
      </c>
      <c r="AA3724">
        <v>0.73630369999999901</v>
      </c>
      <c r="AB3724">
        <v>26</v>
      </c>
      <c r="AC3724">
        <v>5.5814000000000004</v>
      </c>
      <c r="AD3724">
        <v>-1.1009259835630001</v>
      </c>
      <c r="AE3724">
        <v>-14.6488999999999</v>
      </c>
      <c r="AF3724">
        <v>10.6955046894851</v>
      </c>
      <c r="AG3724">
        <v>-1.1009259835630001</v>
      </c>
      <c r="AH3724">
        <v>11.3552726613225</v>
      </c>
      <c r="AI3724">
        <v>94.036993288160602</v>
      </c>
      <c r="AJ3724">
        <v>46.713801070441498</v>
      </c>
      <c r="AK3724">
        <v>15.6380329900235</v>
      </c>
      <c r="AL3724">
        <v>83.282383312122306</v>
      </c>
      <c r="AM3724">
        <v>68.138391408244203</v>
      </c>
      <c r="AN3724">
        <v>0.99999999169536502</v>
      </c>
    </row>
    <row r="3725" spans="1:40" x14ac:dyDescent="0.25">
      <c r="A3725" t="str">
        <f>"20190312173004749"</f>
        <v>20190312173004749</v>
      </c>
      <c r="B3725" t="str">
        <f>"1552383004741143"</f>
        <v>1552383004741143</v>
      </c>
      <c r="C3725" t="s">
        <v>40</v>
      </c>
      <c r="D3725">
        <v>3.5666030000000002</v>
      </c>
      <c r="E3725">
        <v>0.65143329999999999</v>
      </c>
      <c r="F3725" t="s">
        <v>41</v>
      </c>
      <c r="G3725">
        <v>-193.01329999999999</v>
      </c>
      <c r="H3725" s="1">
        <v>-3.8974470000000004E-6</v>
      </c>
      <c r="I3725">
        <v>196.8689</v>
      </c>
      <c r="J3725">
        <v>-198.42320000000001</v>
      </c>
      <c r="K3725">
        <v>1.100743</v>
      </c>
      <c r="L3725">
        <v>211.60839999999999</v>
      </c>
      <c r="M3725">
        <v>0.89417519999999995</v>
      </c>
      <c r="N3725">
        <v>0</v>
      </c>
      <c r="O3725">
        <v>-0.44756319999999999</v>
      </c>
      <c r="P3725">
        <v>0.66038850000000004</v>
      </c>
      <c r="Q3725">
        <v>0.1151664</v>
      </c>
      <c r="R3725">
        <v>-0.74204040000000004</v>
      </c>
      <c r="S3725">
        <v>1.1631769999999999</v>
      </c>
      <c r="T3725">
        <v>-0.2268423</v>
      </c>
      <c r="U3725">
        <v>-3.063644</v>
      </c>
      <c r="V3725">
        <v>0.37061670000000002</v>
      </c>
      <c r="W3725">
        <v>0.11799560000000001</v>
      </c>
      <c r="X3725">
        <v>0.92126019999999997</v>
      </c>
      <c r="Y3725">
        <v>0.67662019999999901</v>
      </c>
      <c r="Z3725">
        <v>6.8534609999999999E-3</v>
      </c>
      <c r="AA3725">
        <v>0.73630030000000002</v>
      </c>
      <c r="AB3725">
        <v>26</v>
      </c>
      <c r="AC3725">
        <v>5.4099000000000199</v>
      </c>
      <c r="AD3725">
        <v>-1.1007468974470001</v>
      </c>
      <c r="AE3725">
        <v>-14.7394999999999</v>
      </c>
      <c r="AF3725">
        <v>10.706542448573099</v>
      </c>
      <c r="AG3725">
        <v>-1.1007468974470001</v>
      </c>
      <c r="AH3725">
        <v>11.379116349398901</v>
      </c>
      <c r="AI3725">
        <v>94.029920395779698</v>
      </c>
      <c r="AJ3725">
        <v>46.744287569836303</v>
      </c>
      <c r="AK3725">
        <v>15.6628855524292</v>
      </c>
      <c r="AL3725">
        <v>83.223563151655199</v>
      </c>
      <c r="AM3725">
        <v>68.0854130722077</v>
      </c>
      <c r="AN3725">
        <v>1.0000000280211401</v>
      </c>
    </row>
    <row r="3726" spans="1:40" x14ac:dyDescent="0.25">
      <c r="A3726" t="str">
        <f>"20190312173004771"</f>
        <v>20190312173004771</v>
      </c>
      <c r="B3726" t="str">
        <f>"1552383004761103"</f>
        <v>1552383004761103</v>
      </c>
      <c r="C3726" t="s">
        <v>40</v>
      </c>
      <c r="D3726">
        <v>3.5564490000000002</v>
      </c>
      <c r="E3726">
        <v>0.65069999999999995</v>
      </c>
      <c r="F3726" t="s">
        <v>41</v>
      </c>
      <c r="G3726">
        <v>-192.8817</v>
      </c>
      <c r="H3726" s="1">
        <v>-3.7174990000000002E-6</v>
      </c>
      <c r="I3726">
        <v>196.4674</v>
      </c>
      <c r="J3726">
        <v>-198.19329999999999</v>
      </c>
      <c r="K3726">
        <v>1.10057</v>
      </c>
      <c r="L3726">
        <v>211.47819999999999</v>
      </c>
      <c r="M3726">
        <v>0.88837949999999999</v>
      </c>
      <c r="N3726">
        <v>0</v>
      </c>
      <c r="O3726">
        <v>-0.45896019999999998</v>
      </c>
      <c r="P3726">
        <v>0.64999379999999995</v>
      </c>
      <c r="Q3726">
        <v>0.1156343</v>
      </c>
      <c r="R3726">
        <v>-0.75109040000000005</v>
      </c>
      <c r="S3726">
        <v>1.125702</v>
      </c>
      <c r="T3726">
        <v>-0.22360650000000001</v>
      </c>
      <c r="U3726">
        <v>-3.0757599999999998</v>
      </c>
      <c r="V3726">
        <v>0.37165769999999998</v>
      </c>
      <c r="W3726">
        <v>0.11826979999999999</v>
      </c>
      <c r="X3726">
        <v>0.92080550000000005</v>
      </c>
      <c r="Y3726">
        <v>0.67608359999999901</v>
      </c>
      <c r="Z3726">
        <v>7.7159960000000001E-3</v>
      </c>
      <c r="AA3726">
        <v>0.73678449999999995</v>
      </c>
      <c r="AB3726">
        <v>26</v>
      </c>
      <c r="AC3726">
        <v>5.3115999999999897</v>
      </c>
      <c r="AD3726">
        <v>-1.100573717499</v>
      </c>
      <c r="AE3726">
        <v>-15.0107999999999</v>
      </c>
      <c r="AF3726">
        <v>10.8464045225126</v>
      </c>
      <c r="AG3726">
        <v>-1.100573717499</v>
      </c>
      <c r="AH3726">
        <v>11.553676706848099</v>
      </c>
      <c r="AI3726">
        <v>93.972775469351603</v>
      </c>
      <c r="AJ3726">
        <v>46.808486855083601</v>
      </c>
      <c r="AK3726">
        <v>15.885313941499501</v>
      </c>
      <c r="AL3726">
        <v>83.207741539400601</v>
      </c>
      <c r="AM3726">
        <v>68.019894798326504</v>
      </c>
      <c r="AN3726">
        <v>0.99999998019578895</v>
      </c>
    </row>
    <row r="3727" spans="1:40" x14ac:dyDescent="0.25">
      <c r="A3727" t="str">
        <f>"20190312173004792"</f>
        <v>20190312173004792</v>
      </c>
      <c r="B3727" t="str">
        <f>"1552383004781599"</f>
        <v>1552383004781599</v>
      </c>
      <c r="C3727" t="s">
        <v>40</v>
      </c>
      <c r="D3727">
        <v>3.5508150000000001</v>
      </c>
      <c r="E3727">
        <v>0.63962600000000003</v>
      </c>
      <c r="F3727" t="s">
        <v>41</v>
      </c>
      <c r="G3727">
        <v>-192.8304</v>
      </c>
      <c r="H3727" s="1">
        <v>-3.6105809999999999E-6</v>
      </c>
      <c r="I3727">
        <v>196.2499</v>
      </c>
      <c r="J3727">
        <v>-197.97049999999999</v>
      </c>
      <c r="K3727">
        <v>1.100393</v>
      </c>
      <c r="L3727">
        <v>211.34800000000001</v>
      </c>
      <c r="M3727">
        <v>0.88248930000000003</v>
      </c>
      <c r="N3727">
        <v>0</v>
      </c>
      <c r="O3727">
        <v>-0.47018670000000001</v>
      </c>
      <c r="P3727">
        <v>0.63983679999999998</v>
      </c>
      <c r="Q3727">
        <v>0.11668439999999999</v>
      </c>
      <c r="R3727">
        <v>-0.75960119999999998</v>
      </c>
      <c r="S3727">
        <v>1.0873409999999999</v>
      </c>
      <c r="T3727">
        <v>-0.2231456</v>
      </c>
      <c r="U3727">
        <v>-3.0875849999999998</v>
      </c>
      <c r="V3727">
        <v>0.37229259999999997</v>
      </c>
      <c r="W3727">
        <v>0.1191391</v>
      </c>
      <c r="X3727">
        <v>0.9204369</v>
      </c>
      <c r="Y3727">
        <v>0.67578669999999996</v>
      </c>
      <c r="Z3727">
        <v>8.6387229999999992E-3</v>
      </c>
      <c r="AA3727">
        <v>0.73704669999999906</v>
      </c>
      <c r="AB3727">
        <v>26</v>
      </c>
      <c r="AC3727">
        <v>5.1400999999999897</v>
      </c>
      <c r="AD3727">
        <v>-1.1003966105809999</v>
      </c>
      <c r="AE3727">
        <v>-15.098099999999899</v>
      </c>
      <c r="AF3727">
        <v>10.8561750322877</v>
      </c>
      <c r="AG3727">
        <v>-1.1003966105809999</v>
      </c>
      <c r="AH3727">
        <v>11.5806801547532</v>
      </c>
      <c r="AI3727">
        <v>93.9655583435907</v>
      </c>
      <c r="AJ3727">
        <v>46.849486773922202</v>
      </c>
      <c r="AK3727">
        <v>15.9116171987306</v>
      </c>
      <c r="AL3727">
        <v>83.157579761408698</v>
      </c>
      <c r="AM3727">
        <v>67.977958524825794</v>
      </c>
      <c r="AN3727">
        <v>0.99999999602258904</v>
      </c>
    </row>
    <row r="3728" spans="1:40" x14ac:dyDescent="0.25">
      <c r="A3728" t="str">
        <f>"20190312173004815"</f>
        <v>20190312173004815</v>
      </c>
      <c r="B3728" t="str">
        <f>"1552383004811856"</f>
        <v>1552383004811856</v>
      </c>
      <c r="C3728" t="s">
        <v>40</v>
      </c>
      <c r="D3728">
        <v>3.5290520000000001</v>
      </c>
      <c r="E3728">
        <v>0.63899399999999995</v>
      </c>
      <c r="F3728" t="s">
        <v>41</v>
      </c>
      <c r="G3728">
        <v>-192.88399999999999</v>
      </c>
      <c r="H3728" s="1">
        <v>-4.07176999999999E-6</v>
      </c>
      <c r="I3728">
        <v>197.4486</v>
      </c>
      <c r="J3728">
        <v>-197.7379</v>
      </c>
      <c r="K3728">
        <v>1.100209</v>
      </c>
      <c r="L3728">
        <v>211.20779999999999</v>
      </c>
      <c r="M3728">
        <v>0.87603310000000001</v>
      </c>
      <c r="N3728">
        <v>0</v>
      </c>
      <c r="O3728">
        <v>-0.48210940000000002</v>
      </c>
      <c r="P3728">
        <v>0.62876379999999998</v>
      </c>
      <c r="Q3728">
        <v>0.1169678</v>
      </c>
      <c r="R3728">
        <v>-0.76874900000000002</v>
      </c>
      <c r="S3728">
        <v>1.1151279999999999</v>
      </c>
      <c r="T3728">
        <v>-0.24124119999999999</v>
      </c>
      <c r="U3728">
        <v>-3.04718</v>
      </c>
      <c r="V3728">
        <v>0.3731681</v>
      </c>
      <c r="W3728">
        <v>0.11922339999999999</v>
      </c>
      <c r="X3728">
        <v>0.92007139999999998</v>
      </c>
      <c r="Y3728">
        <v>0.65655419999999998</v>
      </c>
      <c r="Z3728">
        <v>1.145144E-2</v>
      </c>
      <c r="AA3728">
        <v>0.75419190000000003</v>
      </c>
      <c r="AB3728">
        <v>26</v>
      </c>
      <c r="AC3728">
        <v>4.8538999999999799</v>
      </c>
      <c r="AD3728">
        <v>-1.1002130717700001</v>
      </c>
      <c r="AE3728">
        <v>-13.7591999999999</v>
      </c>
      <c r="AF3728">
        <v>9.65914254878634</v>
      </c>
      <c r="AG3728">
        <v>-1.1002130717700001</v>
      </c>
      <c r="AH3728">
        <v>10.8248072108595</v>
      </c>
      <c r="AI3728">
        <v>94.336787883311999</v>
      </c>
      <c r="AJ3728">
        <v>48.256974983206</v>
      </c>
      <c r="AK3728">
        <v>14.5494314230263</v>
      </c>
      <c r="AL3728">
        <v>83.152715188265603</v>
      </c>
      <c r="AM3728">
        <v>67.923213124134406</v>
      </c>
      <c r="AN3728">
        <v>1.00000001553156</v>
      </c>
    </row>
    <row r="3729" spans="1:40" x14ac:dyDescent="0.25">
      <c r="A3729" t="str">
        <f>"20190312173004838"</f>
        <v>20190312173004838</v>
      </c>
      <c r="B3729" t="str">
        <f>"1552383004831375"</f>
        <v>1552383004831375</v>
      </c>
      <c r="C3729" t="s">
        <v>40</v>
      </c>
      <c r="D3729">
        <v>3.5606949999999902</v>
      </c>
      <c r="E3729">
        <v>0.63816039999999996</v>
      </c>
      <c r="F3729" t="s">
        <v>41</v>
      </c>
      <c r="G3729">
        <v>-192.8065</v>
      </c>
      <c r="H3729" s="1">
        <v>-3.9638720000000004E-6</v>
      </c>
      <c r="I3729">
        <v>197.17189999999999</v>
      </c>
      <c r="J3729">
        <v>-197.5027</v>
      </c>
      <c r="K3729">
        <v>1.1000209999999999</v>
      </c>
      <c r="L3729">
        <v>211.0615</v>
      </c>
      <c r="M3729">
        <v>0.86917069999999996</v>
      </c>
      <c r="N3729">
        <v>0</v>
      </c>
      <c r="O3729">
        <v>-0.49437449999999999</v>
      </c>
      <c r="P3729">
        <v>0.61713359999999995</v>
      </c>
      <c r="Q3729">
        <v>0.1173136</v>
      </c>
      <c r="R3729">
        <v>-0.77806409999999904</v>
      </c>
      <c r="S3729">
        <v>1.074997</v>
      </c>
      <c r="T3729">
        <v>-0.23983779999999999</v>
      </c>
      <c r="U3729">
        <v>-3.059723</v>
      </c>
      <c r="V3729">
        <v>0.37408659999999999</v>
      </c>
      <c r="W3729">
        <v>0.11936960000000001</v>
      </c>
      <c r="X3729">
        <v>0.91967929999999998</v>
      </c>
      <c r="Y3729">
        <v>0.6557501</v>
      </c>
      <c r="Z3729">
        <v>1.2525150000000001E-2</v>
      </c>
      <c r="AA3729">
        <v>0.75487409999999999</v>
      </c>
      <c r="AB3729">
        <v>26</v>
      </c>
      <c r="AC3729">
        <v>4.6962000000000002</v>
      </c>
      <c r="AD3729">
        <v>-1.1000249638720001</v>
      </c>
      <c r="AE3729">
        <v>-13.8896</v>
      </c>
      <c r="AF3729">
        <v>9.6968340364279797</v>
      </c>
      <c r="AG3729">
        <v>-1.1000249638720001</v>
      </c>
      <c r="AH3729">
        <v>10.8879228345178</v>
      </c>
      <c r="AI3729">
        <v>94.314660101699303</v>
      </c>
      <c r="AJ3729">
        <v>48.311593696290899</v>
      </c>
      <c r="AK3729">
        <v>14.6214058455945</v>
      </c>
      <c r="AL3729">
        <v>83.144277845291498</v>
      </c>
      <c r="AM3729">
        <v>67.865589725524799</v>
      </c>
      <c r="AN3729">
        <v>0.999999950276103</v>
      </c>
    </row>
    <row r="3730" spans="1:40" x14ac:dyDescent="0.25">
      <c r="A3730" t="str">
        <f>"20190312173004860"</f>
        <v>20190312173004860</v>
      </c>
      <c r="B3730" t="str">
        <f>"1552383004851875"</f>
        <v>1552383004851875</v>
      </c>
      <c r="C3730" t="s">
        <v>40</v>
      </c>
      <c r="D3730">
        <v>3.5475319999999999</v>
      </c>
      <c r="E3730">
        <v>0.63751829999999998</v>
      </c>
      <c r="F3730" t="s">
        <v>41</v>
      </c>
      <c r="G3730">
        <v>-192.7346</v>
      </c>
      <c r="H3730" s="1">
        <v>-3.8578440000000001E-6</v>
      </c>
      <c r="I3730">
        <v>196.89779999999999</v>
      </c>
      <c r="J3730">
        <v>-197.28030000000001</v>
      </c>
      <c r="K3730">
        <v>1.0998380000000001</v>
      </c>
      <c r="L3730">
        <v>210.9186</v>
      </c>
      <c r="M3730">
        <v>0.86234730000000004</v>
      </c>
      <c r="N3730">
        <v>0</v>
      </c>
      <c r="O3730">
        <v>-0.50618269999999999</v>
      </c>
      <c r="P3730">
        <v>0.60611300000000001</v>
      </c>
      <c r="Q3730">
        <v>0.118073499999999</v>
      </c>
      <c r="R3730">
        <v>-0.78656569999999904</v>
      </c>
      <c r="S3730">
        <v>1.0340119999999999</v>
      </c>
      <c r="T3730">
        <v>-0.2385514</v>
      </c>
      <c r="U3730">
        <v>-3.0715330000000001</v>
      </c>
      <c r="V3730">
        <v>0.3744691</v>
      </c>
      <c r="W3730">
        <v>0.1199524</v>
      </c>
      <c r="X3730">
        <v>0.91944780000000004</v>
      </c>
      <c r="Y3730">
        <v>0.65539919999999996</v>
      </c>
      <c r="Z3730">
        <v>1.353817E-2</v>
      </c>
      <c r="AA3730">
        <v>0.75516139999999998</v>
      </c>
      <c r="AB3730">
        <v>26</v>
      </c>
      <c r="AC3730">
        <v>4.5457000000000098</v>
      </c>
      <c r="AD3730">
        <v>-1.0998418578439999</v>
      </c>
      <c r="AE3730">
        <v>-14.020799999999999</v>
      </c>
      <c r="AF3730">
        <v>9.7362982859650202</v>
      </c>
      <c r="AG3730">
        <v>-1.0998418578439999</v>
      </c>
      <c r="AH3730">
        <v>10.956800174441099</v>
      </c>
      <c r="AI3730">
        <v>94.291164549533505</v>
      </c>
      <c r="AJ3730">
        <v>48.375458072005003</v>
      </c>
      <c r="AK3730">
        <v>14.698864802704501</v>
      </c>
      <c r="AL3730">
        <v>83.110644342256606</v>
      </c>
      <c r="AM3730">
        <v>67.840107617391098</v>
      </c>
      <c r="AN3730">
        <v>0.99999997102270399</v>
      </c>
    </row>
    <row r="3731" spans="1:40" x14ac:dyDescent="0.25">
      <c r="A3731" t="str">
        <f>"20190312173004882"</f>
        <v>20190312173004882</v>
      </c>
      <c r="B3731" t="str">
        <f>"1552383004871898"</f>
        <v>1552383004871898</v>
      </c>
      <c r="C3731" t="s">
        <v>40</v>
      </c>
      <c r="D3731">
        <v>3.4974910000000001</v>
      </c>
      <c r="E3731">
        <v>0.63755919999999999</v>
      </c>
      <c r="F3731" t="s">
        <v>41</v>
      </c>
      <c r="G3731">
        <v>-192.6619</v>
      </c>
      <c r="H3731" s="1">
        <v>-3.7168569999999998E-6</v>
      </c>
      <c r="I3731">
        <v>196.60220000000001</v>
      </c>
      <c r="J3731">
        <v>-197.05770000000001</v>
      </c>
      <c r="K3731">
        <v>1.0996379999999999</v>
      </c>
      <c r="L3731">
        <v>210.77109999999999</v>
      </c>
      <c r="M3731">
        <v>0.85517399999999999</v>
      </c>
      <c r="N3731">
        <v>0</v>
      </c>
      <c r="O3731">
        <v>-0.51821010000000001</v>
      </c>
      <c r="P3731">
        <v>0.59474719999999903</v>
      </c>
      <c r="Q3731">
        <v>0.1191498</v>
      </c>
      <c r="R3731">
        <v>-0.79503429999999997</v>
      </c>
      <c r="S3731">
        <v>0.99461359999999999</v>
      </c>
      <c r="T3731">
        <v>-0.23685800000000001</v>
      </c>
      <c r="U3731">
        <v>-3.0831300000000001</v>
      </c>
      <c r="V3731">
        <v>0.37474750000000001</v>
      </c>
      <c r="W3731">
        <v>0.1208466</v>
      </c>
      <c r="X3731">
        <v>0.91921730000000001</v>
      </c>
      <c r="Y3731">
        <v>0.65441729999999998</v>
      </c>
      <c r="Z3731">
        <v>1.4567210000000001E-2</v>
      </c>
      <c r="AA3731">
        <v>0.75599320000000003</v>
      </c>
      <c r="AB3731">
        <v>26</v>
      </c>
      <c r="AC3731">
        <v>4.3958000000000004</v>
      </c>
      <c r="AD3731">
        <v>-1.0996417168570001</v>
      </c>
      <c r="AE3731">
        <v>-14.168899999999899</v>
      </c>
      <c r="AF3731">
        <v>9.7858274262819194</v>
      </c>
      <c r="AG3731">
        <v>-1.0996417168570001</v>
      </c>
      <c r="AH3731">
        <v>11.0417267347052</v>
      </c>
      <c r="AI3731">
        <v>94.262458872526395</v>
      </c>
      <c r="AJ3731">
        <v>48.450751080442203</v>
      </c>
      <c r="AK3731">
        <v>14.794977512869901</v>
      </c>
      <c r="AL3731">
        <v>83.059035343064494</v>
      </c>
      <c r="AM3731">
        <v>67.820207400624597</v>
      </c>
      <c r="AN3731">
        <v>1.0000000170535499</v>
      </c>
    </row>
    <row r="3732" spans="1:40" x14ac:dyDescent="0.25">
      <c r="A3732" t="str">
        <f>"20190312173004906"</f>
        <v>20190312173004906</v>
      </c>
      <c r="B3732" t="str">
        <f>"1552383004901179"</f>
        <v>1552383004901179</v>
      </c>
      <c r="C3732" t="s">
        <v>40</v>
      </c>
      <c r="D3732">
        <v>3.587513</v>
      </c>
      <c r="E3732">
        <v>0.63734789999999997</v>
      </c>
      <c r="F3732" t="s">
        <v>41</v>
      </c>
      <c r="G3732">
        <v>-192.59909999999999</v>
      </c>
      <c r="H3732" s="1">
        <v>-3.542364E-6</v>
      </c>
      <c r="I3732">
        <v>196.23439999999999</v>
      </c>
      <c r="J3732">
        <v>-196.83590000000001</v>
      </c>
      <c r="K3732">
        <v>1.0994409999999999</v>
      </c>
      <c r="L3732">
        <v>210.619</v>
      </c>
      <c r="M3732">
        <v>0.84765639999999998</v>
      </c>
      <c r="N3732">
        <v>0</v>
      </c>
      <c r="O3732">
        <v>-0.53041740000000004</v>
      </c>
      <c r="P3732">
        <v>0.58259090000000002</v>
      </c>
      <c r="Q3732">
        <v>0.1195586</v>
      </c>
      <c r="R3732">
        <v>-0.80392390000000002</v>
      </c>
      <c r="S3732">
        <v>0.95013429999999999</v>
      </c>
      <c r="T3732">
        <v>-0.23433480000000001</v>
      </c>
      <c r="U3732">
        <v>-3.0977779999999999</v>
      </c>
      <c r="V3732">
        <v>0.37555860000000002</v>
      </c>
      <c r="W3732">
        <v>0.1210572</v>
      </c>
      <c r="X3732">
        <v>0.91885850000000002</v>
      </c>
      <c r="Y3732">
        <v>0.6545318</v>
      </c>
      <c r="Z3732">
        <v>1.5487890000000001E-2</v>
      </c>
      <c r="AA3732">
        <v>0.75587579999999999</v>
      </c>
      <c r="AB3732">
        <v>26</v>
      </c>
      <c r="AC3732">
        <v>4.2368000000000103</v>
      </c>
      <c r="AD3732">
        <v>-1.09944454236399</v>
      </c>
      <c r="AE3732">
        <v>-14.384600000000001</v>
      </c>
      <c r="AF3732">
        <v>9.89341996297936</v>
      </c>
      <c r="AG3732">
        <v>-1.09944454236399</v>
      </c>
      <c r="AH3732">
        <v>11.1619546177286</v>
      </c>
      <c r="AI3732">
        <v>94.215765930959293</v>
      </c>
      <c r="AJ3732">
        <v>48.447762633855397</v>
      </c>
      <c r="AK3732">
        <v>14.9558606490515</v>
      </c>
      <c r="AL3732">
        <v>83.046879667242607</v>
      </c>
      <c r="AM3732">
        <v>67.769036416226996</v>
      </c>
      <c r="AN3732">
        <v>1.00000002536402</v>
      </c>
    </row>
    <row r="3733" spans="1:40" x14ac:dyDescent="0.25">
      <c r="A3733" t="str">
        <f>"20190312173004929"</f>
        <v>20190312173004929</v>
      </c>
      <c r="B3733" t="str">
        <f>"1552383004921675"</f>
        <v>1552383004921675</v>
      </c>
      <c r="C3733" t="s">
        <v>40</v>
      </c>
      <c r="D3733">
        <v>3.5598030000000001</v>
      </c>
      <c r="E3733">
        <v>0.67061199999999999</v>
      </c>
      <c r="F3733" t="s">
        <v>41</v>
      </c>
      <c r="G3733">
        <v>-192.58680000000001</v>
      </c>
      <c r="H3733" s="1">
        <v>-3.439658E-6</v>
      </c>
      <c r="I3733">
        <v>196.0026</v>
      </c>
      <c r="J3733">
        <v>-196.6001</v>
      </c>
      <c r="K3733">
        <v>1.099237</v>
      </c>
      <c r="L3733">
        <v>210.45169999999999</v>
      </c>
      <c r="M3733">
        <v>0.83923930000000002</v>
      </c>
      <c r="N3733">
        <v>0</v>
      </c>
      <c r="O3733">
        <v>-0.54363760000000005</v>
      </c>
      <c r="P3733">
        <v>0.56886769999999998</v>
      </c>
      <c r="Q3733">
        <v>0.120515</v>
      </c>
      <c r="R3733">
        <v>-0.81355159999999904</v>
      </c>
      <c r="S3733">
        <v>0.90441890000000003</v>
      </c>
      <c r="T3733">
        <v>-0.23401459999999999</v>
      </c>
      <c r="U3733">
        <v>-3.1110690000000001</v>
      </c>
      <c r="V3733">
        <v>0.37671209999999999</v>
      </c>
      <c r="W3733">
        <v>0.1217961</v>
      </c>
      <c r="X3733">
        <v>0.91828849999999995</v>
      </c>
      <c r="Y3733">
        <v>0.65381290000000003</v>
      </c>
      <c r="Z3733">
        <v>1.668043E-2</v>
      </c>
      <c r="AA3733">
        <v>0.75647240000000004</v>
      </c>
      <c r="AB3733">
        <v>26</v>
      </c>
      <c r="AC3733">
        <v>4.0132999999999797</v>
      </c>
      <c r="AD3733">
        <v>-1.099240439658</v>
      </c>
      <c r="AE3733">
        <v>-14.4490999999999</v>
      </c>
      <c r="AF3733">
        <v>9.8919947489570106</v>
      </c>
      <c r="AG3733">
        <v>-1.099240439658</v>
      </c>
      <c r="AH3733">
        <v>11.163968267653701</v>
      </c>
      <c r="AI3733">
        <v>94.214827957852904</v>
      </c>
      <c r="AJ3733">
        <v>48.456990139384402</v>
      </c>
      <c r="AK3733">
        <v>14.956405889743399</v>
      </c>
      <c r="AL3733">
        <v>83.004228264344704</v>
      </c>
      <c r="AM3733">
        <v>67.694950839495107</v>
      </c>
      <c r="AN3733">
        <v>1.0000000327469301</v>
      </c>
    </row>
    <row r="3734" spans="1:40" x14ac:dyDescent="0.25">
      <c r="A3734" t="str">
        <f>"20190312173004950"</f>
        <v>20190312173004950</v>
      </c>
      <c r="B3734" t="str">
        <f>"1552383004941195"</f>
        <v>1552383004941195</v>
      </c>
      <c r="C3734" t="s">
        <v>40</v>
      </c>
      <c r="D3734">
        <v>3.5673539999999999</v>
      </c>
      <c r="E3734">
        <v>0.67312510000000003</v>
      </c>
      <c r="F3734" t="s">
        <v>41</v>
      </c>
      <c r="G3734">
        <v>-193.2328</v>
      </c>
      <c r="H3734" s="1">
        <v>-2.3348149999999999E-6</v>
      </c>
      <c r="I3734">
        <v>193.0265</v>
      </c>
      <c r="J3734">
        <v>-196.38740000000001</v>
      </c>
      <c r="K3734">
        <v>1.0990719999999901</v>
      </c>
      <c r="L3734">
        <v>210.29580000000001</v>
      </c>
      <c r="M3734">
        <v>0.83128040000000003</v>
      </c>
      <c r="N3734">
        <v>0</v>
      </c>
      <c r="O3734">
        <v>-0.55573119999999998</v>
      </c>
      <c r="P3734">
        <v>0.55645069999999996</v>
      </c>
      <c r="Q3734">
        <v>0.1212746</v>
      </c>
      <c r="R3734">
        <v>-0.8219824</v>
      </c>
      <c r="S3734">
        <v>0.63298030000000005</v>
      </c>
      <c r="T3734">
        <v>-0.20663390000000001</v>
      </c>
      <c r="U3734">
        <v>-3.2755580000000002</v>
      </c>
      <c r="V3734">
        <v>0.37733509999999998</v>
      </c>
      <c r="W3734">
        <v>0.1223829</v>
      </c>
      <c r="X3734">
        <v>0.91795459999999995</v>
      </c>
      <c r="Y3734">
        <v>0.71046619999999905</v>
      </c>
      <c r="Z3734">
        <v>1.293647E-2</v>
      </c>
      <c r="AA3734">
        <v>0.70361240000000003</v>
      </c>
      <c r="AB3734">
        <v>26</v>
      </c>
      <c r="AC3734">
        <v>3.1546000000000101</v>
      </c>
      <c r="AD3734">
        <v>-1.0990743348149901</v>
      </c>
      <c r="AE3734">
        <v>-17.269300000000001</v>
      </c>
      <c r="AF3734">
        <v>12.5541681442546</v>
      </c>
      <c r="AG3734">
        <v>-1.0990743348149901</v>
      </c>
      <c r="AH3734">
        <v>12.172562904173599</v>
      </c>
      <c r="AI3734">
        <v>93.596461109243705</v>
      </c>
      <c r="AJ3734">
        <v>44.115829987519803</v>
      </c>
      <c r="AK3734">
        <v>17.521027077307199</v>
      </c>
      <c r="AL3734">
        <v>82.970353456157397</v>
      </c>
      <c r="AM3734">
        <v>67.654360339517197</v>
      </c>
      <c r="AN3734">
        <v>0.99999999978278997</v>
      </c>
    </row>
    <row r="3735" spans="1:40" x14ac:dyDescent="0.25">
      <c r="A3735" t="str">
        <f>"20190312173004971"</f>
        <v>20190312173004971</v>
      </c>
      <c r="B3735" t="str">
        <f>"1552383004961222"</f>
        <v>1552383004961222</v>
      </c>
      <c r="C3735" t="s">
        <v>40</v>
      </c>
      <c r="D3735">
        <v>3.60737</v>
      </c>
      <c r="E3735">
        <v>0.67419209999999996</v>
      </c>
      <c r="F3735" t="s">
        <v>41</v>
      </c>
      <c r="G3735">
        <v>-193.38589999999999</v>
      </c>
      <c r="H3735" s="1">
        <v>-2.2986349999999998E-6</v>
      </c>
      <c r="I3735">
        <v>192.84719999999999</v>
      </c>
      <c r="J3735">
        <v>-196.17490000000001</v>
      </c>
      <c r="K3735">
        <v>1.098902</v>
      </c>
      <c r="L3735">
        <v>210.13509999999999</v>
      </c>
      <c r="M3735">
        <v>0.82296019999999903</v>
      </c>
      <c r="N3735">
        <v>0</v>
      </c>
      <c r="O3735">
        <v>-0.56797959999999903</v>
      </c>
      <c r="P3735">
        <v>0.54431399999999996</v>
      </c>
      <c r="Q3735">
        <v>0.121611</v>
      </c>
      <c r="R3735">
        <v>-0.83002009999999904</v>
      </c>
      <c r="S3735">
        <v>0.56704709999999903</v>
      </c>
      <c r="T3735">
        <v>-0.2076411</v>
      </c>
      <c r="U3735">
        <v>-3.2964479999999998</v>
      </c>
      <c r="V3735">
        <v>0.37724429999999998</v>
      </c>
      <c r="W3735">
        <v>0.1225788</v>
      </c>
      <c r="X3735">
        <v>0.91796580000000005</v>
      </c>
      <c r="Y3735">
        <v>0.71449200000000002</v>
      </c>
      <c r="Z3735">
        <v>1.3767969999999999E-2</v>
      </c>
      <c r="AA3735">
        <v>0.69950809999999997</v>
      </c>
      <c r="AB3735">
        <v>26</v>
      </c>
      <c r="AC3735">
        <v>2.7890000000000099</v>
      </c>
      <c r="AD3735">
        <v>-1.0989042986349999</v>
      </c>
      <c r="AE3735">
        <v>-17.2879</v>
      </c>
      <c r="AF3735">
        <v>12.5944194126592</v>
      </c>
      <c r="AG3735">
        <v>-1.0989042986349999</v>
      </c>
      <c r="AH3735">
        <v>12.067709713183801</v>
      </c>
      <c r="AI3735">
        <v>93.604909063162907</v>
      </c>
      <c r="AJ3735">
        <v>43.776518621540099</v>
      </c>
      <c r="AK3735">
        <v>17.477316977190601</v>
      </c>
      <c r="AL3735">
        <v>82.959044185173596</v>
      </c>
      <c r="AM3735">
        <v>67.659454520005397</v>
      </c>
      <c r="AN3735">
        <v>1.0000000170307799</v>
      </c>
    </row>
    <row r="3736" spans="1:40" x14ac:dyDescent="0.25">
      <c r="A3736" t="str">
        <f>"20190312173004998"</f>
        <v>20190312173004998</v>
      </c>
      <c r="B3736" t="str">
        <f>"1552383004991478"</f>
        <v>1552383004991478</v>
      </c>
      <c r="C3736" t="s">
        <v>40</v>
      </c>
      <c r="D3736">
        <v>3.6176539999999999</v>
      </c>
      <c r="E3736">
        <v>0.67354709999999995</v>
      </c>
      <c r="F3736" t="s">
        <v>41</v>
      </c>
      <c r="G3736">
        <v>-193.46549999999999</v>
      </c>
      <c r="H3736" s="1">
        <v>-2.214195E-6</v>
      </c>
      <c r="I3736">
        <v>192.601</v>
      </c>
      <c r="J3736">
        <v>-195.92959999999999</v>
      </c>
      <c r="K3736">
        <v>1.0987169999999999</v>
      </c>
      <c r="L3736">
        <v>209.94329999999999</v>
      </c>
      <c r="M3736">
        <v>0.8128744</v>
      </c>
      <c r="N3736">
        <v>0</v>
      </c>
      <c r="O3736">
        <v>-0.58232229999999996</v>
      </c>
      <c r="P3736">
        <v>0.53026090000000003</v>
      </c>
      <c r="Q3736">
        <v>0.1222555</v>
      </c>
      <c r="R3736">
        <v>-0.83897409999999994</v>
      </c>
      <c r="S3736">
        <v>0.51136780000000004</v>
      </c>
      <c r="T3736">
        <v>-0.20740939999999999</v>
      </c>
      <c r="U3736">
        <v>-3.309418</v>
      </c>
      <c r="V3736">
        <v>0.3765985</v>
      </c>
      <c r="W3736">
        <v>0.12308810000000001</v>
      </c>
      <c r="X3736">
        <v>0.91816279999999995</v>
      </c>
      <c r="Y3736">
        <v>0.71416359999999901</v>
      </c>
      <c r="Z3736">
        <v>1.4900099999999999E-2</v>
      </c>
      <c r="AA3736">
        <v>0.69982029999999995</v>
      </c>
      <c r="AB3736">
        <v>26</v>
      </c>
      <c r="AC3736">
        <v>2.4641000000000002</v>
      </c>
      <c r="AD3736">
        <v>-1.098719214195</v>
      </c>
      <c r="AE3736">
        <v>-17.342299999999899</v>
      </c>
      <c r="AF3736">
        <v>12.6134456516547</v>
      </c>
      <c r="AG3736">
        <v>-1.098719214195</v>
      </c>
      <c r="AH3736">
        <v>12.055204409662499</v>
      </c>
      <c r="AI3736">
        <v>93.603252713640899</v>
      </c>
      <c r="AJ3736">
        <v>43.703641710494097</v>
      </c>
      <c r="AK3736">
        <v>17.482395387292701</v>
      </c>
      <c r="AL3736">
        <v>82.929640795174507</v>
      </c>
      <c r="AM3736">
        <v>67.698264363537106</v>
      </c>
      <c r="AN3736">
        <v>1.0000000189338401</v>
      </c>
    </row>
    <row r="3737" spans="1:40" x14ac:dyDescent="0.25">
      <c r="A3737" t="str">
        <f>"20190312173005017"</f>
        <v>20190312173005017</v>
      </c>
      <c r="B3737" t="str">
        <f>"1552383005011001"</f>
        <v>1552383005011001</v>
      </c>
      <c r="C3737" t="s">
        <v>40</v>
      </c>
      <c r="D3737">
        <v>3.6215359999999999</v>
      </c>
      <c r="E3737">
        <v>0.67274100000000003</v>
      </c>
      <c r="F3737" t="s">
        <v>41</v>
      </c>
      <c r="G3737">
        <v>-193.423</v>
      </c>
      <c r="H3737" s="1">
        <v>-1.8778799999999999E-6</v>
      </c>
      <c r="I3737">
        <v>191.8434</v>
      </c>
      <c r="J3737">
        <v>-195.74619999999999</v>
      </c>
      <c r="K3737">
        <v>1.0985739999999999</v>
      </c>
      <c r="L3737">
        <v>209.79490000000001</v>
      </c>
      <c r="M3737">
        <v>0.80496650000000003</v>
      </c>
      <c r="N3737">
        <v>0</v>
      </c>
      <c r="O3737">
        <v>-0.59320539999999999</v>
      </c>
      <c r="P3737">
        <v>0.51951440000000004</v>
      </c>
      <c r="Q3737">
        <v>0.12285459999999999</v>
      </c>
      <c r="R3737">
        <v>-0.84558359999999899</v>
      </c>
      <c r="S3737">
        <v>0.45907589999999998</v>
      </c>
      <c r="T3737">
        <v>-0.20122770000000001</v>
      </c>
      <c r="U3737">
        <v>-3.3149410000000001</v>
      </c>
      <c r="V3737">
        <v>0.37594539999999999</v>
      </c>
      <c r="W3737">
        <v>0.12359530000000001</v>
      </c>
      <c r="X3737">
        <v>0.91836229999999996</v>
      </c>
      <c r="Y3737">
        <v>0.71575390000000005</v>
      </c>
      <c r="Z3737">
        <v>1.525434E-2</v>
      </c>
      <c r="AA3737">
        <v>0.69818590000000003</v>
      </c>
      <c r="AB3737">
        <v>27</v>
      </c>
      <c r="AC3737">
        <v>2.3231999999999799</v>
      </c>
      <c r="AD3737">
        <v>-1.0985758778800001</v>
      </c>
      <c r="AE3737">
        <v>-17.951499999999999</v>
      </c>
      <c r="AF3737">
        <v>13.0251358453789</v>
      </c>
      <c r="AG3737">
        <v>-1.0985758778800001</v>
      </c>
      <c r="AH3737">
        <v>12.4739320029572</v>
      </c>
      <c r="AI3737">
        <v>93.485825512001298</v>
      </c>
      <c r="AJ3737">
        <v>43.761651357401</v>
      </c>
      <c r="AK3737">
        <v>18.0682044587844</v>
      </c>
      <c r="AL3737">
        <v>82.900356835630305</v>
      </c>
      <c r="AM3737">
        <v>67.737523877265502</v>
      </c>
      <c r="AN3737">
        <v>1.0000000280122601</v>
      </c>
    </row>
    <row r="3738" spans="1:40" x14ac:dyDescent="0.25">
      <c r="A3738" t="str">
        <f>"20190312173005039"</f>
        <v>20190312173005039</v>
      </c>
      <c r="B3738" t="str">
        <f>"1552383005031493"</f>
        <v>1552383005031493</v>
      </c>
      <c r="C3738" t="s">
        <v>40</v>
      </c>
      <c r="D3738">
        <v>3.6450089999999999</v>
      </c>
      <c r="E3738">
        <v>0.67152060000000002</v>
      </c>
      <c r="F3738" t="s">
        <v>41</v>
      </c>
      <c r="G3738">
        <v>-193.4178</v>
      </c>
      <c r="H3738" s="1">
        <v>-1.7355989999999999E-6</v>
      </c>
      <c r="I3738">
        <v>191.51499999999999</v>
      </c>
      <c r="J3738">
        <v>-195.5367</v>
      </c>
      <c r="K3738">
        <v>1.0984069999999999</v>
      </c>
      <c r="L3738">
        <v>209.62039999999999</v>
      </c>
      <c r="M3738">
        <v>0.79554150000000001</v>
      </c>
      <c r="N3738">
        <v>0</v>
      </c>
      <c r="O3738">
        <v>-0.6057863</v>
      </c>
      <c r="P3738">
        <v>0.50674579999999902</v>
      </c>
      <c r="Q3738">
        <v>0.1227201</v>
      </c>
      <c r="R3738">
        <v>-0.85331639999999997</v>
      </c>
      <c r="S3738">
        <v>0.42253109999999999</v>
      </c>
      <c r="T3738">
        <v>-0.1993576</v>
      </c>
      <c r="U3738">
        <v>-3.3172450000000002</v>
      </c>
      <c r="V3738">
        <v>0.37537110000000001</v>
      </c>
      <c r="W3738">
        <v>0.12335450000000001</v>
      </c>
      <c r="X3738">
        <v>0.91862949999999999</v>
      </c>
      <c r="Y3738">
        <v>0.71241199999999905</v>
      </c>
      <c r="Z3738">
        <v>1.6242690000000001E-2</v>
      </c>
      <c r="AA3738">
        <v>0.70157340000000001</v>
      </c>
      <c r="AB3738">
        <v>27</v>
      </c>
      <c r="AC3738">
        <v>2.1188999999999898</v>
      </c>
      <c r="AD3738">
        <v>-1.098408735599</v>
      </c>
      <c r="AE3738">
        <v>-18.105399999999999</v>
      </c>
      <c r="AF3738">
        <v>13.073426039538599</v>
      </c>
      <c r="AG3738">
        <v>-1.098408735599</v>
      </c>
      <c r="AH3738">
        <v>12.6087609569744</v>
      </c>
      <c r="AI3738">
        <v>93.460747644257793</v>
      </c>
      <c r="AJ3738">
        <v>43.963466638717797</v>
      </c>
      <c r="AK3738">
        <v>18.196203533480599</v>
      </c>
      <c r="AL3738">
        <v>82.914259686072697</v>
      </c>
      <c r="AM3738">
        <v>67.774055026901706</v>
      </c>
      <c r="AN3738">
        <v>0.99999997682785402</v>
      </c>
    </row>
    <row r="3739" spans="1:40" x14ac:dyDescent="0.25">
      <c r="A3739" t="str">
        <f>"20190312173005062"</f>
        <v>20190312173005062</v>
      </c>
      <c r="B3739" t="str">
        <f>"1552383005051014"</f>
        <v>1552383005051014</v>
      </c>
      <c r="C3739" t="s">
        <v>40</v>
      </c>
      <c r="D3739">
        <v>3.6196820000000001</v>
      </c>
      <c r="E3739">
        <v>0.67018040000000001</v>
      </c>
      <c r="F3739" t="s">
        <v>41</v>
      </c>
      <c r="G3739">
        <v>-193.4462</v>
      </c>
      <c r="H3739" s="1">
        <v>-1.699939E-6</v>
      </c>
      <c r="I3739">
        <v>191.4143</v>
      </c>
      <c r="J3739">
        <v>-195.33029999999999</v>
      </c>
      <c r="K3739">
        <v>1.0982449999999999</v>
      </c>
      <c r="L3739">
        <v>209.4427</v>
      </c>
      <c r="M3739">
        <v>0.78582319999999894</v>
      </c>
      <c r="N3739">
        <v>0</v>
      </c>
      <c r="O3739">
        <v>-0.61834029999999995</v>
      </c>
      <c r="P3739">
        <v>0.49357190000000001</v>
      </c>
      <c r="Q3739">
        <v>0.122713</v>
      </c>
      <c r="R3739">
        <v>-0.86100429999999994</v>
      </c>
      <c r="S3739">
        <v>0.38101200000000002</v>
      </c>
      <c r="T3739">
        <v>-0.2001956</v>
      </c>
      <c r="U3739">
        <v>-3.3182369999999999</v>
      </c>
      <c r="V3739">
        <v>0.3749519</v>
      </c>
      <c r="W3739">
        <v>0.1232399</v>
      </c>
      <c r="X3739">
        <v>0.91881610000000002</v>
      </c>
      <c r="Y3739">
        <v>0.70995520000000001</v>
      </c>
      <c r="Z3739">
        <v>1.7421659999999999E-2</v>
      </c>
      <c r="AA3739">
        <v>0.70403139999999997</v>
      </c>
      <c r="AB3739">
        <v>27</v>
      </c>
      <c r="AC3739">
        <v>1.8840999999999799</v>
      </c>
      <c r="AD3739">
        <v>-1.0982466999389999</v>
      </c>
      <c r="AE3739">
        <v>-18.028400000000001</v>
      </c>
      <c r="AF3739">
        <v>12.955454207112799</v>
      </c>
      <c r="AG3739">
        <v>-1.0982466999389999</v>
      </c>
      <c r="AH3739">
        <v>12.5829317765601</v>
      </c>
      <c r="AI3739">
        <v>93.479873269710893</v>
      </c>
      <c r="AJ3739">
        <v>44.1642992066879</v>
      </c>
      <c r="AK3739">
        <v>18.093648377817299</v>
      </c>
      <c r="AL3739">
        <v>82.920876525443603</v>
      </c>
      <c r="AM3739">
        <v>67.800534821362106</v>
      </c>
      <c r="AN3739">
        <v>1.00000001294241</v>
      </c>
    </row>
    <row r="3740" spans="1:40" x14ac:dyDescent="0.25">
      <c r="A3740" t="str">
        <f>"20190312173005084"</f>
        <v>20190312173005084</v>
      </c>
      <c r="B3740" t="str">
        <f>"1552383005070872"</f>
        <v>1552383005070872</v>
      </c>
      <c r="C3740" t="s">
        <v>40</v>
      </c>
      <c r="D3740">
        <v>3.6324540000000001</v>
      </c>
      <c r="E3740">
        <v>0.66868450000000001</v>
      </c>
      <c r="F3740" t="s">
        <v>41</v>
      </c>
      <c r="G3740">
        <v>-193.48089999999999</v>
      </c>
      <c r="H3740" s="1">
        <v>-1.684074E-6</v>
      </c>
      <c r="I3740">
        <v>191.35579999999999</v>
      </c>
      <c r="J3740">
        <v>-195.13290000000001</v>
      </c>
      <c r="K3740">
        <v>1.098093</v>
      </c>
      <c r="L3740">
        <v>209.2671</v>
      </c>
      <c r="M3740">
        <v>0.77610880000000004</v>
      </c>
      <c r="N3740">
        <v>0</v>
      </c>
      <c r="O3740">
        <v>-0.63048970000000004</v>
      </c>
      <c r="P3740">
        <v>0.48071469999999999</v>
      </c>
      <c r="Q3740">
        <v>0.12297279999999999</v>
      </c>
      <c r="R3740">
        <v>-0.86821139999999997</v>
      </c>
      <c r="S3740">
        <v>0.33932499999999999</v>
      </c>
      <c r="T3740">
        <v>-0.20150290000000001</v>
      </c>
      <c r="U3740">
        <v>-3.318527</v>
      </c>
      <c r="V3740">
        <v>0.37434390000000001</v>
      </c>
      <c r="W3740">
        <v>0.1234084</v>
      </c>
      <c r="X3740">
        <v>0.91904129999999995</v>
      </c>
      <c r="Y3740">
        <v>0.70775310000000002</v>
      </c>
      <c r="Z3740">
        <v>1.8619719999999999E-2</v>
      </c>
      <c r="AA3740">
        <v>0.70621440000000002</v>
      </c>
      <c r="AB3740">
        <v>27</v>
      </c>
      <c r="AC3740">
        <v>1.6520000000000099</v>
      </c>
      <c r="AD3740">
        <v>-1.098094684074</v>
      </c>
      <c r="AE3740">
        <v>-17.911300000000001</v>
      </c>
      <c r="AF3740">
        <v>12.8126836635169</v>
      </c>
      <c r="AG3740">
        <v>-1.098094684074</v>
      </c>
      <c r="AH3740">
        <v>12.529193918985699</v>
      </c>
      <c r="AI3740">
        <v>93.506459195176006</v>
      </c>
      <c r="AJ3740">
        <v>44.359081095967099</v>
      </c>
      <c r="AK3740">
        <v>17.954146453008999</v>
      </c>
      <c r="AL3740">
        <v>82.911147473529496</v>
      </c>
      <c r="AM3740">
        <v>67.837949594192295</v>
      </c>
      <c r="AN3740">
        <v>0.99999994988172802</v>
      </c>
    </row>
    <row r="3741" spans="1:40" x14ac:dyDescent="0.25">
      <c r="A3741" t="str">
        <f>"20190312173005106"</f>
        <v>20190312173005106</v>
      </c>
      <c r="B3741" t="str">
        <f>"1552383005101132"</f>
        <v>1552383005101132</v>
      </c>
      <c r="C3741" t="s">
        <v>40</v>
      </c>
      <c r="D3741">
        <v>3.6043850000000002</v>
      </c>
      <c r="E3741">
        <v>0.65409300000000004</v>
      </c>
      <c r="F3741" t="s">
        <v>41</v>
      </c>
      <c r="G3741">
        <v>-193.49440000000001</v>
      </c>
      <c r="H3741" s="1">
        <v>-1.606001E-6</v>
      </c>
      <c r="I3741">
        <v>191.16540000000001</v>
      </c>
      <c r="J3741">
        <v>-194.92580000000001</v>
      </c>
      <c r="K3741">
        <v>1.097936</v>
      </c>
      <c r="L3741">
        <v>209.0761</v>
      </c>
      <c r="M3741">
        <v>0.76543339999999904</v>
      </c>
      <c r="N3741">
        <v>0</v>
      </c>
      <c r="O3741">
        <v>-0.64340750000000002</v>
      </c>
      <c r="P3741">
        <v>0.4662866</v>
      </c>
      <c r="Q3741">
        <v>0.12339849999999999</v>
      </c>
      <c r="R3741">
        <v>-0.87598489999999996</v>
      </c>
      <c r="S3741">
        <v>0.30030820000000003</v>
      </c>
      <c r="T3741">
        <v>-0.20125709999999999</v>
      </c>
      <c r="U3741">
        <v>-3.3176420000000002</v>
      </c>
      <c r="V3741">
        <v>0.37415700000000002</v>
      </c>
      <c r="W3741">
        <v>0.1237311</v>
      </c>
      <c r="X3741">
        <v>0.9190741</v>
      </c>
      <c r="Y3741">
        <v>0.70412869999999905</v>
      </c>
      <c r="Z3741">
        <v>1.980734E-2</v>
      </c>
      <c r="AA3741">
        <v>0.70979599999999998</v>
      </c>
      <c r="AB3741">
        <v>27</v>
      </c>
      <c r="AC3741">
        <v>1.43139999999999</v>
      </c>
      <c r="AD3741">
        <v>-1.097937606001</v>
      </c>
      <c r="AE3741">
        <v>-17.910699999999899</v>
      </c>
      <c r="AF3741">
        <v>12.7417833711061</v>
      </c>
      <c r="AG3741">
        <v>-1.097937606001</v>
      </c>
      <c r="AH3741">
        <v>12.5734458062556</v>
      </c>
      <c r="AI3741">
        <v>93.509781874600705</v>
      </c>
      <c r="AJ3741">
        <v>44.619008393147602</v>
      </c>
      <c r="AK3741">
        <v>17.934604815989498</v>
      </c>
      <c r="AL3741">
        <v>82.892515851716396</v>
      </c>
      <c r="AM3741">
        <v>67.848658243827899</v>
      </c>
      <c r="AN3741">
        <v>1.0000000235235</v>
      </c>
    </row>
    <row r="3742" spans="1:40" x14ac:dyDescent="0.25">
      <c r="A3742" t="str">
        <f>"20190312173005131"</f>
        <v>20190312173005131</v>
      </c>
      <c r="B3742" t="str">
        <f>"1552383005121625"</f>
        <v>1552383005121625</v>
      </c>
      <c r="C3742" t="s">
        <v>40</v>
      </c>
      <c r="D3742">
        <v>3.6744319999999999</v>
      </c>
      <c r="E3742">
        <v>0.65292439999999996</v>
      </c>
      <c r="F3742" t="s">
        <v>41</v>
      </c>
      <c r="G3742">
        <v>-193.1319</v>
      </c>
      <c r="H3742" s="1">
        <v>-1.9753360000000001E-6</v>
      </c>
      <c r="I3742">
        <v>192.25120000000001</v>
      </c>
      <c r="J3742">
        <v>-194.70949999999999</v>
      </c>
      <c r="K3742">
        <v>1.0977889999999999</v>
      </c>
      <c r="L3742">
        <v>208.86940000000001</v>
      </c>
      <c r="M3742">
        <v>0.75376390000000004</v>
      </c>
      <c r="N3742">
        <v>0</v>
      </c>
      <c r="O3742">
        <v>-0.6570395</v>
      </c>
      <c r="P3742">
        <v>0.45072410000000002</v>
      </c>
      <c r="Q3742">
        <v>0.1239499</v>
      </c>
      <c r="R3742">
        <v>-0.88401589999999997</v>
      </c>
      <c r="S3742">
        <v>0.34858699999999998</v>
      </c>
      <c r="T3742">
        <v>-0.2133381</v>
      </c>
      <c r="U3742">
        <v>-3.2692109999999999</v>
      </c>
      <c r="V3742">
        <v>0.37391609999999997</v>
      </c>
      <c r="W3742">
        <v>0.124191</v>
      </c>
      <c r="X3742">
        <v>0.91911010000000004</v>
      </c>
      <c r="Y3742">
        <v>0.67967140000000004</v>
      </c>
      <c r="Z3742">
        <v>2.342462E-2</v>
      </c>
      <c r="AA3742">
        <v>0.73314259999999998</v>
      </c>
      <c r="AB3742">
        <v>27</v>
      </c>
      <c r="AC3742">
        <v>1.5775999999999799</v>
      </c>
      <c r="AD3742">
        <v>-1.097790975336</v>
      </c>
      <c r="AE3742">
        <v>-16.618200000000002</v>
      </c>
      <c r="AF3742">
        <v>11.4409718583876</v>
      </c>
      <c r="AG3742">
        <v>-1.097790975336</v>
      </c>
      <c r="AH3742">
        <v>12.0566501383228</v>
      </c>
      <c r="AI3742">
        <v>93.778800967393096</v>
      </c>
      <c r="AJ3742">
        <v>46.5009049714347</v>
      </c>
      <c r="AK3742">
        <v>16.6572445094579</v>
      </c>
      <c r="AL3742">
        <v>82.865960645247597</v>
      </c>
      <c r="AM3742">
        <v>67.862325584653803</v>
      </c>
      <c r="AN3742">
        <v>1.0000000151211099</v>
      </c>
    </row>
    <row r="3743" spans="1:40" x14ac:dyDescent="0.25">
      <c r="A3743" t="str">
        <f>"20190312173005153"</f>
        <v>20190312173005153</v>
      </c>
      <c r="B3743" t="str">
        <f>"1552383005141145"</f>
        <v>1552383005141145</v>
      </c>
      <c r="C3743" t="s">
        <v>40</v>
      </c>
      <c r="D3743">
        <v>3.6725409999999998</v>
      </c>
      <c r="E3743">
        <v>0.64622590000000002</v>
      </c>
      <c r="F3743" t="s">
        <v>41</v>
      </c>
      <c r="G3743">
        <v>-193.16650000000001</v>
      </c>
      <c r="H3743" s="1">
        <v>-1.8732319999999999E-6</v>
      </c>
      <c r="I3743">
        <v>191.99170000000001</v>
      </c>
      <c r="J3743">
        <v>-194.51390000000001</v>
      </c>
      <c r="K3743">
        <v>1.097672</v>
      </c>
      <c r="L3743">
        <v>208.67609999999999</v>
      </c>
      <c r="M3743">
        <v>0.74274359999999995</v>
      </c>
      <c r="N3743">
        <v>0</v>
      </c>
      <c r="O3743">
        <v>-0.66947159999999994</v>
      </c>
      <c r="P3743">
        <v>0.43620639999999999</v>
      </c>
      <c r="Q3743">
        <v>0.1242275</v>
      </c>
      <c r="R3743">
        <v>-0.89123050000000004</v>
      </c>
      <c r="S3743">
        <v>0.29904170000000002</v>
      </c>
      <c r="T3743">
        <v>-0.212756</v>
      </c>
      <c r="U3743">
        <v>-3.270966</v>
      </c>
      <c r="V3743">
        <v>0.37369200000000002</v>
      </c>
      <c r="W3743">
        <v>0.1243968</v>
      </c>
      <c r="X3743">
        <v>0.91917340000000003</v>
      </c>
      <c r="Y3743">
        <v>0.67853520000000001</v>
      </c>
      <c r="Z3743">
        <v>2.4508950000000002E-2</v>
      </c>
      <c r="AA3743">
        <v>0.73415900000000001</v>
      </c>
      <c r="AB3743">
        <v>27</v>
      </c>
      <c r="AC3743">
        <v>1.3473999999999899</v>
      </c>
      <c r="AD3743">
        <v>-1.0976738732319999</v>
      </c>
      <c r="AE3743">
        <v>-16.684399999999901</v>
      </c>
      <c r="AF3743">
        <v>11.441784580101301</v>
      </c>
      <c r="AG3743">
        <v>-1.0976738732319999</v>
      </c>
      <c r="AH3743">
        <v>12.119238238925499</v>
      </c>
      <c r="AI3743">
        <v>93.767997801855401</v>
      </c>
      <c r="AJ3743">
        <v>46.646980452274597</v>
      </c>
      <c r="AK3743">
        <v>16.7031511338805</v>
      </c>
      <c r="AL3743">
        <v>82.8540769633899</v>
      </c>
      <c r="AM3743">
        <v>67.875689530474105</v>
      </c>
      <c r="AN3743">
        <v>1.0000000069909001</v>
      </c>
    </row>
    <row r="3744" spans="1:40" x14ac:dyDescent="0.25">
      <c r="A3744" t="str">
        <f>"20190312173005173"</f>
        <v>20190312173005173</v>
      </c>
      <c r="B3744" t="str">
        <f>"1552383005161171"</f>
        <v>1552383005161171</v>
      </c>
      <c r="C3744" t="s">
        <v>40</v>
      </c>
      <c r="D3744">
        <v>3.6213760000000002</v>
      </c>
      <c r="E3744">
        <v>0.6429473</v>
      </c>
      <c r="F3744" t="s">
        <v>41</v>
      </c>
      <c r="G3744">
        <v>-193.00470000000001</v>
      </c>
      <c r="H3744" s="1">
        <v>-1.8038E-6</v>
      </c>
      <c r="I3744">
        <v>191.93020000000001</v>
      </c>
      <c r="J3744">
        <v>-194.3415</v>
      </c>
      <c r="K3744">
        <v>1.097572</v>
      </c>
      <c r="L3744">
        <v>208.50020000000001</v>
      </c>
      <c r="M3744">
        <v>0.73263769999999995</v>
      </c>
      <c r="N3744">
        <v>0</v>
      </c>
      <c r="O3744">
        <v>-0.6805156</v>
      </c>
      <c r="P3744">
        <v>0.42379499999999998</v>
      </c>
      <c r="Q3744">
        <v>0.1244912</v>
      </c>
      <c r="R3744">
        <v>-0.89716209999999996</v>
      </c>
      <c r="S3744">
        <v>0.29312129999999997</v>
      </c>
      <c r="T3744">
        <v>-0.21319089999999999</v>
      </c>
      <c r="U3744">
        <v>-3.2523960000000001</v>
      </c>
      <c r="V3744">
        <v>0.372697</v>
      </c>
      <c r="W3744">
        <v>0.1246324</v>
      </c>
      <c r="X3744">
        <v>0.91954539999999996</v>
      </c>
      <c r="Y3744">
        <v>0.66843809999999904</v>
      </c>
      <c r="Z3744">
        <v>2.6053570000000002E-2</v>
      </c>
      <c r="AA3744">
        <v>0.74331130000000001</v>
      </c>
      <c r="AB3744">
        <v>27</v>
      </c>
      <c r="AC3744">
        <v>1.33679999999998</v>
      </c>
      <c r="AD3744">
        <v>-1.0975738038</v>
      </c>
      <c r="AE3744">
        <v>-16.569999999999901</v>
      </c>
      <c r="AF3744">
        <v>11.182137569270701</v>
      </c>
      <c r="AG3744">
        <v>-1.0975738038</v>
      </c>
      <c r="AH3744">
        <v>12.203198766918799</v>
      </c>
      <c r="AI3744">
        <v>93.793838199068105</v>
      </c>
      <c r="AJ3744">
        <v>47.500086477018499</v>
      </c>
      <c r="AK3744">
        <v>16.5880357190902</v>
      </c>
      <c r="AL3744">
        <v>82.840472265897304</v>
      </c>
      <c r="AM3744">
        <v>67.937006508053003</v>
      </c>
      <c r="AN3744">
        <v>1.00000001579995</v>
      </c>
    </row>
    <row r="3745" spans="1:40" x14ac:dyDescent="0.25">
      <c r="A3745" t="str">
        <f>"20190312173005196"</f>
        <v>20190312173005196</v>
      </c>
      <c r="B3745" t="str">
        <f>"1552383005191427"</f>
        <v>1552383005191427</v>
      </c>
      <c r="C3745" t="s">
        <v>40</v>
      </c>
      <c r="D3745">
        <v>3.5955349999999999</v>
      </c>
      <c r="E3745">
        <v>0.64095559999999996</v>
      </c>
      <c r="F3745" t="s">
        <v>41</v>
      </c>
      <c r="G3745">
        <v>-192.92850000000001</v>
      </c>
      <c r="H3745" s="1">
        <v>-1.6417249999999999E-6</v>
      </c>
      <c r="I3745">
        <v>191.59960000000001</v>
      </c>
      <c r="J3745">
        <v>-194.15190000000001</v>
      </c>
      <c r="K3745">
        <v>1.0974729999999999</v>
      </c>
      <c r="L3745">
        <v>208.3005</v>
      </c>
      <c r="M3745">
        <v>0.72108629999999996</v>
      </c>
      <c r="N3745">
        <v>0</v>
      </c>
      <c r="O3745">
        <v>-0.69274360000000001</v>
      </c>
      <c r="P3745">
        <v>0.40932360000000001</v>
      </c>
      <c r="Q3745">
        <v>0.12507689999999999</v>
      </c>
      <c r="R3745">
        <v>-0.90377569999999996</v>
      </c>
      <c r="S3745">
        <v>0.27128600000000003</v>
      </c>
      <c r="T3745">
        <v>-0.21073729999999999</v>
      </c>
      <c r="U3745">
        <v>-3.2449490000000001</v>
      </c>
      <c r="V3745">
        <v>0.37199300000000002</v>
      </c>
      <c r="W3745">
        <v>0.12517980000000001</v>
      </c>
      <c r="X3745">
        <v>0.91975609999999997</v>
      </c>
      <c r="Y3745">
        <v>0.66072399999999998</v>
      </c>
      <c r="Z3745">
        <v>2.7178939999999999E-2</v>
      </c>
      <c r="AA3745">
        <v>0.75013669999999899</v>
      </c>
      <c r="AB3745">
        <v>27</v>
      </c>
      <c r="AC3745">
        <v>1.2233999999999901</v>
      </c>
      <c r="AD3745">
        <v>-1.0974746417250001</v>
      </c>
      <c r="AE3745">
        <v>-16.700899999999901</v>
      </c>
      <c r="AF3745">
        <v>11.148192299583</v>
      </c>
      <c r="AG3745">
        <v>-1.0974746417250001</v>
      </c>
      <c r="AH3745">
        <v>12.399238176641299</v>
      </c>
      <c r="AI3745">
        <v>93.765741943021197</v>
      </c>
      <c r="AJ3745">
        <v>48.041194674600099</v>
      </c>
      <c r="AK3745">
        <v>16.710109200684201</v>
      </c>
      <c r="AL3745">
        <v>82.808861089673997</v>
      </c>
      <c r="AM3745">
        <v>67.979255943269493</v>
      </c>
      <c r="AN3745">
        <v>1.00000002893212</v>
      </c>
    </row>
    <row r="3746" spans="1:40" x14ac:dyDescent="0.25">
      <c r="A3746" t="str">
        <f>"20190312173005218"</f>
        <v>20190312173005218</v>
      </c>
      <c r="B3746" t="str">
        <f>"1552383005210950"</f>
        <v>1552383005210950</v>
      </c>
      <c r="C3746" t="s">
        <v>40</v>
      </c>
      <c r="D3746">
        <v>3.6239249999999998</v>
      </c>
      <c r="E3746">
        <v>0.63916149999999905</v>
      </c>
      <c r="F3746" t="s">
        <v>41</v>
      </c>
      <c r="G3746">
        <v>-192.92519999999999</v>
      </c>
      <c r="H3746" s="1">
        <v>-1.5018529999999999E-6</v>
      </c>
      <c r="I3746">
        <v>191.2757</v>
      </c>
      <c r="J3746">
        <v>-193.95949999999999</v>
      </c>
      <c r="K3746">
        <v>1.0973679999999999</v>
      </c>
      <c r="L3746">
        <v>208.0907</v>
      </c>
      <c r="M3746">
        <v>0.70886280000000002</v>
      </c>
      <c r="N3746">
        <v>0</v>
      </c>
      <c r="O3746">
        <v>-0.70524589999999998</v>
      </c>
      <c r="P3746">
        <v>0.39455750000000001</v>
      </c>
      <c r="Q3746">
        <v>0.12620719999999999</v>
      </c>
      <c r="R3746">
        <v>-0.91016269999999999</v>
      </c>
      <c r="S3746">
        <v>0.23364260000000001</v>
      </c>
      <c r="T3746">
        <v>-0.2090216</v>
      </c>
      <c r="U3746">
        <v>-3.2424930000000001</v>
      </c>
      <c r="V3746">
        <v>0.37083329999999998</v>
      </c>
      <c r="W3746">
        <v>0.1262906</v>
      </c>
      <c r="X3746">
        <v>0.92007249999999996</v>
      </c>
      <c r="Y3746">
        <v>0.65621189999999996</v>
      </c>
      <c r="Z3746">
        <v>2.8256469999999999E-2</v>
      </c>
      <c r="AA3746">
        <v>0.75404749999999998</v>
      </c>
      <c r="AB3746">
        <v>27</v>
      </c>
      <c r="AC3746">
        <v>1.0343</v>
      </c>
      <c r="AD3746">
        <v>-1.0973695018529901</v>
      </c>
      <c r="AE3746">
        <v>-16.814999999999898</v>
      </c>
      <c r="AF3746">
        <v>11.1436031461071</v>
      </c>
      <c r="AG3746">
        <v>-1.0973695018529901</v>
      </c>
      <c r="AH3746">
        <v>12.5395738755563</v>
      </c>
      <c r="AI3746">
        <v>93.742649052228401</v>
      </c>
      <c r="AJ3746">
        <v>48.3733140590925</v>
      </c>
      <c r="AK3746">
        <v>16.8114551387457</v>
      </c>
      <c r="AL3746">
        <v>82.744707803264404</v>
      </c>
      <c r="AM3746">
        <v>68.048203663911096</v>
      </c>
      <c r="AN3746">
        <v>1.0000000286467401</v>
      </c>
    </row>
    <row r="3747" spans="1:40" x14ac:dyDescent="0.25">
      <c r="A3747" t="str">
        <f>"20190312173005241"</f>
        <v>20190312173005241</v>
      </c>
      <c r="B3747" t="str">
        <f>"1552383005231443"</f>
        <v>1552383005231443</v>
      </c>
      <c r="C3747" t="s">
        <v>40</v>
      </c>
      <c r="D3747">
        <v>3.4923519999999999</v>
      </c>
      <c r="E3747">
        <v>0.63821499999999998</v>
      </c>
      <c r="F3747" t="s">
        <v>41</v>
      </c>
      <c r="G3747">
        <v>-192.94380000000001</v>
      </c>
      <c r="H3747" s="1">
        <v>-1.4709059999999999E-6</v>
      </c>
      <c r="I3747">
        <v>191.19200000000001</v>
      </c>
      <c r="J3747">
        <v>-193.7782</v>
      </c>
      <c r="K3747">
        <v>1.09728</v>
      </c>
      <c r="L3747">
        <v>207.886</v>
      </c>
      <c r="M3747">
        <v>0.69686009999999998</v>
      </c>
      <c r="N3747">
        <v>0</v>
      </c>
      <c r="O3747">
        <v>-0.71710810000000003</v>
      </c>
      <c r="P3747">
        <v>0.38046570000000002</v>
      </c>
      <c r="Q3747">
        <v>0.12684200000000001</v>
      </c>
      <c r="R3747">
        <v>-0.91605530000000002</v>
      </c>
      <c r="S3747">
        <v>0.19479369999999999</v>
      </c>
      <c r="T3747">
        <v>-0.21045459999999999</v>
      </c>
      <c r="U3747">
        <v>-3.2408600000000001</v>
      </c>
      <c r="V3747">
        <v>0.36948710000000001</v>
      </c>
      <c r="W3747">
        <v>0.12691920000000001</v>
      </c>
      <c r="X3747">
        <v>0.92052750000000005</v>
      </c>
      <c r="Y3747">
        <v>0.65245059999999999</v>
      </c>
      <c r="Z3747">
        <v>2.9671400000000001E-2</v>
      </c>
      <c r="AA3747">
        <v>0.75725019999999998</v>
      </c>
      <c r="AB3747">
        <v>27</v>
      </c>
      <c r="AC3747">
        <v>0.83439999999998704</v>
      </c>
      <c r="AD3747">
        <v>-1.0972814709059999</v>
      </c>
      <c r="AE3747">
        <v>-16.6939999999999</v>
      </c>
      <c r="AF3747">
        <v>10.988455665926899</v>
      </c>
      <c r="AG3747">
        <v>-1.0972814709059999</v>
      </c>
      <c r="AH3747">
        <v>12.4998850254145</v>
      </c>
      <c r="AI3747">
        <v>93.772054692918999</v>
      </c>
      <c r="AJ3747">
        <v>48.681796646471099</v>
      </c>
      <c r="AK3747">
        <v>16.679247890627899</v>
      </c>
      <c r="AL3747">
        <v>82.708399590294306</v>
      </c>
      <c r="AM3747">
        <v>68.130151329400704</v>
      </c>
      <c r="AN3747">
        <v>1.0000000393256401</v>
      </c>
    </row>
    <row r="3748" spans="1:40" x14ac:dyDescent="0.25">
      <c r="A3748" t="str">
        <f>"20190312173005263"</f>
        <v>20190312173005263</v>
      </c>
      <c r="B3748" t="str">
        <f>"1552383005250963"</f>
        <v>1552383005250963</v>
      </c>
      <c r="C3748" t="s">
        <v>40</v>
      </c>
      <c r="D3748">
        <v>3.5539629999999902</v>
      </c>
      <c r="E3748">
        <v>0.62985480000000005</v>
      </c>
      <c r="F3748" t="s">
        <v>41</v>
      </c>
      <c r="G3748">
        <v>-192.9862</v>
      </c>
      <c r="H3748" s="1">
        <v>-1.394155E-6</v>
      </c>
      <c r="I3748">
        <v>190.98679999999999</v>
      </c>
      <c r="J3748">
        <v>-193.59569999999999</v>
      </c>
      <c r="K3748">
        <v>1.0971930000000001</v>
      </c>
      <c r="L3748">
        <v>207.6728</v>
      </c>
      <c r="M3748">
        <v>0.68428919999999904</v>
      </c>
      <c r="N3748">
        <v>0</v>
      </c>
      <c r="O3748">
        <v>-0.7291126</v>
      </c>
      <c r="P3748">
        <v>0.36560300000000001</v>
      </c>
      <c r="Q3748">
        <v>0.12762299999999999</v>
      </c>
      <c r="R3748">
        <v>-0.92197989999999996</v>
      </c>
      <c r="S3748">
        <v>0.15188599999999999</v>
      </c>
      <c r="T3748">
        <v>-0.21044089999999999</v>
      </c>
      <c r="U3748">
        <v>-3.2409970000000001</v>
      </c>
      <c r="V3748">
        <v>0.3683456</v>
      </c>
      <c r="W3748">
        <v>0.1276901</v>
      </c>
      <c r="X3748">
        <v>0.92087830000000004</v>
      </c>
      <c r="Y3748">
        <v>0.64928059999999999</v>
      </c>
      <c r="Z3748">
        <v>3.0873029999999999E-2</v>
      </c>
      <c r="AA3748">
        <v>0.75992209999999905</v>
      </c>
      <c r="AB3748">
        <v>27</v>
      </c>
      <c r="AC3748">
        <v>0.60949999999999704</v>
      </c>
      <c r="AD3748">
        <v>-1.097194394155</v>
      </c>
      <c r="AE3748">
        <v>-16.686</v>
      </c>
      <c r="AF3748">
        <v>10.9272567513397</v>
      </c>
      <c r="AG3748">
        <v>-1.097194394155</v>
      </c>
      <c r="AH3748">
        <v>12.529843585712999</v>
      </c>
      <c r="AI3748">
        <v>93.775777248793702</v>
      </c>
      <c r="AJ3748">
        <v>48.908368772227803</v>
      </c>
      <c r="AK3748">
        <v>16.661505212035799</v>
      </c>
      <c r="AL3748">
        <v>82.663867977466097</v>
      </c>
      <c r="AM3748">
        <v>68.198897316479403</v>
      </c>
      <c r="AN3748">
        <v>1.00000004304412</v>
      </c>
    </row>
    <row r="3749" spans="1:40" x14ac:dyDescent="0.25">
      <c r="A3749" t="str">
        <f>"20190312173005285"</f>
        <v>20190312173005285</v>
      </c>
      <c r="B3749" t="str">
        <f>"1552383005281219"</f>
        <v>1552383005281219</v>
      </c>
      <c r="C3749" t="s">
        <v>40</v>
      </c>
      <c r="D3749">
        <v>3.633219</v>
      </c>
      <c r="E3749">
        <v>0.62892780000000004</v>
      </c>
      <c r="F3749" t="s">
        <v>41</v>
      </c>
      <c r="G3749">
        <v>-192.78149999999999</v>
      </c>
      <c r="H3749" s="1">
        <v>-1.544263E-6</v>
      </c>
      <c r="I3749">
        <v>191.46369999999999</v>
      </c>
      <c r="J3749">
        <v>-193.4256</v>
      </c>
      <c r="K3749">
        <v>1.0971169999999999</v>
      </c>
      <c r="L3749">
        <v>207.4666</v>
      </c>
      <c r="M3749">
        <v>0.67208769999999995</v>
      </c>
      <c r="N3749">
        <v>0</v>
      </c>
      <c r="O3749">
        <v>-0.7403748</v>
      </c>
      <c r="P3749">
        <v>0.351161</v>
      </c>
      <c r="Q3749">
        <v>0.12866859999999999</v>
      </c>
      <c r="R3749">
        <v>-0.92743240000000005</v>
      </c>
      <c r="S3749">
        <v>0.1617432</v>
      </c>
      <c r="T3749">
        <v>-0.2179577</v>
      </c>
      <c r="U3749">
        <v>-3.2199399999999998</v>
      </c>
      <c r="V3749">
        <v>0.36739050000000001</v>
      </c>
      <c r="W3749">
        <v>0.12872620000000001</v>
      </c>
      <c r="X3749">
        <v>0.92111549999999998</v>
      </c>
      <c r="Y3749">
        <v>0.63397729999999997</v>
      </c>
      <c r="Z3749">
        <v>3.3750049999999997E-2</v>
      </c>
      <c r="AA3749">
        <v>0.77261480000000005</v>
      </c>
      <c r="AB3749">
        <v>27</v>
      </c>
      <c r="AC3749">
        <v>0.644100000000008</v>
      </c>
      <c r="AD3749">
        <v>-1.09711854426299</v>
      </c>
      <c r="AE3749">
        <v>-16.0029</v>
      </c>
      <c r="AF3749">
        <v>10.2312030764983</v>
      </c>
      <c r="AG3749">
        <v>-1.09711854426299</v>
      </c>
      <c r="AH3749">
        <v>12.2245514427057</v>
      </c>
      <c r="AI3749">
        <v>93.937085802904406</v>
      </c>
      <c r="AJ3749">
        <v>50.072725406741903</v>
      </c>
      <c r="AK3749">
        <v>15.978762263331699</v>
      </c>
      <c r="AL3749">
        <v>82.604009427143396</v>
      </c>
      <c r="AM3749">
        <v>68.255222605607898</v>
      </c>
      <c r="AN3749">
        <v>0.99999998919847</v>
      </c>
    </row>
    <row r="3750" spans="1:40" x14ac:dyDescent="0.25">
      <c r="A3750" t="str">
        <f>"20190312173005309"</f>
        <v>20190312173005309</v>
      </c>
      <c r="B3750" t="str">
        <f>"1552383005301715"</f>
        <v>1552383005301715</v>
      </c>
      <c r="C3750" t="s">
        <v>40</v>
      </c>
      <c r="D3750">
        <v>3.5793629999999999</v>
      </c>
      <c r="E3750">
        <v>0.64867069999999905</v>
      </c>
      <c r="F3750" t="s">
        <v>41</v>
      </c>
      <c r="G3750">
        <v>-192.82300000000001</v>
      </c>
      <c r="H3750" s="1">
        <v>-1.390214E-6</v>
      </c>
      <c r="I3750">
        <v>191.0788</v>
      </c>
      <c r="J3750">
        <v>-193.24420000000001</v>
      </c>
      <c r="K3750">
        <v>1.097043</v>
      </c>
      <c r="L3750">
        <v>207.23849999999999</v>
      </c>
      <c r="M3750">
        <v>0.65853600000000001</v>
      </c>
      <c r="N3750">
        <v>0</v>
      </c>
      <c r="O3750">
        <v>-0.75245340000000005</v>
      </c>
      <c r="P3750">
        <v>0.33534770000000003</v>
      </c>
      <c r="Q3750">
        <v>0.129369699999999</v>
      </c>
      <c r="R3750">
        <v>-0.93316960000000004</v>
      </c>
      <c r="S3750">
        <v>0.11840820000000001</v>
      </c>
      <c r="T3750">
        <v>-0.21555820000000001</v>
      </c>
      <c r="U3750">
        <v>-3.2198180000000001</v>
      </c>
      <c r="V3750">
        <v>0.36630180000000001</v>
      </c>
      <c r="W3750">
        <v>0.12942600000000001</v>
      </c>
      <c r="X3750">
        <v>0.92145100000000002</v>
      </c>
      <c r="Y3750">
        <v>0.6303223</v>
      </c>
      <c r="Z3750">
        <v>3.4646709999999997E-2</v>
      </c>
      <c r="AA3750">
        <v>0.77556009999999997</v>
      </c>
      <c r="AB3750">
        <v>27</v>
      </c>
      <c r="AC3750">
        <v>0.421200000000027</v>
      </c>
      <c r="AD3750">
        <v>-1.0970443902139999</v>
      </c>
      <c r="AE3750">
        <v>-16.159699999999901</v>
      </c>
      <c r="AF3750">
        <v>10.2782179855806</v>
      </c>
      <c r="AG3750">
        <v>-1.0970443902139999</v>
      </c>
      <c r="AH3750">
        <v>12.380672957721</v>
      </c>
      <c r="AI3750">
        <v>93.900229193210606</v>
      </c>
      <c r="AJ3750">
        <v>50.301136224081802</v>
      </c>
      <c r="AK3750">
        <v>16.128432479297398</v>
      </c>
      <c r="AL3750">
        <v>82.5635758415103</v>
      </c>
      <c r="AM3750">
        <v>68.320835290970805</v>
      </c>
      <c r="AN3750">
        <v>1.0000000217801099</v>
      </c>
    </row>
    <row r="3751" spans="1:40" x14ac:dyDescent="0.25">
      <c r="A3751" t="str">
        <f>"20190312173005332"</f>
        <v>20190312173005332</v>
      </c>
      <c r="B3751" t="str">
        <f>"1552383005321235"</f>
        <v>1552383005321235</v>
      </c>
      <c r="C3751" t="s">
        <v>40</v>
      </c>
      <c r="D3751">
        <v>3.5994190000000001</v>
      </c>
      <c r="E3751">
        <v>0.64994010000000002</v>
      </c>
      <c r="F3751" t="s">
        <v>41</v>
      </c>
      <c r="G3751">
        <v>-193.8021</v>
      </c>
      <c r="H3751" s="1">
        <v>-3.7968050000000001E-6</v>
      </c>
      <c r="I3751">
        <v>186.16200000000001</v>
      </c>
      <c r="J3751">
        <v>-193.06530000000001</v>
      </c>
      <c r="K3751">
        <v>1.096981</v>
      </c>
      <c r="L3751">
        <v>207.0052</v>
      </c>
      <c r="M3751">
        <v>0.64462419999999998</v>
      </c>
      <c r="N3751">
        <v>0</v>
      </c>
      <c r="O3751">
        <v>-0.764405</v>
      </c>
      <c r="P3751">
        <v>0.3193955</v>
      </c>
      <c r="Q3751">
        <v>0.12932630000000001</v>
      </c>
      <c r="R3751">
        <v>-0.93875560000000002</v>
      </c>
      <c r="S3751">
        <v>-8.6547849999999996E-2</v>
      </c>
      <c r="T3751">
        <v>-0.17018320000000001</v>
      </c>
      <c r="U3751">
        <v>-3.2695620000000001</v>
      </c>
      <c r="V3751">
        <v>0.36512519999999998</v>
      </c>
      <c r="W3751">
        <v>0.12939249999999999</v>
      </c>
      <c r="X3751">
        <v>0.92192260000000004</v>
      </c>
      <c r="Y3751">
        <v>0.66453799999999996</v>
      </c>
      <c r="Z3751">
        <v>2.6988850000000002E-2</v>
      </c>
      <c r="AA3751">
        <v>0.74676690000000001</v>
      </c>
      <c r="AB3751">
        <v>27</v>
      </c>
      <c r="AC3751">
        <v>-0.73679999999998802</v>
      </c>
      <c r="AD3751">
        <v>-1.0969847968049999</v>
      </c>
      <c r="AE3751">
        <v>-20.8432</v>
      </c>
      <c r="AF3751">
        <v>13.961632439443401</v>
      </c>
      <c r="AG3751">
        <v>-1.0969847968049999</v>
      </c>
      <c r="AH3751">
        <v>15.4161564440085</v>
      </c>
      <c r="AI3751">
        <v>93.019153940023102</v>
      </c>
      <c r="AJ3751">
        <v>47.8344573619489</v>
      </c>
      <c r="AK3751">
        <v>20.827588327136802</v>
      </c>
      <c r="AL3751">
        <v>82.565511779299399</v>
      </c>
      <c r="AM3751">
        <v>68.394078513480395</v>
      </c>
      <c r="AN3751">
        <v>1.00000005556102</v>
      </c>
    </row>
    <row r="3752" spans="1:40" x14ac:dyDescent="0.25">
      <c r="A3752" t="str">
        <f>"20190312173005354"</f>
        <v>20190312173005354</v>
      </c>
      <c r="B3752" t="str">
        <f>"1552383005341732"</f>
        <v>1552383005341732</v>
      </c>
      <c r="C3752" t="s">
        <v>40</v>
      </c>
      <c r="D3752">
        <v>3.6314299999999999</v>
      </c>
      <c r="E3752">
        <v>0.64912650000000005</v>
      </c>
      <c r="F3752" t="s">
        <v>41</v>
      </c>
      <c r="G3752">
        <v>-194.0693</v>
      </c>
      <c r="H3752" s="1">
        <v>-3.6064030000000002E-6</v>
      </c>
      <c r="I3752">
        <v>185.4718</v>
      </c>
      <c r="J3752">
        <v>-192.90479999999999</v>
      </c>
      <c r="K3752">
        <v>1.0969359999999999</v>
      </c>
      <c r="L3752">
        <v>206.78829999999999</v>
      </c>
      <c r="M3752">
        <v>0.63165090000000002</v>
      </c>
      <c r="N3752">
        <v>0</v>
      </c>
      <c r="O3752">
        <v>-0.77515940000000005</v>
      </c>
      <c r="P3752">
        <v>0.30490050000000002</v>
      </c>
      <c r="Q3752">
        <v>0.1293947</v>
      </c>
      <c r="R3752">
        <v>-0.94355359999999999</v>
      </c>
      <c r="S3752">
        <v>-0.1524963</v>
      </c>
      <c r="T3752">
        <v>-0.16661300000000001</v>
      </c>
      <c r="U3752">
        <v>-3.2705540000000002</v>
      </c>
      <c r="V3752">
        <v>0.36379610000000001</v>
      </c>
      <c r="W3752">
        <v>0.1294833</v>
      </c>
      <c r="X3752">
        <v>0.92243509999999995</v>
      </c>
      <c r="Y3752">
        <v>0.66698119999999905</v>
      </c>
      <c r="Z3752">
        <v>2.713345E-2</v>
      </c>
      <c r="AA3752">
        <v>0.74458040000000003</v>
      </c>
      <c r="AB3752">
        <v>27</v>
      </c>
      <c r="AC3752">
        <v>-1.1645000000000001</v>
      </c>
      <c r="AD3752">
        <v>-1.0969396064029999</v>
      </c>
      <c r="AE3752">
        <v>-21.316499999999898</v>
      </c>
      <c r="AF3752">
        <v>14.3304660665063</v>
      </c>
      <c r="AG3752">
        <v>-1.0969396064029999</v>
      </c>
      <c r="AH3752">
        <v>15.747695676074301</v>
      </c>
      <c r="AI3752">
        <v>92.949196481598605</v>
      </c>
      <c r="AJ3752">
        <v>47.697680245837503</v>
      </c>
      <c r="AK3752">
        <v>21.3203061256079</v>
      </c>
      <c r="AL3752">
        <v>82.560264923930703</v>
      </c>
      <c r="AM3752">
        <v>68.476385167431104</v>
      </c>
      <c r="AN3752">
        <v>1.0000000205330499</v>
      </c>
    </row>
    <row r="3753" spans="1:40" x14ac:dyDescent="0.25">
      <c r="A3753" t="str">
        <f>"20190312173005375"</f>
        <v>20190312173005375</v>
      </c>
      <c r="B3753" t="str">
        <f>"1552383005371520"</f>
        <v>1552383005371520</v>
      </c>
      <c r="C3753" t="s">
        <v>40</v>
      </c>
      <c r="D3753">
        <v>3.6502490000000001</v>
      </c>
      <c r="E3753">
        <v>0.64709259999999902</v>
      </c>
      <c r="F3753" t="s">
        <v>41</v>
      </c>
      <c r="G3753">
        <v>-194.13679999999999</v>
      </c>
      <c r="H3753" s="1">
        <v>-3.891044E-6</v>
      </c>
      <c r="I3753">
        <v>186.2645</v>
      </c>
      <c r="J3753">
        <v>-192.74950000000001</v>
      </c>
      <c r="K3753">
        <v>1.096895</v>
      </c>
      <c r="L3753">
        <v>206.57089999999999</v>
      </c>
      <c r="M3753">
        <v>0.618619699999999</v>
      </c>
      <c r="N3753">
        <v>0</v>
      </c>
      <c r="O3753">
        <v>-0.78559809999999997</v>
      </c>
      <c r="P3753">
        <v>0.290164799999999</v>
      </c>
      <c r="Q3753">
        <v>0.12948570000000001</v>
      </c>
      <c r="R3753">
        <v>-0.94817609999999997</v>
      </c>
      <c r="S3753">
        <v>-0.19609070000000001</v>
      </c>
      <c r="T3753">
        <v>-0.17459959999999999</v>
      </c>
      <c r="U3753">
        <v>-3.266769</v>
      </c>
      <c r="V3753">
        <v>0.36277039999999999</v>
      </c>
      <c r="W3753">
        <v>0.12959010000000001</v>
      </c>
      <c r="X3753">
        <v>0.92282399999999998</v>
      </c>
      <c r="Y3753">
        <v>0.66447409999999996</v>
      </c>
      <c r="Z3753">
        <v>2.9328400000000001E-2</v>
      </c>
      <c r="AA3753">
        <v>0.7467355</v>
      </c>
      <c r="AB3753">
        <v>27</v>
      </c>
      <c r="AC3753">
        <v>-1.38729999999998</v>
      </c>
      <c r="AD3753">
        <v>-1.0968988910439901</v>
      </c>
      <c r="AE3753">
        <v>-20.3064</v>
      </c>
      <c r="AF3753">
        <v>13.613253882007299</v>
      </c>
      <c r="AG3753">
        <v>-1.0968988910439901</v>
      </c>
      <c r="AH3753">
        <v>15.051839406712499</v>
      </c>
      <c r="AI3753">
        <v>93.093729129634298</v>
      </c>
      <c r="AJ3753">
        <v>47.873033877371597</v>
      </c>
      <c r="AK3753">
        <v>20.324412364411</v>
      </c>
      <c r="AL3753">
        <v>82.554093931398697</v>
      </c>
      <c r="AM3753">
        <v>68.539764820731904</v>
      </c>
      <c r="AN3753">
        <v>1.00000004605508</v>
      </c>
    </row>
    <row r="3754" spans="1:40" x14ac:dyDescent="0.25">
      <c r="A3754" t="str">
        <f>"20190312173005397"</f>
        <v>20190312173005397</v>
      </c>
      <c r="B3754" t="str">
        <f>"1552383005391042"</f>
        <v>1552383005391042</v>
      </c>
      <c r="C3754" t="s">
        <v>40</v>
      </c>
      <c r="D3754">
        <v>3.626849</v>
      </c>
      <c r="E3754">
        <v>0.64517919999999995</v>
      </c>
      <c r="F3754" t="s">
        <v>41</v>
      </c>
      <c r="G3754">
        <v>-194.12989999999999</v>
      </c>
      <c r="H3754" s="1">
        <v>-4.1628719999999996E-6</v>
      </c>
      <c r="I3754">
        <v>187.0669</v>
      </c>
      <c r="J3754">
        <v>-192.5926</v>
      </c>
      <c r="K3754">
        <v>1.0968549999999999</v>
      </c>
      <c r="L3754">
        <v>206.3432</v>
      </c>
      <c r="M3754">
        <v>0.60494569999999903</v>
      </c>
      <c r="N3754">
        <v>0</v>
      </c>
      <c r="O3754">
        <v>-0.79617519999999997</v>
      </c>
      <c r="P3754">
        <v>0.27485359999999998</v>
      </c>
      <c r="Q3754">
        <v>0.12976650000000001</v>
      </c>
      <c r="R3754">
        <v>-0.95268920000000001</v>
      </c>
      <c r="S3754">
        <v>-0.2306976</v>
      </c>
      <c r="T3754">
        <v>-0.18331839999999999</v>
      </c>
      <c r="U3754">
        <v>-3.259598</v>
      </c>
      <c r="V3754">
        <v>0.36167779999999999</v>
      </c>
      <c r="W3754">
        <v>0.1298908</v>
      </c>
      <c r="X3754">
        <v>0.92321039999999999</v>
      </c>
      <c r="Y3754">
        <v>0.65952080000000002</v>
      </c>
      <c r="Z3754">
        <v>3.1846619999999999E-2</v>
      </c>
      <c r="AA3754">
        <v>0.7510114</v>
      </c>
      <c r="AB3754">
        <v>27</v>
      </c>
      <c r="AC3754">
        <v>-1.5372999999999799</v>
      </c>
      <c r="AD3754">
        <v>-1.0968591628719999</v>
      </c>
      <c r="AE3754">
        <v>-19.2762999999999</v>
      </c>
      <c r="AF3754">
        <v>12.8446879338935</v>
      </c>
      <c r="AG3754">
        <v>-1.0968591628719999</v>
      </c>
      <c r="AH3754">
        <v>14.3721392858027</v>
      </c>
      <c r="AI3754">
        <v>93.256867085639897</v>
      </c>
      <c r="AJ3754">
        <v>48.212160139645299</v>
      </c>
      <c r="AK3754">
        <v>19.306669722994702</v>
      </c>
      <c r="AL3754">
        <v>82.5367174866754</v>
      </c>
      <c r="AM3754">
        <v>68.606692861340804</v>
      </c>
      <c r="AN3754">
        <v>0.99999994680281801</v>
      </c>
    </row>
    <row r="3755" spans="1:40" x14ac:dyDescent="0.25">
      <c r="A3755" t="str">
        <f>"20190312173005420"</f>
        <v>20190312173005420</v>
      </c>
      <c r="B3755" t="str">
        <f>"1552383005411538"</f>
        <v>1552383005411538</v>
      </c>
      <c r="C3755" t="s">
        <v>40</v>
      </c>
      <c r="D3755">
        <v>3.4838089999999902</v>
      </c>
      <c r="E3755">
        <v>0.64385669999999995</v>
      </c>
      <c r="F3755" t="s">
        <v>41</v>
      </c>
      <c r="G3755">
        <v>-194.1739</v>
      </c>
      <c r="H3755" s="1">
        <v>-4.2099899999999996E-6</v>
      </c>
      <c r="I3755">
        <v>187.1824</v>
      </c>
      <c r="J3755">
        <v>-192.441</v>
      </c>
      <c r="K3755">
        <v>1.0968059999999999</v>
      </c>
      <c r="L3755">
        <v>206.11510000000001</v>
      </c>
      <c r="M3755">
        <v>0.59122459999999999</v>
      </c>
      <c r="N3755">
        <v>0</v>
      </c>
      <c r="O3755">
        <v>-0.80641629999999997</v>
      </c>
      <c r="P3755">
        <v>0.25927860000000003</v>
      </c>
      <c r="Q3755">
        <v>0.12944020000000001</v>
      </c>
      <c r="R3755">
        <v>-0.95708919999999997</v>
      </c>
      <c r="S3755">
        <v>-0.26837159999999999</v>
      </c>
      <c r="T3755">
        <v>-0.1861469</v>
      </c>
      <c r="U3755">
        <v>-3.25177</v>
      </c>
      <c r="V3755">
        <v>0.360954</v>
      </c>
      <c r="W3755">
        <v>0.12957399999999999</v>
      </c>
      <c r="X3755">
        <v>0.92353819999999998</v>
      </c>
      <c r="Y3755">
        <v>0.65541569999999905</v>
      </c>
      <c r="Z3755">
        <v>3.3367229999999998E-2</v>
      </c>
      <c r="AA3755">
        <v>0.75453099999999995</v>
      </c>
      <c r="AB3755">
        <v>27</v>
      </c>
      <c r="AC3755">
        <v>-1.7329000000000201</v>
      </c>
      <c r="AD3755">
        <v>-1.0968102099899999</v>
      </c>
      <c r="AE3755">
        <v>-18.932700000000001</v>
      </c>
      <c r="AF3755">
        <v>12.550067795915901</v>
      </c>
      <c r="AG3755">
        <v>-1.0968102099899999</v>
      </c>
      <c r="AH3755">
        <v>14.196895548230801</v>
      </c>
      <c r="AI3755">
        <v>93.312750084659498</v>
      </c>
      <c r="AJ3755">
        <v>48.523290323534198</v>
      </c>
      <c r="AK3755">
        <v>18.980490971684599</v>
      </c>
      <c r="AL3755">
        <v>82.555023961341305</v>
      </c>
      <c r="AM3755">
        <v>68.652543599939705</v>
      </c>
      <c r="AN3755">
        <v>1.0000000092256101</v>
      </c>
    </row>
    <row r="3756" spans="1:40" x14ac:dyDescent="0.25">
      <c r="A3756" t="str">
        <f>"20190312173005442"</f>
        <v>20190312173005442</v>
      </c>
      <c r="B3756" t="str">
        <f>"1552383005431055"</f>
        <v>1552383005431055</v>
      </c>
      <c r="C3756" t="s">
        <v>40</v>
      </c>
      <c r="D3756">
        <v>3.5633029999999999</v>
      </c>
      <c r="E3756">
        <v>0.64245299999999905</v>
      </c>
      <c r="F3756" t="s">
        <v>41</v>
      </c>
      <c r="G3756">
        <v>-194.24789999999999</v>
      </c>
      <c r="H3756" s="1">
        <v>-4.2496459999999999E-6</v>
      </c>
      <c r="I3756">
        <v>187.2604</v>
      </c>
      <c r="J3756">
        <v>-192.2861</v>
      </c>
      <c r="K3756">
        <v>1.0967709999999999</v>
      </c>
      <c r="L3756">
        <v>205.8732</v>
      </c>
      <c r="M3756">
        <v>0.57664930000000003</v>
      </c>
      <c r="N3756">
        <v>0</v>
      </c>
      <c r="O3756">
        <v>-0.81690220000000002</v>
      </c>
      <c r="P3756">
        <v>0.24298900000000001</v>
      </c>
      <c r="Q3756">
        <v>0.12903829999999999</v>
      </c>
      <c r="R3756">
        <v>-0.96140859999999995</v>
      </c>
      <c r="S3756">
        <v>-0.3108978</v>
      </c>
      <c r="T3756">
        <v>-0.188723</v>
      </c>
      <c r="U3756">
        <v>-3.2442470000000001</v>
      </c>
      <c r="V3756">
        <v>0.36008200000000001</v>
      </c>
      <c r="W3756">
        <v>0.12918679999999999</v>
      </c>
      <c r="X3756">
        <v>0.92393270000000005</v>
      </c>
      <c r="Y3756">
        <v>0.6518003</v>
      </c>
      <c r="Z3756">
        <v>3.487722E-2</v>
      </c>
      <c r="AA3756">
        <v>0.75758829999999999</v>
      </c>
      <c r="AB3756">
        <v>27</v>
      </c>
      <c r="AC3756">
        <v>-1.96179999999998</v>
      </c>
      <c r="AD3756">
        <v>-1.0967752496459999</v>
      </c>
      <c r="AE3756">
        <v>-18.6128</v>
      </c>
      <c r="AF3756">
        <v>12.2943397033234</v>
      </c>
      <c r="AG3756">
        <v>-1.0967752496459999</v>
      </c>
      <c r="AH3756">
        <v>14.0264285819864</v>
      </c>
      <c r="AI3756">
        <v>93.365259531418602</v>
      </c>
      <c r="AJ3756">
        <v>48.765030558804099</v>
      </c>
      <c r="AK3756">
        <v>18.684068171961801</v>
      </c>
      <c r="AL3756">
        <v>82.577396526940504</v>
      </c>
      <c r="AM3756">
        <v>68.707768489246703</v>
      </c>
      <c r="AN3756">
        <v>0.99999995507376405</v>
      </c>
    </row>
    <row r="3757" spans="1:40" x14ac:dyDescent="0.25">
      <c r="A3757" t="str">
        <f>"20190312173005465"</f>
        <v>20190312173005465</v>
      </c>
      <c r="B3757" t="str">
        <f>"1552383005451550"</f>
        <v>1552383005451550</v>
      </c>
      <c r="C3757" t="s">
        <v>40</v>
      </c>
      <c r="D3757">
        <v>3.5575239999999999</v>
      </c>
      <c r="E3757">
        <v>0.64097599999999999</v>
      </c>
      <c r="F3757" t="s">
        <v>41</v>
      </c>
      <c r="G3757">
        <v>-194.31120000000001</v>
      </c>
      <c r="H3757" s="1">
        <v>-4.3177019999999998E-6</v>
      </c>
      <c r="I3757">
        <v>187.4273</v>
      </c>
      <c r="J3757">
        <v>-192.1437</v>
      </c>
      <c r="K3757">
        <v>1.096735</v>
      </c>
      <c r="L3757">
        <v>205.64160000000001</v>
      </c>
      <c r="M3757">
        <v>0.56268359999999995</v>
      </c>
      <c r="N3757">
        <v>0</v>
      </c>
      <c r="O3757">
        <v>-0.82658359999999997</v>
      </c>
      <c r="P3757">
        <v>0.22881609999999999</v>
      </c>
      <c r="Q3757">
        <v>0.12930700000000001</v>
      </c>
      <c r="R3757">
        <v>-0.96484380000000003</v>
      </c>
      <c r="S3757">
        <v>-0.35527039999999999</v>
      </c>
      <c r="T3757">
        <v>-0.1924119</v>
      </c>
      <c r="U3757">
        <v>-3.2360380000000002</v>
      </c>
      <c r="V3757">
        <v>0.35797030000000002</v>
      </c>
      <c r="W3757">
        <v>0.12951489999999999</v>
      </c>
      <c r="X3757">
        <v>0.9247071</v>
      </c>
      <c r="Y3757">
        <v>0.64936470000000002</v>
      </c>
      <c r="Z3757">
        <v>3.6533200000000002E-2</v>
      </c>
      <c r="AA3757">
        <v>0.75959909999999997</v>
      </c>
      <c r="AB3757">
        <v>27</v>
      </c>
      <c r="AC3757">
        <v>-2.1675000000000102</v>
      </c>
      <c r="AD3757">
        <v>-1.0967393177019999</v>
      </c>
      <c r="AE3757">
        <v>-18.214300000000001</v>
      </c>
      <c r="AF3757">
        <v>11.998496709932599</v>
      </c>
      <c r="AG3757">
        <v>-1.0967393177019999</v>
      </c>
      <c r="AH3757">
        <v>13.7877489953066</v>
      </c>
      <c r="AI3757">
        <v>93.433914786520901</v>
      </c>
      <c r="AJ3757">
        <v>48.969269169354398</v>
      </c>
      <c r="AK3757">
        <v>18.310346331700998</v>
      </c>
      <c r="AL3757">
        <v>82.558439094764097</v>
      </c>
      <c r="AM3757">
        <v>68.837707482693204</v>
      </c>
      <c r="AN3757">
        <v>1.00000003289725</v>
      </c>
    </row>
    <row r="3758" spans="1:40" x14ac:dyDescent="0.25">
      <c r="A3758" t="str">
        <f>"20190312173005486"</f>
        <v>20190312173005486</v>
      </c>
      <c r="B3758" t="str">
        <f>"1552383005481807"</f>
        <v>1552383005481807</v>
      </c>
      <c r="C3758" t="s">
        <v>40</v>
      </c>
      <c r="D3758">
        <v>3.6007539999999998</v>
      </c>
      <c r="E3758">
        <v>0.6233225</v>
      </c>
      <c r="F3758" t="s">
        <v>41</v>
      </c>
      <c r="G3758">
        <v>-194.37479999999999</v>
      </c>
      <c r="H3758" s="1">
        <v>-4.2733199999999999E-6</v>
      </c>
      <c r="I3758">
        <v>187.2638</v>
      </c>
      <c r="J3758">
        <v>-192.00309999999999</v>
      </c>
      <c r="K3758">
        <v>1.096706</v>
      </c>
      <c r="L3758">
        <v>205.40369999999999</v>
      </c>
      <c r="M3758">
        <v>0.54832289999999995</v>
      </c>
      <c r="N3758">
        <v>0</v>
      </c>
      <c r="O3758">
        <v>-0.8361788</v>
      </c>
      <c r="P3758">
        <v>0.2141158</v>
      </c>
      <c r="Q3758">
        <v>0.129733399999999</v>
      </c>
      <c r="R3758">
        <v>-0.96815479999999998</v>
      </c>
      <c r="S3758">
        <v>-0.39187620000000001</v>
      </c>
      <c r="T3758">
        <v>-0.19264110000000001</v>
      </c>
      <c r="U3758">
        <v>-3.228043</v>
      </c>
      <c r="V3758">
        <v>0.35605160000000002</v>
      </c>
      <c r="W3758">
        <v>0.12999249999999901</v>
      </c>
      <c r="X3758">
        <v>0.9253806</v>
      </c>
      <c r="Y3758">
        <v>0.64492490000000002</v>
      </c>
      <c r="Z3758">
        <v>3.7606010000000002E-2</v>
      </c>
      <c r="AA3758">
        <v>0.76332019999999901</v>
      </c>
      <c r="AB3758">
        <v>27</v>
      </c>
      <c r="AC3758">
        <v>-2.3717000000000001</v>
      </c>
      <c r="AD3758">
        <v>-1.09671027332</v>
      </c>
      <c r="AE3758">
        <v>-18.139899999999901</v>
      </c>
      <c r="AF3758">
        <v>11.8878424080324</v>
      </c>
      <c r="AG3758">
        <v>-1.09671027332</v>
      </c>
      <c r="AH3758">
        <v>13.8190989078738</v>
      </c>
      <c r="AI3758">
        <v>93.442974799849694</v>
      </c>
      <c r="AJ3758">
        <v>49.296325114975801</v>
      </c>
      <c r="AK3758">
        <v>18.261737736793201</v>
      </c>
      <c r="AL3758">
        <v>82.530841255198794</v>
      </c>
      <c r="AM3758">
        <v>68.955154726273904</v>
      </c>
      <c r="AN3758">
        <v>1.0000000233875801</v>
      </c>
    </row>
    <row r="3759" spans="1:40" x14ac:dyDescent="0.25">
      <c r="A3759" t="str">
        <f>"20190312173005510"</f>
        <v>20190312173005510</v>
      </c>
      <c r="B3759" t="str">
        <f>"1552383005501326"</f>
        <v>1552383005501326</v>
      </c>
      <c r="C3759" t="s">
        <v>40</v>
      </c>
      <c r="D3759">
        <v>3.5419930000000002</v>
      </c>
      <c r="E3759">
        <v>0.62107590000000001</v>
      </c>
      <c r="F3759" t="s">
        <v>41</v>
      </c>
      <c r="G3759">
        <v>-193.59989999999999</v>
      </c>
      <c r="H3759" s="1">
        <v>-4.5882170000000002E-6</v>
      </c>
      <c r="I3759">
        <v>188.59299999999999</v>
      </c>
      <c r="J3759">
        <v>-191.8605</v>
      </c>
      <c r="K3759">
        <v>1.0966689999999999</v>
      </c>
      <c r="L3759">
        <v>205.1523</v>
      </c>
      <c r="M3759">
        <v>0.53313339999999998</v>
      </c>
      <c r="N3759">
        <v>0</v>
      </c>
      <c r="O3759">
        <v>-0.84594400000000003</v>
      </c>
      <c r="P3759">
        <v>0.1986569</v>
      </c>
      <c r="Q3759">
        <v>0.13099179999999999</v>
      </c>
      <c r="R3759">
        <v>-0.97127600000000003</v>
      </c>
      <c r="S3759">
        <v>-0.30334470000000002</v>
      </c>
      <c r="T3759">
        <v>-0.20835190000000001</v>
      </c>
      <c r="U3759">
        <v>-3.1936650000000002</v>
      </c>
      <c r="V3759">
        <v>0.35404790000000003</v>
      </c>
      <c r="W3759">
        <v>0.131302</v>
      </c>
      <c r="X3759">
        <v>0.92596429999999996</v>
      </c>
      <c r="Y3759">
        <v>0.6105545</v>
      </c>
      <c r="Z3759">
        <v>4.3064770000000002E-2</v>
      </c>
      <c r="AA3759">
        <v>0.79080249999999996</v>
      </c>
      <c r="AB3759">
        <v>27</v>
      </c>
      <c r="AC3759">
        <v>-1.7393999999999801</v>
      </c>
      <c r="AD3759">
        <v>-1.096673588217</v>
      </c>
      <c r="AE3759">
        <v>-16.5593</v>
      </c>
      <c r="AF3759">
        <v>10.2560185147216</v>
      </c>
      <c r="AG3759">
        <v>-1.096673588217</v>
      </c>
      <c r="AH3759">
        <v>13.0253671549549</v>
      </c>
      <c r="AI3759">
        <v>93.784625819309696</v>
      </c>
      <c r="AJ3759">
        <v>51.783527009838103</v>
      </c>
      <c r="AK3759">
        <v>16.614716315808302</v>
      </c>
      <c r="AL3759">
        <v>82.455163671692503</v>
      </c>
      <c r="AM3759">
        <v>69.075351067644206</v>
      </c>
      <c r="AN3759">
        <v>1.0000000077864499</v>
      </c>
    </row>
    <row r="3760" spans="1:40" x14ac:dyDescent="0.25">
      <c r="A3760" t="str">
        <f>"20190312173005532"</f>
        <v>20190312173005532</v>
      </c>
      <c r="B3760" t="str">
        <f>"1552383005521823"</f>
        <v>1552383005521823</v>
      </c>
      <c r="C3760" t="s">
        <v>40</v>
      </c>
      <c r="D3760">
        <v>3.5739730000000001</v>
      </c>
      <c r="E3760">
        <v>0.61955059999999995</v>
      </c>
      <c r="F3760" t="s">
        <v>41</v>
      </c>
      <c r="G3760">
        <v>-193.6782</v>
      </c>
      <c r="H3760" s="1">
        <v>-4.3772999999999996E-6</v>
      </c>
      <c r="I3760">
        <v>187.9324</v>
      </c>
      <c r="J3760">
        <v>-191.7217</v>
      </c>
      <c r="K3760">
        <v>1.0966309999999999</v>
      </c>
      <c r="L3760">
        <v>204.8973</v>
      </c>
      <c r="M3760">
        <v>0.51768950000000002</v>
      </c>
      <c r="N3760">
        <v>0</v>
      </c>
      <c r="O3760">
        <v>-0.85548239999999998</v>
      </c>
      <c r="P3760">
        <v>0.1836265</v>
      </c>
      <c r="Q3760">
        <v>0.13217619999999999</v>
      </c>
      <c r="R3760">
        <v>-0.97406950000000003</v>
      </c>
      <c r="S3760">
        <v>-0.33618160000000002</v>
      </c>
      <c r="T3760">
        <v>-0.20283100000000001</v>
      </c>
      <c r="U3760">
        <v>-3.1848450000000001</v>
      </c>
      <c r="V3760">
        <v>0.35150769999999998</v>
      </c>
      <c r="W3760">
        <v>0.13255549999999999</v>
      </c>
      <c r="X3760">
        <v>0.92675320000000005</v>
      </c>
      <c r="Y3760">
        <v>0.60445360000000004</v>
      </c>
      <c r="Z3760">
        <v>4.3074660000000001E-2</v>
      </c>
      <c r="AA3760">
        <v>0.79547489999999998</v>
      </c>
      <c r="AB3760">
        <v>27</v>
      </c>
      <c r="AC3760">
        <v>-1.9564999999999999</v>
      </c>
      <c r="AD3760">
        <v>-1.0966353772999999</v>
      </c>
      <c r="AE3760">
        <v>-16.9649</v>
      </c>
      <c r="AF3760">
        <v>10.414128446454599</v>
      </c>
      <c r="AG3760">
        <v>-1.0966353772999999</v>
      </c>
      <c r="AH3760">
        <v>13.4458629609528</v>
      </c>
      <c r="AI3760">
        <v>93.689358969240899</v>
      </c>
      <c r="AJ3760">
        <v>52.241398724803702</v>
      </c>
      <c r="AK3760">
        <v>17.0425324178868</v>
      </c>
      <c r="AL3760">
        <v>82.382710495908896</v>
      </c>
      <c r="AM3760">
        <v>69.228792551407096</v>
      </c>
      <c r="AN3760">
        <v>1.0000000587248801</v>
      </c>
    </row>
    <row r="3761" spans="1:40" x14ac:dyDescent="0.25">
      <c r="A3761" t="str">
        <f>"20190312173005555"</f>
        <v>20190312173005555</v>
      </c>
      <c r="B3761" t="str">
        <f>"1552383005551102"</f>
        <v>1552383005551102</v>
      </c>
      <c r="C3761" t="s">
        <v>40</v>
      </c>
      <c r="D3761">
        <v>3.5707960000000001</v>
      </c>
      <c r="E3761">
        <v>0.60945309999999997</v>
      </c>
      <c r="F3761" t="s">
        <v>41</v>
      </c>
      <c r="G3761">
        <v>-193.75890000000001</v>
      </c>
      <c r="H3761" s="1">
        <v>-4.2580690000000001E-6</v>
      </c>
      <c r="I3761">
        <v>187.54</v>
      </c>
      <c r="J3761">
        <v>-191.5925</v>
      </c>
      <c r="K3761">
        <v>1.0965959999999999</v>
      </c>
      <c r="L3761">
        <v>204.6497</v>
      </c>
      <c r="M3761">
        <v>0.50265629999999994</v>
      </c>
      <c r="N3761">
        <v>0</v>
      </c>
      <c r="O3761">
        <v>-0.86440069999999902</v>
      </c>
      <c r="P3761">
        <v>0.16934669999999999</v>
      </c>
      <c r="Q3761">
        <v>0.1331997</v>
      </c>
      <c r="R3761">
        <v>-0.97651429999999995</v>
      </c>
      <c r="S3761">
        <v>-0.3729248</v>
      </c>
      <c r="T3761">
        <v>-0.20074980000000001</v>
      </c>
      <c r="U3761">
        <v>-3.1774290000000001</v>
      </c>
      <c r="V3761">
        <v>0.3488462</v>
      </c>
      <c r="W3761">
        <v>0.13364960000000001</v>
      </c>
      <c r="X3761">
        <v>0.92760129999999996</v>
      </c>
      <c r="Y3761">
        <v>0.59980429999999996</v>
      </c>
      <c r="Z3761">
        <v>4.3654810000000002E-2</v>
      </c>
      <c r="AA3761">
        <v>0.79895499999999997</v>
      </c>
      <c r="AB3761">
        <v>27</v>
      </c>
      <c r="AC3761">
        <v>-2.1664000000000101</v>
      </c>
      <c r="AD3761">
        <v>-1.096600258069</v>
      </c>
      <c r="AE3761">
        <v>-17.1097</v>
      </c>
      <c r="AF3761">
        <v>10.4315368719805</v>
      </c>
      <c r="AG3761">
        <v>-1.096600258069</v>
      </c>
      <c r="AH3761">
        <v>13.646523535009001</v>
      </c>
      <c r="AI3761">
        <v>93.652903319931397</v>
      </c>
      <c r="AJ3761">
        <v>52.605347979344501</v>
      </c>
      <c r="AK3761">
        <v>17.211830182436699</v>
      </c>
      <c r="AL3761">
        <v>82.319460174349302</v>
      </c>
      <c r="AM3761">
        <v>69.390053511409405</v>
      </c>
      <c r="AN3761">
        <v>1.0000000292981399</v>
      </c>
    </row>
    <row r="3762" spans="1:40" x14ac:dyDescent="0.25">
      <c r="A3762" t="str">
        <f>"20190312173005576"</f>
        <v>20190312173005576</v>
      </c>
      <c r="B3762" t="str">
        <f>"1552383005571599"</f>
        <v>1552383005571599</v>
      </c>
      <c r="C3762" t="s">
        <v>40</v>
      </c>
      <c r="D3762">
        <v>3.5471270000000001</v>
      </c>
      <c r="E3762">
        <v>0.60803629999999997</v>
      </c>
      <c r="F3762" t="s">
        <v>41</v>
      </c>
      <c r="G3762">
        <v>-193.53219999999999</v>
      </c>
      <c r="H3762" s="1">
        <v>-3.9126319999999996E-6</v>
      </c>
      <c r="I3762">
        <v>186.6431</v>
      </c>
      <c r="J3762">
        <v>-191.47130000000001</v>
      </c>
      <c r="K3762">
        <v>1.096549</v>
      </c>
      <c r="L3762">
        <v>204.40729999999999</v>
      </c>
      <c r="M3762">
        <v>0.48789909999999997</v>
      </c>
      <c r="N3762">
        <v>0</v>
      </c>
      <c r="O3762">
        <v>-0.87281500000000001</v>
      </c>
      <c r="P3762">
        <v>0.15553029999999901</v>
      </c>
      <c r="Q3762">
        <v>0.13415170000000001</v>
      </c>
      <c r="R3762">
        <v>-0.97867979999999999</v>
      </c>
      <c r="S3762">
        <v>-0.34010309999999999</v>
      </c>
      <c r="T3762">
        <v>-0.19228419999999999</v>
      </c>
      <c r="U3762">
        <v>-3.1573790000000002</v>
      </c>
      <c r="V3762">
        <v>0.34617340000000002</v>
      </c>
      <c r="W3762">
        <v>0.13466829999999999</v>
      </c>
      <c r="X3762">
        <v>0.92845480000000002</v>
      </c>
      <c r="Y3762">
        <v>0.57841200000000004</v>
      </c>
      <c r="Z3762">
        <v>4.3367210000000003E-2</v>
      </c>
      <c r="AA3762">
        <v>0.81459119999999996</v>
      </c>
      <c r="AB3762">
        <v>27</v>
      </c>
      <c r="AC3762">
        <v>-2.06089999999997</v>
      </c>
      <c r="AD3762">
        <v>-1.0965529126319999</v>
      </c>
      <c r="AE3762">
        <v>-17.764199999999899</v>
      </c>
      <c r="AF3762">
        <v>10.4274935107139</v>
      </c>
      <c r="AG3762">
        <v>-1.0965529126319999</v>
      </c>
      <c r="AH3762">
        <v>14.4461111671104</v>
      </c>
      <c r="AI3762">
        <v>93.521970515803204</v>
      </c>
      <c r="AJ3762">
        <v>54.1774915112332</v>
      </c>
      <c r="AK3762">
        <v>17.850074987481001</v>
      </c>
      <c r="AL3762">
        <v>82.260559841235406</v>
      </c>
      <c r="AM3762">
        <v>69.552082336837003</v>
      </c>
      <c r="AN3762">
        <v>0.99999994476774301</v>
      </c>
    </row>
    <row r="3763" spans="1:40" x14ac:dyDescent="0.25">
      <c r="A3763" t="str">
        <f>"20190312173005599"</f>
        <v>20190312173005599</v>
      </c>
      <c r="B3763" t="str">
        <f>"1552383005591118"</f>
        <v>1552383005591118</v>
      </c>
      <c r="C3763" t="s">
        <v>40</v>
      </c>
      <c r="D3763">
        <v>3.4205160000000001</v>
      </c>
      <c r="E3763">
        <v>0.60712580000000005</v>
      </c>
      <c r="F3763" t="s">
        <v>41</v>
      </c>
      <c r="G3763">
        <v>-193.54820000000001</v>
      </c>
      <c r="H3763" s="1">
        <v>-3.9915839999999996E-6</v>
      </c>
      <c r="I3763">
        <v>186.86680000000001</v>
      </c>
      <c r="J3763">
        <v>-191.3476</v>
      </c>
      <c r="K3763">
        <v>1.096492</v>
      </c>
      <c r="L3763">
        <v>204.1489</v>
      </c>
      <c r="M3763">
        <v>0.47211579999999898</v>
      </c>
      <c r="N3763">
        <v>0</v>
      </c>
      <c r="O3763">
        <v>-0.88145219999999902</v>
      </c>
      <c r="P3763">
        <v>0.14078850000000001</v>
      </c>
      <c r="Q3763">
        <v>0.13502410000000001</v>
      </c>
      <c r="R3763">
        <v>-0.98078900000000002</v>
      </c>
      <c r="S3763">
        <v>-0.37316890000000003</v>
      </c>
      <c r="T3763">
        <v>-0.19702739999999999</v>
      </c>
      <c r="U3763">
        <v>-3.1516570000000002</v>
      </c>
      <c r="V3763">
        <v>0.34342139999999999</v>
      </c>
      <c r="W3763">
        <v>0.135601</v>
      </c>
      <c r="X3763">
        <v>0.92934070000000002</v>
      </c>
      <c r="Y3763">
        <v>0.57230550000000002</v>
      </c>
      <c r="Z3763">
        <v>4.5427130000000003E-2</v>
      </c>
      <c r="AA3763">
        <v>0.81878130000000005</v>
      </c>
      <c r="AB3763">
        <v>27</v>
      </c>
      <c r="AC3763">
        <v>-2.2006000000000001</v>
      </c>
      <c r="AD3763">
        <v>-1.096495991584</v>
      </c>
      <c r="AE3763">
        <v>-17.2820999999999</v>
      </c>
      <c r="AF3763">
        <v>10.0597774366405</v>
      </c>
      <c r="AG3763">
        <v>-1.096495991584</v>
      </c>
      <c r="AH3763">
        <v>14.1394520642455</v>
      </c>
      <c r="AI3763">
        <v>93.615601383487501</v>
      </c>
      <c r="AJ3763">
        <v>54.569340032294598</v>
      </c>
      <c r="AK3763">
        <v>17.3875107537392</v>
      </c>
      <c r="AL3763">
        <v>82.206625868990798</v>
      </c>
      <c r="AM3763">
        <v>69.719100664146694</v>
      </c>
      <c r="AN3763">
        <v>1.00000001292772</v>
      </c>
    </row>
    <row r="3764" spans="1:40" x14ac:dyDescent="0.25">
      <c r="A3764" t="str">
        <f>"20190312173005622"</f>
        <v>20190312173005622</v>
      </c>
      <c r="B3764" t="str">
        <f>"1552383005611618"</f>
        <v>1552383005611618</v>
      </c>
      <c r="C3764" t="s">
        <v>40</v>
      </c>
      <c r="D3764">
        <v>3.4689589999999901</v>
      </c>
      <c r="E3764">
        <v>0.60652259999999902</v>
      </c>
      <c r="F3764" t="s">
        <v>41</v>
      </c>
      <c r="G3764">
        <v>-193.75020000000001</v>
      </c>
      <c r="H3764" s="1">
        <v>-3.6910899999999998E-6</v>
      </c>
      <c r="I3764">
        <v>185.8784</v>
      </c>
      <c r="J3764">
        <v>-191.2294</v>
      </c>
      <c r="K3764">
        <v>1.096428</v>
      </c>
      <c r="L3764">
        <v>203.8904</v>
      </c>
      <c r="M3764">
        <v>0.45626630000000001</v>
      </c>
      <c r="N3764">
        <v>0</v>
      </c>
      <c r="O3764">
        <v>-0.88975979999999999</v>
      </c>
      <c r="P3764">
        <v>0.12639339999999999</v>
      </c>
      <c r="Q3764">
        <v>0.1355642</v>
      </c>
      <c r="R3764">
        <v>-0.98267380000000004</v>
      </c>
      <c r="S3764">
        <v>-0.41345209999999999</v>
      </c>
      <c r="T3764">
        <v>-0.18869259999999999</v>
      </c>
      <c r="U3764">
        <v>-3.144104</v>
      </c>
      <c r="V3764">
        <v>0.34041460000000001</v>
      </c>
      <c r="W3764">
        <v>0.1362071</v>
      </c>
      <c r="X3764">
        <v>0.93035780000000001</v>
      </c>
      <c r="Y3764">
        <v>0.5682024</v>
      </c>
      <c r="Z3764">
        <v>4.4409499999999998E-2</v>
      </c>
      <c r="AA3764">
        <v>0.82168969999999897</v>
      </c>
      <c r="AB3764">
        <v>27</v>
      </c>
      <c r="AC3764">
        <v>-2.5207999999999999</v>
      </c>
      <c r="AD3764">
        <v>-1.09643169109</v>
      </c>
      <c r="AE3764">
        <v>-18.012</v>
      </c>
      <c r="AF3764">
        <v>10.4240685382522</v>
      </c>
      <c r="AG3764">
        <v>-1.09643169109</v>
      </c>
      <c r="AH3764">
        <v>14.8234304568883</v>
      </c>
      <c r="AI3764">
        <v>93.462395259361898</v>
      </c>
      <c r="AJ3764">
        <v>54.8845127204129</v>
      </c>
      <c r="AK3764">
        <v>18.1548191358</v>
      </c>
      <c r="AL3764">
        <v>82.171574014312199</v>
      </c>
      <c r="AM3764">
        <v>69.902607377511799</v>
      </c>
      <c r="AN3764">
        <v>1.0000000550021999</v>
      </c>
    </row>
    <row r="3765" spans="1:40" x14ac:dyDescent="0.25">
      <c r="A3765" t="str">
        <f>"20190312173005643"</f>
        <v>20190312173005643</v>
      </c>
      <c r="B3765" t="str">
        <f>"1552383005640895"</f>
        <v>1552383005640895</v>
      </c>
      <c r="C3765" t="s">
        <v>40</v>
      </c>
      <c r="D3765">
        <v>3.4984980000000001</v>
      </c>
      <c r="E3765">
        <v>0.60554569999999996</v>
      </c>
      <c r="F3765" t="s">
        <v>41</v>
      </c>
      <c r="G3765">
        <v>-193.95599999999999</v>
      </c>
      <c r="H3765" s="1">
        <v>-3.413316E-6</v>
      </c>
      <c r="I3765">
        <v>185.09200000000001</v>
      </c>
      <c r="J3765">
        <v>-191.11949999999999</v>
      </c>
      <c r="K3765">
        <v>1.0963609999999999</v>
      </c>
      <c r="L3765">
        <v>203.63810000000001</v>
      </c>
      <c r="M3765">
        <v>0.4407412</v>
      </c>
      <c r="N3765">
        <v>0</v>
      </c>
      <c r="O3765">
        <v>-0.89755099999999999</v>
      </c>
      <c r="P3765">
        <v>0.1121552</v>
      </c>
      <c r="Q3765">
        <v>0.13647020000000001</v>
      </c>
      <c r="R3765">
        <v>-0.98427469999999995</v>
      </c>
      <c r="S3765">
        <v>-0.45494079999999898</v>
      </c>
      <c r="T3765">
        <v>-0.182946</v>
      </c>
      <c r="U3765">
        <v>-3.136612</v>
      </c>
      <c r="V3765">
        <v>0.33771109999999999</v>
      </c>
      <c r="W3765">
        <v>0.13716929999999999</v>
      </c>
      <c r="X3765">
        <v>0.93120130000000001</v>
      </c>
      <c r="Y3765">
        <v>0.56483539999999999</v>
      </c>
      <c r="Z3765">
        <v>4.3869270000000002E-2</v>
      </c>
      <c r="AA3765">
        <v>0.82403669999999996</v>
      </c>
      <c r="AB3765">
        <v>27</v>
      </c>
      <c r="AC3765">
        <v>-2.8365</v>
      </c>
      <c r="AD3765">
        <v>-1.096364413316</v>
      </c>
      <c r="AE3765">
        <v>-18.546099999999999</v>
      </c>
      <c r="AF3765">
        <v>10.684250262888799</v>
      </c>
      <c r="AG3765">
        <v>-1.096364413316</v>
      </c>
      <c r="AH3765">
        <v>15.3446597209287</v>
      </c>
      <c r="AI3765">
        <v>93.355734157194405</v>
      </c>
      <c r="AJ3765">
        <v>55.151099595732198</v>
      </c>
      <c r="AK3765">
        <v>18.730024040505601</v>
      </c>
      <c r="AL3765">
        <v>82.115921491522499</v>
      </c>
      <c r="AM3765">
        <v>70.066228173558898</v>
      </c>
      <c r="AN3765">
        <v>1.00000003252369</v>
      </c>
    </row>
    <row r="3766" spans="1:40" x14ac:dyDescent="0.25">
      <c r="A3766" t="str">
        <f>"20190312173005666"</f>
        <v>20190312173005666</v>
      </c>
      <c r="B3766" t="str">
        <f>"1552383005661391"</f>
        <v>1552383005661391</v>
      </c>
      <c r="C3766" t="s">
        <v>40</v>
      </c>
      <c r="D3766">
        <v>3.517862</v>
      </c>
      <c r="E3766">
        <v>0.59689959999999997</v>
      </c>
      <c r="F3766" t="s">
        <v>41</v>
      </c>
      <c r="G3766">
        <v>-194.18039999999999</v>
      </c>
      <c r="H3766" s="1">
        <v>-3.093733E-6</v>
      </c>
      <c r="I3766">
        <v>184.2079</v>
      </c>
      <c r="J3766">
        <v>-191.0127</v>
      </c>
      <c r="K3766">
        <v>1.096293</v>
      </c>
      <c r="L3766">
        <v>203.37989999999999</v>
      </c>
      <c r="M3766">
        <v>0.42479410000000001</v>
      </c>
      <c r="N3766">
        <v>0</v>
      </c>
      <c r="O3766">
        <v>-0.90520769999999995</v>
      </c>
      <c r="P3766">
        <v>9.7586939999999997E-2</v>
      </c>
      <c r="Q3766">
        <v>0.13787579999999999</v>
      </c>
      <c r="R3766">
        <v>-0.98563040000000002</v>
      </c>
      <c r="S3766">
        <v>-0.49284359999999999</v>
      </c>
      <c r="T3766">
        <v>-0.176530399999999</v>
      </c>
      <c r="U3766">
        <v>-3.1285400000000001</v>
      </c>
      <c r="V3766">
        <v>0.33498810000000001</v>
      </c>
      <c r="W3766">
        <v>0.13863149999999999</v>
      </c>
      <c r="X3766">
        <v>0.93196800000000002</v>
      </c>
      <c r="Y3766">
        <v>0.56030609999999903</v>
      </c>
      <c r="Z3766">
        <v>4.3137599999999998E-2</v>
      </c>
      <c r="AA3766">
        <v>0.82716160000000005</v>
      </c>
      <c r="AB3766">
        <v>27</v>
      </c>
      <c r="AC3766">
        <v>-3.1676999999999902</v>
      </c>
      <c r="AD3766">
        <v>-1.096296093733</v>
      </c>
      <c r="AE3766">
        <v>-19.172000000000001</v>
      </c>
      <c r="AF3766">
        <v>10.9774591055317</v>
      </c>
      <c r="AG3766">
        <v>-1.096296093733</v>
      </c>
      <c r="AH3766">
        <v>15.959417169418399</v>
      </c>
      <c r="AI3766">
        <v>93.239303308772506</v>
      </c>
      <c r="AJ3766">
        <v>55.478412751635197</v>
      </c>
      <c r="AK3766">
        <v>19.401274956205398</v>
      </c>
      <c r="AL3766">
        <v>82.031335502902806</v>
      </c>
      <c r="AM3766">
        <v>70.2294502682348</v>
      </c>
      <c r="AN3766">
        <v>1.0000000364789201</v>
      </c>
    </row>
    <row r="3767" spans="1:40" x14ac:dyDescent="0.25">
      <c r="A3767" t="str">
        <f>"20190312173005688"</f>
        <v>20190312173005688</v>
      </c>
      <c r="B3767" t="str">
        <f>"1552383005681891"</f>
        <v>1552383005681891</v>
      </c>
      <c r="C3767" t="s">
        <v>40</v>
      </c>
      <c r="D3767">
        <v>3.4943970000000002</v>
      </c>
      <c r="E3767">
        <v>0.59494190000000002</v>
      </c>
      <c r="F3767" t="s">
        <v>41</v>
      </c>
      <c r="G3767">
        <v>-193.69880000000001</v>
      </c>
      <c r="H3767" s="1">
        <v>-3.547842E-6</v>
      </c>
      <c r="I3767">
        <v>185.5651</v>
      </c>
      <c r="J3767">
        <v>-190.90539999999999</v>
      </c>
      <c r="K3767">
        <v>1.09623</v>
      </c>
      <c r="L3767">
        <v>203.10650000000001</v>
      </c>
      <c r="M3767">
        <v>0.40784910000000002</v>
      </c>
      <c r="N3767">
        <v>0</v>
      </c>
      <c r="O3767">
        <v>-0.91296730000000004</v>
      </c>
      <c r="P3767">
        <v>8.2399059999999996E-2</v>
      </c>
      <c r="Q3767">
        <v>0.13865279999999999</v>
      </c>
      <c r="R3767">
        <v>-0.98690739999999999</v>
      </c>
      <c r="S3767">
        <v>-0.47000120000000001</v>
      </c>
      <c r="T3767">
        <v>-0.19182179999999999</v>
      </c>
      <c r="U3767">
        <v>-3.1170960000000001</v>
      </c>
      <c r="V3767">
        <v>0.33196530000000002</v>
      </c>
      <c r="W3767">
        <v>0.13947860000000001</v>
      </c>
      <c r="X3767">
        <v>0.93292269999999999</v>
      </c>
      <c r="Y3767">
        <v>0.53920159999999995</v>
      </c>
      <c r="Z3767">
        <v>4.820837E-2</v>
      </c>
      <c r="AA3767">
        <v>0.84079579999999998</v>
      </c>
      <c r="AB3767">
        <v>27</v>
      </c>
      <c r="AC3767">
        <v>-2.7934000000000201</v>
      </c>
      <c r="AD3767">
        <v>-1.096233547842</v>
      </c>
      <c r="AE3767">
        <v>-17.541399999999999</v>
      </c>
      <c r="AF3767">
        <v>9.6684278642684607</v>
      </c>
      <c r="AG3767">
        <v>-1.096233547842</v>
      </c>
      <c r="AH3767">
        <v>14.8201048111044</v>
      </c>
      <c r="AI3767">
        <v>93.545028991249296</v>
      </c>
      <c r="AJ3767">
        <v>56.880136147599202</v>
      </c>
      <c r="AK3767">
        <v>17.7289518012232</v>
      </c>
      <c r="AL3767">
        <v>81.982323808870106</v>
      </c>
      <c r="AM3767">
        <v>70.412729457314498</v>
      </c>
      <c r="AN3767">
        <v>1.0000000022186699</v>
      </c>
    </row>
    <row r="3768" spans="1:40" x14ac:dyDescent="0.25">
      <c r="A3768" t="str">
        <f>"20190312173005705"</f>
        <v>20190312173005705</v>
      </c>
      <c r="B3768" t="str">
        <f>"1552383005701407"</f>
        <v>1552383005701407</v>
      </c>
      <c r="C3768" t="s">
        <v>40</v>
      </c>
      <c r="D3768">
        <v>3.5264609999999998</v>
      </c>
      <c r="E3768">
        <v>0.58673640000000005</v>
      </c>
      <c r="F3768" t="s">
        <v>41</v>
      </c>
      <c r="G3768">
        <v>-193.77610000000001</v>
      </c>
      <c r="H3768" s="1">
        <v>-3.4754109999999999E-6</v>
      </c>
      <c r="I3768">
        <v>185.34829999999999</v>
      </c>
      <c r="J3768">
        <v>-190.8331</v>
      </c>
      <c r="K3768">
        <v>1.0961879999999999</v>
      </c>
      <c r="L3768">
        <v>202.9144</v>
      </c>
      <c r="M3768">
        <v>0.39590199999999998</v>
      </c>
      <c r="N3768">
        <v>0</v>
      </c>
      <c r="O3768">
        <v>-0.91821109999999995</v>
      </c>
      <c r="P3768">
        <v>7.1213319999999997E-2</v>
      </c>
      <c r="Q3768">
        <v>0.138715</v>
      </c>
      <c r="R3768">
        <v>-0.98776870000000006</v>
      </c>
      <c r="S3768">
        <v>-0.50253300000000001</v>
      </c>
      <c r="T3768">
        <v>-0.19190489999999999</v>
      </c>
      <c r="U3768">
        <v>-3.1087189999999998</v>
      </c>
      <c r="V3768">
        <v>0.3303719</v>
      </c>
      <c r="W3768">
        <v>0.13957349999999999</v>
      </c>
      <c r="X3768">
        <v>0.93347389999999997</v>
      </c>
      <c r="Y3768">
        <v>0.53713319999999998</v>
      </c>
      <c r="Z3768">
        <v>4.8842289999999997E-2</v>
      </c>
      <c r="AA3768">
        <v>0.84208209999999994</v>
      </c>
      <c r="AB3768">
        <v>28</v>
      </c>
      <c r="AC3768">
        <v>-2.9430000000000098</v>
      </c>
      <c r="AD3768">
        <v>-1.096191475411</v>
      </c>
      <c r="AE3768">
        <v>-17.566099999999999</v>
      </c>
      <c r="AF3768">
        <v>9.6210300333336107</v>
      </c>
      <c r="AG3768">
        <v>-1.096191475411</v>
      </c>
      <c r="AH3768">
        <v>14.9088971501731</v>
      </c>
      <c r="AI3768">
        <v>93.535191018481001</v>
      </c>
      <c r="AJ3768">
        <v>57.164982154413103</v>
      </c>
      <c r="AK3768">
        <v>17.777543949812401</v>
      </c>
      <c r="AL3768">
        <v>81.976832209999003</v>
      </c>
      <c r="AM3768">
        <v>70.510283858400399</v>
      </c>
      <c r="AN3768">
        <v>0.99999993809653298</v>
      </c>
    </row>
    <row r="3769" spans="1:40" x14ac:dyDescent="0.25">
      <c r="A3769" t="str">
        <f>"20190312173005720"</f>
        <v>20190312173005720</v>
      </c>
      <c r="B3769" t="str">
        <f>"1552383005711167"</f>
        <v>1552383005711167</v>
      </c>
      <c r="C3769" t="s">
        <v>40</v>
      </c>
      <c r="D3769">
        <v>3.5164960000000001</v>
      </c>
      <c r="E3769">
        <v>0.58598169999999905</v>
      </c>
      <c r="F3769" t="s">
        <v>41</v>
      </c>
      <c r="G3769">
        <v>-193.36089999999999</v>
      </c>
      <c r="H3769" s="1">
        <v>-3.7769530000000002E-6</v>
      </c>
      <c r="I3769">
        <v>186.33359999999999</v>
      </c>
      <c r="J3769">
        <v>-190.76259999999999</v>
      </c>
      <c r="K3769">
        <v>1.0961540000000001</v>
      </c>
      <c r="L3769">
        <v>202.7184</v>
      </c>
      <c r="M3769">
        <v>0.38369219999999998</v>
      </c>
      <c r="N3769">
        <v>0</v>
      </c>
      <c r="O3769">
        <v>-0.92337979999999997</v>
      </c>
      <c r="P3769">
        <v>6.3804330000000006E-2</v>
      </c>
      <c r="Q3769">
        <v>0.13977979999999901</v>
      </c>
      <c r="R3769">
        <v>-0.98812500000000003</v>
      </c>
      <c r="S3769">
        <v>-0.47261049999999899</v>
      </c>
      <c r="T3769">
        <v>-0.20494870000000001</v>
      </c>
      <c r="U3769">
        <v>-3.100006</v>
      </c>
      <c r="V3769">
        <v>0.32497280000000001</v>
      </c>
      <c r="W3769">
        <v>0.14081189999999999</v>
      </c>
      <c r="X3769">
        <v>0.93518159999999895</v>
      </c>
      <c r="Y3769">
        <v>0.51822330000000005</v>
      </c>
      <c r="Z3769">
        <v>5.3238630000000002E-2</v>
      </c>
      <c r="AA3769">
        <v>0.85358670000000003</v>
      </c>
      <c r="AB3769">
        <v>28</v>
      </c>
      <c r="AC3769">
        <v>-2.5982999999999898</v>
      </c>
      <c r="AD3769">
        <v>-1.096157776953</v>
      </c>
      <c r="AE3769">
        <v>-16.384799999999998</v>
      </c>
      <c r="AF3769">
        <v>8.6488291454721793</v>
      </c>
      <c r="AG3769">
        <v>-1.096157776953</v>
      </c>
      <c r="AH3769">
        <v>14.072068480220899</v>
      </c>
      <c r="AI3769">
        <v>93.7967935607209</v>
      </c>
      <c r="AJ3769">
        <v>58.424714631826298</v>
      </c>
      <c r="AK3769">
        <v>16.553758448508599</v>
      </c>
      <c r="AL3769">
        <v>81.905169629596301</v>
      </c>
      <c r="AM3769">
        <v>70.837814037335505</v>
      </c>
      <c r="AN3769">
        <v>0.99999996845000405</v>
      </c>
    </row>
    <row r="3770" spans="1:40" x14ac:dyDescent="0.25">
      <c r="A3770" t="str">
        <f>"20190312173005746"</f>
        <v>20190312173005746</v>
      </c>
      <c r="B3770" t="str">
        <f>"1552383005741424"</f>
        <v>1552383005741424</v>
      </c>
      <c r="C3770" t="s">
        <v>40</v>
      </c>
      <c r="D3770">
        <v>3.5225759999999999</v>
      </c>
      <c r="E3770">
        <v>0.58456830000000004</v>
      </c>
      <c r="F3770" t="s">
        <v>41</v>
      </c>
      <c r="G3770">
        <v>-193.46119999999999</v>
      </c>
      <c r="H3770" s="1">
        <v>-3.5402710000000001E-6</v>
      </c>
      <c r="I3770">
        <v>185.69489999999999</v>
      </c>
      <c r="J3770">
        <v>-190.6643</v>
      </c>
      <c r="K3770">
        <v>1.096104</v>
      </c>
      <c r="L3770">
        <v>202.4308</v>
      </c>
      <c r="M3770">
        <v>0.36573030000000001</v>
      </c>
      <c r="N3770">
        <v>0</v>
      </c>
      <c r="O3770">
        <v>-0.93064009999999997</v>
      </c>
      <c r="P3770">
        <v>4.895153E-2</v>
      </c>
      <c r="Q3770">
        <v>0.140292</v>
      </c>
      <c r="R3770">
        <v>-0.98889970000000005</v>
      </c>
      <c r="S3770">
        <v>-0.49076839999999999</v>
      </c>
      <c r="T3770">
        <v>-0.1993501</v>
      </c>
      <c r="U3770">
        <v>-3.0959469999999998</v>
      </c>
      <c r="V3770">
        <v>0.32090429999999998</v>
      </c>
      <c r="W3770">
        <v>0.14144309999999999</v>
      </c>
      <c r="X3770">
        <v>0.93649039999999995</v>
      </c>
      <c r="Y3770">
        <v>0.50667859999999998</v>
      </c>
      <c r="Z3770">
        <v>5.2756949999999997E-2</v>
      </c>
      <c r="AA3770">
        <v>0.86051929999999999</v>
      </c>
      <c r="AB3770">
        <v>28</v>
      </c>
      <c r="AC3770">
        <v>-2.7968999999999902</v>
      </c>
      <c r="AD3770">
        <v>-1.0961075402709901</v>
      </c>
      <c r="AE3770">
        <v>-16.735900000000001</v>
      </c>
      <c r="AF3770">
        <v>8.6881336086371199</v>
      </c>
      <c r="AG3770">
        <v>-1.0961075402709901</v>
      </c>
      <c r="AH3770">
        <v>14.492804661126501</v>
      </c>
      <c r="AI3770">
        <v>93.711467348885805</v>
      </c>
      <c r="AJ3770">
        <v>59.0581933060582</v>
      </c>
      <c r="AK3770">
        <v>16.9330004513948</v>
      </c>
      <c r="AL3770">
        <v>81.868639127117007</v>
      </c>
      <c r="AM3770">
        <v>71.085107656752001</v>
      </c>
      <c r="AN3770">
        <v>0.99999999479412904</v>
      </c>
    </row>
    <row r="3771" spans="1:40" x14ac:dyDescent="0.25">
      <c r="A3771" t="str">
        <f>"20190312173005767"</f>
        <v>20190312173005767</v>
      </c>
      <c r="B3771" t="str">
        <f>"1552383005760943"</f>
        <v>1552383005760943</v>
      </c>
      <c r="C3771" t="s">
        <v>40</v>
      </c>
      <c r="D3771">
        <v>3.544206</v>
      </c>
      <c r="E3771">
        <v>0.57736779999999999</v>
      </c>
      <c r="F3771" t="s">
        <v>41</v>
      </c>
      <c r="G3771">
        <v>-193.6232</v>
      </c>
      <c r="H3771" s="1">
        <v>-3.3110440000000001E-6</v>
      </c>
      <c r="I3771">
        <v>185.06</v>
      </c>
      <c r="J3771">
        <v>-190.57929999999999</v>
      </c>
      <c r="K3771">
        <v>1.096061</v>
      </c>
      <c r="L3771">
        <v>202.16569999999999</v>
      </c>
      <c r="M3771">
        <v>0.34913040000000001</v>
      </c>
      <c r="N3771">
        <v>0</v>
      </c>
      <c r="O3771">
        <v>-0.93699399999999999</v>
      </c>
      <c r="P3771">
        <v>3.6107109999999998E-2</v>
      </c>
      <c r="Q3771">
        <v>0.14018229999999901</v>
      </c>
      <c r="R3771">
        <v>-0.98946769999999995</v>
      </c>
      <c r="S3771">
        <v>-0.52587890000000004</v>
      </c>
      <c r="T3771">
        <v>-0.19481129999999999</v>
      </c>
      <c r="U3771">
        <v>-3.0873110000000001</v>
      </c>
      <c r="V3771">
        <v>0.31642520000000002</v>
      </c>
      <c r="W3771">
        <v>0.14147000000000001</v>
      </c>
      <c r="X3771">
        <v>0.93800930000000005</v>
      </c>
      <c r="Y3771">
        <v>0.50125730000000002</v>
      </c>
      <c r="Z3771">
        <v>5.2354209999999998E-2</v>
      </c>
      <c r="AA3771">
        <v>0.86371299999999995</v>
      </c>
      <c r="AB3771">
        <v>28</v>
      </c>
      <c r="AC3771">
        <v>-3.0438999999999998</v>
      </c>
      <c r="AD3771">
        <v>-1.096064311044</v>
      </c>
      <c r="AE3771">
        <v>-17.105699999999899</v>
      </c>
      <c r="AF3771">
        <v>8.7899173857182795</v>
      </c>
      <c r="AG3771">
        <v>-1.096064311044</v>
      </c>
      <c r="AH3771">
        <v>14.9070186669904</v>
      </c>
      <c r="AI3771">
        <v>93.624046014441305</v>
      </c>
      <c r="AJ3771">
        <v>59.474290426222801</v>
      </c>
      <c r="AK3771">
        <v>17.3402194380491</v>
      </c>
      <c r="AL3771">
        <v>81.867082728415696</v>
      </c>
      <c r="AM3771">
        <v>71.358848230357907</v>
      </c>
      <c r="AN3771">
        <v>1.0000000574907599</v>
      </c>
    </row>
    <row r="3772" spans="1:40" x14ac:dyDescent="0.25">
      <c r="A3772" t="str">
        <f>"20190312173005790"</f>
        <v>20190312173005790</v>
      </c>
      <c r="B3772" t="str">
        <f>"1552383005781438"</f>
        <v>1552383005781438</v>
      </c>
      <c r="C3772" t="s">
        <v>40</v>
      </c>
      <c r="D3772">
        <v>3.4599730000000002</v>
      </c>
      <c r="E3772">
        <v>0.57747299999999901</v>
      </c>
      <c r="F3772" t="s">
        <v>41</v>
      </c>
      <c r="G3772">
        <v>-193.42939999999999</v>
      </c>
      <c r="H3772" s="1">
        <v>-3.190354E-6</v>
      </c>
      <c r="I3772">
        <v>184.8989</v>
      </c>
      <c r="J3772">
        <v>-190.49619999999999</v>
      </c>
      <c r="K3772">
        <v>1.096009</v>
      </c>
      <c r="L3772">
        <v>201.88919999999999</v>
      </c>
      <c r="M3772">
        <v>0.33178659999999999</v>
      </c>
      <c r="N3772">
        <v>0</v>
      </c>
      <c r="O3772">
        <v>-0.94327459999999996</v>
      </c>
      <c r="P3772">
        <v>2.269088E-2</v>
      </c>
      <c r="Q3772">
        <v>0.1400412</v>
      </c>
      <c r="R3772">
        <v>-0.98988589999999999</v>
      </c>
      <c r="S3772">
        <v>-0.50808719999999996</v>
      </c>
      <c r="T3772">
        <v>-0.19539629999999999</v>
      </c>
      <c r="U3772">
        <v>-3.0781710000000002</v>
      </c>
      <c r="V3772">
        <v>0.31184410000000001</v>
      </c>
      <c r="W3772">
        <v>0.14146800000000001</v>
      </c>
      <c r="X3772">
        <v>0.93954249999999995</v>
      </c>
      <c r="Y3772">
        <v>0.4807247</v>
      </c>
      <c r="Z3772">
        <v>5.3656290000000002E-2</v>
      </c>
      <c r="AA3772">
        <v>0.87522849999999996</v>
      </c>
      <c r="AB3772">
        <v>28</v>
      </c>
      <c r="AC3772">
        <v>-2.9331999999999998</v>
      </c>
      <c r="AD3772">
        <v>-1.0960121903540001</v>
      </c>
      <c r="AE3772">
        <v>-16.990299999999898</v>
      </c>
      <c r="AF3772">
        <v>8.3707750196722195</v>
      </c>
      <c r="AG3772">
        <v>-1.0960121903540001</v>
      </c>
      <c r="AH3772">
        <v>14.9938680985854</v>
      </c>
      <c r="AI3772">
        <v>93.651928782310904</v>
      </c>
      <c r="AJ3772">
        <v>60.826255393243898</v>
      </c>
      <c r="AK3772">
        <v>17.2071844794303</v>
      </c>
      <c r="AL3772">
        <v>81.867198205991599</v>
      </c>
      <c r="AM3772">
        <v>71.638448236268502</v>
      </c>
      <c r="AN3772">
        <v>1.0000000235175199</v>
      </c>
    </row>
    <row r="3773" spans="1:40" x14ac:dyDescent="0.25">
      <c r="A3773" t="str">
        <f>"20190312173005811"</f>
        <v>20190312173005811</v>
      </c>
      <c r="B3773" t="str">
        <f>"1552383005801935"</f>
        <v>1552383005801935</v>
      </c>
      <c r="C3773" t="s">
        <v>40</v>
      </c>
      <c r="D3773">
        <v>3.4843639999999998</v>
      </c>
      <c r="E3773">
        <v>0.57688689999999998</v>
      </c>
      <c r="F3773" t="s">
        <v>41</v>
      </c>
      <c r="G3773">
        <v>-193.5557</v>
      </c>
      <c r="H3773" s="1">
        <v>-3.1797170000000001E-6</v>
      </c>
      <c r="I3773">
        <v>184.79580000000001</v>
      </c>
      <c r="J3773">
        <v>-190.4203</v>
      </c>
      <c r="K3773">
        <v>1.095969</v>
      </c>
      <c r="L3773">
        <v>201.62</v>
      </c>
      <c r="M3773">
        <v>0.31487130000000002</v>
      </c>
      <c r="N3773">
        <v>0</v>
      </c>
      <c r="O3773">
        <v>-0.94905510000000004</v>
      </c>
      <c r="P3773">
        <v>1.049749E-2</v>
      </c>
      <c r="Q3773">
        <v>0.13895270000000001</v>
      </c>
      <c r="R3773">
        <v>-0.99024369999999995</v>
      </c>
      <c r="S3773">
        <v>-0.54969789999999996</v>
      </c>
      <c r="T3773">
        <v>-0.1969157</v>
      </c>
      <c r="U3773">
        <v>-3.0711059999999999</v>
      </c>
      <c r="V3773">
        <v>0.30663390000000001</v>
      </c>
      <c r="W3773">
        <v>0.14054710000000001</v>
      </c>
      <c r="X3773">
        <v>0.9413937</v>
      </c>
      <c r="Y3773">
        <v>0.47687960000000001</v>
      </c>
      <c r="Z3773">
        <v>5.4753250000000003E-2</v>
      </c>
      <c r="AA3773">
        <v>0.87726159999999997</v>
      </c>
      <c r="AB3773">
        <v>28</v>
      </c>
      <c r="AC3773">
        <v>-3.1354000000000002</v>
      </c>
      <c r="AD3773">
        <v>-1.0959721797169999</v>
      </c>
      <c r="AE3773">
        <v>-16.824199999999902</v>
      </c>
      <c r="AF3773">
        <v>8.2399545681356692</v>
      </c>
      <c r="AG3773">
        <v>-1.0959721797169999</v>
      </c>
      <c r="AH3773">
        <v>14.9197846945686</v>
      </c>
      <c r="AI3773">
        <v>93.679204757031698</v>
      </c>
      <c r="AJ3773">
        <v>61.088843290747697</v>
      </c>
      <c r="AK3773">
        <v>17.079168060416102</v>
      </c>
      <c r="AL3773">
        <v>81.920493939628898</v>
      </c>
      <c r="AM3773">
        <v>71.958361401777793</v>
      </c>
      <c r="AN3773">
        <v>0.99999996717365403</v>
      </c>
    </row>
    <row r="3774" spans="1:40" x14ac:dyDescent="0.25">
      <c r="A3774" t="str">
        <f>"20190312173005834"</f>
        <v>20190312173005834</v>
      </c>
      <c r="B3774" t="str">
        <f>"1552383005831216"</f>
        <v>1552383005831216</v>
      </c>
      <c r="C3774" t="s">
        <v>40</v>
      </c>
      <c r="D3774">
        <v>3.5858210000000001</v>
      </c>
      <c r="E3774">
        <v>0.57582069999999996</v>
      </c>
      <c r="F3774" t="s">
        <v>41</v>
      </c>
      <c r="G3774">
        <v>-193.63659999999999</v>
      </c>
      <c r="H3774" s="1">
        <v>-3.1623569999999999E-6</v>
      </c>
      <c r="I3774">
        <v>184.70509999999999</v>
      </c>
      <c r="J3774">
        <v>-190.34829999999999</v>
      </c>
      <c r="K3774">
        <v>1.095925</v>
      </c>
      <c r="L3774">
        <v>201.34540000000001</v>
      </c>
      <c r="M3774">
        <v>0.29759869999999999</v>
      </c>
      <c r="N3774">
        <v>0</v>
      </c>
      <c r="O3774">
        <v>-0.95461200000000002</v>
      </c>
      <c r="P3774">
        <v>-1.286E-3</v>
      </c>
      <c r="Q3774">
        <v>0.1379483</v>
      </c>
      <c r="R3774">
        <v>-0.99043879999999995</v>
      </c>
      <c r="S3774">
        <v>-0.58251949999999997</v>
      </c>
      <c r="T3774">
        <v>-0.19849919999999999</v>
      </c>
      <c r="U3774">
        <v>-3.0635680000000001</v>
      </c>
      <c r="V3774">
        <v>0.3007611</v>
      </c>
      <c r="W3774">
        <v>0.1397359</v>
      </c>
      <c r="X3774">
        <v>0.94340690000000005</v>
      </c>
      <c r="Y3774">
        <v>0.47037410000000002</v>
      </c>
      <c r="Z3774">
        <v>5.5922850000000003E-2</v>
      </c>
      <c r="AA3774">
        <v>0.88069339999999996</v>
      </c>
      <c r="AB3774">
        <v>28</v>
      </c>
      <c r="AC3774">
        <v>-3.2882999999999898</v>
      </c>
      <c r="AD3774">
        <v>-1.0959281623569901</v>
      </c>
      <c r="AE3774">
        <v>-16.6403</v>
      </c>
      <c r="AF3774">
        <v>8.05815417062656</v>
      </c>
      <c r="AG3774">
        <v>-1.0959281623569901</v>
      </c>
      <c r="AH3774">
        <v>14.8455883504935</v>
      </c>
      <c r="AI3774">
        <v>93.712156496701098</v>
      </c>
      <c r="AJ3774">
        <v>61.506983229093002</v>
      </c>
      <c r="AK3774">
        <v>16.927090731928601</v>
      </c>
      <c r="AL3774">
        <v>81.967435545373704</v>
      </c>
      <c r="AM3774">
        <v>72.317554190797694</v>
      </c>
      <c r="AN3774">
        <v>0.999999969994814</v>
      </c>
    </row>
    <row r="3775" spans="1:40" x14ac:dyDescent="0.25">
      <c r="A3775" t="str">
        <f>"20190312173005855"</f>
        <v>20190312173005855</v>
      </c>
      <c r="B3775" t="str">
        <f>"1552383005851711"</f>
        <v>1552383005851711</v>
      </c>
      <c r="C3775" t="s">
        <v>40</v>
      </c>
      <c r="D3775">
        <v>3.5016500000000002</v>
      </c>
      <c r="E3775">
        <v>0.53668760000000004</v>
      </c>
      <c r="F3775" t="s">
        <v>41</v>
      </c>
      <c r="G3775">
        <v>-193.66380000000001</v>
      </c>
      <c r="H3775" s="1">
        <v>-3.192196E-6</v>
      </c>
      <c r="I3775">
        <v>184.7578</v>
      </c>
      <c r="J3775">
        <v>-190.28270000000001</v>
      </c>
      <c r="K3775">
        <v>1.09588</v>
      </c>
      <c r="L3775">
        <v>201.07640000000001</v>
      </c>
      <c r="M3775">
        <v>0.28065509999999999</v>
      </c>
      <c r="N3775">
        <v>0</v>
      </c>
      <c r="O3775">
        <v>-0.95973030000000004</v>
      </c>
      <c r="P3775">
        <v>-1.2690480000000001E-2</v>
      </c>
      <c r="Q3775">
        <v>0.136732299999999</v>
      </c>
      <c r="R3775">
        <v>-0.99052720000000005</v>
      </c>
      <c r="S3775">
        <v>-0.61088560000000003</v>
      </c>
      <c r="T3775">
        <v>-0.20192499999999999</v>
      </c>
      <c r="U3775">
        <v>-3.0562740000000002</v>
      </c>
      <c r="V3775">
        <v>0.29493049999999998</v>
      </c>
      <c r="W3775">
        <v>0.13871359999999999</v>
      </c>
      <c r="X3775">
        <v>0.94539649999999997</v>
      </c>
      <c r="Y3775">
        <v>0.4629837</v>
      </c>
      <c r="Z3775">
        <v>5.760026E-2</v>
      </c>
      <c r="AA3775">
        <v>0.88449330000000004</v>
      </c>
      <c r="AB3775">
        <v>28</v>
      </c>
      <c r="AC3775">
        <v>-3.3811</v>
      </c>
      <c r="AD3775">
        <v>-1.0958831921959999</v>
      </c>
      <c r="AE3775">
        <v>-16.3186</v>
      </c>
      <c r="AF3775">
        <v>7.7917379779816196</v>
      </c>
      <c r="AG3775">
        <v>-1.0958831921959999</v>
      </c>
      <c r="AH3775">
        <v>14.650287806760799</v>
      </c>
      <c r="AI3775">
        <v>93.778508008191906</v>
      </c>
      <c r="AJ3775">
        <v>61.9937751480023</v>
      </c>
      <c r="AK3775">
        <v>16.629584285525102</v>
      </c>
      <c r="AL3775">
        <v>82.026585354427098</v>
      </c>
      <c r="AM3775">
        <v>72.673912280086697</v>
      </c>
      <c r="AN3775">
        <v>1.0000000024337199</v>
      </c>
    </row>
    <row r="3776" spans="1:40" x14ac:dyDescent="0.25">
      <c r="A3776" t="str">
        <f>"20190312173005878"</f>
        <v>20190312173005878</v>
      </c>
      <c r="B3776" t="str">
        <f>"1552383005871236"</f>
        <v>1552383005871236</v>
      </c>
      <c r="C3776" t="s">
        <v>40</v>
      </c>
      <c r="D3776">
        <v>3.4944039999999998</v>
      </c>
      <c r="E3776">
        <v>0.53118589999999999</v>
      </c>
      <c r="F3776" t="s">
        <v>41</v>
      </c>
      <c r="G3776">
        <v>-192.54130000000001</v>
      </c>
      <c r="H3776" s="1">
        <v>-1.04902E-6</v>
      </c>
      <c r="I3776">
        <v>180.45820000000001</v>
      </c>
      <c r="J3776">
        <v>-190.21940000000001</v>
      </c>
      <c r="K3776">
        <v>1.095834</v>
      </c>
      <c r="L3776">
        <v>200.7946</v>
      </c>
      <c r="M3776">
        <v>0.2628953</v>
      </c>
      <c r="N3776">
        <v>0</v>
      </c>
      <c r="O3776">
        <v>-0.9647462</v>
      </c>
      <c r="P3776">
        <v>-2.4561139999999999E-2</v>
      </c>
      <c r="Q3776">
        <v>0.13490279999999999</v>
      </c>
      <c r="R3776">
        <v>-0.99055439999999995</v>
      </c>
      <c r="S3776">
        <v>-0.33375549999999998</v>
      </c>
      <c r="T3776">
        <v>-0.16194020000000001</v>
      </c>
      <c r="U3776">
        <v>-3.046783</v>
      </c>
      <c r="V3776">
        <v>0.28881610000000002</v>
      </c>
      <c r="W3776">
        <v>0.1370866</v>
      </c>
      <c r="X3776">
        <v>0.94751909999999895</v>
      </c>
      <c r="Y3776">
        <v>0.3662686</v>
      </c>
      <c r="Z3776">
        <v>4.8274280000000003E-2</v>
      </c>
      <c r="AA3776">
        <v>0.92925610000000003</v>
      </c>
      <c r="AB3776">
        <v>28</v>
      </c>
      <c r="AC3776">
        <v>-2.3218999999999901</v>
      </c>
      <c r="AD3776">
        <v>-1.09583504902</v>
      </c>
      <c r="AE3776">
        <v>-20.336400000000001</v>
      </c>
      <c r="AF3776">
        <v>7.5652762359335597</v>
      </c>
      <c r="AG3776">
        <v>-1.09583504902</v>
      </c>
      <c r="AH3776">
        <v>18.956148283336599</v>
      </c>
      <c r="AI3776">
        <v>93.073318483579698</v>
      </c>
      <c r="AJ3776">
        <v>68.243377431296807</v>
      </c>
      <c r="AK3776">
        <v>20.439418208953199</v>
      </c>
      <c r="AL3776">
        <v>82.120704467338101</v>
      </c>
      <c r="AM3776">
        <v>73.048099245302694</v>
      </c>
      <c r="AN3776">
        <v>0.99999996019178905</v>
      </c>
    </row>
    <row r="3777" spans="1:40" x14ac:dyDescent="0.25">
      <c r="A3777" t="str">
        <f>"20190312173005900"</f>
        <v>20190312173005900</v>
      </c>
      <c r="B3777" t="str">
        <f>"1552383005891730"</f>
        <v>1552383005891730</v>
      </c>
      <c r="C3777" t="s">
        <v>40</v>
      </c>
      <c r="D3777">
        <v>3.4915280000000002</v>
      </c>
      <c r="E3777">
        <v>0.52808250000000001</v>
      </c>
      <c r="F3777" t="s">
        <v>41</v>
      </c>
      <c r="G3777">
        <v>-192.53569999999999</v>
      </c>
      <c r="H3777" s="1">
        <v>-4.5936660000000001E-6</v>
      </c>
      <c r="I3777">
        <v>179.16380000000001</v>
      </c>
      <c r="J3777">
        <v>-190.1619</v>
      </c>
      <c r="K3777">
        <v>1.095798</v>
      </c>
      <c r="L3777">
        <v>200.51570000000001</v>
      </c>
      <c r="M3777">
        <v>0.2453079</v>
      </c>
      <c r="N3777">
        <v>0</v>
      </c>
      <c r="O3777">
        <v>-0.96936739999999999</v>
      </c>
      <c r="P3777">
        <v>-3.5438940000000002E-2</v>
      </c>
      <c r="Q3777">
        <v>0.1340934</v>
      </c>
      <c r="R3777">
        <v>-0.99033499999999997</v>
      </c>
      <c r="S3777">
        <v>-0.32569890000000001</v>
      </c>
      <c r="T3777">
        <v>-0.1540869</v>
      </c>
      <c r="U3777">
        <v>-3.041534</v>
      </c>
      <c r="V3777">
        <v>0.2819855</v>
      </c>
      <c r="W3777">
        <v>0.13650379999999901</v>
      </c>
      <c r="X3777">
        <v>0.94965829999999996</v>
      </c>
      <c r="Y3777">
        <v>0.34702430000000001</v>
      </c>
      <c r="Z3777">
        <v>4.6562109999999997E-2</v>
      </c>
      <c r="AA3777">
        <v>0.93669959999999997</v>
      </c>
      <c r="AB3777">
        <v>28</v>
      </c>
      <c r="AC3777">
        <v>-2.3737999999999801</v>
      </c>
      <c r="AD3777">
        <v>-1.0958025936660001</v>
      </c>
      <c r="AE3777">
        <v>-21.351900000000001</v>
      </c>
      <c r="AF3777">
        <v>7.5198784311695697</v>
      </c>
      <c r="AG3777">
        <v>-1.0958025936660001</v>
      </c>
      <c r="AH3777">
        <v>20.064838937742199</v>
      </c>
      <c r="AI3777">
        <v>92.927529150143997</v>
      </c>
      <c r="AJ3777">
        <v>69.455061450197405</v>
      </c>
      <c r="AK3777">
        <v>21.4557012596044</v>
      </c>
      <c r="AL3777">
        <v>82.154413634758598</v>
      </c>
      <c r="AM3777">
        <v>73.4620742662743</v>
      </c>
      <c r="AN3777">
        <v>0.99999999819178997</v>
      </c>
    </row>
    <row r="3778" spans="1:40" x14ac:dyDescent="0.25">
      <c r="A3778" t="str">
        <f>"20190312173005922"</f>
        <v>20190312173005922</v>
      </c>
      <c r="B3778" t="str">
        <f>"1552383005911247"</f>
        <v>1552383005911247</v>
      </c>
      <c r="C3778" t="s">
        <v>40</v>
      </c>
      <c r="D3778">
        <v>3.496807</v>
      </c>
      <c r="E3778">
        <v>0.52596229999999999</v>
      </c>
      <c r="F3778" t="s">
        <v>41</v>
      </c>
      <c r="G3778">
        <v>-192.57570000000001</v>
      </c>
      <c r="H3778" s="1">
        <v>-4.4100640000000002E-6</v>
      </c>
      <c r="I3778">
        <v>178.60339999999999</v>
      </c>
      <c r="J3778">
        <v>-190.1096</v>
      </c>
      <c r="K3778">
        <v>1.095782</v>
      </c>
      <c r="L3778">
        <v>200.2372</v>
      </c>
      <c r="M3778">
        <v>0.2277525</v>
      </c>
      <c r="N3778">
        <v>0</v>
      </c>
      <c r="O3778">
        <v>-0.97364189999999995</v>
      </c>
      <c r="P3778">
        <v>-4.5213650000000001E-2</v>
      </c>
      <c r="Q3778">
        <v>0.1347651</v>
      </c>
      <c r="R3778">
        <v>-0.9898458</v>
      </c>
      <c r="S3778">
        <v>-0.33464050000000001</v>
      </c>
      <c r="T3778">
        <v>-0.15191859999999999</v>
      </c>
      <c r="U3778">
        <v>-3.0378569999999998</v>
      </c>
      <c r="V3778">
        <v>0.2741902</v>
      </c>
      <c r="W3778">
        <v>0.13743849999999999</v>
      </c>
      <c r="X3778">
        <v>0.95180370000000003</v>
      </c>
      <c r="Y3778">
        <v>0.3328874</v>
      </c>
      <c r="Z3778">
        <v>4.6404609999999999E-2</v>
      </c>
      <c r="AA3778">
        <v>0.94182410000000005</v>
      </c>
      <c r="AB3778">
        <v>28</v>
      </c>
      <c r="AC3778">
        <v>-2.4661000000000102</v>
      </c>
      <c r="AD3778">
        <v>-1.095786410064</v>
      </c>
      <c r="AE3778">
        <v>-21.633800000000001</v>
      </c>
      <c r="AF3778">
        <v>7.3102863518195704</v>
      </c>
      <c r="AG3778">
        <v>-1.095786410064</v>
      </c>
      <c r="AH3778">
        <v>20.451656705169</v>
      </c>
      <c r="AI3778">
        <v>92.888302343720497</v>
      </c>
      <c r="AJ3778">
        <v>70.330963524833393</v>
      </c>
      <c r="AK3778">
        <v>21.746523777104301</v>
      </c>
      <c r="AL3778">
        <v>82.100349295706394</v>
      </c>
      <c r="AM3778">
        <v>73.929667665563699</v>
      </c>
      <c r="AN3778">
        <v>0.999999945195988</v>
      </c>
    </row>
    <row r="3779" spans="1:40" x14ac:dyDescent="0.25">
      <c r="A3779" t="str">
        <f>"20190312173005947"</f>
        <v>20190312173005947</v>
      </c>
      <c r="B3779" t="str">
        <f>"1552383005941503"</f>
        <v>1552383005941503</v>
      </c>
      <c r="C3779" t="s">
        <v>40</v>
      </c>
      <c r="D3779">
        <v>3.5152220000000001</v>
      </c>
      <c r="E3779">
        <v>0.52347829999999995</v>
      </c>
      <c r="F3779" t="s">
        <v>41</v>
      </c>
      <c r="G3779">
        <v>-192.70070000000001</v>
      </c>
      <c r="H3779" s="1">
        <v>-4.1143389999999997E-6</v>
      </c>
      <c r="I3779">
        <v>177.66919999999999</v>
      </c>
      <c r="J3779">
        <v>-190.0591</v>
      </c>
      <c r="K3779">
        <v>1.095777</v>
      </c>
      <c r="L3779">
        <v>199.935</v>
      </c>
      <c r="M3779">
        <v>0.2087512</v>
      </c>
      <c r="N3779">
        <v>0</v>
      </c>
      <c r="O3779">
        <v>-0.97789199999999998</v>
      </c>
      <c r="P3779">
        <v>-5.6614030000000003E-2</v>
      </c>
      <c r="Q3779">
        <v>0.13620940000000001</v>
      </c>
      <c r="R3779">
        <v>-0.98906139999999998</v>
      </c>
      <c r="S3779">
        <v>-0.34844969999999997</v>
      </c>
      <c r="T3779">
        <v>-0.14736079999999999</v>
      </c>
      <c r="U3779">
        <v>-3.0349270000000002</v>
      </c>
      <c r="V3779">
        <v>0.26661289999999999</v>
      </c>
      <c r="W3779">
        <v>0.13914190000000001</v>
      </c>
      <c r="X3779">
        <v>0.95370699999999997</v>
      </c>
      <c r="Y3779">
        <v>0.31882779999999999</v>
      </c>
      <c r="Z3779">
        <v>4.5474180000000003E-2</v>
      </c>
      <c r="AA3779">
        <v>0.94672109999999998</v>
      </c>
      <c r="AB3779">
        <v>28</v>
      </c>
      <c r="AC3779">
        <v>-2.6416000000000102</v>
      </c>
      <c r="AD3779">
        <v>-1.0957811143389999</v>
      </c>
      <c r="AE3779">
        <v>-22.265799999999999</v>
      </c>
      <c r="AF3779">
        <v>7.2145240817877498</v>
      </c>
      <c r="AG3779">
        <v>-1.0957811143389999</v>
      </c>
      <c r="AH3779">
        <v>21.1731350075503</v>
      </c>
      <c r="AI3779">
        <v>92.804542409899696</v>
      </c>
      <c r="AJ3779">
        <v>71.183994007156599</v>
      </c>
      <c r="AK3779">
        <v>22.395350857380802</v>
      </c>
      <c r="AL3779">
        <v>82.001805041145005</v>
      </c>
      <c r="AM3779">
        <v>74.381436081517194</v>
      </c>
      <c r="AN3779">
        <v>0.99999997431550902</v>
      </c>
    </row>
    <row r="3780" spans="1:40" x14ac:dyDescent="0.25">
      <c r="A3780" t="str">
        <f>"20190312173005967"</f>
        <v>20190312173005967</v>
      </c>
      <c r="B3780" t="str">
        <f>"1552383005961999"</f>
        <v>1552383005961999</v>
      </c>
      <c r="C3780" t="s">
        <v>40</v>
      </c>
      <c r="D3780">
        <v>3.4651619999999999</v>
      </c>
      <c r="E3780">
        <v>0.52214419999999995</v>
      </c>
      <c r="F3780" t="s">
        <v>41</v>
      </c>
      <c r="G3780">
        <v>-192.88640000000001</v>
      </c>
      <c r="H3780" s="1">
        <v>-3.6675009999999999E-6</v>
      </c>
      <c r="I3780">
        <v>176.34790000000001</v>
      </c>
      <c r="J3780">
        <v>-190.01920000000001</v>
      </c>
      <c r="K3780">
        <v>1.095791</v>
      </c>
      <c r="L3780">
        <v>199.66720000000001</v>
      </c>
      <c r="M3780">
        <v>0.19195950000000001</v>
      </c>
      <c r="N3780">
        <v>0</v>
      </c>
      <c r="O3780">
        <v>-0.98132660000000005</v>
      </c>
      <c r="P3780">
        <v>-6.4970449999999999E-2</v>
      </c>
      <c r="Q3780">
        <v>0.13805999999999999</v>
      </c>
      <c r="R3780">
        <v>-0.98829080000000002</v>
      </c>
      <c r="S3780">
        <v>-0.36340329999999998</v>
      </c>
      <c r="T3780">
        <v>-0.14084569999999999</v>
      </c>
      <c r="U3780">
        <v>-3.0317539999999998</v>
      </c>
      <c r="V3780">
        <v>0.25831500000000002</v>
      </c>
      <c r="W3780">
        <v>0.14128299999999999</v>
      </c>
      <c r="X3780">
        <v>0.95567380000000002</v>
      </c>
      <c r="Y3780">
        <v>0.30728810000000001</v>
      </c>
      <c r="Z3780">
        <v>4.3828010000000001E-2</v>
      </c>
      <c r="AA3780">
        <v>0.95060670000000003</v>
      </c>
      <c r="AB3780">
        <v>28</v>
      </c>
      <c r="AC3780">
        <v>-2.8671999999999902</v>
      </c>
      <c r="AD3780">
        <v>-1.095794667501</v>
      </c>
      <c r="AE3780">
        <v>-23.319299999999998</v>
      </c>
      <c r="AF3780">
        <v>7.2747419021089099</v>
      </c>
      <c r="AG3780">
        <v>-1.095794667501</v>
      </c>
      <c r="AH3780">
        <v>22.2866551987129</v>
      </c>
      <c r="AI3780">
        <v>92.676121421974699</v>
      </c>
      <c r="AJ3780">
        <v>71.922439983283297</v>
      </c>
      <c r="AK3780">
        <v>23.46950437572</v>
      </c>
      <c r="AL3780">
        <v>81.877905019675097</v>
      </c>
      <c r="AM3780">
        <v>74.874607979932406</v>
      </c>
      <c r="AN3780">
        <v>0.99999996866021901</v>
      </c>
    </row>
    <row r="3781" spans="1:40" x14ac:dyDescent="0.25">
      <c r="A3781" t="str">
        <f>"20190312173005991"</f>
        <v>20190312173005991</v>
      </c>
      <c r="B3781" t="str">
        <f>"1552383005981520"</f>
        <v>1552383005981520</v>
      </c>
      <c r="C3781" t="s">
        <v>40</v>
      </c>
      <c r="D3781">
        <v>3.4967269999999901</v>
      </c>
      <c r="E3781">
        <v>0.52108569999999999</v>
      </c>
      <c r="F3781" t="s">
        <v>41</v>
      </c>
      <c r="G3781">
        <v>-193.04599999999999</v>
      </c>
      <c r="H3781" s="1">
        <v>-3.318335E-6</v>
      </c>
      <c r="I3781">
        <v>175.435</v>
      </c>
      <c r="J3781">
        <v>-189.97909999999999</v>
      </c>
      <c r="K3781">
        <v>1.0958159999999999</v>
      </c>
      <c r="L3781">
        <v>199.35990000000001</v>
      </c>
      <c r="M3781">
        <v>0.1727486</v>
      </c>
      <c r="N3781">
        <v>0</v>
      </c>
      <c r="O3781">
        <v>-0.9848903</v>
      </c>
      <c r="P3781">
        <v>-7.550809E-2</v>
      </c>
      <c r="Q3781">
        <v>0.13916419999999999</v>
      </c>
      <c r="R3781">
        <v>-0.9873866</v>
      </c>
      <c r="S3781">
        <v>-0.37844850000000002</v>
      </c>
      <c r="T3781">
        <v>-0.13700909999999999</v>
      </c>
      <c r="U3781">
        <v>-3.0297999999999998</v>
      </c>
      <c r="V3781">
        <v>0.24981700000000001</v>
      </c>
      <c r="W3781">
        <v>0.1426877</v>
      </c>
      <c r="X3781">
        <v>0.95772210000000002</v>
      </c>
      <c r="Y3781">
        <v>0.29339100000000001</v>
      </c>
      <c r="Z3781">
        <v>4.2991179999999997E-2</v>
      </c>
      <c r="AA3781">
        <v>0.95502540000000002</v>
      </c>
      <c r="AB3781">
        <v>28</v>
      </c>
      <c r="AC3781">
        <v>-3.0669</v>
      </c>
      <c r="AD3781">
        <v>-1.09581931833499</v>
      </c>
      <c r="AE3781">
        <v>-23.924900000000001</v>
      </c>
      <c r="AF3781">
        <v>7.13935084219227</v>
      </c>
      <c r="AG3781">
        <v>-1.09581931833499</v>
      </c>
      <c r="AH3781">
        <v>22.9878698470228</v>
      </c>
      <c r="AI3781">
        <v>92.6065610742139</v>
      </c>
      <c r="AJ3781">
        <v>72.746754923648197</v>
      </c>
      <c r="AK3781">
        <v>24.0959189600648</v>
      </c>
      <c r="AL3781">
        <v>81.796597872787501</v>
      </c>
      <c r="AM3781">
        <v>75.380445008269405</v>
      </c>
      <c r="AN3781">
        <v>0.99999996702434901</v>
      </c>
    </row>
    <row r="3782" spans="1:40" x14ac:dyDescent="0.25">
      <c r="A3782" t="str">
        <f>"20190312173006011"</f>
        <v>20190312173006011</v>
      </c>
      <c r="B3782" t="str">
        <f>"1552383006001039"</f>
        <v>1552383006001039</v>
      </c>
      <c r="C3782" t="s">
        <v>40</v>
      </c>
      <c r="D3782">
        <v>3.5004040000000001</v>
      </c>
      <c r="E3782">
        <v>0.52006399999999997</v>
      </c>
      <c r="F3782" t="s">
        <v>41</v>
      </c>
      <c r="G3782">
        <v>-193.18039999999999</v>
      </c>
      <c r="H3782" s="1">
        <v>-3.2830740000000001E-6</v>
      </c>
      <c r="I3782">
        <v>175.26949999999999</v>
      </c>
      <c r="J3782">
        <v>-189.94919999999999</v>
      </c>
      <c r="K3782">
        <v>1.0958410000000001</v>
      </c>
      <c r="L3782">
        <v>199.09460000000001</v>
      </c>
      <c r="M3782">
        <v>0.15624569999999999</v>
      </c>
      <c r="N3782">
        <v>0</v>
      </c>
      <c r="O3782">
        <v>-0.9876431</v>
      </c>
      <c r="P3782">
        <v>-8.3125000000000004E-2</v>
      </c>
      <c r="Q3782">
        <v>0.13986470000000001</v>
      </c>
      <c r="R3782">
        <v>-0.98667559999999999</v>
      </c>
      <c r="S3782">
        <v>-0.40223690000000001</v>
      </c>
      <c r="T3782">
        <v>-0.13769010000000001</v>
      </c>
      <c r="U3782">
        <v>-3.0269620000000002</v>
      </c>
      <c r="V3782">
        <v>0.24115819999999999</v>
      </c>
      <c r="W3782">
        <v>0.14369949999999901</v>
      </c>
      <c r="X3782">
        <v>0.95978810000000003</v>
      </c>
      <c r="Y3782">
        <v>0.28487499999999999</v>
      </c>
      <c r="Z3782">
        <v>4.3468659999999999E-2</v>
      </c>
      <c r="AA3782">
        <v>0.9575785</v>
      </c>
      <c r="AB3782">
        <v>28</v>
      </c>
      <c r="AC3782">
        <v>-3.2311999999999999</v>
      </c>
      <c r="AD3782">
        <v>-1.0958442830740001</v>
      </c>
      <c r="AE3782">
        <v>-23.825099999999999</v>
      </c>
      <c r="AF3782">
        <v>6.9000209762188298</v>
      </c>
      <c r="AG3782">
        <v>-1.0958442830740001</v>
      </c>
      <c r="AH3782">
        <v>22.9798056536678</v>
      </c>
      <c r="AI3782">
        <v>92.6150412119122</v>
      </c>
      <c r="AJ3782">
        <v>73.286850787910197</v>
      </c>
      <c r="AK3782">
        <v>24.0183811287386</v>
      </c>
      <c r="AL3782">
        <v>81.738022720185995</v>
      </c>
      <c r="AM3782">
        <v>75.895727217695907</v>
      </c>
      <c r="AN3782">
        <v>1.0000000103145401</v>
      </c>
    </row>
    <row r="3783" spans="1:40" x14ac:dyDescent="0.25">
      <c r="A3783" t="str">
        <f>"20190312173006034"</f>
        <v>20190312173006034</v>
      </c>
      <c r="B3783" t="str">
        <f>"1552383006031295"</f>
        <v>1552383006031295</v>
      </c>
      <c r="C3783" t="s">
        <v>40</v>
      </c>
      <c r="D3783">
        <v>3.4762650000000002</v>
      </c>
      <c r="E3783">
        <v>0.5191559</v>
      </c>
      <c r="F3783" t="s">
        <v>41</v>
      </c>
      <c r="G3783">
        <v>-193.23570000000001</v>
      </c>
      <c r="H3783" s="1">
        <v>-3.291386E-6</v>
      </c>
      <c r="I3783">
        <v>175.25460000000001</v>
      </c>
      <c r="J3783">
        <v>-189.92230000000001</v>
      </c>
      <c r="K3783">
        <v>1.095899</v>
      </c>
      <c r="L3783">
        <v>198.81450000000001</v>
      </c>
      <c r="M3783">
        <v>0.13893800000000001</v>
      </c>
      <c r="N3783">
        <v>0</v>
      </c>
      <c r="O3783">
        <v>-0.9902263</v>
      </c>
      <c r="P3783">
        <v>-9.2083079999999998E-2</v>
      </c>
      <c r="Q3783">
        <v>0.13990929999999999</v>
      </c>
      <c r="R3783">
        <v>-0.98587349999999996</v>
      </c>
      <c r="S3783">
        <v>-0.41702270000000002</v>
      </c>
      <c r="T3783">
        <v>-0.13905290000000001</v>
      </c>
      <c r="U3783">
        <v>-3.0250849999999998</v>
      </c>
      <c r="V3783">
        <v>0.2330409</v>
      </c>
      <c r="W3783">
        <v>0.14404069999999999</v>
      </c>
      <c r="X3783">
        <v>0.96174020000000005</v>
      </c>
      <c r="Y3783">
        <v>0.27274789999999999</v>
      </c>
      <c r="Z3783">
        <v>4.4168930000000002E-2</v>
      </c>
      <c r="AA3783">
        <v>0.96107109999999996</v>
      </c>
      <c r="AB3783">
        <v>28</v>
      </c>
      <c r="AC3783">
        <v>-3.3134000000000001</v>
      </c>
      <c r="AD3783">
        <v>-1.0959022913859999</v>
      </c>
      <c r="AE3783">
        <v>-23.559899999999999</v>
      </c>
      <c r="AF3783">
        <v>6.5409884044767503</v>
      </c>
      <c r="AG3783">
        <v>-1.0959022913859999</v>
      </c>
      <c r="AH3783">
        <v>22.822545818672001</v>
      </c>
      <c r="AI3783">
        <v>92.642897586664404</v>
      </c>
      <c r="AJ3783">
        <v>74.007588898134898</v>
      </c>
      <c r="AK3783">
        <v>23.7666600258671</v>
      </c>
      <c r="AL3783">
        <v>81.718267782382597</v>
      </c>
      <c r="AM3783">
        <v>76.379095738691205</v>
      </c>
      <c r="AN3783">
        <v>0.99999999831266995</v>
      </c>
    </row>
    <row r="3784" spans="1:40" x14ac:dyDescent="0.25">
      <c r="A3784" t="str">
        <f>"20190312173006056"</f>
        <v>20190312173006056</v>
      </c>
      <c r="B3784" t="str">
        <f>"1552383006051791"</f>
        <v>1552383006051791</v>
      </c>
      <c r="C3784" t="s">
        <v>40</v>
      </c>
      <c r="D3784">
        <v>3.554157</v>
      </c>
      <c r="E3784">
        <v>0.50816609999999995</v>
      </c>
      <c r="F3784" t="s">
        <v>41</v>
      </c>
      <c r="G3784">
        <v>-193.31139999999999</v>
      </c>
      <c r="H3784" s="1">
        <v>-3.3717229999999998E-6</v>
      </c>
      <c r="I3784">
        <v>175.39490000000001</v>
      </c>
      <c r="J3784">
        <v>-189.89940000000001</v>
      </c>
      <c r="K3784">
        <v>1.095977</v>
      </c>
      <c r="L3784">
        <v>198.52440000000001</v>
      </c>
      <c r="M3784">
        <v>0.1211892</v>
      </c>
      <c r="N3784">
        <v>0</v>
      </c>
      <c r="O3784">
        <v>-0.99255530000000003</v>
      </c>
      <c r="P3784">
        <v>-0.10194110000000001</v>
      </c>
      <c r="Q3784">
        <v>0.13984869999999999</v>
      </c>
      <c r="R3784">
        <v>-0.9849116</v>
      </c>
      <c r="S3784">
        <v>-0.4373474</v>
      </c>
      <c r="T3784">
        <v>-0.14142109999999999</v>
      </c>
      <c r="U3784">
        <v>-3.022186</v>
      </c>
      <c r="V3784">
        <v>0.22539619999999999</v>
      </c>
      <c r="W3784">
        <v>0.1442648</v>
      </c>
      <c r="X3784">
        <v>0.96352700000000002</v>
      </c>
      <c r="Y3784">
        <v>0.26196380000000002</v>
      </c>
      <c r="Z3784">
        <v>4.5173789999999998E-2</v>
      </c>
      <c r="AA3784">
        <v>0.96401990000000004</v>
      </c>
      <c r="AB3784">
        <v>28</v>
      </c>
      <c r="AC3784">
        <v>-3.4119999999999702</v>
      </c>
      <c r="AD3784">
        <v>-1.0959803717229999</v>
      </c>
      <c r="AE3784">
        <v>-23.1295</v>
      </c>
      <c r="AF3784">
        <v>6.1765269985757998</v>
      </c>
      <c r="AG3784">
        <v>-1.0959803717229999</v>
      </c>
      <c r="AH3784">
        <v>22.4960347180158</v>
      </c>
      <c r="AI3784">
        <v>92.689790924678206</v>
      </c>
      <c r="AJ3784">
        <v>74.647151857094499</v>
      </c>
      <c r="AK3784">
        <v>23.354276627065801</v>
      </c>
      <c r="AL3784">
        <v>81.70529253622</v>
      </c>
      <c r="AM3784">
        <v>76.833654872404097</v>
      </c>
      <c r="AN3784">
        <v>1.0000000296112299</v>
      </c>
    </row>
    <row r="3785" spans="1:40" x14ac:dyDescent="0.25">
      <c r="A3785" t="str">
        <f>"20190312173006080"</f>
        <v>20190312173006080</v>
      </c>
      <c r="B3785" t="str">
        <f>"1552383006071311"</f>
        <v>1552383006071311</v>
      </c>
      <c r="C3785" t="s">
        <v>40</v>
      </c>
      <c r="D3785">
        <v>3.552165</v>
      </c>
      <c r="E3785">
        <v>0.50684300000000004</v>
      </c>
      <c r="F3785" t="s">
        <v>41</v>
      </c>
      <c r="G3785">
        <v>-192.7792</v>
      </c>
      <c r="H3785" s="1">
        <v>-3.3368340000000001E-6</v>
      </c>
      <c r="I3785">
        <v>175.64359999999999</v>
      </c>
      <c r="J3785">
        <v>-189.88069999999999</v>
      </c>
      <c r="K3785">
        <v>1.096096</v>
      </c>
      <c r="L3785">
        <v>198.2217</v>
      </c>
      <c r="M3785">
        <v>0.1028878</v>
      </c>
      <c r="N3785">
        <v>0</v>
      </c>
      <c r="O3785">
        <v>-0.99461960000000005</v>
      </c>
      <c r="P3785">
        <v>-0.1131808</v>
      </c>
      <c r="Q3785">
        <v>0.13939869999999999</v>
      </c>
      <c r="R3785">
        <v>-0.98374700000000004</v>
      </c>
      <c r="S3785">
        <v>-0.38099670000000002</v>
      </c>
      <c r="T3785">
        <v>-0.14499819999999999</v>
      </c>
      <c r="U3785">
        <v>-3.0271300000000001</v>
      </c>
      <c r="V3785">
        <v>0.2185848</v>
      </c>
      <c r="W3785">
        <v>0.1440756</v>
      </c>
      <c r="X3785">
        <v>0.96512319999999996</v>
      </c>
      <c r="Y3785">
        <v>0.22616439999999999</v>
      </c>
      <c r="Z3785">
        <v>4.6659440000000003E-2</v>
      </c>
      <c r="AA3785">
        <v>0.97297100000000003</v>
      </c>
      <c r="AB3785">
        <v>28</v>
      </c>
      <c r="AC3785">
        <v>-2.8985000000000101</v>
      </c>
      <c r="AD3785">
        <v>-1.096099336834</v>
      </c>
      <c r="AE3785">
        <v>-22.578099999999999</v>
      </c>
      <c r="AF3785">
        <v>5.1942524983537401</v>
      </c>
      <c r="AG3785">
        <v>-1.096099336834</v>
      </c>
      <c r="AH3785">
        <v>22.108756331055702</v>
      </c>
      <c r="AI3785">
        <v>92.763150482140205</v>
      </c>
      <c r="AJ3785">
        <v>76.778654406437397</v>
      </c>
      <c r="AK3785">
        <v>22.7371677936998</v>
      </c>
      <c r="AL3785">
        <v>81.716246614466897</v>
      </c>
      <c r="AM3785">
        <v>77.238721606547301</v>
      </c>
      <c r="AN3785">
        <v>0.99999994224231803</v>
      </c>
    </row>
    <row r="3786" spans="1:40" x14ac:dyDescent="0.25">
      <c r="A3786" t="str">
        <f>"20190312173006101"</f>
        <v>20190312173006101</v>
      </c>
      <c r="B3786" t="str">
        <f>"1552383006091810"</f>
        <v>1552383006091810</v>
      </c>
      <c r="C3786" t="s">
        <v>40</v>
      </c>
      <c r="D3786">
        <v>3.5324040000000001</v>
      </c>
      <c r="E3786">
        <v>0.50562269999999998</v>
      </c>
      <c r="F3786" t="s">
        <v>41</v>
      </c>
      <c r="G3786">
        <v>-192.97040000000001</v>
      </c>
      <c r="H3786" s="1">
        <v>-3.190793E-6</v>
      </c>
      <c r="I3786">
        <v>175.18459999999999</v>
      </c>
      <c r="J3786">
        <v>-189.86789999999999</v>
      </c>
      <c r="K3786">
        <v>1.096236</v>
      </c>
      <c r="L3786">
        <v>197.93610000000001</v>
      </c>
      <c r="M3786">
        <v>8.5888809999999996E-2</v>
      </c>
      <c r="N3786">
        <v>0</v>
      </c>
      <c r="O3786">
        <v>-0.99623189999999995</v>
      </c>
      <c r="P3786">
        <v>-0.123122</v>
      </c>
      <c r="Q3786">
        <v>0.13820360000000001</v>
      </c>
      <c r="R3786">
        <v>-0.98272119999999996</v>
      </c>
      <c r="S3786">
        <v>-0.40548709999999999</v>
      </c>
      <c r="T3786">
        <v>-0.14384849999999999</v>
      </c>
      <c r="U3786">
        <v>-3.0233150000000002</v>
      </c>
      <c r="V3786">
        <v>0.2117705</v>
      </c>
      <c r="W3786">
        <v>0.143146</v>
      </c>
      <c r="X3786">
        <v>0.96677950000000001</v>
      </c>
      <c r="Y3786">
        <v>0.21742590000000001</v>
      </c>
      <c r="Z3786">
        <v>4.6485810000000002E-2</v>
      </c>
      <c r="AA3786">
        <v>0.97496930000000004</v>
      </c>
      <c r="AB3786">
        <v>28</v>
      </c>
      <c r="AC3786">
        <v>-3.10250000000002</v>
      </c>
      <c r="AD3786">
        <v>-1.096239190793</v>
      </c>
      <c r="AE3786">
        <v>-22.7515</v>
      </c>
      <c r="AF3786">
        <v>5.0338016015974603</v>
      </c>
      <c r="AG3786">
        <v>-1.096239190793</v>
      </c>
      <c r="AH3786">
        <v>22.349984596201001</v>
      </c>
      <c r="AI3786">
        <v>92.739521334199495</v>
      </c>
      <c r="AJ3786">
        <v>77.307282518350704</v>
      </c>
      <c r="AK3786">
        <v>22.9360569928246</v>
      </c>
      <c r="AL3786">
        <v>81.770067652572095</v>
      </c>
      <c r="AM3786">
        <v>77.644654138058897</v>
      </c>
      <c r="AN3786">
        <v>1.0000000618032401</v>
      </c>
    </row>
    <row r="3787" spans="1:40" x14ac:dyDescent="0.25">
      <c r="A3787" t="str">
        <f>"20190312173006124"</f>
        <v>20190312173006124</v>
      </c>
      <c r="B3787" t="str">
        <f>"1552383006111327"</f>
        <v>1552383006111327</v>
      </c>
      <c r="C3787" t="s">
        <v>40</v>
      </c>
      <c r="D3787">
        <v>3.5484520000000002</v>
      </c>
      <c r="E3787">
        <v>0.50434820000000002</v>
      </c>
      <c r="F3787" t="s">
        <v>41</v>
      </c>
      <c r="G3787">
        <v>-193.03729999999999</v>
      </c>
      <c r="H3787" s="1">
        <v>-3.3146119999999999E-6</v>
      </c>
      <c r="I3787">
        <v>175.43170000000001</v>
      </c>
      <c r="J3787">
        <v>-189.85990000000001</v>
      </c>
      <c r="K3787">
        <v>1.0964149999999999</v>
      </c>
      <c r="L3787">
        <v>197.65899999999999</v>
      </c>
      <c r="M3787">
        <v>6.9688890000000003E-2</v>
      </c>
      <c r="N3787">
        <v>0</v>
      </c>
      <c r="O3787">
        <v>-0.99749710000000003</v>
      </c>
      <c r="P3787">
        <v>-0.13211410000000001</v>
      </c>
      <c r="Q3787">
        <v>0.13762489999999999</v>
      </c>
      <c r="R3787">
        <v>-0.98163449999999997</v>
      </c>
      <c r="S3787">
        <v>-0.42533870000000001</v>
      </c>
      <c r="T3787">
        <v>-0.147118</v>
      </c>
      <c r="U3787">
        <v>-3.0201419999999999</v>
      </c>
      <c r="V3787">
        <v>0.2048198</v>
      </c>
      <c r="W3787">
        <v>0.14283970000000001</v>
      </c>
      <c r="X3787">
        <v>0.96832110000000005</v>
      </c>
      <c r="Y3787">
        <v>0.2079715</v>
      </c>
      <c r="Z3787">
        <v>4.7709990000000001E-2</v>
      </c>
      <c r="AA3787">
        <v>0.97697060000000002</v>
      </c>
      <c r="AB3787">
        <v>28</v>
      </c>
      <c r="AC3787">
        <v>-3.1773999999999698</v>
      </c>
      <c r="AD3787">
        <v>-1.0964183146119999</v>
      </c>
      <c r="AE3787">
        <v>-22.2273</v>
      </c>
      <c r="AF3787">
        <v>4.7075554642730904</v>
      </c>
      <c r="AG3787">
        <v>-1.0964183146119999</v>
      </c>
      <c r="AH3787">
        <v>21.899588203702201</v>
      </c>
      <c r="AI3787">
        <v>92.802253557348195</v>
      </c>
      <c r="AJ3787">
        <v>77.868260444548895</v>
      </c>
      <c r="AK3787">
        <v>22.426662147131001</v>
      </c>
      <c r="AL3787">
        <v>81.787799399312107</v>
      </c>
      <c r="AM3787">
        <v>78.056805773975199</v>
      </c>
      <c r="AN3787">
        <v>1.0000000415366599</v>
      </c>
    </row>
    <row r="3788" spans="1:40" x14ac:dyDescent="0.25">
      <c r="A3788" t="str">
        <f>"20190312173006147"</f>
        <v>20190312173006147</v>
      </c>
      <c r="B3788" t="str">
        <f>"1552383006141583"</f>
        <v>1552383006141583</v>
      </c>
      <c r="C3788" t="s">
        <v>40</v>
      </c>
      <c r="D3788">
        <v>3.5224829999999998</v>
      </c>
      <c r="E3788">
        <v>0.49649179999999998</v>
      </c>
      <c r="F3788" t="s">
        <v>41</v>
      </c>
      <c r="G3788">
        <v>-193.1164</v>
      </c>
      <c r="H3788" s="1">
        <v>-3.3374040000000001E-6</v>
      </c>
      <c r="I3788">
        <v>175.4358</v>
      </c>
      <c r="J3788">
        <v>-189.8563</v>
      </c>
      <c r="K3788">
        <v>1.096649</v>
      </c>
      <c r="L3788">
        <v>197.35159999999999</v>
      </c>
      <c r="M3788">
        <v>5.2130259999999998E-2</v>
      </c>
      <c r="N3788">
        <v>0</v>
      </c>
      <c r="O3788">
        <v>-0.99856929999999999</v>
      </c>
      <c r="P3788">
        <v>-0.14143819999999999</v>
      </c>
      <c r="Q3788">
        <v>0.13738900000000001</v>
      </c>
      <c r="R3788">
        <v>-0.98036730000000005</v>
      </c>
      <c r="S3788">
        <v>-0.44216919999999998</v>
      </c>
      <c r="T3788">
        <v>-0.14887249999999999</v>
      </c>
      <c r="U3788">
        <v>-3.017487</v>
      </c>
      <c r="V3788">
        <v>0.19688169999999999</v>
      </c>
      <c r="W3788">
        <v>0.14291189999999901</v>
      </c>
      <c r="X3788">
        <v>0.96995560000000003</v>
      </c>
      <c r="Y3788">
        <v>0.19620209999999999</v>
      </c>
      <c r="Z3788">
        <v>4.8439030000000001E-2</v>
      </c>
      <c r="AA3788">
        <v>0.97936630000000002</v>
      </c>
      <c r="AB3788">
        <v>28</v>
      </c>
      <c r="AC3788">
        <v>-3.2600999999999898</v>
      </c>
      <c r="AD3788">
        <v>-1.096652337404</v>
      </c>
      <c r="AE3788">
        <v>-21.915799999999901</v>
      </c>
      <c r="AF3788">
        <v>4.3874758253049704</v>
      </c>
      <c r="AG3788">
        <v>-1.096652337404</v>
      </c>
      <c r="AH3788">
        <v>21.6629664294348</v>
      </c>
      <c r="AI3788">
        <v>92.840456765708296</v>
      </c>
      <c r="AJ3788">
        <v>78.5505614359936</v>
      </c>
      <c r="AK3788">
        <v>22.129995593980301</v>
      </c>
      <c r="AL3788">
        <v>81.783619754884398</v>
      </c>
      <c r="AM3788">
        <v>78.525981188271999</v>
      </c>
      <c r="AN3788">
        <v>1.00000004046392</v>
      </c>
    </row>
    <row r="3789" spans="1:40" x14ac:dyDescent="0.25">
      <c r="A3789" t="str">
        <f>"20190312173006170"</f>
        <v>20190312173006170</v>
      </c>
      <c r="B3789" t="str">
        <f>"1552383006162079"</f>
        <v>1552383006162079</v>
      </c>
      <c r="C3789" t="s">
        <v>40</v>
      </c>
      <c r="D3789">
        <v>3.5261140000000002</v>
      </c>
      <c r="E3789">
        <v>0.49551309999999898</v>
      </c>
      <c r="F3789" t="s">
        <v>41</v>
      </c>
      <c r="G3789">
        <v>-192.7972</v>
      </c>
      <c r="H3789" s="1">
        <v>-3.3177480000000001E-6</v>
      </c>
      <c r="I3789">
        <v>175.58789999999999</v>
      </c>
      <c r="J3789">
        <v>-189.85740000000001</v>
      </c>
      <c r="K3789">
        <v>1.0968819999999999</v>
      </c>
      <c r="L3789">
        <v>197.0522</v>
      </c>
      <c r="M3789">
        <v>3.5376579999999998E-2</v>
      </c>
      <c r="N3789">
        <v>0</v>
      </c>
      <c r="O3789">
        <v>-0.99930399999999997</v>
      </c>
      <c r="P3789">
        <v>-0.1503651</v>
      </c>
      <c r="Q3789">
        <v>0.13811780000000001</v>
      </c>
      <c r="R3789">
        <v>-0.978935</v>
      </c>
      <c r="S3789">
        <v>-0.40843200000000002</v>
      </c>
      <c r="T3789">
        <v>-0.15229980000000001</v>
      </c>
      <c r="U3789">
        <v>-3.0224760000000002</v>
      </c>
      <c r="V3789">
        <v>0.18937399999999999</v>
      </c>
      <c r="W3789">
        <v>0.14392179999999999</v>
      </c>
      <c r="X3789">
        <v>0.97130019999999995</v>
      </c>
      <c r="Y3789">
        <v>0.16872519999999999</v>
      </c>
      <c r="Z3789">
        <v>4.9691869999999999E-2</v>
      </c>
      <c r="AA3789">
        <v>0.98440970000000005</v>
      </c>
      <c r="AB3789">
        <v>28</v>
      </c>
      <c r="AC3789">
        <v>-2.9397999999999902</v>
      </c>
      <c r="AD3789">
        <v>-1.096885317748</v>
      </c>
      <c r="AE3789">
        <v>-21.464300000000001</v>
      </c>
      <c r="AF3789">
        <v>3.6878927007533302</v>
      </c>
      <c r="AG3789">
        <v>-1.096885317748</v>
      </c>
      <c r="AH3789">
        <v>21.292274471802699</v>
      </c>
      <c r="AI3789">
        <v>92.905833561390594</v>
      </c>
      <c r="AJ3789">
        <v>80.173667941963004</v>
      </c>
      <c r="AK3789">
        <v>21.637113073493499</v>
      </c>
      <c r="AL3789">
        <v>81.725152307242695</v>
      </c>
      <c r="AM3789">
        <v>78.967469644647096</v>
      </c>
      <c r="AN3789">
        <v>1.0000000374556299</v>
      </c>
    </row>
    <row r="3790" spans="1:40" x14ac:dyDescent="0.25">
      <c r="A3790" t="str">
        <f>"20190312173006191"</f>
        <v>20190312173006191</v>
      </c>
      <c r="B3790" t="str">
        <f>"1552383006181602"</f>
        <v>1552383006181602</v>
      </c>
      <c r="C3790" t="s">
        <v>40</v>
      </c>
      <c r="D3790">
        <v>3.529369</v>
      </c>
      <c r="E3790">
        <v>0.49395749999999999</v>
      </c>
      <c r="F3790" t="s">
        <v>41</v>
      </c>
      <c r="G3790">
        <v>-192.86750000000001</v>
      </c>
      <c r="H3790" s="1">
        <v>-3.4431690000000001E-6</v>
      </c>
      <c r="I3790">
        <v>175.83670000000001</v>
      </c>
      <c r="J3790">
        <v>-189.86250000000001</v>
      </c>
      <c r="K3790">
        <v>1.097105</v>
      </c>
      <c r="L3790">
        <v>196.77500000000001</v>
      </c>
      <c r="M3790">
        <v>2.0209120000000001E-2</v>
      </c>
      <c r="N3790">
        <v>0</v>
      </c>
      <c r="O3790">
        <v>-0.99972649999999996</v>
      </c>
      <c r="P3790">
        <v>-0.15830859999999999</v>
      </c>
      <c r="Q3790">
        <v>0.13920379999999999</v>
      </c>
      <c r="R3790">
        <v>-0.97752799999999995</v>
      </c>
      <c r="S3790">
        <v>-0.42858889999999999</v>
      </c>
      <c r="T3790">
        <v>-0.15618099999999999</v>
      </c>
      <c r="U3790">
        <v>-3.0207820000000001</v>
      </c>
      <c r="V3790">
        <v>0.18245919999999999</v>
      </c>
      <c r="W3790">
        <v>0.14526040000000001</v>
      </c>
      <c r="X3790">
        <v>0.97242379999999995</v>
      </c>
      <c r="Y3790">
        <v>0.16027149999999901</v>
      </c>
      <c r="Z3790">
        <v>5.1028749999999998E-2</v>
      </c>
      <c r="AA3790">
        <v>0.98575310000000005</v>
      </c>
      <c r="AB3790">
        <v>28</v>
      </c>
      <c r="AC3790">
        <v>-3.0049999999999901</v>
      </c>
      <c r="AD3790">
        <v>-1.0971084431689999</v>
      </c>
      <c r="AE3790">
        <v>-20.938300000000002</v>
      </c>
      <c r="AF3790">
        <v>3.41836453980526</v>
      </c>
      <c r="AG3790">
        <v>-1.0971084431689999</v>
      </c>
      <c r="AH3790">
        <v>20.817290909583999</v>
      </c>
      <c r="AI3790">
        <v>92.977002847390196</v>
      </c>
      <c r="AJ3790">
        <v>80.674799217223807</v>
      </c>
      <c r="AK3790">
        <v>21.124593815676601</v>
      </c>
      <c r="AL3790">
        <v>81.647641296236699</v>
      </c>
      <c r="AM3790">
        <v>79.372960307555005</v>
      </c>
      <c r="AN3790">
        <v>0.99999999513962001</v>
      </c>
    </row>
    <row r="3791" spans="1:40" x14ac:dyDescent="0.25">
      <c r="A3791" t="str">
        <f>"20190312173006213"</f>
        <v>20190312173006213</v>
      </c>
      <c r="B3791" t="str">
        <f>"1552383006201119"</f>
        <v>1552383006201119</v>
      </c>
      <c r="C3791" t="s">
        <v>40</v>
      </c>
      <c r="D3791">
        <v>3.5250379999999999</v>
      </c>
      <c r="E3791">
        <v>0.49239050000000001</v>
      </c>
      <c r="F3791" t="s">
        <v>41</v>
      </c>
      <c r="G3791">
        <v>-192.9693</v>
      </c>
      <c r="H3791" s="1">
        <v>-3.311295E-6</v>
      </c>
      <c r="I3791">
        <v>175.46610000000001</v>
      </c>
      <c r="J3791">
        <v>-189.87190000000001</v>
      </c>
      <c r="K3791">
        <v>1.0973619999999999</v>
      </c>
      <c r="L3791">
        <v>196.4863</v>
      </c>
      <c r="M3791">
        <v>4.8304450000000001E-3</v>
      </c>
      <c r="N3791">
        <v>0</v>
      </c>
      <c r="O3791">
        <v>-0.99992020000000004</v>
      </c>
      <c r="P3791">
        <v>-0.166849</v>
      </c>
      <c r="Q3791">
        <v>0.1399986</v>
      </c>
      <c r="R3791">
        <v>-0.975993</v>
      </c>
      <c r="S3791">
        <v>-0.44029239999999997</v>
      </c>
      <c r="T3791">
        <v>-0.1554796</v>
      </c>
      <c r="U3791">
        <v>-3.0198360000000002</v>
      </c>
      <c r="V3791">
        <v>0.1759251</v>
      </c>
      <c r="W3791">
        <v>0.14629159999999999</v>
      </c>
      <c r="X3791">
        <v>0.97347269999999997</v>
      </c>
      <c r="Y3791">
        <v>0.14886649999999901</v>
      </c>
      <c r="Z3791">
        <v>5.0862440000000002E-2</v>
      </c>
      <c r="AA3791">
        <v>0.98754839999999999</v>
      </c>
      <c r="AB3791">
        <v>28</v>
      </c>
      <c r="AC3791">
        <v>-3.0973999999999902</v>
      </c>
      <c r="AD3791">
        <v>-1.0973653112949999</v>
      </c>
      <c r="AE3791">
        <v>-21.0201999999999</v>
      </c>
      <c r="AF3791">
        <v>3.19039740228733</v>
      </c>
      <c r="AG3791">
        <v>-1.0973653112949999</v>
      </c>
      <c r="AH3791">
        <v>20.949110730437901</v>
      </c>
      <c r="AI3791">
        <v>92.964433432544595</v>
      </c>
      <c r="AJ3791">
        <v>81.340804324775405</v>
      </c>
      <c r="AK3791">
        <v>21.219050087294299</v>
      </c>
      <c r="AL3791">
        <v>81.587919835944703</v>
      </c>
      <c r="AM3791">
        <v>79.756123505998104</v>
      </c>
      <c r="AN3791">
        <v>0.999999985342929</v>
      </c>
    </row>
    <row r="3792" spans="1:40" x14ac:dyDescent="0.25">
      <c r="A3792" t="str">
        <f>"20190312173006236"</f>
        <v>20190312173006236</v>
      </c>
      <c r="B3792" t="str">
        <f>"1552383006231375"</f>
        <v>1552383006231375</v>
      </c>
      <c r="C3792" t="s">
        <v>40</v>
      </c>
      <c r="D3792">
        <v>3.4815450000000001</v>
      </c>
      <c r="E3792">
        <v>0.49057410000000001</v>
      </c>
      <c r="F3792" t="s">
        <v>41</v>
      </c>
      <c r="G3792">
        <v>-193.19</v>
      </c>
      <c r="H3792" s="1">
        <v>-2.9090940000000001E-6</v>
      </c>
      <c r="I3792">
        <v>174.39179999999999</v>
      </c>
      <c r="J3792">
        <v>-189.8853</v>
      </c>
      <c r="K3792">
        <v>1.097645</v>
      </c>
      <c r="L3792">
        <v>196.19649999999999</v>
      </c>
      <c r="M3792">
        <v>-1.014747E-2</v>
      </c>
      <c r="N3792">
        <v>0</v>
      </c>
      <c r="O3792">
        <v>-0.99988129999999997</v>
      </c>
      <c r="P3792">
        <v>-0.1784559</v>
      </c>
      <c r="Q3792">
        <v>0.1400361</v>
      </c>
      <c r="R3792">
        <v>-0.97393229999999997</v>
      </c>
      <c r="S3792">
        <v>-0.45320129999999997</v>
      </c>
      <c r="T3792">
        <v>-0.14988370000000001</v>
      </c>
      <c r="U3792">
        <v>-3.017792</v>
      </c>
      <c r="V3792">
        <v>0.17282600000000001</v>
      </c>
      <c r="W3792">
        <v>0.14645759999999999</v>
      </c>
      <c r="X3792">
        <v>0.9740027</v>
      </c>
      <c r="Y3792">
        <v>0.13828889999999999</v>
      </c>
      <c r="Z3792">
        <v>4.9088880000000001E-2</v>
      </c>
      <c r="AA3792">
        <v>0.98917469999999996</v>
      </c>
      <c r="AB3792">
        <v>28</v>
      </c>
      <c r="AC3792">
        <v>-3.3046999999999902</v>
      </c>
      <c r="AD3792">
        <v>-1.0976479090939999</v>
      </c>
      <c r="AE3792">
        <v>-21.8047</v>
      </c>
      <c r="AF3792">
        <v>3.0756334258095102</v>
      </c>
      <c r="AG3792">
        <v>-1.0976479090939999</v>
      </c>
      <c r="AH3792">
        <v>21.7831523366597</v>
      </c>
      <c r="AI3792">
        <v>92.856397175993095</v>
      </c>
      <c r="AJ3792">
        <v>81.963348359714999</v>
      </c>
      <c r="AK3792">
        <v>22.0265766206285</v>
      </c>
      <c r="AL3792">
        <v>81.578304940779205</v>
      </c>
      <c r="AM3792">
        <v>79.938222684817404</v>
      </c>
      <c r="AN3792">
        <v>0.99999995724052404</v>
      </c>
    </row>
    <row r="3793" spans="1:40" x14ac:dyDescent="0.25">
      <c r="A3793" t="str">
        <f>"20190312173006258"</f>
        <v>20190312173006258</v>
      </c>
      <c r="B3793" t="str">
        <f>"1552383006251871"</f>
        <v>1552383006251871</v>
      </c>
      <c r="C3793" t="s">
        <v>40</v>
      </c>
      <c r="D3793">
        <v>3.4587539999999999</v>
      </c>
      <c r="E3793">
        <v>0.48958420000000002</v>
      </c>
      <c r="F3793" t="s">
        <v>41</v>
      </c>
      <c r="G3793">
        <v>-193.26519999999999</v>
      </c>
      <c r="H3793" s="1">
        <v>-3.0622329999999999E-6</v>
      </c>
      <c r="I3793">
        <v>174.7021</v>
      </c>
      <c r="J3793">
        <v>-189.90299999999999</v>
      </c>
      <c r="K3793">
        <v>1.097977</v>
      </c>
      <c r="L3793">
        <v>195.90029999999999</v>
      </c>
      <c r="M3793">
        <v>-2.4928769999999999E-2</v>
      </c>
      <c r="N3793">
        <v>0</v>
      </c>
      <c r="O3793">
        <v>-0.99962309999999999</v>
      </c>
      <c r="P3793">
        <v>-0.1859712</v>
      </c>
      <c r="Q3793">
        <v>0.13965329999999901</v>
      </c>
      <c r="R3793">
        <v>-0.97258020000000001</v>
      </c>
      <c r="S3793">
        <v>-0.4741821</v>
      </c>
      <c r="T3793">
        <v>-0.15399649999999901</v>
      </c>
      <c r="U3793">
        <v>-3.0155940000000001</v>
      </c>
      <c r="V3793">
        <v>0.16580210000000001</v>
      </c>
      <c r="W3793">
        <v>0.14632979999999901</v>
      </c>
      <c r="X3793">
        <v>0.9752421</v>
      </c>
      <c r="Y3793">
        <v>0.13046089999999999</v>
      </c>
      <c r="Z3793">
        <v>5.0449479999999998E-2</v>
      </c>
      <c r="AA3793">
        <v>0.99016910000000002</v>
      </c>
      <c r="AB3793">
        <v>28</v>
      </c>
      <c r="AC3793">
        <v>-3.3622000000000001</v>
      </c>
      <c r="AD3793">
        <v>-1.097980062233</v>
      </c>
      <c r="AE3793">
        <v>-21.1981999999999</v>
      </c>
      <c r="AF3793">
        <v>2.8252812896815298</v>
      </c>
      <c r="AG3793">
        <v>-1.097980062233</v>
      </c>
      <c r="AH3793">
        <v>21.219900309653202</v>
      </c>
      <c r="AI3793">
        <v>92.936146271070101</v>
      </c>
      <c r="AJ3793">
        <v>82.416071437016001</v>
      </c>
      <c r="AK3793">
        <v>21.435296679414201</v>
      </c>
      <c r="AL3793">
        <v>81.585707029558193</v>
      </c>
      <c r="AM3793">
        <v>80.351329838442396</v>
      </c>
      <c r="AN3793">
        <v>0.99999995017242804</v>
      </c>
    </row>
    <row r="3794" spans="1:40" x14ac:dyDescent="0.25">
      <c r="A3794" t="str">
        <f>"20190312173006272"</f>
        <v>20190312173006272</v>
      </c>
      <c r="B3794" t="str">
        <f>"1552383006261632"</f>
        <v>1552383006261632</v>
      </c>
      <c r="C3794" t="s">
        <v>40</v>
      </c>
      <c r="D3794">
        <v>3.4434650000000002</v>
      </c>
      <c r="E3794">
        <v>0.488983</v>
      </c>
      <c r="F3794" t="s">
        <v>41</v>
      </c>
      <c r="G3794">
        <v>-193.26730000000001</v>
      </c>
      <c r="H3794" s="1">
        <v>-3.275094E-6</v>
      </c>
      <c r="I3794">
        <v>175.197</v>
      </c>
      <c r="J3794">
        <v>-189.91550000000001</v>
      </c>
      <c r="K3794">
        <v>1.098193</v>
      </c>
      <c r="L3794">
        <v>195.72569999999999</v>
      </c>
      <c r="M3794">
        <v>-3.335341E-2</v>
      </c>
      <c r="N3794">
        <v>0</v>
      </c>
      <c r="O3794">
        <v>-0.99937810000000005</v>
      </c>
      <c r="P3794">
        <v>-0.19074260000000001</v>
      </c>
      <c r="Q3794">
        <v>0.13886780000000001</v>
      </c>
      <c r="R3794">
        <v>-0.97176819999999997</v>
      </c>
      <c r="S3794">
        <v>-0.48974609999999902</v>
      </c>
      <c r="T3794">
        <v>-0.15983919999999999</v>
      </c>
      <c r="U3794">
        <v>-3.0139010000000002</v>
      </c>
      <c r="V3794">
        <v>0.16225999999999999</v>
      </c>
      <c r="W3794">
        <v>0.14568159999999999</v>
      </c>
      <c r="X3794">
        <v>0.97593470000000004</v>
      </c>
      <c r="Y3794">
        <v>0.1271591</v>
      </c>
      <c r="Z3794">
        <v>5.2358139999999997E-2</v>
      </c>
      <c r="AA3794">
        <v>0.99049949999999998</v>
      </c>
      <c r="AB3794">
        <v>29</v>
      </c>
      <c r="AC3794">
        <v>-3.3517999999999901</v>
      </c>
      <c r="AD3794">
        <v>-1.098196275094</v>
      </c>
      <c r="AE3794">
        <v>-20.528699999999901</v>
      </c>
      <c r="AF3794">
        <v>2.6577793987831</v>
      </c>
      <c r="AG3794">
        <v>-1.098196275094</v>
      </c>
      <c r="AH3794">
        <v>20.571734820061799</v>
      </c>
      <c r="AI3794">
        <v>93.030622131314601</v>
      </c>
      <c r="AJ3794">
        <v>82.638410429143804</v>
      </c>
      <c r="AK3794">
        <v>20.7717620797603</v>
      </c>
      <c r="AL3794">
        <v>81.623248774102905</v>
      </c>
      <c r="AM3794">
        <v>80.560287173905905</v>
      </c>
      <c r="AN3794">
        <v>0.99999998742132401</v>
      </c>
    </row>
    <row r="3795" spans="1:40" x14ac:dyDescent="0.25">
      <c r="A3795" t="str">
        <f>"20190312173006285"</f>
        <v>20190312173006285</v>
      </c>
      <c r="B3795" t="str">
        <f>"1552383006281151"</f>
        <v>1552383006281151</v>
      </c>
      <c r="C3795" t="s">
        <v>40</v>
      </c>
      <c r="D3795">
        <v>3.4258350000000002</v>
      </c>
      <c r="E3795">
        <v>0.4789255</v>
      </c>
      <c r="F3795" t="s">
        <v>41</v>
      </c>
      <c r="G3795">
        <v>-193.25880000000001</v>
      </c>
      <c r="H3795" s="1">
        <v>-3.434527E-6</v>
      </c>
      <c r="I3795">
        <v>175.57390000000001</v>
      </c>
      <c r="J3795">
        <v>-189.9282</v>
      </c>
      <c r="K3795">
        <v>1.0984100000000001</v>
      </c>
      <c r="L3795">
        <v>195.5591</v>
      </c>
      <c r="M3795">
        <v>-4.1256809999999998E-2</v>
      </c>
      <c r="N3795">
        <v>0</v>
      </c>
      <c r="O3795">
        <v>-0.99908350000000001</v>
      </c>
      <c r="P3795">
        <v>-0.19494649999999999</v>
      </c>
      <c r="Q3795">
        <v>0.13826479999999999</v>
      </c>
      <c r="R3795">
        <v>-0.97101930000000003</v>
      </c>
      <c r="S3795">
        <v>-0.49980160000000001</v>
      </c>
      <c r="T3795">
        <v>-0.16416979999999901</v>
      </c>
      <c r="U3795">
        <v>-3.0125120000000001</v>
      </c>
      <c r="V3795">
        <v>0.15866169999999999</v>
      </c>
      <c r="W3795">
        <v>0.1452184</v>
      </c>
      <c r="X3795">
        <v>0.9765952</v>
      </c>
      <c r="Y3795">
        <v>0.12259200000000001</v>
      </c>
      <c r="Z3795">
        <v>5.3774309999999999E-2</v>
      </c>
      <c r="AA3795">
        <v>0.99099930000000003</v>
      </c>
      <c r="AB3795">
        <v>29</v>
      </c>
      <c r="AC3795">
        <v>-3.3306</v>
      </c>
      <c r="AD3795">
        <v>-1.098413434527</v>
      </c>
      <c r="AE3795">
        <v>-19.985199999999899</v>
      </c>
      <c r="AF3795">
        <v>2.4958490627004699</v>
      </c>
      <c r="AG3795">
        <v>-1.098413434527</v>
      </c>
      <c r="AH3795">
        <v>20.0466811573556</v>
      </c>
      <c r="AI3795">
        <v>93.112278342001403</v>
      </c>
      <c r="AJ3795">
        <v>82.903087673683402</v>
      </c>
      <c r="AK3795">
        <v>20.231292594434201</v>
      </c>
      <c r="AL3795">
        <v>81.650073984536306</v>
      </c>
      <c r="AM3795">
        <v>80.772115494883494</v>
      </c>
      <c r="AN3795">
        <v>1.00000005170424</v>
      </c>
    </row>
    <row r="3796" spans="1:40" x14ac:dyDescent="0.25">
      <c r="A3796" t="str">
        <f>"20190312173006304"</f>
        <v>20190312173006304</v>
      </c>
      <c r="B3796" t="str">
        <f>"1552383006291887"</f>
        <v>1552383006291887</v>
      </c>
      <c r="C3796" t="s">
        <v>40</v>
      </c>
      <c r="D3796">
        <v>3.4451480000000001</v>
      </c>
      <c r="E3796">
        <v>0.47860469999999999</v>
      </c>
      <c r="F3796" t="s">
        <v>42</v>
      </c>
      <c r="G3796">
        <v>-190.06790000000001</v>
      </c>
      <c r="H3796">
        <v>1.044694</v>
      </c>
      <c r="I3796">
        <v>194.58709999999999</v>
      </c>
      <c r="J3796">
        <v>-189.9495</v>
      </c>
      <c r="K3796">
        <v>1.098754</v>
      </c>
      <c r="L3796">
        <v>195.3115</v>
      </c>
      <c r="M3796">
        <v>-5.259113E-2</v>
      </c>
      <c r="N3796">
        <v>0</v>
      </c>
      <c r="O3796">
        <v>-0.998552</v>
      </c>
      <c r="P3796">
        <v>-0.19845189999999999</v>
      </c>
      <c r="Q3796">
        <v>0.13685059999999999</v>
      </c>
      <c r="R3796">
        <v>-0.97050950000000002</v>
      </c>
      <c r="S3796">
        <v>-0.43417359999999999</v>
      </c>
      <c r="T3796">
        <v>-0.166801799999999</v>
      </c>
      <c r="U3796">
        <v>-3.0261230000000001</v>
      </c>
      <c r="V3796">
        <v>0.15092050000000001</v>
      </c>
      <c r="W3796">
        <v>0.14407790000000001</v>
      </c>
      <c r="X3796">
        <v>0.97799009999999997</v>
      </c>
      <c r="Y3796">
        <v>8.9551459999999999E-2</v>
      </c>
      <c r="Z3796">
        <v>5.4534239999999998E-2</v>
      </c>
      <c r="AA3796">
        <v>0.99448809999999999</v>
      </c>
      <c r="AB3796">
        <v>29</v>
      </c>
      <c r="AC3796">
        <v>-0.118400000000008</v>
      </c>
      <c r="AD3796">
        <v>-5.4059999999999997E-2</v>
      </c>
      <c r="AE3796">
        <v>-0.72440000000000204</v>
      </c>
      <c r="AF3796">
        <v>7.9704332180671397E-2</v>
      </c>
      <c r="AG3796">
        <v>-5.4059999999999997E-2</v>
      </c>
      <c r="AH3796">
        <v>0.72568821684995299</v>
      </c>
      <c r="AI3796">
        <v>94.234994641685802</v>
      </c>
      <c r="AJ3796">
        <v>83.732169861733198</v>
      </c>
      <c r="AK3796">
        <v>0.73205099019346398</v>
      </c>
      <c r="AL3796">
        <v>81.716114236415294</v>
      </c>
      <c r="AM3796">
        <v>81.227485764321102</v>
      </c>
      <c r="AN3796">
        <v>1.00000003714333</v>
      </c>
    </row>
    <row r="3797" spans="1:40" x14ac:dyDescent="0.25">
      <c r="A3797" t="str">
        <f>"20190312173006325"</f>
        <v>20190312173006325</v>
      </c>
      <c r="B3797" t="str">
        <f>"1552383006321167"</f>
        <v>1552383006321167</v>
      </c>
      <c r="C3797" t="s">
        <v>40</v>
      </c>
      <c r="D3797">
        <v>3.4293040000000001</v>
      </c>
      <c r="E3797">
        <v>0.47741810000000001</v>
      </c>
      <c r="F3797" t="s">
        <v>42</v>
      </c>
      <c r="G3797">
        <v>-190.0934</v>
      </c>
      <c r="H3797">
        <v>1.045177</v>
      </c>
      <c r="I3797">
        <v>194.32759999999999</v>
      </c>
      <c r="J3797">
        <v>-189.97630000000001</v>
      </c>
      <c r="K3797">
        <v>1.099154</v>
      </c>
      <c r="L3797">
        <v>195.0351</v>
      </c>
      <c r="M3797">
        <v>-6.4711820000000003E-2</v>
      </c>
      <c r="N3797">
        <v>0</v>
      </c>
      <c r="O3797">
        <v>-0.99784059999999997</v>
      </c>
      <c r="P3797">
        <v>-0.20347499999999999</v>
      </c>
      <c r="Q3797">
        <v>0.13587850000000001</v>
      </c>
      <c r="R3797">
        <v>-0.96960559999999996</v>
      </c>
      <c r="S3797">
        <v>-0.44221500000000002</v>
      </c>
      <c r="T3797">
        <v>-0.1645952</v>
      </c>
      <c r="U3797">
        <v>-3.0239720000000001</v>
      </c>
      <c r="V3797">
        <v>0.14392279999999999</v>
      </c>
      <c r="W3797">
        <v>0.1433527</v>
      </c>
      <c r="X3797">
        <v>0.97915079999999999</v>
      </c>
      <c r="Y3797">
        <v>8.0149399999999996E-2</v>
      </c>
      <c r="Z3797">
        <v>5.3806609999999998E-2</v>
      </c>
      <c r="AA3797">
        <v>0.99532960000000004</v>
      </c>
      <c r="AB3797">
        <v>29</v>
      </c>
      <c r="AC3797">
        <v>-0.117099999999993</v>
      </c>
      <c r="AD3797">
        <v>-5.3977000000000101E-2</v>
      </c>
      <c r="AE3797">
        <v>-0.70750000000001001</v>
      </c>
      <c r="AF3797">
        <v>7.0667659765529897E-2</v>
      </c>
      <c r="AG3797">
        <v>-5.3977000000000101E-2</v>
      </c>
      <c r="AH3797">
        <v>0.70957512339031903</v>
      </c>
      <c r="AI3797">
        <v>94.328749209403099</v>
      </c>
      <c r="AJ3797">
        <v>84.312580679832905</v>
      </c>
      <c r="AK3797">
        <v>0.71512536691137096</v>
      </c>
      <c r="AL3797">
        <v>81.758100929383701</v>
      </c>
      <c r="AM3797">
        <v>81.638121292309194</v>
      </c>
      <c r="AN3797">
        <v>1.00000002904888</v>
      </c>
    </row>
    <row r="3798" spans="1:40" x14ac:dyDescent="0.25">
      <c r="A3798" t="str">
        <f>"20190312173006338"</f>
        <v>20190312173006338</v>
      </c>
      <c r="B3798" t="str">
        <f>"1552383006331904"</f>
        <v>1552383006331904</v>
      </c>
      <c r="C3798" t="s">
        <v>40</v>
      </c>
      <c r="D3798">
        <v>3.3873489999999999</v>
      </c>
      <c r="E3798">
        <v>0.47705819999999999</v>
      </c>
      <c r="F3798" t="s">
        <v>42</v>
      </c>
      <c r="G3798">
        <v>-190.1198</v>
      </c>
      <c r="H3798">
        <v>1.0457620000000001</v>
      </c>
      <c r="I3798">
        <v>194.06729999999999</v>
      </c>
      <c r="J3798">
        <v>-189.99539999999999</v>
      </c>
      <c r="K3798">
        <v>1.099413</v>
      </c>
      <c r="L3798">
        <v>194.85509999999999</v>
      </c>
      <c r="M3798">
        <v>-7.2316210000000006E-2</v>
      </c>
      <c r="N3798">
        <v>0</v>
      </c>
      <c r="O3798">
        <v>-0.99731899999999996</v>
      </c>
      <c r="P3798">
        <v>-0.20748449999999999</v>
      </c>
      <c r="Q3798">
        <v>0.13545570000000001</v>
      </c>
      <c r="R3798">
        <v>-0.96881479999999998</v>
      </c>
      <c r="S3798">
        <v>-0.44763180000000002</v>
      </c>
      <c r="T3798">
        <v>-0.16642190000000001</v>
      </c>
      <c r="U3798">
        <v>-3.0234070000000002</v>
      </c>
      <c r="V3798">
        <v>0.14040050000000001</v>
      </c>
      <c r="W3798">
        <v>0.1430582</v>
      </c>
      <c r="X3798">
        <v>0.9797051</v>
      </c>
      <c r="Y3798">
        <v>7.4317430000000004E-2</v>
      </c>
      <c r="Z3798">
        <v>5.4374649999999997E-2</v>
      </c>
      <c r="AA3798">
        <v>0.9957511</v>
      </c>
      <c r="AB3798">
        <v>29</v>
      </c>
      <c r="AC3798">
        <v>-0.124400000000008</v>
      </c>
      <c r="AD3798">
        <v>-5.3650999999999803E-2</v>
      </c>
      <c r="AE3798">
        <v>-0.78780000000000405</v>
      </c>
      <c r="AF3798">
        <v>6.6797707466027506E-2</v>
      </c>
      <c r="AG3798">
        <v>-5.3650999999999803E-2</v>
      </c>
      <c r="AH3798">
        <v>0.79115374467761901</v>
      </c>
      <c r="AI3798">
        <v>93.865782355998803</v>
      </c>
      <c r="AJ3798">
        <v>85.173920050949107</v>
      </c>
      <c r="AK3798">
        <v>0.79577924780754195</v>
      </c>
      <c r="AL3798">
        <v>81.775150155547806</v>
      </c>
      <c r="AM3798">
        <v>81.8445308691458</v>
      </c>
      <c r="AN3798">
        <v>1.0000000159767499</v>
      </c>
    </row>
    <row r="3799" spans="1:40" x14ac:dyDescent="0.25">
      <c r="A3799" t="str">
        <f>"20190312173006362"</f>
        <v>20190312173006362</v>
      </c>
      <c r="B3799" t="str">
        <f>"1552383006351423"</f>
        <v>1552383006351423</v>
      </c>
      <c r="C3799" t="s">
        <v>40</v>
      </c>
      <c r="D3799">
        <v>3.4077869999999999</v>
      </c>
      <c r="E3799">
        <v>0.47641450000000002</v>
      </c>
      <c r="F3799" t="s">
        <v>41</v>
      </c>
      <c r="G3799">
        <v>-192.98249999999999</v>
      </c>
      <c r="H3799" s="1">
        <v>-3.153863E-6</v>
      </c>
      <c r="I3799">
        <v>175.09099999999901</v>
      </c>
      <c r="J3799">
        <v>-190.029</v>
      </c>
      <c r="K3799">
        <v>1.0998330000000001</v>
      </c>
      <c r="L3799">
        <v>194.56030000000001</v>
      </c>
      <c r="M3799">
        <v>-8.4341219999999995E-2</v>
      </c>
      <c r="N3799">
        <v>0</v>
      </c>
      <c r="O3799">
        <v>-0.99637500000000001</v>
      </c>
      <c r="P3799">
        <v>-0.2123488</v>
      </c>
      <c r="Q3799">
        <v>0.1344783</v>
      </c>
      <c r="R3799">
        <v>-0.9678968</v>
      </c>
      <c r="S3799">
        <v>-0.45677190000000001</v>
      </c>
      <c r="T3799">
        <v>-0.1681182</v>
      </c>
      <c r="U3799">
        <v>-3.0222470000000001</v>
      </c>
      <c r="V3799">
        <v>0.1333126</v>
      </c>
      <c r="W3799">
        <v>0.14231859999999999</v>
      </c>
      <c r="X3799">
        <v>0.98080230000000002</v>
      </c>
      <c r="Y3799">
        <v>6.5281699999999998E-2</v>
      </c>
      <c r="Z3799">
        <v>5.4875319999999998E-2</v>
      </c>
      <c r="AA3799">
        <v>0.99635680000000004</v>
      </c>
      <c r="AB3799">
        <v>29</v>
      </c>
      <c r="AC3799">
        <v>-2.95349999999996</v>
      </c>
      <c r="AD3799">
        <v>-1.0998361538629999</v>
      </c>
      <c r="AE3799">
        <v>-19.4693</v>
      </c>
      <c r="AF3799">
        <v>1.29676416715842</v>
      </c>
      <c r="AG3799">
        <v>-1.0998361538629999</v>
      </c>
      <c r="AH3799">
        <v>19.5879351013178</v>
      </c>
      <c r="AI3799">
        <v>93.206701699783196</v>
      </c>
      <c r="AJ3799">
        <v>86.212420878041598</v>
      </c>
      <c r="AK3799">
        <v>19.661598063331699</v>
      </c>
      <c r="AL3799">
        <v>81.817964008546596</v>
      </c>
      <c r="AM3799">
        <v>82.259677997481603</v>
      </c>
      <c r="AN3799">
        <v>0.99999999245500504</v>
      </c>
    </row>
    <row r="3800" spans="1:40" x14ac:dyDescent="0.25">
      <c r="A3800" t="str">
        <f>"20190312173006383"</f>
        <v>20190312173006383</v>
      </c>
      <c r="B3800" t="str">
        <f>"1552383006371919"</f>
        <v>1552383006371919</v>
      </c>
      <c r="C3800" t="s">
        <v>40</v>
      </c>
      <c r="D3800">
        <v>3.4165839999999998</v>
      </c>
      <c r="E3800">
        <v>0.47570810000000002</v>
      </c>
      <c r="F3800" t="s">
        <v>41</v>
      </c>
      <c r="G3800">
        <v>-193.0249</v>
      </c>
      <c r="H3800" s="1">
        <v>-3.1784560000000002E-6</v>
      </c>
      <c r="I3800">
        <v>175.12209999999999</v>
      </c>
      <c r="J3800">
        <v>-190.0641</v>
      </c>
      <c r="K3800">
        <v>1.100279</v>
      </c>
      <c r="L3800">
        <v>194.27680000000001</v>
      </c>
      <c r="M3800">
        <v>-9.5212699999999997E-2</v>
      </c>
      <c r="N3800">
        <v>0</v>
      </c>
      <c r="O3800">
        <v>-0.99539569999999999</v>
      </c>
      <c r="P3800">
        <v>-0.2160002</v>
      </c>
      <c r="Q3800">
        <v>0.13396279999999999</v>
      </c>
      <c r="R3800">
        <v>-0.96715969999999996</v>
      </c>
      <c r="S3800">
        <v>-0.46562189999999998</v>
      </c>
      <c r="T3800">
        <v>-0.1709378</v>
      </c>
      <c r="U3800">
        <v>-3.0211030000000001</v>
      </c>
      <c r="V3800">
        <v>0.1261224</v>
      </c>
      <c r="W3800">
        <v>0.14204530000000001</v>
      </c>
      <c r="X3800">
        <v>0.98179240000000001</v>
      </c>
      <c r="Y3800">
        <v>5.7287449999999997E-2</v>
      </c>
      <c r="Z3800">
        <v>5.5732980000000001E-2</v>
      </c>
      <c r="AA3800">
        <v>0.99680089999999999</v>
      </c>
      <c r="AB3800">
        <v>29</v>
      </c>
      <c r="AC3800">
        <v>-2.9607999999999999</v>
      </c>
      <c r="AD3800">
        <v>-1.100282178456</v>
      </c>
      <c r="AE3800">
        <v>-19.154699999999998</v>
      </c>
      <c r="AF3800">
        <v>1.1198565637943401</v>
      </c>
      <c r="AG3800">
        <v>-1.100282178456</v>
      </c>
      <c r="AH3800">
        <v>19.2874363802494</v>
      </c>
      <c r="AI3800">
        <v>93.2595116313191</v>
      </c>
      <c r="AJ3800">
        <v>86.677054520130099</v>
      </c>
      <c r="AK3800">
        <v>19.351224811826999</v>
      </c>
      <c r="AL3800">
        <v>81.833783906248897</v>
      </c>
      <c r="AM3800">
        <v>82.679796586650696</v>
      </c>
      <c r="AN3800">
        <v>1.0000000218658001</v>
      </c>
    </row>
    <row r="3801" spans="1:40" x14ac:dyDescent="0.25">
      <c r="A3801" t="str">
        <f>"20190312173006404"</f>
        <v>20190312173006404</v>
      </c>
      <c r="B3801" t="str">
        <f>"1552383006391439"</f>
        <v>1552383006391439</v>
      </c>
      <c r="C3801" t="s">
        <v>40</v>
      </c>
      <c r="D3801">
        <v>3.392998</v>
      </c>
      <c r="E3801">
        <v>0.4700512</v>
      </c>
      <c r="F3801" t="s">
        <v>41</v>
      </c>
      <c r="G3801">
        <v>-193.04499999999999</v>
      </c>
      <c r="H3801" s="1">
        <v>-3.1839309999999999E-6</v>
      </c>
      <c r="I3801">
        <v>175.1223</v>
      </c>
      <c r="J3801">
        <v>-190.09880000000001</v>
      </c>
      <c r="K3801">
        <v>1.1007830000000001</v>
      </c>
      <c r="L3801">
        <v>194.01480000000001</v>
      </c>
      <c r="M3801">
        <v>-0.1045551</v>
      </c>
      <c r="N3801">
        <v>0</v>
      </c>
      <c r="O3801">
        <v>-0.99445839999999996</v>
      </c>
      <c r="P3801">
        <v>-0.21851989999999999</v>
      </c>
      <c r="Q3801">
        <v>0.13286319999999999</v>
      </c>
      <c r="R3801">
        <v>-0.96674510000000002</v>
      </c>
      <c r="S3801">
        <v>-0.47013850000000001</v>
      </c>
      <c r="T3801">
        <v>-0.1735295</v>
      </c>
      <c r="U3801">
        <v>-3.0209199999999998</v>
      </c>
      <c r="V3801">
        <v>0.11924220000000001</v>
      </c>
      <c r="W3801">
        <v>0.14117729999999901</v>
      </c>
      <c r="X3801">
        <v>0.98277680000000001</v>
      </c>
      <c r="Y3801">
        <v>4.93689E-2</v>
      </c>
      <c r="Z3801">
        <v>5.6504499999999999E-2</v>
      </c>
      <c r="AA3801">
        <v>0.99718099999999998</v>
      </c>
      <c r="AB3801">
        <v>29</v>
      </c>
      <c r="AC3801">
        <v>-2.94619999999997</v>
      </c>
      <c r="AD3801">
        <v>-1.100786183931</v>
      </c>
      <c r="AE3801">
        <v>-18.892499999999998</v>
      </c>
      <c r="AF3801">
        <v>0.95147027678565499</v>
      </c>
      <c r="AG3801">
        <v>-1.100786183931</v>
      </c>
      <c r="AH3801">
        <v>19.033914196733999</v>
      </c>
      <c r="AI3801">
        <v>93.305774902761101</v>
      </c>
      <c r="AJ3801">
        <v>87.138271679304793</v>
      </c>
      <c r="AK3801">
        <v>19.089445134916101</v>
      </c>
      <c r="AL3801">
        <v>81.884022637804904</v>
      </c>
      <c r="AM3801">
        <v>83.082008175122098</v>
      </c>
      <c r="AN3801">
        <v>0.99999998545718405</v>
      </c>
    </row>
    <row r="3802" spans="1:40" x14ac:dyDescent="0.25">
      <c r="A3802" t="str">
        <f>"20190312173006415"</f>
        <v>20190312173006415</v>
      </c>
      <c r="B3802" t="str">
        <f>"1552383006411936"</f>
        <v>1552383006411936</v>
      </c>
      <c r="C3802" t="s">
        <v>40</v>
      </c>
      <c r="D3802">
        <v>3.3865289999999999</v>
      </c>
      <c r="E3802">
        <v>0.46887129999999999</v>
      </c>
      <c r="F3802" t="s">
        <v>42</v>
      </c>
      <c r="G3802">
        <v>-190.23920000000001</v>
      </c>
      <c r="H3802">
        <v>1.0372170000000001</v>
      </c>
      <c r="I3802">
        <v>193.03280000000001</v>
      </c>
      <c r="J3802">
        <v>-190.12129999999999</v>
      </c>
      <c r="K3802">
        <v>1.1011299999999999</v>
      </c>
      <c r="L3802">
        <v>193.85380000000001</v>
      </c>
      <c r="M3802">
        <v>-0.1098745</v>
      </c>
      <c r="N3802">
        <v>0</v>
      </c>
      <c r="O3802">
        <v>-0.99388549999999998</v>
      </c>
      <c r="P3802">
        <v>-0.22069810000000001</v>
      </c>
      <c r="Q3802">
        <v>0.1322701</v>
      </c>
      <c r="R3802">
        <v>-0.96633179999999996</v>
      </c>
      <c r="S3802">
        <v>-0.43325809999999998</v>
      </c>
      <c r="T3802">
        <v>-0.19616649999999999</v>
      </c>
      <c r="U3802">
        <v>-3.0322269999999998</v>
      </c>
      <c r="V3802">
        <v>0.1160548</v>
      </c>
      <c r="W3802">
        <v>0.14070569999999999</v>
      </c>
      <c r="X3802">
        <v>0.98322589999999999</v>
      </c>
      <c r="Y3802">
        <v>3.1526690000000003E-2</v>
      </c>
      <c r="Z3802">
        <v>6.3637120000000005E-2</v>
      </c>
      <c r="AA3802">
        <v>0.997475</v>
      </c>
      <c r="AB3802">
        <v>29</v>
      </c>
      <c r="AC3802">
        <v>-0.11790000000002</v>
      </c>
      <c r="AD3802">
        <v>-6.3912999999999803E-2</v>
      </c>
      <c r="AE3802">
        <v>-0.82099999999999795</v>
      </c>
      <c r="AF3802">
        <v>2.6814523939867E-2</v>
      </c>
      <c r="AG3802">
        <v>-6.3912999999999803E-2</v>
      </c>
      <c r="AH3802">
        <v>0.82409031180135806</v>
      </c>
      <c r="AI3802">
        <v>94.432407451901497</v>
      </c>
      <c r="AJ3802">
        <v>88.136348443321396</v>
      </c>
      <c r="AK3802">
        <v>0.82699983813056499</v>
      </c>
      <c r="AL3802">
        <v>81.911315811416799</v>
      </c>
      <c r="AM3802">
        <v>83.268255699969401</v>
      </c>
      <c r="AN3802">
        <v>0.99999999052317001</v>
      </c>
    </row>
    <row r="3803" spans="1:40" x14ac:dyDescent="0.25">
      <c r="A3803" t="str">
        <f>"20190312173006429"</f>
        <v>20190312173006429</v>
      </c>
      <c r="B3803" t="str">
        <f>"1552383006421695"</f>
        <v>1552383006421695</v>
      </c>
      <c r="C3803" t="s">
        <v>40</v>
      </c>
      <c r="D3803">
        <v>3.3979170000000001</v>
      </c>
      <c r="E3803">
        <v>0.46841929999999998</v>
      </c>
      <c r="F3803" t="s">
        <v>41</v>
      </c>
      <c r="G3803">
        <v>-192.5239</v>
      </c>
      <c r="H3803" s="1">
        <v>-3.8168550000000001E-6</v>
      </c>
      <c r="I3803">
        <v>176.92089999999999</v>
      </c>
      <c r="J3803">
        <v>-190.14580000000001</v>
      </c>
      <c r="K3803">
        <v>1.1014999999999999</v>
      </c>
      <c r="L3803">
        <v>193.6815</v>
      </c>
      <c r="M3803">
        <v>-0.1154036</v>
      </c>
      <c r="N3803">
        <v>0</v>
      </c>
      <c r="O3803">
        <v>-0.99325909999999995</v>
      </c>
      <c r="P3803">
        <v>-0.22275980000000001</v>
      </c>
      <c r="Q3803">
        <v>0.13182459999999999</v>
      </c>
      <c r="R3803">
        <v>-0.96591959999999999</v>
      </c>
      <c r="S3803">
        <v>-0.43038939999999998</v>
      </c>
      <c r="T3803">
        <v>-0.19724820000000001</v>
      </c>
      <c r="U3803">
        <v>-3.0332180000000002</v>
      </c>
      <c r="V3803">
        <v>0.11253589999999999</v>
      </c>
      <c r="W3803">
        <v>0.14038889999999901</v>
      </c>
      <c r="X3803">
        <v>0.98368009999999995</v>
      </c>
      <c r="Y3803">
        <v>2.4991030000000001E-2</v>
      </c>
      <c r="Z3803">
        <v>6.3915719999999995E-2</v>
      </c>
      <c r="AA3803">
        <v>0.99764229999999998</v>
      </c>
      <c r="AB3803">
        <v>29</v>
      </c>
      <c r="AC3803">
        <v>-2.3780999999999799</v>
      </c>
      <c r="AD3803">
        <v>-1.101503816855</v>
      </c>
      <c r="AE3803">
        <v>-16.7606</v>
      </c>
      <c r="AF3803">
        <v>0.42605734340447499</v>
      </c>
      <c r="AG3803">
        <v>-1.101503816855</v>
      </c>
      <c r="AH3803">
        <v>16.851713569287298</v>
      </c>
      <c r="AI3803">
        <v>93.738598572104095</v>
      </c>
      <c r="AJ3803">
        <v>88.551714747858597</v>
      </c>
      <c r="AK3803">
        <v>16.893048444248201</v>
      </c>
      <c r="AL3803">
        <v>81.929648807549299</v>
      </c>
      <c r="AM3803">
        <v>83.473568131499206</v>
      </c>
      <c r="AN3803">
        <v>0.999999955584013</v>
      </c>
    </row>
    <row r="3804" spans="1:40" x14ac:dyDescent="0.25">
      <c r="A3804" t="str">
        <f>"20190312173006450"</f>
        <v>20190312173006450</v>
      </c>
      <c r="B3804" t="str">
        <f>"1552383006441219"</f>
        <v>1552383006441219</v>
      </c>
      <c r="C3804" t="s">
        <v>40</v>
      </c>
      <c r="D3804">
        <v>3.3816730000000002</v>
      </c>
      <c r="E3804">
        <v>0.46740320000000002</v>
      </c>
      <c r="F3804" t="s">
        <v>42</v>
      </c>
      <c r="G3804">
        <v>-190.27619999999999</v>
      </c>
      <c r="H3804">
        <v>1.04182</v>
      </c>
      <c r="I3804">
        <v>192.76840000000001</v>
      </c>
      <c r="J3804">
        <v>-190.18350000000001</v>
      </c>
      <c r="K3804">
        <v>1.1020350000000001</v>
      </c>
      <c r="L3804">
        <v>193.4263</v>
      </c>
      <c r="M3804">
        <v>-0.12311569999999999</v>
      </c>
      <c r="N3804">
        <v>0</v>
      </c>
      <c r="O3804">
        <v>-0.99233340000000003</v>
      </c>
      <c r="P3804">
        <v>-0.2246281</v>
      </c>
      <c r="Q3804">
        <v>0.1314642</v>
      </c>
      <c r="R3804">
        <v>-0.9655359</v>
      </c>
      <c r="S3804">
        <v>-0.4328766</v>
      </c>
      <c r="T3804">
        <v>-0.19815840000000001</v>
      </c>
      <c r="U3804">
        <v>-3.0330509999999999</v>
      </c>
      <c r="V3804">
        <v>0.1065932</v>
      </c>
      <c r="W3804">
        <v>0.1402246</v>
      </c>
      <c r="X3804">
        <v>0.98436520000000005</v>
      </c>
      <c r="Y3804">
        <v>1.803244E-2</v>
      </c>
      <c r="Z3804">
        <v>6.4124459999999994E-2</v>
      </c>
      <c r="AA3804">
        <v>0.99777899999999997</v>
      </c>
      <c r="AB3804">
        <v>29</v>
      </c>
      <c r="AC3804">
        <v>-9.2699999999979299E-2</v>
      </c>
      <c r="AD3804">
        <v>-6.0215000000000102E-2</v>
      </c>
      <c r="AE3804">
        <v>-0.65789999999998305</v>
      </c>
      <c r="AF3804">
        <v>1.0902576759687799E-2</v>
      </c>
      <c r="AG3804">
        <v>-6.0215000000000102E-2</v>
      </c>
      <c r="AH3804">
        <v>0.65889568240443497</v>
      </c>
      <c r="AI3804">
        <v>95.220917876912395</v>
      </c>
      <c r="AJ3804">
        <v>89.052028037815006</v>
      </c>
      <c r="AK3804">
        <v>0.66173123902095399</v>
      </c>
      <c r="AL3804">
        <v>81.939156491657201</v>
      </c>
      <c r="AM3804">
        <v>83.819737159274496</v>
      </c>
      <c r="AN3804">
        <v>0.99999994785121804</v>
      </c>
    </row>
    <row r="3805" spans="1:40" x14ac:dyDescent="0.25">
      <c r="A3805" t="str">
        <f>"20190312173006460"</f>
        <v>20190312173006460</v>
      </c>
      <c r="B3805" t="str">
        <f>"1552383006451951"</f>
        <v>1552383006451951</v>
      </c>
      <c r="C3805" t="s">
        <v>40</v>
      </c>
      <c r="D3805">
        <v>3.4222709999999998</v>
      </c>
      <c r="E3805">
        <v>0.46740320000000002</v>
      </c>
      <c r="F3805" t="s">
        <v>41</v>
      </c>
      <c r="G3805">
        <v>-192.60149999999999</v>
      </c>
      <c r="H3805" s="1">
        <v>-3.5698900000000001E-6</v>
      </c>
      <c r="I3805">
        <v>176.2971</v>
      </c>
      <c r="J3805">
        <v>-190.209</v>
      </c>
      <c r="K3805">
        <v>1.102393</v>
      </c>
      <c r="L3805">
        <v>193.2587</v>
      </c>
      <c r="M3805">
        <v>-0.12787370000000001</v>
      </c>
      <c r="N3805">
        <v>0</v>
      </c>
      <c r="O3805">
        <v>-0.9917319</v>
      </c>
      <c r="P3805">
        <v>-0.22623260000000001</v>
      </c>
      <c r="Q3805">
        <v>0.13124530000000001</v>
      </c>
      <c r="R3805">
        <v>-0.96519109999999997</v>
      </c>
      <c r="S3805">
        <v>-0.42828369999999999</v>
      </c>
      <c r="T3805">
        <v>-0.1952014</v>
      </c>
      <c r="U3805">
        <v>-3.0340419999999999</v>
      </c>
      <c r="V3805">
        <v>0.1033751</v>
      </c>
      <c r="W3805">
        <v>0.1401165</v>
      </c>
      <c r="X3805">
        <v>0.98472380000000004</v>
      </c>
      <c r="Y3805">
        <v>1.1719419999999999E-2</v>
      </c>
      <c r="Z3805">
        <v>6.3103359999999997E-2</v>
      </c>
      <c r="AA3805">
        <v>0.9979382</v>
      </c>
      <c r="AB3805">
        <v>29</v>
      </c>
      <c r="AC3805">
        <v>-2.3924999999999801</v>
      </c>
      <c r="AD3805">
        <v>-1.10239656989</v>
      </c>
      <c r="AE3805">
        <v>-16.961600000000001</v>
      </c>
      <c r="AF3805">
        <v>0.20294729545225099</v>
      </c>
      <c r="AG3805">
        <v>-1.10239656989</v>
      </c>
      <c r="AH3805">
        <v>17.0576435671477</v>
      </c>
      <c r="AI3805">
        <v>93.697492022077995</v>
      </c>
      <c r="AJ3805">
        <v>89.3183422539323</v>
      </c>
      <c r="AK3805">
        <v>17.094433885504699</v>
      </c>
      <c r="AL3805">
        <v>81.945412375139298</v>
      </c>
      <c r="AM3805">
        <v>84.007109793692905</v>
      </c>
      <c r="AN3805">
        <v>1.0000000035793499</v>
      </c>
    </row>
    <row r="3806" spans="1:40" x14ac:dyDescent="0.25">
      <c r="A3806" t="str">
        <f>"20190312173006473"</f>
        <v>20190312173006473</v>
      </c>
      <c r="B3806" t="str">
        <f>"1552383006461712"</f>
        <v>1552383006461712</v>
      </c>
      <c r="C3806" t="s">
        <v>40</v>
      </c>
      <c r="D3806">
        <v>3.3949639999999999</v>
      </c>
      <c r="E3806">
        <v>0.46188889999999999</v>
      </c>
      <c r="F3806" t="s">
        <v>41</v>
      </c>
      <c r="G3806">
        <v>-192.64699999999999</v>
      </c>
      <c r="H3806" s="1">
        <v>-3.5136359999999998E-6</v>
      </c>
      <c r="I3806">
        <v>176.1377</v>
      </c>
      <c r="J3806">
        <v>-190.23269999999999</v>
      </c>
      <c r="K3806">
        <v>1.102714</v>
      </c>
      <c r="L3806">
        <v>193.10720000000001</v>
      </c>
      <c r="M3806">
        <v>-0.1318472</v>
      </c>
      <c r="N3806">
        <v>0</v>
      </c>
      <c r="O3806">
        <v>-0.99121170000000003</v>
      </c>
      <c r="P3806">
        <v>-0.22718540000000001</v>
      </c>
      <c r="Q3806">
        <v>0.1306156</v>
      </c>
      <c r="R3806">
        <v>-0.96505280000000004</v>
      </c>
      <c r="S3806">
        <v>-0.43197629999999998</v>
      </c>
      <c r="T3806">
        <v>-0.19532279999999999</v>
      </c>
      <c r="U3806">
        <v>-3.033493</v>
      </c>
      <c r="V3806">
        <v>0.10026740000000001</v>
      </c>
      <c r="W3806">
        <v>0.13958389999999901</v>
      </c>
      <c r="X3806">
        <v>0.98512069999999996</v>
      </c>
      <c r="Y3806">
        <v>8.9277709999999993E-3</v>
      </c>
      <c r="Z3806">
        <v>6.3099680000000005E-2</v>
      </c>
      <c r="AA3806">
        <v>0.9979673</v>
      </c>
      <c r="AB3806">
        <v>29</v>
      </c>
      <c r="AC3806">
        <v>-2.4143000000000199</v>
      </c>
      <c r="AD3806">
        <v>-1.1027175136359999</v>
      </c>
      <c r="AE3806">
        <v>-16.9695</v>
      </c>
      <c r="AF3806">
        <v>0.15506853672357401</v>
      </c>
      <c r="AG3806">
        <v>-1.1027175136359999</v>
      </c>
      <c r="AH3806">
        <v>17.069029626332501</v>
      </c>
      <c r="AI3806">
        <v>93.696213937446601</v>
      </c>
      <c r="AJ3806">
        <v>89.479494238045305</v>
      </c>
      <c r="AK3806">
        <v>17.105315096500799</v>
      </c>
      <c r="AL3806">
        <v>81.9762309843521</v>
      </c>
      <c r="AM3806">
        <v>84.1883435503659</v>
      </c>
      <c r="AN3806">
        <v>1.00000000510523</v>
      </c>
    </row>
    <row r="3807" spans="1:40" x14ac:dyDescent="0.25">
      <c r="A3807" t="str">
        <f>"20190312173006493"</f>
        <v>20190312173006493</v>
      </c>
      <c r="B3807" t="str">
        <f>"1552383006481232"</f>
        <v>1552383006481232</v>
      </c>
      <c r="C3807" t="s">
        <v>40</v>
      </c>
      <c r="D3807">
        <v>3.3873310000000001</v>
      </c>
      <c r="E3807">
        <v>0.4615148</v>
      </c>
      <c r="F3807" t="s">
        <v>41</v>
      </c>
      <c r="G3807">
        <v>-192.5609</v>
      </c>
      <c r="H3807" s="1">
        <v>-3.0122799999999998E-6</v>
      </c>
      <c r="I3807">
        <v>175.02250000000001</v>
      </c>
      <c r="J3807">
        <v>-190.274</v>
      </c>
      <c r="K3807">
        <v>1.1032839999999999</v>
      </c>
      <c r="L3807">
        <v>192.84739999999999</v>
      </c>
      <c r="M3807">
        <v>-0.1381763</v>
      </c>
      <c r="N3807">
        <v>0</v>
      </c>
      <c r="O3807">
        <v>-0.99034979999999995</v>
      </c>
      <c r="P3807">
        <v>-0.22557189999999999</v>
      </c>
      <c r="Q3807">
        <v>0.12725439999999999</v>
      </c>
      <c r="R3807">
        <v>-0.96587959999999995</v>
      </c>
      <c r="S3807">
        <v>-0.391571</v>
      </c>
      <c r="T3807">
        <v>-0.18545729999999999</v>
      </c>
      <c r="U3807">
        <v>-3.041534</v>
      </c>
      <c r="V3807">
        <v>9.2009430000000003E-2</v>
      </c>
      <c r="W3807">
        <v>0.13643620000000001</v>
      </c>
      <c r="X3807">
        <v>0.98636679999999999</v>
      </c>
      <c r="Y3807">
        <v>-1.082089E-2</v>
      </c>
      <c r="Z3807">
        <v>5.9742290000000003E-2</v>
      </c>
      <c r="AA3807">
        <v>0.99815520000000002</v>
      </c>
      <c r="AB3807">
        <v>29</v>
      </c>
      <c r="AC3807">
        <v>-2.2869000000000002</v>
      </c>
      <c r="AD3807">
        <v>-1.10328701227999</v>
      </c>
      <c r="AE3807">
        <v>-17.8248999999999</v>
      </c>
      <c r="AF3807">
        <v>-0.197415057492725</v>
      </c>
      <c r="AG3807">
        <v>-1.10328701227999</v>
      </c>
      <c r="AH3807">
        <v>17.902435844426901</v>
      </c>
      <c r="AI3807">
        <v>93.5263365927634</v>
      </c>
      <c r="AJ3807">
        <v>90.631790626760704</v>
      </c>
      <c r="AK3807">
        <v>17.937486560279599</v>
      </c>
      <c r="AL3807">
        <v>82.158323564898794</v>
      </c>
      <c r="AM3807">
        <v>84.670805164050407</v>
      </c>
      <c r="AN3807">
        <v>1.0000000180108</v>
      </c>
    </row>
    <row r="3808" spans="1:40" x14ac:dyDescent="0.25">
      <c r="A3808" t="str">
        <f>"20190312173006506"</f>
        <v>20190312173006506</v>
      </c>
      <c r="B3808" t="str">
        <f>"1552383006501728"</f>
        <v>1552383006501728</v>
      </c>
      <c r="C3808" t="s">
        <v>40</v>
      </c>
      <c r="D3808">
        <v>3.3880240000000001</v>
      </c>
      <c r="E3808">
        <v>0.46123890000000001</v>
      </c>
      <c r="F3808" t="s">
        <v>41</v>
      </c>
      <c r="G3808">
        <v>-192.45599999999999</v>
      </c>
      <c r="H3808" s="1">
        <v>-3.2077560000000001E-6</v>
      </c>
      <c r="I3808">
        <v>175.54320000000001</v>
      </c>
      <c r="J3808">
        <v>-190.30099999999999</v>
      </c>
      <c r="K3808">
        <v>1.1036680000000001</v>
      </c>
      <c r="L3808">
        <v>192.6814</v>
      </c>
      <c r="M3808">
        <v>-0.14186270000000001</v>
      </c>
      <c r="N3808">
        <v>0</v>
      </c>
      <c r="O3808">
        <v>-0.98982910000000002</v>
      </c>
      <c r="P3808">
        <v>-0.22537679999999999</v>
      </c>
      <c r="Q3808">
        <v>0.1259497</v>
      </c>
      <c r="R3808">
        <v>-0.96609650000000002</v>
      </c>
      <c r="S3808">
        <v>-0.38357540000000001</v>
      </c>
      <c r="T3808">
        <v>-0.1939495</v>
      </c>
      <c r="U3808">
        <v>-3.0419459999999998</v>
      </c>
      <c r="V3808">
        <v>8.7962199999999893E-2</v>
      </c>
      <c r="W3808">
        <v>0.1352419</v>
      </c>
      <c r="X3808">
        <v>0.98690029999999995</v>
      </c>
      <c r="Y3808">
        <v>-1.716326E-2</v>
      </c>
      <c r="Z3808">
        <v>6.2416989999999999E-2</v>
      </c>
      <c r="AA3808">
        <v>0.99790259999999997</v>
      </c>
      <c r="AB3808">
        <v>29</v>
      </c>
      <c r="AC3808">
        <v>-2.1549999999999998</v>
      </c>
      <c r="AD3808">
        <v>-1.103671207756</v>
      </c>
      <c r="AE3808">
        <v>-17.138199999999902</v>
      </c>
      <c r="AF3808">
        <v>-0.296994007078068</v>
      </c>
      <c r="AG3808">
        <v>-1.103671207756</v>
      </c>
      <c r="AH3808">
        <v>17.200359781959701</v>
      </c>
      <c r="AI3808">
        <v>93.670838620534397</v>
      </c>
      <c r="AJ3808">
        <v>90.989212584158693</v>
      </c>
      <c r="AK3808">
        <v>17.2382908724713</v>
      </c>
      <c r="AL3808">
        <v>82.2273916748197</v>
      </c>
      <c r="AM3808">
        <v>84.906698966816904</v>
      </c>
      <c r="AN3808">
        <v>0.99999996114226897</v>
      </c>
    </row>
    <row r="3809" spans="1:40" x14ac:dyDescent="0.25">
      <c r="A3809" t="str">
        <f>"20190312173006526"</f>
        <v>20190312173006526</v>
      </c>
      <c r="B3809" t="str">
        <f>"1552383006511487"</f>
        <v>1552383006511487</v>
      </c>
      <c r="C3809" t="s">
        <v>40</v>
      </c>
      <c r="D3809">
        <v>3.3637169999999998</v>
      </c>
      <c r="E3809">
        <v>0.46161669999999999</v>
      </c>
      <c r="F3809" t="s">
        <v>41</v>
      </c>
      <c r="G3809">
        <v>-192.4162</v>
      </c>
      <c r="H3809" s="1">
        <v>-3.3051240000000002E-6</v>
      </c>
      <c r="I3809">
        <v>175.79480000000001</v>
      </c>
      <c r="J3809">
        <v>-190.34229999999999</v>
      </c>
      <c r="K3809">
        <v>1.1042670000000001</v>
      </c>
      <c r="L3809">
        <v>192.43090000000001</v>
      </c>
      <c r="M3809">
        <v>-0.14679049999999999</v>
      </c>
      <c r="N3809">
        <v>0</v>
      </c>
      <c r="O3809">
        <v>-0.98911090000000002</v>
      </c>
      <c r="P3809">
        <v>-0.22394159999999999</v>
      </c>
      <c r="Q3809">
        <v>0.1248818</v>
      </c>
      <c r="R3809">
        <v>-0.96656869999999995</v>
      </c>
      <c r="S3809">
        <v>-0.38108829999999999</v>
      </c>
      <c r="T3809">
        <v>-0.19883799999999999</v>
      </c>
      <c r="U3809">
        <v>-3.042297</v>
      </c>
      <c r="V3809">
        <v>8.1338740000000007E-2</v>
      </c>
      <c r="W3809">
        <v>0.1343385</v>
      </c>
      <c r="X3809">
        <v>0.98759160000000001</v>
      </c>
      <c r="Y3809">
        <v>-2.2971740000000001E-2</v>
      </c>
      <c r="Z3809">
        <v>6.3906210000000005E-2</v>
      </c>
      <c r="AA3809">
        <v>0.99769149999999995</v>
      </c>
      <c r="AB3809">
        <v>29</v>
      </c>
      <c r="AC3809">
        <v>-2.0739000000000001</v>
      </c>
      <c r="AD3809">
        <v>-1.1042703051239999</v>
      </c>
      <c r="AE3809">
        <v>-16.636099999999999</v>
      </c>
      <c r="AF3809">
        <v>-0.38903837246450601</v>
      </c>
      <c r="AG3809">
        <v>-1.1042703051239999</v>
      </c>
      <c r="AH3809">
        <v>16.687914432143199</v>
      </c>
      <c r="AI3809">
        <v>93.7848235577666</v>
      </c>
      <c r="AJ3809">
        <v>91.335470656982395</v>
      </c>
      <c r="AK3809">
        <v>16.728934570275602</v>
      </c>
      <c r="AL3809">
        <v>82.279629668251204</v>
      </c>
      <c r="AM3809">
        <v>85.291705942801997</v>
      </c>
      <c r="AN3809">
        <v>0.99999999579879795</v>
      </c>
    </row>
    <row r="3810" spans="1:40" x14ac:dyDescent="0.25">
      <c r="A3810" t="str">
        <f>"20190312173006537"</f>
        <v>20190312173006537</v>
      </c>
      <c r="B3810" t="str">
        <f>"1552383006531984"</f>
        <v>1552383006531984</v>
      </c>
      <c r="C3810" t="s">
        <v>40</v>
      </c>
      <c r="D3810">
        <v>3.33026</v>
      </c>
      <c r="E3810">
        <v>0.46119700000000002</v>
      </c>
      <c r="F3810" t="s">
        <v>41</v>
      </c>
      <c r="G3810">
        <v>-192.18199999999999</v>
      </c>
      <c r="H3810" s="1">
        <v>-3.99871699999999E-6</v>
      </c>
      <c r="I3810">
        <v>177.59979999999999</v>
      </c>
      <c r="J3810">
        <v>-190.36930000000001</v>
      </c>
      <c r="K3810">
        <v>1.1046720000000001</v>
      </c>
      <c r="L3810">
        <v>192.27010000000001</v>
      </c>
      <c r="M3810">
        <v>-0.1495581</v>
      </c>
      <c r="N3810">
        <v>0</v>
      </c>
      <c r="O3810">
        <v>-0.98869660000000004</v>
      </c>
      <c r="P3810">
        <v>-0.2236233</v>
      </c>
      <c r="Q3810">
        <v>0.12431689999999899</v>
      </c>
      <c r="R3810">
        <v>-0.96671530000000006</v>
      </c>
      <c r="S3810">
        <v>-0.37777709999999998</v>
      </c>
      <c r="T3810">
        <v>-0.22675799999999999</v>
      </c>
      <c r="U3810">
        <v>-3.0455169999999998</v>
      </c>
      <c r="V3810">
        <v>7.809692E-2</v>
      </c>
      <c r="W3810">
        <v>0.13386219999999999</v>
      </c>
      <c r="X3810">
        <v>0.98791790000000002</v>
      </c>
      <c r="Y3810">
        <v>-2.7042859999999998E-2</v>
      </c>
      <c r="Z3810">
        <v>7.271321E-2</v>
      </c>
      <c r="AA3810">
        <v>0.99698620000000004</v>
      </c>
      <c r="AB3810">
        <v>29</v>
      </c>
      <c r="AC3810">
        <v>-1.8127</v>
      </c>
      <c r="AD3810">
        <v>-1.1046759987169901</v>
      </c>
      <c r="AE3810">
        <v>-14.670299999999999</v>
      </c>
      <c r="AF3810">
        <v>-0.39964231307473702</v>
      </c>
      <c r="AG3810">
        <v>-1.1046759987169901</v>
      </c>
      <c r="AH3810">
        <v>14.694337201885</v>
      </c>
      <c r="AI3810">
        <v>94.297653899479002</v>
      </c>
      <c r="AJ3810">
        <v>91.557890932416996</v>
      </c>
      <c r="AK3810">
        <v>14.7412200595216</v>
      </c>
      <c r="AL3810">
        <v>82.307168396580707</v>
      </c>
      <c r="AM3810">
        <v>85.480051806858498</v>
      </c>
      <c r="AN3810">
        <v>0.99999999732136802</v>
      </c>
    </row>
    <row r="3811" spans="1:40" x14ac:dyDescent="0.25">
      <c r="A3811" t="str">
        <f>"20190312173006551"</f>
        <v>20190312173006551</v>
      </c>
      <c r="B3811" t="str">
        <f>"1552383006541744"</f>
        <v>1552383006541744</v>
      </c>
      <c r="C3811" t="s">
        <v>40</v>
      </c>
      <c r="D3811">
        <v>3.3799980000000001</v>
      </c>
      <c r="E3811">
        <v>0.46105499999999999</v>
      </c>
      <c r="F3811" t="s">
        <v>41</v>
      </c>
      <c r="G3811">
        <v>-192.1962</v>
      </c>
      <c r="H3811" s="1">
        <v>-3.8939470000000003E-6</v>
      </c>
      <c r="I3811">
        <v>177.3038</v>
      </c>
      <c r="J3811">
        <v>-190.39769999999999</v>
      </c>
      <c r="K3811">
        <v>1.105089</v>
      </c>
      <c r="L3811">
        <v>192.10140000000001</v>
      </c>
      <c r="M3811">
        <v>-0.15220220000000001</v>
      </c>
      <c r="N3811">
        <v>0</v>
      </c>
      <c r="O3811">
        <v>-0.98829319999999998</v>
      </c>
      <c r="P3811">
        <v>-0.22288549999999999</v>
      </c>
      <c r="Q3811">
        <v>0.12437769999999999</v>
      </c>
      <c r="R3811">
        <v>-0.96687809999999996</v>
      </c>
      <c r="S3811">
        <v>-0.37185669999999998</v>
      </c>
      <c r="T3811">
        <v>-0.22484419999999999</v>
      </c>
      <c r="U3811">
        <v>-3.0462039999999999</v>
      </c>
      <c r="V3811">
        <v>7.4563069999999995E-2</v>
      </c>
      <c r="W3811">
        <v>0.13401199999999999</v>
      </c>
      <c r="X3811">
        <v>0.98817060000000001</v>
      </c>
      <c r="Y3811">
        <v>-3.1646830000000001E-2</v>
      </c>
      <c r="Z3811">
        <v>7.2046089999999993E-2</v>
      </c>
      <c r="AA3811">
        <v>0.99689910000000004</v>
      </c>
      <c r="AB3811">
        <v>29</v>
      </c>
      <c r="AC3811">
        <v>-1.79850000000001</v>
      </c>
      <c r="AD3811">
        <v>-1.1050928939469999</v>
      </c>
      <c r="AE3811">
        <v>-14.797599999999999</v>
      </c>
      <c r="AF3811">
        <v>-0.47221303511566898</v>
      </c>
      <c r="AG3811">
        <v>-1.1050928939469999</v>
      </c>
      <c r="AH3811">
        <v>14.8174934230135</v>
      </c>
      <c r="AI3811">
        <v>94.263082962425102</v>
      </c>
      <c r="AJ3811">
        <v>91.825319531053495</v>
      </c>
      <c r="AK3811">
        <v>14.8661470057252</v>
      </c>
      <c r="AL3811">
        <v>82.298507481736195</v>
      </c>
      <c r="AM3811">
        <v>85.6848858940524</v>
      </c>
      <c r="AN3811">
        <v>1.0000000011280901</v>
      </c>
    </row>
    <row r="3812" spans="1:40" x14ac:dyDescent="0.25">
      <c r="A3812" t="str">
        <f>"20190312173006572"</f>
        <v>20190312173006572</v>
      </c>
      <c r="B3812" t="str">
        <f>"1552383006561263"</f>
        <v>1552383006561263</v>
      </c>
      <c r="C3812" t="s">
        <v>40</v>
      </c>
      <c r="D3812">
        <v>3.3693749999999998</v>
      </c>
      <c r="E3812">
        <v>0.46084269999999999</v>
      </c>
      <c r="F3812" t="s">
        <v>41</v>
      </c>
      <c r="G3812">
        <v>-192.21420000000001</v>
      </c>
      <c r="H3812" s="1">
        <v>-3.7901349999999998E-6</v>
      </c>
      <c r="I3812">
        <v>177.05070000000001</v>
      </c>
      <c r="J3812">
        <v>-190.44499999999999</v>
      </c>
      <c r="K3812">
        <v>1.1057760000000001</v>
      </c>
      <c r="L3812">
        <v>191.8229</v>
      </c>
      <c r="M3812">
        <v>-0.15591189999999999</v>
      </c>
      <c r="N3812">
        <v>0</v>
      </c>
      <c r="O3812">
        <v>-0.98771520000000002</v>
      </c>
      <c r="P3812">
        <v>-0.2173793</v>
      </c>
      <c r="Q3812">
        <v>0.1219652</v>
      </c>
      <c r="R3812">
        <v>-0.96843729999999995</v>
      </c>
      <c r="S3812">
        <v>-0.36773679999999997</v>
      </c>
      <c r="T3812">
        <v>-0.22371199999999999</v>
      </c>
      <c r="U3812">
        <v>-3.0468289999999998</v>
      </c>
      <c r="V3812">
        <v>6.4920400000000003E-2</v>
      </c>
      <c r="W3812">
        <v>0.13177469999999999</v>
      </c>
      <c r="X3812">
        <v>0.98915149999999996</v>
      </c>
      <c r="Y3812">
        <v>-3.6748530000000001E-2</v>
      </c>
      <c r="Z3812">
        <v>7.1607089999999998E-2</v>
      </c>
      <c r="AA3812">
        <v>0.99675570000000002</v>
      </c>
      <c r="AB3812">
        <v>29</v>
      </c>
      <c r="AC3812">
        <v>-1.7692000000000101</v>
      </c>
      <c r="AD3812">
        <v>-1.1057797901349999</v>
      </c>
      <c r="AE3812">
        <v>-14.7721999999999</v>
      </c>
      <c r="AF3812">
        <v>-0.55267362244455298</v>
      </c>
      <c r="AG3812">
        <v>-1.1057797901349999</v>
      </c>
      <c r="AH3812">
        <v>14.785706983554601</v>
      </c>
      <c r="AI3812">
        <v>94.274048022745504</v>
      </c>
      <c r="AJ3812">
        <v>92.140657239499703</v>
      </c>
      <c r="AK3812">
        <v>14.8372951740118</v>
      </c>
      <c r="AL3812">
        <v>82.427842201283894</v>
      </c>
      <c r="AM3812">
        <v>86.244925346397395</v>
      </c>
      <c r="AN3812">
        <v>0.99999995992424895</v>
      </c>
    </row>
    <row r="3813" spans="1:40" x14ac:dyDescent="0.25">
      <c r="A3813" t="str">
        <f>"20190312173006594"</f>
        <v>20190312173006594</v>
      </c>
      <c r="B3813" t="str">
        <f>"1552383006581759"</f>
        <v>1552383006581759</v>
      </c>
      <c r="C3813" t="s">
        <v>40</v>
      </c>
      <c r="D3813">
        <v>3.4070200000000002</v>
      </c>
      <c r="E3813">
        <v>0.46083750000000001</v>
      </c>
      <c r="F3813" t="s">
        <v>41</v>
      </c>
      <c r="G3813">
        <v>-192.10849999999999</v>
      </c>
      <c r="H3813" s="1">
        <v>-3.863424E-6</v>
      </c>
      <c r="I3813">
        <v>177.28710000000001</v>
      </c>
      <c r="J3813">
        <v>-190.49279999999999</v>
      </c>
      <c r="K3813">
        <v>1.106476</v>
      </c>
      <c r="L3813">
        <v>191.5427</v>
      </c>
      <c r="M3813">
        <v>-0.1587537</v>
      </c>
      <c r="N3813">
        <v>0</v>
      </c>
      <c r="O3813">
        <v>-0.9872628</v>
      </c>
      <c r="P3813">
        <v>-0.2116316</v>
      </c>
      <c r="Q3813">
        <v>0.11902310000000001</v>
      </c>
      <c r="R3813">
        <v>-0.97007500000000002</v>
      </c>
      <c r="S3813">
        <v>-0.34890749999999998</v>
      </c>
      <c r="T3813">
        <v>-0.23192160000000001</v>
      </c>
      <c r="U3813">
        <v>-3.0486759999999999</v>
      </c>
      <c r="V3813">
        <v>5.5887810000000003E-2</v>
      </c>
      <c r="W3813">
        <v>0.12897639999999999</v>
      </c>
      <c r="X3813">
        <v>0.99007149999999999</v>
      </c>
      <c r="Y3813">
        <v>-4.5788219999999998E-2</v>
      </c>
      <c r="Z3813">
        <v>7.4136939999999998E-2</v>
      </c>
      <c r="AA3813">
        <v>0.99619630000000003</v>
      </c>
      <c r="AB3813">
        <v>29</v>
      </c>
      <c r="AC3813">
        <v>-1.6156999999999999</v>
      </c>
      <c r="AD3813">
        <v>-1.1064798634240001</v>
      </c>
      <c r="AE3813">
        <v>-14.2555999999999</v>
      </c>
      <c r="AF3813">
        <v>-0.66409523618871802</v>
      </c>
      <c r="AG3813">
        <v>-1.1064798634240001</v>
      </c>
      <c r="AH3813">
        <v>14.2465671119168</v>
      </c>
      <c r="AI3813">
        <v>94.4362449356708</v>
      </c>
      <c r="AJ3813">
        <v>92.6688766677091</v>
      </c>
      <c r="AK3813">
        <v>14.3048940801825</v>
      </c>
      <c r="AL3813">
        <v>82.589553352611901</v>
      </c>
      <c r="AM3813">
        <v>86.769181795664906</v>
      </c>
      <c r="AN3813">
        <v>0.99999996708790195</v>
      </c>
    </row>
    <row r="3814" spans="1:40" x14ac:dyDescent="0.25">
      <c r="A3814" t="str">
        <f>"20190312173006607"</f>
        <v>20190312173006607</v>
      </c>
      <c r="B3814" t="str">
        <f>"1552383006601280"</f>
        <v>1552383006601280</v>
      </c>
      <c r="C3814" t="s">
        <v>40</v>
      </c>
      <c r="D3814">
        <v>3.3864160000000001</v>
      </c>
      <c r="E3814">
        <v>0.46075529999999998</v>
      </c>
      <c r="F3814" t="s">
        <v>41</v>
      </c>
      <c r="G3814">
        <v>-192.01570000000001</v>
      </c>
      <c r="H3814" s="1">
        <v>-3.9598389999999998E-6</v>
      </c>
      <c r="I3814">
        <v>177.57230000000001</v>
      </c>
      <c r="J3814">
        <v>-190.5213</v>
      </c>
      <c r="K3814">
        <v>1.1069020000000001</v>
      </c>
      <c r="L3814">
        <v>191.3751</v>
      </c>
      <c r="M3814">
        <v>-0.16007399999999999</v>
      </c>
      <c r="N3814">
        <v>0</v>
      </c>
      <c r="O3814">
        <v>-0.98704990000000004</v>
      </c>
      <c r="P3814">
        <v>-0.20979980000000001</v>
      </c>
      <c r="Q3814">
        <v>0.1190793</v>
      </c>
      <c r="R3814">
        <v>-0.97046600000000005</v>
      </c>
      <c r="S3814">
        <v>-0.33244319999999999</v>
      </c>
      <c r="T3814">
        <v>-0.241537</v>
      </c>
      <c r="U3814">
        <v>-3.049652</v>
      </c>
      <c r="V3814">
        <v>5.2559059999999998E-2</v>
      </c>
      <c r="W3814">
        <v>0.12908939999999999</v>
      </c>
      <c r="X3814">
        <v>0.99023910000000004</v>
      </c>
      <c r="Y3814">
        <v>-5.24962E-2</v>
      </c>
      <c r="Z3814">
        <v>7.7152390000000001E-2</v>
      </c>
      <c r="AA3814">
        <v>0.99563630000000003</v>
      </c>
      <c r="AB3814">
        <v>29</v>
      </c>
      <c r="AC3814">
        <v>-1.4944000000000099</v>
      </c>
      <c r="AD3814">
        <v>-1.1069059598389901</v>
      </c>
      <c r="AE3814">
        <v>-13.8027999999999</v>
      </c>
      <c r="AF3814">
        <v>-0.72982279354987201</v>
      </c>
      <c r="AG3814">
        <v>-1.1069059598389901</v>
      </c>
      <c r="AH3814">
        <v>13.776449650190401</v>
      </c>
      <c r="AI3814">
        <v>94.587310369991798</v>
      </c>
      <c r="AJ3814">
        <v>93.032473129684107</v>
      </c>
      <c r="AK3814">
        <v>13.8401028564871</v>
      </c>
      <c r="AL3814">
        <v>82.583024606105695</v>
      </c>
      <c r="AM3814">
        <v>86.961754808626495</v>
      </c>
      <c r="AN3814">
        <v>1.00000000157462</v>
      </c>
    </row>
    <row r="3815" spans="1:40" x14ac:dyDescent="0.25">
      <c r="A3815" t="str">
        <f>"20190312173006619"</f>
        <v>20190312173006619</v>
      </c>
      <c r="B3815" t="str">
        <f>"1552383006612016"</f>
        <v>1552383006612016</v>
      </c>
      <c r="C3815" t="s">
        <v>40</v>
      </c>
      <c r="D3815">
        <v>3.378253</v>
      </c>
      <c r="E3815">
        <v>0.46066119999999999</v>
      </c>
      <c r="F3815" t="s">
        <v>41</v>
      </c>
      <c r="G3815">
        <v>-192.03299999999999</v>
      </c>
      <c r="H3815" s="1">
        <v>-3.7976080000000001E-6</v>
      </c>
      <c r="I3815">
        <v>177.18049999999999</v>
      </c>
      <c r="J3815">
        <v>-190.55090000000001</v>
      </c>
      <c r="K3815">
        <v>1.1073459999999999</v>
      </c>
      <c r="L3815">
        <v>191.20150000000001</v>
      </c>
      <c r="M3815">
        <v>-0.1610914</v>
      </c>
      <c r="N3815">
        <v>0</v>
      </c>
      <c r="O3815">
        <v>-0.98688469999999995</v>
      </c>
      <c r="P3815">
        <v>-0.20812220000000001</v>
      </c>
      <c r="Q3815">
        <v>0.1198718</v>
      </c>
      <c r="R3815">
        <v>-0.97072959999999997</v>
      </c>
      <c r="S3815">
        <v>-0.32484439999999998</v>
      </c>
      <c r="T3815">
        <v>-0.23786160000000001</v>
      </c>
      <c r="U3815">
        <v>-3.050262</v>
      </c>
      <c r="V3815">
        <v>4.9705060000000002E-2</v>
      </c>
      <c r="W3815">
        <v>0.12993099999999999</v>
      </c>
      <c r="X3815">
        <v>0.99027639999999995</v>
      </c>
      <c r="Y3815">
        <v>-5.598873E-2</v>
      </c>
      <c r="Z3815">
        <v>7.5953839999999995E-2</v>
      </c>
      <c r="AA3815">
        <v>0.99553820000000004</v>
      </c>
      <c r="AB3815">
        <v>29</v>
      </c>
      <c r="AC3815">
        <v>-1.48209999999997</v>
      </c>
      <c r="AD3815">
        <v>-1.107349797608</v>
      </c>
      <c r="AE3815">
        <v>-14.021000000000001</v>
      </c>
      <c r="AF3815">
        <v>-0.79116338995693303</v>
      </c>
      <c r="AG3815">
        <v>-1.107349797608</v>
      </c>
      <c r="AH3815">
        <v>13.990324576429</v>
      </c>
      <c r="AI3815">
        <v>94.518400653277595</v>
      </c>
      <c r="AJ3815">
        <v>93.236672135287293</v>
      </c>
      <c r="AK3815">
        <v>14.056363144060599</v>
      </c>
      <c r="AL3815">
        <v>82.534394933042904</v>
      </c>
      <c r="AM3815">
        <v>87.126557638534095</v>
      </c>
      <c r="AN3815">
        <v>1.0000000030737799</v>
      </c>
    </row>
    <row r="3816" spans="1:40" x14ac:dyDescent="0.25">
      <c r="A3816" t="str">
        <f>"20190312173006638"</f>
        <v>20190312173006638</v>
      </c>
      <c r="B3816" t="str">
        <f>"1552383006631535"</f>
        <v>1552383006631535</v>
      </c>
      <c r="C3816" t="s">
        <v>40</v>
      </c>
      <c r="D3816">
        <v>3.4246240000000001</v>
      </c>
      <c r="E3816">
        <v>0.46036290000000002</v>
      </c>
      <c r="F3816" t="s">
        <v>41</v>
      </c>
      <c r="G3816">
        <v>-192.05090000000001</v>
      </c>
      <c r="H3816" s="1">
        <v>-3.6208090000000002E-6</v>
      </c>
      <c r="I3816">
        <v>176.75729999999999</v>
      </c>
      <c r="J3816">
        <v>-190.58940000000001</v>
      </c>
      <c r="K3816">
        <v>1.10795</v>
      </c>
      <c r="L3816">
        <v>190.9734</v>
      </c>
      <c r="M3816">
        <v>-0.16189300000000001</v>
      </c>
      <c r="N3816">
        <v>0</v>
      </c>
      <c r="O3816">
        <v>-0.98675360000000001</v>
      </c>
      <c r="P3816">
        <v>-0.2069947</v>
      </c>
      <c r="Q3816">
        <v>0.121754</v>
      </c>
      <c r="R3816">
        <v>-0.97073659999999995</v>
      </c>
      <c r="S3816">
        <v>-0.31689450000000002</v>
      </c>
      <c r="T3816">
        <v>-0.233933</v>
      </c>
      <c r="U3816">
        <v>-3.0514070000000002</v>
      </c>
      <c r="V3816">
        <v>4.7610899999999998E-2</v>
      </c>
      <c r="W3816">
        <v>0.13186779999999901</v>
      </c>
      <c r="X3816">
        <v>0.99012330000000004</v>
      </c>
      <c r="Y3816">
        <v>-5.9393840000000003E-2</v>
      </c>
      <c r="Z3816">
        <v>7.4666460000000004E-2</v>
      </c>
      <c r="AA3816">
        <v>0.99543820000000005</v>
      </c>
      <c r="AB3816">
        <v>29</v>
      </c>
      <c r="AC3816">
        <v>-1.4615</v>
      </c>
      <c r="AD3816">
        <v>-1.107953620809</v>
      </c>
      <c r="AE3816">
        <v>-14.216100000000001</v>
      </c>
      <c r="AF3816">
        <v>-0.85425850763600697</v>
      </c>
      <c r="AG3816">
        <v>-1.107953620809</v>
      </c>
      <c r="AH3816">
        <v>14.1799351337619</v>
      </c>
      <c r="AI3816">
        <v>94.459693288426195</v>
      </c>
      <c r="AJ3816">
        <v>93.447570227757794</v>
      </c>
      <c r="AK3816">
        <v>14.248785184057899</v>
      </c>
      <c r="AL3816">
        <v>82.422461553137595</v>
      </c>
      <c r="AM3816">
        <v>87.247005487120603</v>
      </c>
      <c r="AN3816">
        <v>1.0000000318392599</v>
      </c>
    </row>
    <row r="3817" spans="1:40" x14ac:dyDescent="0.25">
      <c r="A3817" t="str">
        <f>"20190312173006651"</f>
        <v>20190312173006651</v>
      </c>
      <c r="B3817" t="str">
        <f>"1552383006641296"</f>
        <v>1552383006641296</v>
      </c>
      <c r="C3817" t="s">
        <v>40</v>
      </c>
      <c r="D3817">
        <v>3.405789</v>
      </c>
      <c r="E3817">
        <v>0.46023730000000002</v>
      </c>
      <c r="F3817" t="s">
        <v>41</v>
      </c>
      <c r="G3817">
        <v>-192.08670000000001</v>
      </c>
      <c r="H3817" s="1">
        <v>-3.3724340000000002E-6</v>
      </c>
      <c r="I3817">
        <v>176.15610000000001</v>
      </c>
      <c r="J3817">
        <v>-190.61689999999999</v>
      </c>
      <c r="K3817">
        <v>1.108376</v>
      </c>
      <c r="L3817">
        <v>190.80940000000001</v>
      </c>
      <c r="M3817">
        <v>-0.16211919999999999</v>
      </c>
      <c r="N3817">
        <v>0</v>
      </c>
      <c r="O3817">
        <v>-0.98671690000000001</v>
      </c>
      <c r="P3817">
        <v>-0.20385410000000001</v>
      </c>
      <c r="Q3817">
        <v>0.1211738</v>
      </c>
      <c r="R3817">
        <v>-0.97147360000000005</v>
      </c>
      <c r="S3817">
        <v>-0.30853269999999999</v>
      </c>
      <c r="T3817">
        <v>-0.22830810000000001</v>
      </c>
      <c r="U3817">
        <v>-3.053299</v>
      </c>
      <c r="V3817">
        <v>4.4029560000000002E-2</v>
      </c>
      <c r="W3817">
        <v>0.13133699999999901</v>
      </c>
      <c r="X3817">
        <v>0.99035949999999995</v>
      </c>
      <c r="Y3817">
        <v>-6.236978E-2</v>
      </c>
      <c r="Z3817">
        <v>7.2835479999999994E-2</v>
      </c>
      <c r="AA3817">
        <v>0.9953919</v>
      </c>
      <c r="AB3817">
        <v>29</v>
      </c>
      <c r="AC3817">
        <v>-1.46980000000002</v>
      </c>
      <c r="AD3817">
        <v>-1.1083793724339901</v>
      </c>
      <c r="AE3817">
        <v>-14.6533</v>
      </c>
      <c r="AF3817">
        <v>-0.92014223223126601</v>
      </c>
      <c r="AG3817">
        <v>-1.1083793724339901</v>
      </c>
      <c r="AH3817">
        <v>14.6149430862499</v>
      </c>
      <c r="AI3817">
        <v>94.328402360569598</v>
      </c>
      <c r="AJ3817">
        <v>93.602530176545997</v>
      </c>
      <c r="AK3817">
        <v>14.685766169155</v>
      </c>
      <c r="AL3817">
        <v>82.453140548755897</v>
      </c>
      <c r="AM3817">
        <v>87.4544113904455</v>
      </c>
      <c r="AN3817">
        <v>0.999999974481521</v>
      </c>
    </row>
    <row r="3818" spans="1:40" x14ac:dyDescent="0.25">
      <c r="A3818" t="str">
        <f>"20190312173006662"</f>
        <v>20190312173006662</v>
      </c>
      <c r="B3818" t="str">
        <f>"1552383006652032"</f>
        <v>1552383006652032</v>
      </c>
      <c r="C3818" t="s">
        <v>40</v>
      </c>
      <c r="D3818">
        <v>3.4315039999999999</v>
      </c>
      <c r="E3818">
        <v>0.46013219999999999</v>
      </c>
      <c r="F3818" t="s">
        <v>41</v>
      </c>
      <c r="G3818">
        <v>-192.04640000000001</v>
      </c>
      <c r="H3818" s="1">
        <v>-3.3569380000000002E-6</v>
      </c>
      <c r="I3818">
        <v>176.14500000000001</v>
      </c>
      <c r="J3818">
        <v>-190.64330000000001</v>
      </c>
      <c r="K3818">
        <v>1.108789</v>
      </c>
      <c r="L3818">
        <v>190.65119999999999</v>
      </c>
      <c r="M3818">
        <v>-0.1621522</v>
      </c>
      <c r="N3818">
        <v>0</v>
      </c>
      <c r="O3818">
        <v>-0.98671160000000002</v>
      </c>
      <c r="P3818">
        <v>-0.20006669999999999</v>
      </c>
      <c r="Q3818">
        <v>0.1201565</v>
      </c>
      <c r="R3818">
        <v>-0.97238709999999995</v>
      </c>
      <c r="S3818">
        <v>-0.29772949999999998</v>
      </c>
      <c r="T3818">
        <v>-0.2308617</v>
      </c>
      <c r="U3818">
        <v>-3.0544129999999998</v>
      </c>
      <c r="V3818">
        <v>3.9979859999999999E-2</v>
      </c>
      <c r="W3818">
        <v>0.13036410000000001</v>
      </c>
      <c r="X3818">
        <v>0.99065979999999998</v>
      </c>
      <c r="Y3818">
        <v>-6.5930950000000002E-2</v>
      </c>
      <c r="Z3818">
        <v>7.3622389999999996E-2</v>
      </c>
      <c r="AA3818">
        <v>0.9951044</v>
      </c>
      <c r="AB3818">
        <v>29</v>
      </c>
      <c r="AC3818">
        <v>-1.40309999999999</v>
      </c>
      <c r="AD3818">
        <v>-1.108792356938</v>
      </c>
      <c r="AE3818">
        <v>-14.5061999999999</v>
      </c>
      <c r="AF3818">
        <v>-0.96223921746930297</v>
      </c>
      <c r="AG3818">
        <v>-1.108792356938</v>
      </c>
      <c r="AH3818">
        <v>14.4580416322346</v>
      </c>
      <c r="AI3818">
        <v>94.375806896464297</v>
      </c>
      <c r="AJ3818">
        <v>93.807642954006695</v>
      </c>
      <c r="AK3818">
        <v>14.5323877130315</v>
      </c>
      <c r="AL3818">
        <v>82.509367340336794</v>
      </c>
      <c r="AM3818">
        <v>87.6889797380028</v>
      </c>
      <c r="AN3818">
        <v>1.00000001355523</v>
      </c>
    </row>
    <row r="3819" spans="1:40" x14ac:dyDescent="0.25">
      <c r="A3819" t="str">
        <f>"20190312173006675"</f>
        <v>20190312173006675</v>
      </c>
      <c r="B3819" t="str">
        <f>"1552383006661792"</f>
        <v>1552383006661792</v>
      </c>
      <c r="C3819" t="s">
        <v>40</v>
      </c>
      <c r="D3819">
        <v>3.395076</v>
      </c>
      <c r="E3819">
        <v>0.45999420000000002</v>
      </c>
      <c r="F3819" t="s">
        <v>41</v>
      </c>
      <c r="G3819">
        <v>-191.9922</v>
      </c>
      <c r="H3819" s="1">
        <v>-3.3716329999999999E-6</v>
      </c>
      <c r="I3819">
        <v>176.21279999999999</v>
      </c>
      <c r="J3819">
        <v>-190.66849999999999</v>
      </c>
      <c r="K3819">
        <v>1.109181</v>
      </c>
      <c r="L3819">
        <v>190.49789999999999</v>
      </c>
      <c r="M3819">
        <v>-0.16178000000000001</v>
      </c>
      <c r="N3819">
        <v>0</v>
      </c>
      <c r="O3819">
        <v>-0.98677250000000005</v>
      </c>
      <c r="P3819">
        <v>-0.19606560000000001</v>
      </c>
      <c r="Q3819">
        <v>0.1189354</v>
      </c>
      <c r="R3819">
        <v>-0.97335139999999998</v>
      </c>
      <c r="S3819">
        <v>-0.28546139999999998</v>
      </c>
      <c r="T3819">
        <v>-0.23464189999999999</v>
      </c>
      <c r="U3819">
        <v>-3.05545</v>
      </c>
      <c r="V3819">
        <v>3.6126180000000001E-2</v>
      </c>
      <c r="W3819">
        <v>0.12918160000000001</v>
      </c>
      <c r="X3819">
        <v>0.99096269999999997</v>
      </c>
      <c r="Y3819">
        <v>-6.9554340000000006E-2</v>
      </c>
      <c r="Z3819">
        <v>7.4807390000000001E-2</v>
      </c>
      <c r="AA3819">
        <v>0.99476929999999997</v>
      </c>
      <c r="AB3819">
        <v>29</v>
      </c>
      <c r="AC3819">
        <v>-1.3237000000000001</v>
      </c>
      <c r="AD3819">
        <v>-1.1091843716330001</v>
      </c>
      <c r="AE3819">
        <v>-14.2851</v>
      </c>
      <c r="AF3819">
        <v>-0.99893536774624103</v>
      </c>
      <c r="AG3819">
        <v>-1.1091843716330001</v>
      </c>
      <c r="AH3819">
        <v>14.226021929716399</v>
      </c>
      <c r="AI3819">
        <v>94.4473510111916</v>
      </c>
      <c r="AJ3819">
        <v>94.016652663948094</v>
      </c>
      <c r="AK3819">
        <v>14.3041204477584</v>
      </c>
      <c r="AL3819">
        <v>82.577697539850902</v>
      </c>
      <c r="AM3819">
        <v>87.912170247009598</v>
      </c>
      <c r="AN3819">
        <v>1.00000002972562</v>
      </c>
    </row>
    <row r="3820" spans="1:40" x14ac:dyDescent="0.25">
      <c r="A3820" t="str">
        <f>"20190312173006694"</f>
        <v>20190312173006694</v>
      </c>
      <c r="B3820" t="str">
        <f>"1552383006681878"</f>
        <v>1552383006681878</v>
      </c>
      <c r="C3820" t="s">
        <v>40</v>
      </c>
      <c r="D3820">
        <v>3.3889670000000001</v>
      </c>
      <c r="E3820">
        <v>0.45976549999999999</v>
      </c>
      <c r="F3820" t="s">
        <v>41</v>
      </c>
      <c r="G3820">
        <v>-191.9342</v>
      </c>
      <c r="H3820" s="1">
        <v>-3.4118530000000001E-6</v>
      </c>
      <c r="I3820">
        <v>176.3425</v>
      </c>
      <c r="J3820">
        <v>-190.70830000000001</v>
      </c>
      <c r="K3820">
        <v>1.1097969999999999</v>
      </c>
      <c r="L3820">
        <v>190.25200000000001</v>
      </c>
      <c r="M3820">
        <v>-0.16082109999999999</v>
      </c>
      <c r="N3820">
        <v>0</v>
      </c>
      <c r="O3820">
        <v>-0.98692939999999996</v>
      </c>
      <c r="P3820">
        <v>-0.1899429</v>
      </c>
      <c r="Q3820">
        <v>0.1194441</v>
      </c>
      <c r="R3820">
        <v>-0.9745028</v>
      </c>
      <c r="S3820">
        <v>-0.27330019999999999</v>
      </c>
      <c r="T3820">
        <v>-0.23949029999999999</v>
      </c>
      <c r="U3820">
        <v>-3.0563660000000001</v>
      </c>
      <c r="V3820">
        <v>3.0671859999999999E-2</v>
      </c>
      <c r="W3820">
        <v>0.12973479999999901</v>
      </c>
      <c r="X3820">
        <v>0.99107420000000002</v>
      </c>
      <c r="Y3820">
        <v>-7.2548080000000001E-2</v>
      </c>
      <c r="Z3820">
        <v>7.6344709999999996E-2</v>
      </c>
      <c r="AA3820">
        <v>0.99443859999999995</v>
      </c>
      <c r="AB3820">
        <v>29</v>
      </c>
      <c r="AC3820">
        <v>-1.22589999999999</v>
      </c>
      <c r="AD3820">
        <v>-1.1098004118529901</v>
      </c>
      <c r="AE3820">
        <v>-13.9095</v>
      </c>
      <c r="AF3820">
        <v>-1.0206717411152899</v>
      </c>
      <c r="AG3820">
        <v>-1.1098004118529901</v>
      </c>
      <c r="AH3820">
        <v>13.8381748140956</v>
      </c>
      <c r="AI3820">
        <v>94.572851276347194</v>
      </c>
      <c r="AJ3820">
        <v>94.218365553511205</v>
      </c>
      <c r="AK3820">
        <v>13.9200757879665</v>
      </c>
      <c r="AL3820">
        <v>82.545732120087294</v>
      </c>
      <c r="AM3820">
        <v>88.227370473440104</v>
      </c>
      <c r="AN3820">
        <v>0.99999997561626897</v>
      </c>
    </row>
    <row r="3821" spans="1:40" x14ac:dyDescent="0.25">
      <c r="A3821" t="str">
        <f>"20190312173006707"</f>
        <v>20190312173006707</v>
      </c>
      <c r="B3821" t="str">
        <f>"1552383006701398"</f>
        <v>1552383006701398</v>
      </c>
      <c r="C3821" t="s">
        <v>40</v>
      </c>
      <c r="D3821">
        <v>3.4754179999999999</v>
      </c>
      <c r="E3821">
        <v>0.4597387</v>
      </c>
      <c r="F3821" t="s">
        <v>41</v>
      </c>
      <c r="G3821">
        <v>-191.8869</v>
      </c>
      <c r="H3821" s="1">
        <v>-3.2633350000000001E-6</v>
      </c>
      <c r="I3821">
        <v>176.0257</v>
      </c>
      <c r="J3821">
        <v>-190.73580000000001</v>
      </c>
      <c r="K3821">
        <v>1.1102080000000001</v>
      </c>
      <c r="L3821">
        <v>190.0797</v>
      </c>
      <c r="M3821">
        <v>-0.15984860000000001</v>
      </c>
      <c r="N3821">
        <v>0</v>
      </c>
      <c r="O3821">
        <v>-0.98708720000000005</v>
      </c>
      <c r="P3821">
        <v>-0.1877712</v>
      </c>
      <c r="Q3821">
        <v>0.1210426</v>
      </c>
      <c r="R3821">
        <v>-0.97472599999999998</v>
      </c>
      <c r="S3821">
        <v>-0.25337219999999999</v>
      </c>
      <c r="T3821">
        <v>-0.23858489999999999</v>
      </c>
      <c r="U3821">
        <v>-3.0583650000000002</v>
      </c>
      <c r="V3821">
        <v>2.9340359999999999E-2</v>
      </c>
      <c r="W3821">
        <v>0.13135729999999901</v>
      </c>
      <c r="X3821">
        <v>0.99090080000000003</v>
      </c>
      <c r="Y3821">
        <v>-7.8051720000000005E-2</v>
      </c>
      <c r="Z3821">
        <v>7.6031550000000003E-2</v>
      </c>
      <c r="AA3821">
        <v>0.99404590000000004</v>
      </c>
      <c r="AB3821">
        <v>29</v>
      </c>
      <c r="AC3821">
        <v>-1.15109999999998</v>
      </c>
      <c r="AD3821">
        <v>-1.1102112633350001</v>
      </c>
      <c r="AE3821">
        <v>-14.054</v>
      </c>
      <c r="AF3821">
        <v>-1.1034953641032801</v>
      </c>
      <c r="AG3821">
        <v>-1.1102112633350001</v>
      </c>
      <c r="AH3821">
        <v>13.9706778808451</v>
      </c>
      <c r="AI3821">
        <v>94.5295407412586</v>
      </c>
      <c r="AJ3821">
        <v>94.516218332033006</v>
      </c>
      <c r="AK3821">
        <v>14.0580977204659</v>
      </c>
      <c r="AL3821">
        <v>82.451967444704493</v>
      </c>
      <c r="AM3821">
        <v>88.303979806717393</v>
      </c>
      <c r="AN3821">
        <v>0.99999999621442903</v>
      </c>
    </row>
    <row r="3822" spans="1:40" x14ac:dyDescent="0.25">
      <c r="A3822" t="str">
        <f>"20190312173006719"</f>
        <v>20190312173006719</v>
      </c>
      <c r="B3822" t="str">
        <f>"1552383006711158"</f>
        <v>1552383006711158</v>
      </c>
      <c r="C3822" t="s">
        <v>40</v>
      </c>
      <c r="D3822">
        <v>3.4285960000000002</v>
      </c>
      <c r="E3822">
        <v>0.45978720000000001</v>
      </c>
      <c r="F3822" t="s">
        <v>41</v>
      </c>
      <c r="G3822">
        <v>-191.90180000000001</v>
      </c>
      <c r="H3822" s="1">
        <v>-3.0510300000000001E-6</v>
      </c>
      <c r="I3822">
        <v>175.52160000000001</v>
      </c>
      <c r="J3822">
        <v>-190.76159999999999</v>
      </c>
      <c r="K3822">
        <v>1.1105769999999999</v>
      </c>
      <c r="L3822">
        <v>189.9152</v>
      </c>
      <c r="M3822">
        <v>-0.158667</v>
      </c>
      <c r="N3822">
        <v>0</v>
      </c>
      <c r="O3822">
        <v>-0.98727790000000004</v>
      </c>
      <c r="P3822">
        <v>-0.1853108</v>
      </c>
      <c r="Q3822">
        <v>0.12236420000000001</v>
      </c>
      <c r="R3822">
        <v>-0.97503189999999995</v>
      </c>
      <c r="S3822">
        <v>-0.2450562</v>
      </c>
      <c r="T3822">
        <v>-0.23332430000000001</v>
      </c>
      <c r="U3822">
        <v>-3.0595699999999999</v>
      </c>
      <c r="V3822">
        <v>2.793259E-2</v>
      </c>
      <c r="W3822">
        <v>0.13270109999999999</v>
      </c>
      <c r="X3822">
        <v>0.99076240000000004</v>
      </c>
      <c r="Y3822">
        <v>-7.9564360000000001E-2</v>
      </c>
      <c r="Z3822">
        <v>7.4360869999999996E-2</v>
      </c>
      <c r="AA3822">
        <v>0.9940523</v>
      </c>
      <c r="AB3822">
        <v>29</v>
      </c>
      <c r="AC3822">
        <v>-1.1402000000000201</v>
      </c>
      <c r="AD3822">
        <v>-1.1105800510299999</v>
      </c>
      <c r="AE3822">
        <v>-14.3935999999999</v>
      </c>
      <c r="AF3822">
        <v>-1.1513454982717799</v>
      </c>
      <c r="AG3822">
        <v>-1.1105800510299999</v>
      </c>
      <c r="AH3822">
        <v>14.307519841182801</v>
      </c>
      <c r="AI3822">
        <v>94.424275122564893</v>
      </c>
      <c r="AJ3822">
        <v>94.600755121308794</v>
      </c>
      <c r="AK3822">
        <v>14.396670049423699</v>
      </c>
      <c r="AL3822">
        <v>82.374293214912498</v>
      </c>
      <c r="AM3822">
        <v>88.3850863833933</v>
      </c>
      <c r="AN3822">
        <v>0.99999997238953797</v>
      </c>
    </row>
    <row r="3823" spans="1:40" x14ac:dyDescent="0.25">
      <c r="A3823" t="str">
        <f>"20190312173006739"</f>
        <v>20190312173006739</v>
      </c>
      <c r="B3823" t="str">
        <f>"1552383006731657"</f>
        <v>1552383006731657</v>
      </c>
      <c r="C3823" t="s">
        <v>40</v>
      </c>
      <c r="D3823">
        <v>3.6181719999999999</v>
      </c>
      <c r="E3823">
        <v>0.4597967</v>
      </c>
      <c r="F3823" t="s">
        <v>41</v>
      </c>
      <c r="G3823">
        <v>-191.91040000000001</v>
      </c>
      <c r="H3823" s="1">
        <v>-2.8557730000000001E-6</v>
      </c>
      <c r="I3823">
        <v>175.06110000000001</v>
      </c>
      <c r="J3823">
        <v>-190.79939999999999</v>
      </c>
      <c r="K3823">
        <v>1.1110770000000001</v>
      </c>
      <c r="L3823">
        <v>189.66829999999999</v>
      </c>
      <c r="M3823">
        <v>-0.15651109999999999</v>
      </c>
      <c r="N3823">
        <v>0</v>
      </c>
      <c r="O3823">
        <v>-0.98762190000000005</v>
      </c>
      <c r="P3823">
        <v>-0.1808063</v>
      </c>
      <c r="Q3823">
        <v>0.1236022</v>
      </c>
      <c r="R3823">
        <v>-0.97572119999999996</v>
      </c>
      <c r="S3823">
        <v>-0.2366943</v>
      </c>
      <c r="T3823">
        <v>-0.2288239</v>
      </c>
      <c r="U3823">
        <v>-3.0605319999999998</v>
      </c>
      <c r="V3823">
        <v>2.538176E-2</v>
      </c>
      <c r="W3823">
        <v>0.13396569999999999</v>
      </c>
      <c r="X3823">
        <v>0.99066080000000001</v>
      </c>
      <c r="Y3823">
        <v>-8.0103779999999999E-2</v>
      </c>
      <c r="Z3823">
        <v>7.2956110000000005E-2</v>
      </c>
      <c r="AA3823">
        <v>0.99411309999999997</v>
      </c>
      <c r="AB3823">
        <v>29</v>
      </c>
      <c r="AC3823">
        <v>-1.11100000000001</v>
      </c>
      <c r="AD3823">
        <v>-1.1110798557729999</v>
      </c>
      <c r="AE3823">
        <v>-14.607199999999899</v>
      </c>
      <c r="AF3823">
        <v>-1.18220422655265</v>
      </c>
      <c r="AG3823">
        <v>-1.1110798557729999</v>
      </c>
      <c r="AH3823">
        <v>14.5175463142499</v>
      </c>
      <c r="AI3823">
        <v>94.362136281282304</v>
      </c>
      <c r="AJ3823">
        <v>94.655482393212395</v>
      </c>
      <c r="AK3823">
        <v>14.607917588266099</v>
      </c>
      <c r="AL3823">
        <v>82.301183876028404</v>
      </c>
      <c r="AM3823">
        <v>88.532343625751906</v>
      </c>
      <c r="AN3823">
        <v>0.99999993158691103</v>
      </c>
    </row>
    <row r="3824" spans="1:40" x14ac:dyDescent="0.25">
      <c r="A3824" t="str">
        <f>"20190312173006754"</f>
        <v>20190312173006754</v>
      </c>
      <c r="B3824" t="str">
        <f>"1552383006741414"</f>
        <v>1552383006741414</v>
      </c>
      <c r="C3824" t="s">
        <v>40</v>
      </c>
      <c r="D3824">
        <v>3.395797</v>
      </c>
      <c r="E3824">
        <v>0.45975929999999998</v>
      </c>
      <c r="F3824" t="s">
        <v>41</v>
      </c>
      <c r="G3824">
        <v>-191.8937</v>
      </c>
      <c r="H3824" s="1">
        <v>-2.6535550000000001E-6</v>
      </c>
      <c r="I3824">
        <v>174.6001</v>
      </c>
      <c r="J3824">
        <v>-190.8278</v>
      </c>
      <c r="K3824">
        <v>1.1114170000000001</v>
      </c>
      <c r="L3824">
        <v>189.4785</v>
      </c>
      <c r="M3824">
        <v>-0.15455829999999901</v>
      </c>
      <c r="N3824">
        <v>0</v>
      </c>
      <c r="O3824">
        <v>-0.98792930000000001</v>
      </c>
      <c r="P3824">
        <v>-0.17726169999999999</v>
      </c>
      <c r="Q3824">
        <v>0.12311130000000001</v>
      </c>
      <c r="R3824">
        <v>-0.97643329999999995</v>
      </c>
      <c r="S3824">
        <v>-0.22236629999999999</v>
      </c>
      <c r="T3824">
        <v>-0.22578390000000001</v>
      </c>
      <c r="U3824">
        <v>-3.0620270000000001</v>
      </c>
      <c r="V3824">
        <v>2.3624570000000001E-2</v>
      </c>
      <c r="W3824">
        <v>0.13349220000000001</v>
      </c>
      <c r="X3824">
        <v>0.99076830000000005</v>
      </c>
      <c r="Y3824">
        <v>-8.279069E-2</v>
      </c>
      <c r="Z3824">
        <v>7.1995199999999995E-2</v>
      </c>
      <c r="AA3824">
        <v>0.99396300000000004</v>
      </c>
      <c r="AB3824">
        <v>29</v>
      </c>
      <c r="AC3824">
        <v>-1.0658999999999901</v>
      </c>
      <c r="AD3824">
        <v>-1.1114196535550001</v>
      </c>
      <c r="AE3824">
        <v>-14.878399999999999</v>
      </c>
      <c r="AF3824">
        <v>-1.23973080842373</v>
      </c>
      <c r="AG3824">
        <v>-1.1114196535550001</v>
      </c>
      <c r="AH3824">
        <v>14.782283699537899</v>
      </c>
      <c r="AI3824">
        <v>94.284760513107997</v>
      </c>
      <c r="AJ3824">
        <v>94.793948668446205</v>
      </c>
      <c r="AK3824">
        <v>14.875755358881401</v>
      </c>
      <c r="AL3824">
        <v>82.328560277880399</v>
      </c>
      <c r="AM3824">
        <v>88.634058331355504</v>
      </c>
      <c r="AN3824">
        <v>1.0000000560266999</v>
      </c>
    </row>
    <row r="3825" spans="1:40" x14ac:dyDescent="0.25">
      <c r="A3825" t="str">
        <f>"20190312173006773"</f>
        <v>20190312173006773</v>
      </c>
      <c r="B3825" t="str">
        <f>"1552383006761910"</f>
        <v>1552383006761910</v>
      </c>
      <c r="C3825" t="s">
        <v>40</v>
      </c>
      <c r="D3825">
        <v>3.532673</v>
      </c>
      <c r="E3825">
        <v>0.45969890000000002</v>
      </c>
      <c r="F3825" t="s">
        <v>41</v>
      </c>
      <c r="G3825">
        <v>-191.86580000000001</v>
      </c>
      <c r="H3825" s="1">
        <v>-2.580986E-6</v>
      </c>
      <c r="I3825">
        <v>174.44829999999999</v>
      </c>
      <c r="J3825">
        <v>-190.86510000000001</v>
      </c>
      <c r="K3825">
        <v>1.111826</v>
      </c>
      <c r="L3825">
        <v>189.2234</v>
      </c>
      <c r="M3825">
        <v>-0.1516111</v>
      </c>
      <c r="N3825">
        <v>0</v>
      </c>
      <c r="O3825">
        <v>-0.98838590000000004</v>
      </c>
      <c r="P3825">
        <v>-0.170376</v>
      </c>
      <c r="Q3825">
        <v>0.1202975</v>
      </c>
      <c r="R3825">
        <v>-0.9780084</v>
      </c>
      <c r="S3825">
        <v>-0.2114868</v>
      </c>
      <c r="T3825">
        <v>-0.22646269999999999</v>
      </c>
      <c r="U3825">
        <v>-3.0625610000000001</v>
      </c>
      <c r="V3825">
        <v>1.9422169999999999E-2</v>
      </c>
      <c r="W3825">
        <v>0.13068930000000001</v>
      </c>
      <c r="X3825">
        <v>0.99123309999999998</v>
      </c>
      <c r="Y3825">
        <v>-8.3345520000000006E-2</v>
      </c>
      <c r="Z3825">
        <v>7.2255390000000003E-2</v>
      </c>
      <c r="AA3825">
        <v>0.9938977</v>
      </c>
      <c r="AB3825">
        <v>29</v>
      </c>
      <c r="AC3825">
        <v>-1.0006999999999899</v>
      </c>
      <c r="AD3825">
        <v>-1.111828580986</v>
      </c>
      <c r="AE3825">
        <v>-14.7751</v>
      </c>
      <c r="AF3825">
        <v>-1.24404621734585</v>
      </c>
      <c r="AG3825">
        <v>-1.111828580986</v>
      </c>
      <c r="AH3825">
        <v>14.673300639647101</v>
      </c>
      <c r="AI3825">
        <v>94.3177167854072</v>
      </c>
      <c r="AJ3825">
        <v>94.846117799675099</v>
      </c>
      <c r="AK3825">
        <v>14.767855817479299</v>
      </c>
      <c r="AL3825">
        <v>82.490573765112899</v>
      </c>
      <c r="AM3825">
        <v>88.877493102334498</v>
      </c>
      <c r="AN3825">
        <v>0.99999998617880403</v>
      </c>
    </row>
    <row r="3826" spans="1:40" x14ac:dyDescent="0.25">
      <c r="A3826" t="str">
        <f>"20190312173006795"</f>
        <v>20190312173006795</v>
      </c>
      <c r="B3826" t="str">
        <f>"1552383006781430"</f>
        <v>1552383006781430</v>
      </c>
      <c r="C3826" t="s">
        <v>40</v>
      </c>
      <c r="D3826">
        <v>3.5159150000000001</v>
      </c>
      <c r="E3826">
        <v>0.45978639999999998</v>
      </c>
      <c r="F3826" t="s">
        <v>41</v>
      </c>
      <c r="G3826">
        <v>-191.76140000000001</v>
      </c>
      <c r="H3826" s="1">
        <v>-2.7434139999999998E-6</v>
      </c>
      <c r="I3826">
        <v>174.89160000000001</v>
      </c>
      <c r="J3826">
        <v>-190.90389999999999</v>
      </c>
      <c r="K3826">
        <v>1.1122099999999999</v>
      </c>
      <c r="L3826">
        <v>188.94880000000001</v>
      </c>
      <c r="M3826">
        <v>-0.14806830000000001</v>
      </c>
      <c r="N3826">
        <v>0</v>
      </c>
      <c r="O3826">
        <v>-0.98892279999999999</v>
      </c>
      <c r="P3826">
        <v>-0.16306029999999999</v>
      </c>
      <c r="Q3826">
        <v>0.1182996</v>
      </c>
      <c r="R3826">
        <v>-0.97949830000000004</v>
      </c>
      <c r="S3826">
        <v>-0.19158939999999999</v>
      </c>
      <c r="T3826">
        <v>-0.23764460000000001</v>
      </c>
      <c r="U3826">
        <v>-3.0633240000000002</v>
      </c>
      <c r="V3826">
        <v>1.541445E-2</v>
      </c>
      <c r="W3826">
        <v>0.12869639999999999</v>
      </c>
      <c r="X3826">
        <v>0.99156420000000001</v>
      </c>
      <c r="Y3826">
        <v>-8.6235649999999997E-2</v>
      </c>
      <c r="Z3826">
        <v>7.5852000000000003E-2</v>
      </c>
      <c r="AA3826">
        <v>0.99338300000000002</v>
      </c>
      <c r="AB3826">
        <v>29</v>
      </c>
      <c r="AC3826">
        <v>-0.85750000000001503</v>
      </c>
      <c r="AD3826">
        <v>-1.1122127434139999</v>
      </c>
      <c r="AE3826">
        <v>-14.0571999999999</v>
      </c>
      <c r="AF3826">
        <v>-1.22584528323827</v>
      </c>
      <c r="AG3826">
        <v>-1.1122127434139999</v>
      </c>
      <c r="AH3826">
        <v>13.9422523766541</v>
      </c>
      <c r="AI3826">
        <v>94.543532978359593</v>
      </c>
      <c r="AJ3826">
        <v>95.024698238620104</v>
      </c>
      <c r="AK3826">
        <v>14.0401607960652</v>
      </c>
      <c r="AL3826">
        <v>82.605730987741893</v>
      </c>
      <c r="AM3826">
        <v>89.109375072309902</v>
      </c>
      <c r="AN3826">
        <v>0.99999996568170002</v>
      </c>
    </row>
    <row r="3827" spans="1:40" x14ac:dyDescent="0.25">
      <c r="A3827" t="str">
        <f>"20190312173006807"</f>
        <v>20190312173006807</v>
      </c>
      <c r="B3827" t="str">
        <f>"1552383006801926"</f>
        <v>1552383006801926</v>
      </c>
      <c r="C3827" t="s">
        <v>40</v>
      </c>
      <c r="D3827">
        <v>3.5770219999999999</v>
      </c>
      <c r="E3827">
        <v>0.45979100000000001</v>
      </c>
      <c r="F3827" t="s">
        <v>41</v>
      </c>
      <c r="G3827">
        <v>-191.67949999999999</v>
      </c>
      <c r="H3827" s="1">
        <v>-2.815116E-6</v>
      </c>
      <c r="I3827">
        <v>175.1095</v>
      </c>
      <c r="J3827">
        <v>-190.92740000000001</v>
      </c>
      <c r="K3827">
        <v>1.1124179999999999</v>
      </c>
      <c r="L3827">
        <v>188.77799999999999</v>
      </c>
      <c r="M3827">
        <v>-0.14571729999999899</v>
      </c>
      <c r="N3827">
        <v>0</v>
      </c>
      <c r="O3827">
        <v>-0.98927189999999998</v>
      </c>
      <c r="P3827">
        <v>-0.15971340000000001</v>
      </c>
      <c r="Q3827">
        <v>0.1186646</v>
      </c>
      <c r="R3827">
        <v>-0.98000560000000003</v>
      </c>
      <c r="S3827">
        <v>-0.1717224</v>
      </c>
      <c r="T3827">
        <v>-0.2462384</v>
      </c>
      <c r="U3827">
        <v>-3.0639500000000002</v>
      </c>
      <c r="V3827">
        <v>1.4320919999999999E-2</v>
      </c>
      <c r="W3827">
        <v>0.12906669999999901</v>
      </c>
      <c r="X3827">
        <v>0.99153250000000004</v>
      </c>
      <c r="Y3827">
        <v>-9.0309979999999998E-2</v>
      </c>
      <c r="Z3827">
        <v>7.8603999999999993E-2</v>
      </c>
      <c r="AA3827">
        <v>0.99280690000000005</v>
      </c>
      <c r="AB3827">
        <v>30</v>
      </c>
      <c r="AC3827">
        <v>-0.752099999999984</v>
      </c>
      <c r="AD3827">
        <v>-1.112420815116</v>
      </c>
      <c r="AE3827">
        <v>-13.6684999999999</v>
      </c>
      <c r="AF3827">
        <v>-1.23958684735558</v>
      </c>
      <c r="AG3827">
        <v>-1.112420815116</v>
      </c>
      <c r="AH3827">
        <v>13.5427586742427</v>
      </c>
      <c r="AI3827">
        <v>94.676350725483104</v>
      </c>
      <c r="AJ3827">
        <v>95.229786928838095</v>
      </c>
      <c r="AK3827">
        <v>13.6447927111707</v>
      </c>
      <c r="AL3827">
        <v>82.584336182037006</v>
      </c>
      <c r="AM3827">
        <v>89.172522104894497</v>
      </c>
      <c r="AN3827">
        <v>1.0000000001773901</v>
      </c>
    </row>
    <row r="3828" spans="1:40" x14ac:dyDescent="0.25">
      <c r="A3828" t="str">
        <f>"20190312173006828"</f>
        <v>20190312173006828</v>
      </c>
      <c r="B3828" t="str">
        <f>"1552383006821446"</f>
        <v>1552383006821446</v>
      </c>
      <c r="C3828" t="s">
        <v>40</v>
      </c>
      <c r="D3828">
        <v>3.6284839999999998</v>
      </c>
      <c r="E3828">
        <v>0.45999699999999999</v>
      </c>
      <c r="F3828" t="s">
        <v>41</v>
      </c>
      <c r="G3828">
        <v>-191.6592</v>
      </c>
      <c r="H3828" s="1">
        <v>-2.7288399999999999E-6</v>
      </c>
      <c r="I3828">
        <v>174.92099999999999</v>
      </c>
      <c r="J3828">
        <v>-190.9633</v>
      </c>
      <c r="K3828">
        <v>1.112714</v>
      </c>
      <c r="L3828">
        <v>188.5078</v>
      </c>
      <c r="M3828">
        <v>-0.14177400000000001</v>
      </c>
      <c r="N3828">
        <v>0</v>
      </c>
      <c r="O3828">
        <v>-0.98984450000000002</v>
      </c>
      <c r="P3828">
        <v>-0.1551836</v>
      </c>
      <c r="Q3828">
        <v>0.12130299999999999</v>
      </c>
      <c r="R3828">
        <v>-0.98040989999999995</v>
      </c>
      <c r="S3828">
        <v>-0.16184999999999999</v>
      </c>
      <c r="T3828">
        <v>-0.24602570000000001</v>
      </c>
      <c r="U3828">
        <v>-3.0646360000000001</v>
      </c>
      <c r="V3828">
        <v>1.3626320000000001E-2</v>
      </c>
      <c r="W3828">
        <v>0.13171559999999999</v>
      </c>
      <c r="X3828">
        <v>0.99119389999999996</v>
      </c>
      <c r="Y3828">
        <v>-8.9542399999999994E-2</v>
      </c>
      <c r="Z3828">
        <v>7.8597040000000007E-2</v>
      </c>
      <c r="AA3828">
        <v>0.99287689999999995</v>
      </c>
      <c r="AB3828">
        <v>30</v>
      </c>
      <c r="AC3828">
        <v>-0.69589999999999397</v>
      </c>
      <c r="AD3828">
        <v>-1.1127167288399999</v>
      </c>
      <c r="AE3828">
        <v>-13.5868</v>
      </c>
      <c r="AF3828">
        <v>-1.2292657834582901</v>
      </c>
      <c r="AG3828">
        <v>-1.1127167288399999</v>
      </c>
      <c r="AH3828">
        <v>13.4581821816407</v>
      </c>
      <c r="AI3828">
        <v>94.706934737275702</v>
      </c>
      <c r="AJ3828">
        <v>95.218895531502696</v>
      </c>
      <c r="AK3828">
        <v>13.559937334635899</v>
      </c>
      <c r="AL3828">
        <v>82.431258550463198</v>
      </c>
      <c r="AM3828">
        <v>89.212382715108106</v>
      </c>
      <c r="AN3828">
        <v>1.00000001163865</v>
      </c>
    </row>
    <row r="3829" spans="1:40" x14ac:dyDescent="0.25">
      <c r="A3829" t="str">
        <f>"20190312173006850"</f>
        <v>20190312173006850</v>
      </c>
      <c r="B3829" t="str">
        <f>"1552383006841945"</f>
        <v>1552383006841945</v>
      </c>
      <c r="C3829" t="s">
        <v>40</v>
      </c>
      <c r="D3829">
        <v>3.5334840000000001</v>
      </c>
      <c r="E3829">
        <v>0.46011639999999998</v>
      </c>
      <c r="F3829" t="s">
        <v>41</v>
      </c>
      <c r="G3829">
        <v>-191.6651</v>
      </c>
      <c r="H3829" s="1">
        <v>-2.414203E-6</v>
      </c>
      <c r="I3829">
        <v>174.18389999999999</v>
      </c>
      <c r="J3829">
        <v>-191.00129999999999</v>
      </c>
      <c r="K3829">
        <v>1.1129800000000001</v>
      </c>
      <c r="L3829">
        <v>188.2105</v>
      </c>
      <c r="M3829">
        <v>-0.13720079999999901</v>
      </c>
      <c r="N3829">
        <v>0</v>
      </c>
      <c r="O3829">
        <v>-0.99048890000000001</v>
      </c>
      <c r="P3829">
        <v>-0.15094929999999901</v>
      </c>
      <c r="Q3829">
        <v>0.1236859</v>
      </c>
      <c r="R3829">
        <v>-0.98077360000000002</v>
      </c>
      <c r="S3829">
        <v>-0.15020749999999999</v>
      </c>
      <c r="T3829">
        <v>-0.2381462</v>
      </c>
      <c r="U3829">
        <v>-3.0656279999999998</v>
      </c>
      <c r="V3829">
        <v>1.386509E-2</v>
      </c>
      <c r="W3829">
        <v>0.13411689999999901</v>
      </c>
      <c r="X3829">
        <v>0.99086850000000004</v>
      </c>
      <c r="Y3829">
        <v>-8.871076E-2</v>
      </c>
      <c r="Z3829">
        <v>7.6155219999999996E-2</v>
      </c>
      <c r="AA3829">
        <v>0.99314190000000002</v>
      </c>
      <c r="AB3829">
        <v>30</v>
      </c>
      <c r="AC3829">
        <v>-0.66380000000000905</v>
      </c>
      <c r="AD3829">
        <v>-1.11298241420299</v>
      </c>
      <c r="AE3829">
        <v>-14.0266</v>
      </c>
      <c r="AF3829">
        <v>-1.25913251631692</v>
      </c>
      <c r="AG3829">
        <v>-1.11298241420299</v>
      </c>
      <c r="AH3829">
        <v>13.8977125746311</v>
      </c>
      <c r="AI3829">
        <v>94.560097326187503</v>
      </c>
      <c r="AJ3829">
        <v>95.176862981459095</v>
      </c>
      <c r="AK3829">
        <v>13.998948508907</v>
      </c>
      <c r="AL3829">
        <v>82.2924422693753</v>
      </c>
      <c r="AM3829">
        <v>89.198320163559202</v>
      </c>
      <c r="AN3829">
        <v>0.99999998393928402</v>
      </c>
    </row>
    <row r="3830" spans="1:40" x14ac:dyDescent="0.25">
      <c r="A3830" t="str">
        <f>"20190312173006862"</f>
        <v>20190312173006862</v>
      </c>
      <c r="B3830" t="str">
        <f>"1552383006851703"</f>
        <v>1552383006851703</v>
      </c>
      <c r="C3830" t="s">
        <v>40</v>
      </c>
      <c r="D3830">
        <v>3.5816970000000001</v>
      </c>
      <c r="E3830">
        <v>0.4602077</v>
      </c>
      <c r="F3830" t="s">
        <v>41</v>
      </c>
      <c r="G3830">
        <v>-191.672</v>
      </c>
      <c r="H3830" s="1">
        <v>-2.1006310000000001E-6</v>
      </c>
      <c r="I3830">
        <v>173.4487</v>
      </c>
      <c r="J3830">
        <v>-191.02109999999999</v>
      </c>
      <c r="K3830">
        <v>1.1130979999999999</v>
      </c>
      <c r="L3830">
        <v>188.05199999999999</v>
      </c>
      <c r="M3830">
        <v>-0.1346986</v>
      </c>
      <c r="N3830">
        <v>0</v>
      </c>
      <c r="O3830">
        <v>-0.99083189999999999</v>
      </c>
      <c r="P3830">
        <v>-0.14852129999999999</v>
      </c>
      <c r="Q3830">
        <v>0.1241019</v>
      </c>
      <c r="R3830">
        <v>-0.98109139999999995</v>
      </c>
      <c r="S3830">
        <v>-0.13932800000000001</v>
      </c>
      <c r="T3830">
        <v>-0.23120260000000001</v>
      </c>
      <c r="U3830">
        <v>-3.066513</v>
      </c>
      <c r="V3830">
        <v>1.3880709999999999E-2</v>
      </c>
      <c r="W3830">
        <v>0.134545</v>
      </c>
      <c r="X3830">
        <v>0.99081030000000003</v>
      </c>
      <c r="Y3830">
        <v>-8.9716959999999998E-2</v>
      </c>
      <c r="Z3830">
        <v>7.3967489999999997E-2</v>
      </c>
      <c r="AA3830">
        <v>0.99321680000000001</v>
      </c>
      <c r="AB3830">
        <v>30</v>
      </c>
      <c r="AC3830">
        <v>-0.65090000000000703</v>
      </c>
      <c r="AD3830">
        <v>-1.113100100631</v>
      </c>
      <c r="AE3830">
        <v>-14.603300000000001</v>
      </c>
      <c r="AF3830">
        <v>-1.31456098214766</v>
      </c>
      <c r="AG3830">
        <v>-1.113100100631</v>
      </c>
      <c r="AH3830">
        <v>14.473955035142099</v>
      </c>
      <c r="AI3830">
        <v>94.379643742302505</v>
      </c>
      <c r="AJ3830">
        <v>95.189509031069406</v>
      </c>
      <c r="AK3830">
        <v>14.5760912719812</v>
      </c>
      <c r="AL3830">
        <v>82.267690043182498</v>
      </c>
      <c r="AM3830">
        <v>89.197369995464101</v>
      </c>
      <c r="AN3830">
        <v>1.00000004086059</v>
      </c>
    </row>
    <row r="3831" spans="1:40" x14ac:dyDescent="0.25">
      <c r="A3831" t="str">
        <f>"20190312173006874"</f>
        <v>20190312173006874</v>
      </c>
      <c r="B3831" t="str">
        <f>"1552383006861463"</f>
        <v>1552383006861463</v>
      </c>
      <c r="C3831" t="s">
        <v>40</v>
      </c>
      <c r="D3831">
        <v>3.5794030000000001</v>
      </c>
      <c r="E3831">
        <v>0.46024480000000001</v>
      </c>
      <c r="F3831" t="s">
        <v>41</v>
      </c>
      <c r="G3831">
        <v>-191.66399999999999</v>
      </c>
      <c r="H3831" s="1">
        <v>-2.0183350000000001E-6</v>
      </c>
      <c r="I3831">
        <v>173.26179999999999</v>
      </c>
      <c r="J3831">
        <v>-191.03890000000001</v>
      </c>
      <c r="K3831">
        <v>1.1131879999999901</v>
      </c>
      <c r="L3831">
        <v>187.90350000000001</v>
      </c>
      <c r="M3831">
        <v>-0.13228409999999999</v>
      </c>
      <c r="N3831">
        <v>0</v>
      </c>
      <c r="O3831">
        <v>-0.99115710000000001</v>
      </c>
      <c r="P3831">
        <v>-0.1460196</v>
      </c>
      <c r="Q3831">
        <v>0.1234185</v>
      </c>
      <c r="R3831">
        <v>-0.9815528</v>
      </c>
      <c r="S3831">
        <v>-0.13331599999999999</v>
      </c>
      <c r="T3831">
        <v>-0.23080790000000001</v>
      </c>
      <c r="U3831">
        <v>-3.0668329999999999</v>
      </c>
      <c r="V3831">
        <v>1.3734120000000001E-2</v>
      </c>
      <c r="W3831">
        <v>0.13387309999999999</v>
      </c>
      <c r="X3831">
        <v>0.99090330000000004</v>
      </c>
      <c r="Y3831">
        <v>-8.9237910000000004E-2</v>
      </c>
      <c r="Z3831">
        <v>7.3875499999999997E-2</v>
      </c>
      <c r="AA3831">
        <v>0.99326680000000001</v>
      </c>
      <c r="AB3831">
        <v>30</v>
      </c>
      <c r="AC3831">
        <v>-0.62510000000000299</v>
      </c>
      <c r="AD3831">
        <v>-1.1131900183350001</v>
      </c>
      <c r="AE3831">
        <v>-14.6417</v>
      </c>
      <c r="AF3831">
        <v>-1.3098058986810199</v>
      </c>
      <c r="AG3831">
        <v>-1.1131900183350001</v>
      </c>
      <c r="AH3831">
        <v>14.5119757237087</v>
      </c>
      <c r="AI3831">
        <v>94.368786302414506</v>
      </c>
      <c r="AJ3831">
        <v>95.157365071750306</v>
      </c>
      <c r="AK3831">
        <v>14.6134261182877</v>
      </c>
      <c r="AL3831">
        <v>82.306538154905198</v>
      </c>
      <c r="AM3831">
        <v>89.205919762822901</v>
      </c>
      <c r="AN3831">
        <v>0.99999999145333696</v>
      </c>
    </row>
    <row r="3832" spans="1:40" x14ac:dyDescent="0.25">
      <c r="A3832" t="str">
        <f>"20190312173006887"</f>
        <v>20190312173006887</v>
      </c>
      <c r="B3832" t="str">
        <f>"1552383006881958"</f>
        <v>1552383006881958</v>
      </c>
      <c r="C3832" t="s">
        <v>40</v>
      </c>
      <c r="D3832">
        <v>3.5954549999999998</v>
      </c>
      <c r="E3832">
        <v>0.46046520000000002</v>
      </c>
      <c r="F3832" t="s">
        <v>41</v>
      </c>
      <c r="G3832">
        <v>-191.6404</v>
      </c>
      <c r="H3832" s="1">
        <v>-2.0260249999999998E-6</v>
      </c>
      <c r="I3832">
        <v>173.2944</v>
      </c>
      <c r="J3832">
        <v>-191.05940000000001</v>
      </c>
      <c r="K3832">
        <v>1.1132799999999901</v>
      </c>
      <c r="L3832">
        <v>187.72909999999999</v>
      </c>
      <c r="M3832">
        <v>-0.12942290000000001</v>
      </c>
      <c r="N3832">
        <v>0</v>
      </c>
      <c r="O3832">
        <v>-0.99153480000000005</v>
      </c>
      <c r="P3832">
        <v>-0.143561299999999</v>
      </c>
      <c r="Q3832">
        <v>0.122353</v>
      </c>
      <c r="R3832">
        <v>-0.9820489</v>
      </c>
      <c r="S3832">
        <v>-0.1262817</v>
      </c>
      <c r="T3832">
        <v>-0.23370099999999999</v>
      </c>
      <c r="U3832">
        <v>-3.0670009999999999</v>
      </c>
      <c r="V3832">
        <v>1.407362E-2</v>
      </c>
      <c r="W3832">
        <v>0.13282439999999901</v>
      </c>
      <c r="X3832">
        <v>0.99103960000000002</v>
      </c>
      <c r="Y3832">
        <v>-8.8642609999999997E-2</v>
      </c>
      <c r="Z3832">
        <v>7.4840649999999995E-2</v>
      </c>
      <c r="AA3832">
        <v>0.99324789999999996</v>
      </c>
      <c r="AB3832">
        <v>30</v>
      </c>
      <c r="AC3832">
        <v>-0.58099999999998797</v>
      </c>
      <c r="AD3832">
        <v>-1.11328202602499</v>
      </c>
      <c r="AE3832">
        <v>-14.4346999999999</v>
      </c>
      <c r="AF3832">
        <v>-1.2845405785381401</v>
      </c>
      <c r="AG3832">
        <v>-1.11328202602499</v>
      </c>
      <c r="AH3832">
        <v>14.303537832946599</v>
      </c>
      <c r="AI3832">
        <v>94.432741187730201</v>
      </c>
      <c r="AJ3832">
        <v>95.131726614085906</v>
      </c>
      <c r="AK3832">
        <v>14.4041881376881</v>
      </c>
      <c r="AL3832">
        <v>82.367165288859496</v>
      </c>
      <c r="AM3832">
        <v>89.186405033316504</v>
      </c>
      <c r="AN3832">
        <v>0.99999993839170997</v>
      </c>
    </row>
    <row r="3833" spans="1:40" x14ac:dyDescent="0.25">
      <c r="A3833" t="str">
        <f>"20190312173006900"</f>
        <v>20190312173006900</v>
      </c>
      <c r="B3833" t="str">
        <f>"1552383006891718"</f>
        <v>1552383006891718</v>
      </c>
      <c r="C3833" t="s">
        <v>40</v>
      </c>
      <c r="D3833">
        <v>3.6001669999999999</v>
      </c>
      <c r="E3833">
        <v>0.46057419999999999</v>
      </c>
      <c r="F3833" t="s">
        <v>41</v>
      </c>
      <c r="G3833">
        <v>-191.62719999999999</v>
      </c>
      <c r="H3833" s="1">
        <v>-2.0236060000000002E-6</v>
      </c>
      <c r="I3833">
        <v>173.297</v>
      </c>
      <c r="J3833">
        <v>-191.07910000000001</v>
      </c>
      <c r="K3833">
        <v>1.1133599999999999</v>
      </c>
      <c r="L3833">
        <v>187.55799999999999</v>
      </c>
      <c r="M3833">
        <v>-0.12657099999999999</v>
      </c>
      <c r="N3833">
        <v>0</v>
      </c>
      <c r="O3833">
        <v>-0.99190279999999997</v>
      </c>
      <c r="P3833">
        <v>-0.14080619999999999</v>
      </c>
      <c r="Q3833">
        <v>0.12098449999999999</v>
      </c>
      <c r="R3833">
        <v>-0.98261730000000003</v>
      </c>
      <c r="S3833">
        <v>-0.12063599999999999</v>
      </c>
      <c r="T3833">
        <v>-0.236563</v>
      </c>
      <c r="U3833">
        <v>-3.0666959999999999</v>
      </c>
      <c r="V3833">
        <v>1.410785E-2</v>
      </c>
      <c r="W3833">
        <v>0.1314708</v>
      </c>
      <c r="X3833">
        <v>0.99121959999999998</v>
      </c>
      <c r="Y3833">
        <v>-8.7602490000000005E-2</v>
      </c>
      <c r="Z3833">
        <v>7.5807929999999996E-2</v>
      </c>
      <c r="AA3833">
        <v>0.99326680000000001</v>
      </c>
      <c r="AB3833">
        <v>30</v>
      </c>
      <c r="AC3833">
        <v>-0.54809999999997605</v>
      </c>
      <c r="AD3833">
        <v>-1.113362023606</v>
      </c>
      <c r="AE3833">
        <v>-14.2609999999999</v>
      </c>
      <c r="AF3833">
        <v>-1.25380496048878</v>
      </c>
      <c r="AG3833">
        <v>-1.113362023606</v>
      </c>
      <c r="AH3833">
        <v>14.1296782563367</v>
      </c>
      <c r="AI3833">
        <v>94.487807487741705</v>
      </c>
      <c r="AJ3833">
        <v>95.070891705262895</v>
      </c>
      <c r="AK3833">
        <v>14.2288231945635</v>
      </c>
      <c r="AL3833">
        <v>82.445407124524095</v>
      </c>
      <c r="AM3833">
        <v>89.184574550072895</v>
      </c>
      <c r="AN3833">
        <v>0.99999994905420997</v>
      </c>
    </row>
    <row r="3834" spans="1:40" x14ac:dyDescent="0.25">
      <c r="A3834" t="str">
        <f>"20190312173006917"</f>
        <v>20190312173006917</v>
      </c>
      <c r="B3834" t="str">
        <f>"1552383006911238"</f>
        <v>1552383006911238</v>
      </c>
      <c r="C3834" t="s">
        <v>40</v>
      </c>
      <c r="D3834">
        <v>3.5639319999999999</v>
      </c>
      <c r="E3834">
        <v>0.46072190000000002</v>
      </c>
      <c r="F3834" t="s">
        <v>41</v>
      </c>
      <c r="G3834">
        <v>-191.60249999999999</v>
      </c>
      <c r="H3834" s="1">
        <v>-2.0464020000000001E-6</v>
      </c>
      <c r="I3834">
        <v>173.36539999999999</v>
      </c>
      <c r="J3834">
        <v>-191.1028</v>
      </c>
      <c r="K3834">
        <v>1.11344</v>
      </c>
      <c r="L3834">
        <v>187.34399999999999</v>
      </c>
      <c r="M3834">
        <v>-0.12295150000000001</v>
      </c>
      <c r="N3834">
        <v>0</v>
      </c>
      <c r="O3834">
        <v>-0.99235770000000001</v>
      </c>
      <c r="P3834">
        <v>-0.1381056</v>
      </c>
      <c r="Q3834">
        <v>0.11943670000000001</v>
      </c>
      <c r="R3834">
        <v>-0.9831898</v>
      </c>
      <c r="S3834">
        <v>-0.1130829</v>
      </c>
      <c r="T3834">
        <v>-0.24055599999999999</v>
      </c>
      <c r="U3834">
        <v>-3.0664829999999998</v>
      </c>
      <c r="V3834">
        <v>1.4964170000000001E-2</v>
      </c>
      <c r="W3834">
        <v>0.12994800000000001</v>
      </c>
      <c r="X3834">
        <v>0.99140790000000001</v>
      </c>
      <c r="Y3834">
        <v>-8.6412329999999996E-2</v>
      </c>
      <c r="Z3834">
        <v>7.7145969999999994E-2</v>
      </c>
      <c r="AA3834">
        <v>0.99326809999999999</v>
      </c>
      <c r="AB3834">
        <v>30</v>
      </c>
      <c r="AC3834">
        <v>-0.49969999999998999</v>
      </c>
      <c r="AD3834">
        <v>-1.1134420464020001</v>
      </c>
      <c r="AE3834">
        <v>-13.9786</v>
      </c>
      <c r="AF3834">
        <v>-1.2151753929512701</v>
      </c>
      <c r="AG3834">
        <v>-1.1134420464020001</v>
      </c>
      <c r="AH3834">
        <v>13.846233068225001</v>
      </c>
      <c r="AI3834">
        <v>94.580006664841903</v>
      </c>
      <c r="AJ3834">
        <v>95.015551082934294</v>
      </c>
      <c r="AK3834">
        <v>13.9439798696763</v>
      </c>
      <c r="AL3834">
        <v>82.533412678133303</v>
      </c>
      <c r="AM3834">
        <v>89.135251309989599</v>
      </c>
      <c r="AN3834">
        <v>1.00000001663509</v>
      </c>
    </row>
    <row r="3835" spans="1:40" x14ac:dyDescent="0.25">
      <c r="A3835" t="str">
        <f>"20190312173006930"</f>
        <v>20190312173006930</v>
      </c>
      <c r="B3835" t="str">
        <f>"1552383006921974"</f>
        <v>1552383006921974</v>
      </c>
      <c r="C3835" t="s">
        <v>40</v>
      </c>
      <c r="D3835">
        <v>3.5788199999999999</v>
      </c>
      <c r="E3835">
        <v>0.46591470000000001</v>
      </c>
      <c r="F3835" t="s">
        <v>41</v>
      </c>
      <c r="G3835">
        <v>-191.58080000000001</v>
      </c>
      <c r="H3835" s="1">
        <v>-2.0544440000000001E-6</v>
      </c>
      <c r="I3835">
        <v>173.39760000000001</v>
      </c>
      <c r="J3835">
        <v>-191.12139999999999</v>
      </c>
      <c r="K3835">
        <v>1.113502</v>
      </c>
      <c r="L3835">
        <v>187.1704</v>
      </c>
      <c r="M3835">
        <v>-0.11998499999999999</v>
      </c>
      <c r="N3835">
        <v>0</v>
      </c>
      <c r="O3835">
        <v>-0.99272070000000001</v>
      </c>
      <c r="P3835">
        <v>-0.135998799999999</v>
      </c>
      <c r="Q3835">
        <v>0.1194648</v>
      </c>
      <c r="R3835">
        <v>-0.98348000000000002</v>
      </c>
      <c r="S3835">
        <v>-0.1051025</v>
      </c>
      <c r="T3835">
        <v>-0.24480160000000001</v>
      </c>
      <c r="U3835">
        <v>-3.0662690000000001</v>
      </c>
      <c r="V3835">
        <v>1.5784389999999999E-2</v>
      </c>
      <c r="W3835">
        <v>0.12999769999999999</v>
      </c>
      <c r="X3835">
        <v>0.99138870000000001</v>
      </c>
      <c r="Y3835">
        <v>-8.6017659999999996E-2</v>
      </c>
      <c r="Z3835">
        <v>7.85526E-2</v>
      </c>
      <c r="AA3835">
        <v>0.99319210000000002</v>
      </c>
      <c r="AB3835">
        <v>30</v>
      </c>
      <c r="AC3835">
        <v>-0.45940000000001602</v>
      </c>
      <c r="AD3835">
        <v>-1.113504054444</v>
      </c>
      <c r="AE3835">
        <v>-13.772799999999901</v>
      </c>
      <c r="AF3835">
        <v>-1.1887771617537399</v>
      </c>
      <c r="AG3835">
        <v>-1.113504054444</v>
      </c>
      <c r="AH3835">
        <v>13.639361094707001</v>
      </c>
      <c r="AI3835">
        <v>94.649671230872499</v>
      </c>
      <c r="AJ3835">
        <v>94.981188275265893</v>
      </c>
      <c r="AK3835">
        <v>13.736275095213299</v>
      </c>
      <c r="AL3835">
        <v>82.530540980316601</v>
      </c>
      <c r="AM3835">
        <v>89.087842616523702</v>
      </c>
      <c r="AN3835">
        <v>1.00000005173032</v>
      </c>
    </row>
    <row r="3836" spans="1:40" x14ac:dyDescent="0.25">
      <c r="A3836" t="str">
        <f>"20190312173006942"</f>
        <v>20190312173006942</v>
      </c>
      <c r="B3836" t="str">
        <f>"1552383006931734"</f>
        <v>1552383006931734</v>
      </c>
      <c r="C3836" t="s">
        <v>40</v>
      </c>
      <c r="D3836">
        <v>3.6440220000000001</v>
      </c>
      <c r="E3836">
        <v>0.466225</v>
      </c>
      <c r="F3836" t="s">
        <v>41</v>
      </c>
      <c r="G3836">
        <v>-191.8314</v>
      </c>
      <c r="H3836" s="1">
        <v>-1.3260559999999999E-6</v>
      </c>
      <c r="I3836">
        <v>171.54429999999999</v>
      </c>
      <c r="J3836">
        <v>-191.13849999999999</v>
      </c>
      <c r="K3836">
        <v>1.113561</v>
      </c>
      <c r="L3836">
        <v>187.00800000000001</v>
      </c>
      <c r="M3836">
        <v>-0.1171933</v>
      </c>
      <c r="N3836">
        <v>0</v>
      </c>
      <c r="O3836">
        <v>-0.9930542</v>
      </c>
      <c r="P3836">
        <v>-0.1340192</v>
      </c>
      <c r="Q3836">
        <v>0.1195109</v>
      </c>
      <c r="R3836">
        <v>-0.98374649999999997</v>
      </c>
      <c r="S3836">
        <v>-0.13891600000000001</v>
      </c>
      <c r="T3836">
        <v>-0.2178861</v>
      </c>
      <c r="U3836">
        <v>-3.0576479999999999</v>
      </c>
      <c r="V3836">
        <v>1.6560749999999999E-2</v>
      </c>
      <c r="W3836">
        <v>0.13006529999999999</v>
      </c>
      <c r="X3836">
        <v>0.99136709999999995</v>
      </c>
      <c r="Y3836">
        <v>-7.2118600000000005E-2</v>
      </c>
      <c r="Z3836">
        <v>7.0217299999999996E-2</v>
      </c>
      <c r="AA3836">
        <v>0.99492130000000001</v>
      </c>
      <c r="AB3836">
        <v>30</v>
      </c>
      <c r="AC3836">
        <v>-0.69290000000000795</v>
      </c>
      <c r="AD3836">
        <v>-1.1135623260559999</v>
      </c>
      <c r="AE3836">
        <v>-15.4636999999999</v>
      </c>
      <c r="AF3836">
        <v>-1.1184279563232</v>
      </c>
      <c r="AG3836">
        <v>-1.1135623260559999</v>
      </c>
      <c r="AH3836">
        <v>15.358851687345901</v>
      </c>
      <c r="AI3836">
        <v>94.135944745900801</v>
      </c>
      <c r="AJ3836">
        <v>94.164913740028993</v>
      </c>
      <c r="AK3836">
        <v>15.439728861006101</v>
      </c>
      <c r="AL3836">
        <v>82.526634109979099</v>
      </c>
      <c r="AM3836">
        <v>89.042965180478305</v>
      </c>
      <c r="AN3836">
        <v>0.99999998383353095</v>
      </c>
    </row>
    <row r="3837" spans="1:40" x14ac:dyDescent="0.25">
      <c r="A3837" t="str">
        <f>"20190312173006963"</f>
        <v>20190312173006963</v>
      </c>
      <c r="B3837" t="str">
        <f>"1552383006951254"</f>
        <v>1552383006951254</v>
      </c>
      <c r="C3837" t="s">
        <v>40</v>
      </c>
      <c r="D3837">
        <v>3.679195</v>
      </c>
      <c r="E3837">
        <v>0.46627299999999999</v>
      </c>
      <c r="F3837" t="s">
        <v>41</v>
      </c>
      <c r="G3837">
        <v>-191.81200000000001</v>
      </c>
      <c r="H3837" s="1">
        <v>-1.38794999999999E-6</v>
      </c>
      <c r="I3837">
        <v>171.70060000000001</v>
      </c>
      <c r="J3837">
        <v>-191.16560000000001</v>
      </c>
      <c r="K3837">
        <v>1.1136360000000001</v>
      </c>
      <c r="L3837">
        <v>186.73849999999999</v>
      </c>
      <c r="M3837">
        <v>-0.1125149</v>
      </c>
      <c r="N3837">
        <v>0</v>
      </c>
      <c r="O3837">
        <v>-0.99359470000000005</v>
      </c>
      <c r="P3837">
        <v>-0.13136779999999901</v>
      </c>
      <c r="Q3837">
        <v>0.1193912</v>
      </c>
      <c r="R3837">
        <v>-0.9841183</v>
      </c>
      <c r="S3837">
        <v>-0.134552</v>
      </c>
      <c r="T3837">
        <v>-0.22247980000000001</v>
      </c>
      <c r="U3837">
        <v>-3.0582729999999998</v>
      </c>
      <c r="V3837">
        <v>1.8536799999999999E-2</v>
      </c>
      <c r="W3837">
        <v>0.12998959999999901</v>
      </c>
      <c r="X3837">
        <v>0.9913421</v>
      </c>
      <c r="Y3837">
        <v>-6.8851599999999999E-2</v>
      </c>
      <c r="Z3837">
        <v>7.1744790000000003E-2</v>
      </c>
      <c r="AA3837">
        <v>0.99504380000000003</v>
      </c>
      <c r="AB3837">
        <v>30</v>
      </c>
      <c r="AC3837">
        <v>-0.64639999999999898</v>
      </c>
      <c r="AD3837">
        <v>-1.1136373879499999</v>
      </c>
      <c r="AE3837">
        <v>-15.037899999999899</v>
      </c>
      <c r="AF3837">
        <v>-1.0440705934146099</v>
      </c>
      <c r="AG3837">
        <v>-1.1136373879499999</v>
      </c>
      <c r="AH3837">
        <v>14.9333863724047</v>
      </c>
      <c r="AI3837">
        <v>94.254514760954805</v>
      </c>
      <c r="AJ3837">
        <v>93.999337534015794</v>
      </c>
      <c r="AK3837">
        <v>15.011205820432799</v>
      </c>
      <c r="AL3837">
        <v>82.531008915663904</v>
      </c>
      <c r="AM3837">
        <v>88.928768737519604</v>
      </c>
      <c r="AN3837">
        <v>1.0000000341474</v>
      </c>
    </row>
    <row r="3838" spans="1:40" x14ac:dyDescent="0.25">
      <c r="A3838" t="str">
        <f>"20190312173006987"</f>
        <v>20190312173006987</v>
      </c>
      <c r="B3838" t="str">
        <f>"1552383006981182"</f>
        <v>1552383006981182</v>
      </c>
      <c r="C3838" t="s">
        <v>40</v>
      </c>
      <c r="D3838">
        <v>3.6511200000000001</v>
      </c>
      <c r="E3838">
        <v>0.46733989999999997</v>
      </c>
      <c r="F3838" t="s">
        <v>41</v>
      </c>
      <c r="G3838">
        <v>-191.7749</v>
      </c>
      <c r="H3838" s="1">
        <v>-1.4597289999999999E-6</v>
      </c>
      <c r="I3838">
        <v>171.89089999999999</v>
      </c>
      <c r="J3838">
        <v>-191.1942</v>
      </c>
      <c r="K3838">
        <v>1.113694</v>
      </c>
      <c r="L3838">
        <v>186.4374</v>
      </c>
      <c r="M3838">
        <v>-0.107238899999999</v>
      </c>
      <c r="N3838">
        <v>0</v>
      </c>
      <c r="O3838">
        <v>-0.99417759999999999</v>
      </c>
      <c r="P3838">
        <v>-0.1284275</v>
      </c>
      <c r="Q3838">
        <v>0.11945500000000001</v>
      </c>
      <c r="R3838">
        <v>-0.98449830000000005</v>
      </c>
      <c r="S3838">
        <v>-0.1255493</v>
      </c>
      <c r="T3838">
        <v>-0.22947790000000001</v>
      </c>
      <c r="U3838">
        <v>-3.0595089999999998</v>
      </c>
      <c r="V3838">
        <v>2.081976E-2</v>
      </c>
      <c r="W3838">
        <v>0.1301012</v>
      </c>
      <c r="X3838">
        <v>0.99128210000000005</v>
      </c>
      <c r="Y3838">
        <v>-6.650267E-2</v>
      </c>
      <c r="Z3838">
        <v>7.4035190000000001E-2</v>
      </c>
      <c r="AA3838">
        <v>0.99503580000000003</v>
      </c>
      <c r="AB3838">
        <v>30</v>
      </c>
      <c r="AC3838">
        <v>-0.58070000000000699</v>
      </c>
      <c r="AD3838">
        <v>-1.1136954597290001</v>
      </c>
      <c r="AE3838">
        <v>-14.5465</v>
      </c>
      <c r="AF3838">
        <v>-0.97696864467085198</v>
      </c>
      <c r="AG3838">
        <v>-1.1136954597290001</v>
      </c>
      <c r="AH3838">
        <v>14.440373235732601</v>
      </c>
      <c r="AI3838">
        <v>94.400115105039006</v>
      </c>
      <c r="AJ3838">
        <v>93.870468395775404</v>
      </c>
      <c r="AK3838">
        <v>14.5161690709689</v>
      </c>
      <c r="AL3838">
        <v>82.524559634726003</v>
      </c>
      <c r="AM3838">
        <v>88.796801613687293</v>
      </c>
      <c r="AN3838">
        <v>0.999999993214153</v>
      </c>
    </row>
    <row r="3839" spans="1:40" x14ac:dyDescent="0.25">
      <c r="A3839" t="str">
        <f>"20190312173007006"</f>
        <v>20190312173007006</v>
      </c>
      <c r="B3839" t="str">
        <f>"1552383007001679"</f>
        <v>1552383007001679</v>
      </c>
      <c r="C3839" t="s">
        <v>40</v>
      </c>
      <c r="D3839">
        <v>3.6839580000000001</v>
      </c>
      <c r="E3839">
        <v>0.46724139999999997</v>
      </c>
      <c r="F3839" t="s">
        <v>41</v>
      </c>
      <c r="G3839">
        <v>-191.80070000000001</v>
      </c>
      <c r="H3839" s="1">
        <v>-1.30348099999999E-6</v>
      </c>
      <c r="I3839">
        <v>171.51070000000001</v>
      </c>
      <c r="J3839">
        <v>-191.2184</v>
      </c>
      <c r="K3839">
        <v>1.1137349999999999</v>
      </c>
      <c r="L3839">
        <v>186.167</v>
      </c>
      <c r="M3839">
        <v>-0.1024736</v>
      </c>
      <c r="N3839">
        <v>0</v>
      </c>
      <c r="O3839">
        <v>-0.99468000000000001</v>
      </c>
      <c r="P3839">
        <v>-0.1260896</v>
      </c>
      <c r="Q3839">
        <v>0.1189876</v>
      </c>
      <c r="R3839">
        <v>-0.98485739999999999</v>
      </c>
      <c r="S3839">
        <v>-0.1242828</v>
      </c>
      <c r="T3839">
        <v>-0.22821440000000001</v>
      </c>
      <c r="U3839">
        <v>-3.058716</v>
      </c>
      <c r="V3839">
        <v>2.320301E-2</v>
      </c>
      <c r="W3839">
        <v>0.12967899999999999</v>
      </c>
      <c r="X3839">
        <v>0.99128450000000001</v>
      </c>
      <c r="Y3839">
        <v>-6.2120439999999999E-2</v>
      </c>
      <c r="Z3839">
        <v>7.3715840000000005E-2</v>
      </c>
      <c r="AA3839">
        <v>0.99534270000000002</v>
      </c>
      <c r="AB3839">
        <v>30</v>
      </c>
      <c r="AC3839">
        <v>-0.58230000000000304</v>
      </c>
      <c r="AD3839">
        <v>-1.1137363034809999</v>
      </c>
      <c r="AE3839">
        <v>-14.6562999999999</v>
      </c>
      <c r="AF3839">
        <v>-0.91744335995844895</v>
      </c>
      <c r="AG3839">
        <v>-1.1137363034809999</v>
      </c>
      <c r="AH3839">
        <v>14.554895198652</v>
      </c>
      <c r="AI3839">
        <v>94.367095711250599</v>
      </c>
      <c r="AJ3839">
        <v>93.606771421761295</v>
      </c>
      <c r="AK3839">
        <v>14.626246446582501</v>
      </c>
      <c r="AL3839">
        <v>82.548956580415407</v>
      </c>
      <c r="AM3839">
        <v>88.659121744658606</v>
      </c>
      <c r="AN3839">
        <v>0.999999991327155</v>
      </c>
    </row>
    <row r="3840" spans="1:40" x14ac:dyDescent="0.25">
      <c r="A3840" t="str">
        <f>"20190312173007029"</f>
        <v>20190312173007029</v>
      </c>
      <c r="B3840" t="str">
        <f>"1552383007021202"</f>
        <v>1552383007021202</v>
      </c>
      <c r="C3840" t="s">
        <v>40</v>
      </c>
      <c r="D3840">
        <v>3.6013899999999999</v>
      </c>
      <c r="E3840">
        <v>0.45463890000000001</v>
      </c>
      <c r="F3840" t="s">
        <v>41</v>
      </c>
      <c r="G3840">
        <v>-191.77709999999999</v>
      </c>
      <c r="H3840" s="1">
        <v>-1.1878939999999999E-6</v>
      </c>
      <c r="I3840">
        <v>171.2559</v>
      </c>
      <c r="J3840">
        <v>-191.24369999999999</v>
      </c>
      <c r="K3840">
        <v>1.113767</v>
      </c>
      <c r="L3840">
        <v>185.86869999999999</v>
      </c>
      <c r="M3840">
        <v>-9.7195829999999997E-2</v>
      </c>
      <c r="N3840">
        <v>0</v>
      </c>
      <c r="O3840">
        <v>-0.99520940000000002</v>
      </c>
      <c r="P3840">
        <v>-0.12311660000000001</v>
      </c>
      <c r="Q3840">
        <v>0.11709849999999999</v>
      </c>
      <c r="R3840">
        <v>-0.98545950000000004</v>
      </c>
      <c r="S3840">
        <v>-0.1146088</v>
      </c>
      <c r="T3840">
        <v>-0.22848679999999999</v>
      </c>
      <c r="U3840">
        <v>-3.0590670000000002</v>
      </c>
      <c r="V3840">
        <v>2.5457E-2</v>
      </c>
      <c r="W3840">
        <v>0.12783620000000001</v>
      </c>
      <c r="X3840">
        <v>0.99146849999999997</v>
      </c>
      <c r="Y3840">
        <v>-5.9973890000000002E-2</v>
      </c>
      <c r="Z3840">
        <v>7.3863319999999996E-2</v>
      </c>
      <c r="AA3840">
        <v>0.9954634</v>
      </c>
      <c r="AB3840">
        <v>30</v>
      </c>
      <c r="AC3840">
        <v>-0.53339999999999999</v>
      </c>
      <c r="AD3840">
        <v>-1.113768187894</v>
      </c>
      <c r="AE3840">
        <v>-14.612799999999901</v>
      </c>
      <c r="AF3840">
        <v>-0.884377234182535</v>
      </c>
      <c r="AG3840">
        <v>-1.113768187894</v>
      </c>
      <c r="AH3840">
        <v>14.5112639519482</v>
      </c>
      <c r="AI3840">
        <v>94.380863136268005</v>
      </c>
      <c r="AJ3840">
        <v>93.487531377994998</v>
      </c>
      <c r="AK3840">
        <v>14.580788186919699</v>
      </c>
      <c r="AL3840">
        <v>82.655427353739896</v>
      </c>
      <c r="AM3840">
        <v>88.529193556467405</v>
      </c>
      <c r="AN3840">
        <v>0.99999996968584404</v>
      </c>
    </row>
    <row r="3841" spans="1:40" x14ac:dyDescent="0.25">
      <c r="A3841" t="str">
        <f>"20190312173007040"</f>
        <v>20190312173007040</v>
      </c>
      <c r="B3841" t="str">
        <f>"1552383007031935"</f>
        <v>1552383007031935</v>
      </c>
      <c r="C3841" t="s">
        <v>40</v>
      </c>
      <c r="D3841">
        <v>3.5937239999999999</v>
      </c>
      <c r="E3841">
        <v>0.45339810000000003</v>
      </c>
      <c r="F3841" t="s">
        <v>41</v>
      </c>
      <c r="G3841">
        <v>-191.26689999999999</v>
      </c>
      <c r="H3841" s="1">
        <v>-9.2422120000000001E-7</v>
      </c>
      <c r="I3841">
        <v>170.95769999999999</v>
      </c>
      <c r="J3841">
        <v>-191.25659999999999</v>
      </c>
      <c r="K3841">
        <v>1.1137809999999999</v>
      </c>
      <c r="L3841">
        <v>185.70830000000001</v>
      </c>
      <c r="M3841">
        <v>-9.4353090000000001E-2</v>
      </c>
      <c r="N3841">
        <v>0</v>
      </c>
      <c r="O3841">
        <v>-0.9954828</v>
      </c>
      <c r="P3841">
        <v>-0.1211773</v>
      </c>
      <c r="Q3841">
        <v>0.1165389</v>
      </c>
      <c r="R3841">
        <v>-0.98576600000000003</v>
      </c>
      <c r="S3841">
        <v>-4.7912600000000003E-3</v>
      </c>
      <c r="T3841">
        <v>-0.22937920000000001</v>
      </c>
      <c r="U3841">
        <v>-3.0709080000000002</v>
      </c>
      <c r="V3841">
        <v>2.6333209999999999E-2</v>
      </c>
      <c r="W3841">
        <v>0.1272971</v>
      </c>
      <c r="X3841">
        <v>0.99151500000000004</v>
      </c>
      <c r="Y3841">
        <v>-9.2808699999999994E-2</v>
      </c>
      <c r="Z3841">
        <v>7.3827950000000003E-2</v>
      </c>
      <c r="AA3841">
        <v>0.99294309999999997</v>
      </c>
      <c r="AB3841">
        <v>30</v>
      </c>
      <c r="AC3841">
        <v>-1.03000000000008E-2</v>
      </c>
      <c r="AD3841">
        <v>-1.1137819242211999</v>
      </c>
      <c r="AE3841">
        <v>-14.7506</v>
      </c>
      <c r="AF3841">
        <v>-1.37375591663057</v>
      </c>
      <c r="AG3841">
        <v>-1.1137819242211999</v>
      </c>
      <c r="AH3841">
        <v>14.6025045291965</v>
      </c>
      <c r="AI3841">
        <v>94.342595078209101</v>
      </c>
      <c r="AJ3841">
        <v>95.374381787187502</v>
      </c>
      <c r="AK3841">
        <v>14.7092098366433</v>
      </c>
      <c r="AL3841">
        <v>82.686570111962894</v>
      </c>
      <c r="AM3841">
        <v>88.478664265509195</v>
      </c>
      <c r="AN3841">
        <v>0.999999992421157</v>
      </c>
    </row>
    <row r="3842" spans="1:40" x14ac:dyDescent="0.25">
      <c r="A3842" t="str">
        <f>"20190312173007054"</f>
        <v>20190312173007054</v>
      </c>
      <c r="B3842" t="str">
        <f>"1552383007041694"</f>
        <v>1552383007041694</v>
      </c>
      <c r="C3842" t="s">
        <v>40</v>
      </c>
      <c r="D3842">
        <v>3.6242160000000001</v>
      </c>
      <c r="E3842">
        <v>0.45277859999999998</v>
      </c>
      <c r="F3842" t="s">
        <v>41</v>
      </c>
      <c r="G3842">
        <v>-191.2028</v>
      </c>
      <c r="H3842" s="1">
        <v>-7.1112340000000003E-7</v>
      </c>
      <c r="I3842">
        <v>170.5008</v>
      </c>
      <c r="J3842">
        <v>-191.26929999999999</v>
      </c>
      <c r="K3842">
        <v>1.1137900000000001</v>
      </c>
      <c r="L3842">
        <v>185.54329999999999</v>
      </c>
      <c r="M3842">
        <v>-9.1424699999999998E-2</v>
      </c>
      <c r="N3842">
        <v>0</v>
      </c>
      <c r="O3842">
        <v>-0.99575590000000003</v>
      </c>
      <c r="P3842">
        <v>-0.11908059999999999</v>
      </c>
      <c r="Q3842">
        <v>0.1159965</v>
      </c>
      <c r="R3842">
        <v>-0.98608569999999995</v>
      </c>
      <c r="S3842">
        <v>1.087952E-2</v>
      </c>
      <c r="T3842">
        <v>-0.22493360000000001</v>
      </c>
      <c r="U3842">
        <v>-3.0712429999999999</v>
      </c>
      <c r="V3842">
        <v>2.713753E-2</v>
      </c>
      <c r="W3842">
        <v>0.126774</v>
      </c>
      <c r="X3842">
        <v>0.99156029999999995</v>
      </c>
      <c r="Y3842">
        <v>-9.4946870000000003E-2</v>
      </c>
      <c r="Z3842">
        <v>7.2419230000000001E-2</v>
      </c>
      <c r="AA3842">
        <v>0.99284470000000002</v>
      </c>
      <c r="AB3842">
        <v>30</v>
      </c>
      <c r="AC3842">
        <v>6.6499999999990594E-2</v>
      </c>
      <c r="AD3842">
        <v>-1.11379071112339</v>
      </c>
      <c r="AE3842">
        <v>-15.042499999999899</v>
      </c>
      <c r="AF3842">
        <v>-1.4336944704598</v>
      </c>
      <c r="AG3842">
        <v>-1.11379071112339</v>
      </c>
      <c r="AH3842">
        <v>14.891774364452999</v>
      </c>
      <c r="AI3842">
        <v>94.257708510450897</v>
      </c>
      <c r="AJ3842">
        <v>95.499160151167899</v>
      </c>
      <c r="AK3842">
        <v>15.002031639234399</v>
      </c>
      <c r="AL3842">
        <v>82.716786108527799</v>
      </c>
      <c r="AM3842">
        <v>88.432291114095406</v>
      </c>
      <c r="AN3842">
        <v>0.99999996057329399</v>
      </c>
    </row>
    <row r="3843" spans="1:40" x14ac:dyDescent="0.25">
      <c r="A3843" t="str">
        <f>"20190312173007066"</f>
        <v>20190312173007066</v>
      </c>
      <c r="B3843" t="str">
        <f>"1552383007061215"</f>
        <v>1552383007061215</v>
      </c>
      <c r="C3843" t="s">
        <v>40</v>
      </c>
      <c r="D3843">
        <v>3.5908159999999998</v>
      </c>
      <c r="E3843">
        <v>0.45196320000000001</v>
      </c>
      <c r="F3843" t="s">
        <v>41</v>
      </c>
      <c r="G3843">
        <v>-191.16050000000001</v>
      </c>
      <c r="H3843" s="1">
        <v>-6.148199E-7</v>
      </c>
      <c r="I3843">
        <v>170.30250000000001</v>
      </c>
      <c r="J3843">
        <v>-191.28100000000001</v>
      </c>
      <c r="K3843">
        <v>1.1137980000000001</v>
      </c>
      <c r="L3843">
        <v>185.38849999999999</v>
      </c>
      <c r="M3843">
        <v>-8.8678220000000002E-2</v>
      </c>
      <c r="N3843">
        <v>0</v>
      </c>
      <c r="O3843">
        <v>-0.99600420000000001</v>
      </c>
      <c r="P3843">
        <v>-0.11736820000000001</v>
      </c>
      <c r="Q3843">
        <v>0.116193</v>
      </c>
      <c r="R3843">
        <v>-0.98626760000000002</v>
      </c>
      <c r="S3843">
        <v>2.1926879999999999E-2</v>
      </c>
      <c r="T3843">
        <v>-0.22445480000000001</v>
      </c>
      <c r="U3843">
        <v>-3.0713810000000001</v>
      </c>
      <c r="V3843">
        <v>2.8148349999999999E-2</v>
      </c>
      <c r="W3843">
        <v>0.12699009999999999</v>
      </c>
      <c r="X3843">
        <v>0.99150450000000001</v>
      </c>
      <c r="Y3843">
        <v>-9.5772419999999997E-2</v>
      </c>
      <c r="Z3843">
        <v>7.2286180000000005E-2</v>
      </c>
      <c r="AA3843">
        <v>0.99277510000000002</v>
      </c>
      <c r="AB3843">
        <v>30</v>
      </c>
      <c r="AC3843">
        <v>0.120499999999964</v>
      </c>
      <c r="AD3843">
        <v>-1.1137986148198999</v>
      </c>
      <c r="AE3843">
        <v>-15.085999999999901</v>
      </c>
      <c r="AF3843">
        <v>-1.4499964116492501</v>
      </c>
      <c r="AG3843">
        <v>-1.1137986148198999</v>
      </c>
      <c r="AH3843">
        <v>14.9344725514161</v>
      </c>
      <c r="AI3843">
        <v>94.245279414450906</v>
      </c>
      <c r="AJ3843">
        <v>95.545498296873603</v>
      </c>
      <c r="AK3843">
        <v>15.0459797732541</v>
      </c>
      <c r="AL3843">
        <v>82.704303851597004</v>
      </c>
      <c r="AM3843">
        <v>88.373836344177107</v>
      </c>
      <c r="AN3843">
        <v>0.99999999431299103</v>
      </c>
    </row>
    <row r="3844" spans="1:40" x14ac:dyDescent="0.25">
      <c r="A3844" t="str">
        <f>"20190312173007077"</f>
        <v>20190312173007077</v>
      </c>
      <c r="B3844" t="str">
        <f>"1552383007071384"</f>
        <v>1552383007071384</v>
      </c>
      <c r="C3844" t="s">
        <v>40</v>
      </c>
      <c r="D3844">
        <v>3.5779730000000001</v>
      </c>
      <c r="E3844">
        <v>0.45184190000000002</v>
      </c>
      <c r="F3844" t="s">
        <v>41</v>
      </c>
      <c r="G3844">
        <v>-191.1112</v>
      </c>
      <c r="H3844" s="1">
        <v>-3.5334979999999999E-7</v>
      </c>
      <c r="I3844">
        <v>169.7236</v>
      </c>
      <c r="J3844">
        <v>-191.2919</v>
      </c>
      <c r="K3844">
        <v>1.1138060000000001</v>
      </c>
      <c r="L3844">
        <v>185.2354</v>
      </c>
      <c r="M3844">
        <v>-8.596173E-2</v>
      </c>
      <c r="N3844">
        <v>0</v>
      </c>
      <c r="O3844">
        <v>-0.99624219999999997</v>
      </c>
      <c r="P3844">
        <v>-0.1156465</v>
      </c>
      <c r="Q3844">
        <v>0.11652800000000001</v>
      </c>
      <c r="R3844">
        <v>-0.98643179999999997</v>
      </c>
      <c r="S3844">
        <v>3.329468E-2</v>
      </c>
      <c r="T3844">
        <v>-0.21838489999999999</v>
      </c>
      <c r="U3844">
        <v>-3.0714570000000001</v>
      </c>
      <c r="V3844">
        <v>2.9120320000000002E-2</v>
      </c>
      <c r="W3844">
        <v>0.12734529999999999</v>
      </c>
      <c r="X3844">
        <v>0.9914309</v>
      </c>
      <c r="Y3844">
        <v>-9.6733299999999994E-2</v>
      </c>
      <c r="Z3844">
        <v>7.0360389999999995E-2</v>
      </c>
      <c r="AA3844">
        <v>0.99282029999999999</v>
      </c>
      <c r="AB3844">
        <v>30</v>
      </c>
      <c r="AC3844">
        <v>0.180700000000001</v>
      </c>
      <c r="AD3844">
        <v>-1.1138063533497999</v>
      </c>
      <c r="AE3844">
        <v>-15.5117999999999</v>
      </c>
      <c r="AF3844">
        <v>-1.5057645857000701</v>
      </c>
      <c r="AG3844">
        <v>-1.1138063533497999</v>
      </c>
      <c r="AH3844">
        <v>15.3596611351807</v>
      </c>
      <c r="AI3844">
        <v>94.127826578546305</v>
      </c>
      <c r="AJ3844">
        <v>95.599026961846207</v>
      </c>
      <c r="AK3844">
        <v>15.473431480052801</v>
      </c>
      <c r="AL3844">
        <v>82.683786027410505</v>
      </c>
      <c r="AM3844">
        <v>88.317591395297796</v>
      </c>
      <c r="AN3844">
        <v>1.0000000239719</v>
      </c>
    </row>
    <row r="3845" spans="1:40" x14ac:dyDescent="0.25">
      <c r="A3845" t="str">
        <f>"20190312173007095"</f>
        <v>20190312173007095</v>
      </c>
      <c r="B3845" t="str">
        <f>"1552383007091881"</f>
        <v>1552383007091881</v>
      </c>
      <c r="C3845" t="s">
        <v>40</v>
      </c>
      <c r="D3845">
        <v>3.5997469999999998</v>
      </c>
      <c r="E3845">
        <v>0.45180429999999999</v>
      </c>
      <c r="F3845" t="s">
        <v>41</v>
      </c>
      <c r="G3845">
        <v>-191.0889</v>
      </c>
      <c r="H3845" s="1">
        <v>-4.8288810000000002E-6</v>
      </c>
      <c r="I3845">
        <v>169.3578</v>
      </c>
      <c r="J3845">
        <v>-191.30869999999999</v>
      </c>
      <c r="K3845">
        <v>1.1138159999999999</v>
      </c>
      <c r="L3845">
        <v>184.98949999999999</v>
      </c>
      <c r="M3845">
        <v>-8.1601270000000004E-2</v>
      </c>
      <c r="N3845">
        <v>0</v>
      </c>
      <c r="O3845">
        <v>-0.99660870000000001</v>
      </c>
      <c r="P3845">
        <v>-0.11382490000000001</v>
      </c>
      <c r="Q3845">
        <v>0.11859840000000001</v>
      </c>
      <c r="R3845">
        <v>-0.98639679999999996</v>
      </c>
      <c r="S3845">
        <v>3.9276119999999998E-2</v>
      </c>
      <c r="T3845">
        <v>-0.2154537</v>
      </c>
      <c r="U3845">
        <v>-3.0713349999999999</v>
      </c>
      <c r="V3845">
        <v>3.1627299999999997E-2</v>
      </c>
      <c r="W3845">
        <v>0.1294573</v>
      </c>
      <c r="X3845">
        <v>0.99108050000000003</v>
      </c>
      <c r="Y3845">
        <v>-9.4312019999999996E-2</v>
      </c>
      <c r="Z3845">
        <v>6.9469210000000003E-2</v>
      </c>
      <c r="AA3845">
        <v>0.993116</v>
      </c>
      <c r="AB3845">
        <v>30</v>
      </c>
      <c r="AC3845">
        <v>0.219799999999992</v>
      </c>
      <c r="AD3845">
        <v>-1.1138208288810001</v>
      </c>
      <c r="AE3845">
        <v>-15.631699999999899</v>
      </c>
      <c r="AF3845">
        <v>-1.48715612656082</v>
      </c>
      <c r="AG3845">
        <v>-1.1138208288810001</v>
      </c>
      <c r="AH3845">
        <v>15.4830324912538</v>
      </c>
      <c r="AI3845">
        <v>94.095878867630304</v>
      </c>
      <c r="AJ3845">
        <v>95.4864688642825</v>
      </c>
      <c r="AK3845">
        <v>15.5941182921266</v>
      </c>
      <c r="AL3845">
        <v>82.561767240328095</v>
      </c>
      <c r="AM3845">
        <v>88.172200897113996</v>
      </c>
      <c r="AN3845">
        <v>1.00000001805441</v>
      </c>
    </row>
    <row r="3846" spans="1:40" x14ac:dyDescent="0.25">
      <c r="A3846" t="str">
        <f>"20190312173007109"</f>
        <v>20190312173007109</v>
      </c>
      <c r="B3846" t="str">
        <f>"1552383007101640"</f>
        <v>1552383007101640</v>
      </c>
      <c r="C3846" t="s">
        <v>40</v>
      </c>
      <c r="D3846">
        <v>3.5932409999999999</v>
      </c>
      <c r="E3846">
        <v>0.45183659999999998</v>
      </c>
      <c r="F3846" t="s">
        <v>41</v>
      </c>
      <c r="G3846">
        <v>-191.06559999999999</v>
      </c>
      <c r="H3846" s="1">
        <v>-4.5154970000000003E-6</v>
      </c>
      <c r="I3846">
        <v>168.55250000000001</v>
      </c>
      <c r="J3846">
        <v>-191.31989999999999</v>
      </c>
      <c r="K3846">
        <v>1.1138159999999999</v>
      </c>
      <c r="L3846">
        <v>184.81809999999999</v>
      </c>
      <c r="M3846">
        <v>-7.8568589999999994E-2</v>
      </c>
      <c r="N3846">
        <v>0</v>
      </c>
      <c r="O3846">
        <v>-0.99685219999999997</v>
      </c>
      <c r="P3846">
        <v>-0.112428</v>
      </c>
      <c r="Q3846">
        <v>0.11955639999999899</v>
      </c>
      <c r="R3846">
        <v>-0.98644160000000003</v>
      </c>
      <c r="S3846">
        <v>4.5440670000000002E-2</v>
      </c>
      <c r="T3846">
        <v>-0.20814199999999999</v>
      </c>
      <c r="U3846">
        <v>-3.071609</v>
      </c>
      <c r="V3846">
        <v>3.3239360000000003E-2</v>
      </c>
      <c r="W3846">
        <v>0.13044210000000001</v>
      </c>
      <c r="X3846">
        <v>0.99089859999999996</v>
      </c>
      <c r="Y3846">
        <v>-9.3276970000000001E-2</v>
      </c>
      <c r="Z3846">
        <v>6.7143720000000004E-2</v>
      </c>
      <c r="AA3846">
        <v>0.99337359999999997</v>
      </c>
      <c r="AB3846">
        <v>30</v>
      </c>
      <c r="AC3846">
        <v>0.25430000000000003</v>
      </c>
      <c r="AD3846">
        <v>-1.113820515497</v>
      </c>
      <c r="AE3846">
        <v>-16.2655999999999</v>
      </c>
      <c r="AF3846">
        <v>-1.52440470106904</v>
      </c>
      <c r="AG3846">
        <v>-1.113820515497</v>
      </c>
      <c r="AH3846">
        <v>16.1197626861202</v>
      </c>
      <c r="AI3846">
        <v>93.935158741333893</v>
      </c>
      <c r="AJ3846">
        <v>95.402249347853697</v>
      </c>
      <c r="AK3846">
        <v>16.2299462380569</v>
      </c>
      <c r="AL3846">
        <v>82.504859798184</v>
      </c>
      <c r="AM3846">
        <v>88.078752770172898</v>
      </c>
      <c r="AN3846">
        <v>1.0000000159937801</v>
      </c>
    </row>
    <row r="3847" spans="1:40" x14ac:dyDescent="0.25">
      <c r="A3847" t="str">
        <f>"20190312173007121"</f>
        <v>20190312173007121</v>
      </c>
      <c r="B3847" t="str">
        <f>"1552383007111400"</f>
        <v>1552383007111400</v>
      </c>
      <c r="C3847" t="s">
        <v>40</v>
      </c>
      <c r="D3847">
        <v>3.609699</v>
      </c>
      <c r="E3847">
        <v>0.45183580000000001</v>
      </c>
      <c r="F3847" t="s">
        <v>41</v>
      </c>
      <c r="G3847">
        <v>-191.04820000000001</v>
      </c>
      <c r="H3847" s="1">
        <v>-4.2830969999999998E-6</v>
      </c>
      <c r="I3847">
        <v>168.0624</v>
      </c>
      <c r="J3847">
        <v>-191.3305</v>
      </c>
      <c r="K3847">
        <v>1.113818</v>
      </c>
      <c r="L3847">
        <v>184.64609999999999</v>
      </c>
      <c r="M3847">
        <v>-7.5528590000000007E-2</v>
      </c>
      <c r="N3847">
        <v>0</v>
      </c>
      <c r="O3847">
        <v>-0.9970869</v>
      </c>
      <c r="P3847">
        <v>-0.11113870000000001</v>
      </c>
      <c r="Q3847">
        <v>0.12048250000000001</v>
      </c>
      <c r="R3847">
        <v>-0.98647479999999999</v>
      </c>
      <c r="S3847">
        <v>4.9804689999999999E-2</v>
      </c>
      <c r="T3847">
        <v>-0.20418420000000001</v>
      </c>
      <c r="U3847">
        <v>-3.0716399999999999</v>
      </c>
      <c r="V3847">
        <v>3.4966629999999999E-2</v>
      </c>
      <c r="W3847">
        <v>0.1313956</v>
      </c>
      <c r="X3847">
        <v>0.99071310000000001</v>
      </c>
      <c r="Y3847">
        <v>-9.1653170000000006E-2</v>
      </c>
      <c r="Z3847">
        <v>6.5899600000000003E-2</v>
      </c>
      <c r="AA3847">
        <v>0.99360809999999999</v>
      </c>
      <c r="AB3847">
        <v>30</v>
      </c>
      <c r="AC3847">
        <v>0.282299999999992</v>
      </c>
      <c r="AD3847">
        <v>-1.1138222830969999</v>
      </c>
      <c r="AE3847">
        <v>-16.583699999999901</v>
      </c>
      <c r="AF3847">
        <v>-1.52722066634371</v>
      </c>
      <c r="AG3847">
        <v>-1.1138222830969999</v>
      </c>
      <c r="AH3847">
        <v>16.440860060601199</v>
      </c>
      <c r="AI3847">
        <v>93.859142866686298</v>
      </c>
      <c r="AJ3847">
        <v>95.307076887587101</v>
      </c>
      <c r="AK3847">
        <v>16.549165615652701</v>
      </c>
      <c r="AL3847">
        <v>82.449753537554201</v>
      </c>
      <c r="AM3847">
        <v>87.978618580794503</v>
      </c>
      <c r="AN3847">
        <v>0.99999995771226202</v>
      </c>
    </row>
    <row r="3848" spans="1:40" x14ac:dyDescent="0.25">
      <c r="A3848" t="str">
        <f>"20190312173007133"</f>
        <v>20190312173007133</v>
      </c>
      <c r="B3848" t="str">
        <f>"1552383007122136"</f>
        <v>1552383007122136</v>
      </c>
      <c r="C3848" t="s">
        <v>40</v>
      </c>
      <c r="D3848">
        <v>3.5816089999999998</v>
      </c>
      <c r="E3848">
        <v>0.45187090000000002</v>
      </c>
      <c r="F3848" t="s">
        <v>41</v>
      </c>
      <c r="G3848">
        <v>-191.03020000000001</v>
      </c>
      <c r="H3848" s="1">
        <v>-4.0737079999999999E-6</v>
      </c>
      <c r="I3848">
        <v>167.62960000000001</v>
      </c>
      <c r="J3848">
        <v>-191.33959999999999</v>
      </c>
      <c r="K3848">
        <v>1.1138159999999999</v>
      </c>
      <c r="L3848">
        <v>184.49010000000001</v>
      </c>
      <c r="M3848">
        <v>-7.2789590000000001E-2</v>
      </c>
      <c r="N3848">
        <v>0</v>
      </c>
      <c r="O3848">
        <v>-0.99729040000000002</v>
      </c>
      <c r="P3848">
        <v>-0.10983320000000001</v>
      </c>
      <c r="Q3848">
        <v>0.1211454</v>
      </c>
      <c r="R3848">
        <v>-0.98653979999999997</v>
      </c>
      <c r="S3848">
        <v>5.4214480000000002E-2</v>
      </c>
      <c r="T3848">
        <v>-0.20106660000000001</v>
      </c>
      <c r="U3848">
        <v>-3.0718079999999999</v>
      </c>
      <c r="V3848">
        <v>3.6379059999999998E-2</v>
      </c>
      <c r="W3848">
        <v>0.13208329999999999</v>
      </c>
      <c r="X3848">
        <v>0.99057079999999997</v>
      </c>
      <c r="Y3848">
        <v>-9.0344240000000006E-2</v>
      </c>
      <c r="Z3848">
        <v>6.4917269999999999E-2</v>
      </c>
      <c r="AA3848">
        <v>0.99379260000000003</v>
      </c>
      <c r="AB3848">
        <v>30</v>
      </c>
      <c r="AC3848">
        <v>0.30939999999998202</v>
      </c>
      <c r="AD3848">
        <v>-1.113820073708</v>
      </c>
      <c r="AE3848">
        <v>-16.860499999999998</v>
      </c>
      <c r="AF3848">
        <v>-1.52924627121682</v>
      </c>
      <c r="AG3848">
        <v>-1.113820073708</v>
      </c>
      <c r="AH3848">
        <v>16.720303429574901</v>
      </c>
      <c r="AI3848">
        <v>93.795323296821294</v>
      </c>
      <c r="AJ3848">
        <v>95.225758261838294</v>
      </c>
      <c r="AK3848">
        <v>16.826994267892299</v>
      </c>
      <c r="AL3848">
        <v>82.410004901324896</v>
      </c>
      <c r="AM3848">
        <v>87.8967376578982</v>
      </c>
      <c r="AN3848">
        <v>0.99999997197900603</v>
      </c>
    </row>
    <row r="3849" spans="1:40" x14ac:dyDescent="0.25">
      <c r="A3849" t="str">
        <f>"20190312173007151"</f>
        <v>20190312173007151</v>
      </c>
      <c r="B3849" t="str">
        <f>"1552383007141659"</f>
        <v>1552383007141659</v>
      </c>
      <c r="C3849" t="s">
        <v>40</v>
      </c>
      <c r="D3849">
        <v>3.5891459999999999</v>
      </c>
      <c r="E3849">
        <v>0.45204250000000001</v>
      </c>
      <c r="F3849" t="s">
        <v>41</v>
      </c>
      <c r="G3849">
        <v>-191.012</v>
      </c>
      <c r="H3849" s="1">
        <v>-3.9036950000000001E-6</v>
      </c>
      <c r="I3849">
        <v>167.28020000000001</v>
      </c>
      <c r="J3849">
        <v>-191.3528</v>
      </c>
      <c r="K3849">
        <v>1.1138079999999999</v>
      </c>
      <c r="L3849">
        <v>184.2516</v>
      </c>
      <c r="M3849">
        <v>-6.8627779999999999E-2</v>
      </c>
      <c r="N3849">
        <v>0</v>
      </c>
      <c r="O3849">
        <v>-0.99758539999999996</v>
      </c>
      <c r="P3849">
        <v>-0.10851379999999999</v>
      </c>
      <c r="Q3849">
        <v>0.12220930000000001</v>
      </c>
      <c r="R3849">
        <v>-0.9865545</v>
      </c>
      <c r="S3849">
        <v>5.8471679999999998E-2</v>
      </c>
      <c r="T3849">
        <v>-0.19880900000000001</v>
      </c>
      <c r="U3849">
        <v>-3.0718540000000001</v>
      </c>
      <c r="V3849">
        <v>3.9193730000000003E-2</v>
      </c>
      <c r="W3849">
        <v>0.13319300000000001</v>
      </c>
      <c r="X3849">
        <v>0.99031480000000005</v>
      </c>
      <c r="Y3849">
        <v>-8.7565909999999997E-2</v>
      </c>
      <c r="Z3849">
        <v>6.4226249999999999E-2</v>
      </c>
      <c r="AA3849">
        <v>0.99408609999999997</v>
      </c>
      <c r="AB3849">
        <v>30</v>
      </c>
      <c r="AC3849">
        <v>0.34080000000000099</v>
      </c>
      <c r="AD3849">
        <v>-1.1138119036949901</v>
      </c>
      <c r="AE3849">
        <v>-16.9713999999999</v>
      </c>
      <c r="AF3849">
        <v>-1.49832121262178</v>
      </c>
      <c r="AG3849">
        <v>-1.1138119036949901</v>
      </c>
      <c r="AH3849">
        <v>16.8355093261499</v>
      </c>
      <c r="AI3849">
        <v>93.770227885391705</v>
      </c>
      <c r="AJ3849">
        <v>95.085792008423297</v>
      </c>
      <c r="AK3849">
        <v>16.938710626369598</v>
      </c>
      <c r="AL3849">
        <v>82.345856926436795</v>
      </c>
      <c r="AM3849">
        <v>87.733585385934305</v>
      </c>
      <c r="AN3849">
        <v>0.99999996340967501</v>
      </c>
    </row>
    <row r="3850" spans="1:40" x14ac:dyDescent="0.25">
      <c r="A3850" t="str">
        <f>"20190312173007165"</f>
        <v>20190312173007165</v>
      </c>
      <c r="B3850" t="str">
        <f>"1552383007151416"</f>
        <v>1552383007151416</v>
      </c>
      <c r="C3850" t="s">
        <v>40</v>
      </c>
      <c r="D3850">
        <v>3.578897</v>
      </c>
      <c r="E3850">
        <v>0.45214979999999999</v>
      </c>
      <c r="F3850" t="s">
        <v>41</v>
      </c>
      <c r="G3850">
        <v>-191.00389999999999</v>
      </c>
      <c r="H3850" s="1">
        <v>-3.6788959999999999E-6</v>
      </c>
      <c r="I3850">
        <v>166.8092</v>
      </c>
      <c r="J3850">
        <v>-191.36199999999999</v>
      </c>
      <c r="K3850">
        <v>1.1137919999999999</v>
      </c>
      <c r="L3850">
        <v>184.077</v>
      </c>
      <c r="M3850">
        <v>-6.5602679999999997E-2</v>
      </c>
      <c r="N3850">
        <v>0</v>
      </c>
      <c r="O3850">
        <v>-0.99778869999999997</v>
      </c>
      <c r="P3850">
        <v>-0.10658620000000001</v>
      </c>
      <c r="Q3850">
        <v>0.122908199999999</v>
      </c>
      <c r="R3850">
        <v>-0.98667839999999996</v>
      </c>
      <c r="S3850">
        <v>6.1447139999999997E-2</v>
      </c>
      <c r="T3850">
        <v>-0.1961628</v>
      </c>
      <c r="U3850">
        <v>-3.0719449999999999</v>
      </c>
      <c r="V3850">
        <v>4.0267459999999998E-2</v>
      </c>
      <c r="W3850">
        <v>0.1339166</v>
      </c>
      <c r="X3850">
        <v>0.9901742</v>
      </c>
      <c r="Y3850">
        <v>-8.5508340000000002E-2</v>
      </c>
      <c r="Z3850">
        <v>6.3397529999999994E-2</v>
      </c>
      <c r="AA3850">
        <v>0.99431840000000005</v>
      </c>
      <c r="AB3850">
        <v>30</v>
      </c>
      <c r="AC3850">
        <v>0.35810000000000702</v>
      </c>
      <c r="AD3850">
        <v>-1.113795678896</v>
      </c>
      <c r="AE3850">
        <v>-17.267799999999902</v>
      </c>
      <c r="AF3850">
        <v>-1.48403547954412</v>
      </c>
      <c r="AG3850">
        <v>-1.113795678896</v>
      </c>
      <c r="AH3850">
        <v>17.135842582011499</v>
      </c>
      <c r="AI3850">
        <v>93.705050809428002</v>
      </c>
      <c r="AJ3850">
        <v>94.949703542863702</v>
      </c>
      <c r="AK3850">
        <v>17.236008909093499</v>
      </c>
      <c r="AL3850">
        <v>82.304023481006297</v>
      </c>
      <c r="AM3850">
        <v>87.671233096464903</v>
      </c>
      <c r="AN3850">
        <v>1.0000000352180201</v>
      </c>
    </row>
    <row r="3851" spans="1:40" x14ac:dyDescent="0.25">
      <c r="A3851" t="str">
        <f>"20190312173007186"</f>
        <v>20190312173007186</v>
      </c>
      <c r="B3851" t="str">
        <f>"1552383007181672"</f>
        <v>1552383007181672</v>
      </c>
      <c r="C3851" t="s">
        <v>40</v>
      </c>
      <c r="D3851">
        <v>3.5995949999999999</v>
      </c>
      <c r="E3851">
        <v>0.45257649999999999</v>
      </c>
      <c r="F3851" t="s">
        <v>41</v>
      </c>
      <c r="G3851">
        <v>-190.98179999999999</v>
      </c>
      <c r="H3851" s="1">
        <v>-3.5279990000000001E-6</v>
      </c>
      <c r="I3851">
        <v>166.50239999999999</v>
      </c>
      <c r="J3851">
        <v>-191.37569999999999</v>
      </c>
      <c r="K3851">
        <v>1.1137490000000001</v>
      </c>
      <c r="L3851">
        <v>183.791</v>
      </c>
      <c r="M3851">
        <v>-6.0720410000000002E-2</v>
      </c>
      <c r="N3851">
        <v>0</v>
      </c>
      <c r="O3851">
        <v>-0.99809740000000002</v>
      </c>
      <c r="P3851">
        <v>-0.1040084</v>
      </c>
      <c r="Q3851">
        <v>0.1245873</v>
      </c>
      <c r="R3851">
        <v>-0.98674240000000002</v>
      </c>
      <c r="S3851">
        <v>6.6452029999999995E-2</v>
      </c>
      <c r="T3851">
        <v>-0.1946871</v>
      </c>
      <c r="U3851">
        <v>-3.0719759999999998</v>
      </c>
      <c r="V3851">
        <v>4.2538899999999998E-2</v>
      </c>
      <c r="W3851">
        <v>0.13563739999999999</v>
      </c>
      <c r="X3851">
        <v>0.98984490000000003</v>
      </c>
      <c r="Y3851">
        <v>-8.2253209999999993E-2</v>
      </c>
      <c r="Z3851">
        <v>6.2958790000000001E-2</v>
      </c>
      <c r="AA3851">
        <v>0.99462090000000003</v>
      </c>
      <c r="AB3851">
        <v>30</v>
      </c>
      <c r="AC3851">
        <v>0.39390000000000203</v>
      </c>
      <c r="AD3851">
        <v>-1.1137525279989999</v>
      </c>
      <c r="AE3851">
        <v>-17.288599999999999</v>
      </c>
      <c r="AF3851">
        <v>-1.4370433729396399</v>
      </c>
      <c r="AG3851">
        <v>-1.1137525279989999</v>
      </c>
      <c r="AH3851">
        <v>17.161591274271</v>
      </c>
      <c r="AI3851">
        <v>93.700259182067796</v>
      </c>
      <c r="AJ3851">
        <v>94.786554128932806</v>
      </c>
      <c r="AK3851">
        <v>17.257628846816399</v>
      </c>
      <c r="AL3851">
        <v>82.204520707389804</v>
      </c>
      <c r="AM3851">
        <v>87.539209798695794</v>
      </c>
      <c r="AN3851">
        <v>0.99999999417398999</v>
      </c>
    </row>
    <row r="3852" spans="1:40" x14ac:dyDescent="0.25">
      <c r="A3852" t="str">
        <f>"20190312173007208"</f>
        <v>20190312173007208</v>
      </c>
      <c r="B3852" t="str">
        <f>"1552383007201192"</f>
        <v>1552383007201192</v>
      </c>
      <c r="C3852" t="s">
        <v>40</v>
      </c>
      <c r="D3852">
        <v>3.5900310000000002</v>
      </c>
      <c r="E3852">
        <v>0.45290399999999997</v>
      </c>
      <c r="F3852" t="s">
        <v>41</v>
      </c>
      <c r="G3852">
        <v>-190.9607</v>
      </c>
      <c r="H3852" s="1">
        <v>-3.2249939999999999E-6</v>
      </c>
      <c r="I3852">
        <v>165.8733</v>
      </c>
      <c r="J3852">
        <v>-191.38839999999999</v>
      </c>
      <c r="K3852">
        <v>1.1136980000000001</v>
      </c>
      <c r="L3852">
        <v>183.49950000000001</v>
      </c>
      <c r="M3852">
        <v>-5.5842709999999997E-2</v>
      </c>
      <c r="N3852">
        <v>0</v>
      </c>
      <c r="O3852">
        <v>-0.99838199999999999</v>
      </c>
      <c r="P3852">
        <v>-0.1015887</v>
      </c>
      <c r="Q3852">
        <v>0.12690360000000001</v>
      </c>
      <c r="R3852">
        <v>-0.98669929999999995</v>
      </c>
      <c r="S3852">
        <v>7.1151729999999996E-2</v>
      </c>
      <c r="T3852">
        <v>-0.1909477</v>
      </c>
      <c r="U3852">
        <v>-3.0719150000000002</v>
      </c>
      <c r="V3852">
        <v>4.4966600000000002E-2</v>
      </c>
      <c r="W3852">
        <v>0.13799110000000001</v>
      </c>
      <c r="X3852">
        <v>0.98941219999999996</v>
      </c>
      <c r="Y3852">
        <v>-7.8906130000000005E-2</v>
      </c>
      <c r="Z3852">
        <v>6.1789249999999997E-2</v>
      </c>
      <c r="AA3852">
        <v>0.99496530000000005</v>
      </c>
      <c r="AB3852">
        <v>30</v>
      </c>
      <c r="AC3852">
        <v>0.42769999999998698</v>
      </c>
      <c r="AD3852">
        <v>-1.1137012249939999</v>
      </c>
      <c r="AE3852">
        <v>-17.626200000000001</v>
      </c>
      <c r="AF3852">
        <v>-1.4057749627875</v>
      </c>
      <c r="AG3852">
        <v>-1.1137012249939999</v>
      </c>
      <c r="AH3852">
        <v>17.504963796622999</v>
      </c>
      <c r="AI3852">
        <v>93.628715887701702</v>
      </c>
      <c r="AJ3852">
        <v>94.591411250825601</v>
      </c>
      <c r="AK3852">
        <v>17.596598852779401</v>
      </c>
      <c r="AL3852">
        <v>82.068383667482294</v>
      </c>
      <c r="AM3852">
        <v>87.397823936601299</v>
      </c>
      <c r="AN3852">
        <v>1.0000000201518</v>
      </c>
    </row>
    <row r="3853" spans="1:40" x14ac:dyDescent="0.25">
      <c r="A3853" t="str">
        <f>"20190312173007219"</f>
        <v>20190312173007219</v>
      </c>
      <c r="B3853" t="str">
        <f>"1552383007211928"</f>
        <v>1552383007211928</v>
      </c>
      <c r="C3853" t="s">
        <v>40</v>
      </c>
      <c r="D3853">
        <v>3.605229</v>
      </c>
      <c r="E3853">
        <v>0.45304440000000001</v>
      </c>
      <c r="F3853" t="s">
        <v>41</v>
      </c>
      <c r="G3853">
        <v>-190.92580000000001</v>
      </c>
      <c r="H3853" s="1">
        <v>-2.7642070000000001E-6</v>
      </c>
      <c r="I3853">
        <v>164.91810000000001</v>
      </c>
      <c r="J3853">
        <v>-191.39510000000001</v>
      </c>
      <c r="K3853">
        <v>1.113664</v>
      </c>
      <c r="L3853">
        <v>183.33160000000001</v>
      </c>
      <c r="M3853">
        <v>-5.308243E-2</v>
      </c>
      <c r="N3853">
        <v>0</v>
      </c>
      <c r="O3853">
        <v>-0.99853230000000004</v>
      </c>
      <c r="P3853">
        <v>-0.10048700000000001</v>
      </c>
      <c r="Q3853">
        <v>0.12753110000000001</v>
      </c>
      <c r="R3853">
        <v>-0.98673120000000003</v>
      </c>
      <c r="S3853">
        <v>7.6477050000000005E-2</v>
      </c>
      <c r="T3853">
        <v>-0.18412339999999999</v>
      </c>
      <c r="U3853">
        <v>-3.0719759999999998</v>
      </c>
      <c r="V3853">
        <v>4.6611930000000003E-2</v>
      </c>
      <c r="W3853">
        <v>0.1386442</v>
      </c>
      <c r="X3853">
        <v>0.98924469999999998</v>
      </c>
      <c r="Y3853">
        <v>-7.7876879999999996E-2</v>
      </c>
      <c r="Z3853">
        <v>5.9602540000000002E-2</v>
      </c>
      <c r="AA3853">
        <v>0.99517979999999995</v>
      </c>
      <c r="AB3853">
        <v>30</v>
      </c>
      <c r="AC3853">
        <v>0.46930000000000399</v>
      </c>
      <c r="AD3853">
        <v>-1.1136667642069999</v>
      </c>
      <c r="AE3853">
        <v>-18.413499999999999</v>
      </c>
      <c r="AF3853">
        <v>-1.4408608742202</v>
      </c>
      <c r="AG3853">
        <v>-1.1136667642069999</v>
      </c>
      <c r="AH3853">
        <v>18.2957419332615</v>
      </c>
      <c r="AI3853">
        <v>93.472586026715405</v>
      </c>
      <c r="AJ3853">
        <v>94.502971541014901</v>
      </c>
      <c r="AK3853">
        <v>18.3861498582237</v>
      </c>
      <c r="AL3853">
        <v>82.030600308899693</v>
      </c>
      <c r="AM3853">
        <v>87.302292298724694</v>
      </c>
      <c r="AN3853">
        <v>0.99999998134502699</v>
      </c>
    </row>
    <row r="3854" spans="1:40" x14ac:dyDescent="0.25">
      <c r="A3854" t="str">
        <f>"20190312173007232"</f>
        <v>20190312173007232</v>
      </c>
      <c r="B3854" t="str">
        <f>"1552383007221688"</f>
        <v>1552383007221688</v>
      </c>
      <c r="C3854" t="s">
        <v>40</v>
      </c>
      <c r="D3854">
        <v>3.6018669999999999</v>
      </c>
      <c r="E3854">
        <v>0.45312180000000002</v>
      </c>
      <c r="F3854" t="s">
        <v>41</v>
      </c>
      <c r="G3854">
        <v>-190.91370000000001</v>
      </c>
      <c r="H3854" s="1">
        <v>-2.6185020000000001E-6</v>
      </c>
      <c r="I3854">
        <v>164.61670000000001</v>
      </c>
      <c r="J3854">
        <v>-191.40090000000001</v>
      </c>
      <c r="K3854">
        <v>1.113623</v>
      </c>
      <c r="L3854">
        <v>183.17330000000001</v>
      </c>
      <c r="M3854">
        <v>-5.0532779999999999E-2</v>
      </c>
      <c r="N3854">
        <v>0</v>
      </c>
      <c r="O3854">
        <v>-0.99866429999999995</v>
      </c>
      <c r="P3854">
        <v>-9.9550280000000005E-2</v>
      </c>
      <c r="Q3854">
        <v>0.1285548</v>
      </c>
      <c r="R3854">
        <v>-0.98669300000000004</v>
      </c>
      <c r="S3854">
        <v>7.9010010000000006E-2</v>
      </c>
      <c r="T3854">
        <v>-0.18280679999999999</v>
      </c>
      <c r="U3854">
        <v>-3.0720369999999999</v>
      </c>
      <c r="V3854">
        <v>4.8213699999999901E-2</v>
      </c>
      <c r="W3854">
        <v>0.1396925</v>
      </c>
      <c r="X3854">
        <v>0.98902049999999997</v>
      </c>
      <c r="Y3854">
        <v>-7.6151479999999994E-2</v>
      </c>
      <c r="Z3854">
        <v>5.9191809999999997E-2</v>
      </c>
      <c r="AA3854">
        <v>0.99533780000000005</v>
      </c>
      <c r="AB3854">
        <v>30</v>
      </c>
      <c r="AC3854">
        <v>0.48720000000000102</v>
      </c>
      <c r="AD3854">
        <v>-1.1136256185019999</v>
      </c>
      <c r="AE3854">
        <v>-18.5566</v>
      </c>
      <c r="AF3854">
        <v>-1.41924063244362</v>
      </c>
      <c r="AG3854">
        <v>-1.1136256185019999</v>
      </c>
      <c r="AH3854">
        <v>18.441895929353301</v>
      </c>
      <c r="AI3854">
        <v>93.445482797551193</v>
      </c>
      <c r="AJ3854">
        <v>94.400661185179302</v>
      </c>
      <c r="AK3854">
        <v>18.5299198989111</v>
      </c>
      <c r="AL3854">
        <v>81.969947479381105</v>
      </c>
      <c r="AM3854">
        <v>87.2091009607541</v>
      </c>
      <c r="AN3854">
        <v>1.00000005242209</v>
      </c>
    </row>
    <row r="3855" spans="1:40" x14ac:dyDescent="0.25">
      <c r="A3855" t="str">
        <f>"20190312173007245"</f>
        <v>20190312173007245</v>
      </c>
      <c r="B3855" t="str">
        <f>"1552383007231448"</f>
        <v>1552383007231448</v>
      </c>
      <c r="C3855" t="s">
        <v>40</v>
      </c>
      <c r="D3855">
        <v>3.5852729999999999</v>
      </c>
      <c r="E3855">
        <v>0.45327109999999898</v>
      </c>
      <c r="F3855" t="s">
        <v>41</v>
      </c>
      <c r="G3855">
        <v>-190.8972</v>
      </c>
      <c r="H3855" s="1">
        <v>-2.4085579999999998E-6</v>
      </c>
      <c r="I3855">
        <v>164.18180000000001</v>
      </c>
      <c r="J3855">
        <v>-191.4067</v>
      </c>
      <c r="K3855">
        <v>1.11358</v>
      </c>
      <c r="L3855">
        <v>183.01390000000001</v>
      </c>
      <c r="M3855">
        <v>-4.7990930000000001E-2</v>
      </c>
      <c r="N3855">
        <v>0</v>
      </c>
      <c r="O3855">
        <v>-0.9987897</v>
      </c>
      <c r="P3855">
        <v>-9.8599560000000003E-2</v>
      </c>
      <c r="Q3855">
        <v>0.1295799</v>
      </c>
      <c r="R3855">
        <v>-0.98665480000000005</v>
      </c>
      <c r="S3855">
        <v>8.1481929999999994E-2</v>
      </c>
      <c r="T3855">
        <v>-0.180145</v>
      </c>
      <c r="U3855">
        <v>-3.0721440000000002</v>
      </c>
      <c r="V3855">
        <v>4.9794400000000003E-2</v>
      </c>
      <c r="W3855">
        <v>0.14074200000000001</v>
      </c>
      <c r="X3855">
        <v>0.98879329999999999</v>
      </c>
      <c r="Y3855">
        <v>-7.4414449999999993E-2</v>
      </c>
      <c r="Z3855">
        <v>5.8345109999999999E-2</v>
      </c>
      <c r="AA3855">
        <v>0.99551909999999999</v>
      </c>
      <c r="AB3855">
        <v>30</v>
      </c>
      <c r="AC3855">
        <v>0.50950000000000195</v>
      </c>
      <c r="AD3855">
        <v>-1.1135824085579999</v>
      </c>
      <c r="AE3855">
        <v>-18.832100000000001</v>
      </c>
      <c r="AF3855">
        <v>-1.40781630580607</v>
      </c>
      <c r="AG3855">
        <v>-1.1135824085579999</v>
      </c>
      <c r="AH3855">
        <v>18.720535265311099</v>
      </c>
      <c r="AI3855">
        <v>93.394638850697305</v>
      </c>
      <c r="AJ3855">
        <v>94.300645769256604</v>
      </c>
      <c r="AK3855">
        <v>18.806393943318799</v>
      </c>
      <c r="AL3855">
        <v>81.909215077677601</v>
      </c>
      <c r="AM3855">
        <v>87.117091227405595</v>
      </c>
      <c r="AN3855">
        <v>0.99999999148012497</v>
      </c>
    </row>
    <row r="3856" spans="1:40" x14ac:dyDescent="0.25">
      <c r="A3856" t="str">
        <f>"20190312173007256"</f>
        <v>20190312173007256</v>
      </c>
      <c r="B3856" t="str">
        <f>"1552383007251945"</f>
        <v>1552383007251945</v>
      </c>
      <c r="C3856" t="s">
        <v>40</v>
      </c>
      <c r="D3856">
        <v>3.6132149999999998</v>
      </c>
      <c r="E3856">
        <v>0.45338980000000001</v>
      </c>
      <c r="F3856" t="s">
        <v>41</v>
      </c>
      <c r="G3856">
        <v>-190.88589999999999</v>
      </c>
      <c r="H3856" s="1">
        <v>-2.205019E-6</v>
      </c>
      <c r="I3856">
        <v>163.7576</v>
      </c>
      <c r="J3856">
        <v>-191.41220000000001</v>
      </c>
      <c r="K3856">
        <v>1.1135120000000001</v>
      </c>
      <c r="L3856">
        <v>182.8432</v>
      </c>
      <c r="M3856">
        <v>-4.5373690000000001E-2</v>
      </c>
      <c r="N3856">
        <v>0</v>
      </c>
      <c r="O3856">
        <v>-0.99891169999999996</v>
      </c>
      <c r="P3856">
        <v>-9.7751469999999993E-2</v>
      </c>
      <c r="Q3856">
        <v>0.13041929999999999</v>
      </c>
      <c r="R3856">
        <v>-0.98662859999999997</v>
      </c>
      <c r="S3856">
        <v>8.3084110000000003E-2</v>
      </c>
      <c r="T3856">
        <v>-0.17766560000000001</v>
      </c>
      <c r="U3856">
        <v>-3.0722200000000002</v>
      </c>
      <c r="V3856">
        <v>5.1560519999999999E-2</v>
      </c>
      <c r="W3856">
        <v>0.14160449999999999</v>
      </c>
      <c r="X3856">
        <v>0.9885796</v>
      </c>
      <c r="Y3856">
        <v>-7.2320739999999994E-2</v>
      </c>
      <c r="Z3856">
        <v>5.7557990000000003E-2</v>
      </c>
      <c r="AA3856">
        <v>0.99571929999999997</v>
      </c>
      <c r="AB3856">
        <v>30</v>
      </c>
      <c r="AC3856">
        <v>0.52630000000001997</v>
      </c>
      <c r="AD3856">
        <v>-1.1135142050189999</v>
      </c>
      <c r="AE3856">
        <v>-19.085599999999999</v>
      </c>
      <c r="AF3856">
        <v>-1.3870745907198001</v>
      </c>
      <c r="AG3856">
        <v>-1.1135142050189999</v>
      </c>
      <c r="AH3856">
        <v>18.9775106460873</v>
      </c>
      <c r="AI3856">
        <v>93.349092757449597</v>
      </c>
      <c r="AJ3856">
        <v>94.180340183911298</v>
      </c>
      <c r="AK3856">
        <v>19.060687294202101</v>
      </c>
      <c r="AL3856">
        <v>81.859297390250703</v>
      </c>
      <c r="AM3856">
        <v>87.014377180254698</v>
      </c>
      <c r="AN3856">
        <v>0.99999997358953996</v>
      </c>
    </row>
    <row r="3857" spans="1:40" x14ac:dyDescent="0.25">
      <c r="A3857" t="str">
        <f>"20190312173007274"</f>
        <v>20190312173007274</v>
      </c>
      <c r="B3857" t="str">
        <f>"1552383007261705"</f>
        <v>1552383007261705</v>
      </c>
      <c r="C3857" t="s">
        <v>40</v>
      </c>
      <c r="D3857">
        <v>3.6094569999999999</v>
      </c>
      <c r="E3857">
        <v>0.4574975</v>
      </c>
      <c r="F3857" t="s">
        <v>41</v>
      </c>
      <c r="G3857">
        <v>-190.87559999999999</v>
      </c>
      <c r="H3857" s="1">
        <v>-2.0240789999999999E-6</v>
      </c>
      <c r="I3857">
        <v>163.38059999999999</v>
      </c>
      <c r="J3857">
        <v>-191.41909999999999</v>
      </c>
      <c r="K3857">
        <v>1.113405</v>
      </c>
      <c r="L3857">
        <v>182.61529999999999</v>
      </c>
      <c r="M3857">
        <v>-4.1975520000000002E-2</v>
      </c>
      <c r="N3857">
        <v>0</v>
      </c>
      <c r="O3857">
        <v>-0.99906010000000001</v>
      </c>
      <c r="P3857">
        <v>-9.8082939999999993E-2</v>
      </c>
      <c r="Q3857">
        <v>0.1312865</v>
      </c>
      <c r="R3857">
        <v>-0.98648060000000004</v>
      </c>
      <c r="S3857">
        <v>8.4701540000000006E-2</v>
      </c>
      <c r="T3857">
        <v>-0.17577429999999999</v>
      </c>
      <c r="U3857">
        <v>-3.0722659999999999</v>
      </c>
      <c r="V3857">
        <v>5.529593E-2</v>
      </c>
      <c r="W3857">
        <v>0.14250879999999999</v>
      </c>
      <c r="X3857">
        <v>0.98824780000000001</v>
      </c>
      <c r="Y3857">
        <v>-6.9452130000000001E-2</v>
      </c>
      <c r="Z3857">
        <v>5.6964580000000001E-2</v>
      </c>
      <c r="AA3857">
        <v>0.9959576</v>
      </c>
      <c r="AB3857">
        <v>30</v>
      </c>
      <c r="AC3857">
        <v>0.54349999999999399</v>
      </c>
      <c r="AD3857">
        <v>-1.1134070240789999</v>
      </c>
      <c r="AE3857">
        <v>-19.2347</v>
      </c>
      <c r="AF3857">
        <v>-1.3459483967688399</v>
      </c>
      <c r="AG3857">
        <v>-1.1134070240789999</v>
      </c>
      <c r="AH3857">
        <v>19.130879356166499</v>
      </c>
      <c r="AI3857">
        <v>93.322632096066897</v>
      </c>
      <c r="AJ3857">
        <v>94.024399491594593</v>
      </c>
      <c r="AK3857">
        <v>19.210460619887101</v>
      </c>
      <c r="AL3857">
        <v>81.806954654792193</v>
      </c>
      <c r="AM3857">
        <v>86.797439612099794</v>
      </c>
      <c r="AN3857">
        <v>1.0000000560784199</v>
      </c>
    </row>
    <row r="3858" spans="1:40" x14ac:dyDescent="0.25">
      <c r="A3858" t="str">
        <f>"20190312173007286"</f>
        <v>20190312173007286</v>
      </c>
      <c r="B3858" t="str">
        <f>"1552383007281224"</f>
        <v>1552383007281224</v>
      </c>
      <c r="C3858" t="s">
        <v>40</v>
      </c>
      <c r="D3858">
        <v>3.7317969999999998</v>
      </c>
      <c r="E3858">
        <v>0.45967459999999999</v>
      </c>
      <c r="F3858" t="s">
        <v>41</v>
      </c>
      <c r="G3858">
        <v>-191.14279999999999</v>
      </c>
      <c r="H3858" s="1">
        <v>-3.3809780000000001E-6</v>
      </c>
      <c r="I3858">
        <v>166.10079999999999</v>
      </c>
      <c r="J3858">
        <v>-191.4237</v>
      </c>
      <c r="K3858">
        <v>1.113321</v>
      </c>
      <c r="L3858">
        <v>182.452</v>
      </c>
      <c r="M3858">
        <v>-3.961054E-2</v>
      </c>
      <c r="N3858">
        <v>0</v>
      </c>
      <c r="O3858">
        <v>-0.99915620000000005</v>
      </c>
      <c r="P3858">
        <v>-9.7686120000000001E-2</v>
      </c>
      <c r="Q3858">
        <v>0.13136300000000001</v>
      </c>
      <c r="R3858">
        <v>-0.98650950000000004</v>
      </c>
      <c r="S3858">
        <v>5.1422120000000002E-2</v>
      </c>
      <c r="T3858">
        <v>-0.20723639999999999</v>
      </c>
      <c r="U3858">
        <v>-3.0738219999999998</v>
      </c>
      <c r="V3858">
        <v>5.7270920000000003E-2</v>
      </c>
      <c r="W3858">
        <v>0.142602799999999</v>
      </c>
      <c r="X3858">
        <v>0.98812169999999999</v>
      </c>
      <c r="Y3858">
        <v>-5.6283079999999999E-2</v>
      </c>
      <c r="Z3858">
        <v>6.7129919999999996E-2</v>
      </c>
      <c r="AA3858">
        <v>0.99615549999999997</v>
      </c>
      <c r="AB3858">
        <v>30</v>
      </c>
      <c r="AC3858">
        <v>0.28090000000000198</v>
      </c>
      <c r="AD3858">
        <v>-1.113324380978</v>
      </c>
      <c r="AE3858">
        <v>-16.351199999999999</v>
      </c>
      <c r="AF3858">
        <v>-0.92411462686156198</v>
      </c>
      <c r="AG3858">
        <v>-1.113324380978</v>
      </c>
      <c r="AH3858">
        <v>16.251916931731099</v>
      </c>
      <c r="AI3858">
        <v>93.912577894184196</v>
      </c>
      <c r="AJ3858">
        <v>93.254441527706305</v>
      </c>
      <c r="AK3858">
        <v>16.316196952009001</v>
      </c>
      <c r="AL3858">
        <v>81.801512859659297</v>
      </c>
      <c r="AM3858">
        <v>86.682883270090201</v>
      </c>
      <c r="AN3858">
        <v>1.0000000054281799</v>
      </c>
    </row>
    <row r="3859" spans="1:40" x14ac:dyDescent="0.25">
      <c r="A3859" t="str">
        <f>"20190312173007309"</f>
        <v>20190312173007309</v>
      </c>
      <c r="B3859" t="str">
        <f>"1552383007301720"</f>
        <v>1552383007301720</v>
      </c>
      <c r="C3859" t="s">
        <v>40</v>
      </c>
      <c r="D3859">
        <v>3.634182</v>
      </c>
      <c r="E3859">
        <v>0.45981030000000001</v>
      </c>
      <c r="F3859" t="s">
        <v>41</v>
      </c>
      <c r="G3859">
        <v>-191.24289999999999</v>
      </c>
      <c r="H3859" s="1">
        <v>-3.6948140000000001E-6</v>
      </c>
      <c r="I3859">
        <v>166.70830000000001</v>
      </c>
      <c r="J3859">
        <v>-191.43129999999999</v>
      </c>
      <c r="K3859">
        <v>1.113129</v>
      </c>
      <c r="L3859">
        <v>182.14429999999999</v>
      </c>
      <c r="M3859">
        <v>-3.5399760000000002E-2</v>
      </c>
      <c r="N3859">
        <v>0</v>
      </c>
      <c r="O3859">
        <v>-0.99931420000000004</v>
      </c>
      <c r="P3859">
        <v>-9.8796999999999996E-2</v>
      </c>
      <c r="Q3859">
        <v>0.1311485</v>
      </c>
      <c r="R3859">
        <v>-0.98642770000000002</v>
      </c>
      <c r="S3859">
        <v>3.5293579999999998E-2</v>
      </c>
      <c r="T3859">
        <v>-0.21734239999999999</v>
      </c>
      <c r="U3859">
        <v>-3.0734710000000001</v>
      </c>
      <c r="V3859">
        <v>6.2621850000000007E-2</v>
      </c>
      <c r="W3859">
        <v>0.14242579999999999</v>
      </c>
      <c r="X3859">
        <v>0.98782250000000005</v>
      </c>
      <c r="Y3859">
        <v>-4.6846270000000002E-2</v>
      </c>
      <c r="Z3859">
        <v>7.0432129999999996E-2</v>
      </c>
      <c r="AA3859">
        <v>0.99641599999999997</v>
      </c>
      <c r="AB3859">
        <v>30</v>
      </c>
      <c r="AC3859">
        <v>0.18840000000000101</v>
      </c>
      <c r="AD3859">
        <v>-1.1131326948139999</v>
      </c>
      <c r="AE3859">
        <v>-15.4359999999999</v>
      </c>
      <c r="AF3859">
        <v>-0.73094430896947904</v>
      </c>
      <c r="AG3859">
        <v>-1.1131326948139999</v>
      </c>
      <c r="AH3859">
        <v>15.3398949318343</v>
      </c>
      <c r="AI3859">
        <v>94.145681053449906</v>
      </c>
      <c r="AJ3859">
        <v>92.728074142173696</v>
      </c>
      <c r="AK3859">
        <v>15.397588139017</v>
      </c>
      <c r="AL3859">
        <v>81.811758322477502</v>
      </c>
      <c r="AM3859">
        <v>86.372655156081905</v>
      </c>
      <c r="AN3859">
        <v>0.99999994805465398</v>
      </c>
    </row>
    <row r="3860" spans="1:40" x14ac:dyDescent="0.25">
      <c r="A3860" t="str">
        <f>"20190312173007331"</f>
        <v>20190312173007331</v>
      </c>
      <c r="B3860" t="str">
        <f>"1552383007321240"</f>
        <v>1552383007321240</v>
      </c>
      <c r="C3860" t="s">
        <v>40</v>
      </c>
      <c r="D3860">
        <v>3.7970969999999999</v>
      </c>
      <c r="E3860">
        <v>0.4883074</v>
      </c>
      <c r="F3860" t="s">
        <v>41</v>
      </c>
      <c r="G3860">
        <v>-191.27610000000001</v>
      </c>
      <c r="H3860" s="1">
        <v>-3.6051009999999998E-6</v>
      </c>
      <c r="I3860">
        <v>166.49979999999999</v>
      </c>
      <c r="J3860">
        <v>-191.43790000000001</v>
      </c>
      <c r="K3860">
        <v>1.1129279999999999</v>
      </c>
      <c r="L3860">
        <v>181.84440000000001</v>
      </c>
      <c r="M3860">
        <v>-3.157103E-2</v>
      </c>
      <c r="N3860">
        <v>0</v>
      </c>
      <c r="O3860">
        <v>-0.99944219999999895</v>
      </c>
      <c r="P3860">
        <v>-0.1019782</v>
      </c>
      <c r="Q3860">
        <v>0.1303742</v>
      </c>
      <c r="R3860">
        <v>-0.98620680000000005</v>
      </c>
      <c r="S3860">
        <v>3.048706E-2</v>
      </c>
      <c r="T3860">
        <v>-0.21867790000000001</v>
      </c>
      <c r="U3860">
        <v>-3.0733950000000001</v>
      </c>
      <c r="V3860">
        <v>6.9673760000000001E-2</v>
      </c>
      <c r="W3860">
        <v>0.14169319999999999</v>
      </c>
      <c r="X3860">
        <v>0.98745559999999999</v>
      </c>
      <c r="Y3860">
        <v>-4.14606E-2</v>
      </c>
      <c r="Z3860">
        <v>7.0887190000000003E-2</v>
      </c>
      <c r="AA3860">
        <v>0.99662229999999996</v>
      </c>
      <c r="AB3860">
        <v>30</v>
      </c>
      <c r="AC3860">
        <v>0.161799999999999</v>
      </c>
      <c r="AD3860">
        <v>-1.1129316051010001</v>
      </c>
      <c r="AE3860">
        <v>-15.3446</v>
      </c>
      <c r="AF3860">
        <v>-0.64281175616364705</v>
      </c>
      <c r="AG3860">
        <v>-1.1129316051010001</v>
      </c>
      <c r="AH3860">
        <v>15.2516194797766</v>
      </c>
      <c r="AI3860">
        <v>94.169865431884702</v>
      </c>
      <c r="AJ3860">
        <v>92.413423417704806</v>
      </c>
      <c r="AK3860">
        <v>15.305676086582899</v>
      </c>
      <c r="AL3860">
        <v>81.854163532445199</v>
      </c>
      <c r="AM3860">
        <v>85.963963046369599</v>
      </c>
      <c r="AN3860">
        <v>0.99999997886506797</v>
      </c>
    </row>
    <row r="3861" spans="1:40" x14ac:dyDescent="0.25">
      <c r="A3861" t="str">
        <f>"20190312173007346"</f>
        <v>20190312173007346</v>
      </c>
      <c r="B3861" t="str">
        <f>"1552383007341737"</f>
        <v>1552383007341737</v>
      </c>
      <c r="C3861" t="s">
        <v>40</v>
      </c>
      <c r="D3861">
        <v>3.7839749999999999</v>
      </c>
      <c r="E3861">
        <v>0.50649189999999999</v>
      </c>
      <c r="F3861" t="s">
        <v>42</v>
      </c>
      <c r="G3861">
        <v>-191.4984</v>
      </c>
      <c r="H3861">
        <v>1.0544800000000001</v>
      </c>
      <c r="I3861">
        <v>180.9496</v>
      </c>
      <c r="J3861">
        <v>-191.4417</v>
      </c>
      <c r="K3861">
        <v>1.1127899999999999</v>
      </c>
      <c r="L3861">
        <v>181.6498</v>
      </c>
      <c r="M3861">
        <v>-2.9217409999999999E-2</v>
      </c>
      <c r="N3861">
        <v>0</v>
      </c>
      <c r="O3861">
        <v>-0.9995134</v>
      </c>
      <c r="P3861">
        <v>-0.10379869999999999</v>
      </c>
      <c r="Q3861">
        <v>0.12985089999999999</v>
      </c>
      <c r="R3861">
        <v>-0.98608569999999995</v>
      </c>
      <c r="S3861">
        <v>-0.20562739999999999</v>
      </c>
      <c r="T3861">
        <v>-0.19922570000000001</v>
      </c>
      <c r="U3861">
        <v>-3.0470120000000001</v>
      </c>
      <c r="V3861">
        <v>7.3875189999999993E-2</v>
      </c>
      <c r="W3861">
        <v>0.14119189999999901</v>
      </c>
      <c r="X3861">
        <v>0.98722200000000004</v>
      </c>
      <c r="Y3861">
        <v>3.8007310000000002E-2</v>
      </c>
      <c r="Z3861">
        <v>6.5105650000000001E-2</v>
      </c>
      <c r="AA3861">
        <v>0.99715430000000005</v>
      </c>
      <c r="AB3861">
        <v>30</v>
      </c>
      <c r="AC3861">
        <v>-5.6700000000006398E-2</v>
      </c>
      <c r="AD3861">
        <v>-5.8310000000000001E-2</v>
      </c>
      <c r="AE3861">
        <v>-0.70019999999999505</v>
      </c>
      <c r="AF3861">
        <v>3.5968724315772499E-2</v>
      </c>
      <c r="AG3861">
        <v>-5.8310000000000001E-2</v>
      </c>
      <c r="AH3861">
        <v>0.696757278540032</v>
      </c>
      <c r="AI3861">
        <v>94.777471543973803</v>
      </c>
      <c r="AJ3861">
        <v>87.044841297643899</v>
      </c>
      <c r="AK3861">
        <v>0.70011749758695196</v>
      </c>
      <c r="AL3861">
        <v>81.8831776664682</v>
      </c>
      <c r="AM3861">
        <v>85.720453655762398</v>
      </c>
      <c r="AN3861">
        <v>0.99999998680357205</v>
      </c>
    </row>
    <row r="3862" spans="1:40" x14ac:dyDescent="0.25">
      <c r="A3862" t="str">
        <f>"20190312173007365"</f>
        <v>20190312173007365</v>
      </c>
      <c r="B3862" t="str">
        <f>"1552383007361256"</f>
        <v>1552383007361256</v>
      </c>
      <c r="C3862" t="s">
        <v>40</v>
      </c>
      <c r="D3862">
        <v>3.764866</v>
      </c>
      <c r="E3862">
        <v>0.51668190000000003</v>
      </c>
      <c r="F3862" t="s">
        <v>42</v>
      </c>
      <c r="G3862">
        <v>-191.554</v>
      </c>
      <c r="H3862">
        <v>1.044322</v>
      </c>
      <c r="I3862">
        <v>180.69069999999999</v>
      </c>
      <c r="J3862">
        <v>-191.4462</v>
      </c>
      <c r="K3862">
        <v>1.112609</v>
      </c>
      <c r="L3862">
        <v>181.3921</v>
      </c>
      <c r="M3862">
        <v>-2.6309860000000001E-2</v>
      </c>
      <c r="N3862">
        <v>0</v>
      </c>
      <c r="O3862">
        <v>-0.99959439999999999</v>
      </c>
      <c r="P3862">
        <v>-0.1108297</v>
      </c>
      <c r="Q3862">
        <v>0.1290056</v>
      </c>
      <c r="R3862">
        <v>-0.98543139999999996</v>
      </c>
      <c r="S3862">
        <v>-0.35517880000000002</v>
      </c>
      <c r="T3862">
        <v>-0.21649869999999999</v>
      </c>
      <c r="U3862">
        <v>-3.0334469999999998</v>
      </c>
      <c r="V3862">
        <v>8.3864640000000004E-2</v>
      </c>
      <c r="W3862">
        <v>0.14039689999999999</v>
      </c>
      <c r="X3862">
        <v>0.98653709999999994</v>
      </c>
      <c r="Y3862">
        <v>8.9828379999999999E-2</v>
      </c>
      <c r="Z3862">
        <v>7.0768250000000005E-2</v>
      </c>
      <c r="AA3862">
        <v>0.99343990000000004</v>
      </c>
      <c r="AB3862">
        <v>30</v>
      </c>
      <c r="AC3862">
        <v>-0.107799999999997</v>
      </c>
      <c r="AD3862">
        <v>-6.8286999999999903E-2</v>
      </c>
      <c r="AE3862">
        <v>-0.70140000000000602</v>
      </c>
      <c r="AF3862">
        <v>8.8488454622247803E-2</v>
      </c>
      <c r="AG3862">
        <v>-6.8286999999999903E-2</v>
      </c>
      <c r="AH3862">
        <v>0.69753446021941701</v>
      </c>
      <c r="AI3862">
        <v>95.547129867862196</v>
      </c>
      <c r="AJ3862">
        <v>82.770139178698997</v>
      </c>
      <c r="AK3862">
        <v>0.70643304294464304</v>
      </c>
      <c r="AL3862">
        <v>81.929186286280896</v>
      </c>
      <c r="AM3862">
        <v>85.141018910138897</v>
      </c>
      <c r="AN3862">
        <v>1.00000000852417</v>
      </c>
    </row>
    <row r="3863" spans="1:40" x14ac:dyDescent="0.25">
      <c r="A3863" t="str">
        <f>"20190312173007386"</f>
        <v>20190312173007386</v>
      </c>
      <c r="B3863" t="str">
        <f>"1552383007381752"</f>
        <v>1552383007381752</v>
      </c>
      <c r="C3863" t="s">
        <v>40</v>
      </c>
      <c r="D3863">
        <v>3.7548330000000001</v>
      </c>
      <c r="E3863">
        <v>0.52216059999999997</v>
      </c>
      <c r="F3863" t="s">
        <v>42</v>
      </c>
      <c r="G3863">
        <v>-191.5932</v>
      </c>
      <c r="H3863">
        <v>1.039477</v>
      </c>
      <c r="I3863">
        <v>180.42359999999999</v>
      </c>
      <c r="J3863">
        <v>-191.45060000000001</v>
      </c>
      <c r="K3863">
        <v>1.1123989999999999</v>
      </c>
      <c r="L3863">
        <v>181.1037</v>
      </c>
      <c r="M3863">
        <v>-2.3339680000000002E-2</v>
      </c>
      <c r="N3863">
        <v>0</v>
      </c>
      <c r="O3863">
        <v>-0.99966770000000005</v>
      </c>
      <c r="P3863">
        <v>-0.1182223</v>
      </c>
      <c r="Q3863">
        <v>0.12869639999999999</v>
      </c>
      <c r="R3863">
        <v>-0.98461220000000005</v>
      </c>
      <c r="S3863">
        <v>-0.45851140000000001</v>
      </c>
      <c r="T3863">
        <v>-0.22832540000000001</v>
      </c>
      <c r="U3863">
        <v>-3.022675</v>
      </c>
      <c r="V3863">
        <v>9.4284049999999994E-2</v>
      </c>
      <c r="W3863">
        <v>0.14012069999999999</v>
      </c>
      <c r="X3863">
        <v>0.98563520000000004</v>
      </c>
      <c r="Y3863">
        <v>0.12643969999999999</v>
      </c>
      <c r="Z3863">
        <v>7.4566060000000003E-2</v>
      </c>
      <c r="AA3863">
        <v>0.98916780000000004</v>
      </c>
      <c r="AB3863">
        <v>30</v>
      </c>
      <c r="AC3863">
        <v>-0.14259999999998699</v>
      </c>
      <c r="AD3863">
        <v>-7.2921999999999904E-2</v>
      </c>
      <c r="AE3863">
        <v>-0.68010000000001003</v>
      </c>
      <c r="AF3863">
        <v>0.125306939547877</v>
      </c>
      <c r="AG3863">
        <v>-7.2921999999999904E-2</v>
      </c>
      <c r="AH3863">
        <v>0.67580088866961197</v>
      </c>
      <c r="AI3863">
        <v>96.0562059847515</v>
      </c>
      <c r="AJ3863">
        <v>79.495520739637399</v>
      </c>
      <c r="AK3863">
        <v>0.691177465134312</v>
      </c>
      <c r="AL3863">
        <v>81.945169468889702</v>
      </c>
      <c r="AM3863">
        <v>84.535817299605597</v>
      </c>
      <c r="AN3863">
        <v>1.00000002006596</v>
      </c>
    </row>
    <row r="3864" spans="1:40" x14ac:dyDescent="0.25">
      <c r="A3864" t="str">
        <f>"20190312173007409"</f>
        <v>20190312173007409</v>
      </c>
      <c r="B3864" t="str">
        <f>"1552383007401275"</f>
        <v>1552383007401275</v>
      </c>
      <c r="C3864" t="s">
        <v>40</v>
      </c>
      <c r="D3864">
        <v>3.7576390000000002</v>
      </c>
      <c r="E3864">
        <v>0.52533419999999997</v>
      </c>
      <c r="F3864" t="s">
        <v>42</v>
      </c>
      <c r="G3864">
        <v>-191.61689999999999</v>
      </c>
      <c r="H3864">
        <v>1.039112</v>
      </c>
      <c r="I3864">
        <v>180.15129999999999</v>
      </c>
      <c r="J3864">
        <v>-191.4545</v>
      </c>
      <c r="K3864">
        <v>1.1121780000000001</v>
      </c>
      <c r="L3864">
        <v>180.80430000000001</v>
      </c>
      <c r="M3864">
        <v>-2.0542479999999998E-2</v>
      </c>
      <c r="N3864">
        <v>0</v>
      </c>
      <c r="O3864">
        <v>-0.99972919999999998</v>
      </c>
      <c r="P3864">
        <v>-0.12692439999999999</v>
      </c>
      <c r="Q3864">
        <v>0.12844900000000001</v>
      </c>
      <c r="R3864">
        <v>-0.98356080000000001</v>
      </c>
      <c r="S3864">
        <v>-0.52574160000000003</v>
      </c>
      <c r="T3864">
        <v>-0.23208529999999999</v>
      </c>
      <c r="U3864">
        <v>-3.0140989999999999</v>
      </c>
      <c r="V3864">
        <v>0.10584489999999901</v>
      </c>
      <c r="W3864">
        <v>0.13989509999999999</v>
      </c>
      <c r="X3864">
        <v>0.9844929</v>
      </c>
      <c r="Y3864">
        <v>0.15106530000000001</v>
      </c>
      <c r="Z3864">
        <v>7.5739630000000002E-2</v>
      </c>
      <c r="AA3864">
        <v>0.98561799999999999</v>
      </c>
      <c r="AB3864">
        <v>30</v>
      </c>
      <c r="AC3864">
        <v>-0.162399999999991</v>
      </c>
      <c r="AD3864">
        <v>-7.3066000000000006E-2</v>
      </c>
      <c r="AE3864">
        <v>-0.65300000000002001</v>
      </c>
      <c r="AF3864">
        <v>0.147214913530855</v>
      </c>
      <c r="AG3864">
        <v>-7.3066000000000006E-2</v>
      </c>
      <c r="AH3864">
        <v>0.64855158805213797</v>
      </c>
      <c r="AI3864">
        <v>96.269680673998707</v>
      </c>
      <c r="AJ3864">
        <v>77.2111224806021</v>
      </c>
      <c r="AK3864">
        <v>0.669051592544886</v>
      </c>
      <c r="AL3864">
        <v>81.958224026463796</v>
      </c>
      <c r="AM3864">
        <v>83.863581250970199</v>
      </c>
      <c r="AN3864">
        <v>1.00000002600521</v>
      </c>
    </row>
    <row r="3865" spans="1:40" x14ac:dyDescent="0.25">
      <c r="A3865" t="str">
        <f>"20190312173007421"</f>
        <v>20190312173007421</v>
      </c>
      <c r="B3865" t="str">
        <f>"1552383007411033"</f>
        <v>1552383007411033</v>
      </c>
      <c r="C3865" t="s">
        <v>40</v>
      </c>
      <c r="D3865">
        <v>3.7867679999999999</v>
      </c>
      <c r="E3865">
        <v>0.52638200000000002</v>
      </c>
      <c r="F3865" t="s">
        <v>41</v>
      </c>
      <c r="G3865">
        <v>-194.197</v>
      </c>
      <c r="H3865" s="1">
        <v>-4.2993480000000001E-6</v>
      </c>
      <c r="I3865">
        <v>166.54320000000001</v>
      </c>
      <c r="J3865">
        <v>-191.45660000000001</v>
      </c>
      <c r="K3865">
        <v>1.1120460000000001</v>
      </c>
      <c r="L3865">
        <v>180.62430000000001</v>
      </c>
      <c r="M3865">
        <v>-1.89766E-2</v>
      </c>
      <c r="N3865">
        <v>0</v>
      </c>
      <c r="O3865">
        <v>-0.99975979999999998</v>
      </c>
      <c r="P3865">
        <v>-0.13127429999999901</v>
      </c>
      <c r="Q3865">
        <v>0.1282499</v>
      </c>
      <c r="R3865">
        <v>-0.98301539999999998</v>
      </c>
      <c r="S3865">
        <v>-0.57809449999999996</v>
      </c>
      <c r="T3865">
        <v>-0.23444039999999999</v>
      </c>
      <c r="U3865">
        <v>-3.0061490000000002</v>
      </c>
      <c r="V3865">
        <v>0.11179559999999999</v>
      </c>
      <c r="W3865">
        <v>0.13969679999999901</v>
      </c>
      <c r="X3865">
        <v>0.98386309999999999</v>
      </c>
      <c r="Y3865">
        <v>0.16962099999999999</v>
      </c>
      <c r="Z3865">
        <v>7.6470430000000006E-2</v>
      </c>
      <c r="AA3865">
        <v>0.98253800000000002</v>
      </c>
      <c r="AB3865">
        <v>30</v>
      </c>
      <c r="AC3865">
        <v>-2.74039999999999</v>
      </c>
      <c r="AD3865">
        <v>-1.1120502993479999</v>
      </c>
      <c r="AE3865">
        <v>-14.0810999999999</v>
      </c>
      <c r="AF3865">
        <v>2.4579084677441898</v>
      </c>
      <c r="AG3865">
        <v>-1.1120502993479999</v>
      </c>
      <c r="AH3865">
        <v>14.046161786940401</v>
      </c>
      <c r="AI3865">
        <v>94.459250076581796</v>
      </c>
      <c r="AJ3865">
        <v>80.074426723325502</v>
      </c>
      <c r="AK3865">
        <v>14.302888898715301</v>
      </c>
      <c r="AL3865">
        <v>81.969698452865799</v>
      </c>
      <c r="AM3865">
        <v>83.517330196447205</v>
      </c>
      <c r="AN3865">
        <v>1.0000000258256001</v>
      </c>
    </row>
    <row r="3866" spans="1:40" x14ac:dyDescent="0.25">
      <c r="A3866" t="str">
        <f>"20190312173007434"</f>
        <v>20190312173007434</v>
      </c>
      <c r="B3866" t="str">
        <f>"1552383007431529"</f>
        <v>1552383007431529</v>
      </c>
      <c r="C3866" t="s">
        <v>40</v>
      </c>
      <c r="D3866">
        <v>3.8040029999999998</v>
      </c>
      <c r="E3866">
        <v>0.52759669999999903</v>
      </c>
      <c r="F3866" t="s">
        <v>41</v>
      </c>
      <c r="G3866">
        <v>-194.28039999999999</v>
      </c>
      <c r="H3866" s="1">
        <v>-4.2941969999999996E-6</v>
      </c>
      <c r="I3866">
        <v>166.4913</v>
      </c>
      <c r="J3866">
        <v>-191.45830000000001</v>
      </c>
      <c r="K3866">
        <v>1.1119270000000001</v>
      </c>
      <c r="L3866">
        <v>180.46019999999999</v>
      </c>
      <c r="M3866">
        <v>-1.767734E-2</v>
      </c>
      <c r="N3866">
        <v>0</v>
      </c>
      <c r="O3866">
        <v>-0.99978359999999999</v>
      </c>
      <c r="P3866">
        <v>-0.13602349999999999</v>
      </c>
      <c r="Q3866">
        <v>0.1278466</v>
      </c>
      <c r="R3866">
        <v>-0.98242209999999996</v>
      </c>
      <c r="S3866">
        <v>-0.59989930000000002</v>
      </c>
      <c r="T3866">
        <v>-0.2362543</v>
      </c>
      <c r="U3866">
        <v>-3.002548</v>
      </c>
      <c r="V3866">
        <v>0.11787889999999999</v>
      </c>
      <c r="W3866">
        <v>0.13929540000000001</v>
      </c>
      <c r="X3866">
        <v>0.98320969999999996</v>
      </c>
      <c r="Y3866">
        <v>0.1779761</v>
      </c>
      <c r="Z3866">
        <v>7.7041159999999997E-2</v>
      </c>
      <c r="AA3866">
        <v>0.98101439999999995</v>
      </c>
      <c r="AB3866">
        <v>30</v>
      </c>
      <c r="AC3866">
        <v>-2.8220999999999701</v>
      </c>
      <c r="AD3866">
        <v>-1.1119312941969901</v>
      </c>
      <c r="AE3866">
        <v>-13.9688999999999</v>
      </c>
      <c r="AF3866">
        <v>2.5591317368469002</v>
      </c>
      <c r="AG3866">
        <v>-1.1119312941969901</v>
      </c>
      <c r="AH3866">
        <v>13.9317937339257</v>
      </c>
      <c r="AI3866">
        <v>94.488464331128199</v>
      </c>
      <c r="AJ3866">
        <v>79.591370293955706</v>
      </c>
      <c r="AK3866">
        <v>14.208463079946499</v>
      </c>
      <c r="AL3866">
        <v>81.992923685334503</v>
      </c>
      <c r="AM3866">
        <v>83.163331211766106</v>
      </c>
      <c r="AN3866">
        <v>0.99999997885022895</v>
      </c>
    </row>
    <row r="3867" spans="1:40" x14ac:dyDescent="0.25">
      <c r="A3867" t="str">
        <f>"20190312173007446"</f>
        <v>20190312173007446</v>
      </c>
      <c r="B3867" t="str">
        <f>"1552383007441288"</f>
        <v>1552383007441288</v>
      </c>
      <c r="C3867" t="s">
        <v>40</v>
      </c>
      <c r="D3867">
        <v>3.7882069999999999</v>
      </c>
      <c r="E3867">
        <v>0.52802320000000003</v>
      </c>
      <c r="F3867" t="s">
        <v>41</v>
      </c>
      <c r="G3867">
        <v>-194.3519</v>
      </c>
      <c r="H3867" s="1">
        <v>-4.3308040000000002E-6</v>
      </c>
      <c r="I3867">
        <v>166.55350000000001</v>
      </c>
      <c r="J3867">
        <v>-191.46</v>
      </c>
      <c r="K3867">
        <v>1.111799</v>
      </c>
      <c r="L3867">
        <v>180.29570000000001</v>
      </c>
      <c r="M3867">
        <v>-1.6429760000000002E-2</v>
      </c>
      <c r="N3867">
        <v>0</v>
      </c>
      <c r="O3867">
        <v>-0.99980480000000005</v>
      </c>
      <c r="P3867">
        <v>-0.1407388</v>
      </c>
      <c r="Q3867">
        <v>0.12756529999999999</v>
      </c>
      <c r="R3867">
        <v>-0.98179450000000001</v>
      </c>
      <c r="S3867">
        <v>-0.62390140000000005</v>
      </c>
      <c r="T3867">
        <v>-0.23974760000000001</v>
      </c>
      <c r="U3867">
        <v>-2.9984739999999999</v>
      </c>
      <c r="V3867">
        <v>0.123876399999999</v>
      </c>
      <c r="W3867">
        <v>0.1390121</v>
      </c>
      <c r="X3867">
        <v>0.98251219999999995</v>
      </c>
      <c r="Y3867">
        <v>0.18697349999999999</v>
      </c>
      <c r="Z3867">
        <v>7.8151860000000004E-2</v>
      </c>
      <c r="AA3867">
        <v>0.97925130000000005</v>
      </c>
      <c r="AB3867">
        <v>30</v>
      </c>
      <c r="AC3867">
        <v>-2.8918999999999899</v>
      </c>
      <c r="AD3867">
        <v>-1.1118033308040001</v>
      </c>
      <c r="AE3867">
        <v>-13.742199999999899</v>
      </c>
      <c r="AF3867">
        <v>2.6491105147842902</v>
      </c>
      <c r="AG3867">
        <v>-1.1118033308040001</v>
      </c>
      <c r="AH3867">
        <v>13.701977864704601</v>
      </c>
      <c r="AI3867">
        <v>94.554935572857005</v>
      </c>
      <c r="AJ3867">
        <v>79.057566848057306</v>
      </c>
      <c r="AK3867">
        <v>13.999931805933301</v>
      </c>
      <c r="AL3867">
        <v>82.009315022501795</v>
      </c>
      <c r="AM3867">
        <v>82.813991888581697</v>
      </c>
      <c r="AN3867">
        <v>0.99999997478610403</v>
      </c>
    </row>
    <row r="3868" spans="1:40" x14ac:dyDescent="0.25">
      <c r="A3868" t="str">
        <f>"20190312173007464"</f>
        <v>20190312173007464</v>
      </c>
      <c r="B3868" t="str">
        <f>"1552383007451048"</f>
        <v>1552383007451048</v>
      </c>
      <c r="C3868" t="s">
        <v>40</v>
      </c>
      <c r="D3868">
        <v>3.7812999999999999</v>
      </c>
      <c r="E3868">
        <v>0.52828249999999999</v>
      </c>
      <c r="F3868" t="s">
        <v>41</v>
      </c>
      <c r="G3868">
        <v>-194.41589999999999</v>
      </c>
      <c r="H3868" s="1">
        <v>-4.3230919999999999E-6</v>
      </c>
      <c r="I3868">
        <v>166.50389999999999</v>
      </c>
      <c r="J3868">
        <v>-191.4622</v>
      </c>
      <c r="K3868">
        <v>1.1116140000000001</v>
      </c>
      <c r="L3868">
        <v>180.0574</v>
      </c>
      <c r="M3868">
        <v>-1.4803190000000001E-2</v>
      </c>
      <c r="N3868">
        <v>0</v>
      </c>
      <c r="O3868">
        <v>-0.99982979999999999</v>
      </c>
      <c r="P3868">
        <v>-0.1504712</v>
      </c>
      <c r="Q3868">
        <v>0.12686220000000001</v>
      </c>
      <c r="R3868">
        <v>-0.98044120000000001</v>
      </c>
      <c r="S3868">
        <v>-0.64189149999999995</v>
      </c>
      <c r="T3868">
        <v>-0.24143609999999999</v>
      </c>
      <c r="U3868">
        <v>-2.99498</v>
      </c>
      <c r="V3868">
        <v>0.1352961</v>
      </c>
      <c r="W3868">
        <v>0.1383085</v>
      </c>
      <c r="X3868">
        <v>0.98110430000000004</v>
      </c>
      <c r="Y3868">
        <v>0.1944157</v>
      </c>
      <c r="Z3868">
        <v>7.8685619999999998E-2</v>
      </c>
      <c r="AA3868">
        <v>0.97775820000000002</v>
      </c>
      <c r="AB3868">
        <v>30</v>
      </c>
      <c r="AC3868">
        <v>-2.9536999999999898</v>
      </c>
      <c r="AD3868">
        <v>-1.11161832309199</v>
      </c>
      <c r="AE3868">
        <v>-13.5535</v>
      </c>
      <c r="AF3868">
        <v>2.73516441404476</v>
      </c>
      <c r="AG3868">
        <v>-1.11161832309199</v>
      </c>
      <c r="AH3868">
        <v>13.508989412820499</v>
      </c>
      <c r="AI3868">
        <v>94.610970577519595</v>
      </c>
      <c r="AJ3868">
        <v>78.554057650662102</v>
      </c>
      <c r="AK3868">
        <v>13.827856472490099</v>
      </c>
      <c r="AL3868">
        <v>82.050021454934395</v>
      </c>
      <c r="AM3868">
        <v>82.148327519689801</v>
      </c>
      <c r="AN3868">
        <v>0.999999961662974</v>
      </c>
    </row>
    <row r="3869" spans="1:40" x14ac:dyDescent="0.25">
      <c r="A3869" t="str">
        <f>"20190312173007476"</f>
        <v>20190312173007476</v>
      </c>
      <c r="B3869" t="str">
        <f>"1552383007471545"</f>
        <v>1552383007471545</v>
      </c>
      <c r="C3869" t="s">
        <v>40</v>
      </c>
      <c r="D3869">
        <v>3.7307009999999998</v>
      </c>
      <c r="E3869">
        <v>0.52881540000000005</v>
      </c>
      <c r="F3869" t="s">
        <v>41</v>
      </c>
      <c r="G3869">
        <v>-194.52799999999999</v>
      </c>
      <c r="H3869" s="1">
        <v>-4.3255499999999996E-6</v>
      </c>
      <c r="I3869">
        <v>166.45849999999999</v>
      </c>
      <c r="J3869">
        <v>-191.46350000000001</v>
      </c>
      <c r="K3869">
        <v>1.111483</v>
      </c>
      <c r="L3869">
        <v>179.8886</v>
      </c>
      <c r="M3869">
        <v>-1.379001E-2</v>
      </c>
      <c r="N3869">
        <v>0</v>
      </c>
      <c r="O3869">
        <v>-0.99984430000000002</v>
      </c>
      <c r="P3869">
        <v>-0.15494559999999999</v>
      </c>
      <c r="Q3869">
        <v>0.12645809999999999</v>
      </c>
      <c r="R3869">
        <v>-0.97979620000000001</v>
      </c>
      <c r="S3869">
        <v>-0.67366029999999999</v>
      </c>
      <c r="T3869">
        <v>-0.24425279999999999</v>
      </c>
      <c r="U3869">
        <v>-2.9880520000000002</v>
      </c>
      <c r="V3869">
        <v>0.140822</v>
      </c>
      <c r="W3869">
        <v>0.13788909999999999</v>
      </c>
      <c r="X3869">
        <v>0.98038550000000002</v>
      </c>
      <c r="Y3869">
        <v>0.20575969999999999</v>
      </c>
      <c r="Z3869">
        <v>7.9596020000000003E-2</v>
      </c>
      <c r="AA3869">
        <v>0.97536020000000001</v>
      </c>
      <c r="AB3869">
        <v>30</v>
      </c>
      <c r="AC3869">
        <v>-3.0644999999999798</v>
      </c>
      <c r="AD3869">
        <v>-1.11148732555</v>
      </c>
      <c r="AE3869">
        <v>-13.430099999999999</v>
      </c>
      <c r="AF3869">
        <v>2.8603739732659998</v>
      </c>
      <c r="AG3869">
        <v>-1.11148732555</v>
      </c>
      <c r="AH3869">
        <v>13.3839500889113</v>
      </c>
      <c r="AI3869">
        <v>94.642933249510406</v>
      </c>
      <c r="AJ3869">
        <v>77.936416018836297</v>
      </c>
      <c r="AK3869">
        <v>13.731251338616699</v>
      </c>
      <c r="AL3869">
        <v>82.074283955395003</v>
      </c>
      <c r="AM3869">
        <v>81.825977972578201</v>
      </c>
      <c r="AN3869">
        <v>0.99999998409652902</v>
      </c>
    </row>
    <row r="3870" spans="1:40" x14ac:dyDescent="0.25">
      <c r="A3870" t="str">
        <f>"20190312173007489"</f>
        <v>20190312173007489</v>
      </c>
      <c r="B3870" t="str">
        <f>"1552383007481305"</f>
        <v>1552383007481305</v>
      </c>
      <c r="C3870" t="s">
        <v>40</v>
      </c>
      <c r="D3870">
        <v>3.7723879999999999</v>
      </c>
      <c r="E3870">
        <v>0.52879259999999995</v>
      </c>
      <c r="F3870" t="s">
        <v>41</v>
      </c>
      <c r="G3870">
        <v>-194.59739999999999</v>
      </c>
      <c r="H3870" s="1">
        <v>-4.3005849999999998E-6</v>
      </c>
      <c r="I3870">
        <v>166.36150000000001</v>
      </c>
      <c r="J3870">
        <v>-191.4648</v>
      </c>
      <c r="K3870">
        <v>1.111356</v>
      </c>
      <c r="L3870">
        <v>179.7243</v>
      </c>
      <c r="M3870">
        <v>-1.285938E-2</v>
      </c>
      <c r="N3870">
        <v>0</v>
      </c>
      <c r="O3870">
        <v>-0.99985650000000004</v>
      </c>
      <c r="P3870">
        <v>-0.15945500000000001</v>
      </c>
      <c r="Q3870">
        <v>0.12634300000000001</v>
      </c>
      <c r="R3870">
        <v>-0.97908720000000005</v>
      </c>
      <c r="S3870">
        <v>-0.69134519999999899</v>
      </c>
      <c r="T3870">
        <v>-0.24520130000000001</v>
      </c>
      <c r="U3870">
        <v>-2.9841769999999999</v>
      </c>
      <c r="V3870">
        <v>0.14629719999999999</v>
      </c>
      <c r="W3870">
        <v>0.1377573</v>
      </c>
      <c r="X3870">
        <v>0.97960199999999997</v>
      </c>
      <c r="Y3870">
        <v>0.2124248</v>
      </c>
      <c r="Z3870">
        <v>7.9895759999999996E-2</v>
      </c>
      <c r="AA3870">
        <v>0.97390569999999999</v>
      </c>
      <c r="AB3870">
        <v>30</v>
      </c>
      <c r="AC3870">
        <v>-3.1325999999999898</v>
      </c>
      <c r="AD3870">
        <v>-1.1113603005849999</v>
      </c>
      <c r="AE3870">
        <v>-13.362799999999901</v>
      </c>
      <c r="AF3870">
        <v>2.9412087665516302</v>
      </c>
      <c r="AG3870">
        <v>-1.1113603005849999</v>
      </c>
      <c r="AH3870">
        <v>13.314681302696799</v>
      </c>
      <c r="AI3870">
        <v>94.659530803978598</v>
      </c>
      <c r="AJ3870">
        <v>77.543422933548101</v>
      </c>
      <c r="AK3870">
        <v>13.680883338386501</v>
      </c>
      <c r="AL3870">
        <v>82.081908517265006</v>
      </c>
      <c r="AM3870">
        <v>81.506024402095903</v>
      </c>
      <c r="AN3870">
        <v>1.00000001141756</v>
      </c>
    </row>
    <row r="3871" spans="1:40" x14ac:dyDescent="0.25">
      <c r="A3871" t="str">
        <f>"20190312173007509"</f>
        <v>20190312173007509</v>
      </c>
      <c r="B3871" t="str">
        <f>"1552383007501804"</f>
        <v>1552383007501804</v>
      </c>
      <c r="C3871" t="s">
        <v>40</v>
      </c>
      <c r="D3871">
        <v>3.7498670000000001</v>
      </c>
      <c r="E3871">
        <v>0.5285301</v>
      </c>
      <c r="F3871" t="s">
        <v>41</v>
      </c>
      <c r="G3871">
        <v>-194.6464</v>
      </c>
      <c r="H3871" s="1">
        <v>-4.2754029999999996E-6</v>
      </c>
      <c r="I3871">
        <v>166.27330000000001</v>
      </c>
      <c r="J3871">
        <v>-191.46680000000001</v>
      </c>
      <c r="K3871">
        <v>1.1111489999999999</v>
      </c>
      <c r="L3871">
        <v>179.44829999999999</v>
      </c>
      <c r="M3871">
        <v>-1.146701E-2</v>
      </c>
      <c r="N3871">
        <v>0</v>
      </c>
      <c r="O3871">
        <v>-0.99987320000000002</v>
      </c>
      <c r="P3871">
        <v>-0.16811419999999999</v>
      </c>
      <c r="Q3871">
        <v>0.12524830000000001</v>
      </c>
      <c r="R3871">
        <v>-0.9777787</v>
      </c>
      <c r="S3871">
        <v>-0.70510859999999997</v>
      </c>
      <c r="T3871">
        <v>-0.24630150000000001</v>
      </c>
      <c r="U3871">
        <v>-2.9810490000000001</v>
      </c>
      <c r="V3871">
        <v>0.156408299999999</v>
      </c>
      <c r="W3871">
        <v>0.13663599999999901</v>
      </c>
      <c r="X3871">
        <v>0.97819579999999995</v>
      </c>
      <c r="Y3871">
        <v>0.2182624</v>
      </c>
      <c r="Z3871">
        <v>8.0241699999999902E-2</v>
      </c>
      <c r="AA3871">
        <v>0.97258560000000005</v>
      </c>
      <c r="AB3871">
        <v>30</v>
      </c>
      <c r="AC3871">
        <v>-3.17959999999999</v>
      </c>
      <c r="AD3871">
        <v>-1.111153275403</v>
      </c>
      <c r="AE3871">
        <v>-13.174999999999899</v>
      </c>
      <c r="AF3871">
        <v>3.0080852247430401</v>
      </c>
      <c r="AG3871">
        <v>-1.111153275403</v>
      </c>
      <c r="AH3871">
        <v>13.1223952094764</v>
      </c>
      <c r="AI3871">
        <v>94.718232493465393</v>
      </c>
      <c r="AJ3871">
        <v>77.088983703353506</v>
      </c>
      <c r="AK3871">
        <v>13.508534130483801</v>
      </c>
      <c r="AL3871">
        <v>82.146767410895905</v>
      </c>
      <c r="AM3871">
        <v>80.915607195237598</v>
      </c>
      <c r="AN3871">
        <v>0.99999998797126399</v>
      </c>
    </row>
    <row r="3872" spans="1:40" x14ac:dyDescent="0.25">
      <c r="A3872" t="str">
        <f>"20190312173007532"</f>
        <v>20190312173007532</v>
      </c>
      <c r="B3872" t="str">
        <f>"1552383007521330"</f>
        <v>1552383007521330</v>
      </c>
      <c r="C3872" t="s">
        <v>40</v>
      </c>
      <c r="D3872">
        <v>3.7283379999999999</v>
      </c>
      <c r="E3872">
        <v>0.52805349999999995</v>
      </c>
      <c r="F3872" t="s">
        <v>41</v>
      </c>
      <c r="G3872">
        <v>-194.6979</v>
      </c>
      <c r="H3872" s="1">
        <v>-4.2815070000000004E-6</v>
      </c>
      <c r="I3872">
        <v>166.2654</v>
      </c>
      <c r="J3872">
        <v>-191.46879999999999</v>
      </c>
      <c r="K3872">
        <v>1.110948</v>
      </c>
      <c r="L3872">
        <v>179.1454</v>
      </c>
      <c r="M3872">
        <v>-1.017592E-2</v>
      </c>
      <c r="N3872">
        <v>0</v>
      </c>
      <c r="O3872">
        <v>-0.99988679999999996</v>
      </c>
      <c r="P3872">
        <v>-0.1762639</v>
      </c>
      <c r="Q3872">
        <v>0.1239982</v>
      </c>
      <c r="R3872">
        <v>-0.97650179999999998</v>
      </c>
      <c r="S3872">
        <v>-0.72915649999999999</v>
      </c>
      <c r="T3872">
        <v>-0.25074980000000002</v>
      </c>
      <c r="U3872">
        <v>-2.974945</v>
      </c>
      <c r="V3872">
        <v>0.16590639999999901</v>
      </c>
      <c r="W3872">
        <v>0.13534959999999999</v>
      </c>
      <c r="X3872">
        <v>0.97680880000000003</v>
      </c>
      <c r="Y3872">
        <v>0.2273617</v>
      </c>
      <c r="Z3872">
        <v>8.1682790000000005E-2</v>
      </c>
      <c r="AA3872">
        <v>0.97037859999999998</v>
      </c>
      <c r="AB3872">
        <v>30</v>
      </c>
      <c r="AC3872">
        <v>-3.2291000000000101</v>
      </c>
      <c r="AD3872">
        <v>-1.1109522815070001</v>
      </c>
      <c r="AE3872">
        <v>-12.8799999999999</v>
      </c>
      <c r="AF3872">
        <v>3.0763252309098301</v>
      </c>
      <c r="AG3872">
        <v>-1.1109522815070001</v>
      </c>
      <c r="AH3872">
        <v>12.822439624228601</v>
      </c>
      <c r="AI3872">
        <v>94.815821577540902</v>
      </c>
      <c r="AJ3872">
        <v>76.508746520973105</v>
      </c>
      <c r="AK3872">
        <v>13.2330249684306</v>
      </c>
      <c r="AL3872">
        <v>82.221163486790999</v>
      </c>
      <c r="AM3872">
        <v>80.360568666010394</v>
      </c>
      <c r="AN3872">
        <v>0.99999993976927803</v>
      </c>
    </row>
    <row r="3873" spans="1:40" x14ac:dyDescent="0.25">
      <c r="A3873" t="str">
        <f>"20190312173007543"</f>
        <v>20190312173007543</v>
      </c>
      <c r="B3873" t="str">
        <f>"1552383007541817"</f>
        <v>1552383007541817</v>
      </c>
      <c r="C3873" t="s">
        <v>40</v>
      </c>
      <c r="D3873">
        <v>3.7129240000000001</v>
      </c>
      <c r="E3873">
        <v>0.52749399999999902</v>
      </c>
      <c r="F3873" t="s">
        <v>41</v>
      </c>
      <c r="G3873">
        <v>-194.7303</v>
      </c>
      <c r="H3873" s="1">
        <v>-4.2727349999999997E-6</v>
      </c>
      <c r="I3873">
        <v>166.2276</v>
      </c>
      <c r="J3873">
        <v>-191.46969999999999</v>
      </c>
      <c r="K3873">
        <v>1.1108469999999999</v>
      </c>
      <c r="L3873">
        <v>178.9845</v>
      </c>
      <c r="M3873">
        <v>-9.5596329999999997E-3</v>
      </c>
      <c r="N3873">
        <v>0</v>
      </c>
      <c r="O3873">
        <v>-0.99989300000000003</v>
      </c>
      <c r="P3873">
        <v>-0.18022379999999999</v>
      </c>
      <c r="Q3873">
        <v>0.1234847</v>
      </c>
      <c r="R3873">
        <v>-0.97584439999999995</v>
      </c>
      <c r="S3873">
        <v>-0.74969479999999999</v>
      </c>
      <c r="T3873">
        <v>-0.25536429999999999</v>
      </c>
      <c r="U3873">
        <v>-2.9692989999999999</v>
      </c>
      <c r="V3873">
        <v>0.17050969999999999</v>
      </c>
      <c r="W3873">
        <v>0.13481389999999999</v>
      </c>
      <c r="X3873">
        <v>0.97609000000000001</v>
      </c>
      <c r="Y3873">
        <v>0.2346714</v>
      </c>
      <c r="Z3873">
        <v>8.3187360000000002E-2</v>
      </c>
      <c r="AA3873">
        <v>0.96850879999999995</v>
      </c>
      <c r="AB3873">
        <v>30</v>
      </c>
      <c r="AC3873">
        <v>-3.2606000000000099</v>
      </c>
      <c r="AD3873">
        <v>-1.110851272735</v>
      </c>
      <c r="AE3873">
        <v>-12.7569</v>
      </c>
      <c r="AF3873">
        <v>3.1163113557320599</v>
      </c>
      <c r="AG3873">
        <v>-1.110851272735</v>
      </c>
      <c r="AH3873">
        <v>12.697115182637001</v>
      </c>
      <c r="AI3873">
        <v>94.856573041885497</v>
      </c>
      <c r="AJ3873">
        <v>76.210211088468199</v>
      </c>
      <c r="AK3873">
        <v>13.1210563971485</v>
      </c>
      <c r="AL3873">
        <v>82.252141361909196</v>
      </c>
      <c r="AM3873">
        <v>80.091186508267896</v>
      </c>
      <c r="AN3873">
        <v>1.00000001676364</v>
      </c>
    </row>
    <row r="3874" spans="1:40" x14ac:dyDescent="0.25">
      <c r="A3874" t="str">
        <f>"20190312173007555"</f>
        <v>20190312173007555</v>
      </c>
      <c r="B3874" t="str">
        <f>"1552383007551578"</f>
        <v>1552383007551578</v>
      </c>
      <c r="C3874" t="s">
        <v>40</v>
      </c>
      <c r="D3874">
        <v>3.7129310000000002</v>
      </c>
      <c r="E3874">
        <v>0.52715249999999902</v>
      </c>
      <c r="F3874" t="s">
        <v>41</v>
      </c>
      <c r="G3874">
        <v>-194.72929999999999</v>
      </c>
      <c r="H3874" s="1">
        <v>-4.2622459999999996E-6</v>
      </c>
      <c r="I3874">
        <v>166.20070000000001</v>
      </c>
      <c r="J3874">
        <v>-191.47069999999999</v>
      </c>
      <c r="K3874">
        <v>1.110752</v>
      </c>
      <c r="L3874">
        <v>178.8193</v>
      </c>
      <c r="M3874">
        <v>-9.0246409999999999E-3</v>
      </c>
      <c r="N3874">
        <v>0</v>
      </c>
      <c r="O3874">
        <v>-0.99989740000000005</v>
      </c>
      <c r="P3874">
        <v>-0.1843051</v>
      </c>
      <c r="Q3874">
        <v>0.12292649999999999</v>
      </c>
      <c r="R3874">
        <v>-0.97515189999999996</v>
      </c>
      <c r="S3874">
        <v>-0.75656129999999999</v>
      </c>
      <c r="T3874">
        <v>-0.25783119999999998</v>
      </c>
      <c r="U3874">
        <v>-2.9671630000000002</v>
      </c>
      <c r="V3874">
        <v>0.17515229999999901</v>
      </c>
      <c r="W3874">
        <v>0.13423360000000001</v>
      </c>
      <c r="X3874">
        <v>0.97534759999999998</v>
      </c>
      <c r="Y3874">
        <v>0.23744480000000001</v>
      </c>
      <c r="Z3874">
        <v>8.3991930000000006E-2</v>
      </c>
      <c r="AA3874">
        <v>0.96776309999999999</v>
      </c>
      <c r="AB3874">
        <v>30</v>
      </c>
      <c r="AC3874">
        <v>-3.2585999999999999</v>
      </c>
      <c r="AD3874">
        <v>-1.1107562622460001</v>
      </c>
      <c r="AE3874">
        <v>-12.618599999999899</v>
      </c>
      <c r="AF3874">
        <v>3.1219042621981701</v>
      </c>
      <c r="AG3874">
        <v>-1.1107562622460001</v>
      </c>
      <c r="AH3874">
        <v>12.5562862088786</v>
      </c>
      <c r="AI3874">
        <v>94.906723479974204</v>
      </c>
      <c r="AJ3874">
        <v>76.037508519280806</v>
      </c>
      <c r="AK3874">
        <v>12.986161444234501</v>
      </c>
      <c r="AL3874">
        <v>82.285694685714304</v>
      </c>
      <c r="AM3874">
        <v>79.819372396943905</v>
      </c>
      <c r="AN3874">
        <v>0.99999996419500403</v>
      </c>
    </row>
    <row r="3875" spans="1:40" x14ac:dyDescent="0.25">
      <c r="A3875" t="str">
        <f>"20190312173007569"</f>
        <v>20190312173007569</v>
      </c>
      <c r="B3875" t="str">
        <f>"1552383007561336"</f>
        <v>1552383007561336</v>
      </c>
      <c r="C3875" t="s">
        <v>40</v>
      </c>
      <c r="D3875">
        <v>3.678401</v>
      </c>
      <c r="E3875">
        <v>0.52685029999999999</v>
      </c>
      <c r="F3875" t="s">
        <v>41</v>
      </c>
      <c r="G3875">
        <v>-194.74270000000001</v>
      </c>
      <c r="H3875" s="1">
        <v>-4.2457400000000001E-6</v>
      </c>
      <c r="I3875">
        <v>166.1515</v>
      </c>
      <c r="J3875">
        <v>-191.4717</v>
      </c>
      <c r="K3875">
        <v>1.110654</v>
      </c>
      <c r="L3875">
        <v>178.64869999999999</v>
      </c>
      <c r="M3875">
        <v>-8.5102519999999994E-3</v>
      </c>
      <c r="N3875">
        <v>0</v>
      </c>
      <c r="O3875">
        <v>-0.99990179999999995</v>
      </c>
      <c r="P3875">
        <v>-0.18847649999999999</v>
      </c>
      <c r="Q3875">
        <v>0.1224348</v>
      </c>
      <c r="R3875">
        <v>-0.97441580000000005</v>
      </c>
      <c r="S3875">
        <v>-0.76571659999999997</v>
      </c>
      <c r="T3875">
        <v>-0.25993650000000001</v>
      </c>
      <c r="U3875">
        <v>-2.964493</v>
      </c>
      <c r="V3875">
        <v>0.17986429999999901</v>
      </c>
      <c r="W3875">
        <v>0.13371620000000001</v>
      </c>
      <c r="X3875">
        <v>0.9745608</v>
      </c>
      <c r="Y3875">
        <v>0.24094090000000001</v>
      </c>
      <c r="Z3875">
        <v>8.4677820000000001E-2</v>
      </c>
      <c r="AA3875">
        <v>0.96683869999999905</v>
      </c>
      <c r="AB3875">
        <v>30</v>
      </c>
      <c r="AC3875">
        <v>-3.2710000000000101</v>
      </c>
      <c r="AD3875">
        <v>-1.11065824574</v>
      </c>
      <c r="AE3875">
        <v>-12.4971999999999</v>
      </c>
      <c r="AF3875">
        <v>3.1413003367543899</v>
      </c>
      <c r="AG3875">
        <v>-1.11065824574</v>
      </c>
      <c r="AH3875">
        <v>12.432684570648901</v>
      </c>
      <c r="AI3875">
        <v>94.950142049929795</v>
      </c>
      <c r="AJ3875">
        <v>75.820152534568905</v>
      </c>
      <c r="AK3875">
        <v>12.8714014457546</v>
      </c>
      <c r="AL3875">
        <v>82.315609261624502</v>
      </c>
      <c r="AM3875">
        <v>79.543196109641798</v>
      </c>
      <c r="AN3875">
        <v>0.99999997072678404</v>
      </c>
    </row>
    <row r="3876" spans="1:40" x14ac:dyDescent="0.25">
      <c r="A3876" t="str">
        <f>"20190312173007582"</f>
        <v>20190312173007582</v>
      </c>
      <c r="B3876" t="str">
        <f>"1552383007571096"</f>
        <v>1552383007571096</v>
      </c>
      <c r="C3876" t="s">
        <v>40</v>
      </c>
      <c r="D3876">
        <v>3.6563840000000001</v>
      </c>
      <c r="E3876">
        <v>0.52652650000000001</v>
      </c>
      <c r="F3876" t="s">
        <v>41</v>
      </c>
      <c r="G3876">
        <v>-194.76560000000001</v>
      </c>
      <c r="H3876" s="1">
        <v>-4.217228E-6</v>
      </c>
      <c r="I3876">
        <v>166.0667</v>
      </c>
      <c r="J3876">
        <v>-191.4727</v>
      </c>
      <c r="K3876">
        <v>1.11054599999999</v>
      </c>
      <c r="L3876">
        <v>178.44799999999901</v>
      </c>
      <c r="M3876">
        <v>-7.9723269999999995E-3</v>
      </c>
      <c r="N3876">
        <v>0</v>
      </c>
      <c r="O3876">
        <v>-0.99990619999999997</v>
      </c>
      <c r="P3876">
        <v>-0.19240879999999999</v>
      </c>
      <c r="Q3876">
        <v>0.12169580000000001</v>
      </c>
      <c r="R3876">
        <v>-0.97373980000000004</v>
      </c>
      <c r="S3876">
        <v>-0.7753601</v>
      </c>
      <c r="T3876">
        <v>-0.26143630000000001</v>
      </c>
      <c r="U3876">
        <v>-2.9616699999999998</v>
      </c>
      <c r="V3876">
        <v>0.18436330000000001</v>
      </c>
      <c r="W3876">
        <v>0.13294589999999901</v>
      </c>
      <c r="X3876">
        <v>0.97382519999999995</v>
      </c>
      <c r="Y3876">
        <v>0.24462229999999999</v>
      </c>
      <c r="Z3876">
        <v>8.5167409999999999E-2</v>
      </c>
      <c r="AA3876">
        <v>0.96587080000000003</v>
      </c>
      <c r="AB3876">
        <v>30</v>
      </c>
      <c r="AC3876">
        <v>-3.2928999999999999</v>
      </c>
      <c r="AD3876">
        <v>-1.11055021722799</v>
      </c>
      <c r="AE3876">
        <v>-12.3812999999999</v>
      </c>
      <c r="AF3876">
        <v>3.17026058154612</v>
      </c>
      <c r="AG3876">
        <v>-1.11055021722799</v>
      </c>
      <c r="AH3876">
        <v>12.314629894208499</v>
      </c>
      <c r="AI3876">
        <v>94.991193635534998</v>
      </c>
      <c r="AJ3876">
        <v>75.563336303725293</v>
      </c>
      <c r="AK3876">
        <v>12.7645596622533</v>
      </c>
      <c r="AL3876">
        <v>82.360141876305903</v>
      </c>
      <c r="AM3876">
        <v>79.279714328468202</v>
      </c>
      <c r="AN3876">
        <v>0.99999997943436902</v>
      </c>
    </row>
    <row r="3877" spans="1:40" x14ac:dyDescent="0.25">
      <c r="A3877" t="str">
        <f>"20190312173007599"</f>
        <v>20190312173007599</v>
      </c>
      <c r="B3877" t="str">
        <f>"1552383007591592"</f>
        <v>1552383007591592</v>
      </c>
      <c r="C3877" t="s">
        <v>40</v>
      </c>
      <c r="D3877">
        <v>3.6143689999999999</v>
      </c>
      <c r="E3877">
        <v>0.52591259999999995</v>
      </c>
      <c r="F3877" t="s">
        <v>41</v>
      </c>
      <c r="G3877">
        <v>-194.7747</v>
      </c>
      <c r="H3877" s="1">
        <v>-4.1887469999999996E-6</v>
      </c>
      <c r="I3877">
        <v>165.98830000000001</v>
      </c>
      <c r="J3877">
        <v>-191.47389999999999</v>
      </c>
      <c r="K3877">
        <v>1.110425</v>
      </c>
      <c r="L3877">
        <v>178.23009999999999</v>
      </c>
      <c r="M3877">
        <v>-7.5033249999999999E-3</v>
      </c>
      <c r="N3877">
        <v>0</v>
      </c>
      <c r="O3877">
        <v>-0.99990970000000001</v>
      </c>
      <c r="P3877">
        <v>-0.20097139999999999</v>
      </c>
      <c r="Q3877">
        <v>0.12012050000000001</v>
      </c>
      <c r="R3877">
        <v>-0.97220459999999997</v>
      </c>
      <c r="S3877">
        <v>-0.78416439999999998</v>
      </c>
      <c r="T3877">
        <v>-0.26373350000000001</v>
      </c>
      <c r="U3877">
        <v>-2.958923</v>
      </c>
      <c r="V3877">
        <v>0.19343399999999999</v>
      </c>
      <c r="W3877">
        <v>0.13133359999999999</v>
      </c>
      <c r="X3877">
        <v>0.97228320000000001</v>
      </c>
      <c r="Y3877">
        <v>0.24796599999999999</v>
      </c>
      <c r="Z3877">
        <v>8.5918209999999995E-2</v>
      </c>
      <c r="AA3877">
        <v>0.96495129999999996</v>
      </c>
      <c r="AB3877">
        <v>30</v>
      </c>
      <c r="AC3877">
        <v>-3.3008000000000002</v>
      </c>
      <c r="AD3877">
        <v>-1.1104291887469999</v>
      </c>
      <c r="AE3877">
        <v>-12.2417999999999</v>
      </c>
      <c r="AF3877">
        <v>3.1844217075836498</v>
      </c>
      <c r="AG3877">
        <v>-1.1104291887469999</v>
      </c>
      <c r="AH3877">
        <v>12.172854493294601</v>
      </c>
      <c r="AI3877">
        <v>95.043399606373399</v>
      </c>
      <c r="AJ3877">
        <v>75.339935684929102</v>
      </c>
      <c r="AK3877">
        <v>12.6313887245177</v>
      </c>
      <c r="AL3877">
        <v>82.453336672795501</v>
      </c>
      <c r="AM3877">
        <v>78.748024672064005</v>
      </c>
      <c r="AN3877">
        <v>0.99999992392359704</v>
      </c>
    </row>
    <row r="3878" spans="1:40" x14ac:dyDescent="0.25">
      <c r="A3878" t="str">
        <f>"20190312173007621"</f>
        <v>20190312173007621</v>
      </c>
      <c r="B3878" t="str">
        <f>"1552383007611113"</f>
        <v>1552383007611113</v>
      </c>
      <c r="C3878" t="s">
        <v>40</v>
      </c>
      <c r="D3878">
        <v>3.6143649999999998</v>
      </c>
      <c r="E3878">
        <v>0.52523409999999904</v>
      </c>
      <c r="F3878" t="s">
        <v>41</v>
      </c>
      <c r="G3878">
        <v>-194.8015</v>
      </c>
      <c r="H3878" s="1">
        <v>-4.2048199999999997E-6</v>
      </c>
      <c r="I3878">
        <v>166.01779999999999</v>
      </c>
      <c r="J3878">
        <v>-191.47550000000001</v>
      </c>
      <c r="K3878">
        <v>1.1102639999999999</v>
      </c>
      <c r="L3878">
        <v>177.93</v>
      </c>
      <c r="M3878">
        <v>-6.990881E-3</v>
      </c>
      <c r="N3878">
        <v>0</v>
      </c>
      <c r="O3878">
        <v>-0.9999131</v>
      </c>
      <c r="P3878">
        <v>-0.20912500000000001</v>
      </c>
      <c r="Q3878">
        <v>0.11877699999999999</v>
      </c>
      <c r="R3878">
        <v>-0.97064890000000004</v>
      </c>
      <c r="S3878">
        <v>-0.80453490000000005</v>
      </c>
      <c r="T3878">
        <v>-0.26847549999999998</v>
      </c>
      <c r="U3878">
        <v>-2.9526370000000002</v>
      </c>
      <c r="V3878">
        <v>0.20214969999999999</v>
      </c>
      <c r="W3878">
        <v>0.12993289999999999</v>
      </c>
      <c r="X3878">
        <v>0.97069720000000004</v>
      </c>
      <c r="Y3878">
        <v>0.25513639999999999</v>
      </c>
      <c r="Z3878">
        <v>8.7470580000000006E-2</v>
      </c>
      <c r="AA3878">
        <v>0.96294049999999998</v>
      </c>
      <c r="AB3878">
        <v>30</v>
      </c>
      <c r="AC3878">
        <v>-3.3259999999999899</v>
      </c>
      <c r="AD3878">
        <v>-1.1102682048200001</v>
      </c>
      <c r="AE3878">
        <v>-11.9122</v>
      </c>
      <c r="AF3878">
        <v>3.21671390649907</v>
      </c>
      <c r="AG3878">
        <v>-1.1102682048200001</v>
      </c>
      <c r="AH3878">
        <v>11.8397479109478</v>
      </c>
      <c r="AI3878">
        <v>95.170852909246193</v>
      </c>
      <c r="AJ3878">
        <v>74.800335315831106</v>
      </c>
      <c r="AK3878">
        <v>12.3190736030633</v>
      </c>
      <c r="AL3878">
        <v>82.534285544482202</v>
      </c>
      <c r="AM3878">
        <v>78.236173577616398</v>
      </c>
      <c r="AN3878">
        <v>1.0000000569001599</v>
      </c>
    </row>
    <row r="3879" spans="1:40" x14ac:dyDescent="0.25">
      <c r="A3879" t="str">
        <f>"20190312173007634"</f>
        <v>20190312173007634</v>
      </c>
      <c r="B3879" t="str">
        <f>"1552383007631608"</f>
        <v>1552383007631608</v>
      </c>
      <c r="C3879" t="s">
        <v>40</v>
      </c>
      <c r="D3879">
        <v>3.62202</v>
      </c>
      <c r="E3879">
        <v>0.51147379999999998</v>
      </c>
      <c r="F3879" t="s">
        <v>41</v>
      </c>
      <c r="G3879">
        <v>-194.83449999999999</v>
      </c>
      <c r="H3879" s="1">
        <v>-4.1663799999999999E-6</v>
      </c>
      <c r="I3879">
        <v>165.9025</v>
      </c>
      <c r="J3879">
        <v>-191.47640000000001</v>
      </c>
      <c r="K3879">
        <v>1.110171</v>
      </c>
      <c r="L3879">
        <v>177.75129999999999</v>
      </c>
      <c r="M3879">
        <v>-6.7795160000000002E-3</v>
      </c>
      <c r="N3879">
        <v>0</v>
      </c>
      <c r="O3879">
        <v>-0.99991450000000004</v>
      </c>
      <c r="P3879">
        <v>-0.2127452</v>
      </c>
      <c r="Q3879">
        <v>0.1183265</v>
      </c>
      <c r="R3879">
        <v>-0.96991680000000002</v>
      </c>
      <c r="S3879">
        <v>-0.82295229999999997</v>
      </c>
      <c r="T3879">
        <v>-0.27201150000000002</v>
      </c>
      <c r="U3879">
        <v>-2.946701</v>
      </c>
      <c r="V3879">
        <v>0.20601050000000001</v>
      </c>
      <c r="W3879">
        <v>0.1294468</v>
      </c>
      <c r="X3879">
        <v>0.96995010000000004</v>
      </c>
      <c r="Y3879">
        <v>0.2613916</v>
      </c>
      <c r="Z3879">
        <v>8.8636989999999999E-2</v>
      </c>
      <c r="AA3879">
        <v>0.96115450000000002</v>
      </c>
      <c r="AB3879">
        <v>30</v>
      </c>
      <c r="AC3879">
        <v>-3.3580999999999701</v>
      </c>
      <c r="AD3879">
        <v>-1.1101751663799999</v>
      </c>
      <c r="AE3879">
        <v>-11.848799999999899</v>
      </c>
      <c r="AF3879">
        <v>3.2512686171101</v>
      </c>
      <c r="AG3879">
        <v>-1.1101751663799999</v>
      </c>
      <c r="AH3879">
        <v>11.7756059398719</v>
      </c>
      <c r="AI3879">
        <v>95.1926201176192</v>
      </c>
      <c r="AJ3879">
        <v>74.565063395449002</v>
      </c>
      <c r="AK3879">
        <v>12.2665452256044</v>
      </c>
      <c r="AL3879">
        <v>82.562373803415497</v>
      </c>
      <c r="AM3879">
        <v>78.008972898958703</v>
      </c>
      <c r="AN3879">
        <v>0.99999999831524999</v>
      </c>
    </row>
    <row r="3880" spans="1:40" x14ac:dyDescent="0.25">
      <c r="A3880" t="str">
        <f>"20190312173007648"</f>
        <v>20190312173007648</v>
      </c>
      <c r="B3880" t="str">
        <f>"1552383007641368"</f>
        <v>1552383007641368</v>
      </c>
      <c r="C3880" t="s">
        <v>40</v>
      </c>
      <c r="D3880">
        <v>3.6474769999999999</v>
      </c>
      <c r="E3880">
        <v>0.51109399999999905</v>
      </c>
      <c r="F3880" t="s">
        <v>41</v>
      </c>
      <c r="G3880">
        <v>-194.2671</v>
      </c>
      <c r="H3880" s="1">
        <v>-4.2356090000000002E-6</v>
      </c>
      <c r="I3880">
        <v>166.34479999999999</v>
      </c>
      <c r="J3880">
        <v>-191.47730000000001</v>
      </c>
      <c r="K3880">
        <v>1.1100859999999999</v>
      </c>
      <c r="L3880">
        <v>177.57509999999999</v>
      </c>
      <c r="M3880">
        <v>-6.6096490000000004E-3</v>
      </c>
      <c r="N3880">
        <v>0</v>
      </c>
      <c r="O3880">
        <v>-0.99991540000000001</v>
      </c>
      <c r="P3880">
        <v>-0.2161158</v>
      </c>
      <c r="Q3880">
        <v>0.11791119999999999</v>
      </c>
      <c r="R3880">
        <v>-0.96922200000000003</v>
      </c>
      <c r="S3880">
        <v>-0.72639469999999995</v>
      </c>
      <c r="T3880">
        <v>-0.28896440000000001</v>
      </c>
      <c r="U3880">
        <v>-2.9689640000000002</v>
      </c>
      <c r="V3880">
        <v>0.2095793</v>
      </c>
      <c r="W3880">
        <v>0.12899669999999999</v>
      </c>
      <c r="X3880">
        <v>0.96924529999999998</v>
      </c>
      <c r="Y3880">
        <v>0.23017109999999999</v>
      </c>
      <c r="Z3880">
        <v>9.4190949999999996E-2</v>
      </c>
      <c r="AA3880">
        <v>0.96858109999999997</v>
      </c>
      <c r="AB3880">
        <v>30</v>
      </c>
      <c r="AC3880">
        <v>-2.7897999999999801</v>
      </c>
      <c r="AD3880">
        <v>-1.1100902356090001</v>
      </c>
      <c r="AE3880">
        <v>-11.2303</v>
      </c>
      <c r="AF3880">
        <v>2.6907432527870601</v>
      </c>
      <c r="AG3880">
        <v>-1.1100902356090001</v>
      </c>
      <c r="AH3880">
        <v>11.1459199672891</v>
      </c>
      <c r="AI3880">
        <v>95.529851516118597</v>
      </c>
      <c r="AJ3880">
        <v>76.427871438585697</v>
      </c>
      <c r="AK3880">
        <v>11.5197192457467</v>
      </c>
      <c r="AL3880">
        <v>82.588381005474901</v>
      </c>
      <c r="AM3880">
        <v>77.798811311308995</v>
      </c>
      <c r="AN3880">
        <v>1.00000004158573</v>
      </c>
    </row>
    <row r="3881" spans="1:40" x14ac:dyDescent="0.25">
      <c r="A3881" t="str">
        <f>"20190312173007664"</f>
        <v>20190312173007664</v>
      </c>
      <c r="B3881" t="str">
        <f>"1552383007661865"</f>
        <v>1552383007661865</v>
      </c>
      <c r="C3881" t="s">
        <v>40</v>
      </c>
      <c r="D3881">
        <v>3.6468630000000002</v>
      </c>
      <c r="E3881">
        <v>0.5100924</v>
      </c>
      <c r="F3881" t="s">
        <v>41</v>
      </c>
      <c r="G3881">
        <v>-194.37129999999999</v>
      </c>
      <c r="H3881" s="1">
        <v>-4.0715080000000001E-6</v>
      </c>
      <c r="I3881">
        <v>165.86940000000001</v>
      </c>
      <c r="J3881">
        <v>-191.4787</v>
      </c>
      <c r="K3881">
        <v>1.1099810000000001</v>
      </c>
      <c r="L3881">
        <v>177.33940000000001</v>
      </c>
      <c r="M3881">
        <v>-6.4616319999999897E-3</v>
      </c>
      <c r="N3881">
        <v>0</v>
      </c>
      <c r="O3881">
        <v>-0.99991609999999997</v>
      </c>
      <c r="P3881">
        <v>-0.22162770000000001</v>
      </c>
      <c r="Q3881">
        <v>0.1178</v>
      </c>
      <c r="R3881">
        <v>-0.96799000000000002</v>
      </c>
      <c r="S3881">
        <v>-0.7332611</v>
      </c>
      <c r="T3881">
        <v>-0.2812752</v>
      </c>
      <c r="U3881">
        <v>-2.9659879999999998</v>
      </c>
      <c r="V3881">
        <v>0.2152782</v>
      </c>
      <c r="W3881">
        <v>0.1288397</v>
      </c>
      <c r="X3881">
        <v>0.96801630000000005</v>
      </c>
      <c r="Y3881">
        <v>0.23270779999999999</v>
      </c>
      <c r="Z3881">
        <v>9.1742340000000006E-2</v>
      </c>
      <c r="AA3881">
        <v>0.96820989999999996</v>
      </c>
      <c r="AB3881">
        <v>30</v>
      </c>
      <c r="AC3881">
        <v>-2.8925999999999799</v>
      </c>
      <c r="AD3881">
        <v>-1.109985071508</v>
      </c>
      <c r="AE3881">
        <v>-11.47</v>
      </c>
      <c r="AF3881">
        <v>2.7938204156302402</v>
      </c>
      <c r="AG3881">
        <v>-1.109985071508</v>
      </c>
      <c r="AH3881">
        <v>11.3881796468537</v>
      </c>
      <c r="AI3881">
        <v>95.407573608442306</v>
      </c>
      <c r="AJ3881">
        <v>76.216061606532904</v>
      </c>
      <c r="AK3881">
        <v>11.778290837077201</v>
      </c>
      <c r="AL3881">
        <v>82.597451564267601</v>
      </c>
      <c r="AM3881">
        <v>77.461972528468493</v>
      </c>
      <c r="AN3881">
        <v>0.99999996437850902</v>
      </c>
    </row>
    <row r="3882" spans="1:40" x14ac:dyDescent="0.25">
      <c r="A3882" t="str">
        <f>"20190312173007679"</f>
        <v>20190312173007679</v>
      </c>
      <c r="B3882" t="str">
        <f>"1552383007671625"</f>
        <v>1552383007671625</v>
      </c>
      <c r="C3882" t="s">
        <v>40</v>
      </c>
      <c r="D3882">
        <v>3.585572</v>
      </c>
      <c r="E3882">
        <v>0.50967850000000003</v>
      </c>
      <c r="F3882" t="s">
        <v>41</v>
      </c>
      <c r="G3882">
        <v>-194.54130000000001</v>
      </c>
      <c r="H3882" s="1">
        <v>-3.8124280000000001E-6</v>
      </c>
      <c r="I3882">
        <v>165.11619999999999</v>
      </c>
      <c r="J3882">
        <v>-191.47980000000001</v>
      </c>
      <c r="K3882">
        <v>1.1099049999999999</v>
      </c>
      <c r="L3882">
        <v>177.1454</v>
      </c>
      <c r="M3882">
        <v>-6.4026789999999997E-3</v>
      </c>
      <c r="N3882">
        <v>0</v>
      </c>
      <c r="O3882">
        <v>-0.99991620000000003</v>
      </c>
      <c r="P3882">
        <v>-0.22364719999999999</v>
      </c>
      <c r="Q3882">
        <v>0.11821139999999999</v>
      </c>
      <c r="R3882">
        <v>-0.96747539999999999</v>
      </c>
      <c r="S3882">
        <v>-0.74215699999999996</v>
      </c>
      <c r="T3882">
        <v>-0.26897900000000002</v>
      </c>
      <c r="U3882">
        <v>-2.962021</v>
      </c>
      <c r="V3882">
        <v>0.21738250000000001</v>
      </c>
      <c r="W3882">
        <v>0.1292227</v>
      </c>
      <c r="X3882">
        <v>0.96749479999999999</v>
      </c>
      <c r="Y3882">
        <v>0.23589009999999999</v>
      </c>
      <c r="Z3882">
        <v>8.781216E-2</v>
      </c>
      <c r="AA3882">
        <v>0.96780409999999994</v>
      </c>
      <c r="AB3882">
        <v>30</v>
      </c>
      <c r="AC3882">
        <v>-3.0614999999999899</v>
      </c>
      <c r="AD3882">
        <v>-1.1099088124280001</v>
      </c>
      <c r="AE3882">
        <v>-12.029199999999999</v>
      </c>
      <c r="AF3882">
        <v>2.9607407426944801</v>
      </c>
      <c r="AG3882">
        <v>-1.1099088124280001</v>
      </c>
      <c r="AH3882">
        <v>11.9529866942031</v>
      </c>
      <c r="AI3882">
        <v>95.150285384176698</v>
      </c>
      <c r="AJ3882">
        <v>76.087915512801999</v>
      </c>
      <c r="AK3882">
        <v>12.364132570833799</v>
      </c>
      <c r="AL3882">
        <v>82.5753219801624</v>
      </c>
      <c r="AM3882">
        <v>77.336743698029395</v>
      </c>
      <c r="AN3882">
        <v>0.99999992276428695</v>
      </c>
    </row>
    <row r="3883" spans="1:40" x14ac:dyDescent="0.25">
      <c r="A3883" t="str">
        <f>"20190312173007692"</f>
        <v>20190312173007692</v>
      </c>
      <c r="B3883" t="str">
        <f>"1552383007681384"</f>
        <v>1552383007681384</v>
      </c>
      <c r="C3883" t="s">
        <v>40</v>
      </c>
      <c r="D3883">
        <v>3.597426</v>
      </c>
      <c r="E3883">
        <v>0.50948800000000005</v>
      </c>
      <c r="F3883" t="s">
        <v>41</v>
      </c>
      <c r="G3883">
        <v>-194.6207</v>
      </c>
      <c r="H3883" s="1">
        <v>-3.6275480000000001E-6</v>
      </c>
      <c r="I3883">
        <v>164.66470000000001</v>
      </c>
      <c r="J3883">
        <v>-191.48079999999999</v>
      </c>
      <c r="K3883">
        <v>1.109847</v>
      </c>
      <c r="L3883">
        <v>176.97239999999999</v>
      </c>
      <c r="M3883">
        <v>-6.3865789999999999E-3</v>
      </c>
      <c r="N3883">
        <v>0</v>
      </c>
      <c r="O3883">
        <v>-0.99991609999999997</v>
      </c>
      <c r="P3883">
        <v>-0.22586400000000001</v>
      </c>
      <c r="Q3883">
        <v>0.1187028</v>
      </c>
      <c r="R3883">
        <v>-0.96689990000000003</v>
      </c>
      <c r="S3883">
        <v>-0.74511719999999904</v>
      </c>
      <c r="T3883">
        <v>-0.26330419999999999</v>
      </c>
      <c r="U3883">
        <v>-2.9607999999999999</v>
      </c>
      <c r="V3883">
        <v>0.21963779999999999</v>
      </c>
      <c r="W3883">
        <v>0.12969079999999999</v>
      </c>
      <c r="X3883">
        <v>0.96692270000000002</v>
      </c>
      <c r="Y3883">
        <v>0.23694870000000001</v>
      </c>
      <c r="Z3883">
        <v>8.5986469999999995E-2</v>
      </c>
      <c r="AA3883">
        <v>0.9677095</v>
      </c>
      <c r="AB3883">
        <v>30</v>
      </c>
      <c r="AC3883">
        <v>-3.1399000000000101</v>
      </c>
      <c r="AD3883">
        <v>-1.109850627548</v>
      </c>
      <c r="AE3883">
        <v>-12.307699999999899</v>
      </c>
      <c r="AF3883">
        <v>3.0380324413555599</v>
      </c>
      <c r="AG3883">
        <v>-1.109850627548</v>
      </c>
      <c r="AH3883">
        <v>12.2340999413139</v>
      </c>
      <c r="AI3883">
        <v>95.031562924635494</v>
      </c>
      <c r="AJ3883">
        <v>76.054119062864203</v>
      </c>
      <c r="AK3883">
        <v>12.654430485180001</v>
      </c>
      <c r="AL3883">
        <v>82.548274701881098</v>
      </c>
      <c r="AM3883">
        <v>77.202346752896801</v>
      </c>
      <c r="AN3883">
        <v>0.999999987284384</v>
      </c>
    </row>
    <row r="3884" spans="1:40" x14ac:dyDescent="0.25">
      <c r="A3884" t="str">
        <f>"20190312173007704"</f>
        <v>20190312173007704</v>
      </c>
      <c r="B3884" t="str">
        <f>"1552383007701881"</f>
        <v>1552383007701881</v>
      </c>
      <c r="C3884" t="s">
        <v>40</v>
      </c>
      <c r="D3884">
        <v>3.6273399999999998</v>
      </c>
      <c r="E3884">
        <v>0.50924239999999998</v>
      </c>
      <c r="F3884" t="s">
        <v>41</v>
      </c>
      <c r="G3884">
        <v>-194.69829999999999</v>
      </c>
      <c r="H3884" s="1">
        <v>-3.4669589999999999E-6</v>
      </c>
      <c r="I3884">
        <v>164.28129999999999</v>
      </c>
      <c r="J3884">
        <v>-191.4819</v>
      </c>
      <c r="K3884">
        <v>1.1097939999999999</v>
      </c>
      <c r="L3884">
        <v>176.79740000000001</v>
      </c>
      <c r="M3884">
        <v>-6.3956610000000004E-3</v>
      </c>
      <c r="N3884">
        <v>0</v>
      </c>
      <c r="O3884">
        <v>-0.99991609999999997</v>
      </c>
      <c r="P3884">
        <v>-0.2280944</v>
      </c>
      <c r="Q3884">
        <v>0.1190339</v>
      </c>
      <c r="R3884">
        <v>-0.96633550000000001</v>
      </c>
      <c r="S3884">
        <v>-0.75022889999999998</v>
      </c>
      <c r="T3884">
        <v>-0.25878909999999999</v>
      </c>
      <c r="U3884">
        <v>-2.9592290000000001</v>
      </c>
      <c r="V3884">
        <v>0.22188099999999999</v>
      </c>
      <c r="W3884">
        <v>0.13</v>
      </c>
      <c r="X3884">
        <v>0.96636889999999998</v>
      </c>
      <c r="Y3884">
        <v>0.23866309999999999</v>
      </c>
      <c r="Z3884">
        <v>8.4530620000000001E-2</v>
      </c>
      <c r="AA3884">
        <v>0.96741639999999995</v>
      </c>
      <c r="AB3884">
        <v>30</v>
      </c>
      <c r="AC3884">
        <v>-3.2163999999999899</v>
      </c>
      <c r="AD3884">
        <v>-1.1097974669589901</v>
      </c>
      <c r="AE3884">
        <v>-12.5161</v>
      </c>
      <c r="AF3884">
        <v>3.1133189191431998</v>
      </c>
      <c r="AG3884">
        <v>-1.1097974669589901</v>
      </c>
      <c r="AH3884">
        <v>12.444634115509199</v>
      </c>
      <c r="AI3884">
        <v>94.944496005798101</v>
      </c>
      <c r="AJ3884">
        <v>75.954395450497202</v>
      </c>
      <c r="AK3884">
        <v>12.876075620268001</v>
      </c>
      <c r="AL3884">
        <v>82.530407792690994</v>
      </c>
      <c r="AM3884">
        <v>77.068852135889003</v>
      </c>
      <c r="AN3884">
        <v>1.0000000145240999</v>
      </c>
    </row>
    <row r="3885" spans="1:40" x14ac:dyDescent="0.25">
      <c r="A3885" t="str">
        <f>"20190312173007721"</f>
        <v>20190312173007721</v>
      </c>
      <c r="B3885" t="str">
        <f>"1552383007711640"</f>
        <v>1552383007711640</v>
      </c>
      <c r="C3885" t="s">
        <v>40</v>
      </c>
      <c r="D3885">
        <v>3.6061359999999998</v>
      </c>
      <c r="E3885">
        <v>0.52531280000000002</v>
      </c>
      <c r="F3885" t="s">
        <v>41</v>
      </c>
      <c r="G3885">
        <v>-194.7619</v>
      </c>
      <c r="H3885" s="1">
        <v>-3.32709E-6</v>
      </c>
      <c r="I3885">
        <v>163.9496</v>
      </c>
      <c r="J3885">
        <v>-191.48339999999999</v>
      </c>
      <c r="K3885">
        <v>1.1097250000000001</v>
      </c>
      <c r="L3885">
        <v>176.5702</v>
      </c>
      <c r="M3885">
        <v>-6.4840239999999997E-3</v>
      </c>
      <c r="N3885">
        <v>0</v>
      </c>
      <c r="O3885">
        <v>-0.99991540000000001</v>
      </c>
      <c r="P3885">
        <v>-0.231906</v>
      </c>
      <c r="Q3885">
        <v>0.120130399999999</v>
      </c>
      <c r="R3885">
        <v>-0.96529229999999999</v>
      </c>
      <c r="S3885">
        <v>-0.75511169999999905</v>
      </c>
      <c r="T3885">
        <v>-0.25549359999999999</v>
      </c>
      <c r="U3885">
        <v>-2.9577640000000001</v>
      </c>
      <c r="V3885">
        <v>0.2256367</v>
      </c>
      <c r="W3885">
        <v>0.13106379999999901</v>
      </c>
      <c r="X3885">
        <v>0.96535499999999996</v>
      </c>
      <c r="Y3885">
        <v>0.24021319999999999</v>
      </c>
      <c r="Z3885">
        <v>8.3468870000000001E-2</v>
      </c>
      <c r="AA3885">
        <v>0.96712489999999995</v>
      </c>
      <c r="AB3885">
        <v>30</v>
      </c>
      <c r="AC3885">
        <v>-3.2785000000000002</v>
      </c>
      <c r="AD3885">
        <v>-1.10972832709</v>
      </c>
      <c r="AE3885">
        <v>-12.6205999999999</v>
      </c>
      <c r="AF3885">
        <v>3.17360746720456</v>
      </c>
      <c r="AG3885">
        <v>-1.10972832709</v>
      </c>
      <c r="AH3885">
        <v>12.5506904620631</v>
      </c>
      <c r="AI3885">
        <v>94.899511392154693</v>
      </c>
      <c r="AJ3885">
        <v>75.809462758361605</v>
      </c>
      <c r="AK3885">
        <v>12.993194849241799</v>
      </c>
      <c r="AL3885">
        <v>82.468930119875196</v>
      </c>
      <c r="AM3885">
        <v>76.844185112951905</v>
      </c>
      <c r="AN3885">
        <v>0.99999995804116404</v>
      </c>
    </row>
    <row r="3886" spans="1:40" x14ac:dyDescent="0.25">
      <c r="A3886" t="str">
        <f>"20190312173007734"</f>
        <v>20190312173007734</v>
      </c>
      <c r="B3886" t="str">
        <f>"1552383007721401"</f>
        <v>1552383007721401</v>
      </c>
      <c r="C3886" t="s">
        <v>40</v>
      </c>
      <c r="D3886">
        <v>3.6116790000000001</v>
      </c>
      <c r="E3886">
        <v>0.5279199</v>
      </c>
      <c r="F3886" t="s">
        <v>41</v>
      </c>
      <c r="G3886">
        <v>-196.46170000000001</v>
      </c>
      <c r="H3886" s="1">
        <v>-2.041106E-6</v>
      </c>
      <c r="I3886">
        <v>160.2724</v>
      </c>
      <c r="J3886">
        <v>-191.4845</v>
      </c>
      <c r="K3886">
        <v>1.109677</v>
      </c>
      <c r="L3886">
        <v>176.39920000000001</v>
      </c>
      <c r="M3886">
        <v>-6.5996730000000003E-3</v>
      </c>
      <c r="N3886">
        <v>0</v>
      </c>
      <c r="O3886">
        <v>-0.99991439999999998</v>
      </c>
      <c r="P3886">
        <v>-0.23393430000000001</v>
      </c>
      <c r="Q3886">
        <v>0.12089510000000001</v>
      </c>
      <c r="R3886">
        <v>-0.96470690000000003</v>
      </c>
      <c r="S3886">
        <v>-0.89146419999999904</v>
      </c>
      <c r="T3886">
        <v>-0.19871849999999999</v>
      </c>
      <c r="U3886">
        <v>-2.9184420000000002</v>
      </c>
      <c r="V3886">
        <v>0.227575</v>
      </c>
      <c r="W3886">
        <v>0.13180639999999999</v>
      </c>
      <c r="X3886">
        <v>0.96479879999999996</v>
      </c>
      <c r="Y3886">
        <v>0.28519719999999998</v>
      </c>
      <c r="Z3886">
        <v>6.5043820000000002E-2</v>
      </c>
      <c r="AA3886">
        <v>0.95625930000000003</v>
      </c>
      <c r="AB3886">
        <v>30</v>
      </c>
      <c r="AC3886">
        <v>-4.9772000000000096</v>
      </c>
      <c r="AD3886">
        <v>-1.109679041106</v>
      </c>
      <c r="AE3886">
        <v>-16.126799999999999</v>
      </c>
      <c r="AF3886">
        <v>4.8496880346883398</v>
      </c>
      <c r="AG3886">
        <v>-1.109679041106</v>
      </c>
      <c r="AH3886">
        <v>16.0897429182411</v>
      </c>
      <c r="AI3886">
        <v>93.777966972985595</v>
      </c>
      <c r="AJ3886">
        <v>73.226411344150705</v>
      </c>
      <c r="AK3886">
        <v>16.841338687383502</v>
      </c>
      <c r="AL3886">
        <v>82.426010371207198</v>
      </c>
      <c r="AM3886">
        <v>76.727774570146707</v>
      </c>
      <c r="AN3886">
        <v>1.0000000160936999</v>
      </c>
    </row>
    <row r="3887" spans="1:40" x14ac:dyDescent="0.25">
      <c r="A3887" t="str">
        <f>"20190312173007746"</f>
        <v>20190312173007746</v>
      </c>
      <c r="B3887" t="str">
        <f>"1552383007741897"</f>
        <v>1552383007741897</v>
      </c>
      <c r="C3887" t="s">
        <v>40</v>
      </c>
      <c r="D3887">
        <v>3.5820129999999999</v>
      </c>
      <c r="E3887">
        <v>0.52952619999999995</v>
      </c>
      <c r="F3887" t="s">
        <v>41</v>
      </c>
      <c r="G3887">
        <v>-196.75700000000001</v>
      </c>
      <c r="H3887" s="1">
        <v>-1.835044E-6</v>
      </c>
      <c r="I3887">
        <v>159.6703</v>
      </c>
      <c r="J3887">
        <v>-191.48570000000001</v>
      </c>
      <c r="K3887">
        <v>1.109623</v>
      </c>
      <c r="L3887">
        <v>176.2261</v>
      </c>
      <c r="M3887">
        <v>-6.7415919999999898E-3</v>
      </c>
      <c r="N3887">
        <v>0</v>
      </c>
      <c r="O3887">
        <v>-0.99991319999999995</v>
      </c>
      <c r="P3887">
        <v>-0.23575499999999999</v>
      </c>
      <c r="Q3887">
        <v>0.12128709999999999</v>
      </c>
      <c r="R3887">
        <v>-0.96421440000000003</v>
      </c>
      <c r="S3887">
        <v>-0.91758729999999999</v>
      </c>
      <c r="T3887">
        <v>-0.19312289999999999</v>
      </c>
      <c r="U3887">
        <v>-2.9114230000000001</v>
      </c>
      <c r="V3887">
        <v>0.2292807</v>
      </c>
      <c r="W3887">
        <v>0.1321765</v>
      </c>
      <c r="X3887">
        <v>0.96434419999999998</v>
      </c>
      <c r="Y3887">
        <v>0.2935546</v>
      </c>
      <c r="Z3887">
        <v>6.320141E-2</v>
      </c>
      <c r="AA3887">
        <v>0.95385070000000005</v>
      </c>
      <c r="AB3887">
        <v>30</v>
      </c>
      <c r="AC3887">
        <v>-5.2712999999999903</v>
      </c>
      <c r="AD3887">
        <v>-1.1096248350439999</v>
      </c>
      <c r="AE3887">
        <v>-16.555800000000001</v>
      </c>
      <c r="AF3887">
        <v>5.1386020380039499</v>
      </c>
      <c r="AG3887">
        <v>-1.1096248350439999</v>
      </c>
      <c r="AH3887">
        <v>16.523569108525901</v>
      </c>
      <c r="AI3887">
        <v>93.669056044218607</v>
      </c>
      <c r="AJ3887">
        <v>72.725026931783802</v>
      </c>
      <c r="AK3887">
        <v>17.3396895665337</v>
      </c>
      <c r="AL3887">
        <v>82.4046179258481</v>
      </c>
      <c r="AM3887">
        <v>76.625780818938793</v>
      </c>
      <c r="AN3887">
        <v>1.0000000013091901</v>
      </c>
    </row>
    <row r="3888" spans="1:40" x14ac:dyDescent="0.25">
      <c r="A3888" t="str">
        <f>"20190312173007759"</f>
        <v>20190312173007759</v>
      </c>
      <c r="B3888" t="str">
        <f>"1552383007751657"</f>
        <v>1552383007751657</v>
      </c>
      <c r="C3888" t="s">
        <v>40</v>
      </c>
      <c r="D3888">
        <v>3.581623</v>
      </c>
      <c r="E3888">
        <v>0.52986169999999899</v>
      </c>
      <c r="F3888" t="s">
        <v>51</v>
      </c>
      <c r="G3888">
        <v>-197.00389999999999</v>
      </c>
      <c r="H3888" s="1">
        <v>-1.4843060000000001E-5</v>
      </c>
      <c r="I3888">
        <v>159.08199999999999</v>
      </c>
      <c r="J3888">
        <v>-191.4871</v>
      </c>
      <c r="K3888">
        <v>1.1095660000000001</v>
      </c>
      <c r="L3888">
        <v>176.0504</v>
      </c>
      <c r="M3888">
        <v>-6.9300480000000003E-3</v>
      </c>
      <c r="N3888">
        <v>0</v>
      </c>
      <c r="O3888">
        <v>-0.99991160000000001</v>
      </c>
      <c r="P3888">
        <v>-0.237485</v>
      </c>
      <c r="Q3888">
        <v>0.12130929999999999</v>
      </c>
      <c r="R3888">
        <v>-0.96378680000000005</v>
      </c>
      <c r="S3888">
        <v>-0.93545529999999999</v>
      </c>
      <c r="T3888">
        <v>-0.18810750000000001</v>
      </c>
      <c r="U3888">
        <v>-2.9062809999999999</v>
      </c>
      <c r="V3888">
        <v>0.2308518</v>
      </c>
      <c r="W3888">
        <v>0.13217499999999999</v>
      </c>
      <c r="X3888">
        <v>0.96396950000000003</v>
      </c>
      <c r="Y3888">
        <v>0.29920790000000003</v>
      </c>
      <c r="Z3888">
        <v>6.1558790000000002E-2</v>
      </c>
      <c r="AA3888">
        <v>0.95220020000000005</v>
      </c>
      <c r="AB3888">
        <v>30</v>
      </c>
      <c r="AC3888">
        <v>-5.5167999999999804</v>
      </c>
      <c r="AD3888">
        <v>-1.10958084306</v>
      </c>
      <c r="AE3888">
        <v>-16.968399999999999</v>
      </c>
      <c r="AF3888">
        <v>5.3782692437486403</v>
      </c>
      <c r="AG3888">
        <v>-1.10958084306</v>
      </c>
      <c r="AH3888">
        <v>16.940713435542399</v>
      </c>
      <c r="AI3888">
        <v>93.572187375320695</v>
      </c>
      <c r="AJ3888">
        <v>72.386608017880206</v>
      </c>
      <c r="AK3888">
        <v>17.808557533127299</v>
      </c>
      <c r="AL3888">
        <v>82.404704548105101</v>
      </c>
      <c r="AM3888">
        <v>76.532419595035094</v>
      </c>
      <c r="AN3888">
        <v>0.99999999055924504</v>
      </c>
    </row>
    <row r="3889" spans="1:40" x14ac:dyDescent="0.25">
      <c r="A3889" t="str">
        <f>"20190312173007778"</f>
        <v>20190312173007778</v>
      </c>
      <c r="B3889" t="str">
        <f>"1552383007771177"</f>
        <v>1552383007771177</v>
      </c>
      <c r="C3889" t="s">
        <v>40</v>
      </c>
      <c r="D3889">
        <v>3.5999059999999998</v>
      </c>
      <c r="E3889">
        <v>0.53048260000000003</v>
      </c>
      <c r="F3889" t="s">
        <v>51</v>
      </c>
      <c r="G3889">
        <v>-197.04089999999999</v>
      </c>
      <c r="H3889" s="1">
        <v>-1.4811480000000001E-5</v>
      </c>
      <c r="I3889">
        <v>158.95650000000001</v>
      </c>
      <c r="J3889">
        <v>-191.489</v>
      </c>
      <c r="K3889">
        <v>1.1094839999999999</v>
      </c>
      <c r="L3889">
        <v>175.80619999999999</v>
      </c>
      <c r="M3889">
        <v>-7.2508269999999996E-3</v>
      </c>
      <c r="N3889">
        <v>0</v>
      </c>
      <c r="O3889">
        <v>-0.9999093</v>
      </c>
      <c r="P3889">
        <v>-0.24097070000000001</v>
      </c>
      <c r="Q3889">
        <v>0.12158869999999999</v>
      </c>
      <c r="R3889">
        <v>-0.96288669999999998</v>
      </c>
      <c r="S3889">
        <v>-0.94351200000000002</v>
      </c>
      <c r="T3889">
        <v>-0.1884999</v>
      </c>
      <c r="U3889">
        <v>-2.9039760000000001</v>
      </c>
      <c r="V3889">
        <v>0.23406250000000001</v>
      </c>
      <c r="W3889">
        <v>0.13241510000000001</v>
      </c>
      <c r="X3889">
        <v>0.96316199999999996</v>
      </c>
      <c r="Y3889">
        <v>0.30151040000000001</v>
      </c>
      <c r="Z3889">
        <v>6.1684410000000002E-2</v>
      </c>
      <c r="AA3889">
        <v>0.95146549999999996</v>
      </c>
      <c r="AB3889">
        <v>30</v>
      </c>
      <c r="AC3889">
        <v>-5.5518999999999803</v>
      </c>
      <c r="AD3889">
        <v>-1.10949881148</v>
      </c>
      <c r="AE3889">
        <v>-16.849699999999899</v>
      </c>
      <c r="AF3889">
        <v>5.4084186320871197</v>
      </c>
      <c r="AG3889">
        <v>-1.10949881148</v>
      </c>
      <c r="AH3889">
        <v>16.823714965585999</v>
      </c>
      <c r="AI3889">
        <v>93.592542357001406</v>
      </c>
      <c r="AJ3889">
        <v>72.178654180045498</v>
      </c>
      <c r="AK3889">
        <v>17.706478050585499</v>
      </c>
      <c r="AL3889">
        <v>82.390826109648501</v>
      </c>
      <c r="AM3889">
        <v>76.341057965533494</v>
      </c>
      <c r="AN3889">
        <v>1.0000000254291199</v>
      </c>
    </row>
    <row r="3890" spans="1:40" x14ac:dyDescent="0.25">
      <c r="A3890" t="str">
        <f>"20190312173007802"</f>
        <v>20190312173007802</v>
      </c>
      <c r="B3890" t="str">
        <f>"1552383007791673"</f>
        <v>1552383007791673</v>
      </c>
      <c r="C3890" t="s">
        <v>40</v>
      </c>
      <c r="D3890">
        <v>3.58135</v>
      </c>
      <c r="E3890">
        <v>0.53084629999999999</v>
      </c>
      <c r="F3890" t="s">
        <v>51</v>
      </c>
      <c r="G3890">
        <v>-197.1797</v>
      </c>
      <c r="H3890" s="1">
        <v>-1.47241E-5</v>
      </c>
      <c r="I3890">
        <v>158.60919999999999</v>
      </c>
      <c r="J3890">
        <v>-191.49189999999999</v>
      </c>
      <c r="K3890">
        <v>1.1093710000000001</v>
      </c>
      <c r="L3890">
        <v>175.47720000000001</v>
      </c>
      <c r="M3890">
        <v>-7.781301E-3</v>
      </c>
      <c r="N3890">
        <v>0</v>
      </c>
      <c r="O3890">
        <v>-0.99990500000000004</v>
      </c>
      <c r="P3890">
        <v>-0.24505740000000001</v>
      </c>
      <c r="Q3890">
        <v>0.1220219</v>
      </c>
      <c r="R3890">
        <v>-0.96179959999999998</v>
      </c>
      <c r="S3890">
        <v>-0.95936580000000005</v>
      </c>
      <c r="T3890">
        <v>-0.1870464</v>
      </c>
      <c r="U3890">
        <v>-2.8991699999999998</v>
      </c>
      <c r="V3890">
        <v>0.23768239999999999</v>
      </c>
      <c r="W3890">
        <v>0.13280129999999901</v>
      </c>
      <c r="X3890">
        <v>0.96222189999999996</v>
      </c>
      <c r="Y3890">
        <v>0.30617090000000002</v>
      </c>
      <c r="Z3890">
        <v>6.1209069999999997E-2</v>
      </c>
      <c r="AA3890">
        <v>0.95000680000000004</v>
      </c>
      <c r="AB3890">
        <v>30</v>
      </c>
      <c r="AC3890">
        <v>-5.68780000000001</v>
      </c>
      <c r="AD3890">
        <v>-1.10938572409999</v>
      </c>
      <c r="AE3890">
        <v>-16.867999999999999</v>
      </c>
      <c r="AF3890">
        <v>5.5348673491664098</v>
      </c>
      <c r="AG3890">
        <v>-1.10938572409999</v>
      </c>
      <c r="AH3890">
        <v>16.846320940259101</v>
      </c>
      <c r="AI3890">
        <v>93.579936117837605</v>
      </c>
      <c r="AJ3890">
        <v>71.812036028254099</v>
      </c>
      <c r="AK3890">
        <v>17.766936215338799</v>
      </c>
      <c r="AL3890">
        <v>82.368501482689297</v>
      </c>
      <c r="AM3890">
        <v>76.124883969285506</v>
      </c>
      <c r="AN3890">
        <v>1.0000000466955199</v>
      </c>
    </row>
    <row r="3891" spans="1:40" x14ac:dyDescent="0.25">
      <c r="A3891" t="str">
        <f>"20190312173007821"</f>
        <v>20190312173007821</v>
      </c>
      <c r="B3891" t="str">
        <f>"1552383007811193"</f>
        <v>1552383007811193</v>
      </c>
      <c r="C3891" t="s">
        <v>40</v>
      </c>
      <c r="D3891">
        <v>3.6151089999999999</v>
      </c>
      <c r="E3891">
        <v>0.53093449999999998</v>
      </c>
      <c r="F3891" t="s">
        <v>51</v>
      </c>
      <c r="G3891">
        <v>-197.3023</v>
      </c>
      <c r="H3891" s="1">
        <v>-1.462721E-5</v>
      </c>
      <c r="I3891">
        <v>158.2242</v>
      </c>
      <c r="J3891">
        <v>-191.49459999999999</v>
      </c>
      <c r="K3891">
        <v>1.1092919999999999</v>
      </c>
      <c r="L3891">
        <v>175.19749999999999</v>
      </c>
      <c r="M3891">
        <v>-8.3275090000000003E-3</v>
      </c>
      <c r="N3891">
        <v>0</v>
      </c>
      <c r="O3891">
        <v>-0.99990020000000002</v>
      </c>
      <c r="P3891">
        <v>-0.249501</v>
      </c>
      <c r="Q3891">
        <v>0.1217411</v>
      </c>
      <c r="R3891">
        <v>-0.96069199999999999</v>
      </c>
      <c r="S3891">
        <v>-0.97476200000000002</v>
      </c>
      <c r="T3891">
        <v>-0.18611320000000001</v>
      </c>
      <c r="U3891">
        <v>-2.894409</v>
      </c>
      <c r="V3891">
        <v>0.24163519999999999</v>
      </c>
      <c r="W3891">
        <v>0.13248509999999999</v>
      </c>
      <c r="X3891">
        <v>0.96128049999999998</v>
      </c>
      <c r="Y3891">
        <v>0.31066529999999998</v>
      </c>
      <c r="Z3891">
        <v>6.0903869999999999E-2</v>
      </c>
      <c r="AA3891">
        <v>0.94856609999999997</v>
      </c>
      <c r="AB3891">
        <v>30</v>
      </c>
      <c r="AC3891">
        <v>-5.8077000000000103</v>
      </c>
      <c r="AD3891">
        <v>-1.1093066272099901</v>
      </c>
      <c r="AE3891">
        <v>-16.973299999999899</v>
      </c>
      <c r="AF3891">
        <v>5.6445608116137702</v>
      </c>
      <c r="AG3891">
        <v>-1.1093066272099901</v>
      </c>
      <c r="AH3891">
        <v>16.9562421370279</v>
      </c>
      <c r="AI3891">
        <v>93.551949495402894</v>
      </c>
      <c r="AJ3891">
        <v>71.587923243404802</v>
      </c>
      <c r="AK3891">
        <v>17.905467750346499</v>
      </c>
      <c r="AL3891">
        <v>82.386779833692003</v>
      </c>
      <c r="AM3891">
        <v>75.890007883015997</v>
      </c>
      <c r="AN3891">
        <v>1.00000003564064</v>
      </c>
    </row>
    <row r="3892" spans="1:40" x14ac:dyDescent="0.25">
      <c r="A3892" t="str">
        <f>"20190312173007835"</f>
        <v>20190312173007835</v>
      </c>
      <c r="B3892" t="str">
        <f>"1552383007831689"</f>
        <v>1552383007831689</v>
      </c>
      <c r="C3892" t="s">
        <v>40</v>
      </c>
      <c r="D3892">
        <v>3.5945040000000001</v>
      </c>
      <c r="E3892">
        <v>0.53092910000000004</v>
      </c>
      <c r="F3892" t="s">
        <v>51</v>
      </c>
      <c r="G3892">
        <v>-197.2997</v>
      </c>
      <c r="H3892" s="1">
        <v>-1.462769E-5</v>
      </c>
      <c r="I3892">
        <v>158.226</v>
      </c>
      <c r="J3892">
        <v>-191.4965</v>
      </c>
      <c r="K3892">
        <v>1.109248</v>
      </c>
      <c r="L3892">
        <v>175.0172</v>
      </c>
      <c r="M3892">
        <v>-8.7253509999999992E-3</v>
      </c>
      <c r="N3892">
        <v>0</v>
      </c>
      <c r="O3892">
        <v>-0.99989649999999997</v>
      </c>
      <c r="P3892">
        <v>-0.25217909999999999</v>
      </c>
      <c r="Q3892">
        <v>0.1213601</v>
      </c>
      <c r="R3892">
        <v>-0.96004029999999996</v>
      </c>
      <c r="S3892">
        <v>-0.98851009999999995</v>
      </c>
      <c r="T3892">
        <v>-0.18889639999999999</v>
      </c>
      <c r="U3892">
        <v>-2.8899539999999999</v>
      </c>
      <c r="V3892">
        <v>0.24394940000000001</v>
      </c>
      <c r="W3892">
        <v>0.1320857</v>
      </c>
      <c r="X3892">
        <v>0.96075080000000002</v>
      </c>
      <c r="Y3892">
        <v>0.31475419999999998</v>
      </c>
      <c r="Z3892">
        <v>6.1812079999999998E-2</v>
      </c>
      <c r="AA3892">
        <v>0.94715839999999996</v>
      </c>
      <c r="AB3892">
        <v>30</v>
      </c>
      <c r="AC3892">
        <v>-5.8032000000000004</v>
      </c>
      <c r="AD3892">
        <v>-1.1092626276899999</v>
      </c>
      <c r="AE3892">
        <v>-16.7912</v>
      </c>
      <c r="AF3892">
        <v>5.6344940543669102</v>
      </c>
      <c r="AG3892">
        <v>-1.1092626276899999</v>
      </c>
      <c r="AH3892">
        <v>16.775797861018798</v>
      </c>
      <c r="AI3892">
        <v>93.586705457091796</v>
      </c>
      <c r="AJ3892">
        <v>71.434323654591395</v>
      </c>
      <c r="AK3892">
        <v>17.731479935404401</v>
      </c>
      <c r="AL3892">
        <v>82.409866548764498</v>
      </c>
      <c r="AM3892">
        <v>75.752813483708906</v>
      </c>
      <c r="AN3892">
        <v>1.00000002080274</v>
      </c>
    </row>
    <row r="3893" spans="1:40" x14ac:dyDescent="0.25">
      <c r="A3893" t="str">
        <f>"20190312173007855"</f>
        <v>20190312173007855</v>
      </c>
      <c r="B3893" t="str">
        <f>"1552383007851209"</f>
        <v>1552383007851209</v>
      </c>
      <c r="C3893" t="s">
        <v>40</v>
      </c>
      <c r="D3893">
        <v>3.5908699999999998</v>
      </c>
      <c r="E3893">
        <v>0.53079219999999905</v>
      </c>
      <c r="F3893" t="s">
        <v>51</v>
      </c>
      <c r="G3893">
        <v>-197.2475</v>
      </c>
      <c r="H3893" s="1">
        <v>-1.466E-5</v>
      </c>
      <c r="I3893">
        <v>158.3545</v>
      </c>
      <c r="J3893">
        <v>-191.49940000000001</v>
      </c>
      <c r="K3893">
        <v>1.1091819999999999</v>
      </c>
      <c r="L3893">
        <v>174.75370000000001</v>
      </c>
      <c r="M3893">
        <v>-9.3413279999999994E-3</v>
      </c>
      <c r="N3893">
        <v>0</v>
      </c>
      <c r="O3893">
        <v>-0.99989059999999996</v>
      </c>
      <c r="P3893">
        <v>-0.25764629999999999</v>
      </c>
      <c r="Q3893">
        <v>0.1203573</v>
      </c>
      <c r="R3893">
        <v>-0.95871430000000002</v>
      </c>
      <c r="S3893">
        <v>-0.99656679999999997</v>
      </c>
      <c r="T3893">
        <v>-0.1922179</v>
      </c>
      <c r="U3893">
        <v>-2.8873899999999999</v>
      </c>
      <c r="V3893">
        <v>0.24885170000000001</v>
      </c>
      <c r="W3893">
        <v>0.1310538</v>
      </c>
      <c r="X3893">
        <v>0.95963419999999999</v>
      </c>
      <c r="Y3893">
        <v>0.31676779999999999</v>
      </c>
      <c r="Z3893">
        <v>6.2897289999999995E-2</v>
      </c>
      <c r="AA3893">
        <v>0.94641540000000002</v>
      </c>
      <c r="AB3893">
        <v>30</v>
      </c>
      <c r="AC3893">
        <v>-5.7480999999999902</v>
      </c>
      <c r="AD3893">
        <v>-1.1091966599999901</v>
      </c>
      <c r="AE3893">
        <v>-16.3992</v>
      </c>
      <c r="AF3893">
        <v>5.5719473202757204</v>
      </c>
      <c r="AG3893">
        <v>-1.1091966599999901</v>
      </c>
      <c r="AH3893">
        <v>16.385424602607301</v>
      </c>
      <c r="AI3893">
        <v>93.667063000088802</v>
      </c>
      <c r="AJ3893">
        <v>71.219136588630207</v>
      </c>
      <c r="AK3893">
        <v>17.342406222269499</v>
      </c>
      <c r="AL3893">
        <v>82.469508626257095</v>
      </c>
      <c r="AM3893">
        <v>75.4623198143818</v>
      </c>
      <c r="AN3893">
        <v>1.0000000324484799</v>
      </c>
    </row>
    <row r="3894" spans="1:40" x14ac:dyDescent="0.25">
      <c r="A3894" t="str">
        <f>"20190312173007867"</f>
        <v>20190312173007867</v>
      </c>
      <c r="B3894" t="str">
        <f>"1552383007861945"</f>
        <v>1552383007861945</v>
      </c>
      <c r="C3894" t="s">
        <v>40</v>
      </c>
      <c r="D3894">
        <v>3.5942270000000001</v>
      </c>
      <c r="E3894">
        <v>0.53078309999999995</v>
      </c>
      <c r="F3894" t="s">
        <v>51</v>
      </c>
      <c r="G3894">
        <v>-197.22720000000001</v>
      </c>
      <c r="H3894" s="1">
        <v>-1.46835299999999E-5</v>
      </c>
      <c r="I3894">
        <v>158.44799999999901</v>
      </c>
      <c r="J3894">
        <v>-191.50139999999999</v>
      </c>
      <c r="K3894">
        <v>1.1091530000000001</v>
      </c>
      <c r="L3894">
        <v>174.5823</v>
      </c>
      <c r="M3894">
        <v>-9.7609110000000006E-3</v>
      </c>
      <c r="N3894">
        <v>0</v>
      </c>
      <c r="O3894">
        <v>-0.99988650000000001</v>
      </c>
      <c r="P3894">
        <v>-0.26075680000000001</v>
      </c>
      <c r="Q3894">
        <v>0.1195309</v>
      </c>
      <c r="R3894">
        <v>-0.9579763</v>
      </c>
      <c r="S3894">
        <v>-1.0122990000000001</v>
      </c>
      <c r="T3894">
        <v>-0.1960326</v>
      </c>
      <c r="U3894">
        <v>-2.8817599999999999</v>
      </c>
      <c r="V3894">
        <v>0.25157370000000001</v>
      </c>
      <c r="W3894">
        <v>0.13021369999999999</v>
      </c>
      <c r="X3894">
        <v>0.95903859999999996</v>
      </c>
      <c r="Y3894">
        <v>0.32151649999999998</v>
      </c>
      <c r="Z3894">
        <v>6.4149199999999906E-2</v>
      </c>
      <c r="AA3894">
        <v>0.94472860000000003</v>
      </c>
      <c r="AB3894">
        <v>30</v>
      </c>
      <c r="AC3894">
        <v>-5.72580000000002</v>
      </c>
      <c r="AD3894">
        <v>-1.1091676835299999</v>
      </c>
      <c r="AE3894">
        <v>-16.1343</v>
      </c>
      <c r="AF3894">
        <v>5.5447579159985203</v>
      </c>
      <c r="AG3894">
        <v>-1.1091676835299999</v>
      </c>
      <c r="AH3894">
        <v>16.1217549027083</v>
      </c>
      <c r="AI3894">
        <v>93.7223660405147</v>
      </c>
      <c r="AJ3894">
        <v>71.020360585551799</v>
      </c>
      <c r="AK3894">
        <v>17.084659037868299</v>
      </c>
      <c r="AL3894">
        <v>82.518058497039803</v>
      </c>
      <c r="AM3894">
        <v>75.301417907583897</v>
      </c>
      <c r="AN3894">
        <v>0.99999998524466904</v>
      </c>
    </row>
    <row r="3895" spans="1:40" x14ac:dyDescent="0.25">
      <c r="A3895" t="str">
        <f>"20190312173007879"</f>
        <v>20190312173007879</v>
      </c>
      <c r="B3895" t="str">
        <f>"1552383007871704"</f>
        <v>1552383007871704</v>
      </c>
      <c r="C3895" t="s">
        <v>40</v>
      </c>
      <c r="D3895">
        <v>3.582157</v>
      </c>
      <c r="E3895">
        <v>0.53075309999999998</v>
      </c>
      <c r="F3895" t="s">
        <v>51</v>
      </c>
      <c r="G3895">
        <v>-197.1891</v>
      </c>
      <c r="H3895" s="1">
        <v>-1.4710810000000001E-5</v>
      </c>
      <c r="I3895">
        <v>158.5564</v>
      </c>
      <c r="J3895">
        <v>-191.5034</v>
      </c>
      <c r="K3895">
        <v>1.1091299999999999</v>
      </c>
      <c r="L3895">
        <v>174.4153</v>
      </c>
      <c r="M3895">
        <v>-1.0183319999999999E-2</v>
      </c>
      <c r="N3895">
        <v>0</v>
      </c>
      <c r="O3895">
        <v>-0.99988200000000005</v>
      </c>
      <c r="P3895">
        <v>-0.263488</v>
      </c>
      <c r="Q3895">
        <v>0.1186347</v>
      </c>
      <c r="R3895">
        <v>-0.95734030000000003</v>
      </c>
      <c r="S3895">
        <v>-1.0215609999999999</v>
      </c>
      <c r="T3895">
        <v>-0.19921539999999999</v>
      </c>
      <c r="U3895">
        <v>-2.878387</v>
      </c>
      <c r="V3895">
        <v>0.25391059999999999</v>
      </c>
      <c r="W3895">
        <v>0.12930829999999999</v>
      </c>
      <c r="X3895">
        <v>0.95854510000000004</v>
      </c>
      <c r="Y3895">
        <v>0.32414140000000002</v>
      </c>
      <c r="Z3895">
        <v>6.5193609999999999E-2</v>
      </c>
      <c r="AA3895">
        <v>0.94375960000000003</v>
      </c>
      <c r="AB3895">
        <v>30</v>
      </c>
      <c r="AC3895">
        <v>-5.68569999999999</v>
      </c>
      <c r="AD3895">
        <v>-1.1091447108100001</v>
      </c>
      <c r="AE3895">
        <v>-15.8589</v>
      </c>
      <c r="AF3895">
        <v>5.500059510552</v>
      </c>
      <c r="AG3895">
        <v>-1.1091447108100001</v>
      </c>
      <c r="AH3895">
        <v>15.8472943814992</v>
      </c>
      <c r="AI3895">
        <v>93.782917086253804</v>
      </c>
      <c r="AJ3895">
        <v>70.859842893880099</v>
      </c>
      <c r="AK3895">
        <v>16.8112342147455</v>
      </c>
      <c r="AL3895">
        <v>82.570376309430003</v>
      </c>
      <c r="AM3895">
        <v>75.1635733617032</v>
      </c>
      <c r="AN3895">
        <v>0.999999968987629</v>
      </c>
    </row>
    <row r="3896" spans="1:40" x14ac:dyDescent="0.25">
      <c r="A3896" t="str">
        <f>"20190312173007892"</f>
        <v>20190312173007892</v>
      </c>
      <c r="B3896" t="str">
        <f>"1552383007881465"</f>
        <v>1552383007881465</v>
      </c>
      <c r="C3896" t="s">
        <v>40</v>
      </c>
      <c r="D3896">
        <v>3.5912500000000001</v>
      </c>
      <c r="E3896">
        <v>0.5306765</v>
      </c>
      <c r="F3896" t="s">
        <v>51</v>
      </c>
      <c r="G3896">
        <v>-197.13550000000001</v>
      </c>
      <c r="H3896" s="1">
        <v>-1.4743530000000001E-5</v>
      </c>
      <c r="I3896">
        <v>158.6865</v>
      </c>
      <c r="J3896">
        <v>-191.50559999999999</v>
      </c>
      <c r="K3896">
        <v>1.109111</v>
      </c>
      <c r="L3896">
        <v>174.2484</v>
      </c>
      <c r="M3896">
        <v>-1.061191E-2</v>
      </c>
      <c r="N3896">
        <v>0</v>
      </c>
      <c r="O3896">
        <v>-0.99987749999999997</v>
      </c>
      <c r="P3896">
        <v>-0.26671450000000002</v>
      </c>
      <c r="Q3896">
        <v>0.1180182</v>
      </c>
      <c r="R3896">
        <v>-0.95652250000000005</v>
      </c>
      <c r="S3896">
        <v>-1.029617</v>
      </c>
      <c r="T3896">
        <v>-0.2027668</v>
      </c>
      <c r="U3896">
        <v>-2.8754430000000002</v>
      </c>
      <c r="V3896">
        <v>0.25673800000000002</v>
      </c>
      <c r="W3896">
        <v>0.12868270000000001</v>
      </c>
      <c r="X3896">
        <v>0.95787599999999995</v>
      </c>
      <c r="Y3896">
        <v>0.32635989999999998</v>
      </c>
      <c r="Z3896">
        <v>6.6357529999999998E-2</v>
      </c>
      <c r="AA3896">
        <v>0.94291349999999996</v>
      </c>
      <c r="AB3896">
        <v>30</v>
      </c>
      <c r="AC3896">
        <v>-5.6299000000000197</v>
      </c>
      <c r="AD3896">
        <v>-1.1091257435299999</v>
      </c>
      <c r="AE3896">
        <v>-15.5619</v>
      </c>
      <c r="AF3896">
        <v>5.4399952186618004</v>
      </c>
      <c r="AG3896">
        <v>-1.1091257435299999</v>
      </c>
      <c r="AH3896">
        <v>15.5509200996951</v>
      </c>
      <c r="AI3896">
        <v>93.851447131582006</v>
      </c>
      <c r="AJ3896">
        <v>70.719232806593695</v>
      </c>
      <c r="AK3896">
        <v>16.512262832244598</v>
      </c>
      <c r="AL3896">
        <v>82.606523034370596</v>
      </c>
      <c r="AM3896">
        <v>74.995764249660198</v>
      </c>
      <c r="AN3896">
        <v>1.00000003464964</v>
      </c>
    </row>
    <row r="3897" spans="1:40" x14ac:dyDescent="0.25">
      <c r="A3897" t="str">
        <f>"20190312173007904"</f>
        <v>20190312173007904</v>
      </c>
      <c r="B3897" t="str">
        <f>"1552383007901961"</f>
        <v>1552383007901961</v>
      </c>
      <c r="C3897" t="s">
        <v>40</v>
      </c>
      <c r="D3897">
        <v>3.6134780000000002</v>
      </c>
      <c r="E3897">
        <v>0.5306012</v>
      </c>
      <c r="F3897" t="s">
        <v>51</v>
      </c>
      <c r="G3897">
        <v>-197.11850000000001</v>
      </c>
      <c r="H3897" s="1">
        <v>-1.4755E-5</v>
      </c>
      <c r="I3897">
        <v>158.7321</v>
      </c>
      <c r="J3897">
        <v>-191.50790000000001</v>
      </c>
      <c r="K3897">
        <v>1.1091009999999999</v>
      </c>
      <c r="L3897">
        <v>174.0729</v>
      </c>
      <c r="M3897">
        <v>-1.1066110000000001E-2</v>
      </c>
      <c r="N3897">
        <v>0</v>
      </c>
      <c r="O3897">
        <v>-0.99987230000000005</v>
      </c>
      <c r="P3897">
        <v>-0.26976739999999999</v>
      </c>
      <c r="Q3897">
        <v>0.1175857</v>
      </c>
      <c r="R3897">
        <v>-0.95571930000000005</v>
      </c>
      <c r="S3897">
        <v>-1.0389250000000001</v>
      </c>
      <c r="T3897">
        <v>-0.20529220000000001</v>
      </c>
      <c r="U3897">
        <v>-2.8719790000000001</v>
      </c>
      <c r="V3897">
        <v>0.25936730000000002</v>
      </c>
      <c r="W3897">
        <v>0.12824250000000001</v>
      </c>
      <c r="X3897">
        <v>0.95722649999999998</v>
      </c>
      <c r="Y3897">
        <v>0.3289764</v>
      </c>
      <c r="Z3897">
        <v>6.7188520000000002E-2</v>
      </c>
      <c r="AA3897">
        <v>0.94194500000000003</v>
      </c>
      <c r="AB3897">
        <v>30</v>
      </c>
      <c r="AC3897">
        <v>-5.6105999999999998</v>
      </c>
      <c r="AD3897">
        <v>-1.1091157549999999</v>
      </c>
      <c r="AE3897">
        <v>-15.3408</v>
      </c>
      <c r="AF3897">
        <v>5.41551454800749</v>
      </c>
      <c r="AG3897">
        <v>-1.1091157549999999</v>
      </c>
      <c r="AH3897">
        <v>15.331269154707901</v>
      </c>
      <c r="AI3897">
        <v>93.902263365135695</v>
      </c>
      <c r="AJ3897">
        <v>70.545083911515405</v>
      </c>
      <c r="AK3897">
        <v>16.297415423059199</v>
      </c>
      <c r="AL3897">
        <v>82.631955500283198</v>
      </c>
      <c r="AM3897">
        <v>74.839326373667603</v>
      </c>
      <c r="AN3897">
        <v>1.00000005370889</v>
      </c>
    </row>
    <row r="3898" spans="1:40" x14ac:dyDescent="0.25">
      <c r="A3898" t="str">
        <f>"20190312173007921"</f>
        <v>20190312173007921</v>
      </c>
      <c r="B3898" t="str">
        <f>"1552383007911724"</f>
        <v>1552383007911724</v>
      </c>
      <c r="C3898" t="s">
        <v>40</v>
      </c>
      <c r="D3898">
        <v>3.6163150000000002</v>
      </c>
      <c r="E3898">
        <v>0.53057410000000005</v>
      </c>
      <c r="F3898" t="s">
        <v>51</v>
      </c>
      <c r="G3898">
        <v>-197.10069999999999</v>
      </c>
      <c r="H3898" s="1">
        <v>-1.4760360000000001E-5</v>
      </c>
      <c r="I3898">
        <v>158.7533</v>
      </c>
      <c r="J3898">
        <v>-191.5112</v>
      </c>
      <c r="K3898">
        <v>1.1090850000000001</v>
      </c>
      <c r="L3898">
        <v>173.83250000000001</v>
      </c>
      <c r="M3898">
        <v>-1.169214E-2</v>
      </c>
      <c r="N3898">
        <v>0</v>
      </c>
      <c r="O3898">
        <v>-0.99986520000000001</v>
      </c>
      <c r="P3898">
        <v>-0.27563589999999999</v>
      </c>
      <c r="Q3898">
        <v>0.1170364</v>
      </c>
      <c r="R3898">
        <v>-0.9541113</v>
      </c>
      <c r="S3898">
        <v>-1.0473790000000001</v>
      </c>
      <c r="T3898">
        <v>-0.20770669999999999</v>
      </c>
      <c r="U3898">
        <v>-2.8689269999999998</v>
      </c>
      <c r="V3898">
        <v>0.26465680000000003</v>
      </c>
      <c r="W3898">
        <v>0.12768109999999999</v>
      </c>
      <c r="X3898">
        <v>0.9558527</v>
      </c>
      <c r="Y3898">
        <v>0.33113789999999999</v>
      </c>
      <c r="Z3898">
        <v>6.7982319999999999E-2</v>
      </c>
      <c r="AA3898">
        <v>0.94113020000000003</v>
      </c>
      <c r="AB3898">
        <v>30</v>
      </c>
      <c r="AC3898">
        <v>-5.5894999999999797</v>
      </c>
      <c r="AD3898">
        <v>-1.1090997603599999</v>
      </c>
      <c r="AE3898">
        <v>-15.0792</v>
      </c>
      <c r="AF3898">
        <v>5.38717491564082</v>
      </c>
      <c r="AG3898">
        <v>-1.1090997603599999</v>
      </c>
      <c r="AH3898">
        <v>15.0718401792232</v>
      </c>
      <c r="AI3898">
        <v>93.963923366253695</v>
      </c>
      <c r="AJ3898">
        <v>70.331427588320906</v>
      </c>
      <c r="AK3898">
        <v>16.044068132434099</v>
      </c>
      <c r="AL3898">
        <v>82.6643878327897</v>
      </c>
      <c r="AM3898">
        <v>74.523637246482494</v>
      </c>
      <c r="AN3898">
        <v>1.0000000345903599</v>
      </c>
    </row>
    <row r="3899" spans="1:40" x14ac:dyDescent="0.25">
      <c r="A3899" t="str">
        <f>"20190312173007935"</f>
        <v>20190312173007935</v>
      </c>
      <c r="B3899" t="str">
        <f>"1552383007931241"</f>
        <v>1552383007931241</v>
      </c>
      <c r="C3899" t="s">
        <v>40</v>
      </c>
      <c r="D3899">
        <v>3.6089530000000001</v>
      </c>
      <c r="E3899">
        <v>0.53040030000000005</v>
      </c>
      <c r="F3899" t="s">
        <v>51</v>
      </c>
      <c r="G3899">
        <v>-197.131</v>
      </c>
      <c r="H3899" s="1">
        <v>-1.475088E-5</v>
      </c>
      <c r="I3899">
        <v>158.7157</v>
      </c>
      <c r="J3899">
        <v>-191.5136</v>
      </c>
      <c r="K3899">
        <v>1.1090799999999901</v>
      </c>
      <c r="L3899">
        <v>173.65969999999999</v>
      </c>
      <c r="M3899">
        <v>-1.214062E-2</v>
      </c>
      <c r="N3899">
        <v>0</v>
      </c>
      <c r="O3899">
        <v>-0.99985970000000002</v>
      </c>
      <c r="P3899">
        <v>-0.27864129999999998</v>
      </c>
      <c r="Q3899">
        <v>0.1166109</v>
      </c>
      <c r="R3899">
        <v>-0.95328990000000002</v>
      </c>
      <c r="S3899">
        <v>-1.064209</v>
      </c>
      <c r="T3899">
        <v>-0.2100265</v>
      </c>
      <c r="U3899">
        <v>-2.862625</v>
      </c>
      <c r="V3899">
        <v>0.26724360000000003</v>
      </c>
      <c r="W3899">
        <v>0.12725410000000001</v>
      </c>
      <c r="X3899">
        <v>0.95518959999999997</v>
      </c>
      <c r="Y3899">
        <v>0.33622960000000002</v>
      </c>
      <c r="Z3899">
        <v>6.8747390000000005E-2</v>
      </c>
      <c r="AA3899">
        <v>0.93926750000000003</v>
      </c>
      <c r="AB3899">
        <v>30</v>
      </c>
      <c r="AC3899">
        <v>-5.6173999999999698</v>
      </c>
      <c r="AD3899">
        <v>-1.10909475087999</v>
      </c>
      <c r="AE3899">
        <v>-14.9439999999999</v>
      </c>
      <c r="AF3899">
        <v>5.40943746143122</v>
      </c>
      <c r="AG3899">
        <v>-1.10909475087999</v>
      </c>
      <c r="AH3899">
        <v>14.939003273994199</v>
      </c>
      <c r="AI3899">
        <v>93.9931152401589</v>
      </c>
      <c r="AJ3899">
        <v>70.094595768445899</v>
      </c>
      <c r="AK3899">
        <v>15.926893094259601</v>
      </c>
      <c r="AL3899">
        <v>82.689053791656306</v>
      </c>
      <c r="AM3899">
        <v>74.369406523933804</v>
      </c>
      <c r="AN3899">
        <v>0.99999995982796397</v>
      </c>
    </row>
    <row r="3900" spans="1:40" x14ac:dyDescent="0.25">
      <c r="A3900" t="str">
        <f>"20190312173007948"</f>
        <v>20190312173007948</v>
      </c>
      <c r="B3900" t="str">
        <f>"1552383007941000"</f>
        <v>1552383007941000</v>
      </c>
      <c r="C3900" t="s">
        <v>40</v>
      </c>
      <c r="D3900">
        <v>3.6203430000000001</v>
      </c>
      <c r="E3900">
        <v>0.53029599999999999</v>
      </c>
      <c r="F3900" t="s">
        <v>51</v>
      </c>
      <c r="G3900">
        <v>-197.11449999999999</v>
      </c>
      <c r="H3900" s="1">
        <v>-1.47507299999999E-5</v>
      </c>
      <c r="I3900">
        <v>158.71510000000001</v>
      </c>
      <c r="J3900">
        <v>-191.5163</v>
      </c>
      <c r="K3900">
        <v>1.1090770000000001</v>
      </c>
      <c r="L3900">
        <v>173.47810000000001</v>
      </c>
      <c r="M3900">
        <v>-1.2610659999999999E-2</v>
      </c>
      <c r="N3900">
        <v>0</v>
      </c>
      <c r="O3900">
        <v>-0.99985360000000001</v>
      </c>
      <c r="P3900">
        <v>-0.28149489999999999</v>
      </c>
      <c r="Q3900">
        <v>0.1162692</v>
      </c>
      <c r="R3900">
        <v>-0.95249269999999997</v>
      </c>
      <c r="S3900">
        <v>-1.0717319999999999</v>
      </c>
      <c r="T3900">
        <v>-0.21222869999999999</v>
      </c>
      <c r="U3900">
        <v>-2.8596949999999999</v>
      </c>
      <c r="V3900">
        <v>0.26965840000000002</v>
      </c>
      <c r="W3900">
        <v>0.12691350000000001</v>
      </c>
      <c r="X3900">
        <v>0.95455599999999996</v>
      </c>
      <c r="Y3900">
        <v>0.33825119999999997</v>
      </c>
      <c r="Z3900">
        <v>6.9473560000000004E-2</v>
      </c>
      <c r="AA3900">
        <v>0.93848790000000004</v>
      </c>
      <c r="AB3900">
        <v>30</v>
      </c>
      <c r="AC3900">
        <v>-5.5981999999999896</v>
      </c>
      <c r="AD3900">
        <v>-1.10909175073</v>
      </c>
      <c r="AE3900">
        <v>-14.763</v>
      </c>
      <c r="AF3900">
        <v>5.3849992556049502</v>
      </c>
      <c r="AG3900">
        <v>-1.10909175073</v>
      </c>
      <c r="AH3900">
        <v>14.759597435737501</v>
      </c>
      <c r="AI3900">
        <v>94.037932291712494</v>
      </c>
      <c r="AJ3900">
        <v>69.955638796645601</v>
      </c>
      <c r="AK3900">
        <v>15.7503656452614</v>
      </c>
      <c r="AL3900">
        <v>82.708727987078603</v>
      </c>
      <c r="AM3900">
        <v>74.225218050089893</v>
      </c>
      <c r="AN3900">
        <v>0.999999923154402</v>
      </c>
    </row>
    <row r="3901" spans="1:40" x14ac:dyDescent="0.25">
      <c r="A3901" t="str">
        <f>"20190312173007960"</f>
        <v>20190312173007960</v>
      </c>
      <c r="B3901" t="str">
        <f>"1552383007951737"</f>
        <v>1552383007951737</v>
      </c>
      <c r="C3901" t="s">
        <v>40</v>
      </c>
      <c r="D3901">
        <v>3.6048800000000001</v>
      </c>
      <c r="E3901">
        <v>0.53019209999999894</v>
      </c>
      <c r="F3901" t="s">
        <v>51</v>
      </c>
      <c r="G3901">
        <v>-197.12049999999999</v>
      </c>
      <c r="H3901" s="1">
        <v>-1.47337299999999E-5</v>
      </c>
      <c r="I3901">
        <v>158.64750000000001</v>
      </c>
      <c r="J3901">
        <v>-191.51900000000001</v>
      </c>
      <c r="K3901">
        <v>1.109073</v>
      </c>
      <c r="L3901">
        <v>173.29679999999999</v>
      </c>
      <c r="M3901">
        <v>-1.30787E-2</v>
      </c>
      <c r="N3901">
        <v>0</v>
      </c>
      <c r="O3901">
        <v>-0.99984759999999995</v>
      </c>
      <c r="P3901">
        <v>-0.28400900000000001</v>
      </c>
      <c r="Q3901">
        <v>0.1162064</v>
      </c>
      <c r="R3901">
        <v>-0.95175399999999999</v>
      </c>
      <c r="S3901">
        <v>-1.0794680000000001</v>
      </c>
      <c r="T3901">
        <v>-0.2136335</v>
      </c>
      <c r="U3901">
        <v>-2.8566739999999999</v>
      </c>
      <c r="V3901">
        <v>0.27173570000000002</v>
      </c>
      <c r="W3901">
        <v>0.12685489999999999</v>
      </c>
      <c r="X3901">
        <v>0.95397460000000001</v>
      </c>
      <c r="Y3901">
        <v>0.3403506</v>
      </c>
      <c r="Z3901">
        <v>6.9939899999999902E-2</v>
      </c>
      <c r="AA3901">
        <v>0.93769389999999997</v>
      </c>
      <c r="AB3901">
        <v>30</v>
      </c>
      <c r="AC3901">
        <v>-5.6014999999999802</v>
      </c>
      <c r="AD3901">
        <v>-1.10908773373</v>
      </c>
      <c r="AE3901">
        <v>-14.649299999999901</v>
      </c>
      <c r="AF3901">
        <v>5.3824977654561996</v>
      </c>
      <c r="AG3901">
        <v>-1.10908773373</v>
      </c>
      <c r="AH3901">
        <v>14.648060995308199</v>
      </c>
      <c r="AI3901">
        <v>94.065149187483598</v>
      </c>
      <c r="AJ3901">
        <v>69.823910396010106</v>
      </c>
      <c r="AK3901">
        <v>15.6450327170806</v>
      </c>
      <c r="AL3901">
        <v>82.712113418476704</v>
      </c>
      <c r="AM3901">
        <v>74.100617370535502</v>
      </c>
      <c r="AN3901">
        <v>0.99999999687682894</v>
      </c>
    </row>
    <row r="3902" spans="1:40" x14ac:dyDescent="0.25">
      <c r="A3902" t="str">
        <f>"20190312173007980"</f>
        <v>20190312173007980</v>
      </c>
      <c r="B3902" t="str">
        <f>"1552383007971258"</f>
        <v>1552383007971258</v>
      </c>
      <c r="C3902" t="s">
        <v>40</v>
      </c>
      <c r="D3902">
        <v>3.6214369999999998</v>
      </c>
      <c r="E3902">
        <v>0.52997169999999905</v>
      </c>
      <c r="F3902" t="s">
        <v>51</v>
      </c>
      <c r="G3902">
        <v>-197.148</v>
      </c>
      <c r="H3902" s="1">
        <v>-1.46991799999999E-5</v>
      </c>
      <c r="I3902">
        <v>158.5102</v>
      </c>
      <c r="J3902">
        <v>-191.52289999999999</v>
      </c>
      <c r="K3902">
        <v>1.109073</v>
      </c>
      <c r="L3902">
        <v>173.05520000000001</v>
      </c>
      <c r="M3902">
        <v>-1.3698729999999999E-2</v>
      </c>
      <c r="N3902">
        <v>0</v>
      </c>
      <c r="O3902">
        <v>-0.99983880000000003</v>
      </c>
      <c r="P3902">
        <v>-0.287636</v>
      </c>
      <c r="Q3902">
        <v>0.1159859</v>
      </c>
      <c r="R3902">
        <v>-0.95069090000000001</v>
      </c>
      <c r="S3902">
        <v>-1.0864560000000001</v>
      </c>
      <c r="T3902">
        <v>-0.2140687</v>
      </c>
      <c r="U3902">
        <v>-2.8540040000000002</v>
      </c>
      <c r="V3902">
        <v>0.27478560000000002</v>
      </c>
      <c r="W3902">
        <v>0.126642899999999</v>
      </c>
      <c r="X3902">
        <v>0.9531288</v>
      </c>
      <c r="Y3902">
        <v>0.34206059999999999</v>
      </c>
      <c r="Z3902">
        <v>7.0090020000000003E-2</v>
      </c>
      <c r="AA3902">
        <v>0.93706029999999996</v>
      </c>
      <c r="AB3902">
        <v>30</v>
      </c>
      <c r="AC3902">
        <v>-5.6250999999999998</v>
      </c>
      <c r="AD3902">
        <v>-1.1090876991800001</v>
      </c>
      <c r="AE3902">
        <v>-14.545</v>
      </c>
      <c r="AF3902">
        <v>5.3980080692523602</v>
      </c>
      <c r="AG3902">
        <v>-1.1090876991800001</v>
      </c>
      <c r="AH3902">
        <v>14.5471190469808</v>
      </c>
      <c r="AI3902">
        <v>94.088470913256501</v>
      </c>
      <c r="AJ3902">
        <v>69.641591035290702</v>
      </c>
      <c r="AK3902">
        <v>15.555939033283</v>
      </c>
      <c r="AL3902">
        <v>82.724359125895603</v>
      </c>
      <c r="AM3902">
        <v>73.917808037894105</v>
      </c>
      <c r="AN3902">
        <v>1.0000000297386</v>
      </c>
    </row>
    <row r="3903" spans="1:40" x14ac:dyDescent="0.25">
      <c r="A3903" t="str">
        <f>"20190312173008002"</f>
        <v>20190312173008002</v>
      </c>
      <c r="B3903" t="str">
        <f>"1552383007991752"</f>
        <v>1552383007991752</v>
      </c>
      <c r="C3903" t="s">
        <v>40</v>
      </c>
      <c r="D3903">
        <v>3.6332209999999998</v>
      </c>
      <c r="E3903">
        <v>0.52979219999999905</v>
      </c>
      <c r="F3903" t="s">
        <v>51</v>
      </c>
      <c r="G3903">
        <v>-197.17150000000001</v>
      </c>
      <c r="H3903" s="1">
        <v>-1.466246E-5</v>
      </c>
      <c r="I3903">
        <v>158.36420000000001</v>
      </c>
      <c r="J3903">
        <v>-191.52799999999999</v>
      </c>
      <c r="K3903">
        <v>1.1090719999999901</v>
      </c>
      <c r="L3903">
        <v>172.74209999999999</v>
      </c>
      <c r="M3903">
        <v>-1.450422E-2</v>
      </c>
      <c r="N3903">
        <v>0</v>
      </c>
      <c r="O3903">
        <v>-0.99982680000000002</v>
      </c>
      <c r="P3903">
        <v>-0.29006470000000001</v>
      </c>
      <c r="Q3903">
        <v>0.1165321</v>
      </c>
      <c r="R3903">
        <v>-0.9498858</v>
      </c>
      <c r="S3903">
        <v>-1.0959319999999999</v>
      </c>
      <c r="T3903">
        <v>-0.2151827</v>
      </c>
      <c r="U3903">
        <v>-2.8502960000000002</v>
      </c>
      <c r="V3903">
        <v>0.27646019999999999</v>
      </c>
      <c r="W3903">
        <v>0.1272238</v>
      </c>
      <c r="X3903">
        <v>0.95256700000000005</v>
      </c>
      <c r="Y3903">
        <v>0.34441549999999999</v>
      </c>
      <c r="Z3903">
        <v>7.0465260000000002E-2</v>
      </c>
      <c r="AA3903">
        <v>0.93616909999999998</v>
      </c>
      <c r="AB3903">
        <v>31</v>
      </c>
      <c r="AC3903">
        <v>-5.6435000000000102</v>
      </c>
      <c r="AD3903">
        <v>-1.10908666245999</v>
      </c>
      <c r="AE3903">
        <v>-14.377899999999901</v>
      </c>
      <c r="AF3903">
        <v>5.4064762907022796</v>
      </c>
      <c r="AG3903">
        <v>-1.10908666245999</v>
      </c>
      <c r="AH3903">
        <v>14.3840837382301</v>
      </c>
      <c r="AI3903">
        <v>94.128177933397197</v>
      </c>
      <c r="AJ3903">
        <v>69.400507262797703</v>
      </c>
      <c r="AK3903">
        <v>15.406554582228599</v>
      </c>
      <c r="AL3903">
        <v>82.690804474319506</v>
      </c>
      <c r="AM3903">
        <v>73.815870202914198</v>
      </c>
      <c r="AN3903">
        <v>1.00000001347974</v>
      </c>
    </row>
    <row r="3904" spans="1:40" x14ac:dyDescent="0.25">
      <c r="A3904" t="str">
        <f>"20190312173008023"</f>
        <v>20190312173008023</v>
      </c>
      <c r="B3904" t="str">
        <f>"1552383008011273"</f>
        <v>1552383008011273</v>
      </c>
      <c r="C3904" t="s">
        <v>40</v>
      </c>
      <c r="D3904">
        <v>3.6268669999999998</v>
      </c>
      <c r="E3904">
        <v>0.52960369999999901</v>
      </c>
      <c r="F3904" t="s">
        <v>51</v>
      </c>
      <c r="G3904">
        <v>-197.2543</v>
      </c>
      <c r="H3904" s="1">
        <v>-1.456086E-5</v>
      </c>
      <c r="I3904">
        <v>157.96039999999999</v>
      </c>
      <c r="J3904">
        <v>-191.53319999999999</v>
      </c>
      <c r="K3904">
        <v>1.10907</v>
      </c>
      <c r="L3904">
        <v>172.4426</v>
      </c>
      <c r="M3904">
        <v>-1.529088E-2</v>
      </c>
      <c r="N3904">
        <v>0</v>
      </c>
      <c r="O3904">
        <v>-0.99981430000000004</v>
      </c>
      <c r="P3904">
        <v>-0.29214610000000002</v>
      </c>
      <c r="Q3904">
        <v>0.11745319999999999</v>
      </c>
      <c r="R3904">
        <v>-0.94913420000000004</v>
      </c>
      <c r="S3904">
        <v>-1.1031489999999999</v>
      </c>
      <c r="T3904">
        <v>-0.2136604</v>
      </c>
      <c r="U3904">
        <v>-2.847626</v>
      </c>
      <c r="V3904">
        <v>0.27780860000000002</v>
      </c>
      <c r="W3904">
        <v>0.1281862</v>
      </c>
      <c r="X3904">
        <v>0.95204549999999999</v>
      </c>
      <c r="Y3904">
        <v>0.34604800000000002</v>
      </c>
      <c r="Z3904">
        <v>6.9976650000000001E-2</v>
      </c>
      <c r="AA3904">
        <v>0.93560359999999998</v>
      </c>
      <c r="AB3904">
        <v>31</v>
      </c>
      <c r="AC3904">
        <v>-5.7210999999999999</v>
      </c>
      <c r="AD3904">
        <v>-1.10908456086</v>
      </c>
      <c r="AE3904">
        <v>-14.482200000000001</v>
      </c>
      <c r="AF3904">
        <v>5.4712137863651202</v>
      </c>
      <c r="AG3904">
        <v>-1.10908456086</v>
      </c>
      <c r="AH3904">
        <v>14.494460316323501</v>
      </c>
      <c r="AI3904">
        <v>94.094681342716299</v>
      </c>
      <c r="AJ3904">
        <v>69.320017928771193</v>
      </c>
      <c r="AK3904">
        <v>15.5323413792231</v>
      </c>
      <c r="AL3904">
        <v>82.635207530443097</v>
      </c>
      <c r="AM3904">
        <v>73.732659476373897</v>
      </c>
      <c r="AN3904">
        <v>0.99999997708732402</v>
      </c>
    </row>
    <row r="3905" spans="1:40" x14ac:dyDescent="0.25">
      <c r="A3905" t="str">
        <f>"20190312173008045"</f>
        <v>20190312173008045</v>
      </c>
      <c r="B3905" t="str">
        <f>"1552383008041529"</f>
        <v>1552383008041529</v>
      </c>
      <c r="C3905" t="s">
        <v>40</v>
      </c>
      <c r="D3905">
        <v>3.6312899999999999</v>
      </c>
      <c r="E3905">
        <v>0.52934329999999996</v>
      </c>
      <c r="F3905" t="s">
        <v>51</v>
      </c>
      <c r="G3905">
        <v>-197.34960000000001</v>
      </c>
      <c r="H3905" s="1">
        <v>-1.444704E-5</v>
      </c>
      <c r="I3905">
        <v>157.50810000000001</v>
      </c>
      <c r="J3905">
        <v>-191.5384</v>
      </c>
      <c r="K3905">
        <v>1.109059</v>
      </c>
      <c r="L3905">
        <v>172.15989999999999</v>
      </c>
      <c r="M3905">
        <v>-1.6074700000000001E-2</v>
      </c>
      <c r="N3905">
        <v>0</v>
      </c>
      <c r="O3905">
        <v>-0.99980100000000005</v>
      </c>
      <c r="P3905">
        <v>-0.29374739999999999</v>
      </c>
      <c r="Q3905">
        <v>0.1183463</v>
      </c>
      <c r="R3905">
        <v>-0.94852860000000006</v>
      </c>
      <c r="S3905">
        <v>-1.1083069999999999</v>
      </c>
      <c r="T3905">
        <v>-0.2113352</v>
      </c>
      <c r="U3905">
        <v>-2.845764</v>
      </c>
      <c r="V3905">
        <v>0.27868229999999999</v>
      </c>
      <c r="W3905">
        <v>0.1291187</v>
      </c>
      <c r="X3905">
        <v>0.95166410000000001</v>
      </c>
      <c r="Y3905">
        <v>0.34701090000000001</v>
      </c>
      <c r="Z3905">
        <v>6.9225209999999995E-2</v>
      </c>
      <c r="AA3905">
        <v>0.93530279999999999</v>
      </c>
      <c r="AB3905">
        <v>30</v>
      </c>
      <c r="AC3905">
        <v>-5.8112000000000101</v>
      </c>
      <c r="AD3905">
        <v>-1.1090734470399899</v>
      </c>
      <c r="AE3905">
        <v>-14.6517999999999</v>
      </c>
      <c r="AF3905">
        <v>5.5474441235059997</v>
      </c>
      <c r="AG3905">
        <v>-1.1090734470399899</v>
      </c>
      <c r="AH3905">
        <v>14.6706923628666</v>
      </c>
      <c r="AI3905">
        <v>94.044735738053603</v>
      </c>
      <c r="AJ3905">
        <v>69.286838895085097</v>
      </c>
      <c r="AK3905">
        <v>15.723657164293</v>
      </c>
      <c r="AL3905">
        <v>82.581331742945693</v>
      </c>
      <c r="AM3905">
        <v>73.678025589249998</v>
      </c>
      <c r="AN3905">
        <v>1.00000001112589</v>
      </c>
    </row>
    <row r="3906" spans="1:40" x14ac:dyDescent="0.25">
      <c r="A3906" t="str">
        <f>"20190312173008057"</f>
        <v>20190312173008057</v>
      </c>
      <c r="B3906" t="str">
        <f>"1552383008051289"</f>
        <v>1552383008051289</v>
      </c>
      <c r="C3906" t="s">
        <v>40</v>
      </c>
      <c r="D3906">
        <v>3.6619269999999999</v>
      </c>
      <c r="E3906">
        <v>0.52934329999999996</v>
      </c>
      <c r="F3906" t="s">
        <v>51</v>
      </c>
      <c r="G3906">
        <v>-197.4212</v>
      </c>
      <c r="H3906" s="1">
        <v>-1.434346E-5</v>
      </c>
      <c r="I3906">
        <v>157.09639999999999</v>
      </c>
      <c r="J3906">
        <v>-191.54159999999999</v>
      </c>
      <c r="K3906">
        <v>1.1090469999999999</v>
      </c>
      <c r="L3906">
        <v>171.99019999999999</v>
      </c>
      <c r="M3906">
        <v>-1.6567499999999999E-2</v>
      </c>
      <c r="N3906">
        <v>0</v>
      </c>
      <c r="O3906">
        <v>-0.99979249999999997</v>
      </c>
      <c r="P3906">
        <v>-0.29458060000000003</v>
      </c>
      <c r="Q3906">
        <v>0.11869979999999999</v>
      </c>
      <c r="R3906">
        <v>-0.94822600000000001</v>
      </c>
      <c r="S3906">
        <v>-1.1110230000000001</v>
      </c>
      <c r="T3906">
        <v>-0.20945749999999999</v>
      </c>
      <c r="U3906">
        <v>-2.8448639999999998</v>
      </c>
      <c r="V3906">
        <v>0.27905799999999997</v>
      </c>
      <c r="W3906">
        <v>0.1294941</v>
      </c>
      <c r="X3906">
        <v>0.95150299999999999</v>
      </c>
      <c r="Y3906">
        <v>0.34743930000000001</v>
      </c>
      <c r="Z3906">
        <v>6.8615510000000005E-2</v>
      </c>
      <c r="AA3906">
        <v>0.93518869999999998</v>
      </c>
      <c r="AB3906">
        <v>30</v>
      </c>
      <c r="AC3906">
        <v>-5.8796000000000097</v>
      </c>
      <c r="AD3906">
        <v>-1.1090613434599901</v>
      </c>
      <c r="AE3906">
        <v>-14.893800000000001</v>
      </c>
      <c r="AF3906">
        <v>5.6051327468568699</v>
      </c>
      <c r="AG3906">
        <v>-1.1090613434599901</v>
      </c>
      <c r="AH3906">
        <v>14.917607625921599</v>
      </c>
      <c r="AI3906">
        <v>93.9810921318076</v>
      </c>
      <c r="AJ3906">
        <v>69.4068229792681</v>
      </c>
      <c r="AK3906">
        <v>15.9744341826057</v>
      </c>
      <c r="AL3906">
        <v>82.559640902691001</v>
      </c>
      <c r="AM3906">
        <v>73.654575621931599</v>
      </c>
      <c r="AN3906">
        <v>1.0000000241539</v>
      </c>
    </row>
    <row r="3907" spans="1:40" x14ac:dyDescent="0.25">
      <c r="A3907" t="str">
        <f>"20190312173008069"</f>
        <v>20190312173008069</v>
      </c>
      <c r="B3907" t="str">
        <f>"1552383008061049"</f>
        <v>1552383008061049</v>
      </c>
      <c r="C3907" t="s">
        <v>40</v>
      </c>
      <c r="D3907">
        <v>3.6715249999999999</v>
      </c>
      <c r="E3907">
        <v>0.52571199999999996</v>
      </c>
      <c r="F3907" t="s">
        <v>51</v>
      </c>
      <c r="G3907">
        <v>-197.471</v>
      </c>
      <c r="H3907" s="1">
        <v>-1.4281389999999999E-5</v>
      </c>
      <c r="I3907">
        <v>156.84970000000001</v>
      </c>
      <c r="J3907">
        <v>-191.54499999999999</v>
      </c>
      <c r="K3907">
        <v>1.109035</v>
      </c>
      <c r="L3907">
        <v>171.81989999999999</v>
      </c>
      <c r="M3907">
        <v>-1.708266E-2</v>
      </c>
      <c r="N3907">
        <v>0</v>
      </c>
      <c r="O3907">
        <v>-0.99978359999999999</v>
      </c>
      <c r="P3907">
        <v>-0.29539850000000001</v>
      </c>
      <c r="Q3907">
        <v>0.1192101</v>
      </c>
      <c r="R3907">
        <v>-0.94790790000000003</v>
      </c>
      <c r="S3907">
        <v>-1.1137239999999999</v>
      </c>
      <c r="T3907">
        <v>-0.20831730000000001</v>
      </c>
      <c r="U3907">
        <v>-2.8438569999999999</v>
      </c>
      <c r="V3907">
        <v>0.27939920000000001</v>
      </c>
      <c r="W3907">
        <v>0.13002420000000001</v>
      </c>
      <c r="X3907">
        <v>0.95133049999999997</v>
      </c>
      <c r="Y3907">
        <v>0.34784789999999999</v>
      </c>
      <c r="Z3907">
        <v>6.8248639999999999E-2</v>
      </c>
      <c r="AA3907">
        <v>0.93506359999999999</v>
      </c>
      <c r="AB3907">
        <v>30</v>
      </c>
      <c r="AC3907">
        <v>-5.9259999999999797</v>
      </c>
      <c r="AD3907">
        <v>-1.1090492813899999</v>
      </c>
      <c r="AE3907">
        <v>-14.970199999999901</v>
      </c>
      <c r="AF3907">
        <v>5.6426127412696898</v>
      </c>
      <c r="AG3907">
        <v>-1.1090492813899999</v>
      </c>
      <c r="AH3907">
        <v>14.998089986908999</v>
      </c>
      <c r="AI3907">
        <v>93.959126529585603</v>
      </c>
      <c r="AJ3907">
        <v>69.382591601660096</v>
      </c>
      <c r="AK3907">
        <v>16.062744849866501</v>
      </c>
      <c r="AL3907">
        <v>82.529008977595197</v>
      </c>
      <c r="AM3907">
        <v>73.632850511916203</v>
      </c>
      <c r="AN3907">
        <v>0.99999996288826398</v>
      </c>
    </row>
    <row r="3908" spans="1:40" x14ac:dyDescent="0.25">
      <c r="A3908" t="str">
        <f>"20190312173008082"</f>
        <v>20190312173008082</v>
      </c>
      <c r="B3908" t="str">
        <f>"1552383008071785"</f>
        <v>1552383008071785</v>
      </c>
      <c r="C3908" t="s">
        <v>40</v>
      </c>
      <c r="D3908">
        <v>3.6787939999999999</v>
      </c>
      <c r="E3908">
        <v>0.52574779999999999</v>
      </c>
      <c r="F3908" t="s">
        <v>51</v>
      </c>
      <c r="G3908">
        <v>-197.16489999999999</v>
      </c>
      <c r="H3908" s="1">
        <v>-1.434446E-5</v>
      </c>
      <c r="I3908">
        <v>157.10040000000001</v>
      </c>
      <c r="J3908">
        <v>-191.54849999999999</v>
      </c>
      <c r="K3908">
        <v>1.1090139999999999</v>
      </c>
      <c r="L3908">
        <v>171.6421</v>
      </c>
      <c r="M3908">
        <v>-1.7641710000000001E-2</v>
      </c>
      <c r="N3908">
        <v>0</v>
      </c>
      <c r="O3908">
        <v>-0.99977340000000003</v>
      </c>
      <c r="P3908">
        <v>-0.2959832</v>
      </c>
      <c r="Q3908">
        <v>0.1196839</v>
      </c>
      <c r="R3908">
        <v>-0.94766589999999995</v>
      </c>
      <c r="S3908">
        <v>-1.0890959999999901</v>
      </c>
      <c r="T3908">
        <v>-0.2149221</v>
      </c>
      <c r="U3908">
        <v>-2.8524929999999999</v>
      </c>
      <c r="V3908">
        <v>0.27946599999999999</v>
      </c>
      <c r="W3908">
        <v>0.1305182</v>
      </c>
      <c r="X3908">
        <v>0.95124330000000001</v>
      </c>
      <c r="Y3908">
        <v>0.33926840000000003</v>
      </c>
      <c r="Z3908">
        <v>7.0421540000000005E-2</v>
      </c>
      <c r="AA3908">
        <v>0.93805000000000005</v>
      </c>
      <c r="AB3908">
        <v>30</v>
      </c>
      <c r="AC3908">
        <v>-5.6163999999999898</v>
      </c>
      <c r="AD3908">
        <v>-1.10902834446</v>
      </c>
      <c r="AE3908">
        <v>-14.541699999999899</v>
      </c>
      <c r="AF3908">
        <v>5.3319799033397404</v>
      </c>
      <c r="AG3908">
        <v>-1.10902834446</v>
      </c>
      <c r="AH3908">
        <v>14.5648083019212</v>
      </c>
      <c r="AI3908">
        <v>94.0898912723097</v>
      </c>
      <c r="AJ3908">
        <v>69.8930029965491</v>
      </c>
      <c r="AK3908">
        <v>15.549713644635</v>
      </c>
      <c r="AL3908">
        <v>82.500462103480004</v>
      </c>
      <c r="AM3908">
        <v>73.627726540245604</v>
      </c>
      <c r="AN3908">
        <v>1.0000000307410599</v>
      </c>
    </row>
    <row r="3909" spans="1:40" x14ac:dyDescent="0.25">
      <c r="A3909" t="str">
        <f>"20190312173008095"</f>
        <v>20190312173008095</v>
      </c>
      <c r="B3909" t="str">
        <f>"1552383008091305"</f>
        <v>1552383008091305</v>
      </c>
      <c r="C3909" t="s">
        <v>40</v>
      </c>
      <c r="D3909">
        <v>3.6342539999999999</v>
      </c>
      <c r="E3909">
        <v>0.52612639999999999</v>
      </c>
      <c r="F3909" t="s">
        <v>51</v>
      </c>
      <c r="G3909">
        <v>-197.23070000000001</v>
      </c>
      <c r="H3909" s="1">
        <v>-1.4268620000000001E-5</v>
      </c>
      <c r="I3909">
        <v>156.79900000000001</v>
      </c>
      <c r="J3909">
        <v>-191.55199999999999</v>
      </c>
      <c r="K3909">
        <v>1.108975</v>
      </c>
      <c r="L3909">
        <v>171.47970000000001</v>
      </c>
      <c r="M3909">
        <v>-1.8222660000000002E-2</v>
      </c>
      <c r="N3909">
        <v>0</v>
      </c>
      <c r="O3909">
        <v>-0.99976220000000005</v>
      </c>
      <c r="P3909">
        <v>-0.29671989999999998</v>
      </c>
      <c r="Q3909">
        <v>0.11978809999999999</v>
      </c>
      <c r="R3909">
        <v>-0.94742199999999999</v>
      </c>
      <c r="S3909">
        <v>-1.0916440000000001</v>
      </c>
      <c r="T3909">
        <v>-0.21306349999999999</v>
      </c>
      <c r="U3909">
        <v>-2.8516240000000002</v>
      </c>
      <c r="V3909">
        <v>0.27966809999999998</v>
      </c>
      <c r="W3909">
        <v>0.130634</v>
      </c>
      <c r="X3909">
        <v>0.95116789999999996</v>
      </c>
      <c r="Y3909">
        <v>0.33956380000000003</v>
      </c>
      <c r="Z3909">
        <v>6.9819859999999997E-2</v>
      </c>
      <c r="AA3909">
        <v>0.93798809999999999</v>
      </c>
      <c r="AB3909">
        <v>30</v>
      </c>
      <c r="AC3909">
        <v>-5.6786999999999903</v>
      </c>
      <c r="AD3909">
        <v>-1.10898926862</v>
      </c>
      <c r="AE3909">
        <v>-14.6807</v>
      </c>
      <c r="AF3909">
        <v>5.3834943235279402</v>
      </c>
      <c r="AG3909">
        <v>-1.10898926862</v>
      </c>
      <c r="AH3909">
        <v>14.708740737941</v>
      </c>
      <c r="AI3909">
        <v>94.049965524440594</v>
      </c>
      <c r="AJ3909">
        <v>69.8970471383834</v>
      </c>
      <c r="AK3909">
        <v>15.7021948282823</v>
      </c>
      <c r="AL3909">
        <v>82.493769203589295</v>
      </c>
      <c r="AM3909">
        <v>73.6152923130782</v>
      </c>
      <c r="AN3909">
        <v>0.99999993105200702</v>
      </c>
    </row>
    <row r="3910" spans="1:40" x14ac:dyDescent="0.25">
      <c r="A3910" t="str">
        <f>"20190312173008112"</f>
        <v>20190312173008112</v>
      </c>
      <c r="B3910" t="str">
        <f>"1552383008101065"</f>
        <v>1552383008101065</v>
      </c>
      <c r="C3910" t="s">
        <v>40</v>
      </c>
      <c r="D3910">
        <v>3.6523089999999998</v>
      </c>
      <c r="E3910">
        <v>0.52612639999999999</v>
      </c>
      <c r="F3910" t="s">
        <v>51</v>
      </c>
      <c r="G3910">
        <v>-197.28450000000001</v>
      </c>
      <c r="H3910" s="1">
        <v>-1.4215490000000001E-5</v>
      </c>
      <c r="I3910">
        <v>156.58779999999999</v>
      </c>
      <c r="J3910">
        <v>-191.5574</v>
      </c>
      <c r="K3910">
        <v>1.1088990000000001</v>
      </c>
      <c r="L3910">
        <v>171.23349999999999</v>
      </c>
      <c r="M3910">
        <v>-1.9187429999999998E-2</v>
      </c>
      <c r="N3910">
        <v>0</v>
      </c>
      <c r="O3910">
        <v>-0.9997433</v>
      </c>
      <c r="P3910">
        <v>-0.29840909999999998</v>
      </c>
      <c r="Q3910">
        <v>0.1199003</v>
      </c>
      <c r="R3910">
        <v>-0.94687710000000003</v>
      </c>
      <c r="S3910">
        <v>-1.097</v>
      </c>
      <c r="T3910">
        <v>-0.21222079999999999</v>
      </c>
      <c r="U3910">
        <v>-2.8497620000000001</v>
      </c>
      <c r="V3910">
        <v>0.28047670000000002</v>
      </c>
      <c r="W3910">
        <v>0.13075030000000001</v>
      </c>
      <c r="X3910">
        <v>0.95091389999999998</v>
      </c>
      <c r="Y3910">
        <v>0.34040389999999998</v>
      </c>
      <c r="Z3910">
        <v>6.9552020000000006E-2</v>
      </c>
      <c r="AA3910">
        <v>0.93770339999999996</v>
      </c>
      <c r="AB3910">
        <v>30</v>
      </c>
      <c r="AC3910">
        <v>-5.7271000000000001</v>
      </c>
      <c r="AD3910">
        <v>-1.1089132154899899</v>
      </c>
      <c r="AE3910">
        <v>-14.6457</v>
      </c>
      <c r="AF3910">
        <v>5.4180702356489698</v>
      </c>
      <c r="AG3910">
        <v>-1.1089132154899899</v>
      </c>
      <c r="AH3910">
        <v>14.679903402700599</v>
      </c>
      <c r="AI3910">
        <v>94.053593664209899</v>
      </c>
      <c r="AJ3910">
        <v>69.741865483649804</v>
      </c>
      <c r="AK3910">
        <v>15.687088241943901</v>
      </c>
      <c r="AL3910">
        <v>82.487048824780203</v>
      </c>
      <c r="AM3910">
        <v>73.566318762907102</v>
      </c>
      <c r="AN3910">
        <v>1.00000003270309</v>
      </c>
    </row>
    <row r="3911" spans="1:40" x14ac:dyDescent="0.25">
      <c r="A3911" t="str">
        <f>"20190312173008126"</f>
        <v>20190312173008126</v>
      </c>
      <c r="B3911" t="str">
        <f>"1552383008121562"</f>
        <v>1552383008121562</v>
      </c>
      <c r="C3911" t="s">
        <v>40</v>
      </c>
      <c r="D3911">
        <v>3.6297600000000001</v>
      </c>
      <c r="E3911">
        <v>0.53010389999999996</v>
      </c>
      <c r="F3911" t="s">
        <v>51</v>
      </c>
      <c r="G3911">
        <v>-197.333</v>
      </c>
      <c r="H3911" s="1">
        <v>-1.414768E-5</v>
      </c>
      <c r="I3911">
        <v>156.31829999999999</v>
      </c>
      <c r="J3911">
        <v>-191.5617</v>
      </c>
      <c r="K3911">
        <v>1.108824</v>
      </c>
      <c r="L3911">
        <v>171.0514</v>
      </c>
      <c r="M3911">
        <v>-1.997912E-2</v>
      </c>
      <c r="N3911">
        <v>0</v>
      </c>
      <c r="O3911">
        <v>-0.99972709999999998</v>
      </c>
      <c r="P3911">
        <v>-0.29965999999999998</v>
      </c>
      <c r="Q3911">
        <v>0.1197179</v>
      </c>
      <c r="R3911">
        <v>-0.94650489999999998</v>
      </c>
      <c r="S3911">
        <v>-1.1026609999999999</v>
      </c>
      <c r="T3911">
        <v>-0.21171280000000001</v>
      </c>
      <c r="U3911">
        <v>-2.8475950000000001</v>
      </c>
      <c r="V3911">
        <v>0.28100619999999998</v>
      </c>
      <c r="W3911">
        <v>0.1305636</v>
      </c>
      <c r="X3911">
        <v>0.95078320000000005</v>
      </c>
      <c r="Y3911">
        <v>0.34152460000000001</v>
      </c>
      <c r="Z3911">
        <v>6.9395349999999995E-2</v>
      </c>
      <c r="AA3911">
        <v>0.93730740000000001</v>
      </c>
      <c r="AB3911">
        <v>30</v>
      </c>
      <c r="AC3911">
        <v>-5.7712999999999903</v>
      </c>
      <c r="AD3911">
        <v>-1.10883814768</v>
      </c>
      <c r="AE3911">
        <v>-14.7331</v>
      </c>
      <c r="AF3911">
        <v>5.4490130251715998</v>
      </c>
      <c r="AG3911">
        <v>-1.10883814768</v>
      </c>
      <c r="AH3911">
        <v>14.772926186995299</v>
      </c>
      <c r="AI3911">
        <v>94.028180530487504</v>
      </c>
      <c r="AJ3911">
        <v>69.753438391046203</v>
      </c>
      <c r="AK3911">
        <v>15.784822238867701</v>
      </c>
      <c r="AL3911">
        <v>82.497838310983497</v>
      </c>
      <c r="AM3911">
        <v>73.534831941921595</v>
      </c>
      <c r="AN3911">
        <v>1.0000000157428099</v>
      </c>
    </row>
    <row r="3912" spans="1:40" x14ac:dyDescent="0.25">
      <c r="A3912" t="str">
        <f>"20190312173008139"</f>
        <v>20190312173008139</v>
      </c>
      <c r="B3912" t="str">
        <f>"1552383008131321"</f>
        <v>1552383008131321</v>
      </c>
      <c r="C3912" t="s">
        <v>40</v>
      </c>
      <c r="D3912">
        <v>3.6279599999999999</v>
      </c>
      <c r="E3912">
        <v>0.53018799999999999</v>
      </c>
      <c r="F3912" t="s">
        <v>51</v>
      </c>
      <c r="G3912">
        <v>-197.08</v>
      </c>
      <c r="H3912" s="1">
        <v>-1.43879799999999E-5</v>
      </c>
      <c r="I3912">
        <v>157.27340000000001</v>
      </c>
      <c r="J3912">
        <v>-191.56610000000001</v>
      </c>
      <c r="K3912">
        <v>1.1087419999999999</v>
      </c>
      <c r="L3912">
        <v>170.87280000000001</v>
      </c>
      <c r="M3912">
        <v>-2.0845450000000001E-2</v>
      </c>
      <c r="N3912">
        <v>0</v>
      </c>
      <c r="O3912">
        <v>-0.99970879999999995</v>
      </c>
      <c r="P3912">
        <v>-0.3008962</v>
      </c>
      <c r="Q3912">
        <v>0.11974849999999999</v>
      </c>
      <c r="R3912">
        <v>-0.94610910000000004</v>
      </c>
      <c r="S3912">
        <v>-1.1368560000000001</v>
      </c>
      <c r="T3912">
        <v>-0.22843849999999999</v>
      </c>
      <c r="U3912">
        <v>-2.8385009999999999</v>
      </c>
      <c r="V3912">
        <v>0.28145500000000001</v>
      </c>
      <c r="W3912">
        <v>0.1305839</v>
      </c>
      <c r="X3912">
        <v>0.95064769999999998</v>
      </c>
      <c r="Y3912">
        <v>0.35132859999999899</v>
      </c>
      <c r="Z3912">
        <v>7.4767749999999994E-2</v>
      </c>
      <c r="AA3912">
        <v>0.93326200000000004</v>
      </c>
      <c r="AB3912">
        <v>30</v>
      </c>
      <c r="AC3912">
        <v>-5.5138999999999996</v>
      </c>
      <c r="AD3912">
        <v>-1.10875638798</v>
      </c>
      <c r="AE3912">
        <v>-13.599399999999999</v>
      </c>
      <c r="AF3912">
        <v>5.1995129129713202</v>
      </c>
      <c r="AG3912">
        <v>-1.10875638798</v>
      </c>
      <c r="AH3912">
        <v>13.633563441681201</v>
      </c>
      <c r="AI3912">
        <v>94.345382189699606</v>
      </c>
      <c r="AJ3912">
        <v>69.124352955909899</v>
      </c>
      <c r="AK3912">
        <v>14.6334660070124</v>
      </c>
      <c r="AL3912">
        <v>82.496665502457304</v>
      </c>
      <c r="AM3912">
        <v>73.507739651259399</v>
      </c>
      <c r="AN3912">
        <v>1.0000000607397399</v>
      </c>
    </row>
    <row r="3913" spans="1:40" x14ac:dyDescent="0.25">
      <c r="A3913" t="str">
        <f>"20190312173008156"</f>
        <v>20190312173008156</v>
      </c>
      <c r="B3913" t="str">
        <f>"1552383008151817"</f>
        <v>1552383008151817</v>
      </c>
      <c r="C3913" t="s">
        <v>40</v>
      </c>
      <c r="D3913">
        <v>3.6424850000000002</v>
      </c>
      <c r="E3913">
        <v>0.53027040000000003</v>
      </c>
      <c r="F3913" t="s">
        <v>51</v>
      </c>
      <c r="G3913">
        <v>-197.1113</v>
      </c>
      <c r="H3913" s="1">
        <v>-1.4342629999999999E-5</v>
      </c>
      <c r="I3913">
        <v>157.09309999999999</v>
      </c>
      <c r="J3913">
        <v>-191.57230000000001</v>
      </c>
      <c r="K3913">
        <v>1.1086199999999999</v>
      </c>
      <c r="L3913">
        <v>170.63800000000001</v>
      </c>
      <c r="M3913">
        <v>-2.210904E-2</v>
      </c>
      <c r="N3913">
        <v>0</v>
      </c>
      <c r="O3913">
        <v>-0.99968049999999997</v>
      </c>
      <c r="P3913">
        <v>-0.30330230000000002</v>
      </c>
      <c r="Q3913">
        <v>0.11954819999999999</v>
      </c>
      <c r="R3913">
        <v>-0.94536569999999998</v>
      </c>
      <c r="S3913">
        <v>-1.141556</v>
      </c>
      <c r="T3913">
        <v>-0.22825090000000001</v>
      </c>
      <c r="U3913">
        <v>-2.836716</v>
      </c>
      <c r="V3913">
        <v>0.28271570000000001</v>
      </c>
      <c r="W3913">
        <v>0.13036030000000001</v>
      </c>
      <c r="X3913">
        <v>0.95030420000000004</v>
      </c>
      <c r="Y3913">
        <v>0.35168120000000003</v>
      </c>
      <c r="Z3913">
        <v>7.471978E-2</v>
      </c>
      <c r="AA3913">
        <v>0.93313310000000005</v>
      </c>
      <c r="AB3913">
        <v>30</v>
      </c>
      <c r="AC3913">
        <v>-5.5389999999999802</v>
      </c>
      <c r="AD3913">
        <v>-1.10863434263</v>
      </c>
      <c r="AE3913">
        <v>-13.5449</v>
      </c>
      <c r="AF3913">
        <v>5.2082661628287603</v>
      </c>
      <c r="AG3913">
        <v>-1.10863434263</v>
      </c>
      <c r="AH3913">
        <v>13.5860833974104</v>
      </c>
      <c r="AI3913">
        <v>94.357168031971796</v>
      </c>
      <c r="AJ3913">
        <v>69.025522905145394</v>
      </c>
      <c r="AK3913">
        <v>14.5923530868026</v>
      </c>
      <c r="AL3913">
        <v>82.509587014598296</v>
      </c>
      <c r="AM3913">
        <v>73.432247251389697</v>
      </c>
      <c r="AN3913">
        <v>1.0000000236901001</v>
      </c>
    </row>
    <row r="3914" spans="1:40" x14ac:dyDescent="0.25">
      <c r="A3914" t="str">
        <f>"20190312173008170"</f>
        <v>20190312173008170</v>
      </c>
      <c r="B3914" t="str">
        <f>"1552383008161577"</f>
        <v>1552383008161577</v>
      </c>
      <c r="C3914" t="s">
        <v>40</v>
      </c>
      <c r="D3914">
        <v>3.6570689999999999</v>
      </c>
      <c r="E3914">
        <v>0.53029250000000006</v>
      </c>
      <c r="F3914" t="s">
        <v>51</v>
      </c>
      <c r="G3914">
        <v>-197.10239999999999</v>
      </c>
      <c r="H3914" s="1">
        <v>-1.431927E-5</v>
      </c>
      <c r="I3914">
        <v>157.00030000000001</v>
      </c>
      <c r="J3914">
        <v>-191.57730000000001</v>
      </c>
      <c r="K3914">
        <v>1.1085130000000001</v>
      </c>
      <c r="L3914">
        <v>170.4562</v>
      </c>
      <c r="M3914">
        <v>-2.319413E-2</v>
      </c>
      <c r="N3914">
        <v>0</v>
      </c>
      <c r="O3914">
        <v>-0.99965510000000002</v>
      </c>
      <c r="P3914">
        <v>-0.30522500000000002</v>
      </c>
      <c r="Q3914">
        <v>0.1195442</v>
      </c>
      <c r="R3914">
        <v>-0.94474709999999995</v>
      </c>
      <c r="S3914">
        <v>-1.1491389999999999</v>
      </c>
      <c r="T3914">
        <v>-0.23036690000000001</v>
      </c>
      <c r="U3914">
        <v>-2.8338320000000001</v>
      </c>
      <c r="V3914">
        <v>0.2836555</v>
      </c>
      <c r="W3914">
        <v>0.1303357</v>
      </c>
      <c r="X3914">
        <v>0.95002750000000002</v>
      </c>
      <c r="Y3914">
        <v>0.35312090000000002</v>
      </c>
      <c r="Z3914">
        <v>7.5418929999999995E-2</v>
      </c>
      <c r="AA3914">
        <v>0.9325329</v>
      </c>
      <c r="AB3914">
        <v>30</v>
      </c>
      <c r="AC3914">
        <v>-5.5250999999999797</v>
      </c>
      <c r="AD3914">
        <v>-1.10852731926999</v>
      </c>
      <c r="AE3914">
        <v>-13.4558999999999</v>
      </c>
      <c r="AF3914">
        <v>5.1813999871315497</v>
      </c>
      <c r="AG3914">
        <v>-1.10852731926999</v>
      </c>
      <c r="AH3914">
        <v>13.5020238751504</v>
      </c>
      <c r="AI3914">
        <v>94.383188038224802</v>
      </c>
      <c r="AJ3914">
        <v>69.005701028125699</v>
      </c>
      <c r="AK3914">
        <v>14.504495419329301</v>
      </c>
      <c r="AL3914">
        <v>82.511008772905996</v>
      </c>
      <c r="AM3914">
        <v>73.375632602386702</v>
      </c>
      <c r="AN3914">
        <v>1.0000000440654899</v>
      </c>
    </row>
    <row r="3915" spans="1:40" x14ac:dyDescent="0.25">
      <c r="A3915" t="str">
        <f>"20190312173008182"</f>
        <v>20190312173008182</v>
      </c>
      <c r="B3915" t="str">
        <f>"1552383008171338"</f>
        <v>1552383008171338</v>
      </c>
      <c r="C3915" t="s">
        <v>40</v>
      </c>
      <c r="D3915">
        <v>3.683875</v>
      </c>
      <c r="E3915">
        <v>0.5305029</v>
      </c>
      <c r="F3915" t="s">
        <v>51</v>
      </c>
      <c r="G3915">
        <v>-197.1294</v>
      </c>
      <c r="H3915" s="1">
        <v>-1.427987E-5</v>
      </c>
      <c r="I3915">
        <v>156.84370000000001</v>
      </c>
      <c r="J3915">
        <v>-191.5823</v>
      </c>
      <c r="K3915">
        <v>1.1084080000000001</v>
      </c>
      <c r="L3915">
        <v>170.28530000000001</v>
      </c>
      <c r="M3915">
        <v>-2.4289129999999999E-2</v>
      </c>
      <c r="N3915">
        <v>0</v>
      </c>
      <c r="O3915">
        <v>-0.99962859999999998</v>
      </c>
      <c r="P3915">
        <v>-0.30699579999999999</v>
      </c>
      <c r="Q3915">
        <v>0.119532</v>
      </c>
      <c r="R3915">
        <v>-0.94417490000000004</v>
      </c>
      <c r="S3915">
        <v>-1.154892</v>
      </c>
      <c r="T3915">
        <v>-0.2305846</v>
      </c>
      <c r="U3915">
        <v>-2.831528</v>
      </c>
      <c r="V3915">
        <v>0.28443390000000002</v>
      </c>
      <c r="W3915">
        <v>0.13030310000000001</v>
      </c>
      <c r="X3915">
        <v>0.94979919999999995</v>
      </c>
      <c r="Y3915">
        <v>0.35398370000000001</v>
      </c>
      <c r="Z3915">
        <v>7.5502920000000001E-2</v>
      </c>
      <c r="AA3915">
        <v>0.93219890000000005</v>
      </c>
      <c r="AB3915">
        <v>30</v>
      </c>
      <c r="AC3915">
        <v>-5.5471000000000004</v>
      </c>
      <c r="AD3915">
        <v>-1.1084222798700001</v>
      </c>
      <c r="AE3915">
        <v>-13.4415999999999</v>
      </c>
      <c r="AF3915">
        <v>5.1888042779311698</v>
      </c>
      <c r="AG3915">
        <v>-1.1084222798700001</v>
      </c>
      <c r="AH3915">
        <v>13.4939723817045</v>
      </c>
      <c r="AI3915">
        <v>94.384242188485004</v>
      </c>
      <c r="AJ3915">
        <v>68.966872620197293</v>
      </c>
      <c r="AK3915">
        <v>14.499640699803299</v>
      </c>
      <c r="AL3915">
        <v>82.512892581417105</v>
      </c>
      <c r="AM3915">
        <v>73.328755783740505</v>
      </c>
      <c r="AN3915">
        <v>1.0000000308297201</v>
      </c>
    </row>
    <row r="3916" spans="1:40" x14ac:dyDescent="0.25">
      <c r="A3916" t="str">
        <f>"20190312173008195"</f>
        <v>20190312173008195</v>
      </c>
      <c r="B3916" t="str">
        <f>"1552383008191833"</f>
        <v>1552383008191833</v>
      </c>
      <c r="C3916" t="s">
        <v>40</v>
      </c>
      <c r="D3916">
        <v>3.670957</v>
      </c>
      <c r="E3916">
        <v>0.53079809999999905</v>
      </c>
      <c r="F3916" t="s">
        <v>51</v>
      </c>
      <c r="G3916">
        <v>-197.1534</v>
      </c>
      <c r="H3916" s="1">
        <v>-1.424783E-5</v>
      </c>
      <c r="I3916">
        <v>156.71639999999999</v>
      </c>
      <c r="J3916">
        <v>-191.58789999999999</v>
      </c>
      <c r="K3916">
        <v>1.1082890000000001</v>
      </c>
      <c r="L3916">
        <v>170.10599999999999</v>
      </c>
      <c r="M3916">
        <v>-2.5589000000000001E-2</v>
      </c>
      <c r="N3916">
        <v>0</v>
      </c>
      <c r="O3916">
        <v>-0.99959489999999995</v>
      </c>
      <c r="P3916">
        <v>-0.30908229999999998</v>
      </c>
      <c r="Q3916">
        <v>0.11922779999999999</v>
      </c>
      <c r="R3916">
        <v>-0.94353229999999999</v>
      </c>
      <c r="S3916">
        <v>-1.16153</v>
      </c>
      <c r="T3916">
        <v>-0.23109469999999999</v>
      </c>
      <c r="U3916">
        <v>-2.8289949999999999</v>
      </c>
      <c r="V3916">
        <v>0.28533930000000002</v>
      </c>
      <c r="W3916">
        <v>0.12997359999999999</v>
      </c>
      <c r="X3916">
        <v>0.94957270000000005</v>
      </c>
      <c r="Y3916">
        <v>0.35492780000000002</v>
      </c>
      <c r="Z3916">
        <v>7.5681369999999998E-2</v>
      </c>
      <c r="AA3916">
        <v>0.93182540000000003</v>
      </c>
      <c r="AB3916">
        <v>30</v>
      </c>
      <c r="AC3916">
        <v>-5.5655000000000099</v>
      </c>
      <c r="AD3916">
        <v>-1.1083032478299999</v>
      </c>
      <c r="AE3916">
        <v>-13.3896</v>
      </c>
      <c r="AF3916">
        <v>5.1906996617931496</v>
      </c>
      <c r="AG3916">
        <v>-1.1083032478299999</v>
      </c>
      <c r="AH3916">
        <v>13.449070783371001</v>
      </c>
      <c r="AI3916">
        <v>94.396258335214696</v>
      </c>
      <c r="AJ3916">
        <v>68.895790874722906</v>
      </c>
      <c r="AK3916">
        <v>14.458533950723099</v>
      </c>
      <c r="AL3916">
        <v>82.531933105454996</v>
      </c>
      <c r="AM3916">
        <v>73.274880705905503</v>
      </c>
      <c r="AN3916">
        <v>0.99999998270336998</v>
      </c>
    </row>
    <row r="3917" spans="1:40" x14ac:dyDescent="0.25">
      <c r="A3917" t="str">
        <f>"20190312173008215"</f>
        <v>20190312173008215</v>
      </c>
      <c r="B3917" t="str">
        <f>"1552383008211352"</f>
        <v>1552383008211352</v>
      </c>
      <c r="C3917" t="s">
        <v>40</v>
      </c>
      <c r="D3917">
        <v>3.713489</v>
      </c>
      <c r="E3917">
        <v>0.53076299999999998</v>
      </c>
      <c r="F3917" t="s">
        <v>51</v>
      </c>
      <c r="G3917">
        <v>-197.13679999999999</v>
      </c>
      <c r="H3917" s="1">
        <v>-1.42453799999999E-5</v>
      </c>
      <c r="I3917">
        <v>156.70660000000001</v>
      </c>
      <c r="J3917">
        <v>-191.5966</v>
      </c>
      <c r="K3917">
        <v>1.1080989999999999</v>
      </c>
      <c r="L3917">
        <v>169.845</v>
      </c>
      <c r="M3917">
        <v>-2.76496E-2</v>
      </c>
      <c r="N3917">
        <v>0</v>
      </c>
      <c r="O3917">
        <v>-0.99953879999999995</v>
      </c>
      <c r="P3917">
        <v>-0.3132393</v>
      </c>
      <c r="Q3917">
        <v>0.1192516</v>
      </c>
      <c r="R3917">
        <v>-0.94215720000000003</v>
      </c>
      <c r="S3917">
        <v>-1.1701969999999999</v>
      </c>
      <c r="T3917">
        <v>-0.2337263</v>
      </c>
      <c r="U3917">
        <v>-2.825745</v>
      </c>
      <c r="V3917">
        <v>0.28763519999999998</v>
      </c>
      <c r="W3917">
        <v>0.12994049999999999</v>
      </c>
      <c r="X3917">
        <v>0.94888439999999996</v>
      </c>
      <c r="Y3917">
        <v>0.35579470000000002</v>
      </c>
      <c r="Z3917">
        <v>7.6556460000000007E-2</v>
      </c>
      <c r="AA3917">
        <v>0.93142320000000001</v>
      </c>
      <c r="AB3917">
        <v>30</v>
      </c>
      <c r="AC3917">
        <v>-5.5401999999999898</v>
      </c>
      <c r="AD3917">
        <v>-1.10811324537999</v>
      </c>
      <c r="AE3917">
        <v>-13.138399999999899</v>
      </c>
      <c r="AF3917">
        <v>5.1437154957978599</v>
      </c>
      <c r="AG3917">
        <v>-1.10811324537999</v>
      </c>
      <c r="AH3917">
        <v>13.2068089263788</v>
      </c>
      <c r="AI3917">
        <v>94.470524041736596</v>
      </c>
      <c r="AJ3917">
        <v>68.720354261829399</v>
      </c>
      <c r="AK3917">
        <v>14.2163823135205</v>
      </c>
      <c r="AL3917">
        <v>82.5338464957442</v>
      </c>
      <c r="AM3917">
        <v>73.136376671289398</v>
      </c>
      <c r="AN3917">
        <v>1.0000000731913199</v>
      </c>
    </row>
    <row r="3918" spans="1:40" x14ac:dyDescent="0.25">
      <c r="A3918" t="str">
        <f>"20190312173008235"</f>
        <v>20190312173008235</v>
      </c>
      <c r="B3918" t="str">
        <f>"1552383008231849"</f>
        <v>1552383008231849</v>
      </c>
      <c r="C3918" t="s">
        <v>40</v>
      </c>
      <c r="D3918">
        <v>3.740335</v>
      </c>
      <c r="E3918">
        <v>0.53085459999999995</v>
      </c>
      <c r="F3918" t="s">
        <v>51</v>
      </c>
      <c r="G3918">
        <v>-197.21430000000001</v>
      </c>
      <c r="H3918" s="1">
        <v>-1.4180139999999999E-5</v>
      </c>
      <c r="I3918">
        <v>156.44730000000001</v>
      </c>
      <c r="J3918">
        <v>-191.60669999999999</v>
      </c>
      <c r="K3918">
        <v>1.10789</v>
      </c>
      <c r="L3918">
        <v>169.5676</v>
      </c>
      <c r="M3918">
        <v>-3.0094659999999999E-2</v>
      </c>
      <c r="N3918">
        <v>0</v>
      </c>
      <c r="O3918">
        <v>-0.99946670000000004</v>
      </c>
      <c r="P3918">
        <v>-0.31848290000000001</v>
      </c>
      <c r="Q3918">
        <v>0.1194674</v>
      </c>
      <c r="R3918">
        <v>-0.94037029999999999</v>
      </c>
      <c r="S3918">
        <v>-1.1826479999999999</v>
      </c>
      <c r="T3918">
        <v>-0.2332833</v>
      </c>
      <c r="U3918">
        <v>-2.8205110000000002</v>
      </c>
      <c r="V3918">
        <v>0.29067569999999998</v>
      </c>
      <c r="W3918">
        <v>0.1300761</v>
      </c>
      <c r="X3918">
        <v>0.94793870000000002</v>
      </c>
      <c r="Y3918">
        <v>0.35762549999999999</v>
      </c>
      <c r="Z3918">
        <v>7.6444449999999997E-2</v>
      </c>
      <c r="AA3918">
        <v>0.93073110000000003</v>
      </c>
      <c r="AB3918">
        <v>30</v>
      </c>
      <c r="AC3918">
        <v>-5.6076000000000104</v>
      </c>
      <c r="AD3918">
        <v>-1.10790418014</v>
      </c>
      <c r="AE3918">
        <v>-13.120299999999901</v>
      </c>
      <c r="AF3918">
        <v>5.1789524757897603</v>
      </c>
      <c r="AG3918">
        <v>-1.10790418014</v>
      </c>
      <c r="AH3918">
        <v>13.2035230887426</v>
      </c>
      <c r="AI3918">
        <v>94.466618375176495</v>
      </c>
      <c r="AJ3918">
        <v>68.582892437282197</v>
      </c>
      <c r="AK3918">
        <v>14.226103555570701</v>
      </c>
      <c r="AL3918">
        <v>82.526009884588206</v>
      </c>
      <c r="AM3918">
        <v>72.952377906502306</v>
      </c>
      <c r="AN3918">
        <v>0.99999996665969404</v>
      </c>
    </row>
    <row r="3919" spans="1:40" x14ac:dyDescent="0.25">
      <c r="A3919" t="str">
        <f>"20190312173008248"</f>
        <v>20190312173008248</v>
      </c>
      <c r="B3919" t="str">
        <f>"1552383008241609"</f>
        <v>1552383008241609</v>
      </c>
      <c r="C3919" t="s">
        <v>40</v>
      </c>
      <c r="D3919">
        <v>3.7754379999999998</v>
      </c>
      <c r="E3919">
        <v>0.53094519999999901</v>
      </c>
      <c r="F3919" t="s">
        <v>51</v>
      </c>
      <c r="G3919">
        <v>-197.31469999999999</v>
      </c>
      <c r="H3919" s="1">
        <v>-1.411053E-5</v>
      </c>
      <c r="I3919">
        <v>156.17070000000001</v>
      </c>
      <c r="J3919">
        <v>-191.61359999999999</v>
      </c>
      <c r="K3919">
        <v>1.107758</v>
      </c>
      <c r="L3919">
        <v>169.39169999999999</v>
      </c>
      <c r="M3919">
        <v>-3.1768659999999997E-2</v>
      </c>
      <c r="N3919">
        <v>0</v>
      </c>
      <c r="O3919">
        <v>-0.99941400000000002</v>
      </c>
      <c r="P3919">
        <v>-0.32162420000000003</v>
      </c>
      <c r="Q3919">
        <v>0.11984839999999999</v>
      </c>
      <c r="R3919">
        <v>-0.93925210000000003</v>
      </c>
      <c r="S3919">
        <v>-1.1988529999999999</v>
      </c>
      <c r="T3919">
        <v>-0.23269490000000001</v>
      </c>
      <c r="U3919">
        <v>-2.8137819999999998</v>
      </c>
      <c r="V3919">
        <v>0.29230669999999997</v>
      </c>
      <c r="W3919">
        <v>0.1304052</v>
      </c>
      <c r="X3919">
        <v>0.94739180000000001</v>
      </c>
      <c r="Y3919">
        <v>0.3614038</v>
      </c>
      <c r="Z3919">
        <v>7.6274659999999994E-2</v>
      </c>
      <c r="AA3919">
        <v>0.92928440000000001</v>
      </c>
      <c r="AB3919">
        <v>30</v>
      </c>
      <c r="AC3919">
        <v>-5.7010999999999896</v>
      </c>
      <c r="AD3919">
        <v>-1.10777211052999</v>
      </c>
      <c r="AE3919">
        <v>-13.220999999999901</v>
      </c>
      <c r="AF3919">
        <v>5.2471124734806001</v>
      </c>
      <c r="AG3919">
        <v>-1.10777211052999</v>
      </c>
      <c r="AH3919">
        <v>13.316624859810601</v>
      </c>
      <c r="AI3919">
        <v>94.425624827145</v>
      </c>
      <c r="AJ3919">
        <v>68.494210496401493</v>
      </c>
      <c r="AK3919">
        <v>14.355899345396301</v>
      </c>
      <c r="AL3919">
        <v>82.506991901951096</v>
      </c>
      <c r="AM3919">
        <v>72.852999470073996</v>
      </c>
      <c r="AN3919">
        <v>0.99999997287958398</v>
      </c>
    </row>
    <row r="3920" spans="1:40" x14ac:dyDescent="0.25">
      <c r="A3920" t="str">
        <f>"20190312173008261"</f>
        <v>20190312173008261</v>
      </c>
      <c r="B3920" t="str">
        <f>"1552383008251370"</f>
        <v>1552383008251370</v>
      </c>
      <c r="C3920" t="s">
        <v>40</v>
      </c>
      <c r="D3920">
        <v>3.7441900000000001</v>
      </c>
      <c r="E3920">
        <v>0.53099069999999904</v>
      </c>
      <c r="F3920" t="s">
        <v>51</v>
      </c>
      <c r="G3920">
        <v>-197.41390000000001</v>
      </c>
      <c r="H3920" s="1">
        <v>-1.4045689999999999E-5</v>
      </c>
      <c r="I3920">
        <v>155.91299999999899</v>
      </c>
      <c r="J3920">
        <v>-191.62090000000001</v>
      </c>
      <c r="K3920">
        <v>1.1076250000000001</v>
      </c>
      <c r="L3920">
        <v>169.2133</v>
      </c>
      <c r="M3920">
        <v>-3.3562399999999999E-2</v>
      </c>
      <c r="N3920">
        <v>0</v>
      </c>
      <c r="O3920">
        <v>-0.99935459999999998</v>
      </c>
      <c r="P3920">
        <v>-0.32495079999999998</v>
      </c>
      <c r="Q3920">
        <v>0.1201464</v>
      </c>
      <c r="R3920">
        <v>-0.93806840000000002</v>
      </c>
      <c r="S3920">
        <v>-1.209015</v>
      </c>
      <c r="T3920">
        <v>-0.230902</v>
      </c>
      <c r="U3920">
        <v>-2.8094790000000001</v>
      </c>
      <c r="V3920">
        <v>0.29401339999999998</v>
      </c>
      <c r="W3920">
        <v>0.1306515</v>
      </c>
      <c r="X3920">
        <v>0.94682960000000005</v>
      </c>
      <c r="Y3920">
        <v>0.3631006</v>
      </c>
      <c r="Z3920">
        <v>7.5712489999999993E-2</v>
      </c>
      <c r="AA3920">
        <v>0.92866870000000001</v>
      </c>
      <c r="AB3920">
        <v>30</v>
      </c>
      <c r="AC3920">
        <v>-5.7930000000000001</v>
      </c>
      <c r="AD3920">
        <v>-1.1076390456899901</v>
      </c>
      <c r="AE3920">
        <v>-13.3003</v>
      </c>
      <c r="AF3920">
        <v>5.3123407950934096</v>
      </c>
      <c r="AG3920">
        <v>-1.1076390456899901</v>
      </c>
      <c r="AH3920">
        <v>13.4090799987856</v>
      </c>
      <c r="AI3920">
        <v>94.391492595654398</v>
      </c>
      <c r="AJ3920">
        <v>68.387772680050105</v>
      </c>
      <c r="AK3920">
        <v>14.465519534139901</v>
      </c>
      <c r="AL3920">
        <v>82.492758324638501</v>
      </c>
      <c r="AM3920">
        <v>72.749172423857502</v>
      </c>
      <c r="AN3920">
        <v>0.99999999263398498</v>
      </c>
    </row>
    <row r="3921" spans="1:40" x14ac:dyDescent="0.25">
      <c r="A3921" t="str">
        <f>"20190312173008272"</f>
        <v>20190312173008272</v>
      </c>
      <c r="B3921" t="str">
        <f>"1552383008262105"</f>
        <v>1552383008262105</v>
      </c>
      <c r="C3921" t="s">
        <v>40</v>
      </c>
      <c r="D3921">
        <v>3.746855</v>
      </c>
      <c r="E3921">
        <v>0.53112680000000001</v>
      </c>
      <c r="F3921" t="s">
        <v>51</v>
      </c>
      <c r="G3921">
        <v>-197.49340000000001</v>
      </c>
      <c r="H3921" s="1">
        <v>-1.39663899999999E-5</v>
      </c>
      <c r="I3921">
        <v>155.70150000000001</v>
      </c>
      <c r="J3921">
        <v>-191.62819999999999</v>
      </c>
      <c r="K3921">
        <v>1.1075060000000001</v>
      </c>
      <c r="L3921">
        <v>169.0488</v>
      </c>
      <c r="M3921">
        <v>-3.5328850000000002E-2</v>
      </c>
      <c r="N3921">
        <v>0</v>
      </c>
      <c r="O3921">
        <v>-0.99929290000000004</v>
      </c>
      <c r="P3921">
        <v>-0.32831579999999999</v>
      </c>
      <c r="Q3921">
        <v>0.119918</v>
      </c>
      <c r="R3921">
        <v>-0.93692500000000001</v>
      </c>
      <c r="S3921">
        <v>-1.219177</v>
      </c>
      <c r="T3921">
        <v>-0.22995660000000001</v>
      </c>
      <c r="U3921">
        <v>-2.8051759999999999</v>
      </c>
      <c r="V3921">
        <v>0.29577779999999998</v>
      </c>
      <c r="W3921">
        <v>0.13037449999999901</v>
      </c>
      <c r="X3921">
        <v>0.94631810000000005</v>
      </c>
      <c r="Y3921">
        <v>0.3648131</v>
      </c>
      <c r="Z3921">
        <v>7.5425099999999995E-2</v>
      </c>
      <c r="AA3921">
        <v>0.92802070000000003</v>
      </c>
      <c r="AB3921">
        <v>30</v>
      </c>
      <c r="AC3921">
        <v>-5.8652000000000104</v>
      </c>
      <c r="AD3921">
        <v>-1.1075199663899999</v>
      </c>
      <c r="AE3921">
        <v>-13.347299999999899</v>
      </c>
      <c r="AF3921">
        <v>5.3590280275388</v>
      </c>
      <c r="AG3921">
        <v>-1.1075199663899999</v>
      </c>
      <c r="AH3921">
        <v>13.468469821944</v>
      </c>
      <c r="AI3921">
        <v>94.369167774887003</v>
      </c>
      <c r="AJ3921">
        <v>68.302670223308795</v>
      </c>
      <c r="AK3921">
        <v>14.5377254486565</v>
      </c>
      <c r="AL3921">
        <v>82.508766095749706</v>
      </c>
      <c r="AM3921">
        <v>72.643030246565303</v>
      </c>
      <c r="AN3921">
        <v>0.99999998180534899</v>
      </c>
    </row>
    <row r="3922" spans="1:40" x14ac:dyDescent="0.25">
      <c r="A3922" t="str">
        <f>"20190312173008291"</f>
        <v>20190312173008291</v>
      </c>
      <c r="B3922" t="str">
        <f>"1552383008281628"</f>
        <v>1552383008281628</v>
      </c>
      <c r="C3922" t="s">
        <v>40</v>
      </c>
      <c r="D3922">
        <v>3.7150150000000002</v>
      </c>
      <c r="E3922">
        <v>0.53142140000000004</v>
      </c>
      <c r="F3922" t="s">
        <v>51</v>
      </c>
      <c r="G3922">
        <v>-197.53049999999999</v>
      </c>
      <c r="H3922" s="1">
        <v>-1.3931579999999999E-5</v>
      </c>
      <c r="I3922">
        <v>155.61269999999999</v>
      </c>
      <c r="J3922">
        <v>-191.63929999999999</v>
      </c>
      <c r="K3922">
        <v>1.1073360000000001</v>
      </c>
      <c r="L3922">
        <v>168.8091</v>
      </c>
      <c r="M3922">
        <v>-3.8025410000000003E-2</v>
      </c>
      <c r="N3922">
        <v>0</v>
      </c>
      <c r="O3922">
        <v>-0.99919279999999999</v>
      </c>
      <c r="P3922">
        <v>-0.3341942</v>
      </c>
      <c r="Q3922">
        <v>0.11996999999999999</v>
      </c>
      <c r="R3922">
        <v>-0.93483769999999999</v>
      </c>
      <c r="S3922">
        <v>-1.2301789999999999</v>
      </c>
      <c r="T3922">
        <v>-0.23083290000000001</v>
      </c>
      <c r="U3922">
        <v>-2.8004150000000001</v>
      </c>
      <c r="V3922">
        <v>0.2992282</v>
      </c>
      <c r="W3922">
        <v>0.13034519999999999</v>
      </c>
      <c r="X3922">
        <v>0.94523679999999999</v>
      </c>
      <c r="Y3922">
        <v>0.3659289</v>
      </c>
      <c r="Z3922">
        <v>7.5742610000000002E-2</v>
      </c>
      <c r="AA3922">
        <v>0.92755540000000003</v>
      </c>
      <c r="AB3922">
        <v>30</v>
      </c>
      <c r="AC3922">
        <v>-5.8911999999999898</v>
      </c>
      <c r="AD3922">
        <v>-1.1073499315799999</v>
      </c>
      <c r="AE3922">
        <v>-13.196400000000001</v>
      </c>
      <c r="AF3922">
        <v>5.3536651110098799</v>
      </c>
      <c r="AG3922">
        <v>-1.1073499315799999</v>
      </c>
      <c r="AH3922">
        <v>13.332609016925</v>
      </c>
      <c r="AI3922">
        <v>94.407310684316599</v>
      </c>
      <c r="AJ3922">
        <v>68.122235419335297</v>
      </c>
      <c r="AK3922">
        <v>14.409941609528</v>
      </c>
      <c r="AL3922">
        <v>82.510459428643699</v>
      </c>
      <c r="AM3922">
        <v>72.434073440946506</v>
      </c>
      <c r="AN3922">
        <v>0.99999999745626</v>
      </c>
    </row>
    <row r="3923" spans="1:40" x14ac:dyDescent="0.25">
      <c r="A3923" t="str">
        <f>"20190312173008305"</f>
        <v>20190312173008305</v>
      </c>
      <c r="B3923" t="str">
        <f>"1552383008302121"</f>
        <v>1552383008302121</v>
      </c>
      <c r="C3923" t="s">
        <v>40</v>
      </c>
      <c r="D3923">
        <v>3.6961029999999999</v>
      </c>
      <c r="E3923">
        <v>0.53178510000000001</v>
      </c>
      <c r="F3923" t="s">
        <v>51</v>
      </c>
      <c r="G3923">
        <v>-197.62029999999999</v>
      </c>
      <c r="H3923" s="1">
        <v>-1.387032E-5</v>
      </c>
      <c r="I3923">
        <v>155.4513</v>
      </c>
      <c r="J3923">
        <v>-191.64869999999999</v>
      </c>
      <c r="K3923">
        <v>1.107205</v>
      </c>
      <c r="L3923">
        <v>168.6183</v>
      </c>
      <c r="M3923">
        <v>-4.0277180000000003E-2</v>
      </c>
      <c r="N3923">
        <v>0</v>
      </c>
      <c r="O3923">
        <v>-0.99910379999999999</v>
      </c>
      <c r="P3923">
        <v>-0.337953</v>
      </c>
      <c r="Q3923">
        <v>0.11990389999999999</v>
      </c>
      <c r="R3923">
        <v>-0.93349420000000005</v>
      </c>
      <c r="S3923">
        <v>-1.250076</v>
      </c>
      <c r="T3923">
        <v>-0.23144590000000001</v>
      </c>
      <c r="U3923">
        <v>-2.7919010000000002</v>
      </c>
      <c r="V3923">
        <v>0.30094589999999999</v>
      </c>
      <c r="W3923">
        <v>0.13022230000000001</v>
      </c>
      <c r="X3923">
        <v>0.94470829999999995</v>
      </c>
      <c r="Y3923">
        <v>0.37038379999999999</v>
      </c>
      <c r="Z3923">
        <v>7.596878E-2</v>
      </c>
      <c r="AA3923">
        <v>0.92576700000000001</v>
      </c>
      <c r="AB3923">
        <v>30</v>
      </c>
      <c r="AC3923">
        <v>-5.9715999999999898</v>
      </c>
      <c r="AD3923">
        <v>-1.1072188703200001</v>
      </c>
      <c r="AE3923">
        <v>-13.167</v>
      </c>
      <c r="AF3923">
        <v>5.4046811913731698</v>
      </c>
      <c r="AG3923">
        <v>-1.1072188703200001</v>
      </c>
      <c r="AH3923">
        <v>13.318740627917</v>
      </c>
      <c r="AI3923">
        <v>94.404886642775097</v>
      </c>
      <c r="AJ3923">
        <v>67.912921293649006</v>
      </c>
      <c r="AK3923">
        <v>14.4161494276697</v>
      </c>
      <c r="AL3923">
        <v>82.517561836873199</v>
      </c>
      <c r="AM3923">
        <v>72.330222427206607</v>
      </c>
      <c r="AN3923">
        <v>1.0000000271164899</v>
      </c>
    </row>
    <row r="3924" spans="1:40" x14ac:dyDescent="0.25">
      <c r="A3924" t="str">
        <f>"20190312173008324"</f>
        <v>20190312173008324</v>
      </c>
      <c r="B3924" t="str">
        <f>"1552383008311881"</f>
        <v>1552383008311881</v>
      </c>
      <c r="C3924" t="s">
        <v>40</v>
      </c>
      <c r="D3924">
        <v>3.6943100000000002</v>
      </c>
      <c r="E3924">
        <v>0.53193780000000002</v>
      </c>
      <c r="F3924" t="s">
        <v>51</v>
      </c>
      <c r="G3924">
        <v>-197.6789</v>
      </c>
      <c r="H3924" s="1">
        <v>-1.382412E-5</v>
      </c>
      <c r="I3924">
        <v>155.33150000000001</v>
      </c>
      <c r="J3924">
        <v>-191.6627</v>
      </c>
      <c r="K3924">
        <v>1.1070359999999999</v>
      </c>
      <c r="L3924">
        <v>168.35239999999999</v>
      </c>
      <c r="M3924">
        <v>-4.3588839999999997E-2</v>
      </c>
      <c r="N3924">
        <v>0</v>
      </c>
      <c r="O3924">
        <v>-0.99896370000000001</v>
      </c>
      <c r="P3924">
        <v>-0.3444277</v>
      </c>
      <c r="Q3924">
        <v>0.1201111</v>
      </c>
      <c r="R3924">
        <v>-0.93109779999999998</v>
      </c>
      <c r="S3924">
        <v>-1.264359</v>
      </c>
      <c r="T3924">
        <v>-0.2321491</v>
      </c>
      <c r="U3924">
        <v>-2.785828</v>
      </c>
      <c r="V3924">
        <v>0.30443720000000002</v>
      </c>
      <c r="W3924">
        <v>0.13034000000000001</v>
      </c>
      <c r="X3924">
        <v>0.94357279999999999</v>
      </c>
      <c r="Y3924">
        <v>0.37199310000000002</v>
      </c>
      <c r="Z3924">
        <v>7.6230720000000002E-2</v>
      </c>
      <c r="AA3924">
        <v>0.92510000000000003</v>
      </c>
      <c r="AB3924">
        <v>30</v>
      </c>
      <c r="AC3924">
        <v>-6.0161999999999898</v>
      </c>
      <c r="AD3924">
        <v>-1.10704982412</v>
      </c>
      <c r="AE3924">
        <v>-13.0208999999999</v>
      </c>
      <c r="AF3924">
        <v>5.4106358353018598</v>
      </c>
      <c r="AG3924">
        <v>-1.10704982412</v>
      </c>
      <c r="AH3924">
        <v>13.192199564125101</v>
      </c>
      <c r="AI3924">
        <v>94.439570948562206</v>
      </c>
      <c r="AJ3924">
        <v>67.699552057592797</v>
      </c>
      <c r="AK3924">
        <v>14.3015617606973</v>
      </c>
      <c r="AL3924">
        <v>82.510760526562805</v>
      </c>
      <c r="AM3924">
        <v>72.118065260805693</v>
      </c>
      <c r="AN3924">
        <v>1.00000007662183</v>
      </c>
    </row>
    <row r="3925" spans="1:40" x14ac:dyDescent="0.25">
      <c r="A3925" t="str">
        <f>"20190312173008347"</f>
        <v>20190312173008347</v>
      </c>
      <c r="B3925" t="str">
        <f>"1552383008342139"</f>
        <v>1552383008342139</v>
      </c>
      <c r="C3925" t="s">
        <v>40</v>
      </c>
      <c r="D3925">
        <v>3.6985869999999998</v>
      </c>
      <c r="E3925">
        <v>0.53226560000000001</v>
      </c>
      <c r="F3925" t="s">
        <v>51</v>
      </c>
      <c r="G3925">
        <v>-197.80420000000001</v>
      </c>
      <c r="H3925" s="1">
        <v>-1.372904E-5</v>
      </c>
      <c r="I3925">
        <v>155.084</v>
      </c>
      <c r="J3925">
        <v>-191.68039999999999</v>
      </c>
      <c r="K3925">
        <v>1.1068579999999999</v>
      </c>
      <c r="L3925">
        <v>168.04349999999999</v>
      </c>
      <c r="M3925">
        <v>-4.7635610000000002E-2</v>
      </c>
      <c r="N3925">
        <v>0</v>
      </c>
      <c r="O3925">
        <v>-0.99877800000000005</v>
      </c>
      <c r="P3925">
        <v>-0.35185719999999998</v>
      </c>
      <c r="Q3925">
        <v>0.1201016</v>
      </c>
      <c r="R3925">
        <v>-0.92831699999999995</v>
      </c>
      <c r="S3925">
        <v>-1.2851410000000001</v>
      </c>
      <c r="T3925">
        <v>-0.23165830000000001</v>
      </c>
      <c r="U3925">
        <v>-2.7765200000000001</v>
      </c>
      <c r="V3925">
        <v>0.30821520000000002</v>
      </c>
      <c r="W3925">
        <v>0.13023599999999999</v>
      </c>
      <c r="X3925">
        <v>0.94235979999999997</v>
      </c>
      <c r="Y3925">
        <v>0.3751217</v>
      </c>
      <c r="Z3925">
        <v>7.6117030000000002E-2</v>
      </c>
      <c r="AA3925">
        <v>0.92384520000000003</v>
      </c>
      <c r="AB3925">
        <v>30</v>
      </c>
      <c r="AC3925">
        <v>-6.1238000000000099</v>
      </c>
      <c r="AD3925">
        <v>-1.1068717290400001</v>
      </c>
      <c r="AE3925">
        <v>-12.959499999999901</v>
      </c>
      <c r="AF3925">
        <v>5.4668590065504796</v>
      </c>
      <c r="AG3925">
        <v>-1.1068717290400001</v>
      </c>
      <c r="AH3925">
        <v>13.1580558774887</v>
      </c>
      <c r="AI3925">
        <v>94.441995696724305</v>
      </c>
      <c r="AJ3925">
        <v>67.438278456526106</v>
      </c>
      <c r="AK3925">
        <v>14.2914711243162</v>
      </c>
      <c r="AL3925">
        <v>82.516770005724297</v>
      </c>
      <c r="AM3925">
        <v>71.888764967168697</v>
      </c>
      <c r="AN3925">
        <v>1.00000000893154</v>
      </c>
    </row>
    <row r="3926" spans="1:40" x14ac:dyDescent="0.25">
      <c r="A3926" t="str">
        <f>"20190312173008369"</f>
        <v>20190312173008369</v>
      </c>
      <c r="B3926" t="str">
        <f>"1552383008361660"</f>
        <v>1552383008361660</v>
      </c>
      <c r="C3926" t="s">
        <v>40</v>
      </c>
      <c r="D3926">
        <v>3.6899130000000002</v>
      </c>
      <c r="E3926">
        <v>0.53250949999999997</v>
      </c>
      <c r="F3926" t="s">
        <v>51</v>
      </c>
      <c r="G3926">
        <v>-197.89439999999999</v>
      </c>
      <c r="H3926" s="1">
        <v>-1.3667209999999999E-5</v>
      </c>
      <c r="I3926">
        <v>154.9212</v>
      </c>
      <c r="J3926">
        <v>-191.69890000000001</v>
      </c>
      <c r="K3926">
        <v>1.1067129999999901</v>
      </c>
      <c r="L3926">
        <v>167.7439</v>
      </c>
      <c r="M3926">
        <v>-5.1724569999999997E-2</v>
      </c>
      <c r="N3926">
        <v>0</v>
      </c>
      <c r="O3926">
        <v>-0.99857340000000006</v>
      </c>
      <c r="P3926">
        <v>-0.35924339999999999</v>
      </c>
      <c r="Q3926">
        <v>0.1195026</v>
      </c>
      <c r="R3926">
        <v>-0.92556119999999997</v>
      </c>
      <c r="S3926">
        <v>-1.3095699999999999</v>
      </c>
      <c r="T3926">
        <v>-0.23326910000000001</v>
      </c>
      <c r="U3926">
        <v>-2.7654879999999999</v>
      </c>
      <c r="V3926">
        <v>0.31190830000000003</v>
      </c>
      <c r="W3926">
        <v>0.12955230000000001</v>
      </c>
      <c r="X3926">
        <v>0.94123820000000002</v>
      </c>
      <c r="Y3926">
        <v>0.37939840000000002</v>
      </c>
      <c r="Z3926">
        <v>7.6688770000000003E-2</v>
      </c>
      <c r="AA3926">
        <v>0.92204969999999997</v>
      </c>
      <c r="AB3926">
        <v>30</v>
      </c>
      <c r="AC3926">
        <v>-6.1954999999999796</v>
      </c>
      <c r="AD3926">
        <v>-1.10672666720999</v>
      </c>
      <c r="AE3926">
        <v>-12.8226999999999</v>
      </c>
      <c r="AF3926">
        <v>5.4907369941323996</v>
      </c>
      <c r="AG3926">
        <v>-1.10672666720999</v>
      </c>
      <c r="AH3926">
        <v>13.047221539444701</v>
      </c>
      <c r="AI3926">
        <v>94.470491024045501</v>
      </c>
      <c r="AJ3926">
        <v>67.176902769584402</v>
      </c>
      <c r="AK3926">
        <v>14.1986980584135</v>
      </c>
      <c r="AL3926">
        <v>82.556277536877204</v>
      </c>
      <c r="AM3926">
        <v>71.665793041050804</v>
      </c>
      <c r="AN3926">
        <v>0.99999996759170895</v>
      </c>
    </row>
    <row r="3927" spans="1:40" x14ac:dyDescent="0.25">
      <c r="A3927" t="str">
        <f>"20190312173008381"</f>
        <v>20190312173008381</v>
      </c>
      <c r="B3927" t="str">
        <f>"1552383008371418"</f>
        <v>1552383008371418</v>
      </c>
      <c r="C3927" t="s">
        <v>40</v>
      </c>
      <c r="D3927">
        <v>3.6812619999999998</v>
      </c>
      <c r="E3927">
        <v>0.53260719999999995</v>
      </c>
      <c r="F3927" t="s">
        <v>51</v>
      </c>
      <c r="G3927">
        <v>-197.94290000000001</v>
      </c>
      <c r="H3927" s="1">
        <v>-1.363841E-5</v>
      </c>
      <c r="I3927">
        <v>154.84399999999999</v>
      </c>
      <c r="J3927">
        <v>-191.7097</v>
      </c>
      <c r="K3927">
        <v>1.106641</v>
      </c>
      <c r="L3927">
        <v>167.57820000000001</v>
      </c>
      <c r="M3927">
        <v>-5.4039429999999999E-2</v>
      </c>
      <c r="N3927">
        <v>0</v>
      </c>
      <c r="O3927">
        <v>-0.99845030000000001</v>
      </c>
      <c r="P3927">
        <v>-0.36308620000000003</v>
      </c>
      <c r="Q3927">
        <v>0.1191406</v>
      </c>
      <c r="R3927">
        <v>-0.92410729999999996</v>
      </c>
      <c r="S3927">
        <v>-1.333191</v>
      </c>
      <c r="T3927">
        <v>-0.23630480000000001</v>
      </c>
      <c r="U3927">
        <v>-2.7543329999999999</v>
      </c>
      <c r="V3927">
        <v>0.31365769999999998</v>
      </c>
      <c r="W3927">
        <v>0.12914900000000001</v>
      </c>
      <c r="X3927">
        <v>0.9407122</v>
      </c>
      <c r="Y3927">
        <v>0.38508419999999999</v>
      </c>
      <c r="Z3927">
        <v>7.7716499999999994E-2</v>
      </c>
      <c r="AA3927">
        <v>0.91960330000000001</v>
      </c>
      <c r="AB3927">
        <v>30</v>
      </c>
      <c r="AC3927">
        <v>-6.2332000000000098</v>
      </c>
      <c r="AD3927">
        <v>-1.10665463841</v>
      </c>
      <c r="AE3927">
        <v>-12.7342</v>
      </c>
      <c r="AF3927">
        <v>5.5023572008816499</v>
      </c>
      <c r="AG3927">
        <v>-1.10665463841</v>
      </c>
      <c r="AH3927">
        <v>12.973416362629701</v>
      </c>
      <c r="AI3927">
        <v>94.490250979898406</v>
      </c>
      <c r="AJ3927">
        <v>67.016958999487798</v>
      </c>
      <c r="AK3927">
        <v>14.135421867526899</v>
      </c>
      <c r="AL3927">
        <v>82.5795811639492</v>
      </c>
      <c r="AM3927">
        <v>71.560284133257397</v>
      </c>
      <c r="AN3927">
        <v>1.00000003009956</v>
      </c>
    </row>
    <row r="3928" spans="1:40" x14ac:dyDescent="0.25">
      <c r="A3928" t="str">
        <f>"20190312173008394"</f>
        <v>20190312173008394</v>
      </c>
      <c r="B3928" t="str">
        <f>"1552383008382154"</f>
        <v>1552383008382154</v>
      </c>
      <c r="C3928" t="s">
        <v>40</v>
      </c>
      <c r="D3928">
        <v>3.6772689999999999</v>
      </c>
      <c r="E3928">
        <v>0.53271749999999995</v>
      </c>
      <c r="F3928" t="s">
        <v>51</v>
      </c>
      <c r="G3928">
        <v>-197.9734</v>
      </c>
      <c r="H3928" s="1">
        <v>-1.361455E-5</v>
      </c>
      <c r="I3928">
        <v>154.78210000000001</v>
      </c>
      <c r="J3928">
        <v>-191.72139999999999</v>
      </c>
      <c r="K3928">
        <v>1.106571</v>
      </c>
      <c r="L3928">
        <v>167.40649999999999</v>
      </c>
      <c r="M3928">
        <v>-5.6505840000000002E-2</v>
      </c>
      <c r="N3928">
        <v>0</v>
      </c>
      <c r="O3928">
        <v>-0.99831320000000001</v>
      </c>
      <c r="P3928">
        <v>-0.36686859999999999</v>
      </c>
      <c r="Q3928">
        <v>0.1190316</v>
      </c>
      <c r="R3928">
        <v>-0.9226261</v>
      </c>
      <c r="S3928">
        <v>-1.345367</v>
      </c>
      <c r="T3928">
        <v>-0.2376955</v>
      </c>
      <c r="U3928">
        <v>-2.7484440000000001</v>
      </c>
      <c r="V3928">
        <v>0.3152103</v>
      </c>
      <c r="W3928">
        <v>0.12900049999999999</v>
      </c>
      <c r="X3928">
        <v>0.94021339999999998</v>
      </c>
      <c r="Y3928">
        <v>0.38685330000000001</v>
      </c>
      <c r="Z3928">
        <v>7.8202469999999996E-2</v>
      </c>
      <c r="AA3928">
        <v>0.91881930000000001</v>
      </c>
      <c r="AB3928">
        <v>30</v>
      </c>
      <c r="AC3928">
        <v>-6.2519999999999998</v>
      </c>
      <c r="AD3928">
        <v>-1.10658461455</v>
      </c>
      <c r="AE3928">
        <v>-12.6243999999999</v>
      </c>
      <c r="AF3928">
        <v>5.4946908370762397</v>
      </c>
      <c r="AG3928">
        <v>-1.10658461455</v>
      </c>
      <c r="AH3928">
        <v>12.878073387925999</v>
      </c>
      <c r="AI3928">
        <v>94.518945177862605</v>
      </c>
      <c r="AJ3928">
        <v>66.893499281594899</v>
      </c>
      <c r="AK3928">
        <v>14.044961056870701</v>
      </c>
      <c r="AL3928">
        <v>82.588160763559003</v>
      </c>
      <c r="AM3928">
        <v>71.466067001427504</v>
      </c>
      <c r="AN3928">
        <v>0.99999994988294805</v>
      </c>
    </row>
    <row r="3929" spans="1:40" x14ac:dyDescent="0.25">
      <c r="A3929" t="str">
        <f>"20190312173008415"</f>
        <v>20190312173008415</v>
      </c>
      <c r="B3929" t="str">
        <f>"1552383008411433"</f>
        <v>1552383008411433</v>
      </c>
      <c r="C3929" t="s">
        <v>40</v>
      </c>
      <c r="D3929">
        <v>3.6940270000000002</v>
      </c>
      <c r="E3929">
        <v>0.53289819999999999</v>
      </c>
      <c r="F3929" t="s">
        <v>51</v>
      </c>
      <c r="G3929">
        <v>-198.0307</v>
      </c>
      <c r="H3929" s="1">
        <v>-1.3568309999999999E-5</v>
      </c>
      <c r="I3929">
        <v>154.66239999999999</v>
      </c>
      <c r="J3929">
        <v>-191.74119999999999</v>
      </c>
      <c r="K3929">
        <v>1.1064609999999999</v>
      </c>
      <c r="L3929">
        <v>167.1301</v>
      </c>
      <c r="M3929">
        <v>-6.0566059999999998E-2</v>
      </c>
      <c r="N3929">
        <v>0</v>
      </c>
      <c r="O3929">
        <v>-0.99807449999999998</v>
      </c>
      <c r="P3929">
        <v>-0.37405169999999999</v>
      </c>
      <c r="Q3929">
        <v>0.1186986</v>
      </c>
      <c r="R3929">
        <v>-0.91978040000000005</v>
      </c>
      <c r="S3929">
        <v>-1.357712</v>
      </c>
      <c r="T3929">
        <v>-0.2381289</v>
      </c>
      <c r="U3929">
        <v>-2.742432</v>
      </c>
      <c r="V3929">
        <v>0.31875229999999999</v>
      </c>
      <c r="W3929">
        <v>0.1285848</v>
      </c>
      <c r="X3929">
        <v>0.93907560000000001</v>
      </c>
      <c r="Y3929">
        <v>0.38722099999999998</v>
      </c>
      <c r="Z3929">
        <v>7.8388830000000007E-2</v>
      </c>
      <c r="AA3929">
        <v>0.91864849999999998</v>
      </c>
      <c r="AB3929">
        <v>30</v>
      </c>
      <c r="AC3929">
        <v>-6.2895000000000003</v>
      </c>
      <c r="AD3929">
        <v>-1.1064745683099999</v>
      </c>
      <c r="AE3929">
        <v>-12.467700000000001</v>
      </c>
      <c r="AF3929">
        <v>5.4883070441844799</v>
      </c>
      <c r="AG3929">
        <v>-1.1064745683099999</v>
      </c>
      <c r="AH3929">
        <v>12.745749696692</v>
      </c>
      <c r="AI3929">
        <v>94.558747903398796</v>
      </c>
      <c r="AJ3929">
        <v>66.7033369843288</v>
      </c>
      <c r="AK3929">
        <v>13.9212045280675</v>
      </c>
      <c r="AL3929">
        <v>82.612179255255199</v>
      </c>
      <c r="AM3929">
        <v>71.251144070036702</v>
      </c>
      <c r="AN3929">
        <v>1.0000000310308399</v>
      </c>
    </row>
    <row r="3930" spans="1:40" x14ac:dyDescent="0.25">
      <c r="A3930" t="str">
        <f>"20190312173008435"</f>
        <v>20190312173008435</v>
      </c>
      <c r="B3930" t="str">
        <f>"1552383008431929"</f>
        <v>1552383008431929</v>
      </c>
      <c r="C3930" t="s">
        <v>40</v>
      </c>
      <c r="D3930">
        <v>3.6621830000000002</v>
      </c>
      <c r="E3930">
        <v>0.53300729999999996</v>
      </c>
      <c r="F3930" t="s">
        <v>51</v>
      </c>
      <c r="G3930">
        <v>-198.09899999999999</v>
      </c>
      <c r="H3930" s="1">
        <v>-1.3538209999999999E-5</v>
      </c>
      <c r="I3930">
        <v>154.5513</v>
      </c>
      <c r="J3930">
        <v>-191.76240000000001</v>
      </c>
      <c r="K3930">
        <v>1.1063499999999999</v>
      </c>
      <c r="L3930">
        <v>166.85299999999901</v>
      </c>
      <c r="M3930">
        <v>-6.47644E-2</v>
      </c>
      <c r="N3930">
        <v>0</v>
      </c>
      <c r="O3930">
        <v>-0.99781019999999998</v>
      </c>
      <c r="P3930">
        <v>-0.3807894</v>
      </c>
      <c r="Q3930">
        <v>0.1190534</v>
      </c>
      <c r="R3930">
        <v>-0.91696549999999999</v>
      </c>
      <c r="S3930">
        <v>-1.380463</v>
      </c>
      <c r="T3930">
        <v>-0.2402484</v>
      </c>
      <c r="U3930">
        <v>-2.7312470000000002</v>
      </c>
      <c r="V3930">
        <v>0.32173750000000001</v>
      </c>
      <c r="W3930">
        <v>0.12885579999999999</v>
      </c>
      <c r="X3930">
        <v>0.93801979999999996</v>
      </c>
      <c r="Y3930">
        <v>0.39092529999999998</v>
      </c>
      <c r="Z3930">
        <v>7.9134209999999996E-2</v>
      </c>
      <c r="AA3930">
        <v>0.9170142</v>
      </c>
      <c r="AB3930">
        <v>30</v>
      </c>
      <c r="AC3930">
        <v>-6.3365999999999998</v>
      </c>
      <c r="AD3930">
        <v>-1.1063635382100001</v>
      </c>
      <c r="AE3930">
        <v>-12.301699999999901</v>
      </c>
      <c r="AF3930">
        <v>5.4914071911095101</v>
      </c>
      <c r="AG3930">
        <v>-1.1063635382100001</v>
      </c>
      <c r="AH3930">
        <v>12.605711564908599</v>
      </c>
      <c r="AI3930">
        <v>94.600304443307607</v>
      </c>
      <c r="AJ3930">
        <v>66.460686291788605</v>
      </c>
      <c r="AK3930">
        <v>13.794330620763001</v>
      </c>
      <c r="AL3930">
        <v>82.596521543823997</v>
      </c>
      <c r="AM3930">
        <v>71.068211636354704</v>
      </c>
      <c r="AN3930">
        <v>0.99999999064596501</v>
      </c>
    </row>
    <row r="3931" spans="1:40" x14ac:dyDescent="0.25">
      <c r="A3931" t="str">
        <f>"20190312173008448"</f>
        <v>20190312173008448</v>
      </c>
      <c r="B3931" t="str">
        <f>"1552383008441689"</f>
        <v>1552383008441689</v>
      </c>
      <c r="C3931" t="s">
        <v>40</v>
      </c>
      <c r="D3931">
        <v>3.6824590000000001</v>
      </c>
      <c r="E3931">
        <v>0.53306480000000001</v>
      </c>
      <c r="F3931" t="s">
        <v>51</v>
      </c>
      <c r="G3931">
        <v>-198.22499999999999</v>
      </c>
      <c r="H3931" s="1">
        <v>-1.348785E-5</v>
      </c>
      <c r="I3931">
        <v>154.30670000000001</v>
      </c>
      <c r="J3931">
        <v>-191.77619999999999</v>
      </c>
      <c r="K3931">
        <v>1.1062799999999999</v>
      </c>
      <c r="L3931">
        <v>166.67939999999999</v>
      </c>
      <c r="M3931">
        <v>-6.7452310000000001E-2</v>
      </c>
      <c r="N3931">
        <v>0</v>
      </c>
      <c r="O3931">
        <v>-0.99763159999999895</v>
      </c>
      <c r="P3931">
        <v>-0.38489669999999998</v>
      </c>
      <c r="Q3931">
        <v>0.1193666</v>
      </c>
      <c r="R3931">
        <v>-0.91520829999999997</v>
      </c>
      <c r="S3931">
        <v>-1.401489</v>
      </c>
      <c r="T3931">
        <v>-0.23992729999999901</v>
      </c>
      <c r="U3931">
        <v>-2.7207949999999999</v>
      </c>
      <c r="V3931">
        <v>0.32344679999999998</v>
      </c>
      <c r="W3931">
        <v>0.12911539999999999</v>
      </c>
      <c r="X3931">
        <v>0.93739600000000001</v>
      </c>
      <c r="Y3931">
        <v>0.39548070000000002</v>
      </c>
      <c r="Z3931">
        <v>7.9065360000000001E-2</v>
      </c>
      <c r="AA3931">
        <v>0.91506489999999996</v>
      </c>
      <c r="AB3931">
        <v>30</v>
      </c>
      <c r="AC3931">
        <v>-6.4488000000000003</v>
      </c>
      <c r="AD3931">
        <v>-1.1062934878499999</v>
      </c>
      <c r="AE3931">
        <v>-12.372699999999901</v>
      </c>
      <c r="AF3931">
        <v>5.5644836602186603</v>
      </c>
      <c r="AG3931">
        <v>-1.1062934878499999</v>
      </c>
      <c r="AH3931">
        <v>12.6996995748567</v>
      </c>
      <c r="AI3931">
        <v>94.561896497692899</v>
      </c>
      <c r="AJ3931">
        <v>66.338953209249894</v>
      </c>
      <c r="AK3931">
        <v>13.9093397750474</v>
      </c>
      <c r="AL3931">
        <v>82.581521883566793</v>
      </c>
      <c r="AM3931">
        <v>70.963097904485394</v>
      </c>
      <c r="AN3931">
        <v>0.999999939881698</v>
      </c>
    </row>
    <row r="3932" spans="1:40" x14ac:dyDescent="0.25">
      <c r="A3932" t="str">
        <f>"20190312173008461"</f>
        <v>20190312173008461</v>
      </c>
      <c r="B3932" t="str">
        <f>"1552383008451450"</f>
        <v>1552383008451450</v>
      </c>
      <c r="C3932" t="s">
        <v>40</v>
      </c>
      <c r="D3932">
        <v>3.7082929999999998</v>
      </c>
      <c r="E3932">
        <v>0.53310190000000002</v>
      </c>
      <c r="F3932" t="s">
        <v>51</v>
      </c>
      <c r="G3932">
        <v>-198.31870000000001</v>
      </c>
      <c r="H3932" s="1">
        <v>-1.345007E-5</v>
      </c>
      <c r="I3932">
        <v>154.12360000000001</v>
      </c>
      <c r="J3932">
        <v>-191.7912</v>
      </c>
      <c r="K3932">
        <v>1.1062019999999999</v>
      </c>
      <c r="L3932">
        <v>166.49889999999999</v>
      </c>
      <c r="M3932">
        <v>-7.0293480000000005E-2</v>
      </c>
      <c r="N3932">
        <v>0</v>
      </c>
      <c r="O3932">
        <v>-0.99743519999999997</v>
      </c>
      <c r="P3932">
        <v>-0.38898579999999999</v>
      </c>
      <c r="Q3932">
        <v>0.119741</v>
      </c>
      <c r="R3932">
        <v>-0.91342900000000005</v>
      </c>
      <c r="S3932">
        <v>-1.4143520000000001</v>
      </c>
      <c r="T3932">
        <v>-0.23915829999999999</v>
      </c>
      <c r="U3932">
        <v>-2.7143250000000001</v>
      </c>
      <c r="V3932">
        <v>0.32500200000000001</v>
      </c>
      <c r="W3932">
        <v>0.12943550000000001</v>
      </c>
      <c r="X3932">
        <v>0.93681380000000003</v>
      </c>
      <c r="Y3932">
        <v>0.39717849999999999</v>
      </c>
      <c r="Z3932">
        <v>7.8844819999999996E-2</v>
      </c>
      <c r="AA3932">
        <v>0.91434820000000006</v>
      </c>
      <c r="AB3932">
        <v>30</v>
      </c>
      <c r="AC3932">
        <v>-6.5274999999999999</v>
      </c>
      <c r="AD3932">
        <v>-1.1062154500700001</v>
      </c>
      <c r="AE3932">
        <v>-12.3752999999999</v>
      </c>
      <c r="AF3932">
        <v>5.6063220619988003</v>
      </c>
      <c r="AG3932">
        <v>-1.1062154500700001</v>
      </c>
      <c r="AH3932">
        <v>12.7240242561058</v>
      </c>
      <c r="AI3932">
        <v>94.548802530338904</v>
      </c>
      <c r="AJ3932">
        <v>66.221269279938994</v>
      </c>
      <c r="AK3932">
        <v>13.9483100393846</v>
      </c>
      <c r="AL3932">
        <v>82.563026543988499</v>
      </c>
      <c r="AM3932">
        <v>70.867177423406304</v>
      </c>
      <c r="AN3932">
        <v>0.99999997226734405</v>
      </c>
    </row>
    <row r="3933" spans="1:40" x14ac:dyDescent="0.25">
      <c r="A3933" t="str">
        <f>"20190312173008481"</f>
        <v>20190312173008481</v>
      </c>
      <c r="B3933" t="str">
        <f>"1552383008471948"</f>
        <v>1552383008471948</v>
      </c>
      <c r="C3933" t="s">
        <v>40</v>
      </c>
      <c r="D3933">
        <v>3.675894</v>
      </c>
      <c r="E3933">
        <v>0.53305550000000002</v>
      </c>
      <c r="F3933" t="s">
        <v>51</v>
      </c>
      <c r="G3933">
        <v>-198.40600000000001</v>
      </c>
      <c r="H3933" s="1">
        <v>-1.341234E-5</v>
      </c>
      <c r="I3933">
        <v>153.94280000000001</v>
      </c>
      <c r="J3933">
        <v>-191.81460000000001</v>
      </c>
      <c r="K3933">
        <v>1.106087</v>
      </c>
      <c r="L3933">
        <v>166.23</v>
      </c>
      <c r="M3933">
        <v>-7.463786E-2</v>
      </c>
      <c r="N3933">
        <v>0</v>
      </c>
      <c r="O3933">
        <v>-0.99711899999999998</v>
      </c>
      <c r="P3933">
        <v>-0.39550020000000002</v>
      </c>
      <c r="Q3933">
        <v>0.11973640000000001</v>
      </c>
      <c r="R3933">
        <v>-0.91062810000000005</v>
      </c>
      <c r="S3933">
        <v>-1.426682</v>
      </c>
      <c r="T3933">
        <v>-0.2385861</v>
      </c>
      <c r="U3933">
        <v>-2.7080690000000001</v>
      </c>
      <c r="V3933">
        <v>0.32765050000000001</v>
      </c>
      <c r="W3933">
        <v>0.12934329999999999</v>
      </c>
      <c r="X3933">
        <v>0.9359035</v>
      </c>
      <c r="Y3933">
        <v>0.39731840000000002</v>
      </c>
      <c r="Z3933">
        <v>7.8698760000000006E-2</v>
      </c>
      <c r="AA3933">
        <v>0.91430009999999995</v>
      </c>
      <c r="AB3933">
        <v>30</v>
      </c>
      <c r="AC3933">
        <v>-6.5913999999999602</v>
      </c>
      <c r="AD3933">
        <v>-1.10610041234</v>
      </c>
      <c r="AE3933">
        <v>-12.287199999999901</v>
      </c>
      <c r="AF3933">
        <v>5.6204685882591496</v>
      </c>
      <c r="AG3933">
        <v>-1.10610041234</v>
      </c>
      <c r="AH3933">
        <v>12.665234268001999</v>
      </c>
      <c r="AI3933">
        <v>94.564036305967704</v>
      </c>
      <c r="AJ3933">
        <v>66.069721414287201</v>
      </c>
      <c r="AK3933">
        <v>13.900405905482</v>
      </c>
      <c r="AL3933">
        <v>82.568353834601098</v>
      </c>
      <c r="AM3933">
        <v>70.705357656377402</v>
      </c>
      <c r="AN3933">
        <v>0.99999995035869305</v>
      </c>
    </row>
    <row r="3934" spans="1:40" x14ac:dyDescent="0.25">
      <c r="A3934" t="str">
        <f>"20190312173008494"</f>
        <v>20190312173008494</v>
      </c>
      <c r="B3934" t="str">
        <f>"1552383008491466"</f>
        <v>1552383008491466</v>
      </c>
      <c r="C3934" t="s">
        <v>40</v>
      </c>
      <c r="D3934">
        <v>3.7188270000000001</v>
      </c>
      <c r="E3934">
        <v>0.53300950000000002</v>
      </c>
      <c r="F3934" t="s">
        <v>51</v>
      </c>
      <c r="G3934">
        <v>-198.5035</v>
      </c>
      <c r="H3934" s="1">
        <v>-1.337198E-5</v>
      </c>
      <c r="I3934">
        <v>153.74799999999999</v>
      </c>
      <c r="J3934">
        <v>-191.8297</v>
      </c>
      <c r="K3934">
        <v>1.106015</v>
      </c>
      <c r="L3934">
        <v>166.06450000000001</v>
      </c>
      <c r="M3934">
        <v>-7.7391619999999994E-2</v>
      </c>
      <c r="N3934">
        <v>0</v>
      </c>
      <c r="O3934">
        <v>-0.99690880000000004</v>
      </c>
      <c r="P3934">
        <v>-0.39928809999999998</v>
      </c>
      <c r="Q3934">
        <v>0.1200814</v>
      </c>
      <c r="R3934">
        <v>-0.90892770000000001</v>
      </c>
      <c r="S3934">
        <v>-1.4458009999999999</v>
      </c>
      <c r="T3934">
        <v>-0.23908099999999999</v>
      </c>
      <c r="U3934">
        <v>-2.6979519999999999</v>
      </c>
      <c r="V3934">
        <v>0.32899339999999999</v>
      </c>
      <c r="W3934">
        <v>0.1296331</v>
      </c>
      <c r="X3934">
        <v>0.93539229999999995</v>
      </c>
      <c r="Y3934">
        <v>0.40123560000000003</v>
      </c>
      <c r="Z3934">
        <v>7.8901769999999996E-2</v>
      </c>
      <c r="AA3934">
        <v>0.9125702</v>
      </c>
      <c r="AB3934">
        <v>30</v>
      </c>
      <c r="AC3934">
        <v>-6.6738</v>
      </c>
      <c r="AD3934">
        <v>-1.1060283719799999</v>
      </c>
      <c r="AE3934">
        <v>-12.3165</v>
      </c>
      <c r="AF3934">
        <v>5.6651830309265199</v>
      </c>
      <c r="AG3934">
        <v>-1.1060283719799999</v>
      </c>
      <c r="AH3934">
        <v>12.7168223701008</v>
      </c>
      <c r="AI3934">
        <v>94.542422007678695</v>
      </c>
      <c r="AJ3934">
        <v>65.987634357515404</v>
      </c>
      <c r="AK3934">
        <v>13.965499229394499</v>
      </c>
      <c r="AL3934">
        <v>82.551609481494907</v>
      </c>
      <c r="AM3934">
        <v>70.622358454428607</v>
      </c>
      <c r="AN3934">
        <v>1.0000000763792201</v>
      </c>
    </row>
    <row r="3935" spans="1:40" x14ac:dyDescent="0.25">
      <c r="A3935" t="str">
        <f>"20190312173008514"</f>
        <v>20190312173008514</v>
      </c>
      <c r="B3935" t="str">
        <f>"1552383008501230"</f>
        <v>1552383008501230</v>
      </c>
      <c r="C3935" t="s">
        <v>40</v>
      </c>
      <c r="D3935">
        <v>3.6636829999999998</v>
      </c>
      <c r="E3935">
        <v>0.53300599999999998</v>
      </c>
      <c r="F3935" t="s">
        <v>51</v>
      </c>
      <c r="G3935">
        <v>-198.5881</v>
      </c>
      <c r="H3935" s="1">
        <v>-1.333759E-5</v>
      </c>
      <c r="I3935">
        <v>153.58150000000001</v>
      </c>
      <c r="J3935">
        <v>-191.85560000000001</v>
      </c>
      <c r="K3935">
        <v>1.105901</v>
      </c>
      <c r="L3935">
        <v>165.7928</v>
      </c>
      <c r="M3935">
        <v>-8.201224E-2</v>
      </c>
      <c r="N3935">
        <v>0</v>
      </c>
      <c r="O3935">
        <v>-0.99653879999999995</v>
      </c>
      <c r="P3935">
        <v>-0.40564440000000002</v>
      </c>
      <c r="Q3935">
        <v>0.1201125</v>
      </c>
      <c r="R3935">
        <v>-0.90610460000000004</v>
      </c>
      <c r="S3935">
        <v>-1.4573969999999901</v>
      </c>
      <c r="T3935">
        <v>-0.23850730000000001</v>
      </c>
      <c r="U3935">
        <v>-2.6918790000000001</v>
      </c>
      <c r="V3935">
        <v>0.33124999999999999</v>
      </c>
      <c r="W3935">
        <v>0.12956880000000001</v>
      </c>
      <c r="X3935">
        <v>0.9346044</v>
      </c>
      <c r="Y3935">
        <v>0.40090019999999998</v>
      </c>
      <c r="Z3935">
        <v>7.8755130000000007E-2</v>
      </c>
      <c r="AA3935">
        <v>0.91273029999999999</v>
      </c>
      <c r="AB3935">
        <v>30</v>
      </c>
      <c r="AC3935">
        <v>-6.7324999999999804</v>
      </c>
      <c r="AD3935">
        <v>-1.10591433759</v>
      </c>
      <c r="AE3935">
        <v>-12.2112999999999</v>
      </c>
      <c r="AF3935">
        <v>5.6725672066908803</v>
      </c>
      <c r="AG3935">
        <v>-1.10591433759</v>
      </c>
      <c r="AH3935">
        <v>12.642831134492599</v>
      </c>
      <c r="AI3935">
        <v>94.563018880778102</v>
      </c>
      <c r="AJ3935">
        <v>65.835248977797605</v>
      </c>
      <c r="AK3935">
        <v>13.9011598196628</v>
      </c>
      <c r="AL3935">
        <v>82.555324441623497</v>
      </c>
      <c r="AM3935">
        <v>70.484246395766206</v>
      </c>
      <c r="AN3935">
        <v>1.0000000104664</v>
      </c>
    </row>
    <row r="3936" spans="1:40" x14ac:dyDescent="0.25">
      <c r="A3936" t="str">
        <f>"20190312173008526"</f>
        <v>20190312173008526</v>
      </c>
      <c r="B3936" t="str">
        <f>"1552383008521721"</f>
        <v>1552383008521721</v>
      </c>
      <c r="C3936" t="s">
        <v>40</v>
      </c>
      <c r="D3936">
        <v>3.6326520000000002</v>
      </c>
      <c r="E3936">
        <v>0.53292910000000004</v>
      </c>
      <c r="F3936" t="s">
        <v>51</v>
      </c>
      <c r="G3936">
        <v>-198.70339999999999</v>
      </c>
      <c r="H3936" s="1">
        <v>-1.3292729999999999E-5</v>
      </c>
      <c r="I3936">
        <v>153.36259999999999</v>
      </c>
      <c r="J3936">
        <v>-191.87190000000001</v>
      </c>
      <c r="K3936">
        <v>1.1058269999999999</v>
      </c>
      <c r="L3936">
        <v>165.6277</v>
      </c>
      <c r="M3936">
        <v>-8.4880949999999997E-2</v>
      </c>
      <c r="N3936">
        <v>0</v>
      </c>
      <c r="O3936">
        <v>-0.99629829999999997</v>
      </c>
      <c r="P3936">
        <v>-0.40959370000000001</v>
      </c>
      <c r="Q3936">
        <v>0.1203782</v>
      </c>
      <c r="R3936">
        <v>-0.90429090000000001</v>
      </c>
      <c r="S3936">
        <v>-1.4770970000000001</v>
      </c>
      <c r="T3936">
        <v>-0.23855100000000001</v>
      </c>
      <c r="U3936">
        <v>-2.681244</v>
      </c>
      <c r="V3936">
        <v>0.33266800000000002</v>
      </c>
      <c r="W3936">
        <v>0.12977259999999999</v>
      </c>
      <c r="X3936">
        <v>0.93407229999999997</v>
      </c>
      <c r="Y3936">
        <v>0.40493370000000001</v>
      </c>
      <c r="Z3936">
        <v>7.8810050000000006E-2</v>
      </c>
      <c r="AA3936">
        <v>0.91094330000000001</v>
      </c>
      <c r="AB3936">
        <v>30</v>
      </c>
      <c r="AC3936">
        <v>-6.8314999999999699</v>
      </c>
      <c r="AD3936">
        <v>-1.10584029273</v>
      </c>
      <c r="AE3936">
        <v>-12.2651</v>
      </c>
      <c r="AF3936">
        <v>5.7301201665817096</v>
      </c>
      <c r="AG3936">
        <v>-1.10584029273</v>
      </c>
      <c r="AH3936">
        <v>12.721815995625001</v>
      </c>
      <c r="AI3936">
        <v>94.531570527771393</v>
      </c>
      <c r="AJ3936">
        <v>65.752396488860697</v>
      </c>
      <c r="AK3936">
        <v>13.9964910639428</v>
      </c>
      <c r="AL3936">
        <v>82.543548010728898</v>
      </c>
      <c r="AM3936">
        <v>70.396743882245701</v>
      </c>
      <c r="AN3936">
        <v>0.999999993781024</v>
      </c>
    </row>
    <row r="3937" spans="1:40" x14ac:dyDescent="0.25">
      <c r="A3937" t="str">
        <f>"20190312173008539"</f>
        <v>20190312173008539</v>
      </c>
      <c r="B3937" t="str">
        <f>"1552383008531482"</f>
        <v>1552383008531482</v>
      </c>
      <c r="C3937" t="s">
        <v>40</v>
      </c>
      <c r="D3937">
        <v>3.6265489999999998</v>
      </c>
      <c r="E3937">
        <v>0.53289679999999995</v>
      </c>
      <c r="F3937" t="s">
        <v>51</v>
      </c>
      <c r="G3937">
        <v>-198.7697</v>
      </c>
      <c r="H3937" s="1">
        <v>-1.32657399999999E-5</v>
      </c>
      <c r="I3937">
        <v>153.2319</v>
      </c>
      <c r="J3937">
        <v>-191.88919999999999</v>
      </c>
      <c r="K3937">
        <v>1.1057520000000001</v>
      </c>
      <c r="L3937">
        <v>165.46010000000001</v>
      </c>
      <c r="M3937">
        <v>-8.785685E-2</v>
      </c>
      <c r="N3937">
        <v>0</v>
      </c>
      <c r="O3937">
        <v>-0.99604000000000004</v>
      </c>
      <c r="P3937">
        <v>-0.41363040000000001</v>
      </c>
      <c r="Q3937">
        <v>0.1202812</v>
      </c>
      <c r="R3937">
        <v>-0.90246479999999996</v>
      </c>
      <c r="S3937">
        <v>-1.488556</v>
      </c>
      <c r="T3937">
        <v>-0.23864350000000001</v>
      </c>
      <c r="U3937">
        <v>-2.675049</v>
      </c>
      <c r="V3937">
        <v>0.33407520000000002</v>
      </c>
      <c r="W3937">
        <v>0.1296118</v>
      </c>
      <c r="X3937">
        <v>0.93359230000000004</v>
      </c>
      <c r="Y3937">
        <v>0.40607779999999999</v>
      </c>
      <c r="Z3937">
        <v>7.8870590000000004E-2</v>
      </c>
      <c r="AA3937">
        <v>0.91042860000000003</v>
      </c>
      <c r="AB3937">
        <v>30</v>
      </c>
      <c r="AC3937">
        <v>-6.8805000000000103</v>
      </c>
      <c r="AD3937">
        <v>-1.1057652657399999</v>
      </c>
      <c r="AE3937">
        <v>-12.228199999999999</v>
      </c>
      <c r="AF3937">
        <v>5.7437847623881204</v>
      </c>
      <c r="AG3937">
        <v>-1.1057652657399999</v>
      </c>
      <c r="AH3937">
        <v>12.706543720078599</v>
      </c>
      <c r="AI3937">
        <v>94.533950400106207</v>
      </c>
      <c r="AJ3937">
        <v>65.675432846074798</v>
      </c>
      <c r="AK3937">
        <v>13.9882105192133</v>
      </c>
      <c r="AL3937">
        <v>82.552839845007497</v>
      </c>
      <c r="AM3937">
        <v>70.310838802057603</v>
      </c>
      <c r="AN3937">
        <v>1.00000002028678</v>
      </c>
    </row>
    <row r="3938" spans="1:40" x14ac:dyDescent="0.25">
      <c r="A3938" t="str">
        <f>"20190312173008551"</f>
        <v>20190312173008551</v>
      </c>
      <c r="B3938" t="str">
        <f>"1552383008542218"</f>
        <v>1552383008542218</v>
      </c>
      <c r="C3938" t="s">
        <v>40</v>
      </c>
      <c r="D3938">
        <v>3.620428</v>
      </c>
      <c r="E3938">
        <v>0.53285209999999905</v>
      </c>
      <c r="F3938" t="s">
        <v>51</v>
      </c>
      <c r="G3938">
        <v>-198.82419999999999</v>
      </c>
      <c r="H3938" s="1">
        <v>-1.3243590000000001E-5</v>
      </c>
      <c r="I3938">
        <v>153.12469999999999</v>
      </c>
      <c r="J3938">
        <v>-191.9074</v>
      </c>
      <c r="K3938">
        <v>1.105677</v>
      </c>
      <c r="L3938">
        <v>165.28899999999999</v>
      </c>
      <c r="M3938">
        <v>-9.0957259999999998E-2</v>
      </c>
      <c r="N3938">
        <v>0</v>
      </c>
      <c r="O3938">
        <v>-0.99576149999999997</v>
      </c>
      <c r="P3938">
        <v>-0.41755199999999998</v>
      </c>
      <c r="Q3938">
        <v>0.12038649999999999</v>
      </c>
      <c r="R3938">
        <v>-0.90064299999999997</v>
      </c>
      <c r="S3938">
        <v>-1.500259</v>
      </c>
      <c r="T3938">
        <v>-0.23920949999999999</v>
      </c>
      <c r="U3938">
        <v>-2.6685180000000002</v>
      </c>
      <c r="V3938">
        <v>0.33525830000000001</v>
      </c>
      <c r="W3938">
        <v>0.12965489999999999</v>
      </c>
      <c r="X3938">
        <v>0.93316209999999999</v>
      </c>
      <c r="Y3938">
        <v>0.40721200000000002</v>
      </c>
      <c r="Z3938">
        <v>7.9090519999999997E-2</v>
      </c>
      <c r="AA3938">
        <v>0.90990280000000001</v>
      </c>
      <c r="AB3938">
        <v>30</v>
      </c>
      <c r="AC3938">
        <v>-6.9167999999999896</v>
      </c>
      <c r="AD3938">
        <v>-1.10569024359</v>
      </c>
      <c r="AE3938">
        <v>-12.164300000000001</v>
      </c>
      <c r="AF3938">
        <v>5.7457156353666896</v>
      </c>
      <c r="AG3938">
        <v>-1.10569024359</v>
      </c>
      <c r="AH3938">
        <v>12.663991334392</v>
      </c>
      <c r="AI3938">
        <v>94.545969597044206</v>
      </c>
      <c r="AJ3938">
        <v>65.595968792559404</v>
      </c>
      <c r="AK3938">
        <v>13.9503575436195</v>
      </c>
      <c r="AL3938">
        <v>82.550349326675601</v>
      </c>
      <c r="AM3938">
        <v>70.238096786913303</v>
      </c>
      <c r="AN3938">
        <v>1.00000001284465</v>
      </c>
    </row>
    <row r="3939" spans="1:40" x14ac:dyDescent="0.25">
      <c r="A3939" t="str">
        <f>"20190312173008570"</f>
        <v>20190312173008570</v>
      </c>
      <c r="B3939" t="str">
        <f>"1552383008561740"</f>
        <v>1552383008561740</v>
      </c>
      <c r="C3939" t="s">
        <v>40</v>
      </c>
      <c r="D3939">
        <v>3.6591369999999999</v>
      </c>
      <c r="E3939">
        <v>0.53277469999999905</v>
      </c>
      <c r="F3939" t="s">
        <v>51</v>
      </c>
      <c r="G3939">
        <v>-198.8955</v>
      </c>
      <c r="H3939" s="1">
        <v>-1.3214750000000001E-5</v>
      </c>
      <c r="I3939">
        <v>152.98500000000001</v>
      </c>
      <c r="J3939">
        <v>-191.935</v>
      </c>
      <c r="K3939">
        <v>1.105564</v>
      </c>
      <c r="L3939">
        <v>165.03809999999999</v>
      </c>
      <c r="M3939">
        <v>-9.560217E-2</v>
      </c>
      <c r="N3939">
        <v>0</v>
      </c>
      <c r="O3939">
        <v>-0.99532589999999999</v>
      </c>
      <c r="P3939">
        <v>-0.42426970000000003</v>
      </c>
      <c r="Q3939">
        <v>0.12003809999999999</v>
      </c>
      <c r="R3939">
        <v>-0.89754469999999997</v>
      </c>
      <c r="S3939">
        <v>-1.511887</v>
      </c>
      <c r="T3939">
        <v>-0.23921729999999999</v>
      </c>
      <c r="U3939">
        <v>-2.6619869999999999</v>
      </c>
      <c r="V3939">
        <v>0.33790829999999999</v>
      </c>
      <c r="W3939">
        <v>0.12919719999999901</v>
      </c>
      <c r="X3939">
        <v>0.93226929999999997</v>
      </c>
      <c r="Y3939">
        <v>0.40691569999999999</v>
      </c>
      <c r="Z3939">
        <v>7.9134289999999996E-2</v>
      </c>
      <c r="AA3939">
        <v>0.91003149999999999</v>
      </c>
      <c r="AB3939">
        <v>30</v>
      </c>
      <c r="AC3939">
        <v>-6.9604999999999899</v>
      </c>
      <c r="AD3939">
        <v>-1.10557721475</v>
      </c>
      <c r="AE3939">
        <v>-12.053099999999899</v>
      </c>
      <c r="AF3939">
        <v>5.7399862002437798</v>
      </c>
      <c r="AG3939">
        <v>-1.10557721475</v>
      </c>
      <c r="AH3939">
        <v>12.5839850331555</v>
      </c>
      <c r="AI3939">
        <v>94.570115258959405</v>
      </c>
      <c r="AJ3939">
        <v>65.480648076299104</v>
      </c>
      <c r="AK3939">
        <v>13.875389070993499</v>
      </c>
      <c r="AL3939">
        <v>82.576795888409293</v>
      </c>
      <c r="AM3939">
        <v>70.076555315314494</v>
      </c>
      <c r="AN3939">
        <v>0.99999999170960996</v>
      </c>
    </row>
    <row r="3940" spans="1:40" x14ac:dyDescent="0.25">
      <c r="A3940" t="str">
        <f>"20190312173008582"</f>
        <v>20190312173008582</v>
      </c>
      <c r="B3940" t="str">
        <f>"1552383008571498"</f>
        <v>1552383008571498</v>
      </c>
      <c r="C3940" t="s">
        <v>40</v>
      </c>
      <c r="D3940">
        <v>3.6314139999999999</v>
      </c>
      <c r="E3940">
        <v>0.53277469999999905</v>
      </c>
      <c r="F3940" t="s">
        <v>51</v>
      </c>
      <c r="G3940">
        <v>-198.95099999999999</v>
      </c>
      <c r="H3940" s="1">
        <v>-1.3197070000000001E-5</v>
      </c>
      <c r="I3940">
        <v>152.89510000000001</v>
      </c>
      <c r="J3940">
        <v>-191.9537</v>
      </c>
      <c r="K3940">
        <v>1.1054900000000001</v>
      </c>
      <c r="L3940">
        <v>164.8742</v>
      </c>
      <c r="M3940">
        <v>-9.869638E-2</v>
      </c>
      <c r="N3940">
        <v>0</v>
      </c>
      <c r="O3940">
        <v>-0.99502380000000001</v>
      </c>
      <c r="P3940">
        <v>-0.42811709999999897</v>
      </c>
      <c r="Q3940">
        <v>0.11996660000000001</v>
      </c>
      <c r="R3940">
        <v>-0.89572549999999995</v>
      </c>
      <c r="S3940">
        <v>-1.5315399999999999</v>
      </c>
      <c r="T3940">
        <v>-0.24134059999999999</v>
      </c>
      <c r="U3940">
        <v>-2.6507420000000002</v>
      </c>
      <c r="V3940">
        <v>0.33903450000000002</v>
      </c>
      <c r="W3940">
        <v>0.1290596</v>
      </c>
      <c r="X3940">
        <v>0.93187940000000002</v>
      </c>
      <c r="Y3940">
        <v>0.41077560000000002</v>
      </c>
      <c r="Z3940">
        <v>7.9877530000000002E-2</v>
      </c>
      <c r="AA3940">
        <v>0.90823069999999895</v>
      </c>
      <c r="AB3940">
        <v>30</v>
      </c>
      <c r="AC3940">
        <v>-6.9972999999999903</v>
      </c>
      <c r="AD3940">
        <v>-1.10550319706999</v>
      </c>
      <c r="AE3940">
        <v>-11.979099999999899</v>
      </c>
      <c r="AF3940">
        <v>5.74424950268941</v>
      </c>
      <c r="AG3940">
        <v>-1.10550319706999</v>
      </c>
      <c r="AH3940">
        <v>12.531697947407499</v>
      </c>
      <c r="AI3940">
        <v>94.584921429084702</v>
      </c>
      <c r="AJ3940">
        <v>65.374339736659806</v>
      </c>
      <c r="AK3940">
        <v>13.829750291054999</v>
      </c>
      <c r="AL3940">
        <v>82.584746369585702</v>
      </c>
      <c r="AM3940">
        <v>70.007702408538805</v>
      </c>
      <c r="AN3940">
        <v>0.99999999434338505</v>
      </c>
    </row>
    <row r="3941" spans="1:40" x14ac:dyDescent="0.25">
      <c r="A3941" t="str">
        <f>"20190312173008597"</f>
        <v>20190312173008597</v>
      </c>
      <c r="B3941" t="str">
        <f>"1552383008591509"</f>
        <v>1552383008591509</v>
      </c>
      <c r="C3941" t="s">
        <v>40</v>
      </c>
      <c r="D3941">
        <v>3.645734</v>
      </c>
      <c r="E3941">
        <v>0.53035639999999995</v>
      </c>
      <c r="F3941" t="s">
        <v>51</v>
      </c>
      <c r="G3941">
        <v>-199.02029999999999</v>
      </c>
      <c r="H3941" s="1">
        <v>-1.3170700000000001E-5</v>
      </c>
      <c r="I3941">
        <v>152.76589999999999</v>
      </c>
      <c r="J3941">
        <v>-191.97499999999999</v>
      </c>
      <c r="K3941">
        <v>1.1054090000000001</v>
      </c>
      <c r="L3941">
        <v>164.69550000000001</v>
      </c>
      <c r="M3941">
        <v>-0.1021697</v>
      </c>
      <c r="N3941">
        <v>0</v>
      </c>
      <c r="O3941">
        <v>-0.99467269999999997</v>
      </c>
      <c r="P3941">
        <v>-0.43218990000000002</v>
      </c>
      <c r="Q3941">
        <v>0.120320899999999</v>
      </c>
      <c r="R3941">
        <v>-0.89371979999999995</v>
      </c>
      <c r="S3941">
        <v>-1.5431060000000001</v>
      </c>
      <c r="T3941">
        <v>-0.2414027</v>
      </c>
      <c r="U3941">
        <v>-2.644028</v>
      </c>
      <c r="V3941">
        <v>0.34006039999999998</v>
      </c>
      <c r="W3941">
        <v>0.12934329999999999</v>
      </c>
      <c r="X3941">
        <v>0.93146620000000002</v>
      </c>
      <c r="Y3941">
        <v>0.41156009999999998</v>
      </c>
      <c r="Z3941">
        <v>7.9932840000000005E-2</v>
      </c>
      <c r="AA3941">
        <v>0.90787059999999997</v>
      </c>
      <c r="AB3941">
        <v>30</v>
      </c>
      <c r="AC3941">
        <v>-7.0452999999999903</v>
      </c>
      <c r="AD3941">
        <v>-1.10542217069999</v>
      </c>
      <c r="AE3941">
        <v>-11.929600000000001</v>
      </c>
      <c r="AF3941">
        <v>5.75284448213388</v>
      </c>
      <c r="AG3941">
        <v>-1.10542217069999</v>
      </c>
      <c r="AH3941">
        <v>12.5074223000851</v>
      </c>
      <c r="AI3941">
        <v>94.590712828461605</v>
      </c>
      <c r="AJ3941">
        <v>65.299724077009401</v>
      </c>
      <c r="AK3941">
        <v>13.8113283359625</v>
      </c>
      <c r="AL3941">
        <v>82.5683543799056</v>
      </c>
      <c r="AM3941">
        <v>69.943834100058695</v>
      </c>
      <c r="AN3941">
        <v>1.00000002332274</v>
      </c>
    </row>
    <row r="3942" spans="1:40" x14ac:dyDescent="0.25">
      <c r="A3942" t="str">
        <f>"20190312173008616"</f>
        <v>20190312173008616</v>
      </c>
      <c r="B3942" t="str">
        <f>"1552383008612004"</f>
        <v>1552383008612004</v>
      </c>
      <c r="C3942" t="s">
        <v>40</v>
      </c>
      <c r="D3942">
        <v>3.6377269999999999</v>
      </c>
      <c r="E3942">
        <v>0.53017910000000001</v>
      </c>
      <c r="F3942" t="s">
        <v>51</v>
      </c>
      <c r="G3942">
        <v>-198.35769999999999</v>
      </c>
      <c r="H3942" s="1">
        <v>-1.3350509999999999E-5</v>
      </c>
      <c r="I3942">
        <v>153.7141</v>
      </c>
      <c r="J3942">
        <v>-192.00720000000001</v>
      </c>
      <c r="K3942">
        <v>1.1052850000000001</v>
      </c>
      <c r="L3942">
        <v>164.43459999999999</v>
      </c>
      <c r="M3942">
        <v>-0.10735790000000001</v>
      </c>
      <c r="N3942">
        <v>0</v>
      </c>
      <c r="O3942">
        <v>-0.99412579999999995</v>
      </c>
      <c r="P3942">
        <v>-0.43921979999999999</v>
      </c>
      <c r="Q3942">
        <v>0.12169530000000001</v>
      </c>
      <c r="R3942">
        <v>-0.89009889999999903</v>
      </c>
      <c r="S3942">
        <v>-1.5392459999999999</v>
      </c>
      <c r="T3942">
        <v>-0.26658379999999998</v>
      </c>
      <c r="U3942">
        <v>-2.648285</v>
      </c>
      <c r="V3942">
        <v>0.34262229999999999</v>
      </c>
      <c r="W3942">
        <v>0.1305877</v>
      </c>
      <c r="X3942">
        <v>0.93035299999999999</v>
      </c>
      <c r="Y3942">
        <v>0.4048254</v>
      </c>
      <c r="Z3942">
        <v>8.8176309999999994E-2</v>
      </c>
      <c r="AA3942">
        <v>0.91013259999999996</v>
      </c>
      <c r="AB3942">
        <v>30</v>
      </c>
      <c r="AC3942">
        <v>-6.3504999999999798</v>
      </c>
      <c r="AD3942">
        <v>-1.10529835051</v>
      </c>
      <c r="AE3942">
        <v>-10.7204999999999</v>
      </c>
      <c r="AF3942">
        <v>5.1224441236554403</v>
      </c>
      <c r="AG3942">
        <v>-1.10529835051</v>
      </c>
      <c r="AH3942">
        <v>11.251831297018599</v>
      </c>
      <c r="AI3942">
        <v>95.108884108595007</v>
      </c>
      <c r="AJ3942">
        <v>65.522396711531002</v>
      </c>
      <c r="AK3942">
        <v>12.412285276297</v>
      </c>
      <c r="AL3942">
        <v>82.496445033853206</v>
      </c>
      <c r="AM3942">
        <v>69.782696167311002</v>
      </c>
      <c r="AN3942">
        <v>0.99999994622878796</v>
      </c>
    </row>
    <row r="3943" spans="1:40" x14ac:dyDescent="0.25">
      <c r="A3943" t="str">
        <f>"20190312173008638"</f>
        <v>20190312173008638</v>
      </c>
      <c r="B3943" t="str">
        <f>"1552383008631524"</f>
        <v>1552383008631524</v>
      </c>
      <c r="C3943" t="s">
        <v>40</v>
      </c>
      <c r="D3943">
        <v>3.6449090000000002</v>
      </c>
      <c r="E3943">
        <v>0.53016249999999998</v>
      </c>
      <c r="F3943" t="s">
        <v>51</v>
      </c>
      <c r="G3943">
        <v>-198.53139999999999</v>
      </c>
      <c r="H3943" s="1">
        <v>-1.328736E-5</v>
      </c>
      <c r="I3943">
        <v>153.40190000000001</v>
      </c>
      <c r="J3943">
        <v>-192.0444</v>
      </c>
      <c r="K3943">
        <v>1.1051359999999999</v>
      </c>
      <c r="L3943">
        <v>164.14699999999999</v>
      </c>
      <c r="M3943">
        <v>-0.1132677</v>
      </c>
      <c r="N3943">
        <v>0</v>
      </c>
      <c r="O3943">
        <v>-0.9934693</v>
      </c>
      <c r="P3943">
        <v>-0.4469901</v>
      </c>
      <c r="Q3943">
        <v>0.1225189</v>
      </c>
      <c r="R3943">
        <v>-0.88610900000000004</v>
      </c>
      <c r="S3943">
        <v>-1.559418</v>
      </c>
      <c r="T3943">
        <v>-0.26418639999999999</v>
      </c>
      <c r="U3943">
        <v>-2.6370239999999998</v>
      </c>
      <c r="V3943">
        <v>0.34530470000000002</v>
      </c>
      <c r="W3943">
        <v>0.131261299999999</v>
      </c>
      <c r="X3943">
        <v>0.92926589999999998</v>
      </c>
      <c r="Y3943">
        <v>0.40628769999999997</v>
      </c>
      <c r="Z3943">
        <v>8.7434929999999994E-2</v>
      </c>
      <c r="AA3943">
        <v>0.90955229999999998</v>
      </c>
      <c r="AB3943">
        <v>30</v>
      </c>
      <c r="AC3943">
        <v>-6.4869999999999903</v>
      </c>
      <c r="AD3943">
        <v>-1.10514928736</v>
      </c>
      <c r="AE3943">
        <v>-10.745100000000001</v>
      </c>
      <c r="AF3943">
        <v>5.1878371363393798</v>
      </c>
      <c r="AG3943">
        <v>-1.10514928736</v>
      </c>
      <c r="AH3943">
        <v>11.322989654298601</v>
      </c>
      <c r="AI3943">
        <v>95.070706922309697</v>
      </c>
      <c r="AJ3943">
        <v>65.384240627314</v>
      </c>
      <c r="AK3943">
        <v>12.5038035737886</v>
      </c>
      <c r="AL3943">
        <v>82.457515824818998</v>
      </c>
      <c r="AM3943">
        <v>69.615503218571007</v>
      </c>
      <c r="AN3943">
        <v>0.99999998881129404</v>
      </c>
    </row>
    <row r="3944" spans="1:40" x14ac:dyDescent="0.25">
      <c r="A3944" t="str">
        <f>"20190312173008650"</f>
        <v>20190312173008650</v>
      </c>
      <c r="B3944" t="str">
        <f>"1552383008641284"</f>
        <v>1552383008641284</v>
      </c>
      <c r="C3944" t="s">
        <v>40</v>
      </c>
      <c r="D3944">
        <v>3.6385269999999998</v>
      </c>
      <c r="E3944">
        <v>0.53007700000000002</v>
      </c>
      <c r="F3944" t="s">
        <v>51</v>
      </c>
      <c r="G3944">
        <v>-198.65889999999999</v>
      </c>
      <c r="H3944" s="1">
        <v>-1.324309E-5</v>
      </c>
      <c r="I3944">
        <v>153.18100000000001</v>
      </c>
      <c r="J3944">
        <v>-192.06720000000001</v>
      </c>
      <c r="K3944">
        <v>1.1050439999999999</v>
      </c>
      <c r="L3944">
        <v>163.97790000000001</v>
      </c>
      <c r="M3944">
        <v>-0.11683929999999999</v>
      </c>
      <c r="N3944">
        <v>0</v>
      </c>
      <c r="O3944">
        <v>-0.99305549999999998</v>
      </c>
      <c r="P3944">
        <v>-0.45123679999999999</v>
      </c>
      <c r="Q3944">
        <v>0.1229065</v>
      </c>
      <c r="R3944">
        <v>-0.88390040000000003</v>
      </c>
      <c r="S3944">
        <v>-1.5826260000000001</v>
      </c>
      <c r="T3944">
        <v>-0.2644261</v>
      </c>
      <c r="U3944">
        <v>-2.6237949999999999</v>
      </c>
      <c r="V3944">
        <v>0.34646470000000001</v>
      </c>
      <c r="W3944">
        <v>0.13156479999999901</v>
      </c>
      <c r="X3944">
        <v>0.92879109999999998</v>
      </c>
      <c r="Y3944">
        <v>0.41092339999999999</v>
      </c>
      <c r="Z3944">
        <v>8.7554980000000004E-2</v>
      </c>
      <c r="AA3944">
        <v>0.90745580000000003</v>
      </c>
      <c r="AB3944">
        <v>30</v>
      </c>
      <c r="AC3944">
        <v>-6.5916999999999701</v>
      </c>
      <c r="AD3944">
        <v>-1.1050572430900001</v>
      </c>
      <c r="AE3944">
        <v>-10.7968999999999</v>
      </c>
      <c r="AF3944">
        <v>5.2448978795122496</v>
      </c>
      <c r="AG3944">
        <v>-1.1050572430900001</v>
      </c>
      <c r="AH3944">
        <v>11.4061376479816</v>
      </c>
      <c r="AI3944">
        <v>95.030360505622497</v>
      </c>
      <c r="AJ3944">
        <v>65.305553068673206</v>
      </c>
      <c r="AK3944">
        <v>12.6027806979936</v>
      </c>
      <c r="AL3944">
        <v>82.439974487378905</v>
      </c>
      <c r="AM3944">
        <v>69.543097211361498</v>
      </c>
      <c r="AN3944">
        <v>0.99999999619216995</v>
      </c>
    </row>
    <row r="3945" spans="1:40" x14ac:dyDescent="0.25">
      <c r="A3945" t="str">
        <f>"20190312173008671"</f>
        <v>20190312173008671</v>
      </c>
      <c r="B3945" t="str">
        <f>"1552383008661783"</f>
        <v>1552383008661783</v>
      </c>
      <c r="C3945" t="s">
        <v>40</v>
      </c>
      <c r="D3945">
        <v>3.6154540000000002</v>
      </c>
      <c r="E3945">
        <v>0.52990649999999995</v>
      </c>
      <c r="F3945" t="s">
        <v>51</v>
      </c>
      <c r="G3945">
        <v>-198.72470000000001</v>
      </c>
      <c r="H3945" s="1">
        <v>-1.321757E-5</v>
      </c>
      <c r="I3945">
        <v>153.0564</v>
      </c>
      <c r="J3945">
        <v>-192.10570000000001</v>
      </c>
      <c r="K3945">
        <v>1.1048880000000001</v>
      </c>
      <c r="L3945">
        <v>163.70339999999999</v>
      </c>
      <c r="M3945">
        <v>-0.12279139999999999</v>
      </c>
      <c r="N3945">
        <v>0</v>
      </c>
      <c r="O3945">
        <v>-0.99233680000000002</v>
      </c>
      <c r="P3945">
        <v>-0.45916269999999998</v>
      </c>
      <c r="Q3945">
        <v>0.1232202</v>
      </c>
      <c r="R3945">
        <v>-0.87976529999999997</v>
      </c>
      <c r="S3945">
        <v>-1.595016</v>
      </c>
      <c r="T3945">
        <v>-0.26475290000000001</v>
      </c>
      <c r="U3945">
        <v>-2.6166079999999998</v>
      </c>
      <c r="V3945">
        <v>0.34930620000000001</v>
      </c>
      <c r="W3945">
        <v>0.1317217</v>
      </c>
      <c r="X3945">
        <v>0.92770390000000003</v>
      </c>
      <c r="Y3945">
        <v>0.40969610000000001</v>
      </c>
      <c r="Z3945">
        <v>8.7695809999999999E-2</v>
      </c>
      <c r="AA3945">
        <v>0.90799700000000005</v>
      </c>
      <c r="AB3945">
        <v>30</v>
      </c>
      <c r="AC3945">
        <v>-6.6189999999999998</v>
      </c>
      <c r="AD3945">
        <v>-1.1049012175699999</v>
      </c>
      <c r="AE3945">
        <v>-10.646999999999901</v>
      </c>
      <c r="AF3945">
        <v>5.2208642158755598</v>
      </c>
      <c r="AG3945">
        <v>-1.1049012175699999</v>
      </c>
      <c r="AH3945">
        <v>11.291540606980799</v>
      </c>
      <c r="AI3945">
        <v>95.075558001123298</v>
      </c>
      <c r="AJ3945">
        <v>65.185617540227696</v>
      </c>
      <c r="AK3945">
        <v>12.489079995752</v>
      </c>
      <c r="AL3945">
        <v>82.430905709345794</v>
      </c>
      <c r="AM3945">
        <v>69.367254903110194</v>
      </c>
      <c r="AN3945">
        <v>0.99999997684226904</v>
      </c>
    </row>
    <row r="3946" spans="1:40" x14ac:dyDescent="0.25">
      <c r="A3946" t="str">
        <f>"20190312173008684"</f>
        <v>20190312173008684</v>
      </c>
      <c r="B3946" t="str">
        <f>"1552383008681807"</f>
        <v>1552383008681807</v>
      </c>
      <c r="C3946" t="s">
        <v>40</v>
      </c>
      <c r="D3946">
        <v>3.5929500000000001</v>
      </c>
      <c r="E3946">
        <v>0.52967200000000003</v>
      </c>
      <c r="F3946" t="s">
        <v>51</v>
      </c>
      <c r="G3946">
        <v>-198.83879999999999</v>
      </c>
      <c r="H3946" s="1">
        <v>-1.318059E-5</v>
      </c>
      <c r="I3946">
        <v>152.86920000000001</v>
      </c>
      <c r="J3946">
        <v>-192.13210000000001</v>
      </c>
      <c r="K3946">
        <v>1.104787</v>
      </c>
      <c r="L3946">
        <v>163.52160000000001</v>
      </c>
      <c r="M3946">
        <v>-0.12682579999999999</v>
      </c>
      <c r="N3946">
        <v>0</v>
      </c>
      <c r="O3946">
        <v>-0.99182890000000001</v>
      </c>
      <c r="P3946">
        <v>-0.46389609999999898</v>
      </c>
      <c r="Q3946">
        <v>0.1233503</v>
      </c>
      <c r="R3946">
        <v>-0.87726019999999905</v>
      </c>
      <c r="S3946">
        <v>-1.617615</v>
      </c>
      <c r="T3946">
        <v>-0.26545289999999999</v>
      </c>
      <c r="U3946">
        <v>-2.6029209999999998</v>
      </c>
      <c r="V3946">
        <v>0.35057179999999999</v>
      </c>
      <c r="W3946">
        <v>0.13175629999999999</v>
      </c>
      <c r="X3946">
        <v>0.92722150000000003</v>
      </c>
      <c r="Y3946">
        <v>0.41380080000000002</v>
      </c>
      <c r="Z3946">
        <v>8.7977630000000001E-2</v>
      </c>
      <c r="AA3946">
        <v>0.90610639999999998</v>
      </c>
      <c r="AB3946">
        <v>30</v>
      </c>
      <c r="AC3946">
        <v>-6.7066999999999801</v>
      </c>
      <c r="AD3946">
        <v>-1.1048001805900001</v>
      </c>
      <c r="AE3946">
        <v>-10.6524</v>
      </c>
      <c r="AF3946">
        <v>5.2608800043404598</v>
      </c>
      <c r="AG3946">
        <v>-1.1048001805900001</v>
      </c>
      <c r="AH3946">
        <v>11.329754862884201</v>
      </c>
      <c r="AI3946">
        <v>95.054282938084896</v>
      </c>
      <c r="AJ3946">
        <v>65.092582485298806</v>
      </c>
      <c r="AK3946">
        <v>12.5403663069365</v>
      </c>
      <c r="AL3946">
        <v>82.428906096404305</v>
      </c>
      <c r="AM3946">
        <v>69.288970503852497</v>
      </c>
      <c r="AN3946">
        <v>1.0000000098035899</v>
      </c>
    </row>
    <row r="3947" spans="1:40" x14ac:dyDescent="0.25">
      <c r="A3947" t="str">
        <f>"20190312173008697"</f>
        <v>20190312173008697</v>
      </c>
      <c r="B3947" t="str">
        <f>"1552383008691567"</f>
        <v>1552383008691567</v>
      </c>
      <c r="C3947" t="s">
        <v>40</v>
      </c>
      <c r="D3947">
        <v>3.5981809999999999</v>
      </c>
      <c r="E3947">
        <v>0.52954429999999997</v>
      </c>
      <c r="F3947" t="s">
        <v>51</v>
      </c>
      <c r="G3947">
        <v>-198.89349999999999</v>
      </c>
      <c r="H3947" s="1">
        <v>-1.315761E-5</v>
      </c>
      <c r="I3947">
        <v>152.7586</v>
      </c>
      <c r="J3947">
        <v>-192.1584</v>
      </c>
      <c r="K3947">
        <v>1.104687</v>
      </c>
      <c r="L3947">
        <v>163.3477</v>
      </c>
      <c r="M3947">
        <v>-0.1307883</v>
      </c>
      <c r="N3947">
        <v>0</v>
      </c>
      <c r="O3947">
        <v>-0.99131380000000002</v>
      </c>
      <c r="P3947">
        <v>-0.46874510000000003</v>
      </c>
      <c r="Q3947">
        <v>0.1234553</v>
      </c>
      <c r="R3947">
        <v>-0.87466390000000005</v>
      </c>
      <c r="S3947">
        <v>-1.6302639999999999</v>
      </c>
      <c r="T3947">
        <v>-0.26638289999999998</v>
      </c>
      <c r="U3947">
        <v>-2.5951080000000002</v>
      </c>
      <c r="V3947">
        <v>0.35203649999999997</v>
      </c>
      <c r="W3947">
        <v>0.1317652</v>
      </c>
      <c r="X3947">
        <v>0.92666510000000002</v>
      </c>
      <c r="Y3947">
        <v>0.41454590000000002</v>
      </c>
      <c r="Z3947">
        <v>8.8316400000000003E-2</v>
      </c>
      <c r="AA3947">
        <v>0.9057328</v>
      </c>
      <c r="AB3947">
        <v>30</v>
      </c>
      <c r="AC3947">
        <v>-6.7350999999999797</v>
      </c>
      <c r="AD3947">
        <v>-1.10470015761</v>
      </c>
      <c r="AE3947">
        <v>-10.5891</v>
      </c>
      <c r="AF3947">
        <v>5.2514809454218403</v>
      </c>
      <c r="AG3947">
        <v>-1.10470015761</v>
      </c>
      <c r="AH3947">
        <v>11.291585918282699</v>
      </c>
      <c r="AI3947">
        <v>95.0694012022674</v>
      </c>
      <c r="AJ3947">
        <v>65.057844721548307</v>
      </c>
      <c r="AK3947">
        <v>12.501932934883</v>
      </c>
      <c r="AL3947">
        <v>82.4283915008875</v>
      </c>
      <c r="AM3947">
        <v>69.198408750188506</v>
      </c>
      <c r="AN3947">
        <v>0.99999998641065002</v>
      </c>
    </row>
    <row r="3948" spans="1:40" x14ac:dyDescent="0.25">
      <c r="A3948" t="str">
        <f>"20190312173008715"</f>
        <v>20190312173008715</v>
      </c>
      <c r="B3948" t="str">
        <f>"1552383008712063"</f>
        <v>1552383008712063</v>
      </c>
      <c r="C3948" t="s">
        <v>40</v>
      </c>
      <c r="D3948">
        <v>3.6154700000000002</v>
      </c>
      <c r="E3948">
        <v>0.52947</v>
      </c>
      <c r="F3948" t="s">
        <v>51</v>
      </c>
      <c r="G3948">
        <v>-198.96789999999999</v>
      </c>
      <c r="H3948" s="1">
        <v>-1.31331E-5</v>
      </c>
      <c r="I3948">
        <v>152.63489999999999</v>
      </c>
      <c r="J3948">
        <v>-192.19450000000001</v>
      </c>
      <c r="K3948">
        <v>1.10456</v>
      </c>
      <c r="L3948">
        <v>163.1165</v>
      </c>
      <c r="M3948">
        <v>-0.13616519999999999</v>
      </c>
      <c r="N3948">
        <v>0</v>
      </c>
      <c r="O3948">
        <v>-0.99058930000000001</v>
      </c>
      <c r="P3948">
        <v>-0.47656890000000002</v>
      </c>
      <c r="Q3948">
        <v>0.1229109</v>
      </c>
      <c r="R3948">
        <v>-0.87050280000000002</v>
      </c>
      <c r="S3948">
        <v>-1.6440429999999999</v>
      </c>
      <c r="T3948">
        <v>-0.2667139</v>
      </c>
      <c r="U3948">
        <v>-2.5864410000000002</v>
      </c>
      <c r="V3948">
        <v>0.35534569999999999</v>
      </c>
      <c r="W3948">
        <v>0.1310685</v>
      </c>
      <c r="X3948">
        <v>0.92550010000000005</v>
      </c>
      <c r="Y3948">
        <v>0.41441630000000002</v>
      </c>
      <c r="Z3948">
        <v>8.8462349999999995E-2</v>
      </c>
      <c r="AA3948">
        <v>0.90577790000000002</v>
      </c>
      <c r="AB3948">
        <v>30</v>
      </c>
      <c r="AC3948">
        <v>-6.7733999999999801</v>
      </c>
      <c r="AD3948">
        <v>-1.1045731330999999</v>
      </c>
      <c r="AE3948">
        <v>-10.4816</v>
      </c>
      <c r="AF3948">
        <v>5.2418707184119899</v>
      </c>
      <c r="AG3948">
        <v>-1.1045731330999999</v>
      </c>
      <c r="AH3948">
        <v>11.2184620804465</v>
      </c>
      <c r="AI3948">
        <v>95.097462227690798</v>
      </c>
      <c r="AJ3948">
        <v>64.955481387735304</v>
      </c>
      <c r="AK3948">
        <v>12.4318615615413</v>
      </c>
      <c r="AL3948">
        <v>82.468658627453607</v>
      </c>
      <c r="AM3948">
        <v>68.995710675283405</v>
      </c>
      <c r="AN3948">
        <v>0.99999997665037399</v>
      </c>
    </row>
    <row r="3949" spans="1:40" x14ac:dyDescent="0.25">
      <c r="A3949" t="str">
        <f>"20190312173008728"</f>
        <v>20190312173008728</v>
      </c>
      <c r="B3949" t="str">
        <f>"1552383008721823"</f>
        <v>1552383008721823</v>
      </c>
      <c r="C3949" t="s">
        <v>40</v>
      </c>
      <c r="D3949">
        <v>3.6149640000000001</v>
      </c>
      <c r="E3949">
        <v>0.52743370000000001</v>
      </c>
      <c r="F3949" t="s">
        <v>51</v>
      </c>
      <c r="G3949">
        <v>-199.03479999999999</v>
      </c>
      <c r="H3949" s="1">
        <v>-1.3118999999999999E-5</v>
      </c>
      <c r="I3949">
        <v>152.55529999999999</v>
      </c>
      <c r="J3949">
        <v>-192.22239999999999</v>
      </c>
      <c r="K3949">
        <v>1.1044560000000001</v>
      </c>
      <c r="L3949">
        <v>162.94299999999899</v>
      </c>
      <c r="M3949">
        <v>-0.14029179999999999</v>
      </c>
      <c r="N3949">
        <v>0</v>
      </c>
      <c r="O3949">
        <v>-0.99001309999999998</v>
      </c>
      <c r="P3949">
        <v>-0.4815624</v>
      </c>
      <c r="Q3949">
        <v>0.1225821</v>
      </c>
      <c r="R3949">
        <v>-0.86779669999999898</v>
      </c>
      <c r="S3949">
        <v>-1.6659849999999901</v>
      </c>
      <c r="T3949">
        <v>-0.26902150000000002</v>
      </c>
      <c r="U3949">
        <v>-2.5722200000000002</v>
      </c>
      <c r="V3949">
        <v>0.35683009999999998</v>
      </c>
      <c r="W3949">
        <v>0.13064020000000001</v>
      </c>
      <c r="X3949">
        <v>0.92498939999999996</v>
      </c>
      <c r="Y3949">
        <v>0.41831230000000003</v>
      </c>
      <c r="Z3949">
        <v>8.9281490000000005E-2</v>
      </c>
      <c r="AA3949">
        <v>0.90390470000000001</v>
      </c>
      <c r="AB3949">
        <v>30</v>
      </c>
      <c r="AC3949">
        <v>-6.8123999999999896</v>
      </c>
      <c r="AD3949">
        <v>-1.10446911899999</v>
      </c>
      <c r="AE3949">
        <v>-10.387699999999899</v>
      </c>
      <c r="AF3949">
        <v>5.2460938552738599</v>
      </c>
      <c r="AG3949">
        <v>-1.10446911899999</v>
      </c>
      <c r="AH3949">
        <v>11.1526018161357</v>
      </c>
      <c r="AI3949">
        <v>95.120777582424793</v>
      </c>
      <c r="AJ3949">
        <v>64.808085473261997</v>
      </c>
      <c r="AK3949">
        <v>12.374242604799701</v>
      </c>
      <c r="AL3949">
        <v>82.493411314886501</v>
      </c>
      <c r="AM3949">
        <v>68.905046801717106</v>
      </c>
      <c r="AN3949">
        <v>0.99999998611720498</v>
      </c>
    </row>
    <row r="3950" spans="1:40" x14ac:dyDescent="0.25">
      <c r="A3950" t="str">
        <f>"20190312173008740"</f>
        <v>20190312173008740</v>
      </c>
      <c r="B3950" t="str">
        <f>"1552383008731584"</f>
        <v>1552383008731584</v>
      </c>
      <c r="C3950" t="s">
        <v>40</v>
      </c>
      <c r="D3950">
        <v>3.6385610000000002</v>
      </c>
      <c r="E3950">
        <v>0.52743370000000001</v>
      </c>
      <c r="F3950" t="s">
        <v>51</v>
      </c>
      <c r="G3950">
        <v>-198.74109999999999</v>
      </c>
      <c r="H3950" s="1">
        <v>-1.31766899999999E-5</v>
      </c>
      <c r="I3950">
        <v>152.88810000000001</v>
      </c>
      <c r="J3950">
        <v>-192.25030000000001</v>
      </c>
      <c r="K3950">
        <v>1.1043499999999999</v>
      </c>
      <c r="L3950">
        <v>162.7739</v>
      </c>
      <c r="M3950">
        <v>-0.1443892</v>
      </c>
      <c r="N3950">
        <v>0</v>
      </c>
      <c r="O3950">
        <v>-0.98942370000000002</v>
      </c>
      <c r="P3950">
        <v>-0.48681180000000002</v>
      </c>
      <c r="Q3950">
        <v>0.12213889999999999</v>
      </c>
      <c r="R3950">
        <v>-0.86492590000000003</v>
      </c>
      <c r="S3950">
        <v>-1.667297</v>
      </c>
      <c r="T3950">
        <v>-0.28248859999999998</v>
      </c>
      <c r="U3950">
        <v>-2.5717159999999999</v>
      </c>
      <c r="V3950">
        <v>0.35862509999999997</v>
      </c>
      <c r="W3950">
        <v>0.13009129999999999</v>
      </c>
      <c r="X3950">
        <v>0.92437239999999998</v>
      </c>
      <c r="Y3950">
        <v>0.41473670000000001</v>
      </c>
      <c r="Z3950">
        <v>9.3707760000000001E-2</v>
      </c>
      <c r="AA3950">
        <v>0.9051034</v>
      </c>
      <c r="AB3950">
        <v>30</v>
      </c>
      <c r="AC3950">
        <v>-6.4907999999999699</v>
      </c>
      <c r="AD3950">
        <v>-1.1043631766899999</v>
      </c>
      <c r="AE3950">
        <v>-9.8857999999999802</v>
      </c>
      <c r="AF3950">
        <v>4.9520460520142802</v>
      </c>
      <c r="AG3950">
        <v>-1.1043631766899999</v>
      </c>
      <c r="AH3950">
        <v>10.626808998122801</v>
      </c>
      <c r="AI3950">
        <v>95.381206929565195</v>
      </c>
      <c r="AJ3950">
        <v>65.014688771761001</v>
      </c>
      <c r="AK3950">
        <v>11.7758841540617</v>
      </c>
      <c r="AL3950">
        <v>82.525131935945197</v>
      </c>
      <c r="AM3950">
        <v>68.795438034613795</v>
      </c>
      <c r="AN3950">
        <v>1.0000000212837299</v>
      </c>
    </row>
    <row r="3951" spans="1:40" x14ac:dyDescent="0.25">
      <c r="A3951" t="str">
        <f>"20190312173008760"</f>
        <v>20190312173008760</v>
      </c>
      <c r="B3951" t="str">
        <f>"1552383008752079"</f>
        <v>1552383008752079</v>
      </c>
      <c r="C3951" t="s">
        <v>40</v>
      </c>
      <c r="D3951">
        <v>3.7592889999999999</v>
      </c>
      <c r="E3951">
        <v>0.53180989999999995</v>
      </c>
      <c r="F3951" t="s">
        <v>51</v>
      </c>
      <c r="G3951">
        <v>-198.79669999999999</v>
      </c>
      <c r="H3951" s="1">
        <v>-1.316156E-5</v>
      </c>
      <c r="I3951">
        <v>152.80840000000001</v>
      </c>
      <c r="J3951">
        <v>-192.29499999999999</v>
      </c>
      <c r="K3951">
        <v>1.1041879999999999</v>
      </c>
      <c r="L3951">
        <v>162.51390000000001</v>
      </c>
      <c r="M3951">
        <v>-0.15086869999999999</v>
      </c>
      <c r="N3951">
        <v>0</v>
      </c>
      <c r="O3951">
        <v>-0.98845620000000001</v>
      </c>
      <c r="P3951">
        <v>-0.49564150000000001</v>
      </c>
      <c r="Q3951">
        <v>0.1216159</v>
      </c>
      <c r="R3951">
        <v>-0.85997069999999998</v>
      </c>
      <c r="S3951">
        <v>-1.682663</v>
      </c>
      <c r="T3951">
        <v>-0.28386349999999999</v>
      </c>
      <c r="U3951">
        <v>-2.5615079999999999</v>
      </c>
      <c r="V3951">
        <v>0.36206929999999998</v>
      </c>
      <c r="W3951">
        <v>0.12938440000000001</v>
      </c>
      <c r="X3951">
        <v>0.92312810000000001</v>
      </c>
      <c r="Y3951">
        <v>0.41420279999999998</v>
      </c>
      <c r="Z3951">
        <v>9.4201740000000006E-2</v>
      </c>
      <c r="AA3951">
        <v>0.90529660000000001</v>
      </c>
      <c r="AB3951">
        <v>30</v>
      </c>
      <c r="AC3951">
        <v>-6.5016999999999996</v>
      </c>
      <c r="AD3951">
        <v>-1.10420116156</v>
      </c>
      <c r="AE3951">
        <v>-9.7055000000000007</v>
      </c>
      <c r="AF3951">
        <v>4.9189210301527302</v>
      </c>
      <c r="AG3951">
        <v>-1.10420116156</v>
      </c>
      <c r="AH3951">
        <v>10.4817376193736</v>
      </c>
      <c r="AI3951">
        <v>95.447604463654699</v>
      </c>
      <c r="AJ3951">
        <v>64.860044454583601</v>
      </c>
      <c r="AK3951">
        <v>11.631073373831899</v>
      </c>
      <c r="AL3951">
        <v>82.565979356508294</v>
      </c>
      <c r="AM3951">
        <v>68.583895448474493</v>
      </c>
      <c r="AN3951">
        <v>0.99999999498772996</v>
      </c>
    </row>
    <row r="3952" spans="1:40" x14ac:dyDescent="0.25">
      <c r="A3952" t="str">
        <f>"20190312173008773"</f>
        <v>20190312173008773</v>
      </c>
      <c r="B3952" t="str">
        <f>"1552383008761840"</f>
        <v>1552383008761840</v>
      </c>
      <c r="C3952" t="s">
        <v>40</v>
      </c>
      <c r="D3952">
        <v>3.702766</v>
      </c>
      <c r="E3952">
        <v>0.56556010000000001</v>
      </c>
      <c r="F3952" t="s">
        <v>51</v>
      </c>
      <c r="G3952">
        <v>-199.16980000000001</v>
      </c>
      <c r="H3952" s="1">
        <v>-1.312381E-5</v>
      </c>
      <c r="I3952">
        <v>152.52680000000001</v>
      </c>
      <c r="J3952">
        <v>-192.32480000000001</v>
      </c>
      <c r="K3952">
        <v>1.10408</v>
      </c>
      <c r="L3952">
        <v>162.34729999999999</v>
      </c>
      <c r="M3952">
        <v>-0.155146799999999</v>
      </c>
      <c r="N3952">
        <v>0</v>
      </c>
      <c r="O3952">
        <v>-0.98779320000000004</v>
      </c>
      <c r="P3952">
        <v>-0.50115080000000001</v>
      </c>
      <c r="Q3952">
        <v>0.121383199999999</v>
      </c>
      <c r="R3952">
        <v>-0.85680460000000003</v>
      </c>
      <c r="S3952">
        <v>-1.738739</v>
      </c>
      <c r="T3952">
        <v>-0.27926770000000001</v>
      </c>
      <c r="U3952">
        <v>-2.5258790000000002</v>
      </c>
      <c r="V3952">
        <v>0.36402679999999998</v>
      </c>
      <c r="W3952">
        <v>0.12903210000000001</v>
      </c>
      <c r="X3952">
        <v>0.92240730000000004</v>
      </c>
      <c r="Y3952">
        <v>0.4298941</v>
      </c>
      <c r="Z3952">
        <v>9.2789789999999997E-2</v>
      </c>
      <c r="AA3952">
        <v>0.89809859999999897</v>
      </c>
      <c r="AB3952">
        <v>30</v>
      </c>
      <c r="AC3952">
        <v>-6.84499999999999</v>
      </c>
      <c r="AD3952">
        <v>-1.10409312381</v>
      </c>
      <c r="AE3952">
        <v>-9.8204999999999796</v>
      </c>
      <c r="AF3952">
        <v>5.1941469911099301</v>
      </c>
      <c r="AG3952">
        <v>-1.10409312381</v>
      </c>
      <c r="AH3952">
        <v>10.6728534390753</v>
      </c>
      <c r="AI3952">
        <v>95.314249802219805</v>
      </c>
      <c r="AJ3952">
        <v>64.049248782790599</v>
      </c>
      <c r="AK3952">
        <v>11.920905381860999</v>
      </c>
      <c r="AL3952">
        <v>82.586335409687294</v>
      </c>
      <c r="AM3952">
        <v>68.463395811095694</v>
      </c>
      <c r="AN3952">
        <v>1.0000000105209701</v>
      </c>
    </row>
    <row r="3953" spans="1:40" x14ac:dyDescent="0.25">
      <c r="A3953" t="str">
        <f>"20190312173008786"</f>
        <v>20190312173008786</v>
      </c>
      <c r="B3953" t="str">
        <f>"1552383008781866"</f>
        <v>1552383008781866</v>
      </c>
      <c r="C3953" t="s">
        <v>40</v>
      </c>
      <c r="D3953">
        <v>3.66635</v>
      </c>
      <c r="E3953">
        <v>0.56900119999999998</v>
      </c>
      <c r="F3953" t="s">
        <v>51</v>
      </c>
      <c r="G3953">
        <v>-201.38329999999999</v>
      </c>
      <c r="H3953">
        <v>7.9984749999999993E-2</v>
      </c>
      <c r="I3953">
        <v>151.5171</v>
      </c>
      <c r="J3953">
        <v>-192.3554</v>
      </c>
      <c r="K3953">
        <v>1.103966</v>
      </c>
      <c r="L3953">
        <v>162.17949999999999</v>
      </c>
      <c r="M3953">
        <v>-0.15951499999999999</v>
      </c>
      <c r="N3953">
        <v>0</v>
      </c>
      <c r="O3953">
        <v>-0.98709729999999996</v>
      </c>
      <c r="P3953">
        <v>-0.5067682</v>
      </c>
      <c r="Q3953">
        <v>0.1215883</v>
      </c>
      <c r="R3953">
        <v>-0.85346509999999998</v>
      </c>
      <c r="S3953">
        <v>-1.9843900000000001</v>
      </c>
      <c r="T3953">
        <v>-0.2243425</v>
      </c>
      <c r="U3953">
        <v>-2.3725130000000001</v>
      </c>
      <c r="V3953">
        <v>0.36605159999999998</v>
      </c>
      <c r="W3953">
        <v>0.12911210000000001</v>
      </c>
      <c r="X3953">
        <v>0.92159440000000004</v>
      </c>
      <c r="Y3953">
        <v>0.50920679999999996</v>
      </c>
      <c r="Z3953">
        <v>7.4582679999999998E-2</v>
      </c>
      <c r="AA3953">
        <v>0.85740649999999996</v>
      </c>
      <c r="AB3953">
        <v>30</v>
      </c>
      <c r="AC3953">
        <v>-9.0278999999999794</v>
      </c>
      <c r="AD3953">
        <v>-1.0239812500000001</v>
      </c>
      <c r="AE3953">
        <v>-10.6623999999999</v>
      </c>
      <c r="AF3953">
        <v>7.1727707692278502</v>
      </c>
      <c r="AG3953">
        <v>-1.0239812500000001</v>
      </c>
      <c r="AH3953">
        <v>11.902134855520901</v>
      </c>
      <c r="AI3953">
        <v>94.214331298252105</v>
      </c>
      <c r="AJ3953">
        <v>58.924910866675098</v>
      </c>
      <c r="AK3953">
        <v>13.9340587133558</v>
      </c>
      <c r="AL3953">
        <v>82.581712803948506</v>
      </c>
      <c r="AM3953">
        <v>68.337329911491395</v>
      </c>
      <c r="AN3953">
        <v>0.99999997317016398</v>
      </c>
    </row>
    <row r="3954" spans="1:40" x14ac:dyDescent="0.25">
      <c r="A3954" t="str">
        <f>"20190312173008805"</f>
        <v>20190312173008805</v>
      </c>
      <c r="B3954" t="str">
        <f>"1552383008801387"</f>
        <v>1552383008801387</v>
      </c>
      <c r="C3954" t="s">
        <v>40</v>
      </c>
      <c r="D3954">
        <v>3.6390790000000002</v>
      </c>
      <c r="E3954">
        <v>0.57025689999999996</v>
      </c>
      <c r="F3954" t="s">
        <v>51</v>
      </c>
      <c r="G3954">
        <v>-202.41120000000001</v>
      </c>
      <c r="H3954">
        <v>7.9984959999999994E-2</v>
      </c>
      <c r="I3954">
        <v>150.5291</v>
      </c>
      <c r="J3954">
        <v>-192.40100000000001</v>
      </c>
      <c r="K3954">
        <v>1.103791</v>
      </c>
      <c r="L3954">
        <v>161.93819999999999</v>
      </c>
      <c r="M3954">
        <v>-0.16595950000000001</v>
      </c>
      <c r="N3954">
        <v>0</v>
      </c>
      <c r="O3954">
        <v>-0.98603359999999995</v>
      </c>
      <c r="P3954">
        <v>-0.51576259999999996</v>
      </c>
      <c r="Q3954">
        <v>0.121056399999999</v>
      </c>
      <c r="R3954">
        <v>-0.84813590000000005</v>
      </c>
      <c r="S3954">
        <v>-2.022675</v>
      </c>
      <c r="T3954">
        <v>-0.2059687</v>
      </c>
      <c r="U3954">
        <v>-2.3434140000000001</v>
      </c>
      <c r="V3954">
        <v>0.369811</v>
      </c>
      <c r="W3954">
        <v>0.1283782</v>
      </c>
      <c r="X3954">
        <v>0.92019499999999999</v>
      </c>
      <c r="Y3954">
        <v>0.51715900000000004</v>
      </c>
      <c r="Z3954">
        <v>6.854565E-2</v>
      </c>
      <c r="AA3954">
        <v>0.85314009999999996</v>
      </c>
      <c r="AB3954">
        <v>30</v>
      </c>
      <c r="AC3954">
        <v>-10.010199999999999</v>
      </c>
      <c r="AD3954">
        <v>-1.02380604</v>
      </c>
      <c r="AE3954">
        <v>-11.409099999999899</v>
      </c>
      <c r="AF3954">
        <v>7.9415898010068604</v>
      </c>
      <c r="AG3954">
        <v>-1.02380604</v>
      </c>
      <c r="AH3954">
        <v>12.8538197371027</v>
      </c>
      <c r="AI3954">
        <v>93.876447989779805</v>
      </c>
      <c r="AJ3954">
        <v>58.290614747711601</v>
      </c>
      <c r="AK3954">
        <v>15.1439000659978</v>
      </c>
      <c r="AL3954">
        <v>82.624115172377401</v>
      </c>
      <c r="AM3954">
        <v>68.1056294656901</v>
      </c>
      <c r="AN3954">
        <v>0.99999998799061995</v>
      </c>
    </row>
    <row r="3955" spans="1:40" x14ac:dyDescent="0.25">
      <c r="A3955" t="str">
        <f>"20190312173008819"</f>
        <v>20190312173008819</v>
      </c>
      <c r="B3955" t="str">
        <f>"1552383008812122"</f>
        <v>1552383008812122</v>
      </c>
      <c r="C3955" t="s">
        <v>40</v>
      </c>
      <c r="D3955">
        <v>3.6410040000000001</v>
      </c>
      <c r="E3955">
        <v>0.57018210000000003</v>
      </c>
      <c r="F3955" t="s">
        <v>51</v>
      </c>
      <c r="G3955">
        <v>-202.6953</v>
      </c>
      <c r="H3955">
        <v>7.9984990000000006E-2</v>
      </c>
      <c r="I3955">
        <v>150.3355</v>
      </c>
      <c r="J3955">
        <v>-192.44049999999999</v>
      </c>
      <c r="K3955">
        <v>1.1036520000000001</v>
      </c>
      <c r="L3955">
        <v>161.73740000000001</v>
      </c>
      <c r="M3955">
        <v>-0.17147009999999999</v>
      </c>
      <c r="N3955">
        <v>0</v>
      </c>
      <c r="O3955">
        <v>-0.98509009999999997</v>
      </c>
      <c r="P3955">
        <v>-0.52216269999999998</v>
      </c>
      <c r="Q3955">
        <v>0.1211988</v>
      </c>
      <c r="R3955">
        <v>-0.84419049999999995</v>
      </c>
      <c r="S3955">
        <v>-2.0552830000000002</v>
      </c>
      <c r="T3955">
        <v>-0.2044067</v>
      </c>
      <c r="U3955">
        <v>-2.316513</v>
      </c>
      <c r="V3955">
        <v>0.37167749999999999</v>
      </c>
      <c r="W3955">
        <v>0.1283772</v>
      </c>
      <c r="X3955">
        <v>0.9194428</v>
      </c>
      <c r="Y3955">
        <v>0.52402570000000004</v>
      </c>
      <c r="Z3955">
        <v>6.8089510000000006E-2</v>
      </c>
      <c r="AA3955">
        <v>0.84897639999999996</v>
      </c>
      <c r="AB3955">
        <v>30</v>
      </c>
      <c r="AC3955">
        <v>-10.254799999999999</v>
      </c>
      <c r="AD3955">
        <v>-1.02366701</v>
      </c>
      <c r="AE3955">
        <v>-11.401899999999999</v>
      </c>
      <c r="AF3955">
        <v>8.1114687085000892</v>
      </c>
      <c r="AG3955">
        <v>-1.02366701</v>
      </c>
      <c r="AH3955">
        <v>12.933926675940601</v>
      </c>
      <c r="AI3955">
        <v>93.835986264869504</v>
      </c>
      <c r="AJ3955">
        <v>57.906257244412501</v>
      </c>
      <c r="AK3955">
        <v>15.301316218382899</v>
      </c>
      <c r="AL3955">
        <v>82.624172782958993</v>
      </c>
      <c r="AM3955">
        <v>67.989367190075399</v>
      </c>
      <c r="AN3955">
        <v>0.99999996597896401</v>
      </c>
    </row>
    <row r="3956" spans="1:40" x14ac:dyDescent="0.25">
      <c r="A3956" t="str">
        <f>"20190312173008840"</f>
        <v>20190312173008840</v>
      </c>
      <c r="B3956" t="str">
        <f>"1552383008831642"</f>
        <v>1552383008831642</v>
      </c>
      <c r="C3956" t="s">
        <v>40</v>
      </c>
      <c r="D3956">
        <v>3.6379480000000002</v>
      </c>
      <c r="E3956">
        <v>0.56998319999999902</v>
      </c>
      <c r="F3956" t="s">
        <v>51</v>
      </c>
      <c r="G3956">
        <v>-202.8133</v>
      </c>
      <c r="H3956">
        <v>7.9985020000000004E-2</v>
      </c>
      <c r="I3956">
        <v>150.21459999999999</v>
      </c>
      <c r="J3956">
        <v>-192.49299999999999</v>
      </c>
      <c r="K3956">
        <v>1.103483</v>
      </c>
      <c r="L3956">
        <v>161.47980000000001</v>
      </c>
      <c r="M3956">
        <v>-0.17870239999999901</v>
      </c>
      <c r="N3956">
        <v>0</v>
      </c>
      <c r="O3956">
        <v>-0.98380350000000005</v>
      </c>
      <c r="P3956">
        <v>-0.53152900000000003</v>
      </c>
      <c r="Q3956">
        <v>0.12076870000000001</v>
      </c>
      <c r="R3956">
        <v>-0.83838670000000004</v>
      </c>
      <c r="S3956">
        <v>-2.0718380000000001</v>
      </c>
      <c r="T3956">
        <v>-0.20446500000000001</v>
      </c>
      <c r="U3956">
        <v>-2.3015439999999998</v>
      </c>
      <c r="V3956">
        <v>0.3751988</v>
      </c>
      <c r="W3956">
        <v>0.12774449999999901</v>
      </c>
      <c r="X3956">
        <v>0.91809980000000002</v>
      </c>
      <c r="Y3956">
        <v>0.52389030000000003</v>
      </c>
      <c r="Z3956">
        <v>6.8161199999999894E-2</v>
      </c>
      <c r="AA3956">
        <v>0.84905419999999998</v>
      </c>
      <c r="AB3956">
        <v>30</v>
      </c>
      <c r="AC3956">
        <v>-10.3203</v>
      </c>
      <c r="AD3956">
        <v>-1.0234979799999999</v>
      </c>
      <c r="AE3956">
        <v>-11.2652</v>
      </c>
      <c r="AF3956">
        <v>8.1044549201867309</v>
      </c>
      <c r="AG3956">
        <v>-1.0234979799999999</v>
      </c>
      <c r="AH3956">
        <v>12.870511157724099</v>
      </c>
      <c r="AI3956">
        <v>93.849792077163201</v>
      </c>
      <c r="AJ3956">
        <v>57.801716612737501</v>
      </c>
      <c r="AK3956">
        <v>15.244008499390899</v>
      </c>
      <c r="AL3956">
        <v>82.6607251793356</v>
      </c>
      <c r="AM3956">
        <v>67.771694217470994</v>
      </c>
      <c r="AN3956">
        <v>1.0000000197808601</v>
      </c>
    </row>
    <row r="3957" spans="1:40" x14ac:dyDescent="0.25">
      <c r="A3957" t="str">
        <f>"20190312173008861"</f>
        <v>20190312173008861</v>
      </c>
      <c r="B3957" t="str">
        <f>"1552383008852157"</f>
        <v>1552383008852157</v>
      </c>
      <c r="C3957" t="s">
        <v>40</v>
      </c>
      <c r="D3957">
        <v>3.6333679999999999</v>
      </c>
      <c r="E3957">
        <v>0.56958140000000002</v>
      </c>
      <c r="F3957" t="s">
        <v>51</v>
      </c>
      <c r="G3957">
        <v>-202.8143</v>
      </c>
      <c r="H3957">
        <v>7.9985000000000001E-2</v>
      </c>
      <c r="I3957">
        <v>150.25319999999999</v>
      </c>
      <c r="J3957">
        <v>-192.55199999999999</v>
      </c>
      <c r="K3957">
        <v>1.103297</v>
      </c>
      <c r="L3957">
        <v>161.20150000000001</v>
      </c>
      <c r="M3957">
        <v>-0.1867519</v>
      </c>
      <c r="N3957">
        <v>0</v>
      </c>
      <c r="O3957">
        <v>-0.98230689999999998</v>
      </c>
      <c r="P3957">
        <v>-0.54155959999999903</v>
      </c>
      <c r="Q3957">
        <v>0.1209749</v>
      </c>
      <c r="R3957">
        <v>-0.83191269999999995</v>
      </c>
      <c r="S3957">
        <v>-2.0957490000000001</v>
      </c>
      <c r="T3957">
        <v>-0.20782210000000001</v>
      </c>
      <c r="U3957">
        <v>-2.2795719999999999</v>
      </c>
      <c r="V3957">
        <v>0.37877820000000001</v>
      </c>
      <c r="W3957">
        <v>0.12773029999999999</v>
      </c>
      <c r="X3957">
        <v>0.91663079999999997</v>
      </c>
      <c r="Y3957">
        <v>0.5257695</v>
      </c>
      <c r="Z3957">
        <v>6.9346989999999997E-2</v>
      </c>
      <c r="AA3957">
        <v>0.84779570000000004</v>
      </c>
      <c r="AB3957">
        <v>30</v>
      </c>
      <c r="AC3957">
        <v>-10.2622999999999</v>
      </c>
      <c r="AD3957">
        <v>-1.023312</v>
      </c>
      <c r="AE3957">
        <v>-10.9483</v>
      </c>
      <c r="AF3957">
        <v>7.9997020129628398</v>
      </c>
      <c r="AG3957">
        <v>-1.023312</v>
      </c>
      <c r="AH3957">
        <v>12.613684078366299</v>
      </c>
      <c r="AI3957">
        <v>93.919246300338997</v>
      </c>
      <c r="AJ3957">
        <v>57.616794187907999</v>
      </c>
      <c r="AK3957">
        <v>14.9715538864334</v>
      </c>
      <c r="AL3957">
        <v>82.661545271720399</v>
      </c>
      <c r="AM3957">
        <v>67.548179003414901</v>
      </c>
      <c r="AN3957">
        <v>0.99999998892098496</v>
      </c>
    </row>
    <row r="3958" spans="1:40" x14ac:dyDescent="0.25">
      <c r="A3958" t="str">
        <f>"20190312173008874"</f>
        <v>20190312173008874</v>
      </c>
      <c r="B3958" t="str">
        <f>"1552383008871659"</f>
        <v>1552383008871659</v>
      </c>
      <c r="C3958" t="s">
        <v>40</v>
      </c>
      <c r="D3958">
        <v>3.6818490000000001</v>
      </c>
      <c r="E3958">
        <v>0.56924039999999998</v>
      </c>
      <c r="F3958" t="s">
        <v>51</v>
      </c>
      <c r="G3958">
        <v>-202.9442</v>
      </c>
      <c r="H3958">
        <v>7.9985029999999999E-2</v>
      </c>
      <c r="I3958">
        <v>150.14490000000001</v>
      </c>
      <c r="J3958">
        <v>-192.58940000000001</v>
      </c>
      <c r="K3958">
        <v>1.103183</v>
      </c>
      <c r="L3958">
        <v>161.03229999999999</v>
      </c>
      <c r="M3958">
        <v>-0.19179560000000001</v>
      </c>
      <c r="N3958">
        <v>0</v>
      </c>
      <c r="O3958">
        <v>-0.98133419999999905</v>
      </c>
      <c r="P3958">
        <v>-0.54723009999999905</v>
      </c>
      <c r="Q3958">
        <v>0.1212067</v>
      </c>
      <c r="R3958">
        <v>-0.82815969999999905</v>
      </c>
      <c r="S3958">
        <v>-2.120514</v>
      </c>
      <c r="T3958">
        <v>-0.2088053</v>
      </c>
      <c r="U3958">
        <v>-2.2560880000000001</v>
      </c>
      <c r="V3958">
        <v>0.38038060000000001</v>
      </c>
      <c r="W3958">
        <v>0.12783630000000001</v>
      </c>
      <c r="X3958">
        <v>0.91595219999999999</v>
      </c>
      <c r="Y3958">
        <v>0.53072039999999998</v>
      </c>
      <c r="Z3958">
        <v>6.9753419999999997E-2</v>
      </c>
      <c r="AA3958">
        <v>0.84467169999999903</v>
      </c>
      <c r="AB3958">
        <v>29</v>
      </c>
      <c r="AC3958">
        <v>-10.3547999999999</v>
      </c>
      <c r="AD3958">
        <v>-1.02319797</v>
      </c>
      <c r="AE3958">
        <v>-10.8873999999999</v>
      </c>
      <c r="AF3958">
        <v>8.0368913441654897</v>
      </c>
      <c r="AG3958">
        <v>-1.02319797</v>
      </c>
      <c r="AH3958">
        <v>12.612943623971899</v>
      </c>
      <c r="AI3958">
        <v>93.913762692942896</v>
      </c>
      <c r="AJ3958">
        <v>57.494959407994799</v>
      </c>
      <c r="AK3958">
        <v>14.990827309565899</v>
      </c>
      <c r="AL3958">
        <v>82.655421627599196</v>
      </c>
      <c r="AM3958">
        <v>67.447653703255199</v>
      </c>
      <c r="AN3958">
        <v>0.99999997656944395</v>
      </c>
    </row>
    <row r="3959" spans="1:40" x14ac:dyDescent="0.25">
      <c r="A3959" t="str">
        <f>"20190312173008887"</f>
        <v>20190312173008887</v>
      </c>
      <c r="B3959" t="str">
        <f>"1552383008881419"</f>
        <v>1552383008881419</v>
      </c>
      <c r="C3959" t="s">
        <v>40</v>
      </c>
      <c r="D3959">
        <v>3.6735570000000002</v>
      </c>
      <c r="E3959">
        <v>0.5688396</v>
      </c>
      <c r="F3959" t="s">
        <v>51</v>
      </c>
      <c r="G3959">
        <v>-203.03569999999999</v>
      </c>
      <c r="H3959">
        <v>7.9985089999999995E-2</v>
      </c>
      <c r="I3959">
        <v>150.04900000000001</v>
      </c>
      <c r="J3959">
        <v>-192.6268</v>
      </c>
      <c r="K3959">
        <v>1.1030660000000001</v>
      </c>
      <c r="L3959">
        <v>160.86619999999999</v>
      </c>
      <c r="M3959">
        <v>-0.19681190000000001</v>
      </c>
      <c r="N3959">
        <v>0</v>
      </c>
      <c r="O3959">
        <v>-0.98034010000000005</v>
      </c>
      <c r="P3959">
        <v>-0.55309849999999905</v>
      </c>
      <c r="Q3959">
        <v>0.121542899999999</v>
      </c>
      <c r="R3959">
        <v>-0.82420249999999995</v>
      </c>
      <c r="S3959">
        <v>-2.133575</v>
      </c>
      <c r="T3959">
        <v>-0.20898079999999999</v>
      </c>
      <c r="U3959">
        <v>-2.2432560000000001</v>
      </c>
      <c r="V3959">
        <v>0.3822565</v>
      </c>
      <c r="W3959">
        <v>0.12804009999999999</v>
      </c>
      <c r="X3959">
        <v>0.91514249999999997</v>
      </c>
      <c r="Y3959">
        <v>0.53137990000000002</v>
      </c>
      <c r="Z3959">
        <v>6.9855749999999994E-2</v>
      </c>
      <c r="AA3959">
        <v>0.84424849999999996</v>
      </c>
      <c r="AB3959">
        <v>29</v>
      </c>
      <c r="AC3959">
        <v>-10.4088999999999</v>
      </c>
      <c r="AD3959">
        <v>-1.02308090999999</v>
      </c>
      <c r="AE3959">
        <v>-10.8171999999999</v>
      </c>
      <c r="AF3959">
        <v>8.0387724969165202</v>
      </c>
      <c r="AG3959">
        <v>-1.02308090999999</v>
      </c>
      <c r="AH3959">
        <v>12.595882555428799</v>
      </c>
      <c r="AI3959">
        <v>93.9168078654575</v>
      </c>
      <c r="AJ3959">
        <v>57.4537216467292</v>
      </c>
      <c r="AK3959">
        <v>14.977476928900399</v>
      </c>
      <c r="AL3959">
        <v>82.643648515490696</v>
      </c>
      <c r="AM3959">
        <v>67.329627381736501</v>
      </c>
      <c r="AN3959">
        <v>1.00000004715325</v>
      </c>
    </row>
    <row r="3960" spans="1:40" x14ac:dyDescent="0.25">
      <c r="A3960" t="str">
        <f>"20190312173008906"</f>
        <v>20190312173008906</v>
      </c>
      <c r="B3960" t="str">
        <f>"1552383008901916"</f>
        <v>1552383008901916</v>
      </c>
      <c r="C3960" t="s">
        <v>40</v>
      </c>
      <c r="D3960">
        <v>3.6852369999999999</v>
      </c>
      <c r="E3960">
        <v>0.56797799999999998</v>
      </c>
      <c r="F3960" t="s">
        <v>51</v>
      </c>
      <c r="G3960">
        <v>-203.1379</v>
      </c>
      <c r="H3960">
        <v>7.998508E-2</v>
      </c>
      <c r="I3960">
        <v>149.94880000000001</v>
      </c>
      <c r="J3960">
        <v>-192.68350000000001</v>
      </c>
      <c r="K3960">
        <v>1.1028910000000001</v>
      </c>
      <c r="L3960">
        <v>160.6233</v>
      </c>
      <c r="M3960">
        <v>-0.2043259</v>
      </c>
      <c r="N3960">
        <v>0</v>
      </c>
      <c r="O3960">
        <v>-0.97880109999999998</v>
      </c>
      <c r="P3960">
        <v>-0.56250319999999898</v>
      </c>
      <c r="Q3960">
        <v>0.1216156</v>
      </c>
      <c r="R3960">
        <v>-0.81780200000000003</v>
      </c>
      <c r="S3960">
        <v>-2.146957</v>
      </c>
      <c r="T3960">
        <v>-0.20897250000000001</v>
      </c>
      <c r="U3960">
        <v>-2.2299500000000001</v>
      </c>
      <c r="V3960">
        <v>0.3857815</v>
      </c>
      <c r="W3960">
        <v>0.12789629999999999</v>
      </c>
      <c r="X3960">
        <v>0.9136822</v>
      </c>
      <c r="Y3960">
        <v>0.53003159999999905</v>
      </c>
      <c r="Z3960">
        <v>6.9891690000000006E-2</v>
      </c>
      <c r="AA3960">
        <v>0.84509269999999903</v>
      </c>
      <c r="AB3960">
        <v>29</v>
      </c>
      <c r="AC3960">
        <v>-10.4543999999999</v>
      </c>
      <c r="AD3960">
        <v>-1.0229059199999999</v>
      </c>
      <c r="AE3960">
        <v>-10.674499999999901</v>
      </c>
      <c r="AF3960">
        <v>8.0149375159277199</v>
      </c>
      <c r="AG3960">
        <v>-1.0229059199999999</v>
      </c>
      <c r="AH3960">
        <v>12.526857327289299</v>
      </c>
      <c r="AI3960">
        <v>93.934777544324007</v>
      </c>
      <c r="AJ3960">
        <v>57.388062076815601</v>
      </c>
      <c r="AK3960">
        <v>14.9066332350286</v>
      </c>
      <c r="AL3960">
        <v>82.651955571318894</v>
      </c>
      <c r="AM3960">
        <v>67.109205065628998</v>
      </c>
      <c r="AN3960">
        <v>0.99999999594639</v>
      </c>
    </row>
    <row r="3961" spans="1:40" x14ac:dyDescent="0.25">
      <c r="A3961" t="str">
        <f>"20190312173008920"</f>
        <v>20190312173008920</v>
      </c>
      <c r="B3961" t="str">
        <f>"1552383008911675"</f>
        <v>1552383008911675</v>
      </c>
      <c r="C3961" t="s">
        <v>40</v>
      </c>
      <c r="D3961">
        <v>3.6783320000000002</v>
      </c>
      <c r="E3961">
        <v>0.56763980000000003</v>
      </c>
      <c r="F3961" t="s">
        <v>51</v>
      </c>
      <c r="G3961">
        <v>-203.2028</v>
      </c>
      <c r="H3961">
        <v>7.9985070000000005E-2</v>
      </c>
      <c r="I3961">
        <v>149.8937</v>
      </c>
      <c r="J3961">
        <v>-192.73060000000001</v>
      </c>
      <c r="K3961">
        <v>1.102751</v>
      </c>
      <c r="L3961">
        <v>160.428</v>
      </c>
      <c r="M3961">
        <v>-0.21050679999999999</v>
      </c>
      <c r="N3961">
        <v>0</v>
      </c>
      <c r="O3961">
        <v>-0.97749019999999998</v>
      </c>
      <c r="P3961">
        <v>-0.56892810000000005</v>
      </c>
      <c r="Q3961">
        <v>0.1215064</v>
      </c>
      <c r="R3961">
        <v>-0.81336200000000003</v>
      </c>
      <c r="S3961">
        <v>-2.1663359999999998</v>
      </c>
      <c r="T3961">
        <v>-0.2106555</v>
      </c>
      <c r="U3961">
        <v>-2.209641</v>
      </c>
      <c r="V3961">
        <v>0.38724629999999999</v>
      </c>
      <c r="W3961">
        <v>0.1276457</v>
      </c>
      <c r="X3961">
        <v>0.91309739999999995</v>
      </c>
      <c r="Y3961">
        <v>0.53230529999999998</v>
      </c>
      <c r="Z3961">
        <v>7.0528919999999995E-2</v>
      </c>
      <c r="AA3961">
        <v>0.84360939999999995</v>
      </c>
      <c r="AB3961">
        <v>29</v>
      </c>
      <c r="AC3961">
        <v>-10.4721999999999</v>
      </c>
      <c r="AD3961">
        <v>-1.02276593</v>
      </c>
      <c r="AE3961">
        <v>-10.5343</v>
      </c>
      <c r="AF3961">
        <v>7.9818900261448302</v>
      </c>
      <c r="AG3961">
        <v>-1.02276593</v>
      </c>
      <c r="AH3961">
        <v>12.4438967035251</v>
      </c>
      <c r="AI3961">
        <v>93.957500651623604</v>
      </c>
      <c r="AJ3961">
        <v>57.322665239312201</v>
      </c>
      <c r="AK3961">
        <v>14.819149223387999</v>
      </c>
      <c r="AL3961">
        <v>82.666432520472199</v>
      </c>
      <c r="AM3961">
        <v>67.018109153833606</v>
      </c>
      <c r="AN3961">
        <v>0.99999999173946996</v>
      </c>
    </row>
    <row r="3962" spans="1:40" x14ac:dyDescent="0.25">
      <c r="A3962" t="str">
        <f>"20190312173008939"</f>
        <v>20190312173008939</v>
      </c>
      <c r="B3962" t="str">
        <f>"1552383008932170"</f>
        <v>1552383008932170</v>
      </c>
      <c r="C3962" t="s">
        <v>40</v>
      </c>
      <c r="D3962">
        <v>3.6734830000000001</v>
      </c>
      <c r="E3962">
        <v>0.56679219999999997</v>
      </c>
      <c r="F3962" t="s">
        <v>51</v>
      </c>
      <c r="G3962">
        <v>-203.26730000000001</v>
      </c>
      <c r="H3962">
        <v>7.9985059999999997E-2</v>
      </c>
      <c r="I3962">
        <v>149.83019999999999</v>
      </c>
      <c r="J3962">
        <v>-192.79179999999999</v>
      </c>
      <c r="K3962">
        <v>1.1025879999999999</v>
      </c>
      <c r="L3962">
        <v>160.18270000000001</v>
      </c>
      <c r="M3962">
        <v>-0.21843219999999999</v>
      </c>
      <c r="N3962">
        <v>0</v>
      </c>
      <c r="O3962">
        <v>-0.97574910000000004</v>
      </c>
      <c r="P3962">
        <v>-0.57806999999999997</v>
      </c>
      <c r="Q3962">
        <v>0.12144480000000001</v>
      </c>
      <c r="R3962">
        <v>-0.80689909999999998</v>
      </c>
      <c r="S3962">
        <v>-2.1814879999999999</v>
      </c>
      <c r="T3962">
        <v>-0.2117494</v>
      </c>
      <c r="U3962">
        <v>-2.1941220000000001</v>
      </c>
      <c r="V3962">
        <v>0.3901927</v>
      </c>
      <c r="W3962">
        <v>0.12738550000000001</v>
      </c>
      <c r="X3962">
        <v>0.91187859999999998</v>
      </c>
      <c r="Y3962">
        <v>0.53133419999999998</v>
      </c>
      <c r="Z3962">
        <v>7.0931140000000004E-2</v>
      </c>
      <c r="AA3962">
        <v>0.84418769999999999</v>
      </c>
      <c r="AB3962">
        <v>29</v>
      </c>
      <c r="AC3962">
        <v>-10.4755</v>
      </c>
      <c r="AD3962">
        <v>-1.0226029399999901</v>
      </c>
      <c r="AE3962">
        <v>-10.352499999999999</v>
      </c>
      <c r="AF3962">
        <v>7.9227454697443198</v>
      </c>
      <c r="AG3962">
        <v>-1.0226029399999901</v>
      </c>
      <c r="AH3962">
        <v>12.3314254904547</v>
      </c>
      <c r="AI3962">
        <v>93.990938568529401</v>
      </c>
      <c r="AJ3962">
        <v>57.279897804195699</v>
      </c>
      <c r="AK3962">
        <v>14.692844080636201</v>
      </c>
      <c r="AL3962">
        <v>82.681463611167402</v>
      </c>
      <c r="AM3962">
        <v>66.833926045204507</v>
      </c>
      <c r="AN3962">
        <v>0.99999999494074998</v>
      </c>
    </row>
    <row r="3963" spans="1:40" x14ac:dyDescent="0.25">
      <c r="A3963" t="str">
        <f>"20190312173008962"</f>
        <v>20190312173008962</v>
      </c>
      <c r="B3963" t="str">
        <f>"1552383008951690"</f>
        <v>1552383008951690</v>
      </c>
      <c r="C3963" t="s">
        <v>40</v>
      </c>
      <c r="D3963">
        <v>3.6715840000000002</v>
      </c>
      <c r="E3963">
        <v>0.56602339999999995</v>
      </c>
      <c r="F3963" t="s">
        <v>51</v>
      </c>
      <c r="G3963">
        <v>-203.35409999999999</v>
      </c>
      <c r="H3963">
        <v>7.9985039999999993E-2</v>
      </c>
      <c r="I3963">
        <v>149.74959999999999</v>
      </c>
      <c r="J3963">
        <v>-192.86600000000001</v>
      </c>
      <c r="K3963">
        <v>1.102395</v>
      </c>
      <c r="L3963">
        <v>159.89699999999999</v>
      </c>
      <c r="M3963">
        <v>-0.22789570000000001</v>
      </c>
      <c r="N3963">
        <v>0</v>
      </c>
      <c r="O3963">
        <v>-0.97358180000000005</v>
      </c>
      <c r="P3963">
        <v>-0.58815729999999999</v>
      </c>
      <c r="Q3963">
        <v>0.1219664</v>
      </c>
      <c r="R3963">
        <v>-0.79949689999999995</v>
      </c>
      <c r="S3963">
        <v>-2.200485</v>
      </c>
      <c r="T3963">
        <v>-0.21304310000000001</v>
      </c>
      <c r="U3963">
        <v>-2.173584</v>
      </c>
      <c r="V3963">
        <v>0.39288089999999998</v>
      </c>
      <c r="W3963">
        <v>0.12769150000000001</v>
      </c>
      <c r="X3963">
        <v>0.91068079999999996</v>
      </c>
      <c r="Y3963">
        <v>0.53072140000000001</v>
      </c>
      <c r="Z3963">
        <v>7.1419319999999994E-2</v>
      </c>
      <c r="AA3963">
        <v>0.84453180000000005</v>
      </c>
      <c r="AB3963">
        <v>29</v>
      </c>
      <c r="AC3963">
        <v>-10.488099999999999</v>
      </c>
      <c r="AD3963">
        <v>-1.0224099600000001</v>
      </c>
      <c r="AE3963">
        <v>-10.147399999999999</v>
      </c>
      <c r="AF3963">
        <v>7.8606897466333301</v>
      </c>
      <c r="AG3963">
        <v>-1.0224099600000001</v>
      </c>
      <c r="AH3963">
        <v>12.2108219622317</v>
      </c>
      <c r="AI3963">
        <v>94.027160618649702</v>
      </c>
      <c r="AJ3963">
        <v>57.228679944137603</v>
      </c>
      <c r="AK3963">
        <v>14.558157109073001</v>
      </c>
      <c r="AL3963">
        <v>82.663786932247802</v>
      </c>
      <c r="AM3963">
        <v>66.663932344345099</v>
      </c>
      <c r="AN3963">
        <v>1.0000000201228401</v>
      </c>
    </row>
    <row r="3964" spans="1:40" x14ac:dyDescent="0.25">
      <c r="A3964" t="str">
        <f>"20190312173008975"</f>
        <v>20190312173008975</v>
      </c>
      <c r="B3964" t="str">
        <f>"1552383008972187"</f>
        <v>1552383008972187</v>
      </c>
      <c r="C3964" t="s">
        <v>40</v>
      </c>
      <c r="D3964">
        <v>3.6615669999999998</v>
      </c>
      <c r="E3964">
        <v>0.56522399999999995</v>
      </c>
      <c r="F3964" t="s">
        <v>51</v>
      </c>
      <c r="G3964">
        <v>-204.38560000000001</v>
      </c>
      <c r="H3964" s="1">
        <v>-1.024281E-5</v>
      </c>
      <c r="I3964">
        <v>148.75919999999999</v>
      </c>
      <c r="J3964">
        <v>-192.9117</v>
      </c>
      <c r="K3964">
        <v>1.1022780000000001</v>
      </c>
      <c r="L3964">
        <v>159.72799999999901</v>
      </c>
      <c r="M3964">
        <v>-0.2336473</v>
      </c>
      <c r="N3964">
        <v>0</v>
      </c>
      <c r="O3964">
        <v>-0.97221740000000001</v>
      </c>
      <c r="P3964">
        <v>-0.59382460000000004</v>
      </c>
      <c r="Q3964">
        <v>0.1220692</v>
      </c>
      <c r="R3964">
        <v>-0.79528120000000002</v>
      </c>
      <c r="S3964">
        <v>-2.223068</v>
      </c>
      <c r="T3964">
        <v>-0.2127426</v>
      </c>
      <c r="U3964">
        <v>-2.1493679999999999</v>
      </c>
      <c r="V3964">
        <v>0.39401249999999999</v>
      </c>
      <c r="W3964">
        <v>0.12767829999999999</v>
      </c>
      <c r="X3964">
        <v>0.91019360000000005</v>
      </c>
      <c r="Y3964">
        <v>0.53475189999999995</v>
      </c>
      <c r="Z3964">
        <v>7.1398519999999993E-2</v>
      </c>
      <c r="AA3964">
        <v>0.84198739999999905</v>
      </c>
      <c r="AB3964">
        <v>29</v>
      </c>
      <c r="AC3964">
        <v>-11.4739</v>
      </c>
      <c r="AD3964">
        <v>-1.10228824281</v>
      </c>
      <c r="AE3964">
        <v>-10.9687999999999</v>
      </c>
      <c r="AF3964">
        <v>8.5519242563015805</v>
      </c>
      <c r="AG3964">
        <v>-1.10228824281</v>
      </c>
      <c r="AH3964">
        <v>13.282203611341</v>
      </c>
      <c r="AI3964">
        <v>93.991476934412802</v>
      </c>
      <c r="AJ3964">
        <v>57.223998894452698</v>
      </c>
      <c r="AK3964">
        <v>15.8356364137623</v>
      </c>
      <c r="AL3964">
        <v>82.664549285182503</v>
      </c>
      <c r="AM3964">
        <v>66.592760086778299</v>
      </c>
      <c r="AN3964">
        <v>0.99999999396405004</v>
      </c>
    </row>
    <row r="3965" spans="1:40" x14ac:dyDescent="0.25">
      <c r="A3965" t="str">
        <f>"20190312173008991"</f>
        <v>20190312173008991</v>
      </c>
      <c r="B3965" t="str">
        <f>"1552383008981946"</f>
        <v>1552383008981946</v>
      </c>
      <c r="C3965" t="s">
        <v>40</v>
      </c>
      <c r="D3965">
        <v>3.6406049999999999</v>
      </c>
      <c r="E3965">
        <v>0.5648263</v>
      </c>
      <c r="F3965" t="s">
        <v>51</v>
      </c>
      <c r="G3965">
        <v>-204.41739999999999</v>
      </c>
      <c r="H3965" s="1">
        <v>-1.021566E-5</v>
      </c>
      <c r="I3965">
        <v>148.71539999999999</v>
      </c>
      <c r="J3965">
        <v>-192.96960000000001</v>
      </c>
      <c r="K3965">
        <v>1.102133</v>
      </c>
      <c r="L3965">
        <v>159.51840000000001</v>
      </c>
      <c r="M3965">
        <v>-0.24088200000000001</v>
      </c>
      <c r="N3965">
        <v>0</v>
      </c>
      <c r="O3965">
        <v>-0.97044980000000003</v>
      </c>
      <c r="P3965">
        <v>-0.60042629999999997</v>
      </c>
      <c r="Q3965">
        <v>0.1225448</v>
      </c>
      <c r="R3965">
        <v>-0.79023509999999997</v>
      </c>
      <c r="S3965">
        <v>-2.233276</v>
      </c>
      <c r="T3965">
        <v>-0.21395410000000001</v>
      </c>
      <c r="U3965">
        <v>-2.137543</v>
      </c>
      <c r="V3965">
        <v>0.39488529999999999</v>
      </c>
      <c r="W3965">
        <v>0.12802160000000001</v>
      </c>
      <c r="X3965">
        <v>0.90976699999999999</v>
      </c>
      <c r="Y3965">
        <v>0.53268870000000001</v>
      </c>
      <c r="Z3965">
        <v>7.1824089999999993E-2</v>
      </c>
      <c r="AA3965">
        <v>0.84325799999999995</v>
      </c>
      <c r="AB3965">
        <v>29</v>
      </c>
      <c r="AC3965">
        <v>-11.4477999999999</v>
      </c>
      <c r="AD3965">
        <v>-1.10214321566</v>
      </c>
      <c r="AE3965">
        <v>-10.803000000000001</v>
      </c>
      <c r="AF3965">
        <v>8.4666200718301496</v>
      </c>
      <c r="AG3965">
        <v>-1.10214321566</v>
      </c>
      <c r="AH3965">
        <v>13.178072310066799</v>
      </c>
      <c r="AI3965">
        <v>94.024914270979906</v>
      </c>
      <c r="AJ3965">
        <v>57.280151891232499</v>
      </c>
      <c r="AK3965">
        <v>15.7022280240064</v>
      </c>
      <c r="AL3965">
        <v>82.644716655222297</v>
      </c>
      <c r="AM3965">
        <v>66.536696334750005</v>
      </c>
      <c r="AN3965">
        <v>0.99999996225582399</v>
      </c>
    </row>
    <row r="3966" spans="1:40" x14ac:dyDescent="0.25">
      <c r="A3966" t="str">
        <f>"20190312173009011"</f>
        <v>20190312173009011</v>
      </c>
      <c r="B3966" t="str">
        <f>"1552383009001467"</f>
        <v>1552383009001467</v>
      </c>
      <c r="C3966" t="s">
        <v>40</v>
      </c>
      <c r="D3966">
        <v>3.6504500000000002</v>
      </c>
      <c r="E3966">
        <v>0.55514370000000002</v>
      </c>
      <c r="F3966" t="s">
        <v>51</v>
      </c>
      <c r="G3966">
        <v>-204.60749999999999</v>
      </c>
      <c r="H3966" s="1">
        <v>-1.009152E-5</v>
      </c>
      <c r="I3966">
        <v>148.53899999999999</v>
      </c>
      <c r="J3966">
        <v>-193.03870000000001</v>
      </c>
      <c r="K3966">
        <v>1.1019680000000001</v>
      </c>
      <c r="L3966">
        <v>159.2765</v>
      </c>
      <c r="M3966">
        <v>-0.2494015</v>
      </c>
      <c r="N3966">
        <v>0</v>
      </c>
      <c r="O3966">
        <v>-0.96829489999999996</v>
      </c>
      <c r="P3966">
        <v>-0.6089234</v>
      </c>
      <c r="Q3966">
        <v>0.123109</v>
      </c>
      <c r="R3966">
        <v>-0.78361800000000004</v>
      </c>
      <c r="S3966">
        <v>-2.2483219999999999</v>
      </c>
      <c r="T3966">
        <v>-0.2129219</v>
      </c>
      <c r="U3966">
        <v>-2.1210939999999998</v>
      </c>
      <c r="V3966">
        <v>0.39679920000000002</v>
      </c>
      <c r="W3966">
        <v>0.1284122</v>
      </c>
      <c r="X3966">
        <v>0.90887879999999999</v>
      </c>
      <c r="Y3966">
        <v>0.53135519999999903</v>
      </c>
      <c r="Z3966">
        <v>7.1495749999999997E-2</v>
      </c>
      <c r="AA3966">
        <v>0.84412679999999995</v>
      </c>
      <c r="AB3966">
        <v>29</v>
      </c>
      <c r="AC3966">
        <v>-11.5687999999999</v>
      </c>
      <c r="AD3966">
        <v>-1.1019780915199999</v>
      </c>
      <c r="AE3966">
        <v>-10.737500000000001</v>
      </c>
      <c r="AF3966">
        <v>8.4835784408741599</v>
      </c>
      <c r="AG3966">
        <v>-1.1019780915199999</v>
      </c>
      <c r="AH3966">
        <v>13.219261251256</v>
      </c>
      <c r="AI3966">
        <v>94.013122554661607</v>
      </c>
      <c r="AJ3966">
        <v>57.3093206593337</v>
      </c>
      <c r="AK3966">
        <v>15.7459304871327</v>
      </c>
      <c r="AL3966">
        <v>82.622150840082398</v>
      </c>
      <c r="AM3966">
        <v>66.414833516906</v>
      </c>
      <c r="AN3966">
        <v>0.99999998565945902</v>
      </c>
    </row>
    <row r="3967" spans="1:40" x14ac:dyDescent="0.25">
      <c r="A3967" t="str">
        <f>"20190312173009035"</f>
        <v>20190312173009035</v>
      </c>
      <c r="B3967" t="str">
        <f>"1552383009031722"</f>
        <v>1552383009031722</v>
      </c>
      <c r="C3967" t="s">
        <v>40</v>
      </c>
      <c r="D3967">
        <v>3.6237720000000002</v>
      </c>
      <c r="E3967">
        <v>0.55473300000000003</v>
      </c>
      <c r="F3967" t="s">
        <v>51</v>
      </c>
      <c r="G3967">
        <v>-204.0789</v>
      </c>
      <c r="H3967" s="1">
        <v>-1.0320090000000001E-5</v>
      </c>
      <c r="I3967">
        <v>148.56180000000001</v>
      </c>
      <c r="J3967">
        <v>-193.13059999999999</v>
      </c>
      <c r="K3967">
        <v>1.1017699999999999</v>
      </c>
      <c r="L3967">
        <v>158.96789999999999</v>
      </c>
      <c r="M3967">
        <v>-0.26052730000000002</v>
      </c>
      <c r="N3967">
        <v>0</v>
      </c>
      <c r="O3967">
        <v>-0.96536</v>
      </c>
      <c r="P3967">
        <v>-0.61928589999999994</v>
      </c>
      <c r="Q3967">
        <v>0.12341770000000001</v>
      </c>
      <c r="R3967">
        <v>-0.77540500000000001</v>
      </c>
      <c r="S3967">
        <v>-2.2105260000000002</v>
      </c>
      <c r="T3967">
        <v>-0.2206438</v>
      </c>
      <c r="U3967">
        <v>-2.1453549999999999</v>
      </c>
      <c r="V3967">
        <v>0.39850639999999998</v>
      </c>
      <c r="W3967">
        <v>0.12852379999999999</v>
      </c>
      <c r="X3967">
        <v>0.90811580000000003</v>
      </c>
      <c r="Y3967">
        <v>0.50935829999999904</v>
      </c>
      <c r="Z3967">
        <v>7.4089530000000001E-2</v>
      </c>
      <c r="AA3967">
        <v>0.85735919999999899</v>
      </c>
      <c r="AB3967">
        <v>29</v>
      </c>
      <c r="AC3967">
        <v>-10.9483</v>
      </c>
      <c r="AD3967">
        <v>-1.10178032009</v>
      </c>
      <c r="AE3967">
        <v>-10.406099999999901</v>
      </c>
      <c r="AF3967">
        <v>7.8171930477463896</v>
      </c>
      <c r="AG3967">
        <v>-1.10178032009</v>
      </c>
      <c r="AH3967">
        <v>12.8310203496389</v>
      </c>
      <c r="AI3967">
        <v>94.194046823874501</v>
      </c>
      <c r="AJ3967">
        <v>58.648483211022103</v>
      </c>
      <c r="AK3967">
        <v>15.065109034863299</v>
      </c>
      <c r="AL3967">
        <v>82.615703400046698</v>
      </c>
      <c r="AM3967">
        <v>66.306801443261605</v>
      </c>
      <c r="AN3967">
        <v>1.00000001210852</v>
      </c>
    </row>
    <row r="3968" spans="1:40" x14ac:dyDescent="0.25">
      <c r="A3968" t="str">
        <f>"20190312173009054"</f>
        <v>20190312173009054</v>
      </c>
      <c r="B3968" t="str">
        <f>"1552383009041483"</f>
        <v>1552383009041483</v>
      </c>
      <c r="C3968" t="s">
        <v>40</v>
      </c>
      <c r="D3968">
        <v>3.6594829999999998</v>
      </c>
      <c r="E3968">
        <v>0.5544983</v>
      </c>
      <c r="F3968" t="s">
        <v>51</v>
      </c>
      <c r="G3968">
        <v>-204.25649999999999</v>
      </c>
      <c r="H3968" s="1">
        <v>-1.02021E-5</v>
      </c>
      <c r="I3968">
        <v>148.4298</v>
      </c>
      <c r="J3968">
        <v>-193.20320000000001</v>
      </c>
      <c r="K3968">
        <v>1.101629</v>
      </c>
      <c r="L3968">
        <v>158.73349999999999</v>
      </c>
      <c r="M3968">
        <v>-0.26915650000000002</v>
      </c>
      <c r="N3968">
        <v>0</v>
      </c>
      <c r="O3968">
        <v>-0.9629894</v>
      </c>
      <c r="P3968">
        <v>-0.62703989999999998</v>
      </c>
      <c r="Q3968">
        <v>0.1238648</v>
      </c>
      <c r="R3968">
        <v>-0.7690766</v>
      </c>
      <c r="S3968">
        <v>-2.2362820000000001</v>
      </c>
      <c r="T3968">
        <v>-0.22145709999999999</v>
      </c>
      <c r="U3968">
        <v>-2.1181489999999998</v>
      </c>
      <c r="V3968">
        <v>0.39957169999999997</v>
      </c>
      <c r="W3968">
        <v>0.128834</v>
      </c>
      <c r="X3968">
        <v>0.90760359999999995</v>
      </c>
      <c r="Y3968">
        <v>0.51207239999999998</v>
      </c>
      <c r="Z3968">
        <v>7.4400160000000007E-2</v>
      </c>
      <c r="AA3968">
        <v>0.85571399999999997</v>
      </c>
      <c r="AB3968">
        <v>29</v>
      </c>
      <c r="AC3968">
        <v>-11.053299999999901</v>
      </c>
      <c r="AD3968">
        <v>-1.1016392020999899</v>
      </c>
      <c r="AE3968">
        <v>-10.3036999999999</v>
      </c>
      <c r="AF3968">
        <v>7.8300984528827504</v>
      </c>
      <c r="AG3968">
        <v>-1.1016392020999899</v>
      </c>
      <c r="AH3968">
        <v>12.830558416338899</v>
      </c>
      <c r="AI3968">
        <v>94.191753452843301</v>
      </c>
      <c r="AJ3968">
        <v>58.605556638022101</v>
      </c>
      <c r="AK3968">
        <v>15.0714060388713</v>
      </c>
      <c r="AL3968">
        <v>82.597781300508501</v>
      </c>
      <c r="AM3968">
        <v>66.238547494255002</v>
      </c>
      <c r="AN3968">
        <v>1.0000000188649201</v>
      </c>
    </row>
    <row r="3969" spans="1:40" x14ac:dyDescent="0.25">
      <c r="A3969" t="str">
        <f>"20190312173009073"</f>
        <v>20190312173009073</v>
      </c>
      <c r="B3969" t="str">
        <f>"1552383009071739"</f>
        <v>1552383009071739</v>
      </c>
      <c r="C3969" t="s">
        <v>40</v>
      </c>
      <c r="D3969">
        <v>3.5914069999999998</v>
      </c>
      <c r="E3969">
        <v>0.55424689999999999</v>
      </c>
      <c r="F3969" t="s">
        <v>51</v>
      </c>
      <c r="G3969">
        <v>-204.35769999999999</v>
      </c>
      <c r="H3969" s="1">
        <v>-1.01398399999999E-5</v>
      </c>
      <c r="I3969">
        <v>148.36580000000001</v>
      </c>
      <c r="J3969">
        <v>-193.28659999999999</v>
      </c>
      <c r="K3969">
        <v>1.1014759999999999</v>
      </c>
      <c r="L3969">
        <v>158.4734</v>
      </c>
      <c r="M3969">
        <v>-0.27890769999999998</v>
      </c>
      <c r="N3969">
        <v>0</v>
      </c>
      <c r="O3969">
        <v>-0.96020989999999995</v>
      </c>
      <c r="P3969">
        <v>-0.63531510000000002</v>
      </c>
      <c r="Q3969">
        <v>0.124220899999999</v>
      </c>
      <c r="R3969">
        <v>-0.76219709999999996</v>
      </c>
      <c r="S3969">
        <v>-2.256256</v>
      </c>
      <c r="T3969">
        <v>-0.22283259999999999</v>
      </c>
      <c r="U3969">
        <v>-2.0971069999999998</v>
      </c>
      <c r="V3969">
        <v>0.40024920000000003</v>
      </c>
      <c r="W3969">
        <v>0.12905819999999901</v>
      </c>
      <c r="X3969">
        <v>0.90727310000000005</v>
      </c>
      <c r="Y3969">
        <v>0.51140549999999996</v>
      </c>
      <c r="Z3969">
        <v>7.4841820000000003E-2</v>
      </c>
      <c r="AA3969">
        <v>0.85607429999999995</v>
      </c>
      <c r="AB3969">
        <v>29</v>
      </c>
      <c r="AC3969">
        <v>-11.071099999999999</v>
      </c>
      <c r="AD3969">
        <v>-1.10148613984</v>
      </c>
      <c r="AE3969">
        <v>-10.1075999999999</v>
      </c>
      <c r="AF3969">
        <v>7.7703526703027599</v>
      </c>
      <c r="AG3969">
        <v>-1.10148613984</v>
      </c>
      <c r="AH3969">
        <v>12.725856308793601</v>
      </c>
      <c r="AI3969">
        <v>94.224920995610702</v>
      </c>
      <c r="AJ3969">
        <v>58.591941995810302</v>
      </c>
      <c r="AK3969">
        <v>14.9512230646594</v>
      </c>
      <c r="AL3969">
        <v>82.584827000615704</v>
      </c>
      <c r="AM3969">
        <v>66.195026207058206</v>
      </c>
      <c r="AN3969">
        <v>0.99999995953574405</v>
      </c>
    </row>
    <row r="3970" spans="1:40" x14ac:dyDescent="0.25">
      <c r="A3970" t="str">
        <f>"20190312173009101"</f>
        <v>20190312173009101</v>
      </c>
      <c r="B3970" t="str">
        <f>"1552383009091259"</f>
        <v>1552383009091259</v>
      </c>
      <c r="C3970" t="s">
        <v>40</v>
      </c>
      <c r="D3970">
        <v>3.5781329999999998</v>
      </c>
      <c r="E3970">
        <v>0.55400919999999998</v>
      </c>
      <c r="F3970" t="s">
        <v>51</v>
      </c>
      <c r="G3970">
        <v>-204.48330000000001</v>
      </c>
      <c r="H3970" s="1">
        <v>-1.006925E-5</v>
      </c>
      <c r="I3970">
        <v>148.2775</v>
      </c>
      <c r="J3970">
        <v>-193.3989</v>
      </c>
      <c r="K3970">
        <v>1.101289</v>
      </c>
      <c r="L3970">
        <v>158.13720000000001</v>
      </c>
      <c r="M3970">
        <v>-0.29177609999999998</v>
      </c>
      <c r="N3970">
        <v>0</v>
      </c>
      <c r="O3970">
        <v>-0.95637760000000005</v>
      </c>
      <c r="P3970">
        <v>-0.64587419999999995</v>
      </c>
      <c r="Q3970">
        <v>0.12469</v>
      </c>
      <c r="R3970">
        <v>-0.7531928</v>
      </c>
      <c r="S3970">
        <v>-2.2775880000000002</v>
      </c>
      <c r="T3970">
        <v>-0.2240607</v>
      </c>
      <c r="U3970">
        <v>-2.07402</v>
      </c>
      <c r="V3970">
        <v>0.40080159999999998</v>
      </c>
      <c r="W3970">
        <v>0.12937119999999999</v>
      </c>
      <c r="X3970">
        <v>0.90698460000000003</v>
      </c>
      <c r="Y3970">
        <v>0.50858939999999997</v>
      </c>
      <c r="Z3970">
        <v>7.5193410000000002E-2</v>
      </c>
      <c r="AA3970">
        <v>0.85771949999999997</v>
      </c>
      <c r="AB3970">
        <v>29</v>
      </c>
      <c r="AC3970">
        <v>-11.0844</v>
      </c>
      <c r="AD3970">
        <v>-1.10129906925</v>
      </c>
      <c r="AE3970">
        <v>-9.8597000000000001</v>
      </c>
      <c r="AF3970">
        <v>7.68251402427454</v>
      </c>
      <c r="AG3970">
        <v>-1.10129906925</v>
      </c>
      <c r="AH3970">
        <v>12.595664829802599</v>
      </c>
      <c r="AI3970">
        <v>94.268960559908805</v>
      </c>
      <c r="AJ3970">
        <v>58.619598878717703</v>
      </c>
      <c r="AK3970">
        <v>14.794750889346901</v>
      </c>
      <c r="AL3970">
        <v>82.566741714615304</v>
      </c>
      <c r="AM3970">
        <v>66.159094857998298</v>
      </c>
      <c r="AN3970">
        <v>0.99999994729457797</v>
      </c>
    </row>
    <row r="3971" spans="1:40" x14ac:dyDescent="0.25">
      <c r="A3971" t="str">
        <f>"20190312173009118"</f>
        <v>20190312173009118</v>
      </c>
      <c r="B3971" t="str">
        <f>"1552383009111755"</f>
        <v>1552383009111755</v>
      </c>
      <c r="C3971" t="s">
        <v>40</v>
      </c>
      <c r="D3971">
        <v>3.6313059999999999</v>
      </c>
      <c r="E3971">
        <v>0.55366389999999999</v>
      </c>
      <c r="F3971" t="s">
        <v>51</v>
      </c>
      <c r="G3971">
        <v>-204.66130000000001</v>
      </c>
      <c r="H3971" s="1">
        <v>-9.9690110000000007E-6</v>
      </c>
      <c r="I3971">
        <v>148.1516</v>
      </c>
      <c r="J3971">
        <v>-193.4744</v>
      </c>
      <c r="K3971">
        <v>1.1011660000000001</v>
      </c>
      <c r="L3971">
        <v>157.92019999999999</v>
      </c>
      <c r="M3971">
        <v>-0.30025760000000001</v>
      </c>
      <c r="N3971">
        <v>0</v>
      </c>
      <c r="O3971">
        <v>-0.95374829999999999</v>
      </c>
      <c r="P3971">
        <v>-0.65271259999999998</v>
      </c>
      <c r="Q3971">
        <v>0.1249503</v>
      </c>
      <c r="R3971">
        <v>-0.74723109999999904</v>
      </c>
      <c r="S3971">
        <v>-2.305069</v>
      </c>
      <c r="T3971">
        <v>-0.2254013</v>
      </c>
      <c r="U3971">
        <v>-2.0437319999999999</v>
      </c>
      <c r="V3971">
        <v>0.4010707</v>
      </c>
      <c r="W3971">
        <v>0.1295376</v>
      </c>
      <c r="X3971">
        <v>0.90684189999999998</v>
      </c>
      <c r="Y3971">
        <v>0.51230620000000004</v>
      </c>
      <c r="Z3971">
        <v>7.5665620000000003E-2</v>
      </c>
      <c r="AA3971">
        <v>0.85546309999999903</v>
      </c>
      <c r="AB3971">
        <v>29</v>
      </c>
      <c r="AC3971">
        <v>-11.1869</v>
      </c>
      <c r="AD3971">
        <v>-1.1011759690109999</v>
      </c>
      <c r="AE3971">
        <v>-9.7685999999999904</v>
      </c>
      <c r="AF3971">
        <v>7.6948987473010702</v>
      </c>
      <c r="AG3971">
        <v>-1.1011759690109999</v>
      </c>
      <c r="AH3971">
        <v>12.607755022726201</v>
      </c>
      <c r="AI3971">
        <v>94.2636563318204</v>
      </c>
      <c r="AJ3971">
        <v>58.6030056700993</v>
      </c>
      <c r="AK3971">
        <v>14.8114665701618</v>
      </c>
      <c r="AL3971">
        <v>82.557126914733004</v>
      </c>
      <c r="AM3971">
        <v>66.141539503131995</v>
      </c>
      <c r="AN3971">
        <v>0.99999996390392898</v>
      </c>
    </row>
    <row r="3972" spans="1:40" x14ac:dyDescent="0.25">
      <c r="A3972" t="str">
        <f>"20190312173009143"</f>
        <v>20190312173009143</v>
      </c>
      <c r="B3972" t="str">
        <f>"1552383009131278"</f>
        <v>1552383009131278</v>
      </c>
      <c r="C3972" t="s">
        <v>40</v>
      </c>
      <c r="D3972">
        <v>3.599205</v>
      </c>
      <c r="E3972">
        <v>0.55340800000000001</v>
      </c>
      <c r="F3972" t="s">
        <v>51</v>
      </c>
      <c r="G3972">
        <v>-204.77090000000001</v>
      </c>
      <c r="H3972" s="1">
        <v>-9.90552E-6</v>
      </c>
      <c r="I3972">
        <v>148.06739999999999</v>
      </c>
      <c r="J3972">
        <v>-193.58760000000001</v>
      </c>
      <c r="K3972">
        <v>1.1010009999999999</v>
      </c>
      <c r="L3972">
        <v>157.60589999999999</v>
      </c>
      <c r="M3972">
        <v>-0.31273329999999999</v>
      </c>
      <c r="N3972">
        <v>0</v>
      </c>
      <c r="O3972">
        <v>-0.94973010000000002</v>
      </c>
      <c r="P3972">
        <v>-0.66249250000000004</v>
      </c>
      <c r="Q3972">
        <v>0.12509010000000001</v>
      </c>
      <c r="R3972">
        <v>-0.73855039999999905</v>
      </c>
      <c r="S3972">
        <v>-2.3215029999999999</v>
      </c>
      <c r="T3972">
        <v>-0.22629869999999999</v>
      </c>
      <c r="U3972">
        <v>-2.0248110000000001</v>
      </c>
      <c r="V3972">
        <v>0.40118559999999998</v>
      </c>
      <c r="W3972">
        <v>0.12955039999999901</v>
      </c>
      <c r="X3972">
        <v>0.90678930000000002</v>
      </c>
      <c r="Y3972">
        <v>0.50799970000000005</v>
      </c>
      <c r="Z3972">
        <v>7.5866210000000003E-2</v>
      </c>
      <c r="AA3972">
        <v>0.85800969999999999</v>
      </c>
      <c r="AB3972">
        <v>29</v>
      </c>
      <c r="AC3972">
        <v>-11.183299999999999</v>
      </c>
      <c r="AD3972">
        <v>-1.1010109055199999</v>
      </c>
      <c r="AE3972">
        <v>-9.5385000000000009</v>
      </c>
      <c r="AF3972">
        <v>7.5962926915576201</v>
      </c>
      <c r="AG3972">
        <v>-1.1010109055199999</v>
      </c>
      <c r="AH3972">
        <v>12.487646767786099</v>
      </c>
      <c r="AI3972">
        <v>94.307730418136501</v>
      </c>
      <c r="AJ3972">
        <v>58.687659301394099</v>
      </c>
      <c r="AK3972">
        <v>14.658008373134599</v>
      </c>
      <c r="AL3972">
        <v>82.556387665415997</v>
      </c>
      <c r="AM3972">
        <v>66.134238247067003</v>
      </c>
      <c r="AN3972">
        <v>1.0000000131910001</v>
      </c>
    </row>
    <row r="3973" spans="1:40" x14ac:dyDescent="0.25">
      <c r="A3973" t="str">
        <f>"20190312173009157"</f>
        <v>20190312173009157</v>
      </c>
      <c r="B3973" t="str">
        <f>"1552383009151771"</f>
        <v>1552383009151771</v>
      </c>
      <c r="C3973" t="s">
        <v>40</v>
      </c>
      <c r="D3973">
        <v>3.5066890000000002</v>
      </c>
      <c r="E3973">
        <v>0.55323049999999996</v>
      </c>
      <c r="F3973" t="s">
        <v>51</v>
      </c>
      <c r="G3973">
        <v>-204.95930000000001</v>
      </c>
      <c r="H3973" s="1">
        <v>-9.8003319999999992E-6</v>
      </c>
      <c r="I3973">
        <v>147.93799999999999</v>
      </c>
      <c r="J3973">
        <v>-193.65530000000001</v>
      </c>
      <c r="K3973">
        <v>1.1009070000000001</v>
      </c>
      <c r="L3973">
        <v>157.42500000000001</v>
      </c>
      <c r="M3973">
        <v>-0.32005240000000001</v>
      </c>
      <c r="N3973">
        <v>0</v>
      </c>
      <c r="O3973">
        <v>-0.94728800000000002</v>
      </c>
      <c r="P3973">
        <v>-0.66818</v>
      </c>
      <c r="Q3973">
        <v>0.1250376</v>
      </c>
      <c r="R3973">
        <v>-0.73341750000000006</v>
      </c>
      <c r="S3973">
        <v>-2.3468930000000001</v>
      </c>
      <c r="T3973">
        <v>-0.22722529999999999</v>
      </c>
      <c r="U3973">
        <v>-1.995255</v>
      </c>
      <c r="V3973">
        <v>0.40122210000000003</v>
      </c>
      <c r="W3973">
        <v>0.12942890000000001</v>
      </c>
      <c r="X3973">
        <v>0.90679050000000005</v>
      </c>
      <c r="Y3973">
        <v>0.51218669999999999</v>
      </c>
      <c r="Z3973">
        <v>7.6206510000000005E-2</v>
      </c>
      <c r="AA3973">
        <v>0.85548659999999999</v>
      </c>
      <c r="AB3973">
        <v>29</v>
      </c>
      <c r="AC3973">
        <v>-11.304</v>
      </c>
      <c r="AD3973">
        <v>-1.100916800332</v>
      </c>
      <c r="AE3973">
        <v>-9.4870000000000196</v>
      </c>
      <c r="AF3973">
        <v>7.63015577051672</v>
      </c>
      <c r="AG3973">
        <v>-1.100916800332</v>
      </c>
      <c r="AH3973">
        <v>12.536361462032</v>
      </c>
      <c r="AI3973">
        <v>94.290047977070301</v>
      </c>
      <c r="AJ3973">
        <v>58.673551319190601</v>
      </c>
      <c r="AK3973">
        <v>14.7170531557892</v>
      </c>
      <c r="AL3973">
        <v>82.563408203332003</v>
      </c>
      <c r="AM3973">
        <v>66.1323375965151</v>
      </c>
      <c r="AN3973">
        <v>1.0000000122869299</v>
      </c>
    </row>
    <row r="3974" spans="1:40" x14ac:dyDescent="0.25">
      <c r="A3974" t="str">
        <f>"20190312173009176"</f>
        <v>20190312173009176</v>
      </c>
      <c r="B3974" t="str">
        <f>"1552383009171292"</f>
        <v>1552383009171292</v>
      </c>
      <c r="C3974" t="s">
        <v>40</v>
      </c>
      <c r="D3974">
        <v>3.4945979999999999</v>
      </c>
      <c r="E3974">
        <v>0.55302859999999998</v>
      </c>
      <c r="F3974" t="s">
        <v>51</v>
      </c>
      <c r="G3974">
        <v>-205.0463</v>
      </c>
      <c r="H3974" s="1">
        <v>-9.7475609999999996E-6</v>
      </c>
      <c r="I3974">
        <v>147.88419999999999</v>
      </c>
      <c r="J3974">
        <v>-193.73699999999999</v>
      </c>
      <c r="K3974">
        <v>1.1008039999999999</v>
      </c>
      <c r="L3974">
        <v>157.21190000000001</v>
      </c>
      <c r="M3974">
        <v>-0.32875270000000001</v>
      </c>
      <c r="N3974">
        <v>0</v>
      </c>
      <c r="O3974">
        <v>-0.94430349999999996</v>
      </c>
      <c r="P3974">
        <v>-0.67474869999999898</v>
      </c>
      <c r="Q3974">
        <v>0.12514939999999999</v>
      </c>
      <c r="R3974">
        <v>-0.7273598</v>
      </c>
      <c r="S3974">
        <v>-2.3614649999999999</v>
      </c>
      <c r="T3974">
        <v>-0.22823109999999999</v>
      </c>
      <c r="U3974">
        <v>-1.977921</v>
      </c>
      <c r="V3974">
        <v>0.40107690000000001</v>
      </c>
      <c r="W3974">
        <v>0.12947149999999999</v>
      </c>
      <c r="X3974">
        <v>0.90684869999999995</v>
      </c>
      <c r="Y3974">
        <v>0.51056480000000004</v>
      </c>
      <c r="Z3974">
        <v>7.6476100000000005E-2</v>
      </c>
      <c r="AA3974">
        <v>0.85643150000000001</v>
      </c>
      <c r="AB3974">
        <v>29</v>
      </c>
      <c r="AC3974">
        <v>-11.3093</v>
      </c>
      <c r="AD3974">
        <v>-1.100813747561</v>
      </c>
      <c r="AE3974">
        <v>-9.3277000000000196</v>
      </c>
      <c r="AF3974">
        <v>7.5710235536635402</v>
      </c>
      <c r="AG3974">
        <v>-1.100813747561</v>
      </c>
      <c r="AH3974">
        <v>12.457231636268499</v>
      </c>
      <c r="AI3974">
        <v>94.318475327455303</v>
      </c>
      <c r="AJ3974">
        <v>58.7103841476738</v>
      </c>
      <c r="AK3974">
        <v>14.6189879470706</v>
      </c>
      <c r="AL3974">
        <v>82.560947025259395</v>
      </c>
      <c r="AM3974">
        <v>66.141370794401894</v>
      </c>
      <c r="AN3974">
        <v>1.0000000568587699</v>
      </c>
    </row>
    <row r="3975" spans="1:40" x14ac:dyDescent="0.25">
      <c r="A3975" t="str">
        <f>"20190312173009196"</f>
        <v>20190312173009196</v>
      </c>
      <c r="B3975" t="str">
        <f>"1552383009191787"</f>
        <v>1552383009191787</v>
      </c>
      <c r="C3975" t="s">
        <v>40</v>
      </c>
      <c r="D3975">
        <v>3.4813779999999999</v>
      </c>
      <c r="E3975">
        <v>0.5528592</v>
      </c>
      <c r="F3975" t="s">
        <v>51</v>
      </c>
      <c r="G3975">
        <v>-205.16290000000001</v>
      </c>
      <c r="H3975" s="1">
        <v>-9.6759940000000005E-6</v>
      </c>
      <c r="I3975">
        <v>147.80889999999999</v>
      </c>
      <c r="J3975">
        <v>-193.8373</v>
      </c>
      <c r="K3975">
        <v>1.1006899999999999</v>
      </c>
      <c r="L3975">
        <v>156.95830000000001</v>
      </c>
      <c r="M3975">
        <v>-0.3392347</v>
      </c>
      <c r="N3975">
        <v>0</v>
      </c>
      <c r="O3975">
        <v>-0.94058819999999999</v>
      </c>
      <c r="P3975">
        <v>-0.6824614</v>
      </c>
      <c r="Q3975">
        <v>0.12592139999999999</v>
      </c>
      <c r="R3975">
        <v>-0.71999340000000001</v>
      </c>
      <c r="S3975">
        <v>-2.378555</v>
      </c>
      <c r="T3975">
        <v>-0.22916</v>
      </c>
      <c r="U3975">
        <v>-1.9574579999999999</v>
      </c>
      <c r="V3975">
        <v>0.40075379999999999</v>
      </c>
      <c r="W3975">
        <v>0.13017020000000001</v>
      </c>
      <c r="X3975">
        <v>0.90689149999999996</v>
      </c>
      <c r="Y3975">
        <v>0.50840719999999995</v>
      </c>
      <c r="Z3975">
        <v>7.668896E-2</v>
      </c>
      <c r="AA3975">
        <v>0.85769519999999899</v>
      </c>
      <c r="AB3975">
        <v>29</v>
      </c>
      <c r="AC3975">
        <v>-11.3256</v>
      </c>
      <c r="AD3975">
        <v>-1.100699675994</v>
      </c>
      <c r="AE3975">
        <v>-9.1494000000000106</v>
      </c>
      <c r="AF3975">
        <v>7.5068342892104196</v>
      </c>
      <c r="AG3975">
        <v>-1.100699675994</v>
      </c>
      <c r="AH3975">
        <v>12.3784373404654</v>
      </c>
      <c r="AI3975">
        <v>94.347940268339201</v>
      </c>
      <c r="AJ3975">
        <v>58.765516499107697</v>
      </c>
      <c r="AK3975">
        <v>14.518602267925999</v>
      </c>
      <c r="AL3975">
        <v>82.520572677826493</v>
      </c>
      <c r="AM3975">
        <v>66.159446807719206</v>
      </c>
      <c r="AN3975">
        <v>1.0000000409773599</v>
      </c>
    </row>
    <row r="3976" spans="1:40" x14ac:dyDescent="0.25">
      <c r="A3976" t="str">
        <f>"20190312173009210"</f>
        <v>20190312173009210</v>
      </c>
      <c r="B3976" t="str">
        <f>"1552383009201547"</f>
        <v>1552383009201547</v>
      </c>
      <c r="C3976" t="s">
        <v>40</v>
      </c>
      <c r="D3976">
        <v>3.4943930000000001</v>
      </c>
      <c r="E3976">
        <v>0.5528592</v>
      </c>
      <c r="F3976" t="s">
        <v>51</v>
      </c>
      <c r="G3976">
        <v>-205.4512</v>
      </c>
      <c r="H3976" s="1">
        <v>-9.4933150000000004E-6</v>
      </c>
      <c r="I3976">
        <v>147.60120000000001</v>
      </c>
      <c r="J3976">
        <v>-193.90309999999999</v>
      </c>
      <c r="K3976">
        <v>1.100617</v>
      </c>
      <c r="L3976">
        <v>156.79640000000001</v>
      </c>
      <c r="M3976">
        <v>-0.3460027</v>
      </c>
      <c r="N3976">
        <v>0</v>
      </c>
      <c r="O3976">
        <v>-0.93811960000000005</v>
      </c>
      <c r="P3976">
        <v>-0.68754490000000001</v>
      </c>
      <c r="Q3976">
        <v>0.12611839999999999</v>
      </c>
      <c r="R3976">
        <v>-0.71510609999999997</v>
      </c>
      <c r="S3976">
        <v>-2.398819</v>
      </c>
      <c r="T3976">
        <v>-0.22734689999999999</v>
      </c>
      <c r="U3976">
        <v>-1.932693</v>
      </c>
      <c r="V3976">
        <v>0.40068340000000002</v>
      </c>
      <c r="W3976">
        <v>0.1303192</v>
      </c>
      <c r="X3976">
        <v>0.90690119999999996</v>
      </c>
      <c r="Y3976">
        <v>0.51115350000000004</v>
      </c>
      <c r="Z3976">
        <v>7.6082269999999994E-2</v>
      </c>
      <c r="AA3976">
        <v>0.85611539999999997</v>
      </c>
      <c r="AB3976">
        <v>29</v>
      </c>
      <c r="AC3976">
        <v>-11.5481</v>
      </c>
      <c r="AD3976">
        <v>-1.1006264933149901</v>
      </c>
      <c r="AE3976">
        <v>-9.1951999999999998</v>
      </c>
      <c r="AF3976">
        <v>7.6104458482589097</v>
      </c>
      <c r="AG3976">
        <v>-1.1006264933149901</v>
      </c>
      <c r="AH3976">
        <v>12.5534348683041</v>
      </c>
      <c r="AI3976">
        <v>94.287652024873907</v>
      </c>
      <c r="AJ3976">
        <v>58.773908642943702</v>
      </c>
      <c r="AK3976">
        <v>14.721378728903799</v>
      </c>
      <c r="AL3976">
        <v>82.511962207991104</v>
      </c>
      <c r="AM3976">
        <v>66.163394560741594</v>
      </c>
      <c r="AN3976">
        <v>1.0000000337428101</v>
      </c>
    </row>
    <row r="3977" spans="1:40" x14ac:dyDescent="0.25">
      <c r="A3977" t="str">
        <f>"20190312173009238"</f>
        <v>20190312173009238</v>
      </c>
      <c r="B3977" t="str">
        <f>"1552383009231803"</f>
        <v>1552383009231803</v>
      </c>
      <c r="C3977" t="s">
        <v>40</v>
      </c>
      <c r="D3977">
        <v>3.5164960000000001</v>
      </c>
      <c r="E3977">
        <v>0.55238369999999903</v>
      </c>
      <c r="F3977" t="s">
        <v>51</v>
      </c>
      <c r="G3977">
        <v>-205.6225</v>
      </c>
      <c r="H3977" s="1">
        <v>-9.3889299999999996E-6</v>
      </c>
      <c r="I3977">
        <v>147.49350000000001</v>
      </c>
      <c r="J3977">
        <v>-194.04830000000001</v>
      </c>
      <c r="K3977">
        <v>1.100473</v>
      </c>
      <c r="L3977">
        <v>156.4511</v>
      </c>
      <c r="M3977">
        <v>-0.36063980000000001</v>
      </c>
      <c r="N3977">
        <v>0</v>
      </c>
      <c r="O3977">
        <v>-0.93258960000000002</v>
      </c>
      <c r="P3977">
        <v>-0.69806729999999995</v>
      </c>
      <c r="Q3977">
        <v>0.1269033</v>
      </c>
      <c r="R3977">
        <v>-0.70469700000000002</v>
      </c>
      <c r="S3977">
        <v>-2.4127960000000002</v>
      </c>
      <c r="T3977">
        <v>-0.22659799999999999</v>
      </c>
      <c r="U3977">
        <v>-1.9152979999999999</v>
      </c>
      <c r="V3977">
        <v>0.40004659999999997</v>
      </c>
      <c r="W3977">
        <v>0.13102169999999999</v>
      </c>
      <c r="X3977">
        <v>0.90708109999999997</v>
      </c>
      <c r="Y3977">
        <v>0.50392629999999905</v>
      </c>
      <c r="Z3977">
        <v>7.5603169999999997E-2</v>
      </c>
      <c r="AA3977">
        <v>0.86043159999999896</v>
      </c>
      <c r="AB3977">
        <v>29</v>
      </c>
      <c r="AC3977">
        <v>-11.5741999999999</v>
      </c>
      <c r="AD3977">
        <v>-1.1004823889299999</v>
      </c>
      <c r="AE3977">
        <v>-8.9575999999999798</v>
      </c>
      <c r="AF3977">
        <v>7.5217996241104901</v>
      </c>
      <c r="AG3977">
        <v>-1.1004823889299999</v>
      </c>
      <c r="AH3977">
        <v>12.458792020145699</v>
      </c>
      <c r="AI3977">
        <v>94.324322658640497</v>
      </c>
      <c r="AJ3977">
        <v>58.879180899431503</v>
      </c>
      <c r="AK3977">
        <v>14.5948631262804</v>
      </c>
      <c r="AL3977">
        <v>82.471363912445696</v>
      </c>
      <c r="AM3977">
        <v>66.2012603167002</v>
      </c>
      <c r="AN3977">
        <v>1.0000000450098201</v>
      </c>
    </row>
    <row r="3978" spans="1:40" x14ac:dyDescent="0.25">
      <c r="A3978" t="str">
        <f>"20190312173009254"</f>
        <v>20190312173009254</v>
      </c>
      <c r="B3978" t="str">
        <f>"1552383009241563"</f>
        <v>1552383009241563</v>
      </c>
      <c r="C3978" t="s">
        <v>40</v>
      </c>
      <c r="D3978">
        <v>3.5094159999999999</v>
      </c>
      <c r="E3978">
        <v>0.55238369999999903</v>
      </c>
      <c r="F3978" t="s">
        <v>51</v>
      </c>
      <c r="G3978">
        <v>-205.95920000000001</v>
      </c>
      <c r="H3978" s="1">
        <v>-9.1783210000000007E-6</v>
      </c>
      <c r="I3978">
        <v>147.26130000000001</v>
      </c>
      <c r="J3978">
        <v>-194.13159999999999</v>
      </c>
      <c r="K3978">
        <v>1.1003989999999999</v>
      </c>
      <c r="L3978">
        <v>156.25989999999999</v>
      </c>
      <c r="M3978">
        <v>-0.36885580000000001</v>
      </c>
      <c r="N3978">
        <v>0</v>
      </c>
      <c r="O3978">
        <v>-0.92937049999999999</v>
      </c>
      <c r="P3978">
        <v>-0.70369899999999996</v>
      </c>
      <c r="Q3978">
        <v>0.12738269999999999</v>
      </c>
      <c r="R3978">
        <v>-0.69898640000000001</v>
      </c>
      <c r="S3978">
        <v>-2.4389500000000002</v>
      </c>
      <c r="T3978">
        <v>-0.22534129999999999</v>
      </c>
      <c r="U3978">
        <v>-1.8817440000000001</v>
      </c>
      <c r="V3978">
        <v>0.39938590000000002</v>
      </c>
      <c r="W3978">
        <v>0.1314688</v>
      </c>
      <c r="X3978">
        <v>0.90730739999999999</v>
      </c>
      <c r="Y3978">
        <v>0.50821329999999998</v>
      </c>
      <c r="Z3978">
        <v>7.5188089999999999E-2</v>
      </c>
      <c r="AA3978">
        <v>0.85794289999999995</v>
      </c>
      <c r="AB3978">
        <v>29</v>
      </c>
      <c r="AC3978">
        <v>-11.8276</v>
      </c>
      <c r="AD3978">
        <v>-1.10040817832099</v>
      </c>
      <c r="AE3978">
        <v>-8.9985999999999802</v>
      </c>
      <c r="AF3978">
        <v>7.6320226569139198</v>
      </c>
      <c r="AG3978">
        <v>-1.10040817832099</v>
      </c>
      <c r="AH3978">
        <v>12.657690513692801</v>
      </c>
      <c r="AI3978">
        <v>94.257798767958207</v>
      </c>
      <c r="AJ3978">
        <v>58.911897638737102</v>
      </c>
      <c r="AK3978">
        <v>14.8214640685389</v>
      </c>
      <c r="AL3978">
        <v>82.445522576878105</v>
      </c>
      <c r="AM3978">
        <v>66.2414779493038</v>
      </c>
      <c r="AN3978">
        <v>0.99999993029350198</v>
      </c>
    </row>
    <row r="3979" spans="1:40" x14ac:dyDescent="0.25">
      <c r="A3979" t="str">
        <f>"20190312173009275"</f>
        <v>20190312173009275</v>
      </c>
      <c r="B3979" t="str">
        <f>"1552383009271819"</f>
        <v>1552383009271819</v>
      </c>
      <c r="C3979" t="s">
        <v>40</v>
      </c>
      <c r="D3979">
        <v>3.482418</v>
      </c>
      <c r="E3979">
        <v>0.54757679999999997</v>
      </c>
      <c r="F3979" t="s">
        <v>51</v>
      </c>
      <c r="G3979">
        <v>-206.21950000000001</v>
      </c>
      <c r="H3979" s="1">
        <v>-9.0182910000000001E-6</v>
      </c>
      <c r="I3979">
        <v>147.0924</v>
      </c>
      <c r="J3979">
        <v>-194.24709999999999</v>
      </c>
      <c r="K3979">
        <v>1.100293</v>
      </c>
      <c r="L3979">
        <v>156.00219999999999</v>
      </c>
      <c r="M3979">
        <v>-0.3800366</v>
      </c>
      <c r="N3979">
        <v>0</v>
      </c>
      <c r="O3979">
        <v>-0.92485419999999996</v>
      </c>
      <c r="P3979">
        <v>-0.71163050000000005</v>
      </c>
      <c r="Q3979">
        <v>0.1274361</v>
      </c>
      <c r="R3979">
        <v>-0.69089979999999995</v>
      </c>
      <c r="S3979">
        <v>-2.4545590000000002</v>
      </c>
      <c r="T3979">
        <v>-0.22344890000000001</v>
      </c>
      <c r="U3979">
        <v>-1.861542</v>
      </c>
      <c r="V3979">
        <v>0.39883489999999999</v>
      </c>
      <c r="W3979">
        <v>0.1314726</v>
      </c>
      <c r="X3979">
        <v>0.9075493</v>
      </c>
      <c r="Y3979">
        <v>0.50499050000000001</v>
      </c>
      <c r="Z3979">
        <v>7.4396539999999997E-2</v>
      </c>
      <c r="AA3979">
        <v>0.85991269999999997</v>
      </c>
      <c r="AB3979">
        <v>29</v>
      </c>
      <c r="AC3979">
        <v>-11.9724</v>
      </c>
      <c r="AD3979">
        <v>-1.1003020182909999</v>
      </c>
      <c r="AE3979">
        <v>-8.90979999999999</v>
      </c>
      <c r="AF3979">
        <v>7.6459466434741898</v>
      </c>
      <c r="AG3979">
        <v>-1.1003020182909999</v>
      </c>
      <c r="AH3979">
        <v>12.7224474503151</v>
      </c>
      <c r="AI3979">
        <v>94.2394823689215</v>
      </c>
      <c r="AJ3979">
        <v>58.994940989366697</v>
      </c>
      <c r="AK3979">
        <v>14.8839455028678</v>
      </c>
      <c r="AL3979">
        <v>82.445303681142505</v>
      </c>
      <c r="AM3979">
        <v>66.276258213717995</v>
      </c>
      <c r="AN3979">
        <v>1.0000000269696201</v>
      </c>
    </row>
    <row r="3980" spans="1:40" x14ac:dyDescent="0.25">
      <c r="A3980" t="str">
        <f>"20190312173009293"</f>
        <v>20190312173009293</v>
      </c>
      <c r="B3980" t="str">
        <f>"1552383009281579"</f>
        <v>1552383009281579</v>
      </c>
      <c r="C3980" t="s">
        <v>40</v>
      </c>
      <c r="D3980">
        <v>3.500734</v>
      </c>
      <c r="E3980">
        <v>0.54751689999999997</v>
      </c>
      <c r="F3980" t="s">
        <v>51</v>
      </c>
      <c r="G3980">
        <v>-205.69399999999999</v>
      </c>
      <c r="H3980" s="1">
        <v>-9.3073970000000002E-6</v>
      </c>
      <c r="I3980">
        <v>147.3047</v>
      </c>
      <c r="J3980">
        <v>-194.34030000000001</v>
      </c>
      <c r="K3980">
        <v>1.1002160000000001</v>
      </c>
      <c r="L3980">
        <v>155.8006</v>
      </c>
      <c r="M3980">
        <v>-0.38887719999999998</v>
      </c>
      <c r="N3980">
        <v>0</v>
      </c>
      <c r="O3980">
        <v>-0.92117170000000004</v>
      </c>
      <c r="P3980">
        <v>-0.71801250000000005</v>
      </c>
      <c r="Q3980">
        <v>0.12768270000000001</v>
      </c>
      <c r="R3980">
        <v>-0.68421880000000002</v>
      </c>
      <c r="S3980">
        <v>-2.4503170000000001</v>
      </c>
      <c r="T3980">
        <v>-0.23553170000000001</v>
      </c>
      <c r="U3980">
        <v>-1.8617859999999999</v>
      </c>
      <c r="V3980">
        <v>0.3986133</v>
      </c>
      <c r="W3980">
        <v>0.13167679999999901</v>
      </c>
      <c r="X3980">
        <v>0.90761700000000001</v>
      </c>
      <c r="Y3980">
        <v>0.49568309999999999</v>
      </c>
      <c r="Z3980">
        <v>7.8213329999999998E-2</v>
      </c>
      <c r="AA3980">
        <v>0.86497459999999904</v>
      </c>
      <c r="AB3980">
        <v>29</v>
      </c>
      <c r="AC3980">
        <v>-11.3537</v>
      </c>
      <c r="AD3980">
        <v>-1.1002253073970001</v>
      </c>
      <c r="AE3980">
        <v>-8.4959000000000007</v>
      </c>
      <c r="AF3980">
        <v>7.1128051231539304</v>
      </c>
      <c r="AG3980">
        <v>-1.1002253073970001</v>
      </c>
      <c r="AH3980">
        <v>12.1694502291706</v>
      </c>
      <c r="AI3980">
        <v>94.463127760219194</v>
      </c>
      <c r="AJ3980">
        <v>59.694551205795797</v>
      </c>
      <c r="AK3980">
        <v>14.138529319814801</v>
      </c>
      <c r="AL3980">
        <v>82.433500923619206</v>
      </c>
      <c r="AM3980">
        <v>66.289558438232504</v>
      </c>
      <c r="AN3980">
        <v>0.99999998064206397</v>
      </c>
    </row>
    <row r="3981" spans="1:40" x14ac:dyDescent="0.25">
      <c r="A3981" t="str">
        <f>"20190312173009310"</f>
        <v>20190312173009310</v>
      </c>
      <c r="B3981" t="str">
        <f>"1552383009302075"</f>
        <v>1552383009302075</v>
      </c>
      <c r="C3981" t="s">
        <v>40</v>
      </c>
      <c r="D3981">
        <v>3.4364750000000002</v>
      </c>
      <c r="E3981">
        <v>0.54751839999999996</v>
      </c>
      <c r="F3981" t="s">
        <v>51</v>
      </c>
      <c r="G3981">
        <v>-205.86009999999999</v>
      </c>
      <c r="H3981" s="1">
        <v>-9.2093740000000008E-6</v>
      </c>
      <c r="I3981">
        <v>147.21250000000001</v>
      </c>
      <c r="J3981">
        <v>-194.43960000000001</v>
      </c>
      <c r="K3981">
        <v>1.1001449999999999</v>
      </c>
      <c r="L3981">
        <v>155.59100000000001</v>
      </c>
      <c r="M3981">
        <v>-0.39814850000000002</v>
      </c>
      <c r="N3981">
        <v>0</v>
      </c>
      <c r="O3981">
        <v>-0.91720210000000002</v>
      </c>
      <c r="P3981">
        <v>-0.72469220000000001</v>
      </c>
      <c r="Q3981">
        <v>0.12753909999999999</v>
      </c>
      <c r="R3981">
        <v>-0.67716739999999997</v>
      </c>
      <c r="S3981">
        <v>-2.4672999999999998</v>
      </c>
      <c r="T3981">
        <v>-0.23564550000000001</v>
      </c>
      <c r="U3981">
        <v>-1.8394010000000001</v>
      </c>
      <c r="V3981">
        <v>0.39837430000000001</v>
      </c>
      <c r="W3981">
        <v>0.131492</v>
      </c>
      <c r="X3981">
        <v>0.90774880000000002</v>
      </c>
      <c r="Y3981">
        <v>0.49483260000000001</v>
      </c>
      <c r="Z3981">
        <v>7.8118229999999997E-2</v>
      </c>
      <c r="AA3981">
        <v>0.86546999999999996</v>
      </c>
      <c r="AB3981">
        <v>29</v>
      </c>
      <c r="AC3981">
        <v>-11.420499999999899</v>
      </c>
      <c r="AD3981">
        <v>-1.100154209374</v>
      </c>
      <c r="AE3981">
        <v>-8.3785000000000007</v>
      </c>
      <c r="AF3981">
        <v>7.0969833930195199</v>
      </c>
      <c r="AG3981">
        <v>-1.100154209374</v>
      </c>
      <c r="AH3981">
        <v>12.1598092463305</v>
      </c>
      <c r="AI3981">
        <v>94.467987783230299</v>
      </c>
      <c r="AJ3981">
        <v>59.730341226967901</v>
      </c>
      <c r="AK3981">
        <v>14.1222687084031</v>
      </c>
      <c r="AL3981">
        <v>82.444182632663797</v>
      </c>
      <c r="AM3981">
        <v>66.305269250864797</v>
      </c>
      <c r="AN3981">
        <v>1.0000000564329601</v>
      </c>
    </row>
    <row r="3982" spans="1:40" x14ac:dyDescent="0.25">
      <c r="A3982" t="str">
        <f>"20190312173009336"</f>
        <v>20190312173009336</v>
      </c>
      <c r="B3982" t="str">
        <f>"1552383009331355"</f>
        <v>1552383009331355</v>
      </c>
      <c r="C3982" t="s">
        <v>40</v>
      </c>
      <c r="D3982">
        <v>3.3917730000000001</v>
      </c>
      <c r="E3982">
        <v>0.54758790000000002</v>
      </c>
      <c r="F3982" t="s">
        <v>51</v>
      </c>
      <c r="G3982">
        <v>-205.93559999999999</v>
      </c>
      <c r="H3982" s="1">
        <v>-9.1714699999999998E-6</v>
      </c>
      <c r="I3982">
        <v>147.19579999999999</v>
      </c>
      <c r="J3982">
        <v>-194.58879999999999</v>
      </c>
      <c r="K3982">
        <v>1.1000430000000001</v>
      </c>
      <c r="L3982">
        <v>155.2868</v>
      </c>
      <c r="M3982">
        <v>-0.41176000000000001</v>
      </c>
      <c r="N3982">
        <v>0</v>
      </c>
      <c r="O3982">
        <v>-0.91117190000000003</v>
      </c>
      <c r="P3982">
        <v>-0.7343826</v>
      </c>
      <c r="Q3982">
        <v>0.12774569999999999</v>
      </c>
      <c r="R3982">
        <v>-0.66660580000000003</v>
      </c>
      <c r="S3982">
        <v>-2.4854889999999998</v>
      </c>
      <c r="T3982">
        <v>-0.2378595</v>
      </c>
      <c r="U3982">
        <v>-1.8151090000000001</v>
      </c>
      <c r="V3982">
        <v>0.39800400000000002</v>
      </c>
      <c r="W3982">
        <v>0.1316447</v>
      </c>
      <c r="X3982">
        <v>0.9078891</v>
      </c>
      <c r="Y3982">
        <v>0.49039779999999999</v>
      </c>
      <c r="Z3982">
        <v>7.8571219999999997E-2</v>
      </c>
      <c r="AA3982">
        <v>0.86794959999999899</v>
      </c>
      <c r="AB3982">
        <v>29</v>
      </c>
      <c r="AC3982">
        <v>-11.3468</v>
      </c>
      <c r="AD3982">
        <v>-1.10005217147</v>
      </c>
      <c r="AE3982">
        <v>-8.0909999999999993</v>
      </c>
      <c r="AF3982">
        <v>6.9647083422387102</v>
      </c>
      <c r="AG3982">
        <v>-1.10005217147</v>
      </c>
      <c r="AH3982">
        <v>11.971181769811</v>
      </c>
      <c r="AI3982">
        <v>94.541322087335601</v>
      </c>
      <c r="AJ3982">
        <v>59.809603058044601</v>
      </c>
      <c r="AK3982">
        <v>13.893396634310101</v>
      </c>
      <c r="AL3982">
        <v>82.435356907158607</v>
      </c>
      <c r="AM3982">
        <v>66.328126654400293</v>
      </c>
      <c r="AN3982">
        <v>1.00000006447644</v>
      </c>
    </row>
    <row r="3983" spans="1:40" x14ac:dyDescent="0.25">
      <c r="A3983" t="str">
        <f>"20190312173009355"</f>
        <v>20190312173009355</v>
      </c>
      <c r="B3983" t="str">
        <f>"1552383009351853"</f>
        <v>1552383009351853</v>
      </c>
      <c r="C3983" t="s">
        <v>40</v>
      </c>
      <c r="D3983">
        <v>3.4184079999999999</v>
      </c>
      <c r="E3983">
        <v>0.547377</v>
      </c>
      <c r="F3983" t="s">
        <v>51</v>
      </c>
      <c r="G3983">
        <v>-206.1909</v>
      </c>
      <c r="H3983" s="1">
        <v>-9.0262380000000007E-6</v>
      </c>
      <c r="I3983">
        <v>147.0744</v>
      </c>
      <c r="J3983">
        <v>-194.70079999999999</v>
      </c>
      <c r="K3983">
        <v>1.0999669999999999</v>
      </c>
      <c r="L3983">
        <v>155.0659</v>
      </c>
      <c r="M3983">
        <v>-0.42174509999999998</v>
      </c>
      <c r="N3983">
        <v>0</v>
      </c>
      <c r="O3983">
        <v>-0.90659299999999998</v>
      </c>
      <c r="P3983">
        <v>-0.74162309999999998</v>
      </c>
      <c r="Q3983">
        <v>0.1284352</v>
      </c>
      <c r="R3983">
        <v>-0.65840690000000002</v>
      </c>
      <c r="S3983">
        <v>-2.5123139999999999</v>
      </c>
      <c r="T3983">
        <v>-0.2382061</v>
      </c>
      <c r="U3983">
        <v>-1.778305</v>
      </c>
      <c r="V3983">
        <v>0.39804659999999997</v>
      </c>
      <c r="W3983">
        <v>0.13228799999999999</v>
      </c>
      <c r="X3983">
        <v>0.9077769</v>
      </c>
      <c r="Y3983">
        <v>0.4936683</v>
      </c>
      <c r="Z3983">
        <v>7.8593270000000007E-2</v>
      </c>
      <c r="AA3983">
        <v>0.86609169999999902</v>
      </c>
      <c r="AB3983">
        <v>29</v>
      </c>
      <c r="AC3983">
        <v>-11.4901</v>
      </c>
      <c r="AD3983">
        <v>-1.0999760262379901</v>
      </c>
      <c r="AE3983">
        <v>-7.9915000000000003</v>
      </c>
      <c r="AF3983">
        <v>7.0039821737896402</v>
      </c>
      <c r="AG3983">
        <v>-1.0999760262379901</v>
      </c>
      <c r="AH3983">
        <v>12.018030077534</v>
      </c>
      <c r="AI3983">
        <v>94.5214226432565</v>
      </c>
      <c r="AJ3983">
        <v>59.766815225544001</v>
      </c>
      <c r="AK3983">
        <v>13.953449770346101</v>
      </c>
      <c r="AL3983">
        <v>82.398173264651405</v>
      </c>
      <c r="AM3983">
        <v>66.323267451843606</v>
      </c>
      <c r="AN3983">
        <v>1.00000005544458</v>
      </c>
    </row>
    <row r="3984" spans="1:40" x14ac:dyDescent="0.25">
      <c r="A3984" t="str">
        <f>"20190312173009376"</f>
        <v>20190312173009376</v>
      </c>
      <c r="B3984" t="str">
        <f>"1552383009371371"</f>
        <v>1552383009371371</v>
      </c>
      <c r="C3984" t="s">
        <v>40</v>
      </c>
      <c r="D3984">
        <v>3.3873259999999998</v>
      </c>
      <c r="E3984">
        <v>0.54727389999999998</v>
      </c>
      <c r="F3984" t="s">
        <v>51</v>
      </c>
      <c r="G3984">
        <v>-206.48599999999999</v>
      </c>
      <c r="H3984" s="1">
        <v>-8.8518859999999906E-6</v>
      </c>
      <c r="I3984">
        <v>146.90969999999999</v>
      </c>
      <c r="J3984">
        <v>-194.82839999999999</v>
      </c>
      <c r="K3984">
        <v>1.099901</v>
      </c>
      <c r="L3984">
        <v>154.82149999999999</v>
      </c>
      <c r="M3984">
        <v>-0.43288870000000002</v>
      </c>
      <c r="N3984">
        <v>0</v>
      </c>
      <c r="O3984">
        <v>-0.90132489999999998</v>
      </c>
      <c r="P3984">
        <v>-0.74963310000000005</v>
      </c>
      <c r="Q3984">
        <v>0.12877249999999901</v>
      </c>
      <c r="R3984">
        <v>-0.6492057</v>
      </c>
      <c r="S3984">
        <v>-2.5309910000000002</v>
      </c>
      <c r="T3984">
        <v>-0.23623179999999999</v>
      </c>
      <c r="U3984">
        <v>-1.751633</v>
      </c>
      <c r="V3984">
        <v>0.39803699999999997</v>
      </c>
      <c r="W3984">
        <v>0.132581</v>
      </c>
      <c r="X3984">
        <v>0.9077383</v>
      </c>
      <c r="Y3984">
        <v>0.49217420000000001</v>
      </c>
      <c r="Z3984">
        <v>7.7737909999999993E-2</v>
      </c>
      <c r="AA3984">
        <v>0.86701859999999997</v>
      </c>
      <c r="AB3984">
        <v>29</v>
      </c>
      <c r="AC3984">
        <v>-11.6576</v>
      </c>
      <c r="AD3984">
        <v>-1.099909851886</v>
      </c>
      <c r="AE3984">
        <v>-7.9117999999999897</v>
      </c>
      <c r="AF3984">
        <v>7.0402293165788601</v>
      </c>
      <c r="AG3984">
        <v>-1.099909851886</v>
      </c>
      <c r="AH3984">
        <v>12.105111607403201</v>
      </c>
      <c r="AI3984">
        <v>94.491090428621305</v>
      </c>
      <c r="AJ3984">
        <v>59.818083717216602</v>
      </c>
      <c r="AK3984">
        <v>14.046649334983099</v>
      </c>
      <c r="AL3984">
        <v>82.381235978890103</v>
      </c>
      <c r="AM3984">
        <v>66.322879636476301</v>
      </c>
      <c r="AN3984">
        <v>0.99999999810844498</v>
      </c>
    </row>
    <row r="3985" spans="1:40" x14ac:dyDescent="0.25">
      <c r="A3985" t="str">
        <f>"20190312173009398"</f>
        <v>20190312173009398</v>
      </c>
      <c r="B3985" t="str">
        <f>"1552383009391868"</f>
        <v>1552383009391868</v>
      </c>
      <c r="C3985" t="s">
        <v>40</v>
      </c>
      <c r="D3985">
        <v>3.4908760000000001</v>
      </c>
      <c r="E3985">
        <v>0.56336929999999996</v>
      </c>
      <c r="F3985" t="s">
        <v>51</v>
      </c>
      <c r="G3985">
        <v>-206.73419999999999</v>
      </c>
      <c r="H3985" s="1">
        <v>-8.7110069999999992E-6</v>
      </c>
      <c r="I3985">
        <v>146.79300000000001</v>
      </c>
      <c r="J3985">
        <v>-194.96860000000001</v>
      </c>
      <c r="K3985">
        <v>1.0998319999999999</v>
      </c>
      <c r="L3985">
        <v>154.56120000000001</v>
      </c>
      <c r="M3985">
        <v>-0.44486150000000002</v>
      </c>
      <c r="N3985">
        <v>0</v>
      </c>
      <c r="O3985">
        <v>-0.89547540000000003</v>
      </c>
      <c r="P3985">
        <v>-0.75804930000000004</v>
      </c>
      <c r="Q3985">
        <v>0.12943940000000001</v>
      </c>
      <c r="R3985">
        <v>-0.63922349999999994</v>
      </c>
      <c r="S3985">
        <v>-2.552063</v>
      </c>
      <c r="T3985">
        <v>-0.2357706</v>
      </c>
      <c r="U3985">
        <v>-1.720947</v>
      </c>
      <c r="V3985">
        <v>0.39789629999999998</v>
      </c>
      <c r="W3985">
        <v>0.1332082</v>
      </c>
      <c r="X3985">
        <v>0.90770819999999997</v>
      </c>
      <c r="Y3985">
        <v>0.49109059999999999</v>
      </c>
      <c r="Z3985">
        <v>7.735744E-2</v>
      </c>
      <c r="AA3985">
        <v>0.86766690000000002</v>
      </c>
      <c r="AB3985">
        <v>29</v>
      </c>
      <c r="AC3985">
        <v>-11.7655999999999</v>
      </c>
      <c r="AD3985">
        <v>-1.0998407110070001</v>
      </c>
      <c r="AE3985">
        <v>-7.7682000000000002</v>
      </c>
      <c r="AF3985">
        <v>7.0379884785593898</v>
      </c>
      <c r="AG3985">
        <v>-1.0998407110070001</v>
      </c>
      <c r="AH3985">
        <v>12.1179041044696</v>
      </c>
      <c r="AI3985">
        <v>94.487638729242704</v>
      </c>
      <c r="AJ3985">
        <v>59.852299173665799</v>
      </c>
      <c r="AK3985">
        <v>14.056547630874499</v>
      </c>
      <c r="AL3985">
        <v>82.344978737946903</v>
      </c>
      <c r="AM3985">
        <v>66.3296301487958</v>
      </c>
      <c r="AN3985">
        <v>1.0000000332240799</v>
      </c>
    </row>
    <row r="3986" spans="1:40" x14ac:dyDescent="0.25">
      <c r="A3986" t="str">
        <f>"20190312173009422"</f>
        <v>20190312173009422</v>
      </c>
      <c r="B3986" t="str">
        <f>"1552383009411387"</f>
        <v>1552383009411387</v>
      </c>
      <c r="C3986" t="s">
        <v>40</v>
      </c>
      <c r="D3986">
        <v>3.4790969999999999</v>
      </c>
      <c r="E3986">
        <v>0.57370480000000001</v>
      </c>
      <c r="F3986" t="s">
        <v>51</v>
      </c>
      <c r="G3986">
        <v>-208.1438</v>
      </c>
      <c r="H3986" s="1">
        <v>-8.0574250000000002E-6</v>
      </c>
      <c r="I3986">
        <v>146.68520000000001</v>
      </c>
      <c r="J3986">
        <v>-195.11359999999999</v>
      </c>
      <c r="K3986">
        <v>1.0997669999999999</v>
      </c>
      <c r="L3986">
        <v>154.3005</v>
      </c>
      <c r="M3986">
        <v>-0.45696160000000002</v>
      </c>
      <c r="N3986">
        <v>0</v>
      </c>
      <c r="O3986">
        <v>-0.88936130000000002</v>
      </c>
      <c r="P3986">
        <v>-0.76637270000000002</v>
      </c>
      <c r="Q3986">
        <v>0.13003299999999901</v>
      </c>
      <c r="R3986">
        <v>-0.62909809999999999</v>
      </c>
      <c r="S3986">
        <v>-2.6563569999999999</v>
      </c>
      <c r="T3986">
        <v>-0.22174659999999999</v>
      </c>
      <c r="U3986">
        <v>-1.587952</v>
      </c>
      <c r="V3986">
        <v>0.39759250000000002</v>
      </c>
      <c r="W3986">
        <v>0.133772</v>
      </c>
      <c r="X3986">
        <v>0.90775839999999997</v>
      </c>
      <c r="Y3986">
        <v>0.52647719999999998</v>
      </c>
      <c r="Z3986">
        <v>7.2900499999999993E-2</v>
      </c>
      <c r="AA3986">
        <v>0.84705810000000004</v>
      </c>
      <c r="AB3986">
        <v>29</v>
      </c>
      <c r="AC3986">
        <v>-13.030200000000001</v>
      </c>
      <c r="AD3986">
        <v>-1.099775057425</v>
      </c>
      <c r="AE3986">
        <v>-7.6152999999999897</v>
      </c>
      <c r="AF3986">
        <v>8.0667242015381699</v>
      </c>
      <c r="AG3986">
        <v>-1.099775057425</v>
      </c>
      <c r="AH3986">
        <v>12.6612396045378</v>
      </c>
      <c r="AI3986">
        <v>94.189813217434406</v>
      </c>
      <c r="AJ3986">
        <v>57.497988294789401</v>
      </c>
      <c r="AK3986">
        <v>15.052857962663801</v>
      </c>
      <c r="AL3986">
        <v>82.312383619627894</v>
      </c>
      <c r="AM3986">
        <v>66.346882003661605</v>
      </c>
      <c r="AN3986">
        <v>1.0000000284054</v>
      </c>
    </row>
    <row r="3987" spans="1:40" x14ac:dyDescent="0.25">
      <c r="A3987" t="str">
        <f>"20190312173009445"</f>
        <v>20190312173009445</v>
      </c>
      <c r="B3987" t="str">
        <f>"1552383009441643"</f>
        <v>1552383009441643</v>
      </c>
      <c r="C3987" t="s">
        <v>40</v>
      </c>
      <c r="D3987">
        <v>3.4317709999999999</v>
      </c>
      <c r="E3987">
        <v>0.57872559999999995</v>
      </c>
      <c r="F3987" t="s">
        <v>51</v>
      </c>
      <c r="G3987">
        <v>-209.0009</v>
      </c>
      <c r="H3987" s="1">
        <v>-7.6878559999999993E-6</v>
      </c>
      <c r="I3987">
        <v>146.72499999999999</v>
      </c>
      <c r="J3987">
        <v>-195.26390000000001</v>
      </c>
      <c r="K3987">
        <v>1.0997110000000001</v>
      </c>
      <c r="L3987">
        <v>154.0393</v>
      </c>
      <c r="M3987">
        <v>-0.4691862</v>
      </c>
      <c r="N3987">
        <v>0</v>
      </c>
      <c r="O3987">
        <v>-0.8829728</v>
      </c>
      <c r="P3987">
        <v>-0.77471800000000002</v>
      </c>
      <c r="Q3987">
        <v>0.1305538</v>
      </c>
      <c r="R3987">
        <v>-0.61868239999999997</v>
      </c>
      <c r="S3987">
        <v>-2.7291259999999999</v>
      </c>
      <c r="T3987">
        <v>-0.2161275</v>
      </c>
      <c r="U3987">
        <v>-1.488739</v>
      </c>
      <c r="V3987">
        <v>0.39729370000000003</v>
      </c>
      <c r="W3987">
        <v>0.13426950000000001</v>
      </c>
      <c r="X3987">
        <v>0.90781579999999995</v>
      </c>
      <c r="Y3987">
        <v>0.54810609999999904</v>
      </c>
      <c r="Z3987">
        <v>7.0996459999999997E-2</v>
      </c>
      <c r="AA3987">
        <v>0.83339019999999997</v>
      </c>
      <c r="AB3987">
        <v>29</v>
      </c>
      <c r="AC3987">
        <v>-13.736999999999901</v>
      </c>
      <c r="AD3987">
        <v>-1.0997186878559999</v>
      </c>
      <c r="AE3987">
        <v>-7.3143000000000002</v>
      </c>
      <c r="AF3987">
        <v>8.6553818584751401</v>
      </c>
      <c r="AG3987">
        <v>-1.0997186878559999</v>
      </c>
      <c r="AH3987">
        <v>12.8408625989121</v>
      </c>
      <c r="AI3987">
        <v>94.062076429997603</v>
      </c>
      <c r="AJ3987">
        <v>56.018064874379597</v>
      </c>
      <c r="AK3987">
        <v>15.524585939489</v>
      </c>
      <c r="AL3987">
        <v>82.283619679049096</v>
      </c>
      <c r="AM3987">
        <v>66.364038560167799</v>
      </c>
      <c r="AN3987">
        <v>1.00000005470978</v>
      </c>
    </row>
    <row r="3988" spans="1:40" x14ac:dyDescent="0.25">
      <c r="A3988" t="str">
        <f>"20190312173009467"</f>
        <v>20190312173009467</v>
      </c>
      <c r="B3988" t="str">
        <f>"1552383009461163"</f>
        <v>1552383009461163</v>
      </c>
      <c r="C3988" t="s">
        <v>40</v>
      </c>
      <c r="D3988">
        <v>3.4204460000000001</v>
      </c>
      <c r="E3988">
        <v>0.580071</v>
      </c>
      <c r="F3988" t="s">
        <v>51</v>
      </c>
      <c r="G3988">
        <v>-209.76679999999999</v>
      </c>
      <c r="H3988" s="1">
        <v>-7.3185429999999996E-6</v>
      </c>
      <c r="I3988">
        <v>146.61259999999999</v>
      </c>
      <c r="J3988">
        <v>-195.40780000000001</v>
      </c>
      <c r="K3988">
        <v>1.0996680000000001</v>
      </c>
      <c r="L3988">
        <v>153.7971</v>
      </c>
      <c r="M3988">
        <v>-0.48060069999999999</v>
      </c>
      <c r="N3988">
        <v>0</v>
      </c>
      <c r="O3988">
        <v>-0.87681189999999998</v>
      </c>
      <c r="P3988">
        <v>-0.78278610000000004</v>
      </c>
      <c r="Q3988">
        <v>0.1309892</v>
      </c>
      <c r="R3988">
        <v>-0.60834849999999996</v>
      </c>
      <c r="S3988">
        <v>-2.7735750000000001</v>
      </c>
      <c r="T3988">
        <v>-0.2103131</v>
      </c>
      <c r="U3988">
        <v>-1.420288</v>
      </c>
      <c r="V3988">
        <v>0.39752520000000002</v>
      </c>
      <c r="W3988">
        <v>0.1346735</v>
      </c>
      <c r="X3988">
        <v>0.90765450000000003</v>
      </c>
      <c r="Y3988">
        <v>0.55912439999999997</v>
      </c>
      <c r="Z3988">
        <v>6.8982280000000007E-2</v>
      </c>
      <c r="AA3988">
        <v>0.82620910000000003</v>
      </c>
      <c r="AB3988">
        <v>29</v>
      </c>
      <c r="AC3988">
        <v>-14.358999999999901</v>
      </c>
      <c r="AD3988">
        <v>-1.0996753185429999</v>
      </c>
      <c r="AE3988">
        <v>-7.1845000000000097</v>
      </c>
      <c r="AF3988">
        <v>9.0956232375102601</v>
      </c>
      <c r="AG3988">
        <v>-1.0996753185429999</v>
      </c>
      <c r="AH3988">
        <v>13.140239701014201</v>
      </c>
      <c r="AI3988">
        <v>93.936368900168901</v>
      </c>
      <c r="AJ3988">
        <v>55.309167220987597</v>
      </c>
      <c r="AK3988">
        <v>16.018912175458698</v>
      </c>
      <c r="AL3988">
        <v>82.260259312348097</v>
      </c>
      <c r="AM3988">
        <v>66.348036239462104</v>
      </c>
      <c r="AN3988">
        <v>0.99999996380376899</v>
      </c>
    </row>
    <row r="3989" spans="1:40" x14ac:dyDescent="0.25">
      <c r="A3989" t="str">
        <f>"20190312173009489"</f>
        <v>20190312173009489</v>
      </c>
      <c r="B3989" t="str">
        <f>"1552383009481659"</f>
        <v>1552383009481659</v>
      </c>
      <c r="C3989" t="s">
        <v>40</v>
      </c>
      <c r="D3989">
        <v>3.4470070000000002</v>
      </c>
      <c r="E3989">
        <v>0.58066770000000001</v>
      </c>
      <c r="F3989" t="s">
        <v>41</v>
      </c>
      <c r="G3989">
        <v>-210.1422</v>
      </c>
      <c r="H3989" s="1">
        <v>-5.8875979999999997E-6</v>
      </c>
      <c r="I3989">
        <v>146.5557</v>
      </c>
      <c r="J3989">
        <v>-195.56039999999999</v>
      </c>
      <c r="K3989">
        <v>1.0996360000000001</v>
      </c>
      <c r="L3989">
        <v>153.5479</v>
      </c>
      <c r="M3989">
        <v>-0.49241239999999997</v>
      </c>
      <c r="N3989">
        <v>0</v>
      </c>
      <c r="O3989">
        <v>-0.87023300000000003</v>
      </c>
      <c r="P3989">
        <v>-0.79071059999999904</v>
      </c>
      <c r="Q3989">
        <v>0.1310634</v>
      </c>
      <c r="R3989">
        <v>-0.59799590000000002</v>
      </c>
      <c r="S3989">
        <v>-2.7985380000000002</v>
      </c>
      <c r="T3989">
        <v>-0.20886279999999999</v>
      </c>
      <c r="U3989">
        <v>-1.3753660000000001</v>
      </c>
      <c r="V3989">
        <v>0.39719769999999999</v>
      </c>
      <c r="W3989">
        <v>0.13474159999999999</v>
      </c>
      <c r="X3989">
        <v>0.90778780000000003</v>
      </c>
      <c r="Y3989">
        <v>0.56157460000000003</v>
      </c>
      <c r="Z3989">
        <v>6.8317119999999995E-2</v>
      </c>
      <c r="AA3989">
        <v>0.82460100000000003</v>
      </c>
      <c r="AB3989">
        <v>29</v>
      </c>
      <c r="AC3989">
        <v>-14.581799999999999</v>
      </c>
      <c r="AD3989">
        <v>-1.0996418875980001</v>
      </c>
      <c r="AE3989">
        <v>-6.9921999999999898</v>
      </c>
      <c r="AF3989">
        <v>9.2049939680626895</v>
      </c>
      <c r="AG3989">
        <v>-1.0996418875980001</v>
      </c>
      <c r="AH3989">
        <v>13.2055323323378</v>
      </c>
      <c r="AI3989">
        <v>93.9079672274557</v>
      </c>
      <c r="AJ3989">
        <v>55.121348283264801</v>
      </c>
      <c r="AK3989">
        <v>16.134658670497199</v>
      </c>
      <c r="AL3989">
        <v>82.256321866546898</v>
      </c>
      <c r="AM3989">
        <v>66.3684747936517</v>
      </c>
      <c r="AN3989">
        <v>1.00000000074234</v>
      </c>
    </row>
    <row r="3990" spans="1:40" x14ac:dyDescent="0.25">
      <c r="A3990" t="str">
        <f>"20190312173009510"</f>
        <v>20190312173009510</v>
      </c>
      <c r="B3990" t="str">
        <f>"1552383009501183"</f>
        <v>1552383009501183</v>
      </c>
      <c r="C3990" t="s">
        <v>40</v>
      </c>
      <c r="D3990">
        <v>3.4430909999999999</v>
      </c>
      <c r="E3990">
        <v>0.58076229999999995</v>
      </c>
      <c r="F3990" t="s">
        <v>41</v>
      </c>
      <c r="G3990">
        <v>-210.3175</v>
      </c>
      <c r="H3990" s="1">
        <v>-5.8207239999999998E-6</v>
      </c>
      <c r="I3990">
        <v>146.5582</v>
      </c>
      <c r="J3990">
        <v>-195.7089</v>
      </c>
      <c r="K3990">
        <v>1.0996170000000001</v>
      </c>
      <c r="L3990">
        <v>153.3125</v>
      </c>
      <c r="M3990">
        <v>-0.50361909999999999</v>
      </c>
      <c r="N3990">
        <v>0</v>
      </c>
      <c r="O3990">
        <v>-0.8637956</v>
      </c>
      <c r="P3990">
        <v>-0.79832689999999995</v>
      </c>
      <c r="Q3990">
        <v>0.130996</v>
      </c>
      <c r="R3990">
        <v>-0.58780459999999901</v>
      </c>
      <c r="S3990">
        <v>-2.819061</v>
      </c>
      <c r="T3990">
        <v>-0.21006540000000001</v>
      </c>
      <c r="U3990">
        <v>-1.335251</v>
      </c>
      <c r="V3990">
        <v>0.39712389999999997</v>
      </c>
      <c r="W3990">
        <v>0.13466879999999901</v>
      </c>
      <c r="X3990">
        <v>0.9078309</v>
      </c>
      <c r="Y3990">
        <v>0.5627837</v>
      </c>
      <c r="Z3990">
        <v>6.8513359999999995E-2</v>
      </c>
      <c r="AA3990">
        <v>0.82376000000000005</v>
      </c>
      <c r="AB3990">
        <v>28</v>
      </c>
      <c r="AC3990">
        <v>-14.6085999999999</v>
      </c>
      <c r="AD3990">
        <v>-1.099622820724</v>
      </c>
      <c r="AE3990">
        <v>-6.7542999999999997</v>
      </c>
      <c r="AF3990">
        <v>9.1754554792969607</v>
      </c>
      <c r="AG3990">
        <v>-1.099622820724</v>
      </c>
      <c r="AH3990">
        <v>13.1316894222287</v>
      </c>
      <c r="AI3990">
        <v>93.926736415232</v>
      </c>
      <c r="AJ3990">
        <v>55.056991155698398</v>
      </c>
      <c r="AK3990">
        <v>16.057379010358101</v>
      </c>
      <c r="AL3990">
        <v>82.260531440428807</v>
      </c>
      <c r="AM3990">
        <v>66.373383234616199</v>
      </c>
      <c r="AN3990">
        <v>1.00000001031973</v>
      </c>
    </row>
    <row r="3991" spans="1:40" x14ac:dyDescent="0.25">
      <c r="A3991" t="str">
        <f>"20190312173009532"</f>
        <v>20190312173009532</v>
      </c>
      <c r="B3991" t="str">
        <f>"1552383009521678"</f>
        <v>1552383009521678</v>
      </c>
      <c r="C3991" t="s">
        <v>40</v>
      </c>
      <c r="D3991">
        <v>3.4412630000000002</v>
      </c>
      <c r="E3991">
        <v>0.58058509999999997</v>
      </c>
      <c r="F3991" t="s">
        <v>41</v>
      </c>
      <c r="G3991">
        <v>-210.47579999999999</v>
      </c>
      <c r="H3991" s="1">
        <v>-5.7589999999999901E-6</v>
      </c>
      <c r="I3991">
        <v>146.55289999999999</v>
      </c>
      <c r="J3991">
        <v>-195.86349999999999</v>
      </c>
      <c r="K3991">
        <v>1.099604</v>
      </c>
      <c r="L3991">
        <v>153.0745</v>
      </c>
      <c r="M3991">
        <v>-0.51499289999999998</v>
      </c>
      <c r="N3991">
        <v>0</v>
      </c>
      <c r="O3991">
        <v>-0.85706299999999902</v>
      </c>
      <c r="P3991">
        <v>-0.80575439999999998</v>
      </c>
      <c r="Q3991">
        <v>0.13133929999999999</v>
      </c>
      <c r="R3991">
        <v>-0.57750330000000005</v>
      </c>
      <c r="S3991">
        <v>-2.8365019999999999</v>
      </c>
      <c r="T3991">
        <v>-0.21122150000000001</v>
      </c>
      <c r="U3991">
        <v>-1.2984309999999999</v>
      </c>
      <c r="V3991">
        <v>0.39674809999999999</v>
      </c>
      <c r="W3991">
        <v>0.1350227</v>
      </c>
      <c r="X3991">
        <v>0.90794269999999999</v>
      </c>
      <c r="Y3991">
        <v>0.56261190000000005</v>
      </c>
      <c r="Z3991">
        <v>6.8662479999999998E-2</v>
      </c>
      <c r="AA3991">
        <v>0.82386479999999995</v>
      </c>
      <c r="AB3991">
        <v>28</v>
      </c>
      <c r="AC3991">
        <v>-14.612299999999999</v>
      </c>
      <c r="AD3991">
        <v>-1.099609759</v>
      </c>
      <c r="AE3991">
        <v>-6.5216000000000003</v>
      </c>
      <c r="AF3991">
        <v>9.1230352284346594</v>
      </c>
      <c r="AG3991">
        <v>-1.099609759</v>
      </c>
      <c r="AH3991">
        <v>13.0544837242933</v>
      </c>
      <c r="AI3991">
        <v>93.949623510120205</v>
      </c>
      <c r="AJ3991">
        <v>55.052492794928099</v>
      </c>
      <c r="AK3991">
        <v>15.964286977788399</v>
      </c>
      <c r="AL3991">
        <v>82.240067989651706</v>
      </c>
      <c r="AM3991">
        <v>66.395883398635803</v>
      </c>
      <c r="AN3991">
        <v>1.0000000654260901</v>
      </c>
    </row>
    <row r="3992" spans="1:40" x14ac:dyDescent="0.25">
      <c r="A3992" t="str">
        <f>"20190312173009555"</f>
        <v>20190312173009555</v>
      </c>
      <c r="B3992" t="str">
        <f>"1552383009551931"</f>
        <v>1552383009551931</v>
      </c>
      <c r="C3992" t="s">
        <v>40</v>
      </c>
      <c r="D3992">
        <v>3.4700690000000001</v>
      </c>
      <c r="E3992">
        <v>0.58009259999999996</v>
      </c>
      <c r="F3992" t="s">
        <v>41</v>
      </c>
      <c r="G3992">
        <v>-210.779</v>
      </c>
      <c r="H3992" s="1">
        <v>-5.6280670000000001E-6</v>
      </c>
      <c r="I3992">
        <v>146.471</v>
      </c>
      <c r="J3992">
        <v>-196.0273</v>
      </c>
      <c r="K3992">
        <v>1.0995980000000001</v>
      </c>
      <c r="L3992">
        <v>152.8296</v>
      </c>
      <c r="M3992">
        <v>-0.52673099999999995</v>
      </c>
      <c r="N3992">
        <v>0</v>
      </c>
      <c r="O3992">
        <v>-0.84989919999999997</v>
      </c>
      <c r="P3992">
        <v>-0.81353589999999998</v>
      </c>
      <c r="Q3992">
        <v>0.13081760000000001</v>
      </c>
      <c r="R3992">
        <v>-0.56660909999999998</v>
      </c>
      <c r="S3992">
        <v>-2.8523860000000001</v>
      </c>
      <c r="T3992">
        <v>-0.21028630000000001</v>
      </c>
      <c r="U3992">
        <v>-1.2628330000000001</v>
      </c>
      <c r="V3992">
        <v>0.3965381</v>
      </c>
      <c r="W3992">
        <v>0.134513299999999</v>
      </c>
      <c r="X3992">
        <v>0.90810999999999997</v>
      </c>
      <c r="Y3992">
        <v>0.56158260000000004</v>
      </c>
      <c r="Z3992">
        <v>6.8100720000000003E-2</v>
      </c>
      <c r="AA3992">
        <v>0.8246135</v>
      </c>
      <c r="AB3992">
        <v>28</v>
      </c>
      <c r="AC3992">
        <v>-14.7517</v>
      </c>
      <c r="AD3992">
        <v>-1.0996036280669901</v>
      </c>
      <c r="AE3992">
        <v>-6.3585999999999903</v>
      </c>
      <c r="AF3992">
        <v>9.1463663723293198</v>
      </c>
      <c r="AG3992">
        <v>-1.0996036280669901</v>
      </c>
      <c r="AH3992">
        <v>13.114383864611501</v>
      </c>
      <c r="AI3992">
        <v>93.934218460305004</v>
      </c>
      <c r="AJ3992">
        <v>55.106919972251802</v>
      </c>
      <c r="AK3992">
        <v>16.026609438808801</v>
      </c>
      <c r="AL3992">
        <v>82.269522915309807</v>
      </c>
      <c r="AM3992">
        <v>66.410883365962306</v>
      </c>
      <c r="AN3992">
        <v>1.00000003236424</v>
      </c>
    </row>
    <row r="3993" spans="1:40" x14ac:dyDescent="0.25">
      <c r="A3993" t="str">
        <f>"20190312173009577"</f>
        <v>20190312173009577</v>
      </c>
      <c r="B3993" t="str">
        <f>"1552383009571451"</f>
        <v>1552383009571451</v>
      </c>
      <c r="C3993" t="s">
        <v>40</v>
      </c>
      <c r="D3993">
        <v>3.4664139999999999</v>
      </c>
      <c r="E3993">
        <v>0.57956540000000001</v>
      </c>
      <c r="F3993" t="s">
        <v>41</v>
      </c>
      <c r="G3993">
        <v>-210.79910000000001</v>
      </c>
      <c r="H3993" s="1">
        <v>-5.62675E-6</v>
      </c>
      <c r="I3993">
        <v>146.50710000000001</v>
      </c>
      <c r="J3993">
        <v>-196.18620000000001</v>
      </c>
      <c r="K3993">
        <v>1.0995999999999999</v>
      </c>
      <c r="L3993">
        <v>152.59880000000001</v>
      </c>
      <c r="M3993">
        <v>-0.5378153</v>
      </c>
      <c r="N3993">
        <v>0</v>
      </c>
      <c r="O3993">
        <v>-0.84292869999999998</v>
      </c>
      <c r="P3993">
        <v>-0.82042469999999901</v>
      </c>
      <c r="Q3993">
        <v>0.131107</v>
      </c>
      <c r="R3993">
        <v>-0.55652000000000001</v>
      </c>
      <c r="S3993">
        <v>-2.8672179999999998</v>
      </c>
      <c r="T3993">
        <v>-0.21343490000000001</v>
      </c>
      <c r="U3993">
        <v>-1.227203</v>
      </c>
      <c r="V3993">
        <v>0.39582699999999998</v>
      </c>
      <c r="W3993">
        <v>0.1348346</v>
      </c>
      <c r="X3993">
        <v>0.90837250000000003</v>
      </c>
      <c r="Y3993">
        <v>0.56089899999999904</v>
      </c>
      <c r="Z3993">
        <v>6.8872000000000003E-2</v>
      </c>
      <c r="AA3993">
        <v>0.82501460000000004</v>
      </c>
      <c r="AB3993">
        <v>28</v>
      </c>
      <c r="AC3993">
        <v>-14.6128999999999</v>
      </c>
      <c r="AD3993">
        <v>-1.0996056267499901</v>
      </c>
      <c r="AE3993">
        <v>-6.0917000000000003</v>
      </c>
      <c r="AF3993">
        <v>8.9990328066814893</v>
      </c>
      <c r="AG3993">
        <v>-1.0996056267499901</v>
      </c>
      <c r="AH3993">
        <v>12.9329882749965</v>
      </c>
      <c r="AI3993">
        <v>93.992233178913807</v>
      </c>
      <c r="AJ3993">
        <v>55.169028753709199</v>
      </c>
      <c r="AK3993">
        <v>15.7941099689507</v>
      </c>
      <c r="AL3993">
        <v>82.250944209857906</v>
      </c>
      <c r="AM3993">
        <v>66.454640131198502</v>
      </c>
      <c r="AN3993">
        <v>0.99999999102120496</v>
      </c>
    </row>
    <row r="3994" spans="1:40" x14ac:dyDescent="0.25">
      <c r="A3994" t="str">
        <f>"20190312173009599"</f>
        <v>20190312173009599</v>
      </c>
      <c r="B3994" t="str">
        <f>"1552383009591948"</f>
        <v>1552383009591948</v>
      </c>
      <c r="C3994" t="s">
        <v>40</v>
      </c>
      <c r="D3994">
        <v>3.4623940000000002</v>
      </c>
      <c r="E3994">
        <v>0.57895929999999995</v>
      </c>
      <c r="F3994" t="s">
        <v>41</v>
      </c>
      <c r="G3994">
        <v>-211.03530000000001</v>
      </c>
      <c r="H3994" s="1">
        <v>-5.5234049999999998E-6</v>
      </c>
      <c r="I3994">
        <v>146.4359</v>
      </c>
      <c r="J3994">
        <v>-196.35499999999999</v>
      </c>
      <c r="K3994">
        <v>1.09961</v>
      </c>
      <c r="L3994">
        <v>152.3605</v>
      </c>
      <c r="M3994">
        <v>-0.54928269999999901</v>
      </c>
      <c r="N3994">
        <v>0</v>
      </c>
      <c r="O3994">
        <v>-0.8355013</v>
      </c>
      <c r="P3994">
        <v>-0.82781269999999996</v>
      </c>
      <c r="Q3994">
        <v>0.13187279999999901</v>
      </c>
      <c r="R3994">
        <v>-0.54528520000000003</v>
      </c>
      <c r="S3994">
        <v>-2.8799290000000002</v>
      </c>
      <c r="T3994">
        <v>-0.2132648</v>
      </c>
      <c r="U3994">
        <v>-1.195282</v>
      </c>
      <c r="V3994">
        <v>0.39571260000000003</v>
      </c>
      <c r="W3994">
        <v>0.13561609999999999</v>
      </c>
      <c r="X3994">
        <v>0.90830599999999995</v>
      </c>
      <c r="Y3994">
        <v>0.55870339999999996</v>
      </c>
      <c r="Z3994">
        <v>6.8512450000000003E-2</v>
      </c>
      <c r="AA3994">
        <v>0.82653279999999996</v>
      </c>
      <c r="AB3994">
        <v>28</v>
      </c>
      <c r="AC3994">
        <v>-14.680300000000001</v>
      </c>
      <c r="AD3994">
        <v>-1.099615523405</v>
      </c>
      <c r="AE3994">
        <v>-5.9245999999999901</v>
      </c>
      <c r="AF3994">
        <v>8.9688752326117598</v>
      </c>
      <c r="AG3994">
        <v>-1.099615523405</v>
      </c>
      <c r="AH3994">
        <v>12.9526233480522</v>
      </c>
      <c r="AI3994">
        <v>93.992538345731404</v>
      </c>
      <c r="AJ3994">
        <v>55.299839690855002</v>
      </c>
      <c r="AK3994">
        <v>15.793046850876401</v>
      </c>
      <c r="AL3994">
        <v>82.205752448636602</v>
      </c>
      <c r="AM3994">
        <v>66.459168827537795</v>
      </c>
      <c r="AN3994">
        <v>0.99999998900698395</v>
      </c>
    </row>
    <row r="3995" spans="1:40" x14ac:dyDescent="0.25">
      <c r="A3995" t="str">
        <f>"20190312173009622"</f>
        <v>20190312173009622</v>
      </c>
      <c r="B3995" t="str">
        <f>"1552383009611467"</f>
        <v>1552383009611467</v>
      </c>
      <c r="C3995" t="s">
        <v>40</v>
      </c>
      <c r="D3995">
        <v>3.4783040000000001</v>
      </c>
      <c r="E3995">
        <v>0.57830150000000002</v>
      </c>
      <c r="F3995" t="s">
        <v>41</v>
      </c>
      <c r="G3995">
        <v>-211.2654</v>
      </c>
      <c r="H3995" s="1">
        <v>-5.4250099999999996E-6</v>
      </c>
      <c r="I3995">
        <v>146.3793</v>
      </c>
      <c r="J3995">
        <v>-196.5247</v>
      </c>
      <c r="K3995">
        <v>1.0996220000000001</v>
      </c>
      <c r="L3995">
        <v>152.1277</v>
      </c>
      <c r="M3995">
        <v>-0.56049780000000005</v>
      </c>
      <c r="N3995">
        <v>0</v>
      </c>
      <c r="O3995">
        <v>-0.82801939999999996</v>
      </c>
      <c r="P3995">
        <v>-0.83492520000000003</v>
      </c>
      <c r="Q3995">
        <v>0.1323821</v>
      </c>
      <c r="R3995">
        <v>-0.53420529999999999</v>
      </c>
      <c r="S3995">
        <v>-2.893478</v>
      </c>
      <c r="T3995">
        <v>-0.21338950000000001</v>
      </c>
      <c r="U3995">
        <v>-1.16069</v>
      </c>
      <c r="V3995">
        <v>0.39551239999999999</v>
      </c>
      <c r="W3995">
        <v>0.13614709999999999</v>
      </c>
      <c r="X3995">
        <v>0.90831379999999995</v>
      </c>
      <c r="Y3995">
        <v>0.55739069999999902</v>
      </c>
      <c r="Z3995">
        <v>6.8254880000000004E-2</v>
      </c>
      <c r="AA3995">
        <v>0.82743989999999901</v>
      </c>
      <c r="AB3995">
        <v>28</v>
      </c>
      <c r="AC3995">
        <v>-14.7407</v>
      </c>
      <c r="AD3995">
        <v>-1.09962742500999</v>
      </c>
      <c r="AE3995">
        <v>-5.7484000000000002</v>
      </c>
      <c r="AF3995">
        <v>8.94144586673535</v>
      </c>
      <c r="AG3995">
        <v>-1.09962742500999</v>
      </c>
      <c r="AH3995">
        <v>12.9607844615382</v>
      </c>
      <c r="AI3995">
        <v>93.994826275170894</v>
      </c>
      <c r="AJ3995">
        <v>55.398803228757401</v>
      </c>
      <c r="AK3995">
        <v>15.784187293619</v>
      </c>
      <c r="AL3995">
        <v>82.175043852685803</v>
      </c>
      <c r="AM3995">
        <v>66.469963820163599</v>
      </c>
      <c r="AN3995">
        <v>1.0000000253312999</v>
      </c>
    </row>
    <row r="3996" spans="1:40" x14ac:dyDescent="0.25">
      <c r="A3996" t="str">
        <f>"20190312173009650"</f>
        <v>20190312173009650</v>
      </c>
      <c r="B3996" t="str">
        <f>"1552383009641723"</f>
        <v>1552383009641723</v>
      </c>
      <c r="C3996" t="s">
        <v>40</v>
      </c>
      <c r="D3996">
        <v>3.4897930000000001</v>
      </c>
      <c r="E3996">
        <v>0.57764259999999901</v>
      </c>
      <c r="F3996" t="s">
        <v>41</v>
      </c>
      <c r="G3996">
        <v>-211.47059999999999</v>
      </c>
      <c r="H3996" s="1">
        <v>-5.337517E-6</v>
      </c>
      <c r="I3996">
        <v>146.33029999999999</v>
      </c>
      <c r="J3996">
        <v>-196.74010000000001</v>
      </c>
      <c r="K3996">
        <v>1.099639</v>
      </c>
      <c r="L3996">
        <v>151.84190000000001</v>
      </c>
      <c r="M3996">
        <v>-0.57429549999999996</v>
      </c>
      <c r="N3996">
        <v>0</v>
      </c>
      <c r="O3996">
        <v>-0.81850979999999995</v>
      </c>
      <c r="P3996">
        <v>-0.84347349999999999</v>
      </c>
      <c r="Q3996">
        <v>0.13330989999999901</v>
      </c>
      <c r="R3996">
        <v>-0.5203662</v>
      </c>
      <c r="S3996">
        <v>-2.905853</v>
      </c>
      <c r="T3996">
        <v>-0.2137947</v>
      </c>
      <c r="U3996">
        <v>-1.127151</v>
      </c>
      <c r="V3996">
        <v>0.39516440000000003</v>
      </c>
      <c r="W3996">
        <v>0.137105</v>
      </c>
      <c r="X3996">
        <v>0.90832109999999999</v>
      </c>
      <c r="Y3996">
        <v>0.5529828</v>
      </c>
      <c r="Z3996">
        <v>6.7925589999999994E-2</v>
      </c>
      <c r="AA3996">
        <v>0.83041919999999902</v>
      </c>
      <c r="AB3996">
        <v>28</v>
      </c>
      <c r="AC3996">
        <v>-14.7304999999999</v>
      </c>
      <c r="AD3996">
        <v>-1.099644337517</v>
      </c>
      <c r="AE3996">
        <v>-5.5116000000000103</v>
      </c>
      <c r="AF3996">
        <v>8.8495183166818894</v>
      </c>
      <c r="AG3996">
        <v>-1.099644337517</v>
      </c>
      <c r="AH3996">
        <v>12.909321187640501</v>
      </c>
      <c r="AI3996">
        <v>94.018927560140796</v>
      </c>
      <c r="AJ3996">
        <v>55.568823121445199</v>
      </c>
      <c r="AK3996">
        <v>15.6899256095108</v>
      </c>
      <c r="AL3996">
        <v>82.119640113729901</v>
      </c>
      <c r="AM3996">
        <v>66.488587704505605</v>
      </c>
      <c r="AN3996">
        <v>0.99999995237878303</v>
      </c>
    </row>
    <row r="3997" spans="1:40" x14ac:dyDescent="0.25">
      <c r="A3997" t="str">
        <f>"20190312173009667"</f>
        <v>20190312173009667</v>
      </c>
      <c r="B3997" t="str">
        <f>"1552383009661245"</f>
        <v>1552383009661245</v>
      </c>
      <c r="C3997" t="s">
        <v>40</v>
      </c>
      <c r="D3997">
        <v>3.4914459999999998</v>
      </c>
      <c r="E3997">
        <v>0.56799419999999901</v>
      </c>
      <c r="F3997" t="s">
        <v>41</v>
      </c>
      <c r="G3997">
        <v>-211.89240000000001</v>
      </c>
      <c r="H3997" s="1">
        <v>-5.1558020000000003E-6</v>
      </c>
      <c r="I3997">
        <v>146.2192</v>
      </c>
      <c r="J3997">
        <v>-196.8784</v>
      </c>
      <c r="K3997">
        <v>1.0996520000000001</v>
      </c>
      <c r="L3997">
        <v>151.66319999999999</v>
      </c>
      <c r="M3997">
        <v>-0.58292349999999904</v>
      </c>
      <c r="N3997">
        <v>0</v>
      </c>
      <c r="O3997">
        <v>-0.81238759999999999</v>
      </c>
      <c r="P3997">
        <v>-0.8488059</v>
      </c>
      <c r="Q3997">
        <v>0.13368859999999999</v>
      </c>
      <c r="R3997">
        <v>-0.51152319999999996</v>
      </c>
      <c r="S3997">
        <v>-2.9214169999999999</v>
      </c>
      <c r="T3997">
        <v>-0.2120147</v>
      </c>
      <c r="U3997">
        <v>-1.084076</v>
      </c>
      <c r="V3997">
        <v>0.3950031</v>
      </c>
      <c r="W3997">
        <v>0.13750270000000001</v>
      </c>
      <c r="X3997">
        <v>0.90833120000000001</v>
      </c>
      <c r="Y3997">
        <v>0.55642119999999995</v>
      </c>
      <c r="Z3997">
        <v>6.7229259999999999E-2</v>
      </c>
      <c r="AA3997">
        <v>0.82817609999999997</v>
      </c>
      <c r="AB3997">
        <v>28</v>
      </c>
      <c r="AC3997">
        <v>-15.013999999999999</v>
      </c>
      <c r="AD3997">
        <v>-1.0996571558020001</v>
      </c>
      <c r="AE3997">
        <v>-5.4439999999999804</v>
      </c>
      <c r="AF3997">
        <v>8.9821891397709095</v>
      </c>
      <c r="AG3997">
        <v>-1.0996571558020001</v>
      </c>
      <c r="AH3997">
        <v>13.1139700254187</v>
      </c>
      <c r="AI3997">
        <v>93.957525813636195</v>
      </c>
      <c r="AJ3997">
        <v>55.591474546283202</v>
      </c>
      <c r="AK3997">
        <v>15.933147128879</v>
      </c>
      <c r="AL3997">
        <v>82.096636125828795</v>
      </c>
      <c r="AM3997">
        <v>66.4973766036303</v>
      </c>
      <c r="AN3997">
        <v>1.0000000052051601</v>
      </c>
    </row>
    <row r="3998" spans="1:40" x14ac:dyDescent="0.25">
      <c r="A3998" t="str">
        <f>"20190312173009688"</f>
        <v>20190312173009688</v>
      </c>
      <c r="B3998" t="str">
        <f>"1552383009681739"</f>
        <v>1552383009681739</v>
      </c>
      <c r="C3998" t="s">
        <v>40</v>
      </c>
      <c r="D3998">
        <v>3.4673449999999999</v>
      </c>
      <c r="E3998">
        <v>0.56721779999999999</v>
      </c>
      <c r="F3998" t="s">
        <v>41</v>
      </c>
      <c r="G3998">
        <v>-210.46879999999999</v>
      </c>
      <c r="H3998" s="1">
        <v>-5.7344389999999997E-6</v>
      </c>
      <c r="I3998">
        <v>146.39920000000001</v>
      </c>
      <c r="J3998">
        <v>-197.0514</v>
      </c>
      <c r="K3998">
        <v>1.099666</v>
      </c>
      <c r="L3998">
        <v>151.44540000000001</v>
      </c>
      <c r="M3998">
        <v>-0.59345780000000004</v>
      </c>
      <c r="N3998">
        <v>0</v>
      </c>
      <c r="O3998">
        <v>-0.80472460000000001</v>
      </c>
      <c r="P3998">
        <v>-0.85529219999999895</v>
      </c>
      <c r="Q3998">
        <v>0.13327649999999999</v>
      </c>
      <c r="R3998">
        <v>-0.50071259999999995</v>
      </c>
      <c r="S3998">
        <v>-2.895416</v>
      </c>
      <c r="T3998">
        <v>-0.23428109999999999</v>
      </c>
      <c r="U3998">
        <v>-1.1215059999999999</v>
      </c>
      <c r="V3998">
        <v>0.39472960000000001</v>
      </c>
      <c r="W3998">
        <v>0.137117299999999</v>
      </c>
      <c r="X3998">
        <v>0.90850839999999999</v>
      </c>
      <c r="Y3998">
        <v>0.53312130000000002</v>
      </c>
      <c r="Z3998">
        <v>7.3514739999999995E-2</v>
      </c>
      <c r="AA3998">
        <v>0.8428388</v>
      </c>
      <c r="AB3998">
        <v>28</v>
      </c>
      <c r="AC3998">
        <v>-13.417399999999899</v>
      </c>
      <c r="AD3998">
        <v>-1.0996717344389999</v>
      </c>
      <c r="AE3998">
        <v>-5.04619999999999</v>
      </c>
      <c r="AF3998">
        <v>7.75783403222324</v>
      </c>
      <c r="AG3998">
        <v>-1.0996717344389999</v>
      </c>
      <c r="AH3998">
        <v>11.9544717729648</v>
      </c>
      <c r="AI3998">
        <v>94.412432247449701</v>
      </c>
      <c r="AJ3998">
        <v>57.018513760660099</v>
      </c>
      <c r="AK3998">
        <v>14.293448225171501</v>
      </c>
      <c r="AL3998">
        <v>82.118929525577201</v>
      </c>
      <c r="AM3998">
        <v>66.515971493740693</v>
      </c>
      <c r="AN3998">
        <v>1.0000000619730001</v>
      </c>
    </row>
    <row r="3999" spans="1:40" x14ac:dyDescent="0.25">
      <c r="A3999" t="str">
        <f>"20190312173009711"</f>
        <v>20190312173009711</v>
      </c>
      <c r="B3999" t="str">
        <f>"1552383009701263"</f>
        <v>1552383009701263</v>
      </c>
      <c r="C3999" t="s">
        <v>40</v>
      </c>
      <c r="D3999">
        <v>3.4579420000000001</v>
      </c>
      <c r="E3999">
        <v>0.56640889999999999</v>
      </c>
      <c r="F3999" t="s">
        <v>41</v>
      </c>
      <c r="G3999">
        <v>-210.53319999999999</v>
      </c>
      <c r="H3999" s="1">
        <v>-5.70824399999999E-6</v>
      </c>
      <c r="I3999">
        <v>146.39089999999999</v>
      </c>
      <c r="J3999">
        <v>-197.2406</v>
      </c>
      <c r="K3999">
        <v>1.0996870000000001</v>
      </c>
      <c r="L3999">
        <v>151.21379999999999</v>
      </c>
      <c r="M3999">
        <v>-0.6046745</v>
      </c>
      <c r="N3999">
        <v>0</v>
      </c>
      <c r="O3999">
        <v>-0.79633030000000005</v>
      </c>
      <c r="P3999">
        <v>-0.86194799999999905</v>
      </c>
      <c r="Q3999">
        <v>0.13364389999999901</v>
      </c>
      <c r="R3999">
        <v>-0.48906549999999999</v>
      </c>
      <c r="S3999">
        <v>-2.9065699999999999</v>
      </c>
      <c r="T3999">
        <v>-0.23708090000000001</v>
      </c>
      <c r="U3999">
        <v>-1.0897220000000001</v>
      </c>
      <c r="V3999">
        <v>0.39427980000000001</v>
      </c>
      <c r="W3999">
        <v>0.13751739999999901</v>
      </c>
      <c r="X3999">
        <v>0.90864319999999998</v>
      </c>
      <c r="Y3999">
        <v>0.53036989999999995</v>
      </c>
      <c r="Z3999">
        <v>7.3938879999999998E-2</v>
      </c>
      <c r="AA3999">
        <v>0.84453579999999995</v>
      </c>
      <c r="AB3999">
        <v>28</v>
      </c>
      <c r="AC3999">
        <v>-13.292599999999901</v>
      </c>
      <c r="AD3999">
        <v>-1.099692708244</v>
      </c>
      <c r="AE3999">
        <v>-4.8228999999999997</v>
      </c>
      <c r="AF3999">
        <v>7.6237765393244104</v>
      </c>
      <c r="AG3999">
        <v>-1.099692708244</v>
      </c>
      <c r="AH3999">
        <v>11.8082483371864</v>
      </c>
      <c r="AI3999">
        <v>94.473673418336503</v>
      </c>
      <c r="AJ3999">
        <v>57.152441136717698</v>
      </c>
      <c r="AK3999">
        <v>14.0984403948374</v>
      </c>
      <c r="AL3999">
        <v>82.095786000900205</v>
      </c>
      <c r="AM3999">
        <v>66.542942495577194</v>
      </c>
      <c r="AN3999">
        <v>1.0000000304485099</v>
      </c>
    </row>
    <row r="4000" spans="1:40" x14ac:dyDescent="0.25">
      <c r="A4000" t="str">
        <f>"20190312173009734"</f>
        <v>20190312173009734</v>
      </c>
      <c r="B4000" t="str">
        <f>"1552383009731516"</f>
        <v>1552383009731516</v>
      </c>
      <c r="C4000" t="s">
        <v>40</v>
      </c>
      <c r="D4000">
        <v>3.4887860000000002</v>
      </c>
      <c r="E4000">
        <v>0.56576139999999997</v>
      </c>
      <c r="F4000" t="s">
        <v>41</v>
      </c>
      <c r="G4000">
        <v>-210.7706</v>
      </c>
      <c r="H4000" s="1">
        <v>-5.6042709999999997E-6</v>
      </c>
      <c r="I4000">
        <v>146.31880000000001</v>
      </c>
      <c r="J4000">
        <v>-197.4273</v>
      </c>
      <c r="K4000">
        <v>1.0997030000000001</v>
      </c>
      <c r="L4000">
        <v>150.9914</v>
      </c>
      <c r="M4000">
        <v>-0.61545159999999999</v>
      </c>
      <c r="N4000">
        <v>0</v>
      </c>
      <c r="O4000">
        <v>-0.78803089999999998</v>
      </c>
      <c r="P4000">
        <v>-0.86815039999999999</v>
      </c>
      <c r="Q4000">
        <v>0.13432859999999999</v>
      </c>
      <c r="R4000">
        <v>-0.47777700000000001</v>
      </c>
      <c r="S4000">
        <v>-2.918228</v>
      </c>
      <c r="T4000">
        <v>-0.23718729999999999</v>
      </c>
      <c r="U4000">
        <v>-1.0557859999999999</v>
      </c>
      <c r="V4000">
        <v>0.39370119999999997</v>
      </c>
      <c r="W4000">
        <v>0.1382381</v>
      </c>
      <c r="X4000">
        <v>0.9087847</v>
      </c>
      <c r="Y4000">
        <v>0.52862909999999996</v>
      </c>
      <c r="Z4000">
        <v>7.3543120000000003E-2</v>
      </c>
      <c r="AA4000">
        <v>0.84566109999999906</v>
      </c>
      <c r="AB4000">
        <v>28</v>
      </c>
      <c r="AC4000">
        <v>-13.343299999999999</v>
      </c>
      <c r="AD4000">
        <v>-1.099708604271</v>
      </c>
      <c r="AE4000">
        <v>-4.6725999999999797</v>
      </c>
      <c r="AF4000">
        <v>7.5940911305382102</v>
      </c>
      <c r="AG4000">
        <v>-1.099708604271</v>
      </c>
      <c r="AH4000">
        <v>11.824114491795999</v>
      </c>
      <c r="AI4000">
        <v>94.474604056207994</v>
      </c>
      <c r="AJ4000">
        <v>57.289211084887498</v>
      </c>
      <c r="AK4000">
        <v>14.0957178826879</v>
      </c>
      <c r="AL4000">
        <v>82.054094659358299</v>
      </c>
      <c r="AM4000">
        <v>66.5769074875396</v>
      </c>
      <c r="AN4000">
        <v>1.0000000190635601</v>
      </c>
    </row>
    <row r="4001" spans="1:40" x14ac:dyDescent="0.25">
      <c r="A4001" t="str">
        <f>"20190312173009755"</f>
        <v>20190312173009755</v>
      </c>
      <c r="B4001" t="str">
        <f>"1552383009752011"</f>
        <v>1552383009752011</v>
      </c>
      <c r="C4001" t="s">
        <v>40</v>
      </c>
      <c r="D4001">
        <v>3.4979740000000001</v>
      </c>
      <c r="E4001">
        <v>0.56092390000000003</v>
      </c>
      <c r="F4001" t="s">
        <v>41</v>
      </c>
      <c r="G4001">
        <v>-211.00700000000001</v>
      </c>
      <c r="H4001" s="1">
        <v>-5.5011660000000003E-6</v>
      </c>
      <c r="I4001">
        <v>146.24930000000001</v>
      </c>
      <c r="J4001">
        <v>-197.60810000000001</v>
      </c>
      <c r="K4001">
        <v>1.0997269999999999</v>
      </c>
      <c r="L4001">
        <v>150.7818</v>
      </c>
      <c r="M4001">
        <v>-0.62562379999999995</v>
      </c>
      <c r="N4001">
        <v>0</v>
      </c>
      <c r="O4001">
        <v>-0.779979599999999</v>
      </c>
      <c r="P4001">
        <v>-0.8739884</v>
      </c>
      <c r="Q4001">
        <v>0.13428010000000001</v>
      </c>
      <c r="R4001">
        <v>-0.4670262</v>
      </c>
      <c r="S4001">
        <v>-2.9293670000000001</v>
      </c>
      <c r="T4001">
        <v>-0.2372243</v>
      </c>
      <c r="U4001">
        <v>-1.0229490000000001</v>
      </c>
      <c r="V4001">
        <v>0.39312340000000001</v>
      </c>
      <c r="W4001">
        <v>0.1382263</v>
      </c>
      <c r="X4001">
        <v>0.90903659999999997</v>
      </c>
      <c r="Y4001">
        <v>0.52709649999999997</v>
      </c>
      <c r="Z4001">
        <v>7.3129059999999996E-2</v>
      </c>
      <c r="AA4001">
        <v>0.84665309999999905</v>
      </c>
      <c r="AB4001">
        <v>28</v>
      </c>
      <c r="AC4001">
        <v>-13.3988999999999</v>
      </c>
      <c r="AD4001">
        <v>-1.099732501166</v>
      </c>
      <c r="AE4001">
        <v>-4.53249999999999</v>
      </c>
      <c r="AF4001">
        <v>7.57033078376136</v>
      </c>
      <c r="AG4001">
        <v>-1.099732501166</v>
      </c>
      <c r="AH4001">
        <v>11.8476623313384</v>
      </c>
      <c r="AI4001">
        <v>94.472478492699594</v>
      </c>
      <c r="AJ4001">
        <v>57.422539785397902</v>
      </c>
      <c r="AK4001">
        <v>14.1027097561816</v>
      </c>
      <c r="AL4001">
        <v>82.054777381599195</v>
      </c>
      <c r="AM4001">
        <v>66.613372248546497</v>
      </c>
      <c r="AN4001">
        <v>1.0000000288894</v>
      </c>
    </row>
    <row r="4002" spans="1:40" x14ac:dyDescent="0.25">
      <c r="A4002" t="str">
        <f>"20190312173009778"</f>
        <v>20190312173009778</v>
      </c>
      <c r="B4002" t="str">
        <f>"1552383009771531"</f>
        <v>1552383009771531</v>
      </c>
      <c r="C4002" t="s">
        <v>40</v>
      </c>
      <c r="D4002">
        <v>3.4698410000000002</v>
      </c>
      <c r="E4002">
        <v>0.55999429999999994</v>
      </c>
      <c r="F4002" t="s">
        <v>41</v>
      </c>
      <c r="G4002">
        <v>-210.69990000000001</v>
      </c>
      <c r="H4002" s="1">
        <v>-5.6123929999999998E-6</v>
      </c>
      <c r="I4002">
        <v>146.2115</v>
      </c>
      <c r="J4002">
        <v>-197.79089999999999</v>
      </c>
      <c r="K4002">
        <v>1.0997520000000001</v>
      </c>
      <c r="L4002">
        <v>150.5753</v>
      </c>
      <c r="M4002">
        <v>-0.6356562</v>
      </c>
      <c r="N4002">
        <v>0</v>
      </c>
      <c r="O4002">
        <v>-0.77182539999999999</v>
      </c>
      <c r="P4002">
        <v>-0.87969750000000002</v>
      </c>
      <c r="Q4002">
        <v>0.1342198</v>
      </c>
      <c r="R4002">
        <v>-0.45619880000000002</v>
      </c>
      <c r="S4002">
        <v>-2.9246979999999998</v>
      </c>
      <c r="T4002">
        <v>-0.2456795</v>
      </c>
      <c r="U4002">
        <v>-1.0210109999999999</v>
      </c>
      <c r="V4002">
        <v>0.39259230000000001</v>
      </c>
      <c r="W4002">
        <v>0.13820079999999901</v>
      </c>
      <c r="X4002">
        <v>0.90926989999999996</v>
      </c>
      <c r="Y4002">
        <v>0.51596759999999997</v>
      </c>
      <c r="Z4002">
        <v>7.507511E-2</v>
      </c>
      <c r="AA4002">
        <v>0.85331190000000001</v>
      </c>
      <c r="AB4002">
        <v>28</v>
      </c>
      <c r="AC4002">
        <v>-12.909000000000001</v>
      </c>
      <c r="AD4002">
        <v>-1.099757612393</v>
      </c>
      <c r="AE4002">
        <v>-4.3637999999999897</v>
      </c>
      <c r="AF4002">
        <v>7.1439007345725702</v>
      </c>
      <c r="AG4002">
        <v>-1.099757612393</v>
      </c>
      <c r="AH4002">
        <v>11.500183053248801</v>
      </c>
      <c r="AI4002">
        <v>94.6440645570203</v>
      </c>
      <c r="AJ4002">
        <v>58.151496451614101</v>
      </c>
      <c r="AK4002">
        <v>13.583040704116099</v>
      </c>
      <c r="AL4002">
        <v>82.056252056199298</v>
      </c>
      <c r="AM4002">
        <v>66.646930017660296</v>
      </c>
      <c r="AN4002">
        <v>0.99999996309296901</v>
      </c>
    </row>
    <row r="4003" spans="1:40" x14ac:dyDescent="0.25">
      <c r="A4003" t="str">
        <f>"20190312173009800"</f>
        <v>20190312173009800</v>
      </c>
      <c r="B4003" t="str">
        <f>"1552383009792030"</f>
        <v>1552383009792030</v>
      </c>
      <c r="C4003" t="s">
        <v>40</v>
      </c>
      <c r="D4003">
        <v>3.5060959999999999</v>
      </c>
      <c r="E4003">
        <v>0.55921019999999999</v>
      </c>
      <c r="F4003" t="s">
        <v>41</v>
      </c>
      <c r="G4003">
        <v>-210.92429999999999</v>
      </c>
      <c r="H4003" s="1">
        <v>-5.5133579999999997E-6</v>
      </c>
      <c r="I4003">
        <v>146.13890000000001</v>
      </c>
      <c r="J4003">
        <v>-197.9905</v>
      </c>
      <c r="K4003">
        <v>1.099777</v>
      </c>
      <c r="L4003">
        <v>150.35579999999999</v>
      </c>
      <c r="M4003">
        <v>-0.64632730000000005</v>
      </c>
      <c r="N4003">
        <v>0</v>
      </c>
      <c r="O4003">
        <v>-0.76291180000000003</v>
      </c>
      <c r="P4003">
        <v>-0.88574439999999999</v>
      </c>
      <c r="Q4003">
        <v>0.1343317</v>
      </c>
      <c r="R4003">
        <v>-0.4443105</v>
      </c>
      <c r="S4003">
        <v>-2.9338069999999998</v>
      </c>
      <c r="T4003">
        <v>-0.24567059999999999</v>
      </c>
      <c r="U4003">
        <v>-0.99101260000000002</v>
      </c>
      <c r="V4003">
        <v>0.3921751</v>
      </c>
      <c r="W4003">
        <v>0.13834569999999999</v>
      </c>
      <c r="X4003">
        <v>0.90942789999999996</v>
      </c>
      <c r="Y4003">
        <v>0.51272640000000003</v>
      </c>
      <c r="Z4003">
        <v>7.4526239999999994E-2</v>
      </c>
      <c r="AA4003">
        <v>0.8553113</v>
      </c>
      <c r="AB4003">
        <v>28</v>
      </c>
      <c r="AC4003">
        <v>-12.9337999999999</v>
      </c>
      <c r="AD4003">
        <v>-1.0997825133579999</v>
      </c>
      <c r="AE4003">
        <v>-4.2168999999999803</v>
      </c>
      <c r="AF4003">
        <v>7.0962816170983798</v>
      </c>
      <c r="AG4003">
        <v>-1.0997825133579999</v>
      </c>
      <c r="AH4003">
        <v>11.5027249871222</v>
      </c>
      <c r="AI4003">
        <v>94.652004791712102</v>
      </c>
      <c r="AJ4003">
        <v>58.328660117062803</v>
      </c>
      <c r="AK4003">
        <v>13.560214470841601</v>
      </c>
      <c r="AL4003">
        <v>82.0478694579338</v>
      </c>
      <c r="AM4003">
        <v>66.672711997082601</v>
      </c>
      <c r="AN4003">
        <v>0.99999997353345405</v>
      </c>
    </row>
    <row r="4004" spans="1:40" x14ac:dyDescent="0.25">
      <c r="A4004" t="str">
        <f>"20190312173009822"</f>
        <v>20190312173009822</v>
      </c>
      <c r="B4004" t="str">
        <f>"1552383009811547"</f>
        <v>1552383009811547</v>
      </c>
      <c r="C4004" t="s">
        <v>40</v>
      </c>
      <c r="D4004">
        <v>3.4795259999999999</v>
      </c>
      <c r="E4004">
        <v>0.55494580000000004</v>
      </c>
      <c r="F4004" t="s">
        <v>41</v>
      </c>
      <c r="G4004">
        <v>-211.16159999999999</v>
      </c>
      <c r="H4004" s="1">
        <v>-5.4107300000000001E-6</v>
      </c>
      <c r="I4004">
        <v>146.07409999999999</v>
      </c>
      <c r="J4004">
        <v>-198.1728</v>
      </c>
      <c r="K4004">
        <v>1.0997920000000001</v>
      </c>
      <c r="L4004">
        <v>150.16059999999999</v>
      </c>
      <c r="M4004">
        <v>-0.65583199999999997</v>
      </c>
      <c r="N4004">
        <v>0</v>
      </c>
      <c r="O4004">
        <v>-0.75475700000000001</v>
      </c>
      <c r="P4004">
        <v>-0.89134959999999996</v>
      </c>
      <c r="Q4004">
        <v>0.134774799999999</v>
      </c>
      <c r="R4004">
        <v>-0.43281890000000001</v>
      </c>
      <c r="S4004">
        <v>-2.9441679999999999</v>
      </c>
      <c r="T4004">
        <v>-0.24583669999999999</v>
      </c>
      <c r="U4004">
        <v>-0.95709230000000001</v>
      </c>
      <c r="V4004">
        <v>0.39250010000000002</v>
      </c>
      <c r="W4004">
        <v>0.138794899999999</v>
      </c>
      <c r="X4004">
        <v>0.90921929999999995</v>
      </c>
      <c r="Y4004">
        <v>0.51179750000000002</v>
      </c>
      <c r="Z4004">
        <v>7.4129539999999994E-2</v>
      </c>
      <c r="AA4004">
        <v>0.85590200000000005</v>
      </c>
      <c r="AB4004">
        <v>28</v>
      </c>
      <c r="AC4004">
        <v>-12.9887999999999</v>
      </c>
      <c r="AD4004">
        <v>-1.0997974107299999</v>
      </c>
      <c r="AE4004">
        <v>-4.0865</v>
      </c>
      <c r="AF4004">
        <v>7.0779615399441997</v>
      </c>
      <c r="AG4004">
        <v>-1.0997974107299999</v>
      </c>
      <c r="AH4004">
        <v>11.5288866597298</v>
      </c>
      <c r="AI4004">
        <v>94.647726799602793</v>
      </c>
      <c r="AJ4004">
        <v>58.452871690362699</v>
      </c>
      <c r="AK4004">
        <v>13.5728523722346</v>
      </c>
      <c r="AL4004">
        <v>82.021882043280598</v>
      </c>
      <c r="AM4004">
        <v>66.650666880380598</v>
      </c>
      <c r="AN4004">
        <v>1.00000004412925</v>
      </c>
    </row>
    <row r="4005" spans="1:40" x14ac:dyDescent="0.25">
      <c r="A4005" t="str">
        <f>"20190312173009847"</f>
        <v>20190312173009847</v>
      </c>
      <c r="B4005" t="str">
        <f>"1552383009841805"</f>
        <v>1552383009841805</v>
      </c>
      <c r="C4005" t="s">
        <v>40</v>
      </c>
      <c r="D4005">
        <v>3.4842</v>
      </c>
      <c r="E4005">
        <v>0.5543903</v>
      </c>
      <c r="F4005" t="s">
        <v>41</v>
      </c>
      <c r="G4005">
        <v>-211.32339999999999</v>
      </c>
      <c r="H4005" s="1">
        <v>-5.319972E-6</v>
      </c>
      <c r="I4005">
        <v>145.9128</v>
      </c>
      <c r="J4005">
        <v>-198.38849999999999</v>
      </c>
      <c r="K4005">
        <v>1.0998220000000001</v>
      </c>
      <c r="L4005">
        <v>149.93620000000001</v>
      </c>
      <c r="M4005">
        <v>-0.66678230000000005</v>
      </c>
      <c r="N4005">
        <v>0</v>
      </c>
      <c r="O4005">
        <v>-0.74510069999999995</v>
      </c>
      <c r="P4005">
        <v>-0.89751550000000002</v>
      </c>
      <c r="Q4005">
        <v>0.13518379999999999</v>
      </c>
      <c r="R4005">
        <v>-0.41975170000000001</v>
      </c>
      <c r="S4005">
        <v>-2.9415279999999999</v>
      </c>
      <c r="T4005">
        <v>-0.24600150000000001</v>
      </c>
      <c r="U4005">
        <v>-0.95013429999999999</v>
      </c>
      <c r="V4005">
        <v>0.3924628</v>
      </c>
      <c r="W4005">
        <v>0.13922499999999999</v>
      </c>
      <c r="X4005">
        <v>0.90916960000000002</v>
      </c>
      <c r="Y4005">
        <v>0.50086889999999995</v>
      </c>
      <c r="Z4005">
        <v>7.3403090000000004E-2</v>
      </c>
      <c r="AA4005">
        <v>0.86240490000000003</v>
      </c>
      <c r="AB4005">
        <v>28</v>
      </c>
      <c r="AC4005">
        <v>-12.934900000000001</v>
      </c>
      <c r="AD4005">
        <v>-1.0998273199719999</v>
      </c>
      <c r="AE4005">
        <v>-4.0233999999999996</v>
      </c>
      <c r="AF4005">
        <v>6.9103058359593099</v>
      </c>
      <c r="AG4005">
        <v>-1.0998273199719999</v>
      </c>
      <c r="AH4005">
        <v>11.547793352722699</v>
      </c>
      <c r="AI4005">
        <v>94.672175692696499</v>
      </c>
      <c r="AJ4005">
        <v>59.103309519069597</v>
      </c>
      <c r="AK4005">
        <v>13.5023508396662</v>
      </c>
      <c r="AL4005">
        <v>81.996997216373799</v>
      </c>
      <c r="AM4005">
        <v>66.651508584069305</v>
      </c>
      <c r="AN4005">
        <v>1.0000000057864999</v>
      </c>
    </row>
    <row r="4006" spans="1:40" x14ac:dyDescent="0.25">
      <c r="A4006" t="str">
        <f>"20190312173009868"</f>
        <v>20190312173009868</v>
      </c>
      <c r="B4006" t="str">
        <f>"1552383009861323"</f>
        <v>1552383009861323</v>
      </c>
      <c r="C4006" t="s">
        <v>40</v>
      </c>
      <c r="D4006">
        <v>3.6001400000000001</v>
      </c>
      <c r="E4006">
        <v>0.5715249</v>
      </c>
      <c r="F4006" t="s">
        <v>41</v>
      </c>
      <c r="G4006">
        <v>-211.44370000000001</v>
      </c>
      <c r="H4006" s="1">
        <v>-5.2729059999999997E-6</v>
      </c>
      <c r="I4006">
        <v>145.90799999999999</v>
      </c>
      <c r="J4006">
        <v>-198.58009999999999</v>
      </c>
      <c r="K4006">
        <v>1.09985</v>
      </c>
      <c r="L4006">
        <v>149.74209999999999</v>
      </c>
      <c r="M4006">
        <v>-0.67626200000000003</v>
      </c>
      <c r="N4006">
        <v>0</v>
      </c>
      <c r="O4006">
        <v>-0.73650760000000004</v>
      </c>
      <c r="P4006">
        <v>-0.90234380000000003</v>
      </c>
      <c r="Q4006">
        <v>0.1358743</v>
      </c>
      <c r="R4006">
        <v>-0.40904049999999997</v>
      </c>
      <c r="S4006">
        <v>-2.9537960000000001</v>
      </c>
      <c r="T4006">
        <v>-0.24883930000000001</v>
      </c>
      <c r="U4006">
        <v>-0.91139219999999999</v>
      </c>
      <c r="V4006">
        <v>0.39158140000000002</v>
      </c>
      <c r="W4006">
        <v>0.13995829999999901</v>
      </c>
      <c r="X4006">
        <v>0.90943700000000005</v>
      </c>
      <c r="Y4006">
        <v>0.50109049999999999</v>
      </c>
      <c r="Z4006">
        <v>7.3769089999999995E-2</v>
      </c>
      <c r="AA4006">
        <v>0.86224500000000004</v>
      </c>
      <c r="AB4006">
        <v>28</v>
      </c>
      <c r="AC4006">
        <v>-12.8636</v>
      </c>
      <c r="AD4006">
        <v>-1.099855272906</v>
      </c>
      <c r="AE4006">
        <v>-3.8340999999999998</v>
      </c>
      <c r="AF4006">
        <v>6.8361635234726998</v>
      </c>
      <c r="AG4006">
        <v>-1.099855272906</v>
      </c>
      <c r="AH4006">
        <v>11.4474530781472</v>
      </c>
      <c r="AI4006">
        <v>94.715609646434999</v>
      </c>
      <c r="AJ4006">
        <v>59.155293561915599</v>
      </c>
      <c r="AK4006">
        <v>13.378602143624001</v>
      </c>
      <c r="AL4006">
        <v>81.954566644844405</v>
      </c>
      <c r="AM4006">
        <v>66.704466935978601</v>
      </c>
      <c r="AN4006">
        <v>0.999999987766924</v>
      </c>
    </row>
    <row r="4007" spans="1:40" x14ac:dyDescent="0.25">
      <c r="A4007" t="str">
        <f>"20190312173009889"</f>
        <v>20190312173009889</v>
      </c>
      <c r="B4007" t="str">
        <f>"1552383009881822"</f>
        <v>1552383009881822</v>
      </c>
      <c r="C4007" t="s">
        <v>40</v>
      </c>
      <c r="D4007">
        <v>3.5850870000000001</v>
      </c>
      <c r="E4007">
        <v>0.58036829999999995</v>
      </c>
      <c r="F4007" t="s">
        <v>41</v>
      </c>
      <c r="G4007">
        <v>-212.4751</v>
      </c>
      <c r="H4007" s="1">
        <v>-4.9436699999999901E-6</v>
      </c>
      <c r="I4007">
        <v>146.28460000000001</v>
      </c>
      <c r="J4007">
        <v>-198.77590000000001</v>
      </c>
      <c r="K4007">
        <v>1.0998779999999999</v>
      </c>
      <c r="L4007">
        <v>149.5489</v>
      </c>
      <c r="M4007">
        <v>-0.68571349999999998</v>
      </c>
      <c r="N4007">
        <v>0</v>
      </c>
      <c r="O4007">
        <v>-0.72771609999999998</v>
      </c>
      <c r="P4007">
        <v>-0.90712340000000002</v>
      </c>
      <c r="Q4007">
        <v>0.13627040000000001</v>
      </c>
      <c r="R4007">
        <v>-0.39819300000000002</v>
      </c>
      <c r="S4007">
        <v>-3.0200040000000001</v>
      </c>
      <c r="T4007">
        <v>-0.2390478</v>
      </c>
      <c r="U4007">
        <v>-0.75146480000000004</v>
      </c>
      <c r="V4007">
        <v>0.39070149999999998</v>
      </c>
      <c r="W4007">
        <v>0.14039839999999901</v>
      </c>
      <c r="X4007">
        <v>0.90974759999999999</v>
      </c>
      <c r="Y4007">
        <v>0.53748699999999905</v>
      </c>
      <c r="Z4007">
        <v>7.1138140000000002E-2</v>
      </c>
      <c r="AA4007">
        <v>0.84026599999999996</v>
      </c>
      <c r="AB4007">
        <v>28</v>
      </c>
      <c r="AC4007">
        <v>-13.6991999999999</v>
      </c>
      <c r="AD4007">
        <v>-1.0998829436699999</v>
      </c>
      <c r="AE4007">
        <v>-3.2642999999999902</v>
      </c>
      <c r="AF4007">
        <v>7.6847528596558501</v>
      </c>
      <c r="AG4007">
        <v>-1.0998829436699999</v>
      </c>
      <c r="AH4007">
        <v>11.699178716792099</v>
      </c>
      <c r="AI4007">
        <v>94.492947737913497</v>
      </c>
      <c r="AJ4007">
        <v>56.700585578818199</v>
      </c>
      <c r="AK4007">
        <v>14.0405110893873</v>
      </c>
      <c r="AL4007">
        <v>81.929099691980497</v>
      </c>
      <c r="AM4007">
        <v>66.758343082523496</v>
      </c>
      <c r="AN4007">
        <v>1.0000000342652799</v>
      </c>
    </row>
    <row r="4008" spans="1:40" x14ac:dyDescent="0.25">
      <c r="A4008" t="str">
        <f>"20190312173009912"</f>
        <v>20190312173009912</v>
      </c>
      <c r="B4008" t="str">
        <f>"1552383009901339"</f>
        <v>1552383009901339</v>
      </c>
      <c r="C4008" t="s">
        <v>40</v>
      </c>
      <c r="D4008">
        <v>3.5589360000000001</v>
      </c>
      <c r="E4008">
        <v>0.58296110000000001</v>
      </c>
      <c r="F4008" t="s">
        <v>41</v>
      </c>
      <c r="G4008">
        <v>-213.77010000000001</v>
      </c>
      <c r="H4008" s="1">
        <v>-4.4598489999999999E-6</v>
      </c>
      <c r="I4008">
        <v>146.36070000000001</v>
      </c>
      <c r="J4008">
        <v>-198.98419999999999</v>
      </c>
      <c r="K4008">
        <v>1.099898</v>
      </c>
      <c r="L4008">
        <v>149.34870000000001</v>
      </c>
      <c r="M4008">
        <v>-0.69551960000000002</v>
      </c>
      <c r="N4008">
        <v>0</v>
      </c>
      <c r="O4008">
        <v>-0.71834969999999998</v>
      </c>
      <c r="P4008">
        <v>-0.91211889999999995</v>
      </c>
      <c r="Q4008">
        <v>0.13658989999999999</v>
      </c>
      <c r="R4008">
        <v>-0.38649990000000001</v>
      </c>
      <c r="S4008">
        <v>-3.0556179999999999</v>
      </c>
      <c r="T4008">
        <v>-0.22414110000000001</v>
      </c>
      <c r="U4008">
        <v>-0.64970399999999995</v>
      </c>
      <c r="V4008">
        <v>0.39002199999999998</v>
      </c>
      <c r="W4008">
        <v>0.1407562</v>
      </c>
      <c r="X4008">
        <v>0.90998380000000001</v>
      </c>
      <c r="Y4008">
        <v>0.55522199999999999</v>
      </c>
      <c r="Z4008">
        <v>6.6576029999999994E-2</v>
      </c>
      <c r="AA4008">
        <v>0.82903329999999997</v>
      </c>
      <c r="AB4008">
        <v>28</v>
      </c>
      <c r="AC4008">
        <v>-14.7859</v>
      </c>
      <c r="AD4008">
        <v>-1.0999024598489999</v>
      </c>
      <c r="AE4008">
        <v>-2.9879999999999902</v>
      </c>
      <c r="AF4008">
        <v>8.4990152336011207</v>
      </c>
      <c r="AG4008">
        <v>-1.0999024598489999</v>
      </c>
      <c r="AH4008">
        <v>12.365973952354</v>
      </c>
      <c r="AI4008">
        <v>94.192414645151601</v>
      </c>
      <c r="AJ4008">
        <v>55.4996324397354</v>
      </c>
      <c r="AK4008">
        <v>15.0452769051441</v>
      </c>
      <c r="AL4008">
        <v>81.908393303636302</v>
      </c>
      <c r="AM4008">
        <v>66.799869937558498</v>
      </c>
      <c r="AN4008">
        <v>0.99999999229243997</v>
      </c>
    </row>
    <row r="4009" spans="1:40" x14ac:dyDescent="0.25">
      <c r="A4009" t="str">
        <f>"20190312173009935"</f>
        <v>20190312173009935</v>
      </c>
      <c r="B4009" t="str">
        <f>"1552383009931596"</f>
        <v>1552383009931596</v>
      </c>
      <c r="C4009" t="s">
        <v>40</v>
      </c>
      <c r="D4009">
        <v>3.5274890000000001</v>
      </c>
      <c r="E4009">
        <v>0.58504330000000004</v>
      </c>
      <c r="F4009" t="s">
        <v>41</v>
      </c>
      <c r="G4009">
        <v>-214.5111</v>
      </c>
      <c r="H4009" s="1">
        <v>-4.1756289999999996E-6</v>
      </c>
      <c r="I4009">
        <v>146.36250000000001</v>
      </c>
      <c r="J4009">
        <v>-199.19290000000001</v>
      </c>
      <c r="K4009">
        <v>1.099925</v>
      </c>
      <c r="L4009">
        <v>149.15350000000001</v>
      </c>
      <c r="M4009">
        <v>-0.70509339999999998</v>
      </c>
      <c r="N4009">
        <v>0</v>
      </c>
      <c r="O4009">
        <v>-0.708955</v>
      </c>
      <c r="P4009">
        <v>-0.91676670000000005</v>
      </c>
      <c r="Q4009">
        <v>0.137409</v>
      </c>
      <c r="R4009">
        <v>-0.37504349999999997</v>
      </c>
      <c r="S4009">
        <v>-3.0713200000000001</v>
      </c>
      <c r="T4009">
        <v>-0.2175685</v>
      </c>
      <c r="U4009">
        <v>-0.59069819999999995</v>
      </c>
      <c r="V4009">
        <v>0.3891384</v>
      </c>
      <c r="W4009">
        <v>0.1416191</v>
      </c>
      <c r="X4009">
        <v>0.91022820000000004</v>
      </c>
      <c r="Y4009">
        <v>0.56041409999999903</v>
      </c>
      <c r="Z4009">
        <v>6.4271830000000002E-2</v>
      </c>
      <c r="AA4009">
        <v>0.82571489999999903</v>
      </c>
      <c r="AB4009">
        <v>28</v>
      </c>
      <c r="AC4009">
        <v>-15.3181999999999</v>
      </c>
      <c r="AD4009">
        <v>-1.0999291756289999</v>
      </c>
      <c r="AE4009">
        <v>-2.7909999999999902</v>
      </c>
      <c r="AF4009">
        <v>8.8488454348988999</v>
      </c>
      <c r="AG4009">
        <v>-1.0999291756289999</v>
      </c>
      <c r="AH4009">
        <v>12.717435715571799</v>
      </c>
      <c r="AI4009">
        <v>94.060895259729406</v>
      </c>
      <c r="AJ4009">
        <v>55.169640653335399</v>
      </c>
      <c r="AK4009">
        <v>15.532066214828999</v>
      </c>
      <c r="AL4009">
        <v>81.8584527358842</v>
      </c>
      <c r="AM4009">
        <v>66.852448914814005</v>
      </c>
      <c r="AN4009">
        <v>1.0000000199573</v>
      </c>
    </row>
    <row r="4010" spans="1:40" x14ac:dyDescent="0.25">
      <c r="A4010" t="str">
        <f>"20190312173009955"</f>
        <v>20190312173009955</v>
      </c>
      <c r="B4010" t="str">
        <f>"1552383009952092"</f>
        <v>1552383009952092</v>
      </c>
      <c r="C4010" t="s">
        <v>40</v>
      </c>
      <c r="D4010">
        <v>3.5019870000000002</v>
      </c>
      <c r="E4010">
        <v>0.58561719999999995</v>
      </c>
      <c r="F4010" t="s">
        <v>41</v>
      </c>
      <c r="G4010">
        <v>-215.5403</v>
      </c>
      <c r="H4010" s="1">
        <v>-3.7707280000000001E-6</v>
      </c>
      <c r="I4010">
        <v>146.3081</v>
      </c>
      <c r="J4010">
        <v>-199.39429999999999</v>
      </c>
      <c r="K4010">
        <v>1.099945</v>
      </c>
      <c r="L4010">
        <v>148.97</v>
      </c>
      <c r="M4010">
        <v>-0.71410689999999999</v>
      </c>
      <c r="N4010">
        <v>0</v>
      </c>
      <c r="O4010">
        <v>-0.69987519999999903</v>
      </c>
      <c r="P4010">
        <v>-0.92117110000000002</v>
      </c>
      <c r="Q4010">
        <v>0.1372941</v>
      </c>
      <c r="R4010">
        <v>-0.36413499999999999</v>
      </c>
      <c r="S4010">
        <v>-3.0838619999999999</v>
      </c>
      <c r="T4010">
        <v>-0.2074956</v>
      </c>
      <c r="U4010">
        <v>-0.53677369999999902</v>
      </c>
      <c r="V4010">
        <v>0.38829659999999999</v>
      </c>
      <c r="W4010">
        <v>0.14154639999999999</v>
      </c>
      <c r="X4010">
        <v>0.91059889999999999</v>
      </c>
      <c r="Y4010">
        <v>0.56467449999999997</v>
      </c>
      <c r="Z4010">
        <v>6.0969259999999997E-2</v>
      </c>
      <c r="AA4010">
        <v>0.82305859999999997</v>
      </c>
      <c r="AB4010">
        <v>28</v>
      </c>
      <c r="AC4010">
        <v>-16.146000000000001</v>
      </c>
      <c r="AD4010">
        <v>-1.099948770728</v>
      </c>
      <c r="AE4010">
        <v>-2.6619000000000002</v>
      </c>
      <c r="AF4010">
        <v>9.3580843310380004</v>
      </c>
      <c r="AG4010">
        <v>-1.099948770728</v>
      </c>
      <c r="AH4010">
        <v>13.334234588955299</v>
      </c>
      <c r="AI4010">
        <v>93.862832968839001</v>
      </c>
      <c r="AJ4010">
        <v>54.938480796045198</v>
      </c>
      <c r="AK4010">
        <v>16.327444433172602</v>
      </c>
      <c r="AL4010">
        <v>81.862660320391598</v>
      </c>
      <c r="AM4010">
        <v>66.9056829064412</v>
      </c>
      <c r="AN4010">
        <v>0.99999999480286506</v>
      </c>
    </row>
    <row r="4011" spans="1:40" x14ac:dyDescent="0.25">
      <c r="A4011" t="str">
        <f>"20190312173009979"</f>
        <v>20190312173009979</v>
      </c>
      <c r="B4011" t="str">
        <f>"1552383009971611"</f>
        <v>1552383009971611</v>
      </c>
      <c r="C4011" t="s">
        <v>40</v>
      </c>
      <c r="D4011">
        <v>3.9048129999999999</v>
      </c>
      <c r="E4011">
        <v>0.58555389999999996</v>
      </c>
      <c r="F4011" t="s">
        <v>41</v>
      </c>
      <c r="G4011">
        <v>-215.95959999999999</v>
      </c>
      <c r="H4011" s="1">
        <v>-3.6102970000000001E-6</v>
      </c>
      <c r="I4011">
        <v>146.31139999999999</v>
      </c>
      <c r="J4011">
        <v>-199.61009999999999</v>
      </c>
      <c r="K4011">
        <v>1.099974</v>
      </c>
      <c r="L4011">
        <v>148.7784</v>
      </c>
      <c r="M4011">
        <v>-0.72353210000000001</v>
      </c>
      <c r="N4011">
        <v>0</v>
      </c>
      <c r="O4011">
        <v>-0.69012709999999999</v>
      </c>
      <c r="P4011">
        <v>-0.92540020000000001</v>
      </c>
      <c r="Q4011">
        <v>0.1372833</v>
      </c>
      <c r="R4011">
        <v>-0.3532534</v>
      </c>
      <c r="S4011">
        <v>-3.0912169999999999</v>
      </c>
      <c r="T4011">
        <v>-0.2052581</v>
      </c>
      <c r="U4011">
        <v>-0.49610900000000002</v>
      </c>
      <c r="V4011">
        <v>0.38666929999999999</v>
      </c>
      <c r="W4011">
        <v>0.1416026</v>
      </c>
      <c r="X4011">
        <v>0.91128240000000005</v>
      </c>
      <c r="Y4011">
        <v>0.56443169999999898</v>
      </c>
      <c r="Z4011">
        <v>5.9848949999999998E-2</v>
      </c>
      <c r="AA4011">
        <v>0.82330729999999996</v>
      </c>
      <c r="AB4011">
        <v>28</v>
      </c>
      <c r="AC4011">
        <v>-16.349499999999999</v>
      </c>
      <c r="AD4011">
        <v>-1.099977610297</v>
      </c>
      <c r="AE4011">
        <v>-2.4670000000000099</v>
      </c>
      <c r="AF4011">
        <v>9.4574962805751195</v>
      </c>
      <c r="AG4011">
        <v>-1.099977610297</v>
      </c>
      <c r="AH4011">
        <v>13.473829159225099</v>
      </c>
      <c r="AI4011">
        <v>93.822839631128105</v>
      </c>
      <c r="AJ4011">
        <v>54.934369077057497</v>
      </c>
      <c r="AK4011">
        <v>16.4984320119286</v>
      </c>
      <c r="AL4011">
        <v>81.859407808091206</v>
      </c>
      <c r="AM4011">
        <v>67.007838736550397</v>
      </c>
      <c r="AN4011">
        <v>1.0000000282195001</v>
      </c>
    </row>
    <row r="4012" spans="1:40" x14ac:dyDescent="0.25">
      <c r="A4012" t="str">
        <f>"20190312173010001"</f>
        <v>20190312173010001</v>
      </c>
      <c r="B4012" t="str">
        <f>"1552383009991131"</f>
        <v>1552383009991131</v>
      </c>
      <c r="C4012" t="s">
        <v>40</v>
      </c>
      <c r="D4012">
        <v>3.5491739999999998</v>
      </c>
      <c r="E4012">
        <v>0.58531109999999997</v>
      </c>
      <c r="F4012" t="s">
        <v>41</v>
      </c>
      <c r="G4012">
        <v>-216.3116</v>
      </c>
      <c r="H4012" s="1">
        <v>-3.4727109999999999E-6</v>
      </c>
      <c r="I4012">
        <v>146.29769999999999</v>
      </c>
      <c r="J4012">
        <v>-199.83</v>
      </c>
      <c r="K4012">
        <v>1.100001</v>
      </c>
      <c r="L4012">
        <v>148.58840000000001</v>
      </c>
      <c r="M4012">
        <v>-0.73288769999999903</v>
      </c>
      <c r="N4012">
        <v>0</v>
      </c>
      <c r="O4012">
        <v>-0.68018350000000005</v>
      </c>
      <c r="P4012">
        <v>-0.92938140000000002</v>
      </c>
      <c r="Q4012">
        <v>0.13817550000000001</v>
      </c>
      <c r="R4012">
        <v>-0.34228320000000001</v>
      </c>
      <c r="S4012">
        <v>-3.0965579999999999</v>
      </c>
      <c r="T4012">
        <v>-0.2039427</v>
      </c>
      <c r="U4012">
        <v>-0.45993040000000002</v>
      </c>
      <c r="V4012">
        <v>0.38492500000000002</v>
      </c>
      <c r="W4012">
        <v>0.1425641</v>
      </c>
      <c r="X4012">
        <v>0.91187070000000003</v>
      </c>
      <c r="Y4012">
        <v>0.56284089999999998</v>
      </c>
      <c r="Z4012">
        <v>5.896274E-2</v>
      </c>
      <c r="AA4012">
        <v>0.82445949999999901</v>
      </c>
      <c r="AB4012">
        <v>28</v>
      </c>
      <c r="AC4012">
        <v>-16.481599999999901</v>
      </c>
      <c r="AD4012">
        <v>-1.1000044727110001</v>
      </c>
      <c r="AE4012">
        <v>-2.29070000000001</v>
      </c>
      <c r="AF4012">
        <v>9.4912870278798493</v>
      </c>
      <c r="AG4012">
        <v>-1.1000044727110001</v>
      </c>
      <c r="AH4012">
        <v>13.5794575446791</v>
      </c>
      <c r="AI4012">
        <v>93.798567793269697</v>
      </c>
      <c r="AJ4012">
        <v>55.048588031286101</v>
      </c>
      <c r="AK4012">
        <v>16.604102098376998</v>
      </c>
      <c r="AL4012">
        <v>81.803752851403601</v>
      </c>
      <c r="AM4012">
        <v>67.114091828137006</v>
      </c>
      <c r="AN4012">
        <v>0.99999997587614897</v>
      </c>
    </row>
    <row r="4013" spans="1:40" x14ac:dyDescent="0.25">
      <c r="A4013" t="str">
        <f>"20190312173010024"</f>
        <v>20190312173010024</v>
      </c>
      <c r="B4013" t="str">
        <f>"1552383010021388"</f>
        <v>1552383010021388</v>
      </c>
      <c r="C4013" t="s">
        <v>40</v>
      </c>
      <c r="D4013">
        <v>3.5457999999999998</v>
      </c>
      <c r="E4013">
        <v>0.58442299999999903</v>
      </c>
      <c r="F4013" t="s">
        <v>41</v>
      </c>
      <c r="G4013">
        <v>-216.74600000000001</v>
      </c>
      <c r="H4013" s="1">
        <v>-3.2886639999999998E-6</v>
      </c>
      <c r="I4013">
        <v>146.26859999999999</v>
      </c>
      <c r="J4013">
        <v>-200.0428</v>
      </c>
      <c r="K4013">
        <v>1.100033</v>
      </c>
      <c r="L4013">
        <v>148.40960000000001</v>
      </c>
      <c r="M4013">
        <v>-0.74171009999999904</v>
      </c>
      <c r="N4013">
        <v>0</v>
      </c>
      <c r="O4013">
        <v>-0.67055229999999999</v>
      </c>
      <c r="P4013">
        <v>-0.93313040000000003</v>
      </c>
      <c r="Q4013">
        <v>0.13969110000000001</v>
      </c>
      <c r="R4013">
        <v>-0.33129170000000002</v>
      </c>
      <c r="S4013">
        <v>-3.1012879999999998</v>
      </c>
      <c r="T4013">
        <v>-0.2016685</v>
      </c>
      <c r="U4013">
        <v>-0.42529299999999998</v>
      </c>
      <c r="V4013">
        <v>0.3836504</v>
      </c>
      <c r="W4013">
        <v>0.1441308</v>
      </c>
      <c r="X4013">
        <v>0.91216149999999996</v>
      </c>
      <c r="Y4013">
        <v>0.56133440000000001</v>
      </c>
      <c r="Z4013">
        <v>5.7819080000000002E-2</v>
      </c>
      <c r="AA4013">
        <v>0.82556689999999999</v>
      </c>
      <c r="AB4013">
        <v>28</v>
      </c>
      <c r="AC4013">
        <v>-16.703199999999899</v>
      </c>
      <c r="AD4013">
        <v>-1.1000362886640001</v>
      </c>
      <c r="AE4013">
        <v>-2.14100000000002</v>
      </c>
      <c r="AF4013">
        <v>9.5726053072211794</v>
      </c>
      <c r="AG4013">
        <v>-1.1000362886640001</v>
      </c>
      <c r="AH4013">
        <v>13.7673978036851</v>
      </c>
      <c r="AI4013">
        <v>93.753346440747706</v>
      </c>
      <c r="AJ4013">
        <v>55.188735955279697</v>
      </c>
      <c r="AK4013">
        <v>16.804347487752398</v>
      </c>
      <c r="AL4013">
        <v>81.713050672697193</v>
      </c>
      <c r="AM4013">
        <v>67.188630212051905</v>
      </c>
      <c r="AN4013">
        <v>0.99999995950552401</v>
      </c>
    </row>
    <row r="4014" spans="1:40" x14ac:dyDescent="0.25">
      <c r="A4014" t="str">
        <f>"20190312173010046"</f>
        <v>20190312173010046</v>
      </c>
      <c r="B4014" t="str">
        <f>"1552383010041884"</f>
        <v>1552383010041884</v>
      </c>
      <c r="C4014" t="s">
        <v>40</v>
      </c>
      <c r="D4014">
        <v>3.5097119999999999</v>
      </c>
      <c r="E4014">
        <v>0.58386000000000005</v>
      </c>
      <c r="F4014" t="s">
        <v>41</v>
      </c>
      <c r="G4014">
        <v>-217.10849999999999</v>
      </c>
      <c r="H4014" s="1">
        <v>-3.1074359999999998E-6</v>
      </c>
      <c r="I4014">
        <v>146.23150000000001</v>
      </c>
      <c r="J4014">
        <v>-200.26320000000001</v>
      </c>
      <c r="K4014">
        <v>1.100063</v>
      </c>
      <c r="L4014">
        <v>148.2296</v>
      </c>
      <c r="M4014">
        <v>-0.75061480000000003</v>
      </c>
      <c r="N4014">
        <v>0</v>
      </c>
      <c r="O4014">
        <v>-0.66056939999999997</v>
      </c>
      <c r="P4014">
        <v>-0.93695360000000005</v>
      </c>
      <c r="Q4014">
        <v>0.14084679999999999</v>
      </c>
      <c r="R4014">
        <v>-0.31981310000000002</v>
      </c>
      <c r="S4014">
        <v>-3.1042480000000001</v>
      </c>
      <c r="T4014">
        <v>-0.20009589999999999</v>
      </c>
      <c r="U4014">
        <v>-0.39619450000000001</v>
      </c>
      <c r="V4014">
        <v>0.38254709999999997</v>
      </c>
      <c r="W4014">
        <v>0.1453344</v>
      </c>
      <c r="X4014">
        <v>0.91243390000000002</v>
      </c>
      <c r="Y4014">
        <v>0.55803999999999998</v>
      </c>
      <c r="Z4014">
        <v>5.6818849999999997E-2</v>
      </c>
      <c r="AA4014">
        <v>0.82786649999999995</v>
      </c>
      <c r="AB4014">
        <v>28</v>
      </c>
      <c r="AC4014">
        <v>-16.845299999999899</v>
      </c>
      <c r="AD4014">
        <v>-1.1000661074359901</v>
      </c>
      <c r="AE4014">
        <v>-1.99809999999999</v>
      </c>
      <c r="AF4014">
        <v>9.5884482079873194</v>
      </c>
      <c r="AG4014">
        <v>-1.1000661074359901</v>
      </c>
      <c r="AH4014">
        <v>13.907303413471601</v>
      </c>
      <c r="AI4014">
        <v>93.725963405612902</v>
      </c>
      <c r="AJ4014">
        <v>55.415516946160203</v>
      </c>
      <c r="AK4014">
        <v>16.928129628294499</v>
      </c>
      <c r="AL4014">
        <v>81.643355945538602</v>
      </c>
      <c r="AM4014">
        <v>67.253641627787502</v>
      </c>
      <c r="AN4014">
        <v>0.99999999670549</v>
      </c>
    </row>
    <row r="4015" spans="1:40" x14ac:dyDescent="0.25">
      <c r="A4015" t="str">
        <f>"20190312173010070"</f>
        <v>20190312173010070</v>
      </c>
      <c r="B4015" t="str">
        <f>"1552383010061404"</f>
        <v>1552383010061404</v>
      </c>
      <c r="C4015" t="s">
        <v>40</v>
      </c>
      <c r="D4015">
        <v>3.504391</v>
      </c>
      <c r="E4015">
        <v>0.58331369999999905</v>
      </c>
      <c r="F4015" t="s">
        <v>41</v>
      </c>
      <c r="G4015">
        <v>-217.6165</v>
      </c>
      <c r="H4015" s="1">
        <v>-2.8607870000000001E-6</v>
      </c>
      <c r="I4015">
        <v>146.20689999999999</v>
      </c>
      <c r="J4015">
        <v>-200.49119999999999</v>
      </c>
      <c r="K4015">
        <v>1.1000939999999999</v>
      </c>
      <c r="L4015">
        <v>148.04839999999999</v>
      </c>
      <c r="M4015">
        <v>-0.75959009999999905</v>
      </c>
      <c r="N4015">
        <v>0</v>
      </c>
      <c r="O4015">
        <v>-0.6502289</v>
      </c>
      <c r="P4015">
        <v>-0.94059130000000002</v>
      </c>
      <c r="Q4015">
        <v>0.14166970000000001</v>
      </c>
      <c r="R4015">
        <v>-0.30857430000000002</v>
      </c>
      <c r="S4015">
        <v>-3.1078489999999999</v>
      </c>
      <c r="T4015">
        <v>-0.1970142</v>
      </c>
      <c r="U4015">
        <v>-0.3622437</v>
      </c>
      <c r="V4015">
        <v>0.38090269999999998</v>
      </c>
      <c r="W4015">
        <v>0.1462222</v>
      </c>
      <c r="X4015">
        <v>0.91297980000000001</v>
      </c>
      <c r="Y4015">
        <v>0.55580869999999905</v>
      </c>
      <c r="Z4015">
        <v>5.540755E-2</v>
      </c>
      <c r="AA4015">
        <v>0.82946180000000003</v>
      </c>
      <c r="AB4015">
        <v>28</v>
      </c>
      <c r="AC4015">
        <v>-17.125299999999999</v>
      </c>
      <c r="AD4015">
        <v>-1.1000968607870001</v>
      </c>
      <c r="AE4015">
        <v>-1.8414999999999899</v>
      </c>
      <c r="AF4015">
        <v>9.6981144666744399</v>
      </c>
      <c r="AG4015">
        <v>-1.1000968607870001</v>
      </c>
      <c r="AH4015">
        <v>14.149484177153001</v>
      </c>
      <c r="AI4015">
        <v>93.669379626681803</v>
      </c>
      <c r="AJ4015">
        <v>55.573100787250198</v>
      </c>
      <c r="AK4015">
        <v>17.189285610267099</v>
      </c>
      <c r="AL4015">
        <v>81.591939146093793</v>
      </c>
      <c r="AM4015">
        <v>67.353700247327694</v>
      </c>
      <c r="AN4015">
        <v>0.99999995692408405</v>
      </c>
    </row>
    <row r="4016" spans="1:40" x14ac:dyDescent="0.25">
      <c r="A4016" t="str">
        <f>"20190312173010092"</f>
        <v>20190312173010092</v>
      </c>
      <c r="B4016" t="str">
        <f>"1552383010081899"</f>
        <v>1552383010081899</v>
      </c>
      <c r="C4016" t="s">
        <v>40</v>
      </c>
      <c r="D4016">
        <v>3.550926</v>
      </c>
      <c r="E4016">
        <v>0.58270540000000004</v>
      </c>
      <c r="F4016" t="s">
        <v>41</v>
      </c>
      <c r="G4016">
        <v>-218.0788</v>
      </c>
      <c r="H4016" s="1">
        <v>-2.6376299999999999E-6</v>
      </c>
      <c r="I4016">
        <v>146.18969999999999</v>
      </c>
      <c r="J4016">
        <v>-200.71109999999999</v>
      </c>
      <c r="K4016">
        <v>1.1001270000000001</v>
      </c>
      <c r="L4016">
        <v>147.8784</v>
      </c>
      <c r="M4016">
        <v>-0.76802380000000003</v>
      </c>
      <c r="N4016">
        <v>0</v>
      </c>
      <c r="O4016">
        <v>-0.64024559999999997</v>
      </c>
      <c r="P4016">
        <v>-0.94372500000000004</v>
      </c>
      <c r="Q4016">
        <v>0.14326939999999999</v>
      </c>
      <c r="R4016">
        <v>-0.2980894</v>
      </c>
      <c r="S4016">
        <v>-3.1109309999999999</v>
      </c>
      <c r="T4016">
        <v>-0.1945875</v>
      </c>
      <c r="U4016">
        <v>-0.32878109999999999</v>
      </c>
      <c r="V4016">
        <v>0.37900050000000002</v>
      </c>
      <c r="W4016">
        <v>0.14789240000000001</v>
      </c>
      <c r="X4016">
        <v>0.91350229999999999</v>
      </c>
      <c r="Y4016">
        <v>0.55393389999999998</v>
      </c>
      <c r="Z4016">
        <v>5.4218089999999997E-2</v>
      </c>
      <c r="AA4016">
        <v>0.83079340000000002</v>
      </c>
      <c r="AB4016">
        <v>28</v>
      </c>
      <c r="AC4016">
        <v>-17.367699999999999</v>
      </c>
      <c r="AD4016">
        <v>-1.10012963763</v>
      </c>
      <c r="AE4016">
        <v>-1.6887000000000101</v>
      </c>
      <c r="AF4016">
        <v>9.7848441084122406</v>
      </c>
      <c r="AG4016">
        <v>-1.10012963763</v>
      </c>
      <c r="AH4016">
        <v>14.3645160786575</v>
      </c>
      <c r="AI4016">
        <v>93.621802169702704</v>
      </c>
      <c r="AJ4016">
        <v>55.738028890641999</v>
      </c>
      <c r="AK4016">
        <v>17.415303087214198</v>
      </c>
      <c r="AL4016">
        <v>81.495192219537003</v>
      </c>
      <c r="AM4016">
        <v>67.467058856382906</v>
      </c>
      <c r="AN4016">
        <v>0.99999999654164995</v>
      </c>
    </row>
    <row r="4017" spans="1:40" x14ac:dyDescent="0.25">
      <c r="A4017" t="str">
        <f>"20190312173010114"</f>
        <v>20190312173010114</v>
      </c>
      <c r="B4017" t="str">
        <f>"1552383010111180"</f>
        <v>1552383010111180</v>
      </c>
      <c r="C4017" t="s">
        <v>40</v>
      </c>
      <c r="D4017">
        <v>3.5128710000000001</v>
      </c>
      <c r="E4017">
        <v>0.57309009999999905</v>
      </c>
      <c r="F4017" t="s">
        <v>41</v>
      </c>
      <c r="G4017">
        <v>-218.6728</v>
      </c>
      <c r="H4017" s="1">
        <v>-2.3479150000000002E-6</v>
      </c>
      <c r="I4017">
        <v>146.15600000000001</v>
      </c>
      <c r="J4017">
        <v>-200.93389999999999</v>
      </c>
      <c r="K4017">
        <v>1.100149</v>
      </c>
      <c r="L4017">
        <v>147.7107</v>
      </c>
      <c r="M4017">
        <v>-0.77635379999999998</v>
      </c>
      <c r="N4017">
        <v>0</v>
      </c>
      <c r="O4017">
        <v>-0.63011899999999998</v>
      </c>
      <c r="P4017">
        <v>-0.94678839999999997</v>
      </c>
      <c r="Q4017">
        <v>0.14529520000000001</v>
      </c>
      <c r="R4017">
        <v>-0.2871959</v>
      </c>
      <c r="S4017">
        <v>-3.1135709999999999</v>
      </c>
      <c r="T4017">
        <v>-0.19070210000000001</v>
      </c>
      <c r="U4017">
        <v>-0.29856870000000002</v>
      </c>
      <c r="V4017">
        <v>0.37738939999999999</v>
      </c>
      <c r="W4017">
        <v>0.14997829999999901</v>
      </c>
      <c r="X4017">
        <v>0.91382909999999995</v>
      </c>
      <c r="Y4017">
        <v>0.55118259999999997</v>
      </c>
      <c r="Z4017">
        <v>5.2596339999999998E-2</v>
      </c>
      <c r="AA4017">
        <v>0.83272520000000005</v>
      </c>
      <c r="AB4017">
        <v>28</v>
      </c>
      <c r="AC4017">
        <v>-17.738900000000001</v>
      </c>
      <c r="AD4017">
        <v>-1.100151347915</v>
      </c>
      <c r="AE4017">
        <v>-1.55469999999999</v>
      </c>
      <c r="AF4017">
        <v>9.9338237400899008</v>
      </c>
      <c r="AG4017">
        <v>-1.100151347915</v>
      </c>
      <c r="AH4017">
        <v>14.6968681949339</v>
      </c>
      <c r="AI4017">
        <v>93.548832133638598</v>
      </c>
      <c r="AJ4017">
        <v>55.944675955598299</v>
      </c>
      <c r="AK4017">
        <v>17.773269868731301</v>
      </c>
      <c r="AL4017">
        <v>81.374330436706003</v>
      </c>
      <c r="AM4017">
        <v>67.560554094868195</v>
      </c>
      <c r="AN4017">
        <v>0.99999993685502797</v>
      </c>
    </row>
    <row r="4018" spans="1:40" x14ac:dyDescent="0.25">
      <c r="A4018" t="str">
        <f>"20190312173010136"</f>
        <v>20190312173010136</v>
      </c>
      <c r="B4018" t="str">
        <f>"1552383010131676"</f>
        <v>1552383010131676</v>
      </c>
      <c r="C4018" t="s">
        <v>40</v>
      </c>
      <c r="D4018">
        <v>3.537757</v>
      </c>
      <c r="E4018">
        <v>0.57216210000000001</v>
      </c>
      <c r="F4018" t="s">
        <v>41</v>
      </c>
      <c r="G4018">
        <v>-217.22219999999999</v>
      </c>
      <c r="H4018" s="1">
        <v>-2.9743839999999998E-6</v>
      </c>
      <c r="I4018">
        <v>145.93340000000001</v>
      </c>
      <c r="J4018">
        <v>-201.16220000000001</v>
      </c>
      <c r="K4018">
        <v>1.1001920000000001</v>
      </c>
      <c r="L4018">
        <v>147.5436</v>
      </c>
      <c r="M4018">
        <v>-0.7846708</v>
      </c>
      <c r="N4018">
        <v>0</v>
      </c>
      <c r="O4018">
        <v>-0.61973100000000003</v>
      </c>
      <c r="P4018">
        <v>-0.94973370000000001</v>
      </c>
      <c r="Q4018">
        <v>0.147673</v>
      </c>
      <c r="R4018">
        <v>-0.27604099999999998</v>
      </c>
      <c r="S4018">
        <v>-3.0981900000000002</v>
      </c>
      <c r="T4018">
        <v>-0.20925879999999999</v>
      </c>
      <c r="U4018">
        <v>-0.33805849999999998</v>
      </c>
      <c r="V4018">
        <v>0.37579279999999998</v>
      </c>
      <c r="W4018">
        <v>0.1524162</v>
      </c>
      <c r="X4018">
        <v>0.91408370000000005</v>
      </c>
      <c r="Y4018">
        <v>0.52864419999999901</v>
      </c>
      <c r="Z4018">
        <v>5.661596E-2</v>
      </c>
      <c r="AA4018">
        <v>0.84695330000000002</v>
      </c>
      <c r="AB4018">
        <v>28</v>
      </c>
      <c r="AC4018">
        <v>-16.059999999999899</v>
      </c>
      <c r="AD4018">
        <v>-1.100194974384</v>
      </c>
      <c r="AE4018">
        <v>-1.6101999999999901</v>
      </c>
      <c r="AF4018">
        <v>8.6501905200112095</v>
      </c>
      <c r="AG4018">
        <v>-1.100194974384</v>
      </c>
      <c r="AH4018">
        <v>13.538332912930001</v>
      </c>
      <c r="AI4018">
        <v>93.917513230918104</v>
      </c>
      <c r="AJ4018">
        <v>57.423839004052802</v>
      </c>
      <c r="AK4018">
        <v>16.103499094155701</v>
      </c>
      <c r="AL4018">
        <v>81.233024781427503</v>
      </c>
      <c r="AM4018">
        <v>67.6517396725786</v>
      </c>
      <c r="AN4018">
        <v>0.99999996857998397</v>
      </c>
    </row>
    <row r="4019" spans="1:40" x14ac:dyDescent="0.25">
      <c r="A4019" t="str">
        <f>"20190312173010158"</f>
        <v>20190312173010158</v>
      </c>
      <c r="B4019" t="str">
        <f>"1552383010151196"</f>
        <v>1552383010151196</v>
      </c>
      <c r="C4019" t="s">
        <v>40</v>
      </c>
      <c r="D4019">
        <v>3.4947180000000002</v>
      </c>
      <c r="E4019">
        <v>0.57108930000000002</v>
      </c>
      <c r="F4019" t="s">
        <v>41</v>
      </c>
      <c r="G4019">
        <v>-217.86250000000001</v>
      </c>
      <c r="H4019" s="1">
        <v>-2.6563880000000002E-6</v>
      </c>
      <c r="I4019">
        <v>145.8758</v>
      </c>
      <c r="J4019">
        <v>-201.37889999999999</v>
      </c>
      <c r="K4019">
        <v>1.100223</v>
      </c>
      <c r="L4019">
        <v>147.38910000000001</v>
      </c>
      <c r="M4019">
        <v>-0.79236249999999997</v>
      </c>
      <c r="N4019">
        <v>0</v>
      </c>
      <c r="O4019">
        <v>-0.60986640000000003</v>
      </c>
      <c r="P4019">
        <v>-0.95230530000000002</v>
      </c>
      <c r="Q4019">
        <v>0.14938599999999999</v>
      </c>
      <c r="R4019">
        <v>-0.2660805</v>
      </c>
      <c r="S4019">
        <v>-3.1005250000000002</v>
      </c>
      <c r="T4019">
        <v>-0.20425840000000001</v>
      </c>
      <c r="U4019">
        <v>-0.3096313</v>
      </c>
      <c r="V4019">
        <v>0.3737936</v>
      </c>
      <c r="W4019">
        <v>0.15420349999999999</v>
      </c>
      <c r="X4019">
        <v>0.91460350000000001</v>
      </c>
      <c r="Y4019">
        <v>0.52591960000000004</v>
      </c>
      <c r="Z4019">
        <v>5.468597E-2</v>
      </c>
      <c r="AA4019">
        <v>0.84877440000000004</v>
      </c>
      <c r="AB4019">
        <v>28</v>
      </c>
      <c r="AC4019">
        <v>-16.483599999999999</v>
      </c>
      <c r="AD4019">
        <v>-1.100225656388</v>
      </c>
      <c r="AE4019">
        <v>-1.5133000000000101</v>
      </c>
      <c r="AF4019">
        <v>8.8157592450042994</v>
      </c>
      <c r="AG4019">
        <v>-1.100225656388</v>
      </c>
      <c r="AH4019">
        <v>13.923953867664901</v>
      </c>
      <c r="AI4019">
        <v>93.819444978194298</v>
      </c>
      <c r="AJ4019">
        <v>57.6606185999063</v>
      </c>
      <c r="AK4019">
        <v>16.516797476197201</v>
      </c>
      <c r="AL4019">
        <v>81.129394920952095</v>
      </c>
      <c r="AM4019">
        <v>67.770425819830706</v>
      </c>
      <c r="AN4019">
        <v>0.99999996851272899</v>
      </c>
    </row>
    <row r="4020" spans="1:40" x14ac:dyDescent="0.25">
      <c r="A4020" t="str">
        <f>"20190312173010181"</f>
        <v>20190312173010181</v>
      </c>
      <c r="B4020" t="str">
        <f>"1552383010171695"</f>
        <v>1552383010171695</v>
      </c>
      <c r="C4020" t="s">
        <v>40</v>
      </c>
      <c r="D4020">
        <v>3.5460500000000001</v>
      </c>
      <c r="E4020">
        <v>0.5702779</v>
      </c>
      <c r="F4020" t="s">
        <v>41</v>
      </c>
      <c r="G4020">
        <v>-218.2938</v>
      </c>
      <c r="H4020" s="1">
        <v>-2.4405000000000002E-6</v>
      </c>
      <c r="I4020">
        <v>145.83070000000001</v>
      </c>
      <c r="J4020">
        <v>-201.61949999999999</v>
      </c>
      <c r="K4020">
        <v>1.100263</v>
      </c>
      <c r="L4020">
        <v>147.22229999999999</v>
      </c>
      <c r="M4020">
        <v>-0.80067349999999904</v>
      </c>
      <c r="N4020">
        <v>0</v>
      </c>
      <c r="O4020">
        <v>-0.59891340000000004</v>
      </c>
      <c r="P4020">
        <v>-0.95515470000000002</v>
      </c>
      <c r="Q4020">
        <v>0.15036749999999999</v>
      </c>
      <c r="R4020">
        <v>-0.25508649999999999</v>
      </c>
      <c r="S4020">
        <v>-3.1020509999999999</v>
      </c>
      <c r="T4020">
        <v>-0.20177220000000001</v>
      </c>
      <c r="U4020">
        <v>-0.28581240000000002</v>
      </c>
      <c r="V4020">
        <v>0.37167260000000002</v>
      </c>
      <c r="W4020">
        <v>0.15526960000000001</v>
      </c>
      <c r="X4020">
        <v>0.91528730000000003</v>
      </c>
      <c r="Y4020">
        <v>0.52080950000000004</v>
      </c>
      <c r="Z4020">
        <v>5.3311659999999997E-2</v>
      </c>
      <c r="AA4020">
        <v>0.85200669999999901</v>
      </c>
      <c r="AB4020">
        <v>27</v>
      </c>
      <c r="AC4020">
        <v>-16.674299999999999</v>
      </c>
      <c r="AD4020">
        <v>-1.1002654405000001</v>
      </c>
      <c r="AE4020">
        <v>-1.39159999999998</v>
      </c>
      <c r="AF4020">
        <v>8.8350386943454993</v>
      </c>
      <c r="AG4020">
        <v>-1.1002654405000001</v>
      </c>
      <c r="AH4020">
        <v>14.124636911122201</v>
      </c>
      <c r="AI4020">
        <v>93.778408452492798</v>
      </c>
      <c r="AJ4020">
        <v>57.973792375361697</v>
      </c>
      <c r="AK4020">
        <v>16.6965224116035</v>
      </c>
      <c r="AL4020">
        <v>81.067567554845795</v>
      </c>
      <c r="AM4020">
        <v>67.899303127764597</v>
      </c>
      <c r="AN4020">
        <v>1.0000000059081</v>
      </c>
    </row>
    <row r="4021" spans="1:40" x14ac:dyDescent="0.25">
      <c r="A4021" t="str">
        <f>"20190312173010202"</f>
        <v>20190312173010202</v>
      </c>
      <c r="B4021" t="str">
        <f>"1552383010191252"</f>
        <v>1552383010191252</v>
      </c>
      <c r="C4021" t="s">
        <v>40</v>
      </c>
      <c r="D4021">
        <v>3.5033569999999998</v>
      </c>
      <c r="E4021">
        <v>0.56478950000000006</v>
      </c>
      <c r="F4021" t="s">
        <v>41</v>
      </c>
      <c r="G4021">
        <v>-218.57509999999999</v>
      </c>
      <c r="H4021" s="1">
        <v>-2.305623E-6</v>
      </c>
      <c r="I4021">
        <v>145.8235</v>
      </c>
      <c r="J4021">
        <v>-201.84700000000001</v>
      </c>
      <c r="K4021">
        <v>1.1003069999999999</v>
      </c>
      <c r="L4021">
        <v>147.06890000000001</v>
      </c>
      <c r="M4021">
        <v>-0.80830729999999995</v>
      </c>
      <c r="N4021">
        <v>0</v>
      </c>
      <c r="O4021">
        <v>-0.58857009999999998</v>
      </c>
      <c r="P4021">
        <v>-0.95790050000000004</v>
      </c>
      <c r="Q4021">
        <v>0.1505486</v>
      </c>
      <c r="R4021">
        <v>-0.24446229999999999</v>
      </c>
      <c r="S4021">
        <v>-3.1041560000000001</v>
      </c>
      <c r="T4021">
        <v>-0.20143179999999999</v>
      </c>
      <c r="U4021">
        <v>-0.256073</v>
      </c>
      <c r="V4021">
        <v>0.37003920000000001</v>
      </c>
      <c r="W4021">
        <v>0.15552769999999999</v>
      </c>
      <c r="X4021">
        <v>0.91590510000000003</v>
      </c>
      <c r="Y4021">
        <v>0.51802720000000002</v>
      </c>
      <c r="Z4021">
        <v>5.2609400000000001E-2</v>
      </c>
      <c r="AA4021">
        <v>0.85374470000000002</v>
      </c>
      <c r="AB4021">
        <v>27</v>
      </c>
      <c r="AC4021">
        <v>-16.728099999999898</v>
      </c>
      <c r="AD4021">
        <v>-1.100309305623</v>
      </c>
      <c r="AE4021">
        <v>-1.2454000000000101</v>
      </c>
      <c r="AF4021">
        <v>8.8021137306184194</v>
      </c>
      <c r="AG4021">
        <v>-1.100309305623</v>
      </c>
      <c r="AH4021">
        <v>14.1949752282682</v>
      </c>
      <c r="AI4021">
        <v>93.769016835972906</v>
      </c>
      <c r="AJ4021">
        <v>58.197503795204099</v>
      </c>
      <c r="AK4021">
        <v>16.738733776063501</v>
      </c>
      <c r="AL4021">
        <v>81.052597726935502</v>
      </c>
      <c r="AM4021">
        <v>68.000563636420793</v>
      </c>
      <c r="AN4021">
        <v>1.00000001360497</v>
      </c>
    </row>
    <row r="4022" spans="1:40" x14ac:dyDescent="0.25">
      <c r="A4022" t="str">
        <f>"20190312173010226"</f>
        <v>20190312173010226</v>
      </c>
      <c r="B4022" t="str">
        <f>"1552383010221507"</f>
        <v>1552383010221507</v>
      </c>
      <c r="C4022" t="s">
        <v>40</v>
      </c>
      <c r="D4022">
        <v>3.5566430000000002</v>
      </c>
      <c r="E4022">
        <v>0.56393990000000005</v>
      </c>
      <c r="F4022" t="s">
        <v>41</v>
      </c>
      <c r="G4022">
        <v>-217.1482</v>
      </c>
      <c r="H4022" s="1">
        <v>-2.9633469999999999E-6</v>
      </c>
      <c r="I4022">
        <v>145.76050000000001</v>
      </c>
      <c r="J4022">
        <v>-202.0839</v>
      </c>
      <c r="K4022">
        <v>1.1003719999999999</v>
      </c>
      <c r="L4022">
        <v>146.91399999999999</v>
      </c>
      <c r="M4022">
        <v>-0.81600620000000001</v>
      </c>
      <c r="N4022">
        <v>0</v>
      </c>
      <c r="O4022">
        <v>-0.57784919999999995</v>
      </c>
      <c r="P4022">
        <v>-0.9605901</v>
      </c>
      <c r="Q4022">
        <v>0.15083079999999999</v>
      </c>
      <c r="R4022">
        <v>-0.23348859999999999</v>
      </c>
      <c r="S4022">
        <v>-3.0992579999999998</v>
      </c>
      <c r="T4022">
        <v>-0.2228678</v>
      </c>
      <c r="U4022">
        <v>-0.26501459999999999</v>
      </c>
      <c r="V4022">
        <v>0.36838120000000002</v>
      </c>
      <c r="W4022">
        <v>0.15590079999999901</v>
      </c>
      <c r="X4022">
        <v>0.91650989999999999</v>
      </c>
      <c r="Y4022">
        <v>0.50369339999999996</v>
      </c>
      <c r="Z4022">
        <v>5.7134039999999997E-2</v>
      </c>
      <c r="AA4022">
        <v>0.86199119999999996</v>
      </c>
      <c r="AB4022">
        <v>27</v>
      </c>
      <c r="AC4022">
        <v>-15.064299999999999</v>
      </c>
      <c r="AD4022">
        <v>-1.1003749633469999</v>
      </c>
      <c r="AE4022">
        <v>-1.15349999999997</v>
      </c>
      <c r="AF4022">
        <v>7.72353145551146</v>
      </c>
      <c r="AG4022">
        <v>-1.1003749633469999</v>
      </c>
      <c r="AH4022">
        <v>12.8921775338098</v>
      </c>
      <c r="AI4022">
        <v>94.187629592592998</v>
      </c>
      <c r="AJ4022">
        <v>59.074737705264901</v>
      </c>
      <c r="AK4022">
        <v>15.0689085459932</v>
      </c>
      <c r="AL4022">
        <v>81.0309573194629</v>
      </c>
      <c r="AM4022">
        <v>68.102874885038304</v>
      </c>
      <c r="AN4022">
        <v>1.00000008237604</v>
      </c>
    </row>
    <row r="4023" spans="1:40" x14ac:dyDescent="0.25">
      <c r="A4023" t="str">
        <f>"20190312173010250"</f>
        <v>20190312173010250</v>
      </c>
      <c r="B4023" t="str">
        <f>"1552383010242003"</f>
        <v>1552383010242003</v>
      </c>
      <c r="C4023" t="s">
        <v>40</v>
      </c>
      <c r="D4023">
        <v>3.5278849999999999</v>
      </c>
      <c r="E4023">
        <v>0.56302580000000002</v>
      </c>
      <c r="F4023" t="s">
        <v>41</v>
      </c>
      <c r="G4023">
        <v>-217.3109</v>
      </c>
      <c r="H4023" s="1">
        <v>-2.8846369999999998E-6</v>
      </c>
      <c r="I4023">
        <v>145.75370000000001</v>
      </c>
      <c r="J4023">
        <v>-202.33609999999999</v>
      </c>
      <c r="K4023">
        <v>1.1004579999999999</v>
      </c>
      <c r="L4023">
        <v>146.75389999999999</v>
      </c>
      <c r="M4023">
        <v>-0.82392609999999999</v>
      </c>
      <c r="N4023">
        <v>0</v>
      </c>
      <c r="O4023">
        <v>-0.5664998</v>
      </c>
      <c r="P4023">
        <v>-0.96324509999999997</v>
      </c>
      <c r="Q4023">
        <v>0.15095629999999999</v>
      </c>
      <c r="R4023">
        <v>-0.22219700000000001</v>
      </c>
      <c r="S4023">
        <v>-3.1008450000000001</v>
      </c>
      <c r="T4023">
        <v>-0.22408220000000001</v>
      </c>
      <c r="U4023">
        <v>-0.2362976</v>
      </c>
      <c r="V4023">
        <v>0.36640919999999999</v>
      </c>
      <c r="W4023">
        <v>0.1561419</v>
      </c>
      <c r="X4023">
        <v>0.91725900000000005</v>
      </c>
      <c r="Y4023">
        <v>0.49971949999999998</v>
      </c>
      <c r="Z4023">
        <v>5.6649869999999998E-2</v>
      </c>
      <c r="AA4023">
        <v>0.86433289999999996</v>
      </c>
      <c r="AB4023">
        <v>27</v>
      </c>
      <c r="AC4023">
        <v>-14.9748</v>
      </c>
      <c r="AD4023">
        <v>-1.1004608846370001</v>
      </c>
      <c r="AE4023">
        <v>-1.00019999999997</v>
      </c>
      <c r="AF4023">
        <v>7.6190242106324</v>
      </c>
      <c r="AG4023">
        <v>-1.1004608846370001</v>
      </c>
      <c r="AH4023">
        <v>12.837167543961201</v>
      </c>
      <c r="AI4023">
        <v>94.216124876100494</v>
      </c>
      <c r="AJ4023">
        <v>59.310323517179803</v>
      </c>
      <c r="AK4023">
        <v>14.968413898357699</v>
      </c>
      <c r="AL4023">
        <v>81.016971601198705</v>
      </c>
      <c r="AM4023">
        <v>68.225218101012501</v>
      </c>
      <c r="AN4023">
        <v>1.0000000339306201</v>
      </c>
    </row>
    <row r="4024" spans="1:40" x14ac:dyDescent="0.25">
      <c r="A4024" t="str">
        <f>"20190312173010273"</f>
        <v>20190312173010273</v>
      </c>
      <c r="B4024" t="str">
        <f>"1552383010261523"</f>
        <v>1552383010261523</v>
      </c>
      <c r="C4024" t="s">
        <v>40</v>
      </c>
      <c r="D4024">
        <v>3.501773</v>
      </c>
      <c r="E4024">
        <v>0.557535</v>
      </c>
      <c r="F4024" t="s">
        <v>41</v>
      </c>
      <c r="G4024">
        <v>-217.5497</v>
      </c>
      <c r="H4024" s="1">
        <v>-2.768352E-6</v>
      </c>
      <c r="I4024">
        <v>145.74090000000001</v>
      </c>
      <c r="J4024">
        <v>-202.57859999999999</v>
      </c>
      <c r="K4024">
        <v>1.1005480000000001</v>
      </c>
      <c r="L4024">
        <v>146.60419999999999</v>
      </c>
      <c r="M4024">
        <v>-0.83128139999999995</v>
      </c>
      <c r="N4024">
        <v>0</v>
      </c>
      <c r="O4024">
        <v>-0.55565120000000001</v>
      </c>
      <c r="P4024">
        <v>-0.96552119999999997</v>
      </c>
      <c r="Q4024">
        <v>0.1514691</v>
      </c>
      <c r="R4024">
        <v>-0.2117214</v>
      </c>
      <c r="S4024">
        <v>-3.1019899999999998</v>
      </c>
      <c r="T4024">
        <v>-0.22437969999999999</v>
      </c>
      <c r="U4024">
        <v>-0.206543</v>
      </c>
      <c r="V4024">
        <v>0.36427510000000002</v>
      </c>
      <c r="W4024">
        <v>0.15677959999999999</v>
      </c>
      <c r="X4024">
        <v>0.91799989999999998</v>
      </c>
      <c r="Y4024">
        <v>0.496672</v>
      </c>
      <c r="Z4024">
        <v>5.5990430000000001E-2</v>
      </c>
      <c r="AA4024">
        <v>0.86613050000000003</v>
      </c>
      <c r="AB4024">
        <v>27</v>
      </c>
      <c r="AC4024">
        <v>-14.9711</v>
      </c>
      <c r="AD4024">
        <v>-1.1005507683519999</v>
      </c>
      <c r="AE4024">
        <v>-0.86329999999998097</v>
      </c>
      <c r="AF4024">
        <v>7.5611870324644297</v>
      </c>
      <c r="AG4024">
        <v>-1.1005507683519999</v>
      </c>
      <c r="AH4024">
        <v>12.8570828783105</v>
      </c>
      <c r="AI4024">
        <v>94.2199249110202</v>
      </c>
      <c r="AJ4024">
        <v>59.540424412179497</v>
      </c>
      <c r="AK4024">
        <v>14.9561807114441</v>
      </c>
      <c r="AL4024">
        <v>80.979978209611801</v>
      </c>
      <c r="AM4024">
        <v>68.356135070692304</v>
      </c>
      <c r="AN4024">
        <v>1.0000000039280801</v>
      </c>
    </row>
    <row r="4025" spans="1:40" x14ac:dyDescent="0.25">
      <c r="A4025" t="str">
        <f>"20190312173010295"</f>
        <v>20190312173010295</v>
      </c>
      <c r="B4025" t="str">
        <f>"1552383010291311"</f>
        <v>1552383010291311</v>
      </c>
      <c r="C4025" t="s">
        <v>40</v>
      </c>
      <c r="D4025">
        <v>3.480054</v>
      </c>
      <c r="E4025">
        <v>0.55623999999999996</v>
      </c>
      <c r="F4025" t="s">
        <v>41</v>
      </c>
      <c r="G4025">
        <v>-217.7046</v>
      </c>
      <c r="H4025" s="1">
        <v>-2.6452909999999999E-6</v>
      </c>
      <c r="I4025">
        <v>145.55359999999999</v>
      </c>
      <c r="J4025">
        <v>-202.81450000000001</v>
      </c>
      <c r="K4025">
        <v>1.1006530000000001</v>
      </c>
      <c r="L4025">
        <v>146.46260000000001</v>
      </c>
      <c r="M4025">
        <v>-0.83818169999999903</v>
      </c>
      <c r="N4025">
        <v>0</v>
      </c>
      <c r="O4025">
        <v>-0.54518690000000003</v>
      </c>
      <c r="P4025">
        <v>-0.96759309999999998</v>
      </c>
      <c r="Q4025">
        <v>0.15176899999999999</v>
      </c>
      <c r="R4025">
        <v>-0.20181740000000001</v>
      </c>
      <c r="S4025">
        <v>-3.095291</v>
      </c>
      <c r="T4025">
        <v>-0.22520960000000001</v>
      </c>
      <c r="U4025">
        <v>-0.2149963</v>
      </c>
      <c r="V4025">
        <v>0.36210920000000002</v>
      </c>
      <c r="W4025">
        <v>0.157214299999999</v>
      </c>
      <c r="X4025">
        <v>0.91878219999999999</v>
      </c>
      <c r="Y4025">
        <v>0.48329650000000002</v>
      </c>
      <c r="Z4025">
        <v>5.518323E-2</v>
      </c>
      <c r="AA4025">
        <v>0.87371580000000004</v>
      </c>
      <c r="AB4025">
        <v>27</v>
      </c>
      <c r="AC4025">
        <v>-14.890099999999901</v>
      </c>
      <c r="AD4025">
        <v>-1.1006556452909999</v>
      </c>
      <c r="AE4025">
        <v>-0.90900000000002001</v>
      </c>
      <c r="AF4025">
        <v>7.3169682551391304</v>
      </c>
      <c r="AG4025">
        <v>-1.1006556452909999</v>
      </c>
      <c r="AH4025">
        <v>12.907365739806901</v>
      </c>
      <c r="AI4025">
        <v>94.242596349184197</v>
      </c>
      <c r="AJ4025">
        <v>60.451829505420903</v>
      </c>
      <c r="AK4025">
        <v>14.8778209976248</v>
      </c>
      <c r="AL4025">
        <v>80.954759594972899</v>
      </c>
      <c r="AM4025">
        <v>68.489675377187496</v>
      </c>
      <c r="AN4025">
        <v>1.0000000699429801</v>
      </c>
    </row>
    <row r="4026" spans="1:40" x14ac:dyDescent="0.25">
      <c r="A4026" t="str">
        <f>"20190312173010316"</f>
        <v>20190312173010316</v>
      </c>
      <c r="B4026" t="str">
        <f>"1552383010311807"</f>
        <v>1552383010311807</v>
      </c>
      <c r="C4026" t="s">
        <v>40</v>
      </c>
      <c r="D4026">
        <v>3.5038999999999998</v>
      </c>
      <c r="E4026">
        <v>0.55580509999999905</v>
      </c>
      <c r="F4026" t="s">
        <v>41</v>
      </c>
      <c r="G4026">
        <v>-217.76650000000001</v>
      </c>
      <c r="H4026" s="1">
        <v>-2.609278E-6</v>
      </c>
      <c r="I4026">
        <v>145.5282</v>
      </c>
      <c r="J4026">
        <v>-203.04140000000001</v>
      </c>
      <c r="K4026">
        <v>1.100779</v>
      </c>
      <c r="L4026">
        <v>146.33000000000001</v>
      </c>
      <c r="M4026">
        <v>-0.84457280000000001</v>
      </c>
      <c r="N4026">
        <v>0</v>
      </c>
      <c r="O4026">
        <v>-0.53523369999999904</v>
      </c>
      <c r="P4026">
        <v>-0.969391</v>
      </c>
      <c r="Q4026">
        <v>0.15217159999999999</v>
      </c>
      <c r="R4026">
        <v>-0.19267860000000001</v>
      </c>
      <c r="S4026">
        <v>-3.0958860000000001</v>
      </c>
      <c r="T4026">
        <v>-0.22789599999999999</v>
      </c>
      <c r="U4026">
        <v>-0.1934814</v>
      </c>
      <c r="V4026">
        <v>0.359832599999999</v>
      </c>
      <c r="W4026">
        <v>0.15776419999999999</v>
      </c>
      <c r="X4026">
        <v>0.91958189999999995</v>
      </c>
      <c r="Y4026">
        <v>0.47897529999999999</v>
      </c>
      <c r="Z4026">
        <v>5.508263E-2</v>
      </c>
      <c r="AA4026">
        <v>0.8760985</v>
      </c>
      <c r="AB4026">
        <v>27</v>
      </c>
      <c r="AC4026">
        <v>-14.7250999999999</v>
      </c>
      <c r="AD4026">
        <v>-1.1007816092780001</v>
      </c>
      <c r="AE4026">
        <v>-0.80180000000001395</v>
      </c>
      <c r="AF4026">
        <v>7.1650671610307102</v>
      </c>
      <c r="AG4026">
        <v>-1.1007816092780001</v>
      </c>
      <c r="AH4026">
        <v>12.795699695265901</v>
      </c>
      <c r="AI4026">
        <v>94.292617006258496</v>
      </c>
      <c r="AJ4026">
        <v>60.752962159091702</v>
      </c>
      <c r="AK4026">
        <v>14.706455666299499</v>
      </c>
      <c r="AL4026">
        <v>80.922853458821805</v>
      </c>
      <c r="AM4026">
        <v>68.629582820933393</v>
      </c>
      <c r="AN4026">
        <v>0.99999995681600395</v>
      </c>
    </row>
    <row r="4027" spans="1:40" x14ac:dyDescent="0.25">
      <c r="A4027" t="str">
        <f>"20190312173010339"</f>
        <v>20190312173010339</v>
      </c>
      <c r="B4027" t="str">
        <f>"1552383010331326"</f>
        <v>1552383010331326</v>
      </c>
      <c r="C4027" t="s">
        <v>40</v>
      </c>
      <c r="D4027">
        <v>3.5068489999999999</v>
      </c>
      <c r="E4027">
        <v>0.55117289999999997</v>
      </c>
      <c r="F4027" t="s">
        <v>41</v>
      </c>
      <c r="G4027">
        <v>-218.05439999999999</v>
      </c>
      <c r="H4027" s="1">
        <v>-2.470451E-6</v>
      </c>
      <c r="I4027">
        <v>145.518</v>
      </c>
      <c r="J4027">
        <v>-203.2895</v>
      </c>
      <c r="K4027">
        <v>1.1009450000000001</v>
      </c>
      <c r="L4027">
        <v>146.18879999999999</v>
      </c>
      <c r="M4027">
        <v>-0.85127240000000004</v>
      </c>
      <c r="N4027">
        <v>0</v>
      </c>
      <c r="O4027">
        <v>-0.52451380000000003</v>
      </c>
      <c r="P4027">
        <v>-0.97122940000000002</v>
      </c>
      <c r="Q4027">
        <v>0.15284049999999999</v>
      </c>
      <c r="R4027">
        <v>-0.18262990000000001</v>
      </c>
      <c r="S4027">
        <v>-3.0970759999999999</v>
      </c>
      <c r="T4027">
        <v>-0.22708390000000001</v>
      </c>
      <c r="U4027">
        <v>-0.16751099999999999</v>
      </c>
      <c r="V4027">
        <v>0.35762169999999999</v>
      </c>
      <c r="W4027">
        <v>0.1586032</v>
      </c>
      <c r="X4027">
        <v>0.9202998</v>
      </c>
      <c r="Y4027">
        <v>0.4752808</v>
      </c>
      <c r="Z4027">
        <v>5.4094860000000002E-2</v>
      </c>
      <c r="AA4027">
        <v>0.87816970000000005</v>
      </c>
      <c r="AB4027">
        <v>27</v>
      </c>
      <c r="AC4027">
        <v>-14.7648999999999</v>
      </c>
      <c r="AD4027">
        <v>-1.1009474704510001</v>
      </c>
      <c r="AE4027">
        <v>-0.67079999999998496</v>
      </c>
      <c r="AF4027">
        <v>7.1345653058491703</v>
      </c>
      <c r="AG4027">
        <v>-1.1009474704510001</v>
      </c>
      <c r="AH4027">
        <v>12.8509174561864</v>
      </c>
      <c r="AI4027">
        <v>94.2835496289172</v>
      </c>
      <c r="AJ4027">
        <v>60.961865348265</v>
      </c>
      <c r="AK4027">
        <v>14.739748535909101</v>
      </c>
      <c r="AL4027">
        <v>80.874169641328095</v>
      </c>
      <c r="AM4027">
        <v>68.764241537361499</v>
      </c>
      <c r="AN4027">
        <v>0.99999998862058403</v>
      </c>
    </row>
    <row r="4028" spans="1:40" x14ac:dyDescent="0.25">
      <c r="A4028" t="str">
        <f>"20190312173010361"</f>
        <v>20190312173010361</v>
      </c>
      <c r="B4028" t="str">
        <f>"1552383010351823"</f>
        <v>1552383010351823</v>
      </c>
      <c r="C4028" t="s">
        <v>40</v>
      </c>
      <c r="D4028">
        <v>3.5042550000000001</v>
      </c>
      <c r="E4028">
        <v>0.54797790000000002</v>
      </c>
      <c r="F4028" t="s">
        <v>41</v>
      </c>
      <c r="G4028">
        <v>-218.11369999999999</v>
      </c>
      <c r="H4028" s="1">
        <v>-2.4014399999999998E-6</v>
      </c>
      <c r="I4028">
        <v>145.364</v>
      </c>
      <c r="J4028">
        <v>-203.5352</v>
      </c>
      <c r="K4028">
        <v>1.101135</v>
      </c>
      <c r="L4028">
        <v>146.05279999999999</v>
      </c>
      <c r="M4028">
        <v>-0.85760509999999901</v>
      </c>
      <c r="N4028">
        <v>0</v>
      </c>
      <c r="O4028">
        <v>-0.51409499999999997</v>
      </c>
      <c r="P4028">
        <v>-0.9727422</v>
      </c>
      <c r="Q4028">
        <v>0.15365860000000001</v>
      </c>
      <c r="R4028">
        <v>-0.1736714</v>
      </c>
      <c r="S4028">
        <v>-3.0926360000000002</v>
      </c>
      <c r="T4028">
        <v>-0.2296801</v>
      </c>
      <c r="U4028">
        <v>-0.17207339999999999</v>
      </c>
      <c r="V4028">
        <v>0.35475230000000002</v>
      </c>
      <c r="W4028">
        <v>0.1596262</v>
      </c>
      <c r="X4028">
        <v>0.92123299999999997</v>
      </c>
      <c r="Y4028">
        <v>0.46315289999999998</v>
      </c>
      <c r="Z4028">
        <v>5.3668800000000003E-2</v>
      </c>
      <c r="AA4028">
        <v>0.88465199999999999</v>
      </c>
      <c r="AB4028">
        <v>27</v>
      </c>
      <c r="AC4028">
        <v>-14.578499999999901</v>
      </c>
      <c r="AD4028">
        <v>-1.1011374014399999</v>
      </c>
      <c r="AE4028">
        <v>-0.68879999999998598</v>
      </c>
      <c r="AF4028">
        <v>6.8656928348981499</v>
      </c>
      <c r="AG4028">
        <v>-1.1011374014399999</v>
      </c>
      <c r="AH4028">
        <v>12.7853397392744</v>
      </c>
      <c r="AI4028">
        <v>94.339111871523201</v>
      </c>
      <c r="AJ4028">
        <v>61.764321899102399</v>
      </c>
      <c r="AK4028">
        <v>14.553870754156399</v>
      </c>
      <c r="AL4028">
        <v>80.814799600912806</v>
      </c>
      <c r="AM4028">
        <v>68.939091523212994</v>
      </c>
      <c r="AN4028">
        <v>0.99999997918536399</v>
      </c>
    </row>
    <row r="4029" spans="1:40" x14ac:dyDescent="0.25">
      <c r="A4029" t="str">
        <f>"20190312173010383"</f>
        <v>20190312173010383</v>
      </c>
      <c r="B4029" t="str">
        <f>"1552383010371342"</f>
        <v>1552383010371342</v>
      </c>
      <c r="C4029" t="s">
        <v>40</v>
      </c>
      <c r="D4029">
        <v>3.5192209999999999</v>
      </c>
      <c r="E4029">
        <v>0.54719189999999995</v>
      </c>
      <c r="F4029" t="s">
        <v>41</v>
      </c>
      <c r="G4029">
        <v>-218.16409999999999</v>
      </c>
      <c r="H4029" s="1">
        <v>-2.3480510000000001E-6</v>
      </c>
      <c r="I4029">
        <v>145.25280000000001</v>
      </c>
      <c r="J4029">
        <v>-203.7638</v>
      </c>
      <c r="K4029">
        <v>1.101342</v>
      </c>
      <c r="L4029">
        <v>145.92939999999999</v>
      </c>
      <c r="M4029">
        <v>-0.86322389999999904</v>
      </c>
      <c r="N4029">
        <v>0</v>
      </c>
      <c r="O4029">
        <v>-0.50460459999999996</v>
      </c>
      <c r="P4029">
        <v>-0.97409699999999999</v>
      </c>
      <c r="Q4029">
        <v>0.15406779999999901</v>
      </c>
      <c r="R4029">
        <v>-0.1655239</v>
      </c>
      <c r="S4029">
        <v>-3.0906220000000002</v>
      </c>
      <c r="T4029">
        <v>-0.2326348</v>
      </c>
      <c r="U4029">
        <v>-0.1690063</v>
      </c>
      <c r="V4029">
        <v>0.35219270000000003</v>
      </c>
      <c r="W4029">
        <v>0.16023809999999999</v>
      </c>
      <c r="X4029">
        <v>0.9221085</v>
      </c>
      <c r="Y4029">
        <v>0.45418639999999999</v>
      </c>
      <c r="Z4029">
        <v>5.3440410000000001E-2</v>
      </c>
      <c r="AA4029">
        <v>0.88930239999999905</v>
      </c>
      <c r="AB4029">
        <v>27</v>
      </c>
      <c r="AC4029">
        <v>-14.4002999999999</v>
      </c>
      <c r="AD4029">
        <v>-1.1013443480509999</v>
      </c>
      <c r="AE4029">
        <v>-0.676599999999979</v>
      </c>
      <c r="AF4029">
        <v>6.6443520231984099</v>
      </c>
      <c r="AG4029">
        <v>-1.1013443480509999</v>
      </c>
      <c r="AH4029">
        <v>12.6993767166518</v>
      </c>
      <c r="AI4029">
        <v>94.394101717398001</v>
      </c>
      <c r="AJ4029">
        <v>62.381300561599602</v>
      </c>
      <c r="AK4029">
        <v>14.3747884218379</v>
      </c>
      <c r="AL4029">
        <v>80.779283488856095</v>
      </c>
      <c r="AM4029">
        <v>69.096003271180905</v>
      </c>
      <c r="AN4029">
        <v>1.00000001619857</v>
      </c>
    </row>
    <row r="4030" spans="1:40" x14ac:dyDescent="0.25">
      <c r="A4030" t="str">
        <f>"20190312173010405"</f>
        <v>20190312173010405</v>
      </c>
      <c r="B4030" t="str">
        <f>"1552383010402105"</f>
        <v>1552383010402105</v>
      </c>
      <c r="C4030" t="s">
        <v>40</v>
      </c>
      <c r="D4030">
        <v>3.5076200000000002</v>
      </c>
      <c r="E4030">
        <v>0.54646930000000005</v>
      </c>
      <c r="F4030" t="s">
        <v>41</v>
      </c>
      <c r="G4030">
        <v>-218.32740000000001</v>
      </c>
      <c r="H4030" s="1">
        <v>-2.263438E-6</v>
      </c>
      <c r="I4030">
        <v>145.22489999999999</v>
      </c>
      <c r="J4030">
        <v>-204.00450000000001</v>
      </c>
      <c r="K4030">
        <v>1.1015740000000001</v>
      </c>
      <c r="L4030">
        <v>145.80279999999999</v>
      </c>
      <c r="M4030">
        <v>-0.86884859999999897</v>
      </c>
      <c r="N4030">
        <v>0</v>
      </c>
      <c r="O4030">
        <v>-0.49485820000000003</v>
      </c>
      <c r="P4030">
        <v>-0.97527830000000004</v>
      </c>
      <c r="Q4030">
        <v>0.15483949999999999</v>
      </c>
      <c r="R4030">
        <v>-0.15766250000000001</v>
      </c>
      <c r="S4030">
        <v>-3.0913390000000001</v>
      </c>
      <c r="T4030">
        <v>-0.23377619999999999</v>
      </c>
      <c r="U4030">
        <v>-0.14953610000000001</v>
      </c>
      <c r="V4030">
        <v>0.3491088</v>
      </c>
      <c r="W4030">
        <v>0.16124340000000001</v>
      </c>
      <c r="X4030">
        <v>0.92310539999999996</v>
      </c>
      <c r="Y4030">
        <v>0.4497738</v>
      </c>
      <c r="Z4030">
        <v>5.2902490000000003E-2</v>
      </c>
      <c r="AA4030">
        <v>0.89157439999999999</v>
      </c>
      <c r="AB4030">
        <v>27</v>
      </c>
      <c r="AC4030">
        <v>-14.322900000000001</v>
      </c>
      <c r="AD4030">
        <v>-1.101576263438</v>
      </c>
      <c r="AE4030">
        <v>-0.57789999999999897</v>
      </c>
      <c r="AF4030">
        <v>6.54774505253814</v>
      </c>
      <c r="AG4030">
        <v>-1.101576263438</v>
      </c>
      <c r="AH4030">
        <v>12.657047745296</v>
      </c>
      <c r="AI4030">
        <v>94.420255946198097</v>
      </c>
      <c r="AJ4030">
        <v>62.646566516245102</v>
      </c>
      <c r="AK4030">
        <v>14.2929105910556</v>
      </c>
      <c r="AL4030">
        <v>80.720924884880503</v>
      </c>
      <c r="AM4030">
        <v>69.283906678483604</v>
      </c>
      <c r="AN4030">
        <v>0.99999998389507905</v>
      </c>
    </row>
    <row r="4031" spans="1:40" x14ac:dyDescent="0.25">
      <c r="A4031" t="str">
        <f>"20190312173010427"</f>
        <v>20190312173010427</v>
      </c>
      <c r="B4031" t="str">
        <f>"1552383010421624"</f>
        <v>1552383010421624</v>
      </c>
      <c r="C4031" t="s">
        <v>40</v>
      </c>
      <c r="D4031">
        <v>3.554011</v>
      </c>
      <c r="E4031">
        <v>0.54136689999999998</v>
      </c>
      <c r="F4031" t="s">
        <v>41</v>
      </c>
      <c r="G4031">
        <v>-218.75710000000001</v>
      </c>
      <c r="H4031" s="1">
        <v>-2.048442E-6</v>
      </c>
      <c r="I4031">
        <v>145.18039999999999</v>
      </c>
      <c r="J4031">
        <v>-204.24959999999999</v>
      </c>
      <c r="K4031">
        <v>1.1018190000000001</v>
      </c>
      <c r="L4031">
        <v>145.6772</v>
      </c>
      <c r="M4031">
        <v>-0.8742818</v>
      </c>
      <c r="N4031">
        <v>0</v>
      </c>
      <c r="O4031">
        <v>-0.48519600000000002</v>
      </c>
      <c r="P4031">
        <v>-0.97636319999999999</v>
      </c>
      <c r="Q4031">
        <v>0.1558398</v>
      </c>
      <c r="R4031">
        <v>-0.1497626</v>
      </c>
      <c r="S4031">
        <v>-3.0916139999999999</v>
      </c>
      <c r="T4031">
        <v>-0.23085069999999999</v>
      </c>
      <c r="U4031">
        <v>-0.13044739999999999</v>
      </c>
      <c r="V4031">
        <v>0.34618710000000003</v>
      </c>
      <c r="W4031">
        <v>0.162475799999999</v>
      </c>
      <c r="X4031">
        <v>0.92398919999999996</v>
      </c>
      <c r="Y4031">
        <v>0.44547369999999997</v>
      </c>
      <c r="Z4031">
        <v>5.1463370000000001E-2</v>
      </c>
      <c r="AA4031">
        <v>0.89381469999999896</v>
      </c>
      <c r="AB4031">
        <v>27</v>
      </c>
      <c r="AC4031">
        <v>-14.5075</v>
      </c>
      <c r="AD4031">
        <v>-1.1018210484419999</v>
      </c>
      <c r="AE4031">
        <v>-0.49680000000000701</v>
      </c>
      <c r="AF4031">
        <v>6.5675136994318999</v>
      </c>
      <c r="AG4031">
        <v>-1.1018210484419999</v>
      </c>
      <c r="AH4031">
        <v>12.852040079224</v>
      </c>
      <c r="AI4031">
        <v>94.365560628898393</v>
      </c>
      <c r="AJ4031">
        <v>62.932539069777697</v>
      </c>
      <c r="AK4031">
        <v>14.474846459047299</v>
      </c>
      <c r="AL4031">
        <v>80.649369870866593</v>
      </c>
      <c r="AM4031">
        <v>69.460747002639707</v>
      </c>
      <c r="AN4031">
        <v>0.99999996775434397</v>
      </c>
    </row>
    <row r="4032" spans="1:40" x14ac:dyDescent="0.25">
      <c r="A4032" t="str">
        <f>"20190312173010449"</f>
        <v>20190312173010449</v>
      </c>
      <c r="B4032" t="str">
        <f>"1552383010442122"</f>
        <v>1552383010442122</v>
      </c>
      <c r="C4032" t="s">
        <v>40</v>
      </c>
      <c r="D4032">
        <v>3.5163280000000001</v>
      </c>
      <c r="E4032">
        <v>0.53968400000000005</v>
      </c>
      <c r="F4032" t="s">
        <v>41</v>
      </c>
      <c r="G4032">
        <v>-219.0275</v>
      </c>
      <c r="H4032" s="1">
        <v>-1.866722E-6</v>
      </c>
      <c r="I4032">
        <v>144.9777</v>
      </c>
      <c r="J4032">
        <v>-204.49600000000001</v>
      </c>
      <c r="K4032">
        <v>1.1020449999999999</v>
      </c>
      <c r="L4032">
        <v>145.554</v>
      </c>
      <c r="M4032">
        <v>-0.87948479999999996</v>
      </c>
      <c r="N4032">
        <v>0</v>
      </c>
      <c r="O4032">
        <v>-0.4757015</v>
      </c>
      <c r="P4032">
        <v>-0.9773636</v>
      </c>
      <c r="Q4032">
        <v>0.15650329999999901</v>
      </c>
      <c r="R4032">
        <v>-0.14236360000000001</v>
      </c>
      <c r="S4032">
        <v>-3.0869450000000001</v>
      </c>
      <c r="T4032">
        <v>-0.230159</v>
      </c>
      <c r="U4032">
        <v>-0.1461182</v>
      </c>
      <c r="V4032">
        <v>0.34304620000000002</v>
      </c>
      <c r="W4032">
        <v>0.163357</v>
      </c>
      <c r="X4032">
        <v>0.92500479999999996</v>
      </c>
      <c r="Y4032">
        <v>0.43121949999999998</v>
      </c>
      <c r="Z4032">
        <v>5.0213069999999999E-2</v>
      </c>
      <c r="AA4032">
        <v>0.90084869999999995</v>
      </c>
      <c r="AB4032">
        <v>27</v>
      </c>
      <c r="AC4032">
        <v>-14.531499999999999</v>
      </c>
      <c r="AD4032">
        <v>-1.102046866722</v>
      </c>
      <c r="AE4032">
        <v>-0.57630000000000303</v>
      </c>
      <c r="AF4032">
        <v>6.36991772233735</v>
      </c>
      <c r="AG4032">
        <v>-1.102046866722</v>
      </c>
      <c r="AH4032">
        <v>12.981236891015101</v>
      </c>
      <c r="AI4032">
        <v>94.358318810942805</v>
      </c>
      <c r="AJ4032">
        <v>63.862725006541702</v>
      </c>
      <c r="AK4032">
        <v>14.501822999418099</v>
      </c>
      <c r="AL4032">
        <v>80.598197860857198</v>
      </c>
      <c r="AM4032">
        <v>69.652256251408502</v>
      </c>
      <c r="AN4032">
        <v>1.00000004240323</v>
      </c>
    </row>
    <row r="4033" spans="1:40" x14ac:dyDescent="0.25">
      <c r="A4033" t="str">
        <f>"20190312173010475"</f>
        <v>20190312173010475</v>
      </c>
      <c r="B4033" t="str">
        <f>"1552383010461641"</f>
        <v>1552383010461641</v>
      </c>
      <c r="C4033" t="s">
        <v>40</v>
      </c>
      <c r="D4033">
        <v>3.5173009999999998</v>
      </c>
      <c r="E4033">
        <v>0.53900899999999996</v>
      </c>
      <c r="F4033" t="s">
        <v>41</v>
      </c>
      <c r="G4033">
        <v>-219.0822</v>
      </c>
      <c r="H4033" s="1">
        <v>-1.8227159999999999E-6</v>
      </c>
      <c r="I4033">
        <v>144.90950000000001</v>
      </c>
      <c r="J4033">
        <v>-204.77500000000001</v>
      </c>
      <c r="K4033">
        <v>1.1022700000000001</v>
      </c>
      <c r="L4033">
        <v>145.41810000000001</v>
      </c>
      <c r="M4033">
        <v>-0.88507569999999902</v>
      </c>
      <c r="N4033">
        <v>0</v>
      </c>
      <c r="O4033">
        <v>-0.46521770000000001</v>
      </c>
      <c r="P4033">
        <v>-0.97792570000000001</v>
      </c>
      <c r="Q4033">
        <v>0.15819259999999999</v>
      </c>
      <c r="R4033">
        <v>-0.13651579999999999</v>
      </c>
      <c r="S4033">
        <v>-3.0869599999999999</v>
      </c>
      <c r="T4033">
        <v>-0.23323350000000001</v>
      </c>
      <c r="U4033">
        <v>-0.1364136</v>
      </c>
      <c r="V4033">
        <v>0.3373834</v>
      </c>
      <c r="W4033">
        <v>0.16532259999999999</v>
      </c>
      <c r="X4033">
        <v>0.92673669999999997</v>
      </c>
      <c r="Y4033">
        <v>0.42330190000000001</v>
      </c>
      <c r="Z4033">
        <v>4.9887430000000003E-2</v>
      </c>
      <c r="AA4033">
        <v>0.90461420000000003</v>
      </c>
      <c r="AB4033">
        <v>27</v>
      </c>
      <c r="AC4033">
        <v>-14.3071999999999</v>
      </c>
      <c r="AD4033">
        <v>-1.102271822716</v>
      </c>
      <c r="AE4033">
        <v>-0.50860000000000105</v>
      </c>
      <c r="AF4033">
        <v>6.1698996142164297</v>
      </c>
      <c r="AG4033">
        <v>-1.102271822716</v>
      </c>
      <c r="AH4033">
        <v>12.8249139121989</v>
      </c>
      <c r="AI4033">
        <v>94.428771506998302</v>
      </c>
      <c r="AJ4033">
        <v>64.308396618133898</v>
      </c>
      <c r="AK4033">
        <v>14.2744905785101</v>
      </c>
      <c r="AL4033">
        <v>80.484024687413694</v>
      </c>
      <c r="AM4033">
        <v>69.995696749680107</v>
      </c>
      <c r="AN4033">
        <v>1.0000000158966</v>
      </c>
    </row>
    <row r="4034" spans="1:40" x14ac:dyDescent="0.25">
      <c r="A4034" t="str">
        <f>"20190312173010506"</f>
        <v>20190312173010506</v>
      </c>
      <c r="B4034" t="str">
        <f>"1552383010501657"</f>
        <v>1552383010501657</v>
      </c>
      <c r="C4034" t="s">
        <v>40</v>
      </c>
      <c r="D4034">
        <v>3.5434939999999999</v>
      </c>
      <c r="E4034">
        <v>0.53317029999999999</v>
      </c>
      <c r="F4034" t="s">
        <v>41</v>
      </c>
      <c r="G4034">
        <v>-219.4735</v>
      </c>
      <c r="H4034" s="1">
        <v>-1.6166130000000001E-6</v>
      </c>
      <c r="I4034">
        <v>144.83009999999999</v>
      </c>
      <c r="J4034">
        <v>-205.12979999999999</v>
      </c>
      <c r="K4034">
        <v>1.1025590000000001</v>
      </c>
      <c r="L4034">
        <v>145.25049999999999</v>
      </c>
      <c r="M4034">
        <v>-0.89175339999999903</v>
      </c>
      <c r="N4034">
        <v>0</v>
      </c>
      <c r="O4034">
        <v>-0.45228839999999998</v>
      </c>
      <c r="P4034">
        <v>-0.97879680000000002</v>
      </c>
      <c r="Q4034">
        <v>0.15920379999999901</v>
      </c>
      <c r="R4034">
        <v>-0.12888479999999999</v>
      </c>
      <c r="S4034">
        <v>-3.0879210000000001</v>
      </c>
      <c r="T4034">
        <v>-0.23156959999999999</v>
      </c>
      <c r="U4034">
        <v>-0.123535199999999</v>
      </c>
      <c r="V4034">
        <v>0.33093309999999998</v>
      </c>
      <c r="W4034">
        <v>0.16664960000000001</v>
      </c>
      <c r="X4034">
        <v>0.9288225</v>
      </c>
      <c r="Y4034">
        <v>0.41397869999999998</v>
      </c>
      <c r="Z4034">
        <v>4.8310260000000001E-2</v>
      </c>
      <c r="AA4034">
        <v>0.90900369999999997</v>
      </c>
      <c r="AB4034">
        <v>27</v>
      </c>
      <c r="AC4034">
        <v>-14.3437</v>
      </c>
      <c r="AD4034">
        <v>-1.102560616613</v>
      </c>
      <c r="AE4034">
        <v>-0.4204</v>
      </c>
      <c r="AF4034">
        <v>6.0773634867805004</v>
      </c>
      <c r="AG4034">
        <v>-1.102560616613</v>
      </c>
      <c r="AH4034">
        <v>12.906362789072499</v>
      </c>
      <c r="AI4034">
        <v>94.419481001140994</v>
      </c>
      <c r="AJ4034">
        <v>64.785135956816404</v>
      </c>
      <c r="AK4034">
        <v>14.3081860243328</v>
      </c>
      <c r="AL4034">
        <v>80.406923695647194</v>
      </c>
      <c r="AM4034">
        <v>70.389364568087302</v>
      </c>
      <c r="AN4034">
        <v>1.0000000211810001</v>
      </c>
    </row>
    <row r="4035" spans="1:40" x14ac:dyDescent="0.25">
      <c r="A4035" t="str">
        <f>"20190312173010528"</f>
        <v>20190312173010528</v>
      </c>
      <c r="B4035" t="str">
        <f>"1552383010522153"</f>
        <v>1552383010522153</v>
      </c>
      <c r="C4035" t="s">
        <v>40</v>
      </c>
      <c r="D4035">
        <v>3.5187759999999999</v>
      </c>
      <c r="E4035">
        <v>0.53284900000000002</v>
      </c>
      <c r="F4035" t="s">
        <v>41</v>
      </c>
      <c r="G4035">
        <v>-218.95259999999999</v>
      </c>
      <c r="H4035" s="1">
        <v>-1.800125E-6</v>
      </c>
      <c r="I4035">
        <v>144.5943</v>
      </c>
      <c r="J4035">
        <v>-205.36709999999999</v>
      </c>
      <c r="K4035">
        <v>1.102754</v>
      </c>
      <c r="L4035">
        <v>145.14169999999999</v>
      </c>
      <c r="M4035">
        <v>-0.89596129999999996</v>
      </c>
      <c r="N4035">
        <v>0</v>
      </c>
      <c r="O4035">
        <v>-0.44389519999999999</v>
      </c>
      <c r="P4035">
        <v>-0.97929010000000005</v>
      </c>
      <c r="Q4035">
        <v>0.16004170000000001</v>
      </c>
      <c r="R4035">
        <v>-0.12400659999999999</v>
      </c>
      <c r="S4035">
        <v>-3.0857239999999999</v>
      </c>
      <c r="T4035">
        <v>-0.24612919999999999</v>
      </c>
      <c r="U4035">
        <v>-0.14648439999999999</v>
      </c>
      <c r="V4035">
        <v>0.32670369999999999</v>
      </c>
      <c r="W4035">
        <v>0.16769129999999999</v>
      </c>
      <c r="X4035">
        <v>0.93013129999999999</v>
      </c>
      <c r="Y4035">
        <v>0.39837489999999998</v>
      </c>
      <c r="Z4035">
        <v>5.0126370000000003E-2</v>
      </c>
      <c r="AA4035">
        <v>0.915852</v>
      </c>
      <c r="AB4035">
        <v>27</v>
      </c>
      <c r="AC4035">
        <v>-13.5854999999999</v>
      </c>
      <c r="AD4035">
        <v>-1.102755800125</v>
      </c>
      <c r="AE4035">
        <v>-0.54739999999998101</v>
      </c>
      <c r="AF4035">
        <v>5.5044628221131999</v>
      </c>
      <c r="AG4035">
        <v>-1.102755800125</v>
      </c>
      <c r="AH4035">
        <v>12.3352338852701</v>
      </c>
      <c r="AI4035">
        <v>94.667233347023597</v>
      </c>
      <c r="AJ4035">
        <v>65.951706348211303</v>
      </c>
      <c r="AK4035">
        <v>13.552607731320601</v>
      </c>
      <c r="AL4035">
        <v>80.346386184916796</v>
      </c>
      <c r="AM4035">
        <v>70.646444639587997</v>
      </c>
      <c r="AN4035">
        <v>0.99999995746453396</v>
      </c>
    </row>
    <row r="4036" spans="1:40" x14ac:dyDescent="0.25">
      <c r="A4036" t="str">
        <f>"20190312173010550"</f>
        <v>20190312173010550</v>
      </c>
      <c r="B4036" t="str">
        <f>"1552383010541673"</f>
        <v>1552383010541673</v>
      </c>
      <c r="C4036" t="s">
        <v>40</v>
      </c>
      <c r="D4036">
        <v>3.5731630000000001</v>
      </c>
      <c r="E4036">
        <v>0.53268329999999997</v>
      </c>
      <c r="F4036" t="s">
        <v>41</v>
      </c>
      <c r="G4036">
        <v>-219.27080000000001</v>
      </c>
      <c r="H4036" s="1">
        <v>-1.6354010000000001E-6</v>
      </c>
      <c r="I4036">
        <v>144.54060000000001</v>
      </c>
      <c r="J4036">
        <v>-205.61789999999999</v>
      </c>
      <c r="K4036">
        <v>1.1029420000000001</v>
      </c>
      <c r="L4036">
        <v>145.02940000000001</v>
      </c>
      <c r="M4036">
        <v>-0.90021689999999999</v>
      </c>
      <c r="N4036">
        <v>0</v>
      </c>
      <c r="O4036">
        <v>-0.43520170000000002</v>
      </c>
      <c r="P4036">
        <v>-0.97982049999999998</v>
      </c>
      <c r="Q4036">
        <v>0.1608569</v>
      </c>
      <c r="R4036">
        <v>-0.1186454</v>
      </c>
      <c r="S4036">
        <v>-3.0865480000000001</v>
      </c>
      <c r="T4036">
        <v>-0.24480679999999999</v>
      </c>
      <c r="U4036">
        <v>-0.1334381</v>
      </c>
      <c r="V4036">
        <v>0.32265709999999997</v>
      </c>
      <c r="W4036">
        <v>0.1687005</v>
      </c>
      <c r="X4036">
        <v>0.93136050000000004</v>
      </c>
      <c r="Y4036">
        <v>0.39344119999999999</v>
      </c>
      <c r="Z4036">
        <v>4.9036910000000003E-2</v>
      </c>
      <c r="AA4036">
        <v>0.91804110000000005</v>
      </c>
      <c r="AB4036">
        <v>27</v>
      </c>
      <c r="AC4036">
        <v>-13.652900000000001</v>
      </c>
      <c r="AD4036">
        <v>-1.102943635401</v>
      </c>
      <c r="AE4036">
        <v>-0.48879999999999701</v>
      </c>
      <c r="AF4036">
        <v>5.4666836200277098</v>
      </c>
      <c r="AG4036">
        <v>-1.102943635401</v>
      </c>
      <c r="AH4036">
        <v>12.4236301483696</v>
      </c>
      <c r="AI4036">
        <v>94.645593222353597</v>
      </c>
      <c r="AJ4036">
        <v>66.249399097362698</v>
      </c>
      <c r="AK4036">
        <v>13.6179183625042</v>
      </c>
      <c r="AL4036">
        <v>80.287727256184297</v>
      </c>
      <c r="AM4036">
        <v>70.892056703114804</v>
      </c>
      <c r="AN4036">
        <v>0.99999992192045195</v>
      </c>
    </row>
    <row r="4037" spans="1:40" x14ac:dyDescent="0.25">
      <c r="A4037" t="str">
        <f>"20190312173010571"</f>
        <v>20190312173010571</v>
      </c>
      <c r="B4037" t="str">
        <f>"1552383010562170"</f>
        <v>1552383010562170</v>
      </c>
      <c r="C4037" t="s">
        <v>40</v>
      </c>
      <c r="D4037">
        <v>3.526481</v>
      </c>
      <c r="E4037">
        <v>0.53146190000000004</v>
      </c>
      <c r="F4037" t="s">
        <v>41</v>
      </c>
      <c r="G4037">
        <v>-219.571</v>
      </c>
      <c r="H4037" s="1">
        <v>-1.482207E-6</v>
      </c>
      <c r="I4037">
        <v>144.4982</v>
      </c>
      <c r="J4037">
        <v>-205.8657</v>
      </c>
      <c r="K4037">
        <v>1.1031359999999999</v>
      </c>
      <c r="L4037">
        <v>144.9211</v>
      </c>
      <c r="M4037">
        <v>-0.90423830000000005</v>
      </c>
      <c r="N4037">
        <v>0</v>
      </c>
      <c r="O4037">
        <v>-0.42678519999999998</v>
      </c>
      <c r="P4037">
        <v>-0.98018559999999999</v>
      </c>
      <c r="Q4037">
        <v>0.1623955</v>
      </c>
      <c r="R4037">
        <v>-0.1134206</v>
      </c>
      <c r="S4037">
        <v>-3.0876009999999998</v>
      </c>
      <c r="T4037">
        <v>-0.2440647</v>
      </c>
      <c r="U4037">
        <v>-0.1175537</v>
      </c>
      <c r="V4037">
        <v>0.31876680000000002</v>
      </c>
      <c r="W4037">
        <v>0.17041809999999999</v>
      </c>
      <c r="X4037">
        <v>0.93238690000000002</v>
      </c>
      <c r="Y4037">
        <v>0.38964890000000002</v>
      </c>
      <c r="Z4037">
        <v>4.8130590000000001E-2</v>
      </c>
      <c r="AA4037">
        <v>0.91970499999999999</v>
      </c>
      <c r="AB4037">
        <v>27</v>
      </c>
      <c r="AC4037">
        <v>-13.7052999999999</v>
      </c>
      <c r="AD4037">
        <v>-1.1031374822069999</v>
      </c>
      <c r="AE4037">
        <v>-0.422899999999998</v>
      </c>
      <c r="AF4037">
        <v>5.4322242532585898</v>
      </c>
      <c r="AG4037">
        <v>-1.1031374822069999</v>
      </c>
      <c r="AH4037">
        <v>12.493783834095399</v>
      </c>
      <c r="AI4037">
        <v>94.6292698649291</v>
      </c>
      <c r="AJ4037">
        <v>66.500877683832002</v>
      </c>
      <c r="AK4037">
        <v>13.6682335045698</v>
      </c>
      <c r="AL4037">
        <v>80.187870511581806</v>
      </c>
      <c r="AM4037">
        <v>71.125337568818907</v>
      </c>
      <c r="AN4037">
        <v>0.99999996644072897</v>
      </c>
    </row>
    <row r="4038" spans="1:40" x14ac:dyDescent="0.25">
      <c r="A4038" t="str">
        <f>"20190312173010595"</f>
        <v>20190312173010595</v>
      </c>
      <c r="B4038" t="str">
        <f>"1552383010591449"</f>
        <v>1552383010591449</v>
      </c>
      <c r="C4038" t="s">
        <v>40</v>
      </c>
      <c r="D4038">
        <v>3.5128970000000002</v>
      </c>
      <c r="E4038">
        <v>0.53046380000000004</v>
      </c>
      <c r="F4038" t="s">
        <v>41</v>
      </c>
      <c r="G4038">
        <v>-221.27250000000001</v>
      </c>
      <c r="H4038" s="1">
        <v>-4.6861459999999999E-6</v>
      </c>
      <c r="I4038">
        <v>144.36959999999999</v>
      </c>
      <c r="J4038">
        <v>-206.12129999999999</v>
      </c>
      <c r="K4038">
        <v>1.103318</v>
      </c>
      <c r="L4038">
        <v>144.81190000000001</v>
      </c>
      <c r="M4038">
        <v>-0.90820520000000005</v>
      </c>
      <c r="N4038">
        <v>0</v>
      </c>
      <c r="O4038">
        <v>-0.41827890000000001</v>
      </c>
      <c r="P4038">
        <v>-0.98049909999999996</v>
      </c>
      <c r="Q4038">
        <v>0.16418529999999901</v>
      </c>
      <c r="R4038">
        <v>-0.1080048</v>
      </c>
      <c r="S4038">
        <v>-3.084457</v>
      </c>
      <c r="T4038">
        <v>-0.22085060000000001</v>
      </c>
      <c r="U4038">
        <v>-0.1103821</v>
      </c>
      <c r="V4038">
        <v>0.3149864</v>
      </c>
      <c r="W4038">
        <v>0.1723729</v>
      </c>
      <c r="X4038">
        <v>0.93331189999999997</v>
      </c>
      <c r="Y4038">
        <v>0.38357910000000001</v>
      </c>
      <c r="Z4038">
        <v>4.2840019999999999E-2</v>
      </c>
      <c r="AA4038">
        <v>0.92251380000000005</v>
      </c>
      <c r="AB4038">
        <v>27</v>
      </c>
      <c r="AC4038">
        <v>-15.151199999999999</v>
      </c>
      <c r="AD4038">
        <v>-1.1033226861459999</v>
      </c>
      <c r="AE4038">
        <v>-0.44230000000001701</v>
      </c>
      <c r="AF4038">
        <v>5.9050527431550597</v>
      </c>
      <c r="AG4038">
        <v>-1.1033226861459999</v>
      </c>
      <c r="AH4038">
        <v>13.8733346580568</v>
      </c>
      <c r="AI4038">
        <v>94.185186117683401</v>
      </c>
      <c r="AJ4038">
        <v>66.943432918017905</v>
      </c>
      <c r="AK4038">
        <v>15.1180813393647</v>
      </c>
      <c r="AL4038">
        <v>80.074186529083605</v>
      </c>
      <c r="AM4038">
        <v>71.350812104265003</v>
      </c>
      <c r="AN4038">
        <v>0.99999997576048905</v>
      </c>
    </row>
    <row r="4039" spans="1:40" x14ac:dyDescent="0.25">
      <c r="A4039" t="str">
        <f>"20190312173010616"</f>
        <v>20190312173010616</v>
      </c>
      <c r="B4039" t="str">
        <f>"1552383010611945"</f>
        <v>1552383010611945</v>
      </c>
      <c r="C4039" t="s">
        <v>40</v>
      </c>
      <c r="D4039">
        <v>3.5154740000000002</v>
      </c>
      <c r="E4039">
        <v>0.52991440000000001</v>
      </c>
      <c r="F4039" t="s">
        <v>41</v>
      </c>
      <c r="G4039">
        <v>-222.86670000000001</v>
      </c>
      <c r="H4039" s="1">
        <v>-4.1242869999999999E-6</v>
      </c>
      <c r="I4039">
        <v>144.26060000000001</v>
      </c>
      <c r="J4039">
        <v>-206.36760000000001</v>
      </c>
      <c r="K4039">
        <v>1.103486</v>
      </c>
      <c r="L4039">
        <v>144.70920000000001</v>
      </c>
      <c r="M4039">
        <v>-0.9118657</v>
      </c>
      <c r="N4039">
        <v>0</v>
      </c>
      <c r="O4039">
        <v>-0.41023920000000003</v>
      </c>
      <c r="P4039">
        <v>-0.98053789999999996</v>
      </c>
      <c r="Q4039">
        <v>0.16650039999999999</v>
      </c>
      <c r="R4039">
        <v>-0.10403569999999999</v>
      </c>
      <c r="S4039">
        <v>-3.0825040000000001</v>
      </c>
      <c r="T4039">
        <v>-0.20310039999999999</v>
      </c>
      <c r="U4039">
        <v>-0.1014709</v>
      </c>
      <c r="V4039">
        <v>0.31031500000000001</v>
      </c>
      <c r="W4039">
        <v>0.17485419999999999</v>
      </c>
      <c r="X4039">
        <v>0.93441459999999998</v>
      </c>
      <c r="Y4039">
        <v>0.3783937</v>
      </c>
      <c r="Z4039">
        <v>3.8777619999999999E-2</v>
      </c>
      <c r="AA4039">
        <v>0.92483219999999999</v>
      </c>
      <c r="AB4039">
        <v>27</v>
      </c>
      <c r="AC4039">
        <v>-16.499099999999999</v>
      </c>
      <c r="AD4039">
        <v>-1.1034901242870001</v>
      </c>
      <c r="AE4039">
        <v>-0.448599999999998</v>
      </c>
      <c r="AF4039">
        <v>6.3318631261585701</v>
      </c>
      <c r="AG4039">
        <v>-1.1034901242870001</v>
      </c>
      <c r="AH4039">
        <v>15.1627801940155</v>
      </c>
      <c r="AI4039">
        <v>93.841985043007398</v>
      </c>
      <c r="AJ4039">
        <v>67.3349511842044</v>
      </c>
      <c r="AK4039">
        <v>16.468760861547299</v>
      </c>
      <c r="AL4039">
        <v>79.929826615733603</v>
      </c>
      <c r="AM4039">
        <v>71.628898808384207</v>
      </c>
      <c r="AN4039">
        <v>1.00000001758789</v>
      </c>
    </row>
    <row r="4040" spans="1:40" x14ac:dyDescent="0.25">
      <c r="A4040" t="str">
        <f>"20190312173010639"</f>
        <v>20190312173010639</v>
      </c>
      <c r="B4040" t="str">
        <f>"1552383010631465"</f>
        <v>1552383010631465</v>
      </c>
      <c r="C4040" t="s">
        <v>40</v>
      </c>
      <c r="D4040">
        <v>3.5377689999999999</v>
      </c>
      <c r="E4040">
        <v>0.52962830000000005</v>
      </c>
      <c r="F4040" t="s">
        <v>41</v>
      </c>
      <c r="G4040">
        <v>-224.18879999999999</v>
      </c>
      <c r="H4040" s="1">
        <v>-3.658299E-6</v>
      </c>
      <c r="I4040">
        <v>144.16999999999999</v>
      </c>
      <c r="J4040">
        <v>-206.61539999999999</v>
      </c>
      <c r="K4040">
        <v>1.10364</v>
      </c>
      <c r="L4040">
        <v>144.60820000000001</v>
      </c>
      <c r="M4040">
        <v>-0.91539780000000004</v>
      </c>
      <c r="N4040">
        <v>0</v>
      </c>
      <c r="O4040">
        <v>-0.40229759999999998</v>
      </c>
      <c r="P4040">
        <v>-0.98070440000000003</v>
      </c>
      <c r="Q4040">
        <v>0.16797329999999999</v>
      </c>
      <c r="R4040">
        <v>-0.1000197</v>
      </c>
      <c r="S4040">
        <v>-3.0820620000000001</v>
      </c>
      <c r="T4040">
        <v>-0.1908417</v>
      </c>
      <c r="U4040">
        <v>-9.32312E-2</v>
      </c>
      <c r="V4040">
        <v>0.30586449999999998</v>
      </c>
      <c r="W4040">
        <v>0.17647979999999899</v>
      </c>
      <c r="X4040">
        <v>0.93557570000000001</v>
      </c>
      <c r="Y4040">
        <v>0.3730289</v>
      </c>
      <c r="Z4040">
        <v>3.5831639999999998E-2</v>
      </c>
      <c r="AA4040">
        <v>0.92712760000000005</v>
      </c>
      <c r="AB4040">
        <v>27</v>
      </c>
      <c r="AC4040">
        <v>-17.5733999999999</v>
      </c>
      <c r="AD4040">
        <v>-1.1036436582989999</v>
      </c>
      <c r="AE4040">
        <v>-0.43820000000002302</v>
      </c>
      <c r="AF4040">
        <v>6.64310331527789</v>
      </c>
      <c r="AG4040">
        <v>-1.1036436582989999</v>
      </c>
      <c r="AH4040">
        <v>16.2007362253586</v>
      </c>
      <c r="AI4040">
        <v>93.606575853842003</v>
      </c>
      <c r="AJ4040">
        <v>67.703944321121597</v>
      </c>
      <c r="AK4040">
        <v>17.544591908209298</v>
      </c>
      <c r="AL4040">
        <v>79.835215694239693</v>
      </c>
      <c r="AM4040">
        <v>71.896059171806698</v>
      </c>
      <c r="AN4040">
        <v>1.0000000512993801</v>
      </c>
    </row>
    <row r="4041" spans="1:40" x14ac:dyDescent="0.25">
      <c r="A4041" t="str">
        <f>"20190312173010664"</f>
        <v>20190312173010664</v>
      </c>
      <c r="B4041" t="str">
        <f>"1552383010651961"</f>
        <v>1552383010651961</v>
      </c>
      <c r="C4041" t="s">
        <v>40</v>
      </c>
      <c r="D4041">
        <v>3.5260359999999999</v>
      </c>
      <c r="E4041">
        <v>0.52927349999999995</v>
      </c>
      <c r="F4041" t="s">
        <v>41</v>
      </c>
      <c r="G4041">
        <v>-225.15549999999999</v>
      </c>
      <c r="H4041" s="1">
        <v>-3.2559820000000002E-6</v>
      </c>
      <c r="I4041">
        <v>144.10890000000001</v>
      </c>
      <c r="J4041">
        <v>-206.89859999999999</v>
      </c>
      <c r="K4041">
        <v>1.1037969999999999</v>
      </c>
      <c r="L4041">
        <v>144.49539999999999</v>
      </c>
      <c r="M4041">
        <v>-0.91927060000000005</v>
      </c>
      <c r="N4041">
        <v>0</v>
      </c>
      <c r="O4041">
        <v>-0.39336939999999998</v>
      </c>
      <c r="P4041">
        <v>-0.9809582</v>
      </c>
      <c r="Q4041">
        <v>0.16906309999999999</v>
      </c>
      <c r="R4041">
        <v>-9.5597219999999997E-2</v>
      </c>
      <c r="S4041">
        <v>-3.0820159999999999</v>
      </c>
      <c r="T4041">
        <v>-0.1834645</v>
      </c>
      <c r="U4041">
        <v>-8.2977289999999995E-2</v>
      </c>
      <c r="V4041">
        <v>0.30083710000000002</v>
      </c>
      <c r="W4041">
        <v>0.17772869999999999</v>
      </c>
      <c r="X4041">
        <v>0.93696829999999998</v>
      </c>
      <c r="Y4041">
        <v>0.36721090000000001</v>
      </c>
      <c r="Z4041">
        <v>3.3789010000000001E-2</v>
      </c>
      <c r="AA4041">
        <v>0.92952380000000001</v>
      </c>
      <c r="AB4041">
        <v>27</v>
      </c>
      <c r="AC4041">
        <v>-18.256900000000002</v>
      </c>
      <c r="AD4041">
        <v>-1.1038002559819999</v>
      </c>
      <c r="AE4041">
        <v>-0.38649999999998302</v>
      </c>
      <c r="AF4041">
        <v>6.8022442267997301</v>
      </c>
      <c r="AG4041">
        <v>-1.1038002559819999</v>
      </c>
      <c r="AH4041">
        <v>16.8751235040964</v>
      </c>
      <c r="AI4041">
        <v>93.471688297961606</v>
      </c>
      <c r="AJ4041">
        <v>68.045981160332801</v>
      </c>
      <c r="AK4041">
        <v>18.227964636915601</v>
      </c>
      <c r="AL4041">
        <v>79.762509374900304</v>
      </c>
      <c r="AM4041">
        <v>72.199473950347198</v>
      </c>
      <c r="AN4041">
        <v>1.0000000233724899</v>
      </c>
    </row>
    <row r="4042" spans="1:40" x14ac:dyDescent="0.25">
      <c r="A4042" t="str">
        <f>"20190312173010687"</f>
        <v>20190312173010687</v>
      </c>
      <c r="B4042" t="str">
        <f>"1552383010671481"</f>
        <v>1552383010671481</v>
      </c>
      <c r="C4042" t="s">
        <v>40</v>
      </c>
      <c r="D4042">
        <v>3.507657</v>
      </c>
      <c r="E4042">
        <v>0.52888539999999995</v>
      </c>
      <c r="F4042" t="s">
        <v>41</v>
      </c>
      <c r="G4042">
        <v>-226.01009999999999</v>
      </c>
      <c r="H4042" s="1">
        <v>-2.8720100000000001E-6</v>
      </c>
      <c r="I4042">
        <v>144.0437</v>
      </c>
      <c r="J4042">
        <v>-207.15170000000001</v>
      </c>
      <c r="K4042">
        <v>1.1039289999999999</v>
      </c>
      <c r="L4042">
        <v>144.39750000000001</v>
      </c>
      <c r="M4042">
        <v>-0.92258359999999995</v>
      </c>
      <c r="N4042">
        <v>0</v>
      </c>
      <c r="O4042">
        <v>-0.38553749999999998</v>
      </c>
      <c r="P4042">
        <v>-0.98120240000000003</v>
      </c>
      <c r="Q4042">
        <v>0.1695344</v>
      </c>
      <c r="R4042">
        <v>-9.2196620000000007E-2</v>
      </c>
      <c r="S4042">
        <v>-3.0818180000000002</v>
      </c>
      <c r="T4042">
        <v>-0.1779934</v>
      </c>
      <c r="U4042">
        <v>-7.2830199999999998E-2</v>
      </c>
      <c r="V4042">
        <v>0.29602299999999998</v>
      </c>
      <c r="W4042">
        <v>0.1783344</v>
      </c>
      <c r="X4042">
        <v>0.93838540000000004</v>
      </c>
      <c r="Y4042">
        <v>0.36245260000000001</v>
      </c>
      <c r="Z4042">
        <v>3.2231490000000002E-2</v>
      </c>
      <c r="AA4042">
        <v>0.93144479999999996</v>
      </c>
      <c r="AB4042">
        <v>27</v>
      </c>
      <c r="AC4042">
        <v>-18.8583999999999</v>
      </c>
      <c r="AD4042">
        <v>-1.10393187201</v>
      </c>
      <c r="AE4042">
        <v>-0.353800000000006</v>
      </c>
      <c r="AF4042">
        <v>6.9211975523482803</v>
      </c>
      <c r="AG4042">
        <v>-1.10393187201</v>
      </c>
      <c r="AH4042">
        <v>17.476744115849701</v>
      </c>
      <c r="AI4042">
        <v>93.361013247041697</v>
      </c>
      <c r="AJ4042">
        <v>68.395281179488805</v>
      </c>
      <c r="AK4042">
        <v>18.829716567902999</v>
      </c>
      <c r="AL4042">
        <v>79.727241329043395</v>
      </c>
      <c r="AM4042">
        <v>72.491602128911097</v>
      </c>
      <c r="AN4042">
        <v>0.99999996684275905</v>
      </c>
    </row>
    <row r="4043" spans="1:40" x14ac:dyDescent="0.25">
      <c r="A4043" t="str">
        <f>"20190312173010706"</f>
        <v>20190312173010706</v>
      </c>
      <c r="B4043" t="str">
        <f>"1552383010701737"</f>
        <v>1552383010701737</v>
      </c>
      <c r="C4043" t="s">
        <v>40</v>
      </c>
      <c r="D4043">
        <v>3.5000100000000001</v>
      </c>
      <c r="E4043">
        <v>0.5284432</v>
      </c>
      <c r="F4043" t="s">
        <v>41</v>
      </c>
      <c r="G4043">
        <v>-226.5814</v>
      </c>
      <c r="H4043" s="1">
        <v>-2.6117610000000001E-6</v>
      </c>
      <c r="I4043">
        <v>143.98670000000001</v>
      </c>
      <c r="J4043">
        <v>-207.38570000000001</v>
      </c>
      <c r="K4043">
        <v>1.104028</v>
      </c>
      <c r="L4043">
        <v>144.30889999999999</v>
      </c>
      <c r="M4043">
        <v>-0.92554409999999998</v>
      </c>
      <c r="N4043">
        <v>0</v>
      </c>
      <c r="O4043">
        <v>-0.37837710000000002</v>
      </c>
      <c r="P4043">
        <v>-0.98134209999999999</v>
      </c>
      <c r="Q4043">
        <v>0.17002539999999999</v>
      </c>
      <c r="R4043">
        <v>-8.9772790000000005E-2</v>
      </c>
      <c r="S4043">
        <v>-3.081604</v>
      </c>
      <c r="T4043">
        <v>-0.17508750000000001</v>
      </c>
      <c r="U4043">
        <v>-6.513977E-2</v>
      </c>
      <c r="V4043">
        <v>0.2909852</v>
      </c>
      <c r="W4043">
        <v>0.17895</v>
      </c>
      <c r="X4043">
        <v>0.93984279999999998</v>
      </c>
      <c r="Y4043">
        <v>0.35760769999999997</v>
      </c>
      <c r="Z4043">
        <v>3.119398E-2</v>
      </c>
      <c r="AA4043">
        <v>0.93335080000000004</v>
      </c>
      <c r="AB4043">
        <v>27</v>
      </c>
      <c r="AC4043">
        <v>-19.195699999999899</v>
      </c>
      <c r="AD4043">
        <v>-1.1040306117609999</v>
      </c>
      <c r="AE4043">
        <v>-0.32219999999998</v>
      </c>
      <c r="AF4043">
        <v>6.9427362128058299</v>
      </c>
      <c r="AG4043">
        <v>-1.1040306117609999</v>
      </c>
      <c r="AH4043">
        <v>17.831191699057602</v>
      </c>
      <c r="AI4043">
        <v>93.302107795558697</v>
      </c>
      <c r="AJ4043">
        <v>68.726097783621697</v>
      </c>
      <c r="AK4043">
        <v>19.166947256171301</v>
      </c>
      <c r="AL4043">
        <v>79.691393629296797</v>
      </c>
      <c r="AM4043">
        <v>72.796926108698202</v>
      </c>
      <c r="AN4043">
        <v>0.99999998891543895</v>
      </c>
    </row>
    <row r="4044" spans="1:40" x14ac:dyDescent="0.25">
      <c r="A4044" t="str">
        <f>"20190312173010729"</f>
        <v>20190312173010729</v>
      </c>
      <c r="B4044" t="str">
        <f>"1552383010722234"</f>
        <v>1552383010722234</v>
      </c>
      <c r="C4044" t="s">
        <v>40</v>
      </c>
      <c r="D4044">
        <v>3.5448819999999999</v>
      </c>
      <c r="E4044">
        <v>0.52813199999999905</v>
      </c>
      <c r="F4044" t="s">
        <v>41</v>
      </c>
      <c r="G4044">
        <v>-227.19120000000001</v>
      </c>
      <c r="H4044" s="1">
        <v>-2.3324560000000002E-6</v>
      </c>
      <c r="I4044">
        <v>143.92019999999999</v>
      </c>
      <c r="J4044">
        <v>-207.63740000000001</v>
      </c>
      <c r="K4044">
        <v>1.1041179999999999</v>
      </c>
      <c r="L4044">
        <v>144.2158</v>
      </c>
      <c r="M4044">
        <v>-0.92862020000000001</v>
      </c>
      <c r="N4044">
        <v>0</v>
      </c>
      <c r="O4044">
        <v>-0.37076530000000002</v>
      </c>
      <c r="P4044">
        <v>-0.98155269999999994</v>
      </c>
      <c r="Q4044">
        <v>0.1705276</v>
      </c>
      <c r="R4044">
        <v>-8.6456160000000004E-2</v>
      </c>
      <c r="S4044">
        <v>-3.0812840000000001</v>
      </c>
      <c r="T4044">
        <v>-0.17176259999999999</v>
      </c>
      <c r="U4044">
        <v>-6.045532E-2</v>
      </c>
      <c r="V4044">
        <v>0.28636440000000002</v>
      </c>
      <c r="W4044">
        <v>0.17955650000000001</v>
      </c>
      <c r="X4044">
        <v>0.94114549999999997</v>
      </c>
      <c r="Y4044">
        <v>0.35141519999999998</v>
      </c>
      <c r="Z4044">
        <v>3.0037339999999999E-2</v>
      </c>
      <c r="AA4044">
        <v>0.93573779999999995</v>
      </c>
      <c r="AB4044">
        <v>27</v>
      </c>
      <c r="AC4044">
        <v>-19.553799999999899</v>
      </c>
      <c r="AD4044">
        <v>-1.1041203324559901</v>
      </c>
      <c r="AE4044">
        <v>-0.29560000000000702</v>
      </c>
      <c r="AF4044">
        <v>6.9538931097981997</v>
      </c>
      <c r="AG4044">
        <v>-1.1041203324559901</v>
      </c>
      <c r="AH4044">
        <v>18.2114054834272</v>
      </c>
      <c r="AI4044">
        <v>93.241728716147506</v>
      </c>
      <c r="AJ4044">
        <v>69.101006075816898</v>
      </c>
      <c r="AK4044">
        <v>19.525137663351899</v>
      </c>
      <c r="AL4044">
        <v>79.656071524930098</v>
      </c>
      <c r="AM4044">
        <v>73.076453397609399</v>
      </c>
      <c r="AN4044">
        <v>0.999999979224929</v>
      </c>
    </row>
    <row r="4045" spans="1:40" x14ac:dyDescent="0.25">
      <c r="A4045" t="str">
        <f>"20190312173010752"</f>
        <v>20190312173010752</v>
      </c>
      <c r="B4045" t="str">
        <f>"1552383010741757"</f>
        <v>1552383010741757</v>
      </c>
      <c r="C4045" t="s">
        <v>40</v>
      </c>
      <c r="D4045">
        <v>3.501954</v>
      </c>
      <c r="E4045">
        <v>0.52787830000000002</v>
      </c>
      <c r="F4045" t="s">
        <v>41</v>
      </c>
      <c r="G4045">
        <v>-227.7304</v>
      </c>
      <c r="H4045" s="1">
        <v>-2.0894700000000001E-6</v>
      </c>
      <c r="I4045">
        <v>143.87639999999999</v>
      </c>
      <c r="J4045">
        <v>-207.90190000000001</v>
      </c>
      <c r="K4045">
        <v>1.104204</v>
      </c>
      <c r="L4045">
        <v>144.12039999999999</v>
      </c>
      <c r="M4045">
        <v>-0.9317396</v>
      </c>
      <c r="N4045">
        <v>0</v>
      </c>
      <c r="O4045">
        <v>-0.36285699999999999</v>
      </c>
      <c r="P4045">
        <v>-0.98194630000000005</v>
      </c>
      <c r="Q4045">
        <v>0.17009079999999999</v>
      </c>
      <c r="R4045">
        <v>-8.2770380000000005E-2</v>
      </c>
      <c r="S4045">
        <v>-3.081207</v>
      </c>
      <c r="T4045">
        <v>-0.16931379999999999</v>
      </c>
      <c r="U4045">
        <v>-5.204773E-2</v>
      </c>
      <c r="V4045">
        <v>0.2818638</v>
      </c>
      <c r="W4045">
        <v>0.1792164</v>
      </c>
      <c r="X4045">
        <v>0.94256790000000001</v>
      </c>
      <c r="Y4045">
        <v>0.34605439999999998</v>
      </c>
      <c r="Z4045">
        <v>2.905775E-2</v>
      </c>
      <c r="AA4045">
        <v>0.9377643</v>
      </c>
      <c r="AB4045">
        <v>27</v>
      </c>
      <c r="AC4045">
        <v>-19.828499999999899</v>
      </c>
      <c r="AD4045">
        <v>-1.1042060894700001</v>
      </c>
      <c r="AE4045">
        <v>-0.243999999999999</v>
      </c>
      <c r="AF4045">
        <v>6.9467094695750697</v>
      </c>
      <c r="AG4045">
        <v>-1.1042060894700001</v>
      </c>
      <c r="AH4045">
        <v>18.507969325769601</v>
      </c>
      <c r="AI4045">
        <v>93.197006372700599</v>
      </c>
      <c r="AJ4045">
        <v>69.427072494611494</v>
      </c>
      <c r="AK4045">
        <v>19.799519491804201</v>
      </c>
      <c r="AL4045">
        <v>79.675879164215502</v>
      </c>
      <c r="AM4045">
        <v>73.351326551626897</v>
      </c>
      <c r="AN4045">
        <v>0.999999982944904</v>
      </c>
    </row>
    <row r="4046" spans="1:40" x14ac:dyDescent="0.25">
      <c r="A4046" t="str">
        <f>"20190312173010772"</f>
        <v>20190312173010772</v>
      </c>
      <c r="B4046" t="str">
        <f>"1552383010762249"</f>
        <v>1552383010762249</v>
      </c>
      <c r="C4046" t="s">
        <v>40</v>
      </c>
      <c r="D4046">
        <v>3.5067379999999999</v>
      </c>
      <c r="E4046">
        <v>0.52755399999999997</v>
      </c>
      <c r="F4046" t="s">
        <v>41</v>
      </c>
      <c r="G4046">
        <v>-227.874</v>
      </c>
      <c r="H4046" s="1">
        <v>-2.0193030000000002E-6</v>
      </c>
      <c r="I4046">
        <v>143.8442</v>
      </c>
      <c r="J4046">
        <v>-208.14250000000001</v>
      </c>
      <c r="K4046">
        <v>1.1042799999999999</v>
      </c>
      <c r="L4046">
        <v>144.03569999999999</v>
      </c>
      <c r="M4046">
        <v>-0.93447970000000002</v>
      </c>
      <c r="N4046">
        <v>0</v>
      </c>
      <c r="O4046">
        <v>-0.35574289999999997</v>
      </c>
      <c r="P4046">
        <v>-0.98219480000000003</v>
      </c>
      <c r="Q4046">
        <v>0.1701482</v>
      </c>
      <c r="R4046">
        <v>-7.9645419999999995E-2</v>
      </c>
      <c r="S4046">
        <v>-3.0810390000000001</v>
      </c>
      <c r="T4046">
        <v>-0.17034340000000001</v>
      </c>
      <c r="U4046">
        <v>-4.2602540000000001E-2</v>
      </c>
      <c r="V4046">
        <v>0.27762599999999998</v>
      </c>
      <c r="W4046">
        <v>0.17935570000000001</v>
      </c>
      <c r="X4046">
        <v>0.94379840000000004</v>
      </c>
      <c r="Y4046">
        <v>0.34177679999999999</v>
      </c>
      <c r="Z4046">
        <v>2.8749859999999999E-2</v>
      </c>
      <c r="AA4046">
        <v>0.93934130000000005</v>
      </c>
      <c r="AB4046">
        <v>27</v>
      </c>
      <c r="AC4046">
        <v>-19.7315</v>
      </c>
      <c r="AD4046">
        <v>-1.1042820193030001</v>
      </c>
      <c r="AE4046">
        <v>-0.19149999999999001</v>
      </c>
      <c r="AF4046">
        <v>6.8196959439392799</v>
      </c>
      <c r="AG4046">
        <v>-1.1042820193030001</v>
      </c>
      <c r="AH4046">
        <v>18.450827725693198</v>
      </c>
      <c r="AI4046">
        <v>93.213101832963204</v>
      </c>
      <c r="AJ4046">
        <v>69.714949803057195</v>
      </c>
      <c r="AK4046">
        <v>19.7017952306166</v>
      </c>
      <c r="AL4046">
        <v>79.667767021756504</v>
      </c>
      <c r="AM4046">
        <v>73.608323321584507</v>
      </c>
      <c r="AN4046">
        <v>1.0000000414205199</v>
      </c>
    </row>
    <row r="4047" spans="1:40" x14ac:dyDescent="0.25">
      <c r="A4047" t="str">
        <f>"20190312173010796"</f>
        <v>20190312173010796</v>
      </c>
      <c r="B4047" t="str">
        <f>"1552383010791529"</f>
        <v>1552383010791529</v>
      </c>
      <c r="C4047" t="s">
        <v>40</v>
      </c>
      <c r="D4047">
        <v>3.5594760000000001</v>
      </c>
      <c r="E4047">
        <v>0.52705959999999996</v>
      </c>
      <c r="F4047" t="s">
        <v>41</v>
      </c>
      <c r="G4047">
        <v>-228.18989999999999</v>
      </c>
      <c r="H4047" s="1">
        <v>-1.8732590000000001E-6</v>
      </c>
      <c r="I4047">
        <v>143.80459999999999</v>
      </c>
      <c r="J4047">
        <v>-208.399</v>
      </c>
      <c r="K4047">
        <v>1.1043590000000001</v>
      </c>
      <c r="L4047">
        <v>143.94749999999999</v>
      </c>
      <c r="M4047">
        <v>-0.93730210000000003</v>
      </c>
      <c r="N4047">
        <v>0</v>
      </c>
      <c r="O4047">
        <v>-0.34824090000000002</v>
      </c>
      <c r="P4047">
        <v>-0.98236999999999997</v>
      </c>
      <c r="Q4047">
        <v>0.17074729999999999</v>
      </c>
      <c r="R4047">
        <v>-7.6121820000000007E-2</v>
      </c>
      <c r="S4047">
        <v>-3.0808870000000002</v>
      </c>
      <c r="T4047">
        <v>-0.1697071</v>
      </c>
      <c r="U4047">
        <v>-3.5507200000000003E-2</v>
      </c>
      <c r="V4047">
        <v>0.27336759999999999</v>
      </c>
      <c r="W4047">
        <v>0.18002889999999999</v>
      </c>
      <c r="X4047">
        <v>0.94491259999999999</v>
      </c>
      <c r="Y4047">
        <v>0.33642889999999998</v>
      </c>
      <c r="Z4047">
        <v>2.810816E-2</v>
      </c>
      <c r="AA4047">
        <v>0.9412893</v>
      </c>
      <c r="AB4047">
        <v>27</v>
      </c>
      <c r="AC4047">
        <v>-19.790899999999901</v>
      </c>
      <c r="AD4047">
        <v>-1.104360873259</v>
      </c>
      <c r="AE4047">
        <v>-0.142899999999997</v>
      </c>
      <c r="AF4047">
        <v>6.7377338975616796</v>
      </c>
      <c r="AG4047">
        <v>-1.104360873259</v>
      </c>
      <c r="AH4047">
        <v>18.543872423553498</v>
      </c>
      <c r="AI4047">
        <v>93.203715719017595</v>
      </c>
      <c r="AJ4047">
        <v>70.031883197194702</v>
      </c>
      <c r="AK4047">
        <v>19.760867275344101</v>
      </c>
      <c r="AL4047">
        <v>79.6285572206057</v>
      </c>
      <c r="AM4047">
        <v>73.864598270664501</v>
      </c>
      <c r="AN4047">
        <v>1.0000000356018599</v>
      </c>
    </row>
    <row r="4048" spans="1:40" x14ac:dyDescent="0.25">
      <c r="A4048" t="str">
        <f>"20190312173010818"</f>
        <v>20190312173010818</v>
      </c>
      <c r="B4048" t="str">
        <f>"1552383010812026"</f>
        <v>1552383010812026</v>
      </c>
      <c r="C4048" t="s">
        <v>40</v>
      </c>
      <c r="D4048">
        <v>3.517833</v>
      </c>
      <c r="E4048">
        <v>0.52673040000000004</v>
      </c>
      <c r="F4048" t="s">
        <v>41</v>
      </c>
      <c r="G4048">
        <v>-228.7028</v>
      </c>
      <c r="H4048" s="1">
        <v>-1.6409170000000001E-6</v>
      </c>
      <c r="I4048">
        <v>143.75839999999999</v>
      </c>
      <c r="J4048">
        <v>-208.6584</v>
      </c>
      <c r="K4048">
        <v>1.104438</v>
      </c>
      <c r="L4048">
        <v>143.8605</v>
      </c>
      <c r="M4048">
        <v>-0.94005570000000005</v>
      </c>
      <c r="N4048">
        <v>0</v>
      </c>
      <c r="O4048">
        <v>-0.34074009999999999</v>
      </c>
      <c r="P4048">
        <v>-0.98246409999999995</v>
      </c>
      <c r="Q4048">
        <v>0.1716877</v>
      </c>
      <c r="R4048">
        <v>-7.2715219999999997E-2</v>
      </c>
      <c r="S4048">
        <v>-3.0807500000000001</v>
      </c>
      <c r="T4048">
        <v>-0.16756770000000001</v>
      </c>
      <c r="U4048">
        <v>-2.868652E-2</v>
      </c>
      <c r="V4048">
        <v>0.26899879999999998</v>
      </c>
      <c r="W4048">
        <v>0.18103720000000001</v>
      </c>
      <c r="X4048">
        <v>0.94597319999999996</v>
      </c>
      <c r="Y4048">
        <v>0.33102759999999998</v>
      </c>
      <c r="Z4048">
        <v>2.722372E-2</v>
      </c>
      <c r="AA4048">
        <v>0.94322830000000002</v>
      </c>
      <c r="AB4048">
        <v>27</v>
      </c>
      <c r="AC4048">
        <v>-20.0444</v>
      </c>
      <c r="AD4048">
        <v>-1.1044396409170001</v>
      </c>
      <c r="AE4048">
        <v>-0.102100000000007</v>
      </c>
      <c r="AF4048">
        <v>6.7142122887342497</v>
      </c>
      <c r="AG4048">
        <v>-1.1044396409170001</v>
      </c>
      <c r="AH4048">
        <v>18.822306976096598</v>
      </c>
      <c r="AI4048">
        <v>93.163303189865601</v>
      </c>
      <c r="AJ4048">
        <v>70.367884917063293</v>
      </c>
      <c r="AK4048">
        <v>20.014486590493298</v>
      </c>
      <c r="AL4048">
        <v>79.569821025376399</v>
      </c>
      <c r="AM4048">
        <v>74.126264098275101</v>
      </c>
      <c r="AN4048">
        <v>1.0000000586517499</v>
      </c>
    </row>
    <row r="4049" spans="1:40" x14ac:dyDescent="0.25">
      <c r="A4049" t="str">
        <f>"20190312173010840"</f>
        <v>20190312173010840</v>
      </c>
      <c r="B4049" t="str">
        <f>"1552383010831545"</f>
        <v>1552383010831545</v>
      </c>
      <c r="C4049" t="s">
        <v>40</v>
      </c>
      <c r="D4049">
        <v>3.521004</v>
      </c>
      <c r="E4049">
        <v>0.52640989999999999</v>
      </c>
      <c r="F4049" t="s">
        <v>41</v>
      </c>
      <c r="G4049">
        <v>-229.3663</v>
      </c>
      <c r="H4049" s="1">
        <v>-1.3449320000000001E-6</v>
      </c>
      <c r="I4049">
        <v>143.7157</v>
      </c>
      <c r="J4049">
        <v>-208.91030000000001</v>
      </c>
      <c r="K4049">
        <v>1.1045199999999999</v>
      </c>
      <c r="L4049">
        <v>143.77809999999999</v>
      </c>
      <c r="M4049">
        <v>-0.94263520000000001</v>
      </c>
      <c r="N4049">
        <v>0</v>
      </c>
      <c r="O4049">
        <v>-0.33354060000000002</v>
      </c>
      <c r="P4049">
        <v>-0.9825796</v>
      </c>
      <c r="Q4049">
        <v>0.17221819999999999</v>
      </c>
      <c r="R4049">
        <v>-6.9844859999999995E-2</v>
      </c>
      <c r="S4049">
        <v>-3.0806580000000001</v>
      </c>
      <c r="T4049">
        <v>-0.16430449999999999</v>
      </c>
      <c r="U4049">
        <v>-2.1530150000000001E-2</v>
      </c>
      <c r="V4049">
        <v>0.26445220000000003</v>
      </c>
      <c r="W4049">
        <v>0.18163370000000001</v>
      </c>
      <c r="X4049">
        <v>0.94713999999999998</v>
      </c>
      <c r="Y4049">
        <v>0.32605289999999998</v>
      </c>
      <c r="Z4049">
        <v>2.6199159999999999E-2</v>
      </c>
      <c r="AA4049">
        <v>0.94498839999999995</v>
      </c>
      <c r="AB4049">
        <v>27</v>
      </c>
      <c r="AC4049">
        <v>-20.4559999999999</v>
      </c>
      <c r="AD4049">
        <v>-1.1045213449319999</v>
      </c>
      <c r="AE4049">
        <v>-6.2399999999996597E-2</v>
      </c>
      <c r="AF4049">
        <v>6.7450624636927801</v>
      </c>
      <c r="AG4049">
        <v>-1.1045213449319999</v>
      </c>
      <c r="AH4049">
        <v>19.249068969254498</v>
      </c>
      <c r="AI4049">
        <v>93.0996620446479</v>
      </c>
      <c r="AJ4049">
        <v>70.689038879953102</v>
      </c>
      <c r="AK4049">
        <v>20.4265144168956</v>
      </c>
      <c r="AL4049">
        <v>79.535067030380802</v>
      </c>
      <c r="AM4049">
        <v>74.399665509704704</v>
      </c>
      <c r="AN4049">
        <v>0.99999997333026402</v>
      </c>
    </row>
    <row r="4050" spans="1:40" x14ac:dyDescent="0.25">
      <c r="A4050" t="str">
        <f>"20190312173010864"</f>
        <v>20190312173010864</v>
      </c>
      <c r="B4050" t="str">
        <f>"1552383010852041"</f>
        <v>1552383010852041</v>
      </c>
      <c r="C4050" t="s">
        <v>40</v>
      </c>
      <c r="D4050">
        <v>3.5246919999999999</v>
      </c>
      <c r="E4050">
        <v>0.52609539999999999</v>
      </c>
      <c r="F4050" t="s">
        <v>41</v>
      </c>
      <c r="G4050">
        <v>-229.8656</v>
      </c>
      <c r="H4050" s="1">
        <v>-1.118618E-6</v>
      </c>
      <c r="I4050">
        <v>143.67019999999999</v>
      </c>
      <c r="J4050">
        <v>-209.18510000000001</v>
      </c>
      <c r="K4050">
        <v>1.104603</v>
      </c>
      <c r="L4050">
        <v>143.69049999999999</v>
      </c>
      <c r="M4050">
        <v>-0.94534419999999997</v>
      </c>
      <c r="N4050">
        <v>0</v>
      </c>
      <c r="O4050">
        <v>-0.32578699999999999</v>
      </c>
      <c r="P4050">
        <v>-0.98264030000000002</v>
      </c>
      <c r="Q4050">
        <v>0.17304639999999999</v>
      </c>
      <c r="R4050">
        <v>-6.6878839999999995E-2</v>
      </c>
      <c r="S4050">
        <v>-3.080505</v>
      </c>
      <c r="T4050">
        <v>-0.16236900000000001</v>
      </c>
      <c r="U4050">
        <v>-1.5853880000000001E-2</v>
      </c>
      <c r="V4050">
        <v>0.25943919999999998</v>
      </c>
      <c r="W4050">
        <v>0.18252550000000001</v>
      </c>
      <c r="X4050">
        <v>0.94835420000000004</v>
      </c>
      <c r="Y4050">
        <v>0.32006400000000002</v>
      </c>
      <c r="Z4050">
        <v>2.5346069999999998E-2</v>
      </c>
      <c r="AA4050">
        <v>0.94705680000000003</v>
      </c>
      <c r="AB4050">
        <v>27</v>
      </c>
      <c r="AC4050">
        <v>-20.680499999999899</v>
      </c>
      <c r="AD4050">
        <v>-1.104604118618</v>
      </c>
      <c r="AE4050">
        <v>-2.02999999999917E-2</v>
      </c>
      <c r="AF4050">
        <v>6.6997624550204202</v>
      </c>
      <c r="AG4050">
        <v>-1.104604118618</v>
      </c>
      <c r="AH4050">
        <v>19.502994085229201</v>
      </c>
      <c r="AI4050">
        <v>93.066129160984801</v>
      </c>
      <c r="AJ4050">
        <v>71.041131629243495</v>
      </c>
      <c r="AK4050">
        <v>20.651240773887</v>
      </c>
      <c r="AL4050">
        <v>79.483101985374603</v>
      </c>
      <c r="AM4050">
        <v>74.700064696764898</v>
      </c>
      <c r="AN4050">
        <v>0.99999997265226404</v>
      </c>
    </row>
    <row r="4051" spans="1:40" x14ac:dyDescent="0.25">
      <c r="A4051" t="str">
        <f>"20190312173010887"</f>
        <v>20190312173010887</v>
      </c>
      <c r="B4051" t="str">
        <f>"1552383010882297"</f>
        <v>1552383010882297</v>
      </c>
      <c r="C4051" t="s">
        <v>40</v>
      </c>
      <c r="D4051">
        <v>3.5013329999999998</v>
      </c>
      <c r="E4051">
        <v>0.52563309999999996</v>
      </c>
      <c r="F4051" t="s">
        <v>41</v>
      </c>
      <c r="G4051">
        <v>-230.49260000000001</v>
      </c>
      <c r="H4051" s="1">
        <v>-4.819924E-6</v>
      </c>
      <c r="I4051">
        <v>143.6275</v>
      </c>
      <c r="J4051">
        <v>-209.4461</v>
      </c>
      <c r="K4051">
        <v>1.1046800000000001</v>
      </c>
      <c r="L4051">
        <v>143.6096</v>
      </c>
      <c r="M4051">
        <v>-0.94781879999999996</v>
      </c>
      <c r="N4051">
        <v>0</v>
      </c>
      <c r="O4051">
        <v>-0.31851980000000002</v>
      </c>
      <c r="P4051">
        <v>-0.98255689999999996</v>
      </c>
      <c r="Q4051">
        <v>0.1741472</v>
      </c>
      <c r="R4051">
        <v>-6.5229120000000002E-2</v>
      </c>
      <c r="S4051">
        <v>-3.080505</v>
      </c>
      <c r="T4051">
        <v>-0.15969729999999999</v>
      </c>
      <c r="U4051">
        <v>-9.0942379999999993E-3</v>
      </c>
      <c r="V4051">
        <v>0.25364880000000001</v>
      </c>
      <c r="W4051">
        <v>0.18368760000000001</v>
      </c>
      <c r="X4051">
        <v>0.94969530000000002</v>
      </c>
      <c r="Y4051">
        <v>0.31491039999999998</v>
      </c>
      <c r="Z4051">
        <v>2.443731E-2</v>
      </c>
      <c r="AA4051">
        <v>0.94880679999999995</v>
      </c>
      <c r="AB4051">
        <v>27</v>
      </c>
      <c r="AC4051">
        <v>-21.046500000000002</v>
      </c>
      <c r="AD4051">
        <v>-1.10468481992399</v>
      </c>
      <c r="AE4051">
        <v>1.78999999999973E-2</v>
      </c>
      <c r="AF4051">
        <v>6.7028473969431603</v>
      </c>
      <c r="AG4051">
        <v>-1.10468481992399</v>
      </c>
      <c r="AH4051">
        <v>19.889613151357398</v>
      </c>
      <c r="AI4051">
        <v>93.012834376203202</v>
      </c>
      <c r="AJ4051">
        <v>71.376059981028803</v>
      </c>
      <c r="AK4051">
        <v>21.0177354414962</v>
      </c>
      <c r="AL4051">
        <v>79.415373824430901</v>
      </c>
      <c r="AM4051">
        <v>75.046239757932497</v>
      </c>
      <c r="AN4051">
        <v>1.00000000548864</v>
      </c>
    </row>
    <row r="4052" spans="1:40" x14ac:dyDescent="0.25">
      <c r="A4052" t="str">
        <f>"20190312173010907"</f>
        <v>20190312173010907</v>
      </c>
      <c r="B4052" t="str">
        <f>"1552383010901817"</f>
        <v>1552383010901817</v>
      </c>
      <c r="C4052" t="s">
        <v>40</v>
      </c>
      <c r="D4052">
        <v>3.4916119999999999</v>
      </c>
      <c r="E4052">
        <v>0.5253177</v>
      </c>
      <c r="F4052" t="s">
        <v>41</v>
      </c>
      <c r="G4052">
        <v>-231.2929</v>
      </c>
      <c r="H4052" s="1">
        <v>-4.5353929999999998E-6</v>
      </c>
      <c r="I4052">
        <v>143.55889999999999</v>
      </c>
      <c r="J4052">
        <v>-209.69149999999999</v>
      </c>
      <c r="K4052">
        <v>1.1047359999999999</v>
      </c>
      <c r="L4052">
        <v>143.53530000000001</v>
      </c>
      <c r="M4052">
        <v>-0.95006749999999995</v>
      </c>
      <c r="N4052">
        <v>0</v>
      </c>
      <c r="O4052">
        <v>-0.31175209999999998</v>
      </c>
      <c r="P4052">
        <v>-0.9825258</v>
      </c>
      <c r="Q4052">
        <v>0.1746742</v>
      </c>
      <c r="R4052">
        <v>-6.4283450000000006E-2</v>
      </c>
      <c r="S4052">
        <v>-3.0804140000000002</v>
      </c>
      <c r="T4052">
        <v>-0.15576110000000001</v>
      </c>
      <c r="U4052">
        <v>-7.1411130000000001E-3</v>
      </c>
      <c r="V4052">
        <v>0.24771899999999999</v>
      </c>
      <c r="W4052">
        <v>0.18427389999999999</v>
      </c>
      <c r="X4052">
        <v>0.95114580000000004</v>
      </c>
      <c r="Y4052">
        <v>0.30879459999999997</v>
      </c>
      <c r="Z4052">
        <v>2.335431E-2</v>
      </c>
      <c r="AA4052">
        <v>0.95084199999999996</v>
      </c>
      <c r="AB4052">
        <v>27</v>
      </c>
      <c r="AC4052">
        <v>-21.601400000000002</v>
      </c>
      <c r="AD4052">
        <v>-1.104740535393</v>
      </c>
      <c r="AE4052">
        <v>2.35999999999876E-2</v>
      </c>
      <c r="AF4052">
        <v>6.7396918857817001</v>
      </c>
      <c r="AG4052">
        <v>-1.104740535393</v>
      </c>
      <c r="AH4052">
        <v>20.4637785348745</v>
      </c>
      <c r="AI4052">
        <v>92.9353169209421</v>
      </c>
      <c r="AJ4052">
        <v>71.770836739784798</v>
      </c>
      <c r="AK4052">
        <v>21.5733662252835</v>
      </c>
      <c r="AL4052">
        <v>79.381197357004496</v>
      </c>
      <c r="AM4052">
        <v>75.402026500096198</v>
      </c>
      <c r="AN4052">
        <v>0.99999995301992395</v>
      </c>
    </row>
    <row r="4053" spans="1:40" x14ac:dyDescent="0.25">
      <c r="A4053" t="str">
        <f>"20190312173010930"</f>
        <v>20190312173010930</v>
      </c>
      <c r="B4053" t="str">
        <f>"1552383010922314"</f>
        <v>1552383010922314</v>
      </c>
      <c r="C4053" t="s">
        <v>40</v>
      </c>
      <c r="D4053">
        <v>3.5368909999999998</v>
      </c>
      <c r="E4053">
        <v>0.52501239999999905</v>
      </c>
      <c r="F4053" t="s">
        <v>41</v>
      </c>
      <c r="G4053">
        <v>-231.7996</v>
      </c>
      <c r="H4053" s="1">
        <v>-4.3505930000000003E-6</v>
      </c>
      <c r="I4053">
        <v>143.48920000000001</v>
      </c>
      <c r="J4053">
        <v>-209.94589999999999</v>
      </c>
      <c r="K4053">
        <v>1.1047849999999999</v>
      </c>
      <c r="L4053">
        <v>143.46029999999999</v>
      </c>
      <c r="M4053">
        <v>-0.95232240000000001</v>
      </c>
      <c r="N4053">
        <v>0</v>
      </c>
      <c r="O4053">
        <v>-0.30479830000000002</v>
      </c>
      <c r="P4053">
        <v>-0.9824927</v>
      </c>
      <c r="Q4053">
        <v>0.1754124</v>
      </c>
      <c r="R4053">
        <v>-6.2759019999999999E-2</v>
      </c>
      <c r="S4053">
        <v>-3.0803069999999999</v>
      </c>
      <c r="T4053">
        <v>-0.15392259999999999</v>
      </c>
      <c r="U4053">
        <v>-6.4239500000000003E-3</v>
      </c>
      <c r="V4053">
        <v>0.2421671</v>
      </c>
      <c r="W4053">
        <v>0.18505559999999999</v>
      </c>
      <c r="X4053">
        <v>0.95242300000000002</v>
      </c>
      <c r="Y4053">
        <v>0.3020909</v>
      </c>
      <c r="Z4053">
        <v>2.2578750000000002E-2</v>
      </c>
      <c r="AA4053">
        <v>0.95301170000000002</v>
      </c>
      <c r="AB4053">
        <v>27</v>
      </c>
      <c r="AC4053">
        <v>-21.8537</v>
      </c>
      <c r="AD4053">
        <v>-1.104789350593</v>
      </c>
      <c r="AE4053">
        <v>2.8900000000021402E-2</v>
      </c>
      <c r="AF4053">
        <v>6.6720432377906098</v>
      </c>
      <c r="AG4053">
        <v>-1.104789350593</v>
      </c>
      <c r="AH4053">
        <v>20.751797156978501</v>
      </c>
      <c r="AI4053">
        <v>92.901441423162197</v>
      </c>
      <c r="AJ4053">
        <v>72.176549913523601</v>
      </c>
      <c r="AK4053">
        <v>21.825989226619601</v>
      </c>
      <c r="AL4053">
        <v>79.335626256460003</v>
      </c>
      <c r="AM4053">
        <v>75.734037816277507</v>
      </c>
      <c r="AN4053">
        <v>1.0000000251713801</v>
      </c>
    </row>
    <row r="4054" spans="1:40" x14ac:dyDescent="0.25">
      <c r="A4054" t="str">
        <f>"20190312173010952"</f>
        <v>20190312173010952</v>
      </c>
      <c r="B4054" t="str">
        <f>"1552383010941837"</f>
        <v>1552383010941837</v>
      </c>
      <c r="C4054" t="s">
        <v>40</v>
      </c>
      <c r="D4054">
        <v>3.4869509999999999</v>
      </c>
      <c r="E4054">
        <v>0.52478400000000003</v>
      </c>
      <c r="F4054" t="s">
        <v>41</v>
      </c>
      <c r="G4054">
        <v>-232.3554</v>
      </c>
      <c r="H4054" s="1">
        <v>-4.1506319999999997E-6</v>
      </c>
      <c r="I4054">
        <v>143.4282</v>
      </c>
      <c r="J4054">
        <v>-210.2063</v>
      </c>
      <c r="K4054">
        <v>1.1048249999999999</v>
      </c>
      <c r="L4054">
        <v>143.38560000000001</v>
      </c>
      <c r="M4054">
        <v>-0.95455380000000001</v>
      </c>
      <c r="N4054">
        <v>0</v>
      </c>
      <c r="O4054">
        <v>-0.29774030000000001</v>
      </c>
      <c r="P4054">
        <v>-0.98251390000000005</v>
      </c>
      <c r="Q4054">
        <v>0.1759589</v>
      </c>
      <c r="R4054">
        <v>-6.0870199999999999E-2</v>
      </c>
      <c r="S4054">
        <v>-3.080292</v>
      </c>
      <c r="T4054">
        <v>-0.15185860000000001</v>
      </c>
      <c r="U4054">
        <v>-4.4097900000000002E-3</v>
      </c>
      <c r="V4054">
        <v>0.23688609999999999</v>
      </c>
      <c r="W4054">
        <v>0.18563060000000001</v>
      </c>
      <c r="X4054">
        <v>0.9536384</v>
      </c>
      <c r="Y4054">
        <v>0.29568749999999999</v>
      </c>
      <c r="Z4054">
        <v>2.1784169999999999E-2</v>
      </c>
      <c r="AA4054">
        <v>0.95503629999999995</v>
      </c>
      <c r="AB4054">
        <v>27</v>
      </c>
      <c r="AC4054">
        <v>-22.149100000000001</v>
      </c>
      <c r="AD4054">
        <v>-1.104829150632</v>
      </c>
      <c r="AE4054">
        <v>4.2599999999992998E-2</v>
      </c>
      <c r="AF4054">
        <v>6.6194632731567502</v>
      </c>
      <c r="AG4054">
        <v>-1.104829150632</v>
      </c>
      <c r="AH4054">
        <v>21.079253733646102</v>
      </c>
      <c r="AI4054">
        <v>92.862717662993802</v>
      </c>
      <c r="AJ4054">
        <v>72.566282328552902</v>
      </c>
      <c r="AK4054">
        <v>22.121773876526898</v>
      </c>
      <c r="AL4054">
        <v>79.302099722221499</v>
      </c>
      <c r="AM4054">
        <v>76.049938295319095</v>
      </c>
      <c r="AN4054">
        <v>0.99999997099206395</v>
      </c>
    </row>
    <row r="4055" spans="1:40" x14ac:dyDescent="0.25">
      <c r="A4055" t="str">
        <f>"20190312173010975"</f>
        <v>20190312173010975</v>
      </c>
      <c r="B4055" t="str">
        <f>"1552383010972091"</f>
        <v>1552383010972091</v>
      </c>
      <c r="C4055" t="s">
        <v>40</v>
      </c>
      <c r="D4055">
        <v>3.5018820000000002</v>
      </c>
      <c r="E4055">
        <v>0.52456069999999999</v>
      </c>
      <c r="F4055" t="s">
        <v>41</v>
      </c>
      <c r="G4055">
        <v>-232.69220000000001</v>
      </c>
      <c r="H4055" s="1">
        <v>-4.0279099999999999E-6</v>
      </c>
      <c r="I4055">
        <v>143.38249999999999</v>
      </c>
      <c r="J4055">
        <v>-210.46469999999999</v>
      </c>
      <c r="K4055">
        <v>1.104862</v>
      </c>
      <c r="L4055">
        <v>143.3133</v>
      </c>
      <c r="M4055">
        <v>-0.9566981</v>
      </c>
      <c r="N4055">
        <v>0</v>
      </c>
      <c r="O4055">
        <v>-0.29078090000000001</v>
      </c>
      <c r="P4055">
        <v>-0.9825218</v>
      </c>
      <c r="Q4055">
        <v>0.17641760000000001</v>
      </c>
      <c r="R4055">
        <v>-5.939825E-2</v>
      </c>
      <c r="S4055">
        <v>-3.0804900000000002</v>
      </c>
      <c r="T4055">
        <v>-0.1513572</v>
      </c>
      <c r="U4055">
        <v>-4.1198729999999999E-4</v>
      </c>
      <c r="V4055">
        <v>0.23131470000000001</v>
      </c>
      <c r="W4055">
        <v>0.18611220000000001</v>
      </c>
      <c r="X4055">
        <v>0.95491139999999997</v>
      </c>
      <c r="Y4055">
        <v>0.28998559999999901</v>
      </c>
      <c r="Z4055">
        <v>2.124185E-2</v>
      </c>
      <c r="AA4055">
        <v>0.95679530000000002</v>
      </c>
      <c r="AB4055">
        <v>27</v>
      </c>
      <c r="AC4055">
        <v>-22.227499999999999</v>
      </c>
      <c r="AD4055">
        <v>-1.10486602791</v>
      </c>
      <c r="AE4055">
        <v>6.9199999999995002E-2</v>
      </c>
      <c r="AF4055">
        <v>6.5140133868986103</v>
      </c>
      <c r="AG4055">
        <v>-1.10486602791</v>
      </c>
      <c r="AH4055">
        <v>21.194379805526498</v>
      </c>
      <c r="AI4055">
        <v>92.852674274754705</v>
      </c>
      <c r="AJ4055">
        <v>72.915385039706194</v>
      </c>
      <c r="AK4055">
        <v>22.200334112018101</v>
      </c>
      <c r="AL4055">
        <v>79.274017142321796</v>
      </c>
      <c r="AM4055">
        <v>76.383148074494002</v>
      </c>
      <c r="AN4055">
        <v>1.0000000116374399</v>
      </c>
    </row>
    <row r="4056" spans="1:40" x14ac:dyDescent="0.25">
      <c r="A4056" t="str">
        <f>"20190312173010998"</f>
        <v>20190312173010998</v>
      </c>
      <c r="B4056" t="str">
        <f>"1552383010991610"</f>
        <v>1552383010991610</v>
      </c>
      <c r="C4056" t="s">
        <v>40</v>
      </c>
      <c r="D4056">
        <v>3.5792809999999999</v>
      </c>
      <c r="E4056">
        <v>0.51946749999999997</v>
      </c>
      <c r="F4056" t="s">
        <v>41</v>
      </c>
      <c r="G4056">
        <v>-232.89160000000001</v>
      </c>
      <c r="H4056" s="1">
        <v>-3.951347E-6</v>
      </c>
      <c r="I4056">
        <v>143.33330000000001</v>
      </c>
      <c r="J4056">
        <v>-210.74289999999999</v>
      </c>
      <c r="K4056">
        <v>1.1048849999999999</v>
      </c>
      <c r="L4056">
        <v>143.23769999999999</v>
      </c>
      <c r="M4056">
        <v>-0.95893379999999995</v>
      </c>
      <c r="N4056">
        <v>0</v>
      </c>
      <c r="O4056">
        <v>-0.28332619999999997</v>
      </c>
      <c r="P4056">
        <v>-0.9828247</v>
      </c>
      <c r="Q4056">
        <v>0.1763605</v>
      </c>
      <c r="R4056">
        <v>-5.4338780000000003E-2</v>
      </c>
      <c r="S4056">
        <v>-3.0807799999999999</v>
      </c>
      <c r="T4056">
        <v>-0.15177550000000001</v>
      </c>
      <c r="U4056">
        <v>2.746582E-3</v>
      </c>
      <c r="V4056">
        <v>0.22877639999999999</v>
      </c>
      <c r="W4056">
        <v>0.1860106</v>
      </c>
      <c r="X4056">
        <v>0.95554249999999996</v>
      </c>
      <c r="Y4056">
        <v>0.28352509999999997</v>
      </c>
      <c r="Z4056">
        <v>2.0785040000000001E-2</v>
      </c>
      <c r="AA4056">
        <v>0.95873949999999997</v>
      </c>
      <c r="AB4056">
        <v>27</v>
      </c>
      <c r="AC4056">
        <v>-22.148700000000002</v>
      </c>
      <c r="AD4056">
        <v>-1.1048889513469999</v>
      </c>
      <c r="AE4056">
        <v>9.5600000000018698E-2</v>
      </c>
      <c r="AF4056">
        <v>6.3517233625476202</v>
      </c>
      <c r="AG4056">
        <v>-1.1048889513469999</v>
      </c>
      <c r="AH4056">
        <v>21.161218907880102</v>
      </c>
      <c r="AI4056">
        <v>92.862903552198006</v>
      </c>
      <c r="AJ4056">
        <v>73.292415553686396</v>
      </c>
      <c r="AK4056">
        <v>22.121535998577599</v>
      </c>
      <c r="AL4056">
        <v>79.279942015629203</v>
      </c>
      <c r="AM4056">
        <v>76.535669001424495</v>
      </c>
      <c r="AN4056">
        <v>1.00000002690778</v>
      </c>
    </row>
    <row r="4057" spans="1:40" x14ac:dyDescent="0.25">
      <c r="A4057" t="str">
        <f>"20190312173011019"</f>
        <v>20190312173011019</v>
      </c>
      <c r="B4057" t="str">
        <f>"1552383011012106"</f>
        <v>1552383011012106</v>
      </c>
      <c r="C4057" t="s">
        <v>40</v>
      </c>
      <c r="D4057">
        <v>3.4916749999999999</v>
      </c>
      <c r="E4057">
        <v>0.50764629999999999</v>
      </c>
      <c r="F4057" t="s">
        <v>41</v>
      </c>
      <c r="G4057">
        <v>-227.54849999999999</v>
      </c>
      <c r="H4057" s="1">
        <v>-1.964824E-6</v>
      </c>
      <c r="I4057">
        <v>143.1147</v>
      </c>
      <c r="J4057">
        <v>-210.98699999999999</v>
      </c>
      <c r="K4057">
        <v>1.1048880000000001</v>
      </c>
      <c r="L4057">
        <v>143.17320000000001</v>
      </c>
      <c r="M4057">
        <v>-0.96083799999999997</v>
      </c>
      <c r="N4057">
        <v>0</v>
      </c>
      <c r="O4057">
        <v>-0.27680450000000001</v>
      </c>
      <c r="P4057">
        <v>-0.98294130000000002</v>
      </c>
      <c r="Q4057">
        <v>0.17610190000000001</v>
      </c>
      <c r="R4057">
        <v>-5.3053889999999999E-2</v>
      </c>
      <c r="S4057">
        <v>-3.0875849999999998</v>
      </c>
      <c r="T4057">
        <v>-0.2029938</v>
      </c>
      <c r="U4057">
        <v>-2.259827E-2</v>
      </c>
      <c r="V4057">
        <v>0.22351509999999999</v>
      </c>
      <c r="W4057">
        <v>0.18574350000000001</v>
      </c>
      <c r="X4057">
        <v>0.95683870000000004</v>
      </c>
      <c r="Y4057">
        <v>0.26862269999999999</v>
      </c>
      <c r="Z4057">
        <v>2.6814959999999999E-2</v>
      </c>
      <c r="AA4057">
        <v>0.96287210000000001</v>
      </c>
      <c r="AB4057">
        <v>27</v>
      </c>
      <c r="AC4057">
        <v>-16.561499999999899</v>
      </c>
      <c r="AD4057">
        <v>-1.10488996482399</v>
      </c>
      <c r="AE4057">
        <v>-5.8500000000009302E-2</v>
      </c>
      <c r="AF4057">
        <v>4.5084069524057897</v>
      </c>
      <c r="AG4057">
        <v>-1.10488996482399</v>
      </c>
      <c r="AH4057">
        <v>15.8598742610189</v>
      </c>
      <c r="AI4057">
        <v>93.833708892314704</v>
      </c>
      <c r="AJ4057">
        <v>74.131405077076806</v>
      </c>
      <c r="AK4057">
        <v>16.525196720711001</v>
      </c>
      <c r="AL4057">
        <v>79.295516559212203</v>
      </c>
      <c r="AM4057">
        <v>76.851626003183796</v>
      </c>
      <c r="AN4057">
        <v>0.99999997276897401</v>
      </c>
    </row>
    <row r="4058" spans="1:40" x14ac:dyDescent="0.25">
      <c r="A4058" t="str">
        <f>"20190312173011042"</f>
        <v>20190312173011042</v>
      </c>
      <c r="B4058" t="str">
        <f>"1552383011031629"</f>
        <v>1552383011031629</v>
      </c>
      <c r="C4058" t="s">
        <v>40</v>
      </c>
      <c r="D4058">
        <v>3.5893600000000001</v>
      </c>
      <c r="E4058">
        <v>0.50651789999999997</v>
      </c>
      <c r="F4058" t="s">
        <v>41</v>
      </c>
      <c r="G4058">
        <v>-235.76070000000001</v>
      </c>
      <c r="H4058" s="1">
        <v>-2.5097170000000001E-6</v>
      </c>
      <c r="I4058">
        <v>142.2799</v>
      </c>
      <c r="J4058">
        <v>-211.25710000000001</v>
      </c>
      <c r="K4058">
        <v>1.1048830000000001</v>
      </c>
      <c r="L4058">
        <v>143.10390000000001</v>
      </c>
      <c r="M4058">
        <v>-0.96288530000000006</v>
      </c>
      <c r="N4058">
        <v>0</v>
      </c>
      <c r="O4058">
        <v>-0.26960269999999997</v>
      </c>
      <c r="P4058">
        <v>-0.98304939999999996</v>
      </c>
      <c r="Q4058">
        <v>0.1759648</v>
      </c>
      <c r="R4058">
        <v>-5.1480360000000003E-2</v>
      </c>
      <c r="S4058">
        <v>-3.0706020000000001</v>
      </c>
      <c r="T4058">
        <v>-0.13694729999999999</v>
      </c>
      <c r="U4058">
        <v>-0.11071780000000001</v>
      </c>
      <c r="V4058">
        <v>0.2178611</v>
      </c>
      <c r="W4058">
        <v>0.1855762</v>
      </c>
      <c r="X4058">
        <v>0.95817430000000003</v>
      </c>
      <c r="Y4058">
        <v>0.23425660000000001</v>
      </c>
      <c r="Z4058">
        <v>1.710689E-2</v>
      </c>
      <c r="AA4058">
        <v>0.97202429999999995</v>
      </c>
      <c r="AB4058">
        <v>27</v>
      </c>
      <c r="AC4058">
        <v>-24.503599999999999</v>
      </c>
      <c r="AD4058">
        <v>-1.1048855097170001</v>
      </c>
      <c r="AE4058">
        <v>-0.82400000000001195</v>
      </c>
      <c r="AF4058">
        <v>5.8015203970437996</v>
      </c>
      <c r="AG4058">
        <v>-1.1048855097170001</v>
      </c>
      <c r="AH4058">
        <v>23.770015222818401</v>
      </c>
      <c r="AI4058">
        <v>92.585537076447295</v>
      </c>
      <c r="AJ4058">
        <v>76.284039781254407</v>
      </c>
      <c r="AK4058">
        <v>24.492693494181399</v>
      </c>
      <c r="AL4058">
        <v>79.305271900784504</v>
      </c>
      <c r="AM4058">
        <v>77.190377075524495</v>
      </c>
      <c r="AN4058">
        <v>0.99999998704006998</v>
      </c>
    </row>
    <row r="4059" spans="1:40" x14ac:dyDescent="0.25">
      <c r="A4059" t="str">
        <f>"20190312173011064"</f>
        <v>20190312173011064</v>
      </c>
      <c r="B4059" t="str">
        <f>"1552383011061881"</f>
        <v>1552383011061881</v>
      </c>
      <c r="C4059" t="s">
        <v>40</v>
      </c>
      <c r="D4059">
        <v>3.6433110000000002</v>
      </c>
      <c r="E4059">
        <v>0.49886059999999999</v>
      </c>
      <c r="F4059" t="s">
        <v>42</v>
      </c>
      <c r="G4059">
        <v>-211.9915</v>
      </c>
      <c r="H4059">
        <v>0.98031330000000005</v>
      </c>
      <c r="I4059">
        <v>143.07550000000001</v>
      </c>
      <c r="J4059">
        <v>-211.5067</v>
      </c>
      <c r="K4059">
        <v>1.10487</v>
      </c>
      <c r="L4059">
        <v>143.04169999999999</v>
      </c>
      <c r="M4059">
        <v>-0.96472440000000004</v>
      </c>
      <c r="N4059">
        <v>0</v>
      </c>
      <c r="O4059">
        <v>-0.26295220000000002</v>
      </c>
      <c r="P4059">
        <v>-0.98308870000000004</v>
      </c>
      <c r="Q4059">
        <v>0.17612079999999999</v>
      </c>
      <c r="R4059">
        <v>-5.0179309999999998E-2</v>
      </c>
      <c r="S4059">
        <v>-3.1407470000000002</v>
      </c>
      <c r="T4059">
        <v>-0.53282940000000001</v>
      </c>
      <c r="U4059">
        <v>-0.1216431</v>
      </c>
      <c r="V4059">
        <v>0.2124914</v>
      </c>
      <c r="W4059">
        <v>0.1856901</v>
      </c>
      <c r="X4059">
        <v>0.95935740000000003</v>
      </c>
      <c r="Y4059">
        <v>0.21865090000000001</v>
      </c>
      <c r="Z4059">
        <v>6.223455E-2</v>
      </c>
      <c r="AA4059">
        <v>0.97381649999999997</v>
      </c>
      <c r="AB4059">
        <v>27</v>
      </c>
      <c r="AC4059">
        <v>-0.484800000000007</v>
      </c>
      <c r="AD4059">
        <v>-0.12455670000000001</v>
      </c>
      <c r="AE4059">
        <v>3.3800000000013597E-2</v>
      </c>
      <c r="AF4059">
        <v>0.15023118495714899</v>
      </c>
      <c r="AG4059">
        <v>-0.12455670000000001</v>
      </c>
      <c r="AH4059">
        <v>0.43056399972285803</v>
      </c>
      <c r="AI4059">
        <v>105.27703787896201</v>
      </c>
      <c r="AJ4059">
        <v>70.765241831358495</v>
      </c>
      <c r="AK4059">
        <v>0.47272522495194302</v>
      </c>
      <c r="AL4059">
        <v>79.298630776282707</v>
      </c>
      <c r="AM4059">
        <v>77.510987909639994</v>
      </c>
      <c r="AN4059">
        <v>1.0000000146233601</v>
      </c>
    </row>
    <row r="4060" spans="1:40" x14ac:dyDescent="0.25">
      <c r="A4060" t="str">
        <f>"20190312173011088"</f>
        <v>20190312173011088</v>
      </c>
      <c r="B4060" t="str">
        <f>"1552383011081401"</f>
        <v>1552383011081401</v>
      </c>
      <c r="C4060" t="s">
        <v>40</v>
      </c>
      <c r="D4060">
        <v>4.1717069999999996</v>
      </c>
      <c r="E4060">
        <v>0.49672440000000001</v>
      </c>
      <c r="F4060" t="s">
        <v>42</v>
      </c>
      <c r="G4060">
        <v>-212.44710000000001</v>
      </c>
      <c r="H4060">
        <v>0.93922260000000002</v>
      </c>
      <c r="I4060">
        <v>142.98820000000001</v>
      </c>
      <c r="J4060">
        <v>-211.791</v>
      </c>
      <c r="K4060">
        <v>1.1048519999999999</v>
      </c>
      <c r="L4060">
        <v>142.97329999999999</v>
      </c>
      <c r="M4060">
        <v>-0.96675909999999998</v>
      </c>
      <c r="N4060">
        <v>0</v>
      </c>
      <c r="O4060">
        <v>-0.2553782</v>
      </c>
      <c r="P4060">
        <v>-0.98316029999999999</v>
      </c>
      <c r="Q4060">
        <v>0.17634169999999999</v>
      </c>
      <c r="R4060">
        <v>-4.7953870000000003E-2</v>
      </c>
      <c r="S4060">
        <v>-3.1415709999999999</v>
      </c>
      <c r="T4060">
        <v>-0.55325979999999997</v>
      </c>
      <c r="U4060">
        <v>-0.1791229</v>
      </c>
      <c r="V4060">
        <v>0.20711350000000001</v>
      </c>
      <c r="W4060">
        <v>0.18583859999999999</v>
      </c>
      <c r="X4060">
        <v>0.96050409999999997</v>
      </c>
      <c r="Y4060">
        <v>0.19315879999999999</v>
      </c>
      <c r="Z4060">
        <v>6.1005520000000001E-2</v>
      </c>
      <c r="AA4060">
        <v>0.9792691</v>
      </c>
      <c r="AB4060">
        <v>27</v>
      </c>
      <c r="AC4060">
        <v>-0.65610000000000901</v>
      </c>
      <c r="AD4060">
        <v>-0.16562939999999901</v>
      </c>
      <c r="AE4060">
        <v>1.4900000000011401E-2</v>
      </c>
      <c r="AF4060">
        <v>0.17107597580013301</v>
      </c>
      <c r="AG4060">
        <v>-0.16562939999999901</v>
      </c>
      <c r="AH4060">
        <v>0.59277810182540303</v>
      </c>
      <c r="AI4060">
        <v>105.027081426846</v>
      </c>
      <c r="AJ4060">
        <v>73.901840838901506</v>
      </c>
      <c r="AK4060">
        <v>0.63881606558074</v>
      </c>
      <c r="AL4060">
        <v>79.289972090086295</v>
      </c>
      <c r="AM4060">
        <v>77.831622738593495</v>
      </c>
      <c r="AN4060">
        <v>1.0000000566245</v>
      </c>
    </row>
    <row r="4061" spans="1:40" x14ac:dyDescent="0.25">
      <c r="A4061" t="str">
        <f>"20190312173011108"</f>
        <v>20190312173011108</v>
      </c>
      <c r="B4061" t="str">
        <f>"1552383011101898"</f>
        <v>1552383011101898</v>
      </c>
      <c r="C4061" t="s">
        <v>40</v>
      </c>
      <c r="D4061">
        <v>3.958205</v>
      </c>
      <c r="E4061">
        <v>0.49748530000000002</v>
      </c>
      <c r="F4061" t="s">
        <v>42</v>
      </c>
      <c r="G4061">
        <v>-212.68819999999999</v>
      </c>
      <c r="H4061">
        <v>0.96202659999999995</v>
      </c>
      <c r="I4061">
        <v>142.91929999999999</v>
      </c>
      <c r="J4061">
        <v>-212.03309999999999</v>
      </c>
      <c r="K4061">
        <v>1.1048389999999999</v>
      </c>
      <c r="L4061">
        <v>142.91669999999999</v>
      </c>
      <c r="M4061">
        <v>-0.96844240000000004</v>
      </c>
      <c r="N4061">
        <v>0</v>
      </c>
      <c r="O4061">
        <v>-0.24892600000000001</v>
      </c>
      <c r="P4061">
        <v>-0.98313879999999998</v>
      </c>
      <c r="Q4061">
        <v>0.17681820000000001</v>
      </c>
      <c r="R4061">
        <v>-4.6622530000000002E-2</v>
      </c>
      <c r="S4061">
        <v>-3.131561</v>
      </c>
      <c r="T4061">
        <v>-0.49826880000000001</v>
      </c>
      <c r="U4061">
        <v>-0.18879699999999999</v>
      </c>
      <c r="V4061">
        <v>0.20197870000000001</v>
      </c>
      <c r="W4061">
        <v>0.1862645</v>
      </c>
      <c r="X4061">
        <v>0.96151450000000005</v>
      </c>
      <c r="Y4061">
        <v>0.18484300000000001</v>
      </c>
      <c r="Z4061">
        <v>5.353865E-2</v>
      </c>
      <c r="AA4061">
        <v>0.98130859999999998</v>
      </c>
      <c r="AB4061">
        <v>27</v>
      </c>
      <c r="AC4061">
        <v>-0.65510000000000401</v>
      </c>
      <c r="AD4061">
        <v>-0.14281239999999901</v>
      </c>
      <c r="AE4061">
        <v>2.6000000000010398E-3</v>
      </c>
      <c r="AF4061">
        <v>0.158089243145943</v>
      </c>
      <c r="AG4061">
        <v>-0.14281239999999901</v>
      </c>
      <c r="AH4061">
        <v>0.60507329253666597</v>
      </c>
      <c r="AI4061">
        <v>102.863451328069</v>
      </c>
      <c r="AJ4061">
        <v>75.357492168205496</v>
      </c>
      <c r="AK4061">
        <v>0.64148365507889504</v>
      </c>
      <c r="AL4061">
        <v>79.265135529992406</v>
      </c>
      <c r="AM4061">
        <v>78.136759208010503</v>
      </c>
      <c r="AN4061">
        <v>0.99999999646209503</v>
      </c>
    </row>
    <row r="4062" spans="1:40" x14ac:dyDescent="0.25">
      <c r="A4062" t="str">
        <f>"20190312173011131"</f>
        <v>20190312173011131</v>
      </c>
      <c r="B4062" t="str">
        <f>"1552383011122394"</f>
        <v>1552383011122394</v>
      </c>
      <c r="C4062" t="s">
        <v>40</v>
      </c>
      <c r="D4062">
        <v>3.521712</v>
      </c>
      <c r="E4062">
        <v>0.49413899999999999</v>
      </c>
      <c r="F4062" t="s">
        <v>51</v>
      </c>
      <c r="G4062">
        <v>-287.15350000000001</v>
      </c>
      <c r="H4062" s="1">
        <v>-6.86711199999999E-6</v>
      </c>
      <c r="I4062">
        <v>138.71289999999999</v>
      </c>
      <c r="J4062">
        <v>-212.30240000000001</v>
      </c>
      <c r="K4062">
        <v>1.1048180000000001</v>
      </c>
      <c r="L4062">
        <v>142.85589999999999</v>
      </c>
      <c r="M4062">
        <v>-0.97026279999999998</v>
      </c>
      <c r="N4062">
        <v>0</v>
      </c>
      <c r="O4062">
        <v>-0.24174010000000001</v>
      </c>
      <c r="P4062">
        <v>-0.98315319999999995</v>
      </c>
      <c r="Q4062">
        <v>0.17727190000000001</v>
      </c>
      <c r="R4062">
        <v>-4.4546540000000003E-2</v>
      </c>
      <c r="S4062">
        <v>-3.0514070000000002</v>
      </c>
      <c r="T4062">
        <v>-4.4879080000000002E-2</v>
      </c>
      <c r="U4062">
        <v>-0.1707611</v>
      </c>
      <c r="V4062">
        <v>0.19685320000000001</v>
      </c>
      <c r="W4062">
        <v>0.1866514</v>
      </c>
      <c r="X4062">
        <v>0.96250199999999997</v>
      </c>
      <c r="Y4062">
        <v>0.18711849999999999</v>
      </c>
      <c r="Z4062">
        <v>4.8948949999999998E-3</v>
      </c>
      <c r="AA4062">
        <v>0.98232509999999995</v>
      </c>
      <c r="AB4062">
        <v>27</v>
      </c>
      <c r="AC4062">
        <v>-74.851100000000002</v>
      </c>
      <c r="AD4062">
        <v>-1.104824867112</v>
      </c>
      <c r="AE4062">
        <v>-4.1429999999999998</v>
      </c>
      <c r="AF4062">
        <v>14.072725561369101</v>
      </c>
      <c r="AG4062">
        <v>-1.104824867112</v>
      </c>
      <c r="AH4062">
        <v>73.616367301381302</v>
      </c>
      <c r="AI4062">
        <v>90.844532785122297</v>
      </c>
      <c r="AJ4062">
        <v>79.177733415592598</v>
      </c>
      <c r="AK4062">
        <v>74.957533159546401</v>
      </c>
      <c r="AL4062">
        <v>79.242572284481398</v>
      </c>
      <c r="AM4062">
        <v>78.441138181160795</v>
      </c>
      <c r="AN4062">
        <v>1.0000000137381</v>
      </c>
    </row>
    <row r="4063" spans="1:40" x14ac:dyDescent="0.25">
      <c r="A4063" t="str">
        <f>"20190312173011152"</f>
        <v>20190312173011152</v>
      </c>
      <c r="B4063" t="str">
        <f>"1552383011141916"</f>
        <v>1552383011141916</v>
      </c>
      <c r="C4063" t="s">
        <v>40</v>
      </c>
      <c r="D4063">
        <v>3.4490850000000002</v>
      </c>
      <c r="E4063">
        <v>0.4936816</v>
      </c>
      <c r="F4063" t="s">
        <v>41</v>
      </c>
      <c r="G4063">
        <v>-254.20079999999999</v>
      </c>
      <c r="H4063" s="1">
        <v>-2.6351239999999998E-6</v>
      </c>
      <c r="I4063">
        <v>140.2362</v>
      </c>
      <c r="J4063">
        <v>-212.55799999999999</v>
      </c>
      <c r="K4063">
        <v>1.1047910000000001</v>
      </c>
      <c r="L4063">
        <v>142.80000000000001</v>
      </c>
      <c r="M4063">
        <v>-0.97194020000000003</v>
      </c>
      <c r="N4063">
        <v>0</v>
      </c>
      <c r="O4063">
        <v>-0.23491290000000001</v>
      </c>
      <c r="P4063">
        <v>-0.98316060000000005</v>
      </c>
      <c r="Q4063">
        <v>0.17772199999999999</v>
      </c>
      <c r="R4063">
        <v>-4.2549049999999998E-2</v>
      </c>
      <c r="S4063">
        <v>-3.0572810000000001</v>
      </c>
      <c r="T4063">
        <v>-8.0617549999999996E-2</v>
      </c>
      <c r="U4063">
        <v>-0.19114690000000001</v>
      </c>
      <c r="V4063">
        <v>0.19201699999999999</v>
      </c>
      <c r="W4063">
        <v>0.18703600000000001</v>
      </c>
      <c r="X4063">
        <v>0.96340389999999998</v>
      </c>
      <c r="Y4063">
        <v>0.1736791</v>
      </c>
      <c r="Z4063">
        <v>8.4197930000000001E-3</v>
      </c>
      <c r="AA4063">
        <v>0.98476629999999998</v>
      </c>
      <c r="AB4063">
        <v>27</v>
      </c>
      <c r="AC4063">
        <v>-41.642800000000001</v>
      </c>
      <c r="AD4063">
        <v>-1.104793635124</v>
      </c>
      <c r="AE4063">
        <v>-2.5638000000000098</v>
      </c>
      <c r="AF4063">
        <v>7.2860019195707899</v>
      </c>
      <c r="AG4063">
        <v>-1.104793635124</v>
      </c>
      <c r="AH4063">
        <v>41.050840010058799</v>
      </c>
      <c r="AI4063">
        <v>91.517906938922295</v>
      </c>
      <c r="AJ4063">
        <v>79.935537211631697</v>
      </c>
      <c r="AK4063">
        <v>41.707048067198997</v>
      </c>
      <c r="AL4063">
        <v>79.220141532311999</v>
      </c>
      <c r="AM4063">
        <v>78.728030702091203</v>
      </c>
      <c r="AN4063">
        <v>1.0000000340601001</v>
      </c>
    </row>
    <row r="4064" spans="1:40" x14ac:dyDescent="0.25">
      <c r="A4064" t="str">
        <f>"20190312173011175"</f>
        <v>20190312173011175</v>
      </c>
      <c r="B4064" t="str">
        <f>"1552383011172170"</f>
        <v>1552383011172170</v>
      </c>
      <c r="C4064" t="s">
        <v>40</v>
      </c>
      <c r="D4064">
        <v>3.4580669999999998</v>
      </c>
      <c r="E4064">
        <v>0.4931796</v>
      </c>
      <c r="F4064" t="s">
        <v>41</v>
      </c>
      <c r="G4064">
        <v>-249.0838</v>
      </c>
      <c r="H4064" s="1">
        <v>-6.2444549999999999E-7</v>
      </c>
      <c r="I4064">
        <v>140.5523</v>
      </c>
      <c r="J4064">
        <v>-212.82310000000001</v>
      </c>
      <c r="K4064">
        <v>1.1047640000000001</v>
      </c>
      <c r="L4064">
        <v>142.744</v>
      </c>
      <c r="M4064">
        <v>-0.9736264</v>
      </c>
      <c r="N4064">
        <v>0</v>
      </c>
      <c r="O4064">
        <v>-0.22783030000000001</v>
      </c>
      <c r="P4064">
        <v>-0.98336420000000002</v>
      </c>
      <c r="Q4064">
        <v>0.17732829999999999</v>
      </c>
      <c r="R4064">
        <v>-3.9364749999999997E-2</v>
      </c>
      <c r="S4064">
        <v>-3.0599669999999999</v>
      </c>
      <c r="T4064">
        <v>-9.2554449999999996E-2</v>
      </c>
      <c r="U4064">
        <v>-0.1882935</v>
      </c>
      <c r="V4064">
        <v>0.1881265</v>
      </c>
      <c r="W4064">
        <v>0.18656519999999999</v>
      </c>
      <c r="X4064">
        <v>0.96426230000000002</v>
      </c>
      <c r="Y4064">
        <v>0.1674358</v>
      </c>
      <c r="Z4064">
        <v>9.3549270000000007E-3</v>
      </c>
      <c r="AA4064">
        <v>0.98583860000000001</v>
      </c>
      <c r="AB4064">
        <v>27</v>
      </c>
      <c r="AC4064">
        <v>-36.2606999999999</v>
      </c>
      <c r="AD4064">
        <v>-1.1047646244454901</v>
      </c>
      <c r="AE4064">
        <v>-2.1916999999999902</v>
      </c>
      <c r="AF4064">
        <v>6.12217117645217</v>
      </c>
      <c r="AG4064">
        <v>-1.1047646244454901</v>
      </c>
      <c r="AH4064">
        <v>35.773220514658902</v>
      </c>
      <c r="AI4064">
        <v>91.743539298880904</v>
      </c>
      <c r="AJ4064">
        <v>80.288574034960803</v>
      </c>
      <c r="AK4064">
        <v>36.310119674542797</v>
      </c>
      <c r="AL4064">
        <v>79.247598994532893</v>
      </c>
      <c r="AM4064">
        <v>78.960332926860801</v>
      </c>
      <c r="AN4064">
        <v>0.99999996852728901</v>
      </c>
    </row>
    <row r="4065" spans="1:40" x14ac:dyDescent="0.25">
      <c r="A4065" t="str">
        <f>"20190312173011197"</f>
        <v>20190312173011197</v>
      </c>
      <c r="B4065" t="str">
        <f>"1552383011191690"</f>
        <v>1552383011191690</v>
      </c>
      <c r="C4065" t="s">
        <v>40</v>
      </c>
      <c r="D4065">
        <v>3.4522460000000001</v>
      </c>
      <c r="E4065">
        <v>0.49282969999999998</v>
      </c>
      <c r="F4065" t="s">
        <v>41</v>
      </c>
      <c r="G4065">
        <v>-243.3854</v>
      </c>
      <c r="H4065" s="1">
        <v>-3.168207E-6</v>
      </c>
      <c r="I4065">
        <v>140.92509999999999</v>
      </c>
      <c r="J4065">
        <v>-213.08860000000001</v>
      </c>
      <c r="K4065">
        <v>1.1047389999999999</v>
      </c>
      <c r="L4065">
        <v>142.68989999999999</v>
      </c>
      <c r="M4065">
        <v>-0.97526170000000001</v>
      </c>
      <c r="N4065">
        <v>0</v>
      </c>
      <c r="O4065">
        <v>-0.2207325</v>
      </c>
      <c r="P4065">
        <v>-0.98349200000000003</v>
      </c>
      <c r="Q4065">
        <v>0.17735970000000001</v>
      </c>
      <c r="R4065">
        <v>-3.5883199999999997E-2</v>
      </c>
      <c r="S4065">
        <v>-3.0634160000000001</v>
      </c>
      <c r="T4065">
        <v>-0.1107364</v>
      </c>
      <c r="U4065">
        <v>-0.182312</v>
      </c>
      <c r="V4065">
        <v>0.1845099</v>
      </c>
      <c r="W4065">
        <v>0.1865221</v>
      </c>
      <c r="X4065">
        <v>0.96496919999999997</v>
      </c>
      <c r="Y4065">
        <v>0.1621697</v>
      </c>
      <c r="Z4065">
        <v>1.0834659999999999E-2</v>
      </c>
      <c r="AA4065">
        <v>0.98670340000000001</v>
      </c>
      <c r="AB4065">
        <v>27</v>
      </c>
      <c r="AC4065">
        <v>-30.296799999999902</v>
      </c>
      <c r="AD4065">
        <v>-1.104742168207</v>
      </c>
      <c r="AE4065">
        <v>-1.7647999999999999</v>
      </c>
      <c r="AF4065">
        <v>4.96012586690488</v>
      </c>
      <c r="AG4065">
        <v>-1.104742168207</v>
      </c>
      <c r="AH4065">
        <v>29.899359413899099</v>
      </c>
      <c r="AI4065">
        <v>92.087536759022996</v>
      </c>
      <c r="AJ4065">
        <v>80.580754354376893</v>
      </c>
      <c r="AK4065">
        <v>30.328122217428401</v>
      </c>
      <c r="AL4065">
        <v>79.250112656031007</v>
      </c>
      <c r="AM4065">
        <v>79.175242014279405</v>
      </c>
      <c r="AN4065">
        <v>0.99999997696752896</v>
      </c>
    </row>
    <row r="4066" spans="1:40" x14ac:dyDescent="0.25">
      <c r="A4066" t="str">
        <f>"20190312173011219"</f>
        <v>20190312173011219</v>
      </c>
      <c r="B4066" t="str">
        <f>"1552383011212186"</f>
        <v>1552383011212186</v>
      </c>
      <c r="C4066" t="s">
        <v>40</v>
      </c>
      <c r="D4066">
        <v>3.4925809999999999</v>
      </c>
      <c r="E4066">
        <v>0.4928418</v>
      </c>
      <c r="F4066" t="s">
        <v>41</v>
      </c>
      <c r="G4066">
        <v>-241.66919999999999</v>
      </c>
      <c r="H4066" s="1">
        <v>-3.941074E-6</v>
      </c>
      <c r="I4066">
        <v>141.06280000000001</v>
      </c>
      <c r="J4066">
        <v>-213.35679999999999</v>
      </c>
      <c r="K4066">
        <v>1.1047180000000001</v>
      </c>
      <c r="L4066">
        <v>142.63720000000001</v>
      </c>
      <c r="M4066">
        <v>-0.97685840000000002</v>
      </c>
      <c r="N4066">
        <v>0</v>
      </c>
      <c r="O4066">
        <v>-0.21356249999999999</v>
      </c>
      <c r="P4066">
        <v>-0.98359989999999997</v>
      </c>
      <c r="Q4066">
        <v>0.1774181</v>
      </c>
      <c r="R4066">
        <v>-3.246868E-2</v>
      </c>
      <c r="S4066">
        <v>-3.065369</v>
      </c>
      <c r="T4066">
        <v>-0.1184875</v>
      </c>
      <c r="U4066">
        <v>-0.1744995</v>
      </c>
      <c r="V4066">
        <v>0.1807637</v>
      </c>
      <c r="W4066">
        <v>0.1865146</v>
      </c>
      <c r="X4066">
        <v>0.96567939999999997</v>
      </c>
      <c r="Y4066">
        <v>0.15743599999999999</v>
      </c>
      <c r="Z4066">
        <v>1.12243E-2</v>
      </c>
      <c r="AA4066">
        <v>0.98746540000000005</v>
      </c>
      <c r="AB4066">
        <v>27</v>
      </c>
      <c r="AC4066">
        <v>-28.3124</v>
      </c>
      <c r="AD4066">
        <v>-1.1047219410739999</v>
      </c>
      <c r="AE4066">
        <v>-1.57439999999999</v>
      </c>
      <c r="AF4066">
        <v>4.5019807516832797</v>
      </c>
      <c r="AG4066">
        <v>-1.1047219410739999</v>
      </c>
      <c r="AH4066">
        <v>27.952953744710602</v>
      </c>
      <c r="AI4066">
        <v>92.234430799427798</v>
      </c>
      <c r="AJ4066">
        <v>80.850759034787004</v>
      </c>
      <c r="AK4066">
        <v>28.334711297444802</v>
      </c>
      <c r="AL4066">
        <v>79.250549837353901</v>
      </c>
      <c r="AM4066">
        <v>79.397608874720703</v>
      </c>
      <c r="AN4066">
        <v>0.99999995741760395</v>
      </c>
    </row>
    <row r="4067" spans="1:40" x14ac:dyDescent="0.25">
      <c r="A4067" t="str">
        <f>"20190312173011243"</f>
        <v>20190312173011243</v>
      </c>
      <c r="B4067" t="str">
        <f>"1552383011231709"</f>
        <v>1552383011231709</v>
      </c>
      <c r="C4067" t="s">
        <v>40</v>
      </c>
      <c r="D4067">
        <v>3.4744449999999998</v>
      </c>
      <c r="E4067">
        <v>0.49287199999999998</v>
      </c>
      <c r="F4067" t="s">
        <v>41</v>
      </c>
      <c r="G4067">
        <v>-241.32069999999999</v>
      </c>
      <c r="H4067" s="1">
        <v>-4.0977480000000002E-6</v>
      </c>
      <c r="I4067">
        <v>141.14490000000001</v>
      </c>
      <c r="J4067">
        <v>-213.6275</v>
      </c>
      <c r="K4067">
        <v>1.104687</v>
      </c>
      <c r="L4067">
        <v>142.58609999999999</v>
      </c>
      <c r="M4067">
        <v>-0.97841330000000004</v>
      </c>
      <c r="N4067">
        <v>0</v>
      </c>
      <c r="O4067">
        <v>-0.20632729999999999</v>
      </c>
      <c r="P4067">
        <v>-0.98373690000000003</v>
      </c>
      <c r="Q4067">
        <v>0.17727709999999999</v>
      </c>
      <c r="R4067">
        <v>-2.8893539999999999E-2</v>
      </c>
      <c r="S4067">
        <v>-3.0664669999999998</v>
      </c>
      <c r="T4067">
        <v>-0.12114179999999999</v>
      </c>
      <c r="U4067">
        <v>-0.16363529999999901</v>
      </c>
      <c r="V4067">
        <v>0.177125</v>
      </c>
      <c r="W4067">
        <v>0.18631690000000001</v>
      </c>
      <c r="X4067">
        <v>0.96639160000000002</v>
      </c>
      <c r="Y4067">
        <v>0.1536305</v>
      </c>
      <c r="Z4067">
        <v>1.111843E-2</v>
      </c>
      <c r="AA4067">
        <v>0.98806579999999999</v>
      </c>
      <c r="AB4067">
        <v>27</v>
      </c>
      <c r="AC4067">
        <v>-27.693199999999901</v>
      </c>
      <c r="AD4067">
        <v>-1.104691097748</v>
      </c>
      <c r="AE4067">
        <v>-1.4411999999999801</v>
      </c>
      <c r="AF4067">
        <v>4.29724813267093</v>
      </c>
      <c r="AG4067">
        <v>-1.104691097748</v>
      </c>
      <c r="AH4067">
        <v>27.351218526586202</v>
      </c>
      <c r="AI4067">
        <v>92.284869400276605</v>
      </c>
      <c r="AJ4067">
        <v>81.071046381699801</v>
      </c>
      <c r="AK4067">
        <v>27.7087682660969</v>
      </c>
      <c r="AL4067">
        <v>79.262079654161397</v>
      </c>
      <c r="AM4067">
        <v>79.613826292797896</v>
      </c>
      <c r="AN4067">
        <v>0.99999998870058404</v>
      </c>
    </row>
    <row r="4068" spans="1:40" x14ac:dyDescent="0.25">
      <c r="A4068" t="str">
        <f>"20190312173011265"</f>
        <v>20190312173011265</v>
      </c>
      <c r="B4068" t="str">
        <f>"1552383011261961"</f>
        <v>1552383011261961</v>
      </c>
      <c r="C4068" t="s">
        <v>40</v>
      </c>
      <c r="D4068">
        <v>3.4866489999999999</v>
      </c>
      <c r="E4068">
        <v>0.49290319999999999</v>
      </c>
      <c r="F4068" t="s">
        <v>41</v>
      </c>
      <c r="G4068">
        <v>-240.70820000000001</v>
      </c>
      <c r="H4068" s="1">
        <v>-4.3236559999999901E-6</v>
      </c>
      <c r="I4068">
        <v>141.24350000000001</v>
      </c>
      <c r="J4068">
        <v>-213.9023</v>
      </c>
      <c r="K4068">
        <v>1.1046659999999999</v>
      </c>
      <c r="L4068">
        <v>142.53639999999999</v>
      </c>
      <c r="M4068">
        <v>-0.9799329</v>
      </c>
      <c r="N4068">
        <v>0</v>
      </c>
      <c r="O4068">
        <v>-0.1989909</v>
      </c>
      <c r="P4068">
        <v>-0.98393319999999995</v>
      </c>
      <c r="Q4068">
        <v>0.17673820000000001</v>
      </c>
      <c r="R4068">
        <v>-2.5274700000000001E-2</v>
      </c>
      <c r="S4068">
        <v>-3.067688</v>
      </c>
      <c r="T4068">
        <v>-0.1251389</v>
      </c>
      <c r="U4068">
        <v>-0.15208440000000001</v>
      </c>
      <c r="V4068">
        <v>0.17344499999999999</v>
      </c>
      <c r="W4068">
        <v>0.18573500000000001</v>
      </c>
      <c r="X4068">
        <v>0.9671708</v>
      </c>
      <c r="Y4068">
        <v>0.149948</v>
      </c>
      <c r="Z4068">
        <v>1.111384E-2</v>
      </c>
      <c r="AA4068">
        <v>0.98863140000000005</v>
      </c>
      <c r="AB4068">
        <v>27</v>
      </c>
      <c r="AC4068">
        <v>-26.805900000000001</v>
      </c>
      <c r="AD4068">
        <v>-1.10467032365599</v>
      </c>
      <c r="AE4068">
        <v>-1.29289999999997</v>
      </c>
      <c r="AF4068">
        <v>4.0605678174359401</v>
      </c>
      <c r="AG4068">
        <v>-1.10467032365599</v>
      </c>
      <c r="AH4068">
        <v>26.4821685272907</v>
      </c>
      <c r="AI4068">
        <v>92.361074234855295</v>
      </c>
      <c r="AJ4068">
        <v>81.282609319235206</v>
      </c>
      <c r="AK4068">
        <v>26.814431887171999</v>
      </c>
      <c r="AL4068">
        <v>79.296012572029895</v>
      </c>
      <c r="AM4068">
        <v>79.833084309032301</v>
      </c>
      <c r="AN4068">
        <v>1.00000000731132</v>
      </c>
    </row>
    <row r="4069" spans="1:40" x14ac:dyDescent="0.25">
      <c r="A4069" t="str">
        <f>"20190312173011288"</f>
        <v>20190312173011288</v>
      </c>
      <c r="B4069" t="str">
        <f>"1552383011281483"</f>
        <v>1552383011281483</v>
      </c>
      <c r="C4069" t="s">
        <v>40</v>
      </c>
      <c r="D4069">
        <v>3.4799720000000001</v>
      </c>
      <c r="E4069">
        <v>0.49281459999999999</v>
      </c>
      <c r="F4069" t="s">
        <v>41</v>
      </c>
      <c r="G4069">
        <v>-240.0085</v>
      </c>
      <c r="H4069" s="1">
        <v>-4.5789369999999999E-6</v>
      </c>
      <c r="I4069">
        <v>141.34020000000001</v>
      </c>
      <c r="J4069">
        <v>-214.17410000000001</v>
      </c>
      <c r="K4069">
        <v>1.1046560000000001</v>
      </c>
      <c r="L4069">
        <v>142.48939999999999</v>
      </c>
      <c r="M4069">
        <v>-0.98137739999999996</v>
      </c>
      <c r="N4069">
        <v>0</v>
      </c>
      <c r="O4069">
        <v>-0.1917452</v>
      </c>
      <c r="P4069">
        <v>-0.98415949999999996</v>
      </c>
      <c r="Q4069">
        <v>0.17594960000000001</v>
      </c>
      <c r="R4069">
        <v>-2.172675E-2</v>
      </c>
      <c r="S4069">
        <v>-3.068695</v>
      </c>
      <c r="T4069">
        <v>-0.12985050000000001</v>
      </c>
      <c r="U4069">
        <v>-0.1406097</v>
      </c>
      <c r="V4069">
        <v>0.16979559999999999</v>
      </c>
      <c r="W4069">
        <v>0.184916</v>
      </c>
      <c r="X4069">
        <v>0.96797500000000003</v>
      </c>
      <c r="Y4069">
        <v>0.14633399999999999</v>
      </c>
      <c r="Z4069">
        <v>1.115245E-2</v>
      </c>
      <c r="AA4069">
        <v>0.98917239999999995</v>
      </c>
      <c r="AB4069">
        <v>27</v>
      </c>
      <c r="AC4069">
        <v>-25.834399999999899</v>
      </c>
      <c r="AD4069">
        <v>-1.1046605789370001</v>
      </c>
      <c r="AE4069">
        <v>-1.14919999999997</v>
      </c>
      <c r="AF4069">
        <v>3.8191072539617998</v>
      </c>
      <c r="AG4069">
        <v>-1.1046605789370001</v>
      </c>
      <c r="AH4069">
        <v>25.5287566805316</v>
      </c>
      <c r="AI4069">
        <v>92.450477340519996</v>
      </c>
      <c r="AJ4069">
        <v>81.491638166138898</v>
      </c>
      <c r="AK4069">
        <v>25.836471757299002</v>
      </c>
      <c r="AL4069">
        <v>79.343765340415104</v>
      </c>
      <c r="AM4069">
        <v>80.050784536878993</v>
      </c>
      <c r="AN4069">
        <v>1.00000003673017</v>
      </c>
    </row>
    <row r="4070" spans="1:40" x14ac:dyDescent="0.25">
      <c r="A4070" t="str">
        <f>"20190312173011310"</f>
        <v>20190312173011310</v>
      </c>
      <c r="B4070" t="str">
        <f>"1552383011301978"</f>
        <v>1552383011301978</v>
      </c>
      <c r="C4070" t="s">
        <v>40</v>
      </c>
      <c r="D4070">
        <v>3.4897390000000001</v>
      </c>
      <c r="E4070">
        <v>0.49273289999999997</v>
      </c>
      <c r="F4070" t="s">
        <v>41</v>
      </c>
      <c r="G4070">
        <v>-239.5213</v>
      </c>
      <c r="H4070" s="1">
        <v>-6.6662020000000001E-7</v>
      </c>
      <c r="I4070">
        <v>141.41630000000001</v>
      </c>
      <c r="J4070">
        <v>-214.4511</v>
      </c>
      <c r="K4070">
        <v>1.1046389999999999</v>
      </c>
      <c r="L4070">
        <v>142.4436</v>
      </c>
      <c r="M4070">
        <v>-0.98278969999999999</v>
      </c>
      <c r="N4070">
        <v>0</v>
      </c>
      <c r="O4070">
        <v>-0.1843755</v>
      </c>
      <c r="P4070">
        <v>-0.98436440000000003</v>
      </c>
      <c r="Q4070">
        <v>0.1751964</v>
      </c>
      <c r="R4070">
        <v>-1.826183E-2</v>
      </c>
      <c r="S4070">
        <v>-3.0693510000000002</v>
      </c>
      <c r="T4070">
        <v>-0.13376559999999901</v>
      </c>
      <c r="U4070">
        <v>-0.1299438</v>
      </c>
      <c r="V4070">
        <v>0.16594579999999901</v>
      </c>
      <c r="W4070">
        <v>0.18414459999999999</v>
      </c>
      <c r="X4070">
        <v>0.96878929999999996</v>
      </c>
      <c r="Y4070">
        <v>0.14234229999999901</v>
      </c>
      <c r="Z4070">
        <v>1.1084719999999999E-2</v>
      </c>
      <c r="AA4070">
        <v>0.98975550000000001</v>
      </c>
      <c r="AB4070">
        <v>27</v>
      </c>
      <c r="AC4070">
        <v>-25.0702</v>
      </c>
      <c r="AD4070">
        <v>-1.1046396666202001</v>
      </c>
      <c r="AE4070">
        <v>-1.0272999999999901</v>
      </c>
      <c r="AF4070">
        <v>3.6059567552702698</v>
      </c>
      <c r="AG4070">
        <v>-1.1046396666202001</v>
      </c>
      <c r="AH4070">
        <v>24.781726502585801</v>
      </c>
      <c r="AI4070">
        <v>92.525693567289593</v>
      </c>
      <c r="AJ4070">
        <v>81.721068773397803</v>
      </c>
      <c r="AK4070">
        <v>25.067052506485702</v>
      </c>
      <c r="AL4070">
        <v>79.388734923788803</v>
      </c>
      <c r="AM4070">
        <v>80.280026456820707</v>
      </c>
      <c r="AN4070">
        <v>0.99999997502064397</v>
      </c>
    </row>
    <row r="4071" spans="1:40" x14ac:dyDescent="0.25">
      <c r="A4071" t="str">
        <f>"20190312173011334"</f>
        <v>20190312173011334</v>
      </c>
      <c r="B4071" t="str">
        <f>"1552383011321498"</f>
        <v>1552383011321498</v>
      </c>
      <c r="C4071" t="s">
        <v>40</v>
      </c>
      <c r="D4071">
        <v>3.4784269999999902</v>
      </c>
      <c r="E4071">
        <v>0.49270649999999999</v>
      </c>
      <c r="F4071" t="s">
        <v>41</v>
      </c>
      <c r="G4071">
        <v>-239.1045</v>
      </c>
      <c r="H4071" s="1">
        <v>-8.6388340000000003E-7</v>
      </c>
      <c r="I4071">
        <v>141.48560000000001</v>
      </c>
      <c r="J4071">
        <v>-214.72370000000001</v>
      </c>
      <c r="K4071">
        <v>1.104636</v>
      </c>
      <c r="L4071">
        <v>142.40049999999999</v>
      </c>
      <c r="M4071">
        <v>-0.98411990000000005</v>
      </c>
      <c r="N4071">
        <v>0</v>
      </c>
      <c r="O4071">
        <v>-0.17714199999999999</v>
      </c>
      <c r="P4071">
        <v>-0.98441880000000004</v>
      </c>
      <c r="Q4071">
        <v>0.17519589999999999</v>
      </c>
      <c r="R4071">
        <v>-1.503678E-2</v>
      </c>
      <c r="S4071">
        <v>-3.0699010000000002</v>
      </c>
      <c r="T4071">
        <v>-0.1375526</v>
      </c>
      <c r="U4071">
        <v>-0.119278</v>
      </c>
      <c r="V4071">
        <v>0.16198299999999999</v>
      </c>
      <c r="W4071">
        <v>0.18413760000000001</v>
      </c>
      <c r="X4071">
        <v>0.96946109999999996</v>
      </c>
      <c r="Y4071">
        <v>0.138494899999999</v>
      </c>
      <c r="Z4071">
        <v>1.099233E-2</v>
      </c>
      <c r="AA4071">
        <v>0.99030209999999996</v>
      </c>
      <c r="AB4071">
        <v>27</v>
      </c>
      <c r="AC4071">
        <v>-24.380799999999901</v>
      </c>
      <c r="AD4071">
        <v>-1.1046368638834001</v>
      </c>
      <c r="AE4071">
        <v>-0.91489999999998795</v>
      </c>
      <c r="AF4071">
        <v>3.4117187648821998</v>
      </c>
      <c r="AG4071">
        <v>-1.1046368638834001</v>
      </c>
      <c r="AH4071">
        <v>24.107834080474198</v>
      </c>
      <c r="AI4071">
        <v>92.597647952123495</v>
      </c>
      <c r="AJ4071">
        <v>81.945043109644701</v>
      </c>
      <c r="AK4071">
        <v>24.3730940092425</v>
      </c>
      <c r="AL4071">
        <v>79.389143092143598</v>
      </c>
      <c r="AM4071">
        <v>80.514324400930306</v>
      </c>
      <c r="AN4071">
        <v>0.99999998621798403</v>
      </c>
    </row>
    <row r="4072" spans="1:40" x14ac:dyDescent="0.25">
      <c r="A4072" t="str">
        <f>"20190312173011355"</f>
        <v>20190312173011355</v>
      </c>
      <c r="B4072" t="str">
        <f>"1552383011351754"</f>
        <v>1552383011351754</v>
      </c>
      <c r="C4072" t="s">
        <v>40</v>
      </c>
      <c r="D4072">
        <v>3.4643570000000001</v>
      </c>
      <c r="E4072">
        <v>0.4926045</v>
      </c>
      <c r="F4072" t="s">
        <v>41</v>
      </c>
      <c r="G4072">
        <v>-239.1688</v>
      </c>
      <c r="H4072" s="1">
        <v>-8.4904669999999898E-7</v>
      </c>
      <c r="I4072">
        <v>141.53360000000001</v>
      </c>
      <c r="J4072">
        <v>-214.98849999999999</v>
      </c>
      <c r="K4072">
        <v>1.104643</v>
      </c>
      <c r="L4072">
        <v>142.3605</v>
      </c>
      <c r="M4072">
        <v>-0.98535470000000003</v>
      </c>
      <c r="N4072">
        <v>0</v>
      </c>
      <c r="O4072">
        <v>-0.1701435</v>
      </c>
      <c r="P4072">
        <v>-0.98440830000000001</v>
      </c>
      <c r="Q4072">
        <v>0.1754947</v>
      </c>
      <c r="R4072">
        <v>-1.1918959999999999E-2</v>
      </c>
      <c r="S4072">
        <v>-3.0704959999999999</v>
      </c>
      <c r="T4072">
        <v>-0.13875129999999999</v>
      </c>
      <c r="U4072">
        <v>-0.1088867</v>
      </c>
      <c r="V4072">
        <v>0.15814549999999999</v>
      </c>
      <c r="W4072">
        <v>0.18443509999999999</v>
      </c>
      <c r="X4072">
        <v>0.97003799999999996</v>
      </c>
      <c r="Y4072">
        <v>0.1348152</v>
      </c>
      <c r="Z4072">
        <v>1.069223E-2</v>
      </c>
      <c r="AA4072">
        <v>0.9908131</v>
      </c>
      <c r="AB4072">
        <v>27</v>
      </c>
      <c r="AC4072">
        <v>-24.180299999999999</v>
      </c>
      <c r="AD4072">
        <v>-1.1046438490467001</v>
      </c>
      <c r="AE4072">
        <v>-0.82689999999999397</v>
      </c>
      <c r="AF4072">
        <v>3.2926773309002102</v>
      </c>
      <c r="AG4072">
        <v>-1.1046438490467001</v>
      </c>
      <c r="AH4072">
        <v>23.918530085223701</v>
      </c>
      <c r="AI4072">
        <v>92.619576253513401</v>
      </c>
      <c r="AJ4072">
        <v>82.161803089269696</v>
      </c>
      <c r="AK4072">
        <v>24.1693616687825</v>
      </c>
      <c r="AL4072">
        <v>79.371800856824095</v>
      </c>
      <c r="AM4072">
        <v>80.740518933823694</v>
      </c>
      <c r="AN4072">
        <v>1.0000000133631299</v>
      </c>
    </row>
    <row r="4073" spans="1:40" x14ac:dyDescent="0.25">
      <c r="A4073" t="str">
        <f>"20190312173011378"</f>
        <v>20190312173011378</v>
      </c>
      <c r="B4073" t="str">
        <f>"1552383011372250"</f>
        <v>1552383011372250</v>
      </c>
      <c r="C4073" t="s">
        <v>40</v>
      </c>
      <c r="D4073">
        <v>3.4746990000000002</v>
      </c>
      <c r="E4073">
        <v>0.49258439999999998</v>
      </c>
      <c r="F4073" t="s">
        <v>41</v>
      </c>
      <c r="G4073">
        <v>-239.36770000000001</v>
      </c>
      <c r="H4073" s="1">
        <v>-7.72722E-7</v>
      </c>
      <c r="I4073">
        <v>141.5675</v>
      </c>
      <c r="J4073">
        <v>-215.26</v>
      </c>
      <c r="K4073">
        <v>1.1046560000000001</v>
      </c>
      <c r="L4073">
        <v>142.32149999999999</v>
      </c>
      <c r="M4073">
        <v>-0.98656080000000002</v>
      </c>
      <c r="N4073">
        <v>0</v>
      </c>
      <c r="O4073">
        <v>-0.163008399999999</v>
      </c>
      <c r="P4073">
        <v>-0.98440090000000002</v>
      </c>
      <c r="Q4073">
        <v>0.17570620000000001</v>
      </c>
      <c r="R4073">
        <v>-9.0787409999999995E-3</v>
      </c>
      <c r="S4073">
        <v>-3.0711059999999999</v>
      </c>
      <c r="T4073">
        <v>-0.13915459999999999</v>
      </c>
      <c r="U4073">
        <v>-9.9899290000000002E-2</v>
      </c>
      <c r="V4073">
        <v>0.15390309999999999</v>
      </c>
      <c r="W4073">
        <v>0.18465500000000001</v>
      </c>
      <c r="X4073">
        <v>0.97067829999999999</v>
      </c>
      <c r="Y4073">
        <v>0.13055649999999999</v>
      </c>
      <c r="Z4073">
        <v>1.0306559999999999E-2</v>
      </c>
      <c r="AA4073">
        <v>0.99138729999999997</v>
      </c>
      <c r="AB4073">
        <v>27</v>
      </c>
      <c r="AC4073">
        <v>-24.107700000000001</v>
      </c>
      <c r="AD4073">
        <v>-1.10465677272199</v>
      </c>
      <c r="AE4073">
        <v>-0.75399999999999001</v>
      </c>
      <c r="AF4073">
        <v>3.1794224772291702</v>
      </c>
      <c r="AG4073">
        <v>-1.10465677272199</v>
      </c>
      <c r="AH4073">
        <v>23.858082744239098</v>
      </c>
      <c r="AI4073">
        <v>92.627769469904194</v>
      </c>
      <c r="AJ4073">
        <v>82.409262290429297</v>
      </c>
      <c r="AK4073">
        <v>24.094337635743202</v>
      </c>
      <c r="AL4073">
        <v>79.358981158410401</v>
      </c>
      <c r="AM4073">
        <v>80.990628146071003</v>
      </c>
      <c r="AN4073">
        <v>0.99999999765274905</v>
      </c>
    </row>
    <row r="4074" spans="1:40" x14ac:dyDescent="0.25">
      <c r="A4074" t="str">
        <f>"20190312173011399"</f>
        <v>20190312173011399</v>
      </c>
      <c r="B4074" t="str">
        <f>"1552383011391770"</f>
        <v>1552383011391770</v>
      </c>
      <c r="C4074" t="s">
        <v>40</v>
      </c>
      <c r="D4074">
        <v>3.4871439999999998</v>
      </c>
      <c r="E4074">
        <v>0.49246679999999998</v>
      </c>
      <c r="F4074" t="s">
        <v>41</v>
      </c>
      <c r="G4074">
        <v>-239.73089999999999</v>
      </c>
      <c r="H4074" s="1">
        <v>-6.2500319999999895E-7</v>
      </c>
      <c r="I4074">
        <v>141.5977</v>
      </c>
      <c r="J4074">
        <v>-215.5206</v>
      </c>
      <c r="K4074">
        <v>1.1046830000000001</v>
      </c>
      <c r="L4074">
        <v>142.2859</v>
      </c>
      <c r="M4074">
        <v>-0.98765950000000002</v>
      </c>
      <c r="N4074">
        <v>0</v>
      </c>
      <c r="O4074">
        <v>-0.1562181</v>
      </c>
      <c r="P4074">
        <v>-0.98438340000000002</v>
      </c>
      <c r="Q4074">
        <v>0.1759202</v>
      </c>
      <c r="R4074">
        <v>-6.4738909999999998E-3</v>
      </c>
      <c r="S4074">
        <v>-3.071472</v>
      </c>
      <c r="T4074">
        <v>-0.13865169999999999</v>
      </c>
      <c r="U4074">
        <v>-9.0835570000000004E-2</v>
      </c>
      <c r="V4074">
        <v>0.14976829999999999</v>
      </c>
      <c r="W4074">
        <v>0.18488740000000001</v>
      </c>
      <c r="X4074">
        <v>0.97128060000000005</v>
      </c>
      <c r="Y4074">
        <v>0.12667500000000001</v>
      </c>
      <c r="Z4074">
        <v>9.8785239999999996E-3</v>
      </c>
      <c r="AA4074">
        <v>0.99189510000000003</v>
      </c>
      <c r="AB4074">
        <v>27</v>
      </c>
      <c r="AC4074">
        <v>-24.210299999999901</v>
      </c>
      <c r="AD4074">
        <v>-1.1046836250031999</v>
      </c>
      <c r="AE4074">
        <v>-0.68819999999999404</v>
      </c>
      <c r="AF4074">
        <v>3.0961322564483398</v>
      </c>
      <c r="AG4074">
        <v>-1.1046836250031999</v>
      </c>
      <c r="AH4074">
        <v>23.9706727773357</v>
      </c>
      <c r="AI4074">
        <v>92.616889436176393</v>
      </c>
      <c r="AJ4074">
        <v>82.640233085820498</v>
      </c>
      <c r="AK4074">
        <v>24.195030776150499</v>
      </c>
      <c r="AL4074">
        <v>79.345431806733799</v>
      </c>
      <c r="AM4074">
        <v>81.234216230478197</v>
      </c>
      <c r="AN4074">
        <v>0.99999994915000301</v>
      </c>
    </row>
    <row r="4075" spans="1:40" x14ac:dyDescent="0.25">
      <c r="A4075" t="str">
        <f>"20190312173011422"</f>
        <v>20190312173011422</v>
      </c>
      <c r="B4075" t="str">
        <f>"1552383011412266"</f>
        <v>1552383011412266</v>
      </c>
      <c r="C4075" t="s">
        <v>40</v>
      </c>
      <c r="D4075">
        <v>3.4647350000000001</v>
      </c>
      <c r="E4075">
        <v>0.49230020000000002</v>
      </c>
      <c r="F4075" t="s">
        <v>41</v>
      </c>
      <c r="G4075">
        <v>-240.05760000000001</v>
      </c>
      <c r="H4075" s="1">
        <v>-4.6119870000000003E-6</v>
      </c>
      <c r="I4075">
        <v>141.6207</v>
      </c>
      <c r="J4075">
        <v>-215.79320000000001</v>
      </c>
      <c r="K4075">
        <v>1.1047180000000001</v>
      </c>
      <c r="L4075">
        <v>142.25040000000001</v>
      </c>
      <c r="M4075">
        <v>-0.9887454</v>
      </c>
      <c r="N4075">
        <v>0</v>
      </c>
      <c r="O4075">
        <v>-0.14919399999999999</v>
      </c>
      <c r="P4075">
        <v>-0.98427569999999998</v>
      </c>
      <c r="Q4075">
        <v>0.176597</v>
      </c>
      <c r="R4075">
        <v>-3.8549360000000002E-3</v>
      </c>
      <c r="S4075">
        <v>-3.071777</v>
      </c>
      <c r="T4075">
        <v>-0.138295899999999</v>
      </c>
      <c r="U4075">
        <v>-8.3267209999999994E-2</v>
      </c>
      <c r="V4075">
        <v>0.14540799999999901</v>
      </c>
      <c r="W4075">
        <v>0.1855926</v>
      </c>
      <c r="X4075">
        <v>0.97180860000000002</v>
      </c>
      <c r="Y4075">
        <v>0.1220811</v>
      </c>
      <c r="Z4075">
        <v>9.4366680000000005E-3</v>
      </c>
      <c r="AA4075">
        <v>0.99247529999999995</v>
      </c>
      <c r="AB4075">
        <v>27</v>
      </c>
      <c r="AC4075">
        <v>-24.264399999999899</v>
      </c>
      <c r="AD4075">
        <v>-1.1047226119869999</v>
      </c>
      <c r="AE4075">
        <v>-0.62970000000001303</v>
      </c>
      <c r="AF4075">
        <v>2.9914785978568599</v>
      </c>
      <c r="AG4075">
        <v>-1.1047226119869999</v>
      </c>
      <c r="AH4075">
        <v>24.036959548450799</v>
      </c>
      <c r="AI4075">
        <v>92.611307203066104</v>
      </c>
      <c r="AJ4075">
        <v>82.905828222438103</v>
      </c>
      <c r="AK4075">
        <v>24.2475726740787</v>
      </c>
      <c r="AL4075">
        <v>79.304316074179596</v>
      </c>
      <c r="AM4075">
        <v>81.490183029372204</v>
      </c>
      <c r="AN4075">
        <v>1.0000000273363501</v>
      </c>
    </row>
    <row r="4076" spans="1:40" x14ac:dyDescent="0.25">
      <c r="A4076" t="str">
        <f>"20190312173011443"</f>
        <v>20190312173011443</v>
      </c>
      <c r="B4076" t="str">
        <f>"1552383011431789"</f>
        <v>1552383011431789</v>
      </c>
      <c r="C4076" t="s">
        <v>40</v>
      </c>
      <c r="D4076">
        <v>3.4890750000000001</v>
      </c>
      <c r="E4076">
        <v>0.49215059999999999</v>
      </c>
      <c r="F4076" t="s">
        <v>41</v>
      </c>
      <c r="G4076">
        <v>-240.68450000000001</v>
      </c>
      <c r="H4076" s="1">
        <v>-4.4016320000000004E-6</v>
      </c>
      <c r="I4076">
        <v>141.63749999999999</v>
      </c>
      <c r="J4076">
        <v>-216.05930000000001</v>
      </c>
      <c r="K4076">
        <v>1.1047750000000001</v>
      </c>
      <c r="L4076">
        <v>142.2176</v>
      </c>
      <c r="M4076">
        <v>-0.98974200000000001</v>
      </c>
      <c r="N4076">
        <v>0</v>
      </c>
      <c r="O4076">
        <v>-0.14243690000000001</v>
      </c>
      <c r="P4076">
        <v>-0.98416329999999996</v>
      </c>
      <c r="Q4076">
        <v>0.1772599</v>
      </c>
      <c r="R4076">
        <v>-1.461972E-3</v>
      </c>
      <c r="S4076">
        <v>-3.0720830000000001</v>
      </c>
      <c r="T4076">
        <v>-0.13634489999999999</v>
      </c>
      <c r="U4076">
        <v>-7.5637819999999995E-2</v>
      </c>
      <c r="V4076">
        <v>0.1410854</v>
      </c>
      <c r="W4076">
        <v>0.1862926</v>
      </c>
      <c r="X4076">
        <v>0.9723117</v>
      </c>
      <c r="Y4076">
        <v>0.1177848</v>
      </c>
      <c r="Z4076">
        <v>8.9110579999999995E-3</v>
      </c>
      <c r="AA4076">
        <v>0.99299910000000002</v>
      </c>
      <c r="AB4076">
        <v>27</v>
      </c>
      <c r="AC4076">
        <v>-24.6252</v>
      </c>
      <c r="AD4076">
        <v>-1.1047794016320001</v>
      </c>
      <c r="AE4076">
        <v>-0.58010000000001505</v>
      </c>
      <c r="AF4076">
        <v>2.9276780667889502</v>
      </c>
      <c r="AG4076">
        <v>-1.1047794016320001</v>
      </c>
      <c r="AH4076">
        <v>24.407621008217301</v>
      </c>
      <c r="AI4076">
        <v>92.573229959736906</v>
      </c>
      <c r="AJ4076">
        <v>83.160087921505195</v>
      </c>
      <c r="AK4076">
        <v>24.607393191270699</v>
      </c>
      <c r="AL4076">
        <v>79.263497227265304</v>
      </c>
      <c r="AM4076">
        <v>81.743829716685099</v>
      </c>
      <c r="AN4076">
        <v>1.0000000324324001</v>
      </c>
    </row>
    <row r="4077" spans="1:40" x14ac:dyDescent="0.25">
      <c r="A4077" t="str">
        <f>"20190312173011466"</f>
        <v>20190312173011466</v>
      </c>
      <c r="B4077" t="str">
        <f>"1552383011462042"</f>
        <v>1552383011462042</v>
      </c>
      <c r="C4077" t="s">
        <v>40</v>
      </c>
      <c r="D4077">
        <v>3.4858210000000001</v>
      </c>
      <c r="E4077">
        <v>0.49186839999999998</v>
      </c>
      <c r="F4077" t="s">
        <v>41</v>
      </c>
      <c r="G4077">
        <v>-241.2518</v>
      </c>
      <c r="H4077" s="1">
        <v>-4.2109949999999997E-6</v>
      </c>
      <c r="I4077">
        <v>141.65119999999999</v>
      </c>
      <c r="J4077">
        <v>-216.33439999999999</v>
      </c>
      <c r="K4077">
        <v>1.1048549999999999</v>
      </c>
      <c r="L4077">
        <v>142.1857</v>
      </c>
      <c r="M4077">
        <v>-0.99070259999999999</v>
      </c>
      <c r="N4077">
        <v>0</v>
      </c>
      <c r="O4077">
        <v>-0.13559779999999999</v>
      </c>
      <c r="P4077">
        <v>-0.98412900000000003</v>
      </c>
      <c r="Q4077">
        <v>0.17745429999999901</v>
      </c>
      <c r="R4077">
        <v>7.0316619999999895E-4</v>
      </c>
      <c r="S4077">
        <v>-3.0724490000000002</v>
      </c>
      <c r="T4077">
        <v>-0.134738</v>
      </c>
      <c r="U4077">
        <v>-6.9076540000000006E-2</v>
      </c>
      <c r="V4077">
        <v>0.13645650000000001</v>
      </c>
      <c r="W4077">
        <v>0.186531</v>
      </c>
      <c r="X4077">
        <v>0.97292639999999997</v>
      </c>
      <c r="Y4077">
        <v>0.1130645</v>
      </c>
      <c r="Z4077">
        <v>8.4047930000000007E-3</v>
      </c>
      <c r="AA4077">
        <v>0.99355210000000005</v>
      </c>
      <c r="AB4077">
        <v>27</v>
      </c>
      <c r="AC4077">
        <v>-24.917400000000001</v>
      </c>
      <c r="AD4077">
        <v>-1.104859210995</v>
      </c>
      <c r="AE4077">
        <v>-0.53450000000000797</v>
      </c>
      <c r="AF4077">
        <v>2.8437986654684901</v>
      </c>
      <c r="AG4077">
        <v>-1.104859210995</v>
      </c>
      <c r="AH4077">
        <v>24.711152795214801</v>
      </c>
      <c r="AI4077">
        <v>92.543280299264495</v>
      </c>
      <c r="AJ4077">
        <v>83.435190099819394</v>
      </c>
      <c r="AK4077">
        <v>24.898774612303601</v>
      </c>
      <c r="AL4077">
        <v>79.249593702664498</v>
      </c>
      <c r="AM4077">
        <v>82.016135175009893</v>
      </c>
      <c r="AN4077">
        <v>0.99999998508510402</v>
      </c>
    </row>
    <row r="4078" spans="1:40" x14ac:dyDescent="0.25">
      <c r="A4078" t="str">
        <f>"20190312173011490"</f>
        <v>20190312173011490</v>
      </c>
      <c r="B4078" t="str">
        <f>"1552383011481563"</f>
        <v>1552383011481563</v>
      </c>
      <c r="C4078" t="s">
        <v>40</v>
      </c>
      <c r="D4078">
        <v>3.4673639999999999</v>
      </c>
      <c r="E4078">
        <v>0.49169930000000001</v>
      </c>
      <c r="F4078" t="s">
        <v>41</v>
      </c>
      <c r="G4078">
        <v>-241.56</v>
      </c>
      <c r="H4078" s="1">
        <v>-4.108487E-6</v>
      </c>
      <c r="I4078">
        <v>141.6645</v>
      </c>
      <c r="J4078">
        <v>-216.62639999999999</v>
      </c>
      <c r="K4078">
        <v>1.1049439999999999</v>
      </c>
      <c r="L4078">
        <v>142.15369999999999</v>
      </c>
      <c r="M4078">
        <v>-0.99165150000000002</v>
      </c>
      <c r="N4078">
        <v>0</v>
      </c>
      <c r="O4078">
        <v>-0.12847919999999999</v>
      </c>
      <c r="P4078">
        <v>-0.98421210000000003</v>
      </c>
      <c r="Q4078">
        <v>0.17695959999999999</v>
      </c>
      <c r="R4078">
        <v>3.461029E-3</v>
      </c>
      <c r="S4078">
        <v>-3.0726930000000001</v>
      </c>
      <c r="T4078">
        <v>-0.13458129999999999</v>
      </c>
      <c r="U4078">
        <v>-6.3476560000000001E-2</v>
      </c>
      <c r="V4078">
        <v>0.13214709999999999</v>
      </c>
      <c r="W4078">
        <v>0.18607660000000001</v>
      </c>
      <c r="X4078">
        <v>0.97360809999999998</v>
      </c>
      <c r="Y4078">
        <v>0.10775120000000001</v>
      </c>
      <c r="Z4078">
        <v>7.9690739999999996E-3</v>
      </c>
      <c r="AA4078">
        <v>0.99414590000000003</v>
      </c>
      <c r="AB4078">
        <v>27</v>
      </c>
      <c r="AC4078">
        <v>-24.933599999999998</v>
      </c>
      <c r="AD4078">
        <v>-1.1049481084870001</v>
      </c>
      <c r="AE4078">
        <v>-0.48919999999998198</v>
      </c>
      <c r="AF4078">
        <v>2.7131704460149999</v>
      </c>
      <c r="AG4078">
        <v>-1.1049481084870001</v>
      </c>
      <c r="AH4078">
        <v>24.7412162734228</v>
      </c>
      <c r="AI4078">
        <v>92.5419243689512</v>
      </c>
      <c r="AJ4078">
        <v>83.741838519587304</v>
      </c>
      <c r="AK4078">
        <v>24.914051996410802</v>
      </c>
      <c r="AL4078">
        <v>79.276093495028604</v>
      </c>
      <c r="AM4078">
        <v>82.270520960050206</v>
      </c>
      <c r="AN4078">
        <v>1.00000004474578</v>
      </c>
    </row>
    <row r="4079" spans="1:40" x14ac:dyDescent="0.25">
      <c r="A4079" t="str">
        <f>"20190312173011512"</f>
        <v>20190312173011512</v>
      </c>
      <c r="B4079" t="str">
        <f>"1552383011502058"</f>
        <v>1552383011502058</v>
      </c>
      <c r="C4079" t="s">
        <v>40</v>
      </c>
      <c r="D4079">
        <v>3.4537789999999999</v>
      </c>
      <c r="E4079">
        <v>0.4915235</v>
      </c>
      <c r="F4079" t="s">
        <v>41</v>
      </c>
      <c r="G4079">
        <v>-241.524</v>
      </c>
      <c r="H4079" s="1">
        <v>-4.1281840000000001E-6</v>
      </c>
      <c r="I4079">
        <v>141.70670000000001</v>
      </c>
      <c r="J4079">
        <v>-216.90430000000001</v>
      </c>
      <c r="K4079">
        <v>1.105035</v>
      </c>
      <c r="L4079">
        <v>142.1249</v>
      </c>
      <c r="M4079">
        <v>-0.99248550000000002</v>
      </c>
      <c r="N4079">
        <v>0</v>
      </c>
      <c r="O4079">
        <v>-0.1218726</v>
      </c>
      <c r="P4079">
        <v>-0.98442580000000002</v>
      </c>
      <c r="Q4079">
        <v>0.1757725</v>
      </c>
      <c r="R4079">
        <v>3.1509720000000001E-3</v>
      </c>
      <c r="S4079">
        <v>-3.072845</v>
      </c>
      <c r="T4079">
        <v>-0.13637189999999999</v>
      </c>
      <c r="U4079">
        <v>-5.5160519999999998E-2</v>
      </c>
      <c r="V4079">
        <v>0.12530530000000001</v>
      </c>
      <c r="W4079">
        <v>0.18497169999999999</v>
      </c>
      <c r="X4079">
        <v>0.97472259999999999</v>
      </c>
      <c r="Y4079">
        <v>0.1038245</v>
      </c>
      <c r="Z4079">
        <v>7.6968309999999899E-3</v>
      </c>
      <c r="AA4079">
        <v>0.99456580000000006</v>
      </c>
      <c r="AB4079">
        <v>27</v>
      </c>
      <c r="AC4079">
        <v>-24.619699999999899</v>
      </c>
      <c r="AD4079">
        <v>-1.105039128184</v>
      </c>
      <c r="AE4079">
        <v>-0.41819999999998397</v>
      </c>
      <c r="AF4079">
        <v>2.5803671179238301</v>
      </c>
      <c r="AG4079">
        <v>-1.105039128184</v>
      </c>
      <c r="AH4079">
        <v>24.437908261455</v>
      </c>
      <c r="AI4079">
        <v>92.574756755640294</v>
      </c>
      <c r="AJ4079">
        <v>83.972546530421795</v>
      </c>
      <c r="AK4079">
        <v>24.598592767338801</v>
      </c>
      <c r="AL4079">
        <v>79.340518061016795</v>
      </c>
      <c r="AM4079">
        <v>82.674528796912398</v>
      </c>
      <c r="AN4079">
        <v>1.00000004747986</v>
      </c>
    </row>
    <row r="4080" spans="1:40" x14ac:dyDescent="0.25">
      <c r="A4080" t="str">
        <f>"20190312173011545"</f>
        <v>20190312173011545</v>
      </c>
      <c r="B4080" t="str">
        <f>"1552383011542074"</f>
        <v>1552383011542074</v>
      </c>
      <c r="C4080" t="s">
        <v>40</v>
      </c>
      <c r="D4080">
        <v>3.478183</v>
      </c>
      <c r="E4080">
        <v>0.49129909999999999</v>
      </c>
      <c r="F4080" t="s">
        <v>41</v>
      </c>
      <c r="G4080">
        <v>-241.1361</v>
      </c>
      <c r="H4080" s="1">
        <v>-4.2559610000000004E-6</v>
      </c>
      <c r="I4080">
        <v>141.68270000000001</v>
      </c>
      <c r="J4080">
        <v>-217.29990000000001</v>
      </c>
      <c r="K4080">
        <v>1.1052120000000001</v>
      </c>
      <c r="L4080">
        <v>142.08670000000001</v>
      </c>
      <c r="M4080">
        <v>-0.99355519999999997</v>
      </c>
      <c r="N4080">
        <v>0</v>
      </c>
      <c r="O4080">
        <v>-0.11282739999999999</v>
      </c>
      <c r="P4080">
        <v>-0.98467360000000004</v>
      </c>
      <c r="Q4080">
        <v>0.17428879999999999</v>
      </c>
      <c r="R4080">
        <v>6.430804E-3</v>
      </c>
      <c r="S4080">
        <v>-3.0726779999999998</v>
      </c>
      <c r="T4080">
        <v>-0.1401231</v>
      </c>
      <c r="U4080">
        <v>-5.6060789999999999E-2</v>
      </c>
      <c r="V4080">
        <v>0.119589</v>
      </c>
      <c r="W4080">
        <v>0.18356059999999999</v>
      </c>
      <c r="X4080">
        <v>0.97570690000000004</v>
      </c>
      <c r="Y4080">
        <v>9.4474959999999997E-2</v>
      </c>
      <c r="Z4080">
        <v>7.2857719999999898E-3</v>
      </c>
      <c r="AA4080">
        <v>0.99550059999999996</v>
      </c>
      <c r="AB4080">
        <v>27</v>
      </c>
      <c r="AC4080">
        <v>-23.836199999999899</v>
      </c>
      <c r="AD4080">
        <v>-1.1052162559609999</v>
      </c>
      <c r="AE4080">
        <v>-0.40399999999999597</v>
      </c>
      <c r="AF4080">
        <v>2.2832079381226298</v>
      </c>
      <c r="AG4080">
        <v>-1.1052162559609999</v>
      </c>
      <c r="AH4080">
        <v>23.678670900236401</v>
      </c>
      <c r="AI4080">
        <v>92.660055761087506</v>
      </c>
      <c r="AJ4080">
        <v>84.492301140782303</v>
      </c>
      <c r="AK4080">
        <v>23.814155392598899</v>
      </c>
      <c r="AL4080">
        <v>79.422776076278495</v>
      </c>
      <c r="AM4080">
        <v>83.012307560729994</v>
      </c>
      <c r="AN4080">
        <v>0.99999998875048501</v>
      </c>
    </row>
    <row r="4081" spans="1:40" x14ac:dyDescent="0.25">
      <c r="A4081" t="str">
        <f>"20190312173011566"</f>
        <v>20190312173011566</v>
      </c>
      <c r="B4081" t="str">
        <f>"1552383011561594"</f>
        <v>1552383011561594</v>
      </c>
      <c r="C4081" t="s">
        <v>40</v>
      </c>
      <c r="D4081">
        <v>3.5017779999999998</v>
      </c>
      <c r="E4081">
        <v>0.49122480000000002</v>
      </c>
      <c r="F4081" t="s">
        <v>41</v>
      </c>
      <c r="G4081">
        <v>-240.44380000000001</v>
      </c>
      <c r="H4081" s="1">
        <v>-4.4992979999999998E-6</v>
      </c>
      <c r="I4081">
        <v>141.72640000000001</v>
      </c>
      <c r="J4081">
        <v>-217.56290000000001</v>
      </c>
      <c r="K4081">
        <v>1.1053679999999999</v>
      </c>
      <c r="L4081">
        <v>142.06319999999999</v>
      </c>
      <c r="M4081">
        <v>-0.99418689999999998</v>
      </c>
      <c r="N4081">
        <v>0</v>
      </c>
      <c r="O4081">
        <v>-0.107122</v>
      </c>
      <c r="P4081">
        <v>-0.98468359999999999</v>
      </c>
      <c r="Q4081">
        <v>0.1741559</v>
      </c>
      <c r="R4081">
        <v>8.2388740000000002E-3</v>
      </c>
      <c r="S4081">
        <v>-3.0729829999999998</v>
      </c>
      <c r="T4081">
        <v>-0.1467475</v>
      </c>
      <c r="U4081">
        <v>-4.7836299999999998E-2</v>
      </c>
      <c r="V4081">
        <v>0.11569840000000001</v>
      </c>
      <c r="W4081">
        <v>0.18348320000000001</v>
      </c>
      <c r="X4081">
        <v>0.97619040000000001</v>
      </c>
      <c r="Y4081">
        <v>9.1414280000000001E-2</v>
      </c>
      <c r="Z4081">
        <v>7.2854729999999998E-3</v>
      </c>
      <c r="AA4081">
        <v>0.99578630000000001</v>
      </c>
      <c r="AB4081">
        <v>27</v>
      </c>
      <c r="AC4081">
        <v>-22.8809</v>
      </c>
      <c r="AD4081">
        <v>-1.1053724992980001</v>
      </c>
      <c r="AE4081">
        <v>-0.336799999999982</v>
      </c>
      <c r="AF4081">
        <v>2.1114031224580199</v>
      </c>
      <c r="AG4081">
        <v>-1.1053724992980001</v>
      </c>
      <c r="AH4081">
        <v>22.732263978569701</v>
      </c>
      <c r="AI4081">
        <v>92.771943002769902</v>
      </c>
      <c r="AJ4081">
        <v>84.693515897354601</v>
      </c>
      <c r="AK4081">
        <v>22.856852300767699</v>
      </c>
      <c r="AL4081">
        <v>79.427286985143894</v>
      </c>
      <c r="AM4081">
        <v>83.240817003864507</v>
      </c>
      <c r="AN4081">
        <v>0.99999995074847803</v>
      </c>
    </row>
    <row r="4082" spans="1:40" x14ac:dyDescent="0.25">
      <c r="A4082" t="str">
        <f>"20190312173011587"</f>
        <v>20190312173011587</v>
      </c>
      <c r="B4082" t="str">
        <f>"1552383011582090"</f>
        <v>1552383011582090</v>
      </c>
      <c r="C4082" t="s">
        <v>40</v>
      </c>
      <c r="D4082">
        <v>3.4804719999999998</v>
      </c>
      <c r="E4082">
        <v>0.4911585</v>
      </c>
      <c r="F4082" t="s">
        <v>41</v>
      </c>
      <c r="G4082">
        <v>-240.5874</v>
      </c>
      <c r="H4082" s="1">
        <v>-4.4535099999999996E-6</v>
      </c>
      <c r="I4082">
        <v>141.74379999999999</v>
      </c>
      <c r="J4082">
        <v>-217.83510000000001</v>
      </c>
      <c r="K4082">
        <v>1.1055410000000001</v>
      </c>
      <c r="L4082">
        <v>142.0401</v>
      </c>
      <c r="M4082">
        <v>-0.99478270000000002</v>
      </c>
      <c r="N4082">
        <v>0</v>
      </c>
      <c r="O4082">
        <v>-0.1014444</v>
      </c>
      <c r="P4082">
        <v>-0.98489499999999996</v>
      </c>
      <c r="Q4082">
        <v>0.17291670000000001</v>
      </c>
      <c r="R4082">
        <v>9.0324559999999995E-3</v>
      </c>
      <c r="S4082">
        <v>-3.0731350000000002</v>
      </c>
      <c r="T4082">
        <v>-0.14753659999999999</v>
      </c>
      <c r="U4082">
        <v>-4.2617799999999997E-2</v>
      </c>
      <c r="V4082">
        <v>0.110831</v>
      </c>
      <c r="W4082">
        <v>0.182315</v>
      </c>
      <c r="X4082">
        <v>0.9769738</v>
      </c>
      <c r="Y4082">
        <v>8.7428469999999994E-2</v>
      </c>
      <c r="Z4082">
        <v>6.9576350000000002E-3</v>
      </c>
      <c r="AA4082">
        <v>0.99614650000000005</v>
      </c>
      <c r="AB4082">
        <v>27</v>
      </c>
      <c r="AC4082">
        <v>-22.752299999999899</v>
      </c>
      <c r="AD4082">
        <v>-1.10554545350999</v>
      </c>
      <c r="AE4082">
        <v>-0.29630000000000201</v>
      </c>
      <c r="AF4082">
        <v>2.0087146649791698</v>
      </c>
      <c r="AG4082">
        <v>-1.10554545350999</v>
      </c>
      <c r="AH4082">
        <v>22.611593960520501</v>
      </c>
      <c r="AI4082">
        <v>92.788162673475199</v>
      </c>
      <c r="AJ4082">
        <v>84.923421074050793</v>
      </c>
      <c r="AK4082">
        <v>22.727545991385099</v>
      </c>
      <c r="AL4082">
        <v>79.495369265163902</v>
      </c>
      <c r="AM4082">
        <v>83.527854889795904</v>
      </c>
      <c r="AN4082">
        <v>1.0000000378362099</v>
      </c>
    </row>
    <row r="4083" spans="1:40" x14ac:dyDescent="0.25">
      <c r="A4083" t="str">
        <f>"20190312173011611"</f>
        <v>20190312173011611</v>
      </c>
      <c r="B4083" t="str">
        <f>"1552383011601613"</f>
        <v>1552383011601613</v>
      </c>
      <c r="C4083" t="s">
        <v>40</v>
      </c>
      <c r="D4083">
        <v>3.5114670000000001</v>
      </c>
      <c r="E4083">
        <v>0.503444</v>
      </c>
      <c r="F4083" t="s">
        <v>41</v>
      </c>
      <c r="G4083">
        <v>-240.1574</v>
      </c>
      <c r="H4083" s="1">
        <v>-4.6024740000000001E-6</v>
      </c>
      <c r="I4083">
        <v>141.7586</v>
      </c>
      <c r="J4083">
        <v>-218.11490000000001</v>
      </c>
      <c r="K4083">
        <v>1.1057319999999999</v>
      </c>
      <c r="L4083">
        <v>142.01769999999999</v>
      </c>
      <c r="M4083">
        <v>-0.99533249999999995</v>
      </c>
      <c r="N4083">
        <v>0</v>
      </c>
      <c r="O4083">
        <v>-9.5903779999999994E-2</v>
      </c>
      <c r="P4083">
        <v>-0.98508689999999999</v>
      </c>
      <c r="Q4083">
        <v>0.1717766</v>
      </c>
      <c r="R4083">
        <v>9.8283989999999998E-3</v>
      </c>
      <c r="S4083">
        <v>-3.0730740000000001</v>
      </c>
      <c r="T4083">
        <v>-0.15219859999999999</v>
      </c>
      <c r="U4083">
        <v>-3.8742070000000003E-2</v>
      </c>
      <c r="V4083">
        <v>0.10608910000000001</v>
      </c>
      <c r="W4083">
        <v>0.18124680000000001</v>
      </c>
      <c r="X4083">
        <v>0.97769870000000003</v>
      </c>
      <c r="Y4083">
        <v>8.3134810000000003E-2</v>
      </c>
      <c r="Z4083">
        <v>6.7980949999999997E-3</v>
      </c>
      <c r="AA4083">
        <v>0.99651509999999999</v>
      </c>
      <c r="AB4083">
        <v>27</v>
      </c>
      <c r="AC4083">
        <v>-22.042499999999901</v>
      </c>
      <c r="AD4083">
        <v>-1.1057366024740001</v>
      </c>
      <c r="AE4083">
        <v>-0.25909999999998901</v>
      </c>
      <c r="AF4083">
        <v>1.8515172479261599</v>
      </c>
      <c r="AG4083">
        <v>-1.1057366024740001</v>
      </c>
      <c r="AH4083">
        <v>21.910607340550602</v>
      </c>
      <c r="AI4083">
        <v>92.878784368827993</v>
      </c>
      <c r="AJ4083">
        <v>85.169796512949304</v>
      </c>
      <c r="AK4083">
        <v>22.016482089225999</v>
      </c>
      <c r="AL4083">
        <v>79.557609452278399</v>
      </c>
      <c r="AM4083">
        <v>83.8071222930825</v>
      </c>
      <c r="AN4083">
        <v>1.0000000238153699</v>
      </c>
    </row>
    <row r="4084" spans="1:40" x14ac:dyDescent="0.25">
      <c r="A4084" t="str">
        <f>"20190312173011633"</f>
        <v>20190312173011633</v>
      </c>
      <c r="B4084" t="str">
        <f>"1552383011622109"</f>
        <v>1552383011622109</v>
      </c>
      <c r="C4084" t="s">
        <v>40</v>
      </c>
      <c r="D4084">
        <v>3.5223490000000002</v>
      </c>
      <c r="E4084">
        <v>0.50750030000000002</v>
      </c>
      <c r="F4084" t="s">
        <v>42</v>
      </c>
      <c r="G4084">
        <v>-218.98650000000001</v>
      </c>
      <c r="H4084">
        <v>1.004767</v>
      </c>
      <c r="I4084">
        <v>142.03630000000001</v>
      </c>
      <c r="J4084">
        <v>-218.39320000000001</v>
      </c>
      <c r="K4084">
        <v>1.105952</v>
      </c>
      <c r="L4084">
        <v>141.9967</v>
      </c>
      <c r="M4084">
        <v>-0.99581799999999998</v>
      </c>
      <c r="N4084">
        <v>0</v>
      </c>
      <c r="O4084">
        <v>-9.0729859999999996E-2</v>
      </c>
      <c r="P4084">
        <v>-0.98490200000000006</v>
      </c>
      <c r="Q4084">
        <v>0.1727264</v>
      </c>
      <c r="R4084">
        <v>1.158212E-2</v>
      </c>
      <c r="S4084">
        <v>-3.1074679999999999</v>
      </c>
      <c r="T4084">
        <v>-0.3597342</v>
      </c>
      <c r="U4084">
        <v>6.5414429999999996E-2</v>
      </c>
      <c r="V4084">
        <v>0.1026376</v>
      </c>
      <c r="W4084">
        <v>0.1822522</v>
      </c>
      <c r="X4084">
        <v>0.97788019999999998</v>
      </c>
      <c r="Y4084">
        <v>0.1103326</v>
      </c>
      <c r="Z4084">
        <v>1.6823769999999998E-2</v>
      </c>
      <c r="AA4084">
        <v>0.99375230000000003</v>
      </c>
      <c r="AB4084">
        <v>27</v>
      </c>
      <c r="AC4084">
        <v>-0.59329999999999905</v>
      </c>
      <c r="AD4084">
        <v>-0.101185</v>
      </c>
      <c r="AE4084">
        <v>3.9600000000007102E-2</v>
      </c>
      <c r="AF4084">
        <v>9.0644960012510004E-2</v>
      </c>
      <c r="AG4084">
        <v>-0.101185</v>
      </c>
      <c r="AH4084">
        <v>0.57073287412240503</v>
      </c>
      <c r="AI4084">
        <v>99.931527393005894</v>
      </c>
      <c r="AJ4084">
        <v>80.9755425475675</v>
      </c>
      <c r="AK4084">
        <v>0.58667787294621099</v>
      </c>
      <c r="AL4084">
        <v>79.499028491981804</v>
      </c>
      <c r="AM4084">
        <v>84.0082148026125</v>
      </c>
      <c r="AN4084">
        <v>1.00000001344532</v>
      </c>
    </row>
    <row r="4085" spans="1:40" x14ac:dyDescent="0.25">
      <c r="A4085" t="str">
        <f>"20190312173011656"</f>
        <v>20190312173011656</v>
      </c>
      <c r="B4085" t="str">
        <f>"1552383011651387"</f>
        <v>1552383011651387</v>
      </c>
      <c r="C4085" t="s">
        <v>40</v>
      </c>
      <c r="D4085">
        <v>3.5146869999999999</v>
      </c>
      <c r="E4085">
        <v>0.51022909999999999</v>
      </c>
      <c r="F4085" t="s">
        <v>42</v>
      </c>
      <c r="G4085">
        <v>-219.22569999999999</v>
      </c>
      <c r="H4085">
        <v>0.98872349999999998</v>
      </c>
      <c r="I4085">
        <v>142.02440000000001</v>
      </c>
      <c r="J4085">
        <v>-218.67189999999999</v>
      </c>
      <c r="K4085">
        <v>1.106196</v>
      </c>
      <c r="L4085">
        <v>141.97669999999999</v>
      </c>
      <c r="M4085">
        <v>-0.99624630000000003</v>
      </c>
      <c r="N4085">
        <v>0</v>
      </c>
      <c r="O4085">
        <v>-8.5901710000000006E-2</v>
      </c>
      <c r="P4085">
        <v>-0.98472040000000005</v>
      </c>
      <c r="Q4085">
        <v>0.17357300000000001</v>
      </c>
      <c r="R4085">
        <v>1.407192E-2</v>
      </c>
      <c r="S4085">
        <v>-3.1218569999999999</v>
      </c>
      <c r="T4085">
        <v>-0.43951899999999999</v>
      </c>
      <c r="U4085">
        <v>0.10325620000000001</v>
      </c>
      <c r="V4085">
        <v>0.10025149999999999</v>
      </c>
      <c r="W4085">
        <v>0.18314620000000001</v>
      </c>
      <c r="X4085">
        <v>0.97796070000000002</v>
      </c>
      <c r="Y4085">
        <v>0.1167979</v>
      </c>
      <c r="Z4085">
        <v>2.0204369999999999E-2</v>
      </c>
      <c r="AA4085">
        <v>0.99295009999999995</v>
      </c>
      <c r="AB4085">
        <v>27</v>
      </c>
      <c r="AC4085">
        <v>-0.55379999999999496</v>
      </c>
      <c r="AD4085">
        <v>-0.11747249999999899</v>
      </c>
      <c r="AE4085">
        <v>4.7700000000020198E-2</v>
      </c>
      <c r="AF4085">
        <v>9.1032864750834899E-2</v>
      </c>
      <c r="AG4085">
        <v>-0.11747249999999899</v>
      </c>
      <c r="AH4085">
        <v>0.52424035257073998</v>
      </c>
      <c r="AI4085">
        <v>102.449902888029</v>
      </c>
      <c r="AJ4085">
        <v>80.148978748001795</v>
      </c>
      <c r="AK4085">
        <v>0.54489881444584498</v>
      </c>
      <c r="AL4085">
        <v>79.446929160416701</v>
      </c>
      <c r="AM4085">
        <v>84.147010606283899</v>
      </c>
      <c r="AN4085">
        <v>1.0000000122855801</v>
      </c>
    </row>
    <row r="4086" spans="1:40" x14ac:dyDescent="0.25">
      <c r="A4086" t="str">
        <f>"20190312173011678"</f>
        <v>20190312173011678</v>
      </c>
      <c r="B4086" t="str">
        <f>"1552383011671882"</f>
        <v>1552383011671882</v>
      </c>
      <c r="C4086" t="s">
        <v>40</v>
      </c>
      <c r="D4086">
        <v>3.5170880000000002</v>
      </c>
      <c r="E4086">
        <v>0.51132079999999902</v>
      </c>
      <c r="F4086" t="s">
        <v>42</v>
      </c>
      <c r="G4086">
        <v>-219.47</v>
      </c>
      <c r="H4086">
        <v>0.98373290000000002</v>
      </c>
      <c r="I4086">
        <v>142.00989999999999</v>
      </c>
      <c r="J4086">
        <v>-218.95189999999999</v>
      </c>
      <c r="K4086">
        <v>1.1064499999999999</v>
      </c>
      <c r="L4086">
        <v>141.95760000000001</v>
      </c>
      <c r="M4086">
        <v>-0.99662320000000004</v>
      </c>
      <c r="N4086">
        <v>0</v>
      </c>
      <c r="O4086">
        <v>-8.1417119999999996E-2</v>
      </c>
      <c r="P4086">
        <v>-0.98492990000000002</v>
      </c>
      <c r="Q4086">
        <v>0.1722774</v>
      </c>
      <c r="R4086">
        <v>1.528358E-2</v>
      </c>
      <c r="S4086">
        <v>-3.1292879999999998</v>
      </c>
      <c r="T4086">
        <v>-0.48000979999999999</v>
      </c>
      <c r="U4086">
        <v>0.12940979999999999</v>
      </c>
      <c r="V4086">
        <v>9.6938250000000004E-2</v>
      </c>
      <c r="W4086">
        <v>0.1819132</v>
      </c>
      <c r="X4086">
        <v>0.97852470000000003</v>
      </c>
      <c r="Y4086">
        <v>0.1201797</v>
      </c>
      <c r="Z4086">
        <v>2.1566390000000001E-2</v>
      </c>
      <c r="AA4086">
        <v>0.99251789999999995</v>
      </c>
      <c r="AB4086">
        <v>27</v>
      </c>
      <c r="AC4086">
        <v>-0.518100000000004</v>
      </c>
      <c r="AD4086">
        <v>-0.122717099999999</v>
      </c>
      <c r="AE4086">
        <v>5.2299999999973999E-2</v>
      </c>
      <c r="AF4086">
        <v>8.9348816709508894E-2</v>
      </c>
      <c r="AG4086">
        <v>-0.122717099999999</v>
      </c>
      <c r="AH4086">
        <v>0.48517633364194601</v>
      </c>
      <c r="AI4086">
        <v>103.968822681486</v>
      </c>
      <c r="AJ4086">
        <v>79.565468168354101</v>
      </c>
      <c r="AK4086">
        <v>0.50836873665287496</v>
      </c>
      <c r="AL4086">
        <v>79.518781966532302</v>
      </c>
      <c r="AM4086">
        <v>84.342412277070096</v>
      </c>
      <c r="AN4086">
        <v>1.0000000125786901</v>
      </c>
    </row>
    <row r="4087" spans="1:40" x14ac:dyDescent="0.25">
      <c r="A4087" t="str">
        <f>"20190312173011702"</f>
        <v>20190312173011702</v>
      </c>
      <c r="B4087" t="str">
        <f>"1552383011692378"</f>
        <v>1552383011692378</v>
      </c>
      <c r="C4087" t="s">
        <v>40</v>
      </c>
      <c r="D4087">
        <v>3.5344479999999998</v>
      </c>
      <c r="E4087">
        <v>0.51199819999999996</v>
      </c>
      <c r="F4087" t="s">
        <v>42</v>
      </c>
      <c r="G4087">
        <v>-219.71719999999999</v>
      </c>
      <c r="H4087">
        <v>0.98464229999999997</v>
      </c>
      <c r="I4087">
        <v>141.9922</v>
      </c>
      <c r="J4087">
        <v>-219.24109999999999</v>
      </c>
      <c r="K4087">
        <v>1.106727</v>
      </c>
      <c r="L4087">
        <v>141.93879999999999</v>
      </c>
      <c r="M4087">
        <v>-0.99696110000000004</v>
      </c>
      <c r="N4087">
        <v>0</v>
      </c>
      <c r="O4087">
        <v>-7.7175160000000007E-2</v>
      </c>
      <c r="P4087">
        <v>-0.98540760000000005</v>
      </c>
      <c r="Q4087">
        <v>0.16950680000000001</v>
      </c>
      <c r="R4087">
        <v>1.548483E-2</v>
      </c>
      <c r="S4087">
        <v>-3.1308750000000001</v>
      </c>
      <c r="T4087">
        <v>-0.49823770000000001</v>
      </c>
      <c r="U4087">
        <v>0.141586299999999</v>
      </c>
      <c r="V4087">
        <v>9.2858099999999999E-2</v>
      </c>
      <c r="W4087">
        <v>0.17921500000000001</v>
      </c>
      <c r="X4087">
        <v>0.97941789999999995</v>
      </c>
      <c r="Y4087">
        <v>0.1196697</v>
      </c>
      <c r="Z4087">
        <v>2.1652979999999999E-2</v>
      </c>
      <c r="AA4087">
        <v>0.99257759999999995</v>
      </c>
      <c r="AB4087">
        <v>28</v>
      </c>
      <c r="AC4087">
        <v>-0.47610000000000202</v>
      </c>
      <c r="AD4087">
        <v>-0.12208469999999901</v>
      </c>
      <c r="AE4087">
        <v>5.3400000000010502E-2</v>
      </c>
      <c r="AF4087">
        <v>8.44987302632738E-2</v>
      </c>
      <c r="AG4087">
        <v>-0.12208469999999901</v>
      </c>
      <c r="AH4087">
        <v>0.44186483678267802</v>
      </c>
      <c r="AI4087">
        <v>105.183068637297</v>
      </c>
      <c r="AJ4087">
        <v>79.173915159148507</v>
      </c>
      <c r="AK4087">
        <v>0.46614294307130499</v>
      </c>
      <c r="AL4087">
        <v>79.675961219760694</v>
      </c>
      <c r="AM4087">
        <v>84.584006156063893</v>
      </c>
      <c r="AN4087">
        <v>1.0000000329005001</v>
      </c>
    </row>
    <row r="4088" spans="1:40" x14ac:dyDescent="0.25">
      <c r="A4088" t="str">
        <f>"20190312173011723"</f>
        <v>20190312173011723</v>
      </c>
      <c r="B4088" t="str">
        <f>"1552383011711898"</f>
        <v>1552383011711898</v>
      </c>
      <c r="C4088" t="s">
        <v>40</v>
      </c>
      <c r="D4088">
        <v>3.5167109999999999</v>
      </c>
      <c r="E4088">
        <v>0.51266920000000005</v>
      </c>
      <c r="F4088" t="s">
        <v>42</v>
      </c>
      <c r="G4088">
        <v>-219.96549999999999</v>
      </c>
      <c r="H4088">
        <v>0.98762320000000003</v>
      </c>
      <c r="I4088">
        <v>141.97409999999999</v>
      </c>
      <c r="J4088">
        <v>-219.50319999999999</v>
      </c>
      <c r="K4088">
        <v>1.1069719999999901</v>
      </c>
      <c r="L4088">
        <v>141.92240000000001</v>
      </c>
      <c r="M4088">
        <v>-0.99722469999999996</v>
      </c>
      <c r="N4088">
        <v>0</v>
      </c>
      <c r="O4088">
        <v>-7.369415E-2</v>
      </c>
      <c r="P4088">
        <v>-0.98538610000000004</v>
      </c>
      <c r="Q4088">
        <v>0.16957340000000001</v>
      </c>
      <c r="R4088">
        <v>1.6096249999999999E-2</v>
      </c>
      <c r="S4088">
        <v>-3.130585</v>
      </c>
      <c r="T4088">
        <v>-0.5145845</v>
      </c>
      <c r="U4088">
        <v>0.15180969999999999</v>
      </c>
      <c r="V4088">
        <v>8.9928679999999997E-2</v>
      </c>
      <c r="W4088">
        <v>0.17933460000000001</v>
      </c>
      <c r="X4088">
        <v>0.97966929999999997</v>
      </c>
      <c r="Y4088">
        <v>0.1193304</v>
      </c>
      <c r="Z4088">
        <v>2.1759859999999999E-2</v>
      </c>
      <c r="AA4088">
        <v>0.9926161</v>
      </c>
      <c r="AB4088">
        <v>28</v>
      </c>
      <c r="AC4088">
        <v>-0.46229999999999899</v>
      </c>
      <c r="AD4088">
        <v>-0.11934879999999901</v>
      </c>
      <c r="AE4088">
        <v>5.1699999999982503E-2</v>
      </c>
      <c r="AF4088">
        <v>8.0341636737089106E-2</v>
      </c>
      <c r="AG4088">
        <v>-0.11934879999999901</v>
      </c>
      <c r="AH4088">
        <v>0.42899409797912802</v>
      </c>
      <c r="AI4088">
        <v>105.293762254543</v>
      </c>
      <c r="AJ4088">
        <v>79.392570949322305</v>
      </c>
      <c r="AK4088">
        <v>0.45247635380863799</v>
      </c>
      <c r="AL4088">
        <v>79.668995473430797</v>
      </c>
      <c r="AM4088">
        <v>84.755236006929394</v>
      </c>
      <c r="AN4088">
        <v>1.0000000018030899</v>
      </c>
    </row>
    <row r="4089" spans="1:40" x14ac:dyDescent="0.25">
      <c r="A4089" t="str">
        <f>"20190312173011745"</f>
        <v>20190312173011745</v>
      </c>
      <c r="B4089" t="str">
        <f>"1552383011742155"</f>
        <v>1552383011742155</v>
      </c>
      <c r="C4089" t="s">
        <v>40</v>
      </c>
      <c r="D4089">
        <v>3.523218</v>
      </c>
      <c r="E4089">
        <v>0.51330730000000002</v>
      </c>
      <c r="F4089" t="s">
        <v>42</v>
      </c>
      <c r="G4089">
        <v>-220.21340000000001</v>
      </c>
      <c r="H4089">
        <v>0.98884419999999995</v>
      </c>
      <c r="I4089">
        <v>141.9589</v>
      </c>
      <c r="J4089">
        <v>-219.76949999999999</v>
      </c>
      <c r="K4089">
        <v>1.1072219999999999</v>
      </c>
      <c r="L4089">
        <v>141.90639999999999</v>
      </c>
      <c r="M4089">
        <v>-0.99745459999999997</v>
      </c>
      <c r="N4089">
        <v>0</v>
      </c>
      <c r="O4089">
        <v>-7.051876E-2</v>
      </c>
      <c r="P4089">
        <v>-0.98519579999999995</v>
      </c>
      <c r="Q4089">
        <v>0.17049790000000001</v>
      </c>
      <c r="R4089">
        <v>1.7884489999999999E-2</v>
      </c>
      <c r="S4089">
        <v>-3.1315</v>
      </c>
      <c r="T4089">
        <v>-0.5208275</v>
      </c>
      <c r="U4089">
        <v>0.16036989999999901</v>
      </c>
      <c r="V4089">
        <v>8.8466680000000006E-2</v>
      </c>
      <c r="W4089">
        <v>0.18029719999999999</v>
      </c>
      <c r="X4089">
        <v>0.97962579999999999</v>
      </c>
      <c r="Y4089">
        <v>0.1188521</v>
      </c>
      <c r="Z4089">
        <v>2.1449639999999999E-2</v>
      </c>
      <c r="AA4089">
        <v>0.99268029999999996</v>
      </c>
      <c r="AB4089">
        <v>28</v>
      </c>
      <c r="AC4089">
        <v>-0.44390000000001301</v>
      </c>
      <c r="AD4089">
        <v>-0.11837779999999901</v>
      </c>
      <c r="AE4089">
        <v>5.2500000000008998E-2</v>
      </c>
      <c r="AF4089">
        <v>7.8190388625204194E-2</v>
      </c>
      <c r="AG4089">
        <v>-0.11837779999999901</v>
      </c>
      <c r="AH4089">
        <v>0.41031472226034399</v>
      </c>
      <c r="AI4089">
        <v>105.82299496833799</v>
      </c>
      <c r="AJ4089">
        <v>79.210958553995894</v>
      </c>
      <c r="AK4089">
        <v>0.43414883589592201</v>
      </c>
      <c r="AL4089">
        <v>79.612929406572903</v>
      </c>
      <c r="AM4089">
        <v>84.839809907705998</v>
      </c>
      <c r="AN4089">
        <v>1.00000007091184</v>
      </c>
    </row>
    <row r="4090" spans="1:40" x14ac:dyDescent="0.25">
      <c r="A4090" t="str">
        <f>"20190312173011767"</f>
        <v>20190312173011767</v>
      </c>
      <c r="B4090" t="str">
        <f>"1552383011761674"</f>
        <v>1552383011761674</v>
      </c>
      <c r="C4090" t="s">
        <v>40</v>
      </c>
      <c r="D4090">
        <v>3.5182609999999999</v>
      </c>
      <c r="E4090">
        <v>0.51384560000000001</v>
      </c>
      <c r="F4090" t="s">
        <v>42</v>
      </c>
      <c r="G4090">
        <v>-220.69280000000001</v>
      </c>
      <c r="H4090">
        <v>0.95199040000000001</v>
      </c>
      <c r="I4090">
        <v>141.95580000000001</v>
      </c>
      <c r="J4090">
        <v>-220.04730000000001</v>
      </c>
      <c r="K4090">
        <v>1.1074839999999999</v>
      </c>
      <c r="L4090">
        <v>141.89019999999999</v>
      </c>
      <c r="M4090">
        <v>-0.99765959999999998</v>
      </c>
      <c r="N4090">
        <v>0</v>
      </c>
      <c r="O4090">
        <v>-6.7562349999999993E-2</v>
      </c>
      <c r="P4090">
        <v>-0.98526659999999999</v>
      </c>
      <c r="Q4090">
        <v>0.17001240000000001</v>
      </c>
      <c r="R4090">
        <v>1.859415E-2</v>
      </c>
      <c r="S4090">
        <v>-3.1332239999999998</v>
      </c>
      <c r="T4090">
        <v>-0.52680079999999996</v>
      </c>
      <c r="U4090">
        <v>0.1677399</v>
      </c>
      <c r="V4090">
        <v>8.6153190000000004E-2</v>
      </c>
      <c r="W4090">
        <v>0.17985809999999999</v>
      </c>
      <c r="X4090">
        <v>0.97991260000000002</v>
      </c>
      <c r="Y4090">
        <v>0.1182053</v>
      </c>
      <c r="Z4090">
        <v>2.1132620000000001E-2</v>
      </c>
      <c r="AA4090">
        <v>0.99276430000000004</v>
      </c>
      <c r="AB4090">
        <v>28</v>
      </c>
      <c r="AC4090">
        <v>-0.64549999999999796</v>
      </c>
      <c r="AD4090">
        <v>-0.15549359999999901</v>
      </c>
      <c r="AE4090">
        <v>6.5600000000017603E-2</v>
      </c>
      <c r="AF4090">
        <v>0.10314022990459</v>
      </c>
      <c r="AG4090">
        <v>-0.15549359999999901</v>
      </c>
      <c r="AH4090">
        <v>0.60485333402555996</v>
      </c>
      <c r="AI4090">
        <v>104.22044183198101</v>
      </c>
      <c r="AJ4090">
        <v>80.322941368902704</v>
      </c>
      <c r="AK4090">
        <v>0.63298003313498596</v>
      </c>
      <c r="AL4090">
        <v>79.638505418914704</v>
      </c>
      <c r="AM4090">
        <v>84.975517000982506</v>
      </c>
      <c r="AN4090">
        <v>1.0000000059607701</v>
      </c>
    </row>
    <row r="4091" spans="1:40" x14ac:dyDescent="0.25">
      <c r="A4091" t="str">
        <f>"20190312173011789"</f>
        <v>20190312173011789</v>
      </c>
      <c r="B4091" t="str">
        <f>"1552383011782171"</f>
        <v>1552383011782171</v>
      </c>
      <c r="C4091" t="s">
        <v>40</v>
      </c>
      <c r="D4091">
        <v>3.5344329999999999</v>
      </c>
      <c r="E4091">
        <v>0.51436759999999904</v>
      </c>
      <c r="F4091" t="s">
        <v>42</v>
      </c>
      <c r="G4091">
        <v>-220.94210000000001</v>
      </c>
      <c r="H4091">
        <v>0.9554819</v>
      </c>
      <c r="I4091">
        <v>141.93979999999999</v>
      </c>
      <c r="J4091">
        <v>-220.32409999999999</v>
      </c>
      <c r="K4091">
        <v>1.107707</v>
      </c>
      <c r="L4091">
        <v>141.87459999999999</v>
      </c>
      <c r="M4091">
        <v>-0.99783699999999997</v>
      </c>
      <c r="N4091">
        <v>0</v>
      </c>
      <c r="O4091">
        <v>-6.4891299999999999E-2</v>
      </c>
      <c r="P4091">
        <v>-0.98561270000000001</v>
      </c>
      <c r="Q4091">
        <v>0.16808210000000001</v>
      </c>
      <c r="R4091">
        <v>1.7788970000000001E-2</v>
      </c>
      <c r="S4091">
        <v>-3.1334379999999999</v>
      </c>
      <c r="T4091">
        <v>-0.53229019999999905</v>
      </c>
      <c r="U4091">
        <v>0.17333979999999999</v>
      </c>
      <c r="V4091">
        <v>8.2636189999999998E-2</v>
      </c>
      <c r="W4091">
        <v>0.17797550000000001</v>
      </c>
      <c r="X4091">
        <v>0.98055899999999996</v>
      </c>
      <c r="Y4091">
        <v>0.1173106</v>
      </c>
      <c r="Z4091">
        <v>2.0822199999999999E-2</v>
      </c>
      <c r="AA4091">
        <v>0.99287689999999995</v>
      </c>
      <c r="AB4091">
        <v>28</v>
      </c>
      <c r="AC4091">
        <v>-0.61800000000002298</v>
      </c>
      <c r="AD4091">
        <v>-0.1522251</v>
      </c>
      <c r="AE4091">
        <v>6.5200000000004296E-2</v>
      </c>
      <c r="AF4091">
        <v>9.9214240563541403E-2</v>
      </c>
      <c r="AG4091">
        <v>-0.1522251</v>
      </c>
      <c r="AH4091">
        <v>0.57779548514754397</v>
      </c>
      <c r="AI4091">
        <v>104.555873903641</v>
      </c>
      <c r="AJ4091">
        <v>80.256663668031607</v>
      </c>
      <c r="AK4091">
        <v>0.60569263596109202</v>
      </c>
      <c r="AL4091">
        <v>79.748139291562197</v>
      </c>
      <c r="AM4091">
        <v>85.182805420104401</v>
      </c>
      <c r="AN4091">
        <v>0.99999998548948299</v>
      </c>
    </row>
    <row r="4092" spans="1:40" x14ac:dyDescent="0.25">
      <c r="A4092" t="str">
        <f>"20190312173011812"</f>
        <v>20190312173011812</v>
      </c>
      <c r="B4092" t="str">
        <f>"1552383011801693"</f>
        <v>1552383011801693</v>
      </c>
      <c r="C4092" t="s">
        <v>40</v>
      </c>
      <c r="D4092">
        <v>3.540632</v>
      </c>
      <c r="E4092">
        <v>0.51490279999999999</v>
      </c>
      <c r="F4092" t="s">
        <v>42</v>
      </c>
      <c r="G4092">
        <v>-221.191</v>
      </c>
      <c r="H4092">
        <v>0.95766709999999999</v>
      </c>
      <c r="I4092">
        <v>141.92339999999999</v>
      </c>
      <c r="J4092">
        <v>-220.61240000000001</v>
      </c>
      <c r="K4092">
        <v>1.107907</v>
      </c>
      <c r="L4092">
        <v>141.85890000000001</v>
      </c>
      <c r="M4092">
        <v>-0.99799689999999996</v>
      </c>
      <c r="N4092">
        <v>0</v>
      </c>
      <c r="O4092">
        <v>-6.2386089999999998E-2</v>
      </c>
      <c r="P4092">
        <v>-0.98564819999999997</v>
      </c>
      <c r="Q4092">
        <v>0.16789370000000001</v>
      </c>
      <c r="R4092">
        <v>1.7589670000000002E-2</v>
      </c>
      <c r="S4092">
        <v>-3.133057</v>
      </c>
      <c r="T4092">
        <v>-0.54222309999999996</v>
      </c>
      <c r="U4092">
        <v>0.1764221</v>
      </c>
      <c r="V4092">
        <v>7.9884479999999994E-2</v>
      </c>
      <c r="W4092">
        <v>0.1778216</v>
      </c>
      <c r="X4092">
        <v>0.98081490000000005</v>
      </c>
      <c r="Y4092">
        <v>0.1157608</v>
      </c>
      <c r="Z4092">
        <v>2.0644389999999999E-2</v>
      </c>
      <c r="AA4092">
        <v>0.99306260000000002</v>
      </c>
      <c r="AB4092">
        <v>28</v>
      </c>
      <c r="AC4092">
        <v>-0.57859999999996603</v>
      </c>
      <c r="AD4092">
        <v>-0.15023989999999901</v>
      </c>
      <c r="AE4092">
        <v>6.44999999999811E-2</v>
      </c>
      <c r="AF4092">
        <v>9.41995832661192E-2</v>
      </c>
      <c r="AG4092">
        <v>-0.15023989999999901</v>
      </c>
      <c r="AH4092">
        <v>0.53764362012164002</v>
      </c>
      <c r="AI4092">
        <v>105.38949169056001</v>
      </c>
      <c r="AJ4092">
        <v>80.062179114599601</v>
      </c>
      <c r="AK4092">
        <v>0.56613271526826903</v>
      </c>
      <c r="AL4092">
        <v>79.757099780870405</v>
      </c>
      <c r="AM4092">
        <v>85.343705674674794</v>
      </c>
      <c r="AN4092">
        <v>0.99999995981671896</v>
      </c>
    </row>
    <row r="4093" spans="1:40" x14ac:dyDescent="0.25">
      <c r="A4093" t="str">
        <f>"20190312173011833"</f>
        <v>20190312173011833</v>
      </c>
      <c r="B4093" t="str">
        <f>"1552383011831946"</f>
        <v>1552383011831946</v>
      </c>
      <c r="C4093" t="s">
        <v>40</v>
      </c>
      <c r="D4093">
        <v>3.5181249999999999</v>
      </c>
      <c r="E4093">
        <v>0.5155807</v>
      </c>
      <c r="F4093" t="s">
        <v>42</v>
      </c>
      <c r="G4093">
        <v>-221.4418</v>
      </c>
      <c r="H4093">
        <v>0.96348239999999996</v>
      </c>
      <c r="I4093">
        <v>141.9068</v>
      </c>
      <c r="J4093">
        <v>-220.88249999999999</v>
      </c>
      <c r="K4093">
        <v>1.108093</v>
      </c>
      <c r="L4093">
        <v>141.84450000000001</v>
      </c>
      <c r="M4093">
        <v>-0.99812540000000005</v>
      </c>
      <c r="N4093">
        <v>0</v>
      </c>
      <c r="O4093">
        <v>-6.0302630000000003E-2</v>
      </c>
      <c r="P4093">
        <v>-0.98552249999999997</v>
      </c>
      <c r="Q4093">
        <v>0.1686049</v>
      </c>
      <c r="R4093">
        <v>1.783995E-2</v>
      </c>
      <c r="S4093">
        <v>-3.1333920000000002</v>
      </c>
      <c r="T4093">
        <v>-0.54563709999999999</v>
      </c>
      <c r="U4093">
        <v>0.18101500000000001</v>
      </c>
      <c r="V4093">
        <v>7.7998990000000004E-2</v>
      </c>
      <c r="W4093">
        <v>0.178557299999999</v>
      </c>
      <c r="X4093">
        <v>0.98083310000000001</v>
      </c>
      <c r="Y4093">
        <v>0.1151411</v>
      </c>
      <c r="Z4093">
        <v>2.03564E-2</v>
      </c>
      <c r="AA4093">
        <v>0.99314049999999998</v>
      </c>
      <c r="AB4093">
        <v>28</v>
      </c>
      <c r="AC4093">
        <v>-0.55930000000000701</v>
      </c>
      <c r="AD4093">
        <v>-0.14461059999999901</v>
      </c>
      <c r="AE4093">
        <v>6.2299999999993298E-2</v>
      </c>
      <c r="AF4093">
        <v>8.9974506908114205E-2</v>
      </c>
      <c r="AG4093">
        <v>-0.14461059999999901</v>
      </c>
      <c r="AH4093">
        <v>0.52017661754581401</v>
      </c>
      <c r="AI4093">
        <v>105.319518916313</v>
      </c>
      <c r="AJ4093">
        <v>80.186694869068603</v>
      </c>
      <c r="AK4093">
        <v>0.54734938655955601</v>
      </c>
      <c r="AL4093">
        <v>79.714262752400998</v>
      </c>
      <c r="AM4093">
        <v>85.453224480211006</v>
      </c>
      <c r="AN4093">
        <v>1.00000006093995</v>
      </c>
    </row>
    <row r="4094" spans="1:40" x14ac:dyDescent="0.25">
      <c r="A4094" t="str">
        <f>"20190312173011855"</f>
        <v>20190312173011855</v>
      </c>
      <c r="B4094" t="str">
        <f>"1552383011851466"</f>
        <v>1552383011851466</v>
      </c>
      <c r="C4094" t="s">
        <v>40</v>
      </c>
      <c r="D4094">
        <v>3.5846559999999998</v>
      </c>
      <c r="E4094">
        <v>0.51567559999999901</v>
      </c>
      <c r="F4094" t="s">
        <v>42</v>
      </c>
      <c r="G4094">
        <v>-221.6918</v>
      </c>
      <c r="H4094">
        <v>0.96696930000000003</v>
      </c>
      <c r="I4094">
        <v>141.8922</v>
      </c>
      <c r="J4094">
        <v>-221.14779999999999</v>
      </c>
      <c r="K4094">
        <v>1.1082879999999999</v>
      </c>
      <c r="L4094">
        <v>141.8306</v>
      </c>
      <c r="M4094">
        <v>-0.99823209999999996</v>
      </c>
      <c r="N4094">
        <v>0</v>
      </c>
      <c r="O4094">
        <v>-5.8510199999999998E-2</v>
      </c>
      <c r="P4094">
        <v>-0.9856859</v>
      </c>
      <c r="Q4094">
        <v>0.16772039999999999</v>
      </c>
      <c r="R4094">
        <v>1.711942E-2</v>
      </c>
      <c r="S4094">
        <v>-3.134201</v>
      </c>
      <c r="T4094">
        <v>-0.54643050000000004</v>
      </c>
      <c r="U4094">
        <v>0.1842346</v>
      </c>
      <c r="V4094">
        <v>7.5438060000000001E-2</v>
      </c>
      <c r="W4094">
        <v>0.17770520000000001</v>
      </c>
      <c r="X4094">
        <v>0.98118810000000001</v>
      </c>
      <c r="Y4094">
        <v>0.11439199999999999</v>
      </c>
      <c r="Z4094">
        <v>2.000534E-2</v>
      </c>
      <c r="AA4094">
        <v>0.99323419999999896</v>
      </c>
      <c r="AB4094">
        <v>28</v>
      </c>
      <c r="AC4094">
        <v>-0.54400000000001103</v>
      </c>
      <c r="AD4094">
        <v>-0.14131869999999899</v>
      </c>
      <c r="AE4094">
        <v>6.1599999999998503E-2</v>
      </c>
      <c r="AF4094">
        <v>8.7495911817018102E-2</v>
      </c>
      <c r="AG4094">
        <v>-0.14131869999999899</v>
      </c>
      <c r="AH4094">
        <v>0.505764529277273</v>
      </c>
      <c r="AI4094">
        <v>105.393634977521</v>
      </c>
      <c r="AJ4094">
        <v>80.185127282185604</v>
      </c>
      <c r="AK4094">
        <v>0.53237605940673405</v>
      </c>
      <c r="AL4094">
        <v>79.763878018699003</v>
      </c>
      <c r="AM4094">
        <v>85.603497545080899</v>
      </c>
      <c r="AN4094">
        <v>1.0000000632926</v>
      </c>
    </row>
    <row r="4095" spans="1:40" x14ac:dyDescent="0.25">
      <c r="A4095" t="str">
        <f>"20190312173011878"</f>
        <v>20190312173011878</v>
      </c>
      <c r="B4095" t="str">
        <f>"1552383011871962"</f>
        <v>1552383011871962</v>
      </c>
      <c r="C4095" t="s">
        <v>40</v>
      </c>
      <c r="D4095">
        <v>3.489484</v>
      </c>
      <c r="E4095">
        <v>0.49701679999999998</v>
      </c>
      <c r="F4095" t="s">
        <v>42</v>
      </c>
      <c r="G4095">
        <v>-221.94139999999999</v>
      </c>
      <c r="H4095">
        <v>0.96922960000000002</v>
      </c>
      <c r="I4095">
        <v>141.87690000000001</v>
      </c>
      <c r="J4095">
        <v>-221.434</v>
      </c>
      <c r="K4095">
        <v>1.1085119999999999</v>
      </c>
      <c r="L4095">
        <v>141.8159</v>
      </c>
      <c r="M4095">
        <v>-0.99832790000000005</v>
      </c>
      <c r="N4095">
        <v>0</v>
      </c>
      <c r="O4095">
        <v>-5.6856799999999999E-2</v>
      </c>
      <c r="P4095">
        <v>-0.98593319999999995</v>
      </c>
      <c r="Q4095">
        <v>0.16643849999999999</v>
      </c>
      <c r="R4095">
        <v>1.52934E-2</v>
      </c>
      <c r="S4095">
        <v>-3.1338200000000001</v>
      </c>
      <c r="T4095">
        <v>-0.54903389999999996</v>
      </c>
      <c r="U4095">
        <v>0.18202209999999999</v>
      </c>
      <c r="V4095">
        <v>7.1899309999999994E-2</v>
      </c>
      <c r="W4095">
        <v>0.17646339999999999</v>
      </c>
      <c r="X4095">
        <v>0.98167769999999999</v>
      </c>
      <c r="Y4095">
        <v>0.1120897</v>
      </c>
      <c r="Z4095">
        <v>1.961487E-2</v>
      </c>
      <c r="AA4095">
        <v>0.99350450000000001</v>
      </c>
      <c r="AB4095">
        <v>28</v>
      </c>
      <c r="AC4095">
        <v>-0.50739999999996099</v>
      </c>
      <c r="AD4095">
        <v>-0.1392824</v>
      </c>
      <c r="AE4095">
        <v>6.1000000000007E-2</v>
      </c>
      <c r="AF4095">
        <v>8.3546371717811596E-2</v>
      </c>
      <c r="AG4095">
        <v>-0.1392824</v>
      </c>
      <c r="AH4095">
        <v>0.46832449837719697</v>
      </c>
      <c r="AI4095">
        <v>106.31915473386699</v>
      </c>
      <c r="AJ4095">
        <v>79.885169596829002</v>
      </c>
      <c r="AK4095">
        <v>0.495688832794551</v>
      </c>
      <c r="AL4095">
        <v>79.836169538347903</v>
      </c>
      <c r="AM4095">
        <v>85.811064538470305</v>
      </c>
      <c r="AN4095">
        <v>0.99999997449766198</v>
      </c>
    </row>
    <row r="4096" spans="1:40" x14ac:dyDescent="0.25">
      <c r="A4096" t="str">
        <f>"20190312173011904"</f>
        <v>20190312173011904</v>
      </c>
      <c r="B4096" t="str">
        <f>"1552383011891481"</f>
        <v>1552383011891481</v>
      </c>
      <c r="C4096" t="s">
        <v>40</v>
      </c>
      <c r="D4096">
        <v>3.4984199999999999</v>
      </c>
      <c r="E4096">
        <v>0.49516579999999899</v>
      </c>
      <c r="F4096" t="s">
        <v>42</v>
      </c>
      <c r="G4096">
        <v>-222.2216</v>
      </c>
      <c r="H4096">
        <v>1.037814</v>
      </c>
      <c r="I4096">
        <v>141.82299999999901</v>
      </c>
      <c r="J4096">
        <v>-221.74279999999999</v>
      </c>
      <c r="K4096">
        <v>1.108768</v>
      </c>
      <c r="L4096">
        <v>141.80009999999999</v>
      </c>
      <c r="M4096">
        <v>-0.99840949999999995</v>
      </c>
      <c r="N4096">
        <v>0</v>
      </c>
      <c r="O4096">
        <v>-5.5406299999999999E-2</v>
      </c>
      <c r="P4096">
        <v>-0.98576710000000001</v>
      </c>
      <c r="Q4096">
        <v>0.16747590000000001</v>
      </c>
      <c r="R4096">
        <v>1.4672269999999999E-2</v>
      </c>
      <c r="S4096">
        <v>-3.089188</v>
      </c>
      <c r="T4096">
        <v>-0.27734609999999998</v>
      </c>
      <c r="U4096">
        <v>2.7618409999999999E-2</v>
      </c>
      <c r="V4096">
        <v>6.9731829999999995E-2</v>
      </c>
      <c r="W4096">
        <v>0.17753529999999901</v>
      </c>
      <c r="X4096">
        <v>0.98164079999999998</v>
      </c>
      <c r="Y4096">
        <v>6.3853820000000006E-2</v>
      </c>
      <c r="Z4096">
        <v>7.8235159999999904E-3</v>
      </c>
      <c r="AA4096">
        <v>0.99792860000000005</v>
      </c>
      <c r="AB4096">
        <v>28</v>
      </c>
      <c r="AC4096">
        <v>-0.478800000000006</v>
      </c>
      <c r="AD4096">
        <v>-7.0953999999999906E-2</v>
      </c>
      <c r="AE4096">
        <v>2.2899999999992801E-2</v>
      </c>
      <c r="AF4096">
        <v>4.8335734256353999E-2</v>
      </c>
      <c r="AG4096">
        <v>-7.0953999999999906E-2</v>
      </c>
      <c r="AH4096">
        <v>0.46657269622464898</v>
      </c>
      <c r="AI4096">
        <v>98.601656424190296</v>
      </c>
      <c r="AJ4096">
        <v>84.085403353458602</v>
      </c>
      <c r="AK4096">
        <v>0.47440583278922699</v>
      </c>
      <c r="AL4096">
        <v>79.773769056518503</v>
      </c>
      <c r="AM4096">
        <v>85.936762694000706</v>
      </c>
      <c r="AN4096">
        <v>0.99999998554293901</v>
      </c>
    </row>
    <row r="4097" spans="1:40" x14ac:dyDescent="0.25">
      <c r="A4097" t="str">
        <f>"20190312173011924"</f>
        <v>20190312173011924</v>
      </c>
      <c r="B4097" t="str">
        <f>"1552383011921738"</f>
        <v>1552383011921738</v>
      </c>
      <c r="C4097" t="s">
        <v>40</v>
      </c>
      <c r="D4097">
        <v>3.5015679999999998</v>
      </c>
      <c r="E4097">
        <v>0.49431570000000002</v>
      </c>
      <c r="F4097" t="s">
        <v>42</v>
      </c>
      <c r="G4097">
        <v>-222.71969999999999</v>
      </c>
      <c r="H4097">
        <v>1.036443</v>
      </c>
      <c r="I4097">
        <v>141.803</v>
      </c>
      <c r="J4097">
        <v>-222.0078</v>
      </c>
      <c r="K4097">
        <v>1.1090040000000001</v>
      </c>
      <c r="L4097">
        <v>141.78659999999999</v>
      </c>
      <c r="M4097">
        <v>-0.9984596</v>
      </c>
      <c r="N4097">
        <v>0</v>
      </c>
      <c r="O4097">
        <v>-5.449934E-2</v>
      </c>
      <c r="P4097">
        <v>-0.98565349999999996</v>
      </c>
      <c r="Q4097">
        <v>0.16823350000000001</v>
      </c>
      <c r="R4097">
        <v>1.360745E-2</v>
      </c>
      <c r="S4097">
        <v>-3.0819549999999998</v>
      </c>
      <c r="T4097">
        <v>-0.22822110000000001</v>
      </c>
      <c r="U4097">
        <v>8.5906980000000008E-3</v>
      </c>
      <c r="V4097">
        <v>6.7669209999999994E-2</v>
      </c>
      <c r="W4097">
        <v>0.1783246</v>
      </c>
      <c r="X4097">
        <v>0.98164209999999996</v>
      </c>
      <c r="Y4097">
        <v>5.6980210000000003E-2</v>
      </c>
      <c r="Z4097">
        <v>6.1358109999999997E-3</v>
      </c>
      <c r="AA4097">
        <v>0.99835649999999998</v>
      </c>
      <c r="AB4097">
        <v>28</v>
      </c>
      <c r="AC4097">
        <v>-0.71189999999998499</v>
      </c>
      <c r="AD4097">
        <v>-7.2561000000000098E-2</v>
      </c>
      <c r="AE4097">
        <v>1.6400000000004401E-2</v>
      </c>
      <c r="AF4097">
        <v>5.46087811353453E-2</v>
      </c>
      <c r="AG4097">
        <v>-7.2561000000000098E-2</v>
      </c>
      <c r="AH4097">
        <v>0.70265213327820497</v>
      </c>
      <c r="AI4097">
        <v>95.878281179868097</v>
      </c>
      <c r="AJ4097">
        <v>85.556014508141402</v>
      </c>
      <c r="AK4097">
        <v>0.708496463010578</v>
      </c>
      <c r="AL4097">
        <v>79.727812305680104</v>
      </c>
      <c r="AM4097">
        <v>86.056570746546299</v>
      </c>
      <c r="AN4097">
        <v>0.99999999871979695</v>
      </c>
    </row>
    <row r="4098" spans="1:40" x14ac:dyDescent="0.25">
      <c r="A4098" t="str">
        <f>"20190312173011946"</f>
        <v>20190312173011946</v>
      </c>
      <c r="B4098" t="str">
        <f>"1552383011942234"</f>
        <v>1552383011942234</v>
      </c>
      <c r="C4098" t="s">
        <v>40</v>
      </c>
      <c r="D4098">
        <v>3.4888319999999999</v>
      </c>
      <c r="E4098">
        <v>0.4941181</v>
      </c>
      <c r="F4098" t="s">
        <v>42</v>
      </c>
      <c r="G4098">
        <v>-222.97550000000001</v>
      </c>
      <c r="H4098">
        <v>1.0474889999999999</v>
      </c>
      <c r="I4098">
        <v>141.78550000000001</v>
      </c>
      <c r="J4098">
        <v>-222.2724</v>
      </c>
      <c r="K4098">
        <v>1.1092120000000001</v>
      </c>
      <c r="L4098">
        <v>141.7731</v>
      </c>
      <c r="M4098">
        <v>-0.99849560000000004</v>
      </c>
      <c r="N4098">
        <v>0</v>
      </c>
      <c r="O4098">
        <v>-5.3838700000000003E-2</v>
      </c>
      <c r="P4098">
        <v>-0.98589300000000002</v>
      </c>
      <c r="Q4098">
        <v>0.1669204</v>
      </c>
      <c r="R4098">
        <v>1.2369979999999999E-2</v>
      </c>
      <c r="S4098">
        <v>-3.0771329999999999</v>
      </c>
      <c r="T4098">
        <v>-0.19569230000000001</v>
      </c>
      <c r="U4098">
        <v>-4.2114259999999999E-3</v>
      </c>
      <c r="V4098">
        <v>6.5701949999999995E-2</v>
      </c>
      <c r="W4098">
        <v>0.17704259999999999</v>
      </c>
      <c r="X4098">
        <v>0.98200770000000004</v>
      </c>
      <c r="Y4098">
        <v>5.2260670000000002E-2</v>
      </c>
      <c r="Z4098">
        <v>5.0794600000000001E-3</v>
      </c>
      <c r="AA4098">
        <v>0.99862059999999997</v>
      </c>
      <c r="AB4098">
        <v>28</v>
      </c>
      <c r="AC4098">
        <v>-0.70310000000000605</v>
      </c>
      <c r="AD4098">
        <v>-6.1723000000000097E-2</v>
      </c>
      <c r="AE4098">
        <v>1.24000000000137E-2</v>
      </c>
      <c r="AF4098">
        <v>4.9853964131223699E-2</v>
      </c>
      <c r="AG4098">
        <v>-6.1723000000000097E-2</v>
      </c>
      <c r="AH4098">
        <v>0.69605003492687401</v>
      </c>
      <c r="AI4098">
        <v>95.054629861729296</v>
      </c>
      <c r="AJ4098">
        <v>85.903236722047893</v>
      </c>
      <c r="AK4098">
        <v>0.70055749056754801</v>
      </c>
      <c r="AL4098">
        <v>79.802452973962204</v>
      </c>
      <c r="AM4098">
        <v>86.172288207209903</v>
      </c>
      <c r="AN4098">
        <v>0.99999997565392595</v>
      </c>
    </row>
    <row r="4099" spans="1:40" x14ac:dyDescent="0.25">
      <c r="A4099" t="str">
        <f>"20190312173011967"</f>
        <v>20190312173011967</v>
      </c>
      <c r="B4099" t="str">
        <f>"1552383011961754"</f>
        <v>1552383011961754</v>
      </c>
      <c r="C4099" t="s">
        <v>40</v>
      </c>
      <c r="D4099">
        <v>3.4694060000000002</v>
      </c>
      <c r="E4099">
        <v>0.4940793</v>
      </c>
      <c r="F4099" t="s">
        <v>42</v>
      </c>
      <c r="G4099">
        <v>-223.2268</v>
      </c>
      <c r="H4099">
        <v>1.0494540000000001</v>
      </c>
      <c r="I4099">
        <v>141.7698</v>
      </c>
      <c r="J4099">
        <v>-222.54570000000001</v>
      </c>
      <c r="K4099">
        <v>1.1094109999999999</v>
      </c>
      <c r="L4099">
        <v>141.75899999999999</v>
      </c>
      <c r="M4099">
        <v>-0.99851719999999999</v>
      </c>
      <c r="N4099">
        <v>0</v>
      </c>
      <c r="O4099">
        <v>-5.3436579999999997E-2</v>
      </c>
      <c r="P4099">
        <v>-0.986317</v>
      </c>
      <c r="Q4099">
        <v>0.164549799999999</v>
      </c>
      <c r="R4099">
        <v>1.009119E-2</v>
      </c>
      <c r="S4099">
        <v>-3.0756839999999999</v>
      </c>
      <c r="T4099">
        <v>-0.19256190000000001</v>
      </c>
      <c r="U4099">
        <v>-1.045227E-2</v>
      </c>
      <c r="V4099">
        <v>6.2961779999999995E-2</v>
      </c>
      <c r="W4099">
        <v>0.174704</v>
      </c>
      <c r="X4099">
        <v>0.98260590000000003</v>
      </c>
      <c r="Y4099">
        <v>4.9843529999999997E-2</v>
      </c>
      <c r="Z4099">
        <v>4.899942E-3</v>
      </c>
      <c r="AA4099">
        <v>0.99874499999999999</v>
      </c>
      <c r="AB4099">
        <v>28</v>
      </c>
      <c r="AC4099">
        <v>-0.68109999999998605</v>
      </c>
      <c r="AD4099">
        <v>-5.9957000000000003E-2</v>
      </c>
      <c r="AE4099">
        <v>1.08000000000174E-2</v>
      </c>
      <c r="AF4099">
        <v>4.68194635757943E-2</v>
      </c>
      <c r="AG4099">
        <v>-5.9957000000000003E-2</v>
      </c>
      <c r="AH4099">
        <v>0.67432544073397005</v>
      </c>
      <c r="AI4099">
        <v>95.068898249587306</v>
      </c>
      <c r="AJ4099">
        <v>86.028239055904905</v>
      </c>
      <c r="AK4099">
        <v>0.67860275864425101</v>
      </c>
      <c r="AL4099">
        <v>79.9385669400598</v>
      </c>
      <c r="AM4099">
        <v>86.333708893824905</v>
      </c>
      <c r="AN4099">
        <v>1.0000000140357801</v>
      </c>
    </row>
    <row r="4100" spans="1:40" x14ac:dyDescent="0.25">
      <c r="A4100" t="str">
        <f>"20190312173011993"</f>
        <v>20190312173011993</v>
      </c>
      <c r="B4100" t="str">
        <f>"1552383011981275"</f>
        <v>1552383011981275</v>
      </c>
      <c r="C4100" t="s">
        <v>40</v>
      </c>
      <c r="D4100">
        <v>3.4955609999999999</v>
      </c>
      <c r="E4100">
        <v>0.4939945</v>
      </c>
      <c r="F4100" t="s">
        <v>42</v>
      </c>
      <c r="G4100">
        <v>-223.4776</v>
      </c>
      <c r="H4100">
        <v>1.050549</v>
      </c>
      <c r="I4100">
        <v>141.75399999999999</v>
      </c>
      <c r="J4100">
        <v>-222.869</v>
      </c>
      <c r="K4100">
        <v>1.109632</v>
      </c>
      <c r="L4100">
        <v>141.74209999999999</v>
      </c>
      <c r="M4100">
        <v>-0.99852339999999995</v>
      </c>
      <c r="N4100">
        <v>0</v>
      </c>
      <c r="O4100">
        <v>-5.332663E-2</v>
      </c>
      <c r="P4100">
        <v>-0.98639529999999997</v>
      </c>
      <c r="Q4100">
        <v>0.1641378</v>
      </c>
      <c r="R4100">
        <v>9.1218610000000002E-3</v>
      </c>
      <c r="S4100">
        <v>-3.0741879999999999</v>
      </c>
      <c r="T4100">
        <v>-0.1942875</v>
      </c>
      <c r="U4100">
        <v>-1.698303E-2</v>
      </c>
      <c r="V4100">
        <v>6.178927E-2</v>
      </c>
      <c r="W4100">
        <v>0.174319899999999</v>
      </c>
      <c r="X4100">
        <v>0.98274850000000002</v>
      </c>
      <c r="Y4100">
        <v>4.7610949999999999E-2</v>
      </c>
      <c r="Z4100">
        <v>4.8686830000000004E-3</v>
      </c>
      <c r="AA4100">
        <v>0.99885409999999997</v>
      </c>
      <c r="AB4100">
        <v>28</v>
      </c>
      <c r="AC4100">
        <v>-0.60859999999996695</v>
      </c>
      <c r="AD4100">
        <v>-5.9082999999999997E-2</v>
      </c>
      <c r="AE4100">
        <v>1.18999999999971E-2</v>
      </c>
      <c r="AF4100">
        <v>4.39255730534895E-2</v>
      </c>
      <c r="AG4100">
        <v>-5.9082999999999997E-2</v>
      </c>
      <c r="AH4100">
        <v>0.60143324440660795</v>
      </c>
      <c r="AI4100">
        <v>95.595754366606002</v>
      </c>
      <c r="AJ4100">
        <v>85.822829240489597</v>
      </c>
      <c r="AK4100">
        <v>0.60592260589495806</v>
      </c>
      <c r="AL4100">
        <v>79.960916845322899</v>
      </c>
      <c r="AM4100">
        <v>86.402324318518296</v>
      </c>
      <c r="AN4100">
        <v>0.99999997783769601</v>
      </c>
    </row>
    <row r="4101" spans="1:40" x14ac:dyDescent="0.25">
      <c r="A4101" t="str">
        <f>"20190312173012013"</f>
        <v>20190312173012013</v>
      </c>
      <c r="B4101" t="str">
        <f>"1552383012001774"</f>
        <v>1552383012001774</v>
      </c>
      <c r="C4101" t="s">
        <v>40</v>
      </c>
      <c r="D4101">
        <v>3.5275940000000001</v>
      </c>
      <c r="E4101">
        <v>0.49386390000000002</v>
      </c>
      <c r="F4101" t="s">
        <v>41</v>
      </c>
      <c r="G4101">
        <v>-240.84289999999999</v>
      </c>
      <c r="H4101" s="1">
        <v>-4.3448899999999998E-6</v>
      </c>
      <c r="I4101">
        <v>141.6216</v>
      </c>
      <c r="J4101">
        <v>-223.11170000000001</v>
      </c>
      <c r="K4101">
        <v>1.1098170000000001</v>
      </c>
      <c r="L4101">
        <v>141.72919999999999</v>
      </c>
      <c r="M4101">
        <v>-0.99851380000000001</v>
      </c>
      <c r="N4101">
        <v>0</v>
      </c>
      <c r="O4101">
        <v>-5.3504370000000002E-2</v>
      </c>
      <c r="P4101">
        <v>-0.98634960000000005</v>
      </c>
      <c r="Q4101">
        <v>0.16445960000000001</v>
      </c>
      <c r="R4101">
        <v>8.2393810000000005E-3</v>
      </c>
      <c r="S4101">
        <v>-3.0731350000000002</v>
      </c>
      <c r="T4101">
        <v>-0.18972410000000001</v>
      </c>
      <c r="U4101">
        <v>-2.0599369999999999E-2</v>
      </c>
      <c r="V4101">
        <v>6.1001979999999997E-2</v>
      </c>
      <c r="W4101">
        <v>0.17466409999999999</v>
      </c>
      <c r="X4101">
        <v>0.98273659999999996</v>
      </c>
      <c r="Y4101">
        <v>4.6622219999999999E-2</v>
      </c>
      <c r="Z4101">
        <v>4.7365879999999999E-3</v>
      </c>
      <c r="AA4101">
        <v>0.99890140000000005</v>
      </c>
      <c r="AB4101">
        <v>28</v>
      </c>
      <c r="AC4101">
        <v>-17.731199999999902</v>
      </c>
      <c r="AD4101">
        <v>-1.1098213448899901</v>
      </c>
      <c r="AE4101">
        <v>-0.10759999999999</v>
      </c>
      <c r="AF4101">
        <v>0.83801883478420902</v>
      </c>
      <c r="AG4101">
        <v>-1.1098213448899901</v>
      </c>
      <c r="AH4101">
        <v>17.642441704901099</v>
      </c>
      <c r="AI4101">
        <v>93.595481226315201</v>
      </c>
      <c r="AJ4101">
        <v>87.280485291555905</v>
      </c>
      <c r="AK4101">
        <v>17.697167239302999</v>
      </c>
      <c r="AL4101">
        <v>79.940888670761794</v>
      </c>
      <c r="AM4101">
        <v>86.448003209079801</v>
      </c>
      <c r="AN4101">
        <v>1.0000000071861399</v>
      </c>
    </row>
    <row r="4102" spans="1:40" x14ac:dyDescent="0.25">
      <c r="A4102" t="str">
        <f>"20190312173012034"</f>
        <v>20190312173012034</v>
      </c>
      <c r="B4102" t="str">
        <f>"1552383012032027"</f>
        <v>1552383012032027</v>
      </c>
      <c r="C4102" t="s">
        <v>40</v>
      </c>
      <c r="D4102">
        <v>3.509166</v>
      </c>
      <c r="E4102">
        <v>0.4939211</v>
      </c>
      <c r="F4102" t="s">
        <v>41</v>
      </c>
      <c r="G4102">
        <v>-241.68600000000001</v>
      </c>
      <c r="H4102" s="1">
        <v>-4.0489570000000004E-6</v>
      </c>
      <c r="I4102">
        <v>141.57069999999999</v>
      </c>
      <c r="J4102">
        <v>-223.38630000000001</v>
      </c>
      <c r="K4102">
        <v>1.110042</v>
      </c>
      <c r="L4102">
        <v>141.71420000000001</v>
      </c>
      <c r="M4102">
        <v>-0.99848740000000002</v>
      </c>
      <c r="N4102">
        <v>0</v>
      </c>
      <c r="O4102">
        <v>-5.3996700000000002E-2</v>
      </c>
      <c r="P4102">
        <v>-0.98639310000000002</v>
      </c>
      <c r="Q4102">
        <v>0.1642016</v>
      </c>
      <c r="R4102">
        <v>8.1795619999999996E-3</v>
      </c>
      <c r="S4102">
        <v>-3.0723569999999998</v>
      </c>
      <c r="T4102">
        <v>-0.18357480000000001</v>
      </c>
      <c r="U4102">
        <v>-2.6199340000000002E-2</v>
      </c>
      <c r="V4102">
        <v>6.133156E-2</v>
      </c>
      <c r="W4102">
        <v>0.1744359</v>
      </c>
      <c r="X4102">
        <v>0.98275659999999998</v>
      </c>
      <c r="Y4102">
        <v>4.5305949999999998E-2</v>
      </c>
      <c r="Z4102">
        <v>4.5745009999999999E-3</v>
      </c>
      <c r="AA4102">
        <v>0.99896269999999998</v>
      </c>
      <c r="AB4102">
        <v>28</v>
      </c>
      <c r="AC4102">
        <v>-18.299699999999898</v>
      </c>
      <c r="AD4102">
        <v>-1.1100460489570001</v>
      </c>
      <c r="AE4102">
        <v>-0.143500000000017</v>
      </c>
      <c r="AF4102">
        <v>0.841788577079289</v>
      </c>
      <c r="AG4102">
        <v>-1.1100460489570001</v>
      </c>
      <c r="AH4102">
        <v>18.213734774736</v>
      </c>
      <c r="AI4102">
        <v>93.483899174142095</v>
      </c>
      <c r="AJ4102">
        <v>87.353830156804193</v>
      </c>
      <c r="AK4102">
        <v>18.266935831817399</v>
      </c>
      <c r="AL4102">
        <v>79.954167235738495</v>
      </c>
      <c r="AM4102">
        <v>86.428934585519499</v>
      </c>
      <c r="AN4102">
        <v>0.99999998915220101</v>
      </c>
    </row>
    <row r="4103" spans="1:40" x14ac:dyDescent="0.25">
      <c r="A4103" t="str">
        <f>"20190312173012057"</f>
        <v>20190312173012057</v>
      </c>
      <c r="B4103" t="str">
        <f>"1552383012051547"</f>
        <v>1552383012051547</v>
      </c>
      <c r="C4103" t="s">
        <v>40</v>
      </c>
      <c r="D4103">
        <v>3.4788619999999999</v>
      </c>
      <c r="E4103">
        <v>0.49406480000000003</v>
      </c>
      <c r="F4103" t="s">
        <v>41</v>
      </c>
      <c r="G4103">
        <v>-242.309</v>
      </c>
      <c r="H4103" s="1">
        <v>-3.7969009999999998E-6</v>
      </c>
      <c r="I4103">
        <v>141.55240000000001</v>
      </c>
      <c r="J4103">
        <v>-223.6628</v>
      </c>
      <c r="K4103">
        <v>1.1102920000000001</v>
      </c>
      <c r="L4103">
        <v>141.6986</v>
      </c>
      <c r="M4103">
        <v>-0.99844290000000002</v>
      </c>
      <c r="N4103">
        <v>0</v>
      </c>
      <c r="O4103">
        <v>-5.4812230000000003E-2</v>
      </c>
      <c r="P4103">
        <v>-0.98667360000000004</v>
      </c>
      <c r="Q4103">
        <v>0.16259470000000001</v>
      </c>
      <c r="R4103">
        <v>6.1760199999999999E-3</v>
      </c>
      <c r="S4103">
        <v>-3.071609</v>
      </c>
      <c r="T4103">
        <v>-0.18018790000000001</v>
      </c>
      <c r="U4103">
        <v>-2.624512E-2</v>
      </c>
      <c r="V4103">
        <v>6.0043729999999997E-2</v>
      </c>
      <c r="W4103">
        <v>0.17286650000000001</v>
      </c>
      <c r="X4103">
        <v>0.98311340000000003</v>
      </c>
      <c r="Y4103">
        <v>4.610852E-2</v>
      </c>
      <c r="Z4103">
        <v>4.5626030000000001E-3</v>
      </c>
      <c r="AA4103">
        <v>0.99892599999999998</v>
      </c>
      <c r="AB4103">
        <v>28</v>
      </c>
      <c r="AC4103">
        <v>-18.6462</v>
      </c>
      <c r="AD4103">
        <v>-1.1102957969009899</v>
      </c>
      <c r="AE4103">
        <v>-0.146199999999993</v>
      </c>
      <c r="AF4103">
        <v>0.87301926088646298</v>
      </c>
      <c r="AG4103">
        <v>-1.1102957969009899</v>
      </c>
      <c r="AH4103">
        <v>18.560375077523499</v>
      </c>
      <c r="AI4103">
        <v>93.419625756884002</v>
      </c>
      <c r="AJ4103">
        <v>87.306979058580396</v>
      </c>
      <c r="AK4103">
        <v>18.614038852566399</v>
      </c>
      <c r="AL4103">
        <v>80.045474731979994</v>
      </c>
      <c r="AM4103">
        <v>86.504996988847793</v>
      </c>
      <c r="AN4103">
        <v>1.00000001679706</v>
      </c>
    </row>
    <row r="4104" spans="1:40" x14ac:dyDescent="0.25">
      <c r="A4104" t="str">
        <f>"20190312173012079"</f>
        <v>20190312173012079</v>
      </c>
      <c r="B4104" t="str">
        <f>"1552383012072042"</f>
        <v>1552383012072042</v>
      </c>
      <c r="C4104" t="s">
        <v>40</v>
      </c>
      <c r="D4104">
        <v>3.484537</v>
      </c>
      <c r="E4104">
        <v>0.49416700000000002</v>
      </c>
      <c r="F4104" t="s">
        <v>41</v>
      </c>
      <c r="G4104">
        <v>-242.1634</v>
      </c>
      <c r="H4104" s="1">
        <v>-3.8491829999999997E-6</v>
      </c>
      <c r="I4104">
        <v>141.51419999999999</v>
      </c>
      <c r="J4104">
        <v>-223.94980000000001</v>
      </c>
      <c r="K4104">
        <v>1.1105700000000001</v>
      </c>
      <c r="L4104">
        <v>141.68180000000001</v>
      </c>
      <c r="M4104">
        <v>-0.99837730000000002</v>
      </c>
      <c r="N4104">
        <v>0</v>
      </c>
      <c r="O4104">
        <v>-5.5994530000000001E-2</v>
      </c>
      <c r="P4104">
        <v>-0.98681870000000005</v>
      </c>
      <c r="Q4104">
        <v>0.16177639999999999</v>
      </c>
      <c r="R4104">
        <v>4.1462529999999999E-3</v>
      </c>
      <c r="S4104">
        <v>-3.071075</v>
      </c>
      <c r="T4104">
        <v>-0.18430759999999999</v>
      </c>
      <c r="U4104">
        <v>-3.0593869999999999E-2</v>
      </c>
      <c r="V4104">
        <v>5.9075410000000002E-2</v>
      </c>
      <c r="W4104">
        <v>0.17208870000000001</v>
      </c>
      <c r="X4104">
        <v>0.98330850000000003</v>
      </c>
      <c r="Y4104">
        <v>4.5865789999999997E-2</v>
      </c>
      <c r="Z4104">
        <v>4.7310049999999999E-3</v>
      </c>
      <c r="AA4104">
        <v>0.99893639999999995</v>
      </c>
      <c r="AB4104">
        <v>28</v>
      </c>
      <c r="AC4104">
        <v>-18.2135999999999</v>
      </c>
      <c r="AD4104">
        <v>-1.110573849183</v>
      </c>
      <c r="AE4104">
        <v>-0.16760000000002101</v>
      </c>
      <c r="AF4104">
        <v>0.84942187327178897</v>
      </c>
      <c r="AG4104">
        <v>-1.110573849183</v>
      </c>
      <c r="AH4104">
        <v>18.127016756263</v>
      </c>
      <c r="AI4104">
        <v>93.502080581426796</v>
      </c>
      <c r="AJ4104">
        <v>87.317114348328204</v>
      </c>
      <c r="AK4104">
        <v>18.1808588431659</v>
      </c>
      <c r="AL4104">
        <v>80.090717408605499</v>
      </c>
      <c r="AM4104">
        <v>86.561904894243398</v>
      </c>
      <c r="AN4104">
        <v>1.0000000154533</v>
      </c>
    </row>
    <row r="4105" spans="1:40" x14ac:dyDescent="0.25">
      <c r="A4105" t="str">
        <f>"20190312173012103"</f>
        <v>20190312173012103</v>
      </c>
      <c r="B4105" t="str">
        <f>"1552383012101827"</f>
        <v>1552383012101827</v>
      </c>
      <c r="C4105" t="s">
        <v>40</v>
      </c>
      <c r="D4105">
        <v>3.4913099999999999</v>
      </c>
      <c r="E4105">
        <v>0.49435210000000002</v>
      </c>
      <c r="F4105" t="s">
        <v>41</v>
      </c>
      <c r="G4105">
        <v>-242.28489999999999</v>
      </c>
      <c r="H4105" s="1">
        <v>-3.78524E-6</v>
      </c>
      <c r="I4105">
        <v>141.46979999999999</v>
      </c>
      <c r="J4105">
        <v>-224.24549999999999</v>
      </c>
      <c r="K4105">
        <v>1.1108530000000001</v>
      </c>
      <c r="L4105">
        <v>141.66370000000001</v>
      </c>
      <c r="M4105">
        <v>-0.99828749999999999</v>
      </c>
      <c r="N4105">
        <v>0</v>
      </c>
      <c r="O4105">
        <v>-5.7572440000000003E-2</v>
      </c>
      <c r="P4105">
        <v>-0.98689539999999998</v>
      </c>
      <c r="Q4105">
        <v>0.16134409999999999</v>
      </c>
      <c r="R4105">
        <v>2.3343309999999998E-3</v>
      </c>
      <c r="S4105">
        <v>-3.0707089999999999</v>
      </c>
      <c r="T4105">
        <v>-0.1859961</v>
      </c>
      <c r="U4105">
        <v>-3.549194E-2</v>
      </c>
      <c r="V4105">
        <v>5.8710039999999998E-2</v>
      </c>
      <c r="W4105">
        <v>0.1716984</v>
      </c>
      <c r="X4105">
        <v>0.98339860000000001</v>
      </c>
      <c r="Y4105">
        <v>4.5844009999999998E-2</v>
      </c>
      <c r="Z4105">
        <v>4.8694569999999998E-3</v>
      </c>
      <c r="AA4105">
        <v>0.99893670000000001</v>
      </c>
      <c r="AB4105">
        <v>28</v>
      </c>
      <c r="AC4105">
        <v>-18.039400000000001</v>
      </c>
      <c r="AD4105">
        <v>-1.11085678524</v>
      </c>
      <c r="AE4105">
        <v>-0.19390000000001301</v>
      </c>
      <c r="AF4105">
        <v>0.84185776012499502</v>
      </c>
      <c r="AG4105">
        <v>-1.11085678524</v>
      </c>
      <c r="AH4105">
        <v>17.952570439149099</v>
      </c>
      <c r="AI4105">
        <v>93.536917562817607</v>
      </c>
      <c r="AJ4105">
        <v>87.315170702030201</v>
      </c>
      <c r="AK4105">
        <v>18.0065963651715</v>
      </c>
      <c r="AL4105">
        <v>80.113417759747804</v>
      </c>
      <c r="AM4105">
        <v>86.583430628803399</v>
      </c>
      <c r="AN4105">
        <v>1.0000000079206599</v>
      </c>
    </row>
    <row r="4106" spans="1:40" x14ac:dyDescent="0.25">
      <c r="A4106" t="str">
        <f>"20190312173012125"</f>
        <v>20190312173012125</v>
      </c>
      <c r="B4106" t="str">
        <f>"1552383012121347"</f>
        <v>1552383012121347</v>
      </c>
      <c r="C4106" t="s">
        <v>40</v>
      </c>
      <c r="D4106">
        <v>3.5172759999999998</v>
      </c>
      <c r="E4106">
        <v>0.49444199999999999</v>
      </c>
      <c r="F4106" t="s">
        <v>42</v>
      </c>
      <c r="G4106">
        <v>-225.2294</v>
      </c>
      <c r="H4106">
        <v>1.051075</v>
      </c>
      <c r="I4106">
        <v>141.65100000000001</v>
      </c>
      <c r="J4106">
        <v>-224.5164</v>
      </c>
      <c r="K4106">
        <v>1.1110930000000001</v>
      </c>
      <c r="L4106">
        <v>141.6463</v>
      </c>
      <c r="M4106">
        <v>-0.99818289999999998</v>
      </c>
      <c r="N4106">
        <v>0</v>
      </c>
      <c r="O4106">
        <v>-5.9360129999999997E-2</v>
      </c>
      <c r="P4106">
        <v>-0.98685730000000005</v>
      </c>
      <c r="Q4106">
        <v>0.16159479999999901</v>
      </c>
      <c r="R4106">
        <v>-2.8991789999999998E-4</v>
      </c>
      <c r="S4106">
        <v>-3.0704349999999998</v>
      </c>
      <c r="T4106">
        <v>-0.18660650000000001</v>
      </c>
      <c r="U4106">
        <v>-4.0039060000000001E-2</v>
      </c>
      <c r="V4106">
        <v>5.7751990000000003E-2</v>
      </c>
      <c r="W4106">
        <v>0.1719821</v>
      </c>
      <c r="X4106">
        <v>0.9834058</v>
      </c>
      <c r="Y4106">
        <v>4.6147680000000003E-2</v>
      </c>
      <c r="Z4106">
        <v>5.0033710000000004E-3</v>
      </c>
      <c r="AA4106">
        <v>0.99892210000000004</v>
      </c>
      <c r="AB4106">
        <v>28</v>
      </c>
      <c r="AC4106">
        <v>-0.71299999999999297</v>
      </c>
      <c r="AD4106">
        <v>-6.0018000000000099E-2</v>
      </c>
      <c r="AE4106">
        <v>4.7000000000139101E-3</v>
      </c>
      <c r="AF4106">
        <v>4.6686957926698303E-2</v>
      </c>
      <c r="AG4106">
        <v>-6.0018000000000099E-2</v>
      </c>
      <c r="AH4106">
        <v>0.70645803037125499</v>
      </c>
      <c r="AI4106">
        <v>94.845453292016799</v>
      </c>
      <c r="AJ4106">
        <v>86.219051194709607</v>
      </c>
      <c r="AK4106">
        <v>0.71053837408016396</v>
      </c>
      <c r="AL4106">
        <v>80.096917936662805</v>
      </c>
      <c r="AM4106">
        <v>86.6390790344024</v>
      </c>
      <c r="AN4106">
        <v>1.0000000512714999</v>
      </c>
    </row>
    <row r="4107" spans="1:40" x14ac:dyDescent="0.25">
      <c r="A4107" t="str">
        <f>"20190312173012146"</f>
        <v>20190312173012146</v>
      </c>
      <c r="B4107" t="str">
        <f>"1552383012141844"</f>
        <v>1552383012141844</v>
      </c>
      <c r="C4107" t="s">
        <v>40</v>
      </c>
      <c r="D4107">
        <v>3.512899</v>
      </c>
      <c r="E4107">
        <v>0.49455539999999998</v>
      </c>
      <c r="F4107" t="s">
        <v>42</v>
      </c>
      <c r="G4107">
        <v>-225.4821</v>
      </c>
      <c r="H4107">
        <v>1.05324</v>
      </c>
      <c r="I4107">
        <v>141.63149999999999</v>
      </c>
      <c r="J4107">
        <v>-224.7852</v>
      </c>
      <c r="K4107">
        <v>1.111283</v>
      </c>
      <c r="L4107">
        <v>141.6283</v>
      </c>
      <c r="M4107">
        <v>-0.99806139999999999</v>
      </c>
      <c r="N4107">
        <v>0</v>
      </c>
      <c r="O4107">
        <v>-6.136776E-2</v>
      </c>
      <c r="P4107">
        <v>-0.98689879999999996</v>
      </c>
      <c r="Q4107">
        <v>0.16128999999999999</v>
      </c>
      <c r="R4107">
        <v>-4.0755349999999999E-3</v>
      </c>
      <c r="S4107">
        <v>-3.070084</v>
      </c>
      <c r="T4107">
        <v>-0.18418979999999999</v>
      </c>
      <c r="U4107">
        <v>-4.79126E-2</v>
      </c>
      <c r="V4107">
        <v>5.5877830000000003E-2</v>
      </c>
      <c r="W4107">
        <v>0.1717012</v>
      </c>
      <c r="X4107">
        <v>0.98356310000000002</v>
      </c>
      <c r="Y4107">
        <v>4.5596480000000002E-2</v>
      </c>
      <c r="Z4107">
        <v>5.0427220000000003E-3</v>
      </c>
      <c r="AA4107">
        <v>0.99894720000000004</v>
      </c>
      <c r="AB4107">
        <v>28</v>
      </c>
      <c r="AC4107">
        <v>-0.69689999999999896</v>
      </c>
      <c r="AD4107">
        <v>-5.8042999999999997E-2</v>
      </c>
      <c r="AE4107">
        <v>3.19999999999254E-3</v>
      </c>
      <c r="AF4107">
        <v>4.5646821738628197E-2</v>
      </c>
      <c r="AG4107">
        <v>-5.8042999999999997E-2</v>
      </c>
      <c r="AH4107">
        <v>0.69059952476304498</v>
      </c>
      <c r="AI4107">
        <v>94.793850825428507</v>
      </c>
      <c r="AJ4107">
        <v>86.218399578020296</v>
      </c>
      <c r="AK4107">
        <v>0.69453605074667102</v>
      </c>
      <c r="AL4107">
        <v>80.1132548622912</v>
      </c>
      <c r="AM4107">
        <v>86.748428172152998</v>
      </c>
      <c r="AN4107">
        <v>1.0000000028242699</v>
      </c>
    </row>
    <row r="4108" spans="1:40" x14ac:dyDescent="0.25">
      <c r="A4108" t="str">
        <f>"20190312173012169"</f>
        <v>20190312173012169</v>
      </c>
      <c r="B4108" t="str">
        <f>"1552383012161364"</f>
        <v>1552383012161364</v>
      </c>
      <c r="C4108" t="s">
        <v>40</v>
      </c>
      <c r="D4108">
        <v>3.4770409999999998</v>
      </c>
      <c r="E4108">
        <v>0.49468760000000001</v>
      </c>
      <c r="F4108" t="s">
        <v>42</v>
      </c>
      <c r="G4108">
        <v>-225.73410000000001</v>
      </c>
      <c r="H4108">
        <v>1.0545880000000001</v>
      </c>
      <c r="I4108">
        <v>141.61060000000001</v>
      </c>
      <c r="J4108">
        <v>-225.06950000000001</v>
      </c>
      <c r="K4108">
        <v>1.1114389999999901</v>
      </c>
      <c r="L4108">
        <v>141.60839999999999</v>
      </c>
      <c r="M4108">
        <v>-0.99791490000000005</v>
      </c>
      <c r="N4108">
        <v>0</v>
      </c>
      <c r="O4108">
        <v>-6.370692E-2</v>
      </c>
      <c r="P4108">
        <v>-0.98692329999999995</v>
      </c>
      <c r="Q4108">
        <v>0.16095660000000001</v>
      </c>
      <c r="R4108">
        <v>-8.6817819999999903E-3</v>
      </c>
      <c r="S4108">
        <v>-3.0695649999999999</v>
      </c>
      <c r="T4108">
        <v>-0.18347749999999999</v>
      </c>
      <c r="U4108">
        <v>-5.7540889999999997E-2</v>
      </c>
      <c r="V4108">
        <v>5.3525499999999997E-2</v>
      </c>
      <c r="W4108">
        <v>0.1713846</v>
      </c>
      <c r="X4108">
        <v>0.98374919999999999</v>
      </c>
      <c r="Y4108">
        <v>4.4801470000000003E-2</v>
      </c>
      <c r="Z4108">
        <v>5.1395870000000001E-3</v>
      </c>
      <c r="AA4108">
        <v>0.9989827</v>
      </c>
      <c r="AB4108">
        <v>28</v>
      </c>
      <c r="AC4108">
        <v>-0.66460000000000696</v>
      </c>
      <c r="AD4108">
        <v>-5.6850999999999902E-2</v>
      </c>
      <c r="AE4108">
        <v>2.2000000000161799E-3</v>
      </c>
      <c r="AF4108">
        <v>4.4213894605484999E-2</v>
      </c>
      <c r="AG4108">
        <v>-5.6850999999999902E-2</v>
      </c>
      <c r="AH4108">
        <v>0.65829273314468795</v>
      </c>
      <c r="AI4108">
        <v>94.924848924664005</v>
      </c>
      <c r="AJ4108">
        <v>86.157529233252504</v>
      </c>
      <c r="AK4108">
        <v>0.66222067861724798</v>
      </c>
      <c r="AL4108">
        <v>80.1316683584689</v>
      </c>
      <c r="AM4108">
        <v>86.885624617661307</v>
      </c>
      <c r="AN4108">
        <v>1.0000000743840201</v>
      </c>
    </row>
    <row r="4109" spans="1:40" x14ac:dyDescent="0.25">
      <c r="A4109" t="str">
        <f>"20190312173012191"</f>
        <v>20190312173012191</v>
      </c>
      <c r="B4109" t="str">
        <f>"1552383012181863"</f>
        <v>1552383012181863</v>
      </c>
      <c r="C4109" t="s">
        <v>40</v>
      </c>
      <c r="D4109">
        <v>3.530608</v>
      </c>
      <c r="E4109">
        <v>0.49486560000000002</v>
      </c>
      <c r="F4109" t="s">
        <v>41</v>
      </c>
      <c r="G4109">
        <v>-243.60470000000001</v>
      </c>
      <c r="H4109" s="1">
        <v>-3.1444989999999999E-6</v>
      </c>
      <c r="I4109">
        <v>141.18950000000001</v>
      </c>
      <c r="J4109">
        <v>-225.34739999999999</v>
      </c>
      <c r="K4109">
        <v>1.1115630000000001</v>
      </c>
      <c r="L4109">
        <v>141.5882</v>
      </c>
      <c r="M4109">
        <v>-0.99775559999999996</v>
      </c>
      <c r="N4109">
        <v>0</v>
      </c>
      <c r="O4109">
        <v>-6.6153210000000004E-2</v>
      </c>
      <c r="P4109">
        <v>-0.98678030000000005</v>
      </c>
      <c r="Q4109">
        <v>0.16156999999999999</v>
      </c>
      <c r="R4109">
        <v>-1.266129E-2</v>
      </c>
      <c r="S4109">
        <v>-3.0691380000000001</v>
      </c>
      <c r="T4109">
        <v>-0.1840377</v>
      </c>
      <c r="U4109">
        <v>-6.9351199999999905E-2</v>
      </c>
      <c r="V4109">
        <v>5.1907799999999997E-2</v>
      </c>
      <c r="W4109">
        <v>0.17200839999999901</v>
      </c>
      <c r="X4109">
        <v>0.98372689999999996</v>
      </c>
      <c r="Y4109">
        <v>4.3402339999999998E-2</v>
      </c>
      <c r="Z4109">
        <v>5.2599999999999999E-3</v>
      </c>
      <c r="AA4109">
        <v>0.99904380000000004</v>
      </c>
      <c r="AB4109">
        <v>28</v>
      </c>
      <c r="AC4109">
        <v>-18.257300000000001</v>
      </c>
      <c r="AD4109">
        <v>-1.1115661444989999</v>
      </c>
      <c r="AE4109">
        <v>-0.39869999999999001</v>
      </c>
      <c r="AF4109">
        <v>0.80702733735348198</v>
      </c>
      <c r="AG4109">
        <v>-1.1115661444989999</v>
      </c>
      <c r="AH4109">
        <v>18.1763356943354</v>
      </c>
      <c r="AI4109">
        <v>93.496105181301402</v>
      </c>
      <c r="AJ4109">
        <v>87.457743273827901</v>
      </c>
      <c r="AK4109">
        <v>18.228166437960901</v>
      </c>
      <c r="AL4109">
        <v>80.095387364853394</v>
      </c>
      <c r="AM4109">
        <v>86.979504977564602</v>
      </c>
      <c r="AN4109">
        <v>0.99999996157750404</v>
      </c>
    </row>
    <row r="4110" spans="1:40" x14ac:dyDescent="0.25">
      <c r="A4110" t="str">
        <f>"20190312173012214"</f>
        <v>20190312173012214</v>
      </c>
      <c r="B4110" t="str">
        <f>"1552383012212116"</f>
        <v>1552383012212116</v>
      </c>
      <c r="C4110" t="s">
        <v>40</v>
      </c>
      <c r="D4110">
        <v>3.4993280000000002</v>
      </c>
      <c r="E4110">
        <v>0.49504700000000001</v>
      </c>
      <c r="F4110" t="s">
        <v>41</v>
      </c>
      <c r="G4110">
        <v>-244.15960000000001</v>
      </c>
      <c r="H4110" s="1">
        <v>-2.8813619999999999E-6</v>
      </c>
      <c r="I4110">
        <v>141.09530000000001</v>
      </c>
      <c r="J4110">
        <v>-225.6302</v>
      </c>
      <c r="K4110">
        <v>1.111653</v>
      </c>
      <c r="L4110">
        <v>141.5668</v>
      </c>
      <c r="M4110">
        <v>-0.99758020000000003</v>
      </c>
      <c r="N4110">
        <v>0</v>
      </c>
      <c r="O4110">
        <v>-6.8746249999999995E-2</v>
      </c>
      <c r="P4110">
        <v>-0.9865853</v>
      </c>
      <c r="Q4110">
        <v>0.16240489999999999</v>
      </c>
      <c r="R4110">
        <v>-1.6552549999999999E-2</v>
      </c>
      <c r="S4110">
        <v>-3.068848</v>
      </c>
      <c r="T4110">
        <v>-0.18133099999999999</v>
      </c>
      <c r="U4110">
        <v>-8.0398559999999994E-2</v>
      </c>
      <c r="V4110">
        <v>5.0530310000000002E-2</v>
      </c>
      <c r="W4110">
        <v>0.17284920000000001</v>
      </c>
      <c r="X4110">
        <v>0.98365130000000001</v>
      </c>
      <c r="Y4110">
        <v>4.2405520000000002E-2</v>
      </c>
      <c r="Z4110">
        <v>5.3062379999999996E-3</v>
      </c>
      <c r="AA4110">
        <v>0.99908640000000004</v>
      </c>
      <c r="AB4110">
        <v>28</v>
      </c>
      <c r="AC4110">
        <v>-18.529399999999999</v>
      </c>
      <c r="AD4110">
        <v>-1.1116558813619899</v>
      </c>
      <c r="AE4110">
        <v>-0.47149999999999098</v>
      </c>
      <c r="AF4110">
        <v>0.80063112298271</v>
      </c>
      <c r="AG4110">
        <v>-1.1116558813619899</v>
      </c>
      <c r="AH4110">
        <v>18.451603733275402</v>
      </c>
      <c r="AI4110">
        <v>93.444504717488002</v>
      </c>
      <c r="AJ4110">
        <v>87.515444826802096</v>
      </c>
      <c r="AK4110">
        <v>18.502390908298299</v>
      </c>
      <c r="AL4110">
        <v>80.046481120955093</v>
      </c>
      <c r="AM4110">
        <v>87.0592924119087</v>
      </c>
      <c r="AN4110">
        <v>1.0000000190805101</v>
      </c>
    </row>
    <row r="4111" spans="1:40" x14ac:dyDescent="0.25">
      <c r="A4111" t="str">
        <f>"20190312173012235"</f>
        <v>20190312173012235</v>
      </c>
      <c r="B4111" t="str">
        <f>"1552383012231636"</f>
        <v>1552383012231636</v>
      </c>
      <c r="C4111" t="s">
        <v>40</v>
      </c>
      <c r="D4111">
        <v>3.4804339999999998</v>
      </c>
      <c r="E4111">
        <v>0.495228</v>
      </c>
      <c r="F4111" t="s">
        <v>41</v>
      </c>
      <c r="G4111">
        <v>-244.8544</v>
      </c>
      <c r="H4111" s="1">
        <v>-2.5559980000000001E-6</v>
      </c>
      <c r="I4111">
        <v>140.99270000000001</v>
      </c>
      <c r="J4111">
        <v>-225.90350000000001</v>
      </c>
      <c r="K4111">
        <v>1.1117170000000001</v>
      </c>
      <c r="L4111">
        <v>141.5453</v>
      </c>
      <c r="M4111">
        <v>-0.99740070000000003</v>
      </c>
      <c r="N4111">
        <v>0</v>
      </c>
      <c r="O4111">
        <v>-7.1305129999999994E-2</v>
      </c>
      <c r="P4111">
        <v>-0.98648049999999998</v>
      </c>
      <c r="Q4111">
        <v>0.1625866</v>
      </c>
      <c r="R4111">
        <v>-2.0541549999999999E-2</v>
      </c>
      <c r="S4111">
        <v>-3.0684659999999999</v>
      </c>
      <c r="T4111">
        <v>-0.17743680000000001</v>
      </c>
      <c r="U4111">
        <v>-9.162903E-2</v>
      </c>
      <c r="V4111">
        <v>4.9044079999999997E-2</v>
      </c>
      <c r="W4111">
        <v>0.1730342</v>
      </c>
      <c r="X4111">
        <v>0.98369399999999996</v>
      </c>
      <c r="Y4111">
        <v>4.131725E-2</v>
      </c>
      <c r="Z4111">
        <v>5.3087680000000002E-3</v>
      </c>
      <c r="AA4111">
        <v>0.99913200000000002</v>
      </c>
      <c r="AB4111">
        <v>28</v>
      </c>
      <c r="AC4111">
        <v>-18.950899999999901</v>
      </c>
      <c r="AD4111">
        <v>-1.111719555998</v>
      </c>
      <c r="AE4111">
        <v>-0.55259999999998399</v>
      </c>
      <c r="AF4111">
        <v>0.79743381085979703</v>
      </c>
      <c r="AG4111">
        <v>-1.111719555998</v>
      </c>
      <c r="AH4111">
        <v>18.877153569006499</v>
      </c>
      <c r="AI4111">
        <v>93.367392738622797</v>
      </c>
      <c r="AJ4111">
        <v>87.581073702467094</v>
      </c>
      <c r="AK4111">
        <v>18.9266676391209</v>
      </c>
      <c r="AL4111">
        <v>80.0357192608882</v>
      </c>
      <c r="AM4111">
        <v>87.145764893519399</v>
      </c>
      <c r="AN4111">
        <v>1.00000002089434</v>
      </c>
    </row>
    <row r="4112" spans="1:40" x14ac:dyDescent="0.25">
      <c r="A4112" t="str">
        <f>"20190312173012257"</f>
        <v>20190312173012257</v>
      </c>
      <c r="B4112" t="str">
        <f>"1552383012252132"</f>
        <v>1552383012252132</v>
      </c>
      <c r="C4112" t="s">
        <v>40</v>
      </c>
      <c r="D4112">
        <v>3.5158990000000001</v>
      </c>
      <c r="E4112">
        <v>0.49543910000000002</v>
      </c>
      <c r="F4112" t="s">
        <v>41</v>
      </c>
      <c r="G4112">
        <v>-245.2405</v>
      </c>
      <c r="H4112" s="1">
        <v>-2.3665970000000001E-6</v>
      </c>
      <c r="I4112">
        <v>140.9034</v>
      </c>
      <c r="J4112">
        <v>-226.18709999999999</v>
      </c>
      <c r="K4112">
        <v>1.1117549999999901</v>
      </c>
      <c r="L4112">
        <v>141.5223</v>
      </c>
      <c r="M4112">
        <v>-0.99720589999999998</v>
      </c>
      <c r="N4112">
        <v>0</v>
      </c>
      <c r="O4112">
        <v>-7.3980210000000005E-2</v>
      </c>
      <c r="P4112">
        <v>-0.98641959999999995</v>
      </c>
      <c r="Q4112">
        <v>0.1623501</v>
      </c>
      <c r="R4112">
        <v>-2.4887530000000001E-2</v>
      </c>
      <c r="S4112">
        <v>-3.068085</v>
      </c>
      <c r="T4112">
        <v>-0.176390299999999</v>
      </c>
      <c r="U4112">
        <v>-0.101852399999999</v>
      </c>
      <c r="V4112">
        <v>4.7332119999999998E-2</v>
      </c>
      <c r="W4112">
        <v>0.17279649999999999</v>
      </c>
      <c r="X4112">
        <v>0.98381960000000002</v>
      </c>
      <c r="Y4112">
        <v>4.0666430000000003E-2</v>
      </c>
      <c r="Z4112">
        <v>5.4123130000000002E-3</v>
      </c>
      <c r="AA4112">
        <v>0.99915810000000005</v>
      </c>
      <c r="AB4112">
        <v>28</v>
      </c>
      <c r="AC4112">
        <v>-19.0534</v>
      </c>
      <c r="AD4112">
        <v>-1.11175736659699</v>
      </c>
      <c r="AE4112">
        <v>-0.61889999999999601</v>
      </c>
      <c r="AF4112">
        <v>0.78976028678922205</v>
      </c>
      <c r="AG4112">
        <v>-1.11175736659699</v>
      </c>
      <c r="AH4112">
        <v>18.982410618374701</v>
      </c>
      <c r="AI4112">
        <v>93.3489661496845</v>
      </c>
      <c r="AJ4112">
        <v>87.617591854104504</v>
      </c>
      <c r="AK4112">
        <v>19.031333075677001</v>
      </c>
      <c r="AL4112">
        <v>80.049546371047001</v>
      </c>
      <c r="AM4112">
        <v>87.245591322538402</v>
      </c>
      <c r="AN4112">
        <v>0.99999998267005197</v>
      </c>
    </row>
    <row r="4113" spans="1:40" x14ac:dyDescent="0.25">
      <c r="A4113" t="str">
        <f>"20190312173012282"</f>
        <v>20190312173012282</v>
      </c>
      <c r="B4113" t="str">
        <f>"1552383012271655"</f>
        <v>1552383012271655</v>
      </c>
      <c r="C4113" t="s">
        <v>40</v>
      </c>
      <c r="D4113">
        <v>3.484998</v>
      </c>
      <c r="E4113">
        <v>0.49568780000000001</v>
      </c>
      <c r="F4113" t="s">
        <v>41</v>
      </c>
      <c r="G4113">
        <v>-245.50960000000001</v>
      </c>
      <c r="H4113" s="1">
        <v>-2.2270399999999999E-6</v>
      </c>
      <c r="I4113">
        <v>140.81280000000001</v>
      </c>
      <c r="J4113">
        <v>-226.4845</v>
      </c>
      <c r="K4113">
        <v>1.111777</v>
      </c>
      <c r="L4113">
        <v>141.4973</v>
      </c>
      <c r="M4113">
        <v>-0.99699380000000004</v>
      </c>
      <c r="N4113">
        <v>0</v>
      </c>
      <c r="O4113">
        <v>-7.6785610000000004E-2</v>
      </c>
      <c r="P4113">
        <v>-0.98640629999999996</v>
      </c>
      <c r="Q4113">
        <v>0.1617122</v>
      </c>
      <c r="R4113">
        <v>-2.9196639999999999E-2</v>
      </c>
      <c r="S4113">
        <v>-3.0675050000000001</v>
      </c>
      <c r="T4113">
        <v>-0.17649509999999999</v>
      </c>
      <c r="U4113">
        <v>-0.11262510000000001</v>
      </c>
      <c r="V4113">
        <v>4.580029E-2</v>
      </c>
      <c r="W4113">
        <v>0.1721568</v>
      </c>
      <c r="X4113">
        <v>0.98400430000000005</v>
      </c>
      <c r="Y4113">
        <v>3.9963039999999998E-2</v>
      </c>
      <c r="Z4113">
        <v>5.556643E-3</v>
      </c>
      <c r="AA4113">
        <v>0.99918569999999995</v>
      </c>
      <c r="AB4113">
        <v>28</v>
      </c>
      <c r="AC4113">
        <v>-19.025099999999998</v>
      </c>
      <c r="AD4113">
        <v>-1.11177922704</v>
      </c>
      <c r="AE4113">
        <v>-0.68449999999998501</v>
      </c>
      <c r="AF4113">
        <v>0.77580751874895204</v>
      </c>
      <c r="AG4113">
        <v>-1.11177922704</v>
      </c>
      <c r="AH4113">
        <v>18.9568345554632</v>
      </c>
      <c r="AI4113">
        <v>93.353633684048106</v>
      </c>
      <c r="AJ4113">
        <v>87.656480815821496</v>
      </c>
      <c r="AK4113">
        <v>19.005249451639099</v>
      </c>
      <c r="AL4113">
        <v>80.086756760528203</v>
      </c>
      <c r="AM4113">
        <v>87.335102331921703</v>
      </c>
      <c r="AN4113">
        <v>1.0000000463844001</v>
      </c>
    </row>
    <row r="4114" spans="1:40" x14ac:dyDescent="0.25">
      <c r="A4114" t="str">
        <f>"20190312173012306"</f>
        <v>20190312173012306</v>
      </c>
      <c r="B4114" t="str">
        <f>"1552383012301908"</f>
        <v>1552383012301908</v>
      </c>
      <c r="C4114" t="s">
        <v>40</v>
      </c>
      <c r="D4114">
        <v>3.5016530000000001</v>
      </c>
      <c r="E4114">
        <v>0.4959209</v>
      </c>
      <c r="F4114" t="s">
        <v>41</v>
      </c>
      <c r="G4114">
        <v>-245.6534</v>
      </c>
      <c r="H4114" s="1">
        <v>-2.1419319999999998E-6</v>
      </c>
      <c r="I4114">
        <v>140.72470000000001</v>
      </c>
      <c r="J4114">
        <v>-226.78829999999999</v>
      </c>
      <c r="K4114">
        <v>1.111782</v>
      </c>
      <c r="L4114">
        <v>141.4708</v>
      </c>
      <c r="M4114">
        <v>-0.99677000000000004</v>
      </c>
      <c r="N4114">
        <v>0</v>
      </c>
      <c r="O4114">
        <v>-7.9636390000000001E-2</v>
      </c>
      <c r="P4114">
        <v>-0.98651040000000001</v>
      </c>
      <c r="Q4114">
        <v>0.16022539999999999</v>
      </c>
      <c r="R4114">
        <v>-3.3543669999999998E-2</v>
      </c>
      <c r="S4114">
        <v>-3.0668329999999999</v>
      </c>
      <c r="T4114">
        <v>-0.17787439999999999</v>
      </c>
      <c r="U4114">
        <v>-0.1235962</v>
      </c>
      <c r="V4114">
        <v>4.429715E-2</v>
      </c>
      <c r="W4114">
        <v>0.17066809999999999</v>
      </c>
      <c r="X4114">
        <v>0.98433230000000005</v>
      </c>
      <c r="Y4114">
        <v>3.9236680000000003E-2</v>
      </c>
      <c r="Z4114">
        <v>5.7442810000000004E-3</v>
      </c>
      <c r="AA4114">
        <v>0.99921349999999998</v>
      </c>
      <c r="AB4114">
        <v>28</v>
      </c>
      <c r="AC4114">
        <v>-18.865100000000002</v>
      </c>
      <c r="AD4114">
        <v>-1.111784141932</v>
      </c>
      <c r="AE4114">
        <v>-0.746099999999984</v>
      </c>
      <c r="AF4114">
        <v>0.75607732376586601</v>
      </c>
      <c r="AG4114">
        <v>-1.111784141932</v>
      </c>
      <c r="AH4114">
        <v>18.799406429859101</v>
      </c>
      <c r="AI4114">
        <v>93.381763951570804</v>
      </c>
      <c r="AJ4114">
        <v>87.696911031396894</v>
      </c>
      <c r="AK4114">
        <v>18.8474242010093</v>
      </c>
      <c r="AL4114">
        <v>80.1733335133042</v>
      </c>
      <c r="AM4114">
        <v>87.423300574776107</v>
      </c>
      <c r="AN4114">
        <v>0.99999995733950997</v>
      </c>
    </row>
    <row r="4115" spans="1:40" x14ac:dyDescent="0.25">
      <c r="A4115" t="str">
        <f>"20190312173012328"</f>
        <v>20190312173012328</v>
      </c>
      <c r="B4115" t="str">
        <f>"1552383012321428"</f>
        <v>1552383012321428</v>
      </c>
      <c r="C4115" t="s">
        <v>40</v>
      </c>
      <c r="D4115">
        <v>3.5026679999999999</v>
      </c>
      <c r="E4115">
        <v>0.50196980000000002</v>
      </c>
      <c r="F4115" t="s">
        <v>42</v>
      </c>
      <c r="G4115">
        <v>-227.75120000000001</v>
      </c>
      <c r="H4115">
        <v>1.05474</v>
      </c>
      <c r="I4115">
        <v>141.42859999999999</v>
      </c>
      <c r="J4115">
        <v>-227.06819999999999</v>
      </c>
      <c r="K4115">
        <v>1.111774</v>
      </c>
      <c r="L4115">
        <v>141.44560000000001</v>
      </c>
      <c r="M4115">
        <v>-0.99655899999999997</v>
      </c>
      <c r="N4115">
        <v>0</v>
      </c>
      <c r="O4115">
        <v>-8.223432E-2</v>
      </c>
      <c r="P4115">
        <v>-0.98657249999999996</v>
      </c>
      <c r="Q4115">
        <v>0.15899679999999999</v>
      </c>
      <c r="R4115">
        <v>-3.7351910000000002E-2</v>
      </c>
      <c r="S4115">
        <v>-3.0659640000000001</v>
      </c>
      <c r="T4115">
        <v>-0.18185809999999999</v>
      </c>
      <c r="U4115">
        <v>-0.13502500000000001</v>
      </c>
      <c r="V4115">
        <v>4.3084600000000001E-2</v>
      </c>
      <c r="W4115">
        <v>0.16943649999999999</v>
      </c>
      <c r="X4115">
        <v>0.98459890000000005</v>
      </c>
      <c r="Y4115">
        <v>3.8100139999999998E-2</v>
      </c>
      <c r="Z4115">
        <v>5.9934489999999997E-3</v>
      </c>
      <c r="AA4115">
        <v>0.99925600000000003</v>
      </c>
      <c r="AB4115">
        <v>28</v>
      </c>
      <c r="AC4115">
        <v>-0.68300000000002103</v>
      </c>
      <c r="AD4115">
        <v>-5.7034000000000001E-2</v>
      </c>
      <c r="AE4115">
        <v>-1.7000000000024301E-2</v>
      </c>
      <c r="AF4115">
        <v>3.8955179099875802E-2</v>
      </c>
      <c r="AG4115">
        <v>-5.7034000000000001E-2</v>
      </c>
      <c r="AH4115">
        <v>0.67736409641763795</v>
      </c>
      <c r="AI4115">
        <v>94.805044980347404</v>
      </c>
      <c r="AJ4115">
        <v>86.708547780965205</v>
      </c>
      <c r="AK4115">
        <v>0.68087627528824002</v>
      </c>
      <c r="AL4115">
        <v>80.244942418745794</v>
      </c>
      <c r="AM4115">
        <v>87.494419362869905</v>
      </c>
      <c r="AN4115">
        <v>1.0000000020853099</v>
      </c>
    </row>
    <row r="4116" spans="1:40" x14ac:dyDescent="0.25">
      <c r="A4116" t="str">
        <f>"20190312173012348"</f>
        <v>20190312173012348</v>
      </c>
      <c r="B4116" t="str">
        <f>"1552383012341925"</f>
        <v>1552383012341925</v>
      </c>
      <c r="C4116" t="s">
        <v>40</v>
      </c>
      <c r="D4116">
        <v>3.4872540000000001</v>
      </c>
      <c r="E4116">
        <v>0.50304099999999996</v>
      </c>
      <c r="F4116" t="s">
        <v>41</v>
      </c>
      <c r="G4116">
        <v>-246.65790000000001</v>
      </c>
      <c r="H4116" s="1">
        <v>-1.7363340000000001E-6</v>
      </c>
      <c r="I4116">
        <v>140.81989999999999</v>
      </c>
      <c r="J4116">
        <v>-227.33199999999999</v>
      </c>
      <c r="K4116">
        <v>1.1117570000000001</v>
      </c>
      <c r="L4116">
        <v>141.4212</v>
      </c>
      <c r="M4116">
        <v>-0.99635640000000003</v>
      </c>
      <c r="N4116">
        <v>0</v>
      </c>
      <c r="O4116">
        <v>-8.4653409999999998E-2</v>
      </c>
      <c r="P4116">
        <v>-0.98651639999999996</v>
      </c>
      <c r="Q4116">
        <v>0.1585609</v>
      </c>
      <c r="R4116">
        <v>-4.0546699999999998E-2</v>
      </c>
      <c r="S4116">
        <v>-3.06514</v>
      </c>
      <c r="T4116">
        <v>-0.17395639999999901</v>
      </c>
      <c r="U4116">
        <v>-9.7900390000000004E-2</v>
      </c>
      <c r="V4116">
        <v>4.2297290000000001E-2</v>
      </c>
      <c r="W4116">
        <v>0.16899800000000001</v>
      </c>
      <c r="X4116">
        <v>0.98470840000000004</v>
      </c>
      <c r="Y4116">
        <v>5.2585529999999998E-2</v>
      </c>
      <c r="Z4116">
        <v>6.2842059999999996E-3</v>
      </c>
      <c r="AA4116">
        <v>0.9985967</v>
      </c>
      <c r="AB4116">
        <v>28</v>
      </c>
      <c r="AC4116">
        <v>-19.325900000000001</v>
      </c>
      <c r="AD4116">
        <v>-1.11175873633399</v>
      </c>
      <c r="AE4116">
        <v>-0.60130000000000905</v>
      </c>
      <c r="AF4116">
        <v>1.0335330803760401</v>
      </c>
      <c r="AG4116">
        <v>-1.11175873633399</v>
      </c>
      <c r="AH4116">
        <v>19.243803478630099</v>
      </c>
      <c r="AI4116">
        <v>93.301685680396901</v>
      </c>
      <c r="AJ4116">
        <v>86.925750923280006</v>
      </c>
      <c r="AK4116">
        <v>19.303579213197299</v>
      </c>
      <c r="AL4116">
        <v>80.270434308369005</v>
      </c>
      <c r="AM4116">
        <v>87.540421734984207</v>
      </c>
      <c r="AN4116">
        <v>1.0000000088879499</v>
      </c>
    </row>
    <row r="4117" spans="1:40" x14ac:dyDescent="0.25">
      <c r="A4117" t="str">
        <f>"20190312173012372"</f>
        <v>20190312173012372</v>
      </c>
      <c r="B4117" t="str">
        <f>"1552383012361444"</f>
        <v>1552383012361444</v>
      </c>
      <c r="C4117" t="s">
        <v>40</v>
      </c>
      <c r="D4117">
        <v>3.5609579999999998</v>
      </c>
      <c r="E4117">
        <v>0.50363829999999998</v>
      </c>
      <c r="F4117" t="s">
        <v>41</v>
      </c>
      <c r="G4117">
        <v>-246.98589999999999</v>
      </c>
      <c r="H4117" s="1">
        <v>-1.5874529999999901E-6</v>
      </c>
      <c r="I4117">
        <v>140.7893</v>
      </c>
      <c r="J4117">
        <v>-227.62299999999999</v>
      </c>
      <c r="K4117">
        <v>1.111734</v>
      </c>
      <c r="L4117">
        <v>141.3937</v>
      </c>
      <c r="M4117">
        <v>-0.99613090000000004</v>
      </c>
      <c r="N4117">
        <v>0</v>
      </c>
      <c r="O4117">
        <v>-8.72671E-2</v>
      </c>
      <c r="P4117">
        <v>-0.98640600000000001</v>
      </c>
      <c r="Q4117">
        <v>0.15862299999999999</v>
      </c>
      <c r="R4117">
        <v>-4.2920399999999997E-2</v>
      </c>
      <c r="S4117">
        <v>-3.064819</v>
      </c>
      <c r="T4117">
        <v>-0.17336699999999999</v>
      </c>
      <c r="U4117">
        <v>-9.8541260000000006E-2</v>
      </c>
      <c r="V4117">
        <v>4.252156E-2</v>
      </c>
      <c r="W4117">
        <v>0.16905819999999999</v>
      </c>
      <c r="X4117">
        <v>0.98468840000000002</v>
      </c>
      <c r="Y4117">
        <v>5.4986809999999997E-2</v>
      </c>
      <c r="Z4117">
        <v>6.4786019999999904E-3</v>
      </c>
      <c r="AA4117">
        <v>0.99846610000000002</v>
      </c>
      <c r="AB4117">
        <v>28</v>
      </c>
      <c r="AC4117">
        <v>-19.3629</v>
      </c>
      <c r="AD4117">
        <v>-1.1117355874529999</v>
      </c>
      <c r="AE4117">
        <v>-0.60439999999999805</v>
      </c>
      <c r="AF4117">
        <v>1.0841706173424499</v>
      </c>
      <c r="AG4117">
        <v>-1.1117355874529999</v>
      </c>
      <c r="AH4117">
        <v>19.278278339981402</v>
      </c>
      <c r="AI4117">
        <v>93.295269849619302</v>
      </c>
      <c r="AJ4117">
        <v>86.781194039403104</v>
      </c>
      <c r="AK4117">
        <v>19.340718644810401</v>
      </c>
      <c r="AL4117">
        <v>80.266934676227393</v>
      </c>
      <c r="AM4117">
        <v>87.527346467333601</v>
      </c>
      <c r="AN4117">
        <v>1.0000000015733099</v>
      </c>
    </row>
    <row r="4118" spans="1:40" x14ac:dyDescent="0.25">
      <c r="A4118" t="str">
        <f>"20190312173012393"</f>
        <v>20190312173012393</v>
      </c>
      <c r="B4118" t="str">
        <f>"1552383012381944"</f>
        <v>1552383012381944</v>
      </c>
      <c r="C4118" t="s">
        <v>40</v>
      </c>
      <c r="D4118">
        <v>3.5429300000000001</v>
      </c>
      <c r="E4118">
        <v>0.50401879999999999</v>
      </c>
      <c r="F4118" t="s">
        <v>41</v>
      </c>
      <c r="G4118">
        <v>-247.95099999999999</v>
      </c>
      <c r="H4118" s="1">
        <v>-1.1567920000000001E-6</v>
      </c>
      <c r="I4118">
        <v>140.7268</v>
      </c>
      <c r="J4118">
        <v>-227.8946</v>
      </c>
      <c r="K4118">
        <v>1.111691</v>
      </c>
      <c r="L4118">
        <v>141.3673</v>
      </c>
      <c r="M4118">
        <v>-0.9959209</v>
      </c>
      <c r="N4118">
        <v>0</v>
      </c>
      <c r="O4118">
        <v>-8.9632039999999996E-2</v>
      </c>
      <c r="P4118">
        <v>-0.98618159999999999</v>
      </c>
      <c r="Q4118">
        <v>0.15948899999999999</v>
      </c>
      <c r="R4118">
        <v>-4.4823830000000002E-2</v>
      </c>
      <c r="S4118">
        <v>-3.0639340000000002</v>
      </c>
      <c r="T4118">
        <v>-0.167566299999999</v>
      </c>
      <c r="U4118">
        <v>-0.1005096</v>
      </c>
      <c r="V4118">
        <v>4.2961720000000002E-2</v>
      </c>
      <c r="W4118">
        <v>0.16991999999999999</v>
      </c>
      <c r="X4118">
        <v>0.98452090000000003</v>
      </c>
      <c r="Y4118">
        <v>5.6716139999999998E-2</v>
      </c>
      <c r="Z4118">
        <v>6.4398459999999999E-3</v>
      </c>
      <c r="AA4118">
        <v>0.99836959999999997</v>
      </c>
      <c r="AB4118">
        <v>29</v>
      </c>
      <c r="AC4118">
        <v>-20.0564</v>
      </c>
      <c r="AD4118">
        <v>-1.111692156792</v>
      </c>
      <c r="AE4118">
        <v>-0.64050000000000296</v>
      </c>
      <c r="AF4118">
        <v>1.15632220196124</v>
      </c>
      <c r="AG4118">
        <v>-1.111692156792</v>
      </c>
      <c r="AH4118">
        <v>19.971778940771401</v>
      </c>
      <c r="AI4118">
        <v>93.180660297040504</v>
      </c>
      <c r="AJ4118">
        <v>86.686399282494705</v>
      </c>
      <c r="AK4118">
        <v>20.036089801786702</v>
      </c>
      <c r="AL4118">
        <v>80.216831874632902</v>
      </c>
      <c r="AM4118">
        <v>87.501358677089101</v>
      </c>
      <c r="AN4118">
        <v>0.99999995916108297</v>
      </c>
    </row>
    <row r="4119" spans="1:40" x14ac:dyDescent="0.25">
      <c r="A4119" t="str">
        <f>"20190312173012416"</f>
        <v>20190312173012416</v>
      </c>
      <c r="B4119" t="str">
        <f>"1552383012412196"</f>
        <v>1552383012412196</v>
      </c>
      <c r="C4119" t="s">
        <v>40</v>
      </c>
      <c r="D4119">
        <v>3.559698</v>
      </c>
      <c r="E4119">
        <v>0.50484110000000004</v>
      </c>
      <c r="F4119" t="s">
        <v>41</v>
      </c>
      <c r="G4119">
        <v>-249.03360000000001</v>
      </c>
      <c r="H4119" s="1">
        <v>-6.7404659999999998E-7</v>
      </c>
      <c r="I4119">
        <v>140.65790000000001</v>
      </c>
      <c r="J4119">
        <v>-228.16900000000001</v>
      </c>
      <c r="K4119">
        <v>1.1116280000000001</v>
      </c>
      <c r="L4119">
        <v>141.34010000000001</v>
      </c>
      <c r="M4119">
        <v>-0.99571200000000004</v>
      </c>
      <c r="N4119">
        <v>0</v>
      </c>
      <c r="O4119">
        <v>-9.1923119999999997E-2</v>
      </c>
      <c r="P4119">
        <v>-0.98595710000000003</v>
      </c>
      <c r="Q4119">
        <v>0.16037609999999999</v>
      </c>
      <c r="R4119">
        <v>-4.6561390000000001E-2</v>
      </c>
      <c r="S4119">
        <v>-3.0633849999999998</v>
      </c>
      <c r="T4119">
        <v>-0.1611022</v>
      </c>
      <c r="U4119">
        <v>-0.1027985</v>
      </c>
      <c r="V4119">
        <v>4.3503720000000003E-2</v>
      </c>
      <c r="W4119">
        <v>0.1707997</v>
      </c>
      <c r="X4119">
        <v>0.98434489999999997</v>
      </c>
      <c r="Y4119">
        <v>5.8273199999999997E-2</v>
      </c>
      <c r="Z4119">
        <v>6.3535739999999999E-3</v>
      </c>
      <c r="AA4119">
        <v>0.99828050000000002</v>
      </c>
      <c r="AB4119">
        <v>29</v>
      </c>
      <c r="AC4119">
        <v>-20.864599999999999</v>
      </c>
      <c r="AD4119">
        <v>-1.1116286740465999</v>
      </c>
      <c r="AE4119">
        <v>-0.68219999999999403</v>
      </c>
      <c r="AF4119">
        <v>1.2352286070998999</v>
      </c>
      <c r="AG4119">
        <v>-1.1116286740465999</v>
      </c>
      <c r="AH4119">
        <v>20.780042729587802</v>
      </c>
      <c r="AI4119">
        <v>93.056734349675693</v>
      </c>
      <c r="AJ4119">
        <v>86.598168516751102</v>
      </c>
      <c r="AK4119">
        <v>20.8463829923624</v>
      </c>
      <c r="AL4119">
        <v>80.165681418866896</v>
      </c>
      <c r="AM4119">
        <v>87.469425025685695</v>
      </c>
      <c r="AN4119">
        <v>0.99999999666496897</v>
      </c>
    </row>
    <row r="4120" spans="1:40" x14ac:dyDescent="0.25">
      <c r="A4120" t="str">
        <f>"20190312173012436"</f>
        <v>20190312173012436</v>
      </c>
      <c r="B4120" t="str">
        <f>"1552383012431716"</f>
        <v>1552383012431716</v>
      </c>
      <c r="C4120" t="s">
        <v>40</v>
      </c>
      <c r="D4120">
        <v>3.5061520000000002</v>
      </c>
      <c r="E4120">
        <v>0.50905250000000002</v>
      </c>
      <c r="F4120" t="s">
        <v>41</v>
      </c>
      <c r="G4120">
        <v>-250.0078</v>
      </c>
      <c r="H4120" s="1">
        <v>-4.4512109999999999E-6</v>
      </c>
      <c r="I4120">
        <v>140.61879999999999</v>
      </c>
      <c r="J4120">
        <v>-228.4453</v>
      </c>
      <c r="K4120">
        <v>1.111534</v>
      </c>
      <c r="L4120">
        <v>141.31209999999999</v>
      </c>
      <c r="M4120">
        <v>-0.99550870000000002</v>
      </c>
      <c r="N4120">
        <v>0</v>
      </c>
      <c r="O4120">
        <v>-9.4099420000000003E-2</v>
      </c>
      <c r="P4120">
        <v>-0.98579399999999995</v>
      </c>
      <c r="Q4120">
        <v>0.16083499999999901</v>
      </c>
      <c r="R4120">
        <v>-4.8395109999999998E-2</v>
      </c>
      <c r="S4120">
        <v>-3.0632929999999998</v>
      </c>
      <c r="T4120">
        <v>-0.15592729999999999</v>
      </c>
      <c r="U4120">
        <v>-0.1011658</v>
      </c>
      <c r="V4120">
        <v>4.3854530000000003E-2</v>
      </c>
      <c r="W4120">
        <v>0.17124790000000001</v>
      </c>
      <c r="X4120">
        <v>0.9842514</v>
      </c>
      <c r="Y4120">
        <v>6.0992360000000002E-2</v>
      </c>
      <c r="Z4120">
        <v>6.3293969999999996E-3</v>
      </c>
      <c r="AA4120">
        <v>0.99811819999999896</v>
      </c>
      <c r="AB4120">
        <v>29</v>
      </c>
      <c r="AC4120">
        <v>-21.5625</v>
      </c>
      <c r="AD4120">
        <v>-1.111538451211</v>
      </c>
      <c r="AE4120">
        <v>-0.69329999999999303</v>
      </c>
      <c r="AF4120">
        <v>1.33535981236177</v>
      </c>
      <c r="AG4120">
        <v>-1.111538451211</v>
      </c>
      <c r="AH4120">
        <v>21.475047255480099</v>
      </c>
      <c r="AI4120">
        <v>92.957257228426002</v>
      </c>
      <c r="AJ4120">
        <v>86.441819335238904</v>
      </c>
      <c r="AK4120">
        <v>21.545216596314301</v>
      </c>
      <c r="AL4120">
        <v>80.139616889936306</v>
      </c>
      <c r="AM4120">
        <v>87.4488035399919</v>
      </c>
      <c r="AN4120">
        <v>0.99999994072894305</v>
      </c>
    </row>
    <row r="4121" spans="1:40" x14ac:dyDescent="0.25">
      <c r="A4121" t="str">
        <f>"20190312173012460"</f>
        <v>20190312173012460</v>
      </c>
      <c r="B4121" t="str">
        <f>"1552383012452212"</f>
        <v>1552383012452212</v>
      </c>
      <c r="C4121" t="s">
        <v>40</v>
      </c>
      <c r="D4121">
        <v>3.5573939999999999</v>
      </c>
      <c r="E4121">
        <v>0.50947489999999995</v>
      </c>
      <c r="F4121" t="s">
        <v>41</v>
      </c>
      <c r="G4121">
        <v>-248.95070000000001</v>
      </c>
      <c r="H4121" s="1">
        <v>-7.5388959999999996E-7</v>
      </c>
      <c r="I4121">
        <v>140.82419999999999</v>
      </c>
      <c r="J4121">
        <v>-228.73140000000001</v>
      </c>
      <c r="K4121">
        <v>1.111416</v>
      </c>
      <c r="L4121">
        <v>141.28280000000001</v>
      </c>
      <c r="M4121">
        <v>-0.995309</v>
      </c>
      <c r="N4121">
        <v>0</v>
      </c>
      <c r="O4121">
        <v>-9.6190390000000001E-2</v>
      </c>
      <c r="P4121">
        <v>-0.98571229999999999</v>
      </c>
      <c r="Q4121">
        <v>0.1607932</v>
      </c>
      <c r="R4121">
        <v>-5.016702E-2</v>
      </c>
      <c r="S4121">
        <v>-3.0667879999999998</v>
      </c>
      <c r="T4121">
        <v>-0.16624129999999901</v>
      </c>
      <c r="U4121">
        <v>-7.2967530000000003E-2</v>
      </c>
      <c r="V4121">
        <v>4.4204E-2</v>
      </c>
      <c r="W4121">
        <v>0.17119289999999901</v>
      </c>
      <c r="X4121">
        <v>0.98424540000000005</v>
      </c>
      <c r="Y4121">
        <v>7.2245879999999998E-2</v>
      </c>
      <c r="Z4121">
        <v>7.1587650000000001E-3</v>
      </c>
      <c r="AA4121">
        <v>0.99736119999999995</v>
      </c>
      <c r="AB4121">
        <v>29</v>
      </c>
      <c r="AC4121">
        <v>-20.2193</v>
      </c>
      <c r="AD4121">
        <v>-1.1114167538896</v>
      </c>
      <c r="AE4121">
        <v>-0.45860000000001799</v>
      </c>
      <c r="AF4121">
        <v>1.4840518368540601</v>
      </c>
      <c r="AG4121">
        <v>-1.1114167538896</v>
      </c>
      <c r="AH4121">
        <v>20.1089196233387</v>
      </c>
      <c r="AI4121">
        <v>93.154947188954296</v>
      </c>
      <c r="AJ4121">
        <v>85.779184659012799</v>
      </c>
      <c r="AK4121">
        <v>20.194214653538602</v>
      </c>
      <c r="AL4121">
        <v>80.142816031157096</v>
      </c>
      <c r="AM4121">
        <v>87.428484975307001</v>
      </c>
      <c r="AN4121">
        <v>1.0000000050237801</v>
      </c>
    </row>
    <row r="4122" spans="1:40" x14ac:dyDescent="0.25">
      <c r="A4122" t="str">
        <f>"20190312173012482"</f>
        <v>20190312173012482</v>
      </c>
      <c r="B4122" t="str">
        <f>"1552383012471732"</f>
        <v>1552383012471732</v>
      </c>
      <c r="C4122" t="s">
        <v>40</v>
      </c>
      <c r="D4122">
        <v>3.5555780000000001</v>
      </c>
      <c r="E4122">
        <v>0.50968530000000001</v>
      </c>
      <c r="F4122" t="s">
        <v>41</v>
      </c>
      <c r="G4122">
        <v>-249.07859999999999</v>
      </c>
      <c r="H4122" s="1">
        <v>-6.8965190000000005E-7</v>
      </c>
      <c r="I4122">
        <v>140.78909999999999</v>
      </c>
      <c r="J4122">
        <v>-229.0283</v>
      </c>
      <c r="K4122">
        <v>1.111275</v>
      </c>
      <c r="L4122">
        <v>141.25190000000001</v>
      </c>
      <c r="M4122">
        <v>-0.99511680000000002</v>
      </c>
      <c r="N4122">
        <v>0</v>
      </c>
      <c r="O4122">
        <v>-9.8157850000000005E-2</v>
      </c>
      <c r="P4122">
        <v>-0.98562930000000004</v>
      </c>
      <c r="Q4122">
        <v>0.16075449999999999</v>
      </c>
      <c r="R4122">
        <v>-5.1896280000000003E-2</v>
      </c>
      <c r="S4122">
        <v>-3.0670169999999999</v>
      </c>
      <c r="T4122">
        <v>-0.1675286</v>
      </c>
      <c r="U4122">
        <v>-7.440186E-2</v>
      </c>
      <c r="V4122">
        <v>4.4483950000000001E-2</v>
      </c>
      <c r="W4122">
        <v>0.1711375</v>
      </c>
      <c r="X4122">
        <v>0.98424239999999996</v>
      </c>
      <c r="Y4122">
        <v>7.3744210000000004E-2</v>
      </c>
      <c r="Z4122">
        <v>7.3613300000000001E-3</v>
      </c>
      <c r="AA4122">
        <v>0.99724999999999997</v>
      </c>
      <c r="AB4122">
        <v>29</v>
      </c>
      <c r="AC4122">
        <v>-20.0503</v>
      </c>
      <c r="AD4122">
        <v>-1.1112756896518901</v>
      </c>
      <c r="AE4122">
        <v>-0.46280000000001498</v>
      </c>
      <c r="AF4122">
        <v>1.5030207751609901</v>
      </c>
      <c r="AG4122">
        <v>-1.1112756896518901</v>
      </c>
      <c r="AH4122">
        <v>19.9376804909468</v>
      </c>
      <c r="AI4122">
        <v>93.181212309903998</v>
      </c>
      <c r="AJ4122">
        <v>85.688858289168806</v>
      </c>
      <c r="AK4122">
        <v>20.025111946455102</v>
      </c>
      <c r="AL4122">
        <v>80.146037551664193</v>
      </c>
      <c r="AM4122">
        <v>87.412213409758905</v>
      </c>
      <c r="AN4122">
        <v>0.99999998383580602</v>
      </c>
    </row>
    <row r="4123" spans="1:40" x14ac:dyDescent="0.25">
      <c r="A4123" t="str">
        <f>"20190312173012505"</f>
        <v>20190312173012505</v>
      </c>
      <c r="B4123" t="str">
        <f>"1552383012501990"</f>
        <v>1552383012501990</v>
      </c>
      <c r="C4123" t="s">
        <v>40</v>
      </c>
      <c r="D4123">
        <v>3.5778859999999999</v>
      </c>
      <c r="E4123">
        <v>0.51017120000000005</v>
      </c>
      <c r="F4123" t="s">
        <v>41</v>
      </c>
      <c r="G4123">
        <v>-249.71680000000001</v>
      </c>
      <c r="H4123" s="1">
        <v>-3.9994810000000002E-7</v>
      </c>
      <c r="I4123">
        <v>140.72919999999999</v>
      </c>
      <c r="J4123">
        <v>-229.3143</v>
      </c>
      <c r="K4123">
        <v>1.111113</v>
      </c>
      <c r="L4123">
        <v>141.2218</v>
      </c>
      <c r="M4123">
        <v>-0.99495270000000002</v>
      </c>
      <c r="N4123">
        <v>0</v>
      </c>
      <c r="O4123">
        <v>-9.9809270000000005E-2</v>
      </c>
      <c r="P4123">
        <v>-0.98558599999999996</v>
      </c>
      <c r="Q4123">
        <v>0.16060450000000001</v>
      </c>
      <c r="R4123">
        <v>-5.3166529999999997E-2</v>
      </c>
      <c r="S4123">
        <v>-3.0665439999999999</v>
      </c>
      <c r="T4123">
        <v>-0.16471859999999999</v>
      </c>
      <c r="U4123">
        <v>-7.7468869999999995E-2</v>
      </c>
      <c r="V4123">
        <v>4.4917569999999997E-2</v>
      </c>
      <c r="W4123">
        <v>0.1709697</v>
      </c>
      <c r="X4123">
        <v>0.98425189999999996</v>
      </c>
      <c r="Y4123">
        <v>7.4403880000000006E-2</v>
      </c>
      <c r="Z4123">
        <v>7.3449429999999996E-3</v>
      </c>
      <c r="AA4123">
        <v>0.99720109999999995</v>
      </c>
      <c r="AB4123">
        <v>29</v>
      </c>
      <c r="AC4123">
        <v>-20.4025</v>
      </c>
      <c r="AD4123">
        <v>-1.1111133999481</v>
      </c>
      <c r="AE4123">
        <v>-0.49260000000000997</v>
      </c>
      <c r="AF4123">
        <v>1.54175787596518</v>
      </c>
      <c r="AG4123">
        <v>-1.1111133999481</v>
      </c>
      <c r="AH4123">
        <v>20.289638556532701</v>
      </c>
      <c r="AI4123">
        <v>93.125542383945202</v>
      </c>
      <c r="AJ4123">
        <v>85.654590633035298</v>
      </c>
      <c r="AK4123">
        <v>20.3784450606611</v>
      </c>
      <c r="AL4123">
        <v>80.155795905650393</v>
      </c>
      <c r="AM4123">
        <v>87.387048199806202</v>
      </c>
      <c r="AN4123">
        <v>1.0000000145332</v>
      </c>
    </row>
    <row r="4124" spans="1:40" x14ac:dyDescent="0.25">
      <c r="A4124" t="str">
        <f>"20190312173012528"</f>
        <v>20190312173012528</v>
      </c>
      <c r="B4124" t="str">
        <f>"1552383012521508"</f>
        <v>1552383012521508</v>
      </c>
      <c r="C4124" t="s">
        <v>40</v>
      </c>
      <c r="D4124">
        <v>3.498815</v>
      </c>
      <c r="E4124">
        <v>0.51049460000000002</v>
      </c>
      <c r="F4124" t="s">
        <v>41</v>
      </c>
      <c r="G4124">
        <v>-249.9819</v>
      </c>
      <c r="H4124" s="1">
        <v>-4.4748649999999901E-6</v>
      </c>
      <c r="I4124">
        <v>140.70249999999999</v>
      </c>
      <c r="J4124">
        <v>-229.60069999999999</v>
      </c>
      <c r="K4124">
        <v>1.110943</v>
      </c>
      <c r="L4124">
        <v>141.19139999999999</v>
      </c>
      <c r="M4124">
        <v>-0.99480959999999996</v>
      </c>
      <c r="N4124">
        <v>0</v>
      </c>
      <c r="O4124">
        <v>-0.1012248</v>
      </c>
      <c r="P4124">
        <v>-0.98559620000000003</v>
      </c>
      <c r="Q4124">
        <v>0.160157299999999</v>
      </c>
      <c r="R4124">
        <v>-5.4310610000000002E-2</v>
      </c>
      <c r="S4124">
        <v>-3.0665740000000001</v>
      </c>
      <c r="T4124">
        <v>-0.1648635</v>
      </c>
      <c r="U4124">
        <v>-7.704163E-2</v>
      </c>
      <c r="V4124">
        <v>4.5253580000000002E-2</v>
      </c>
      <c r="W4124">
        <v>0.17050360000000001</v>
      </c>
      <c r="X4124">
        <v>0.98431740000000001</v>
      </c>
      <c r="Y4124">
        <v>7.5957049999999998E-2</v>
      </c>
      <c r="Z4124">
        <v>7.468756E-3</v>
      </c>
      <c r="AA4124">
        <v>0.9970831</v>
      </c>
      <c r="AB4124">
        <v>29</v>
      </c>
      <c r="AC4124">
        <v>-20.3812</v>
      </c>
      <c r="AD4124">
        <v>-1.1109474748649999</v>
      </c>
      <c r="AE4124">
        <v>-0.488900000000001</v>
      </c>
      <c r="AF4124">
        <v>1.5721367568878899</v>
      </c>
      <c r="AG4124">
        <v>-1.1109474748649999</v>
      </c>
      <c r="AH4124">
        <v>20.2658151940763</v>
      </c>
      <c r="AI4124">
        <v>93.128364380541996</v>
      </c>
      <c r="AJ4124">
        <v>85.5641184133801</v>
      </c>
      <c r="AK4124">
        <v>20.3570401521125</v>
      </c>
      <c r="AL4124">
        <v>80.182899829261899</v>
      </c>
      <c r="AM4124">
        <v>87.367704096430899</v>
      </c>
      <c r="AN4124">
        <v>1.00000005402926</v>
      </c>
    </row>
    <row r="4125" spans="1:40" x14ac:dyDescent="0.25">
      <c r="A4125" t="str">
        <f>"20190312173012548"</f>
        <v>20190312173012548</v>
      </c>
      <c r="B4125" t="str">
        <f>"1552383012542004"</f>
        <v>1552383012542004</v>
      </c>
      <c r="C4125" t="s">
        <v>40</v>
      </c>
      <c r="D4125">
        <v>3.5604520000000002</v>
      </c>
      <c r="E4125">
        <v>0.51072770000000001</v>
      </c>
      <c r="F4125" t="s">
        <v>41</v>
      </c>
      <c r="G4125">
        <v>-249.99799999999999</v>
      </c>
      <c r="H4125" s="1">
        <v>-4.4643489999999996E-6</v>
      </c>
      <c r="I4125">
        <v>140.67410000000001</v>
      </c>
      <c r="J4125">
        <v>-229.87360000000001</v>
      </c>
      <c r="K4125">
        <v>1.1107860000000001</v>
      </c>
      <c r="L4125">
        <v>141.16220000000001</v>
      </c>
      <c r="M4125">
        <v>-0.99469010000000002</v>
      </c>
      <c r="N4125">
        <v>0</v>
      </c>
      <c r="O4125">
        <v>-0.1023921</v>
      </c>
      <c r="P4125">
        <v>-0.98569059999999997</v>
      </c>
      <c r="Q4125">
        <v>0.1592326</v>
      </c>
      <c r="R4125">
        <v>-5.5307889999999998E-2</v>
      </c>
      <c r="S4125">
        <v>-3.066681</v>
      </c>
      <c r="T4125">
        <v>-0.16702839999999999</v>
      </c>
      <c r="U4125">
        <v>-7.7758789999999994E-2</v>
      </c>
      <c r="V4125">
        <v>4.5491669999999998E-2</v>
      </c>
      <c r="W4125">
        <v>0.1695625</v>
      </c>
      <c r="X4125">
        <v>0.98446889999999998</v>
      </c>
      <c r="Y4125">
        <v>7.6885040000000002E-2</v>
      </c>
      <c r="Z4125">
        <v>7.6548689999999999E-3</v>
      </c>
      <c r="AA4125">
        <v>0.99701059999999997</v>
      </c>
      <c r="AB4125">
        <v>29</v>
      </c>
      <c r="AC4125">
        <v>-20.124399999999898</v>
      </c>
      <c r="AD4125">
        <v>-1.1107904643490001</v>
      </c>
      <c r="AE4125">
        <v>-0.48810000000000198</v>
      </c>
      <c r="AF4125">
        <v>1.57037445436116</v>
      </c>
      <c r="AG4125">
        <v>-1.1107904643490001</v>
      </c>
      <c r="AH4125">
        <v>20.007677406135901</v>
      </c>
      <c r="AI4125">
        <v>93.167973870144806</v>
      </c>
      <c r="AJ4125">
        <v>85.512135543104094</v>
      </c>
      <c r="AK4125">
        <v>20.099927526501201</v>
      </c>
      <c r="AL4125">
        <v>80.237616881650595</v>
      </c>
      <c r="AM4125">
        <v>87.354281219544305</v>
      </c>
      <c r="AN4125">
        <v>0.99999997425642395</v>
      </c>
    </row>
    <row r="4126" spans="1:40" x14ac:dyDescent="0.25">
      <c r="A4126" t="str">
        <f>"20190312173012582"</f>
        <v>20190312173012582</v>
      </c>
      <c r="B4126" t="str">
        <f>"1552383012572260"</f>
        <v>1552383012572260</v>
      </c>
      <c r="C4126" t="s">
        <v>40</v>
      </c>
      <c r="D4126">
        <v>3.5385430000000002</v>
      </c>
      <c r="E4126">
        <v>0.51104189999999905</v>
      </c>
      <c r="F4126" t="s">
        <v>41</v>
      </c>
      <c r="G4126">
        <v>-249.72370000000001</v>
      </c>
      <c r="H4126" s="1">
        <v>-3.7644909999999998E-7</v>
      </c>
      <c r="I4126">
        <v>140.65199999999999</v>
      </c>
      <c r="J4126">
        <v>-230.31180000000001</v>
      </c>
      <c r="K4126">
        <v>1.1105560000000001</v>
      </c>
      <c r="L4126">
        <v>141.11519999999999</v>
      </c>
      <c r="M4126">
        <v>-0.99453469999999999</v>
      </c>
      <c r="N4126">
        <v>0</v>
      </c>
      <c r="O4126">
        <v>-0.1038912</v>
      </c>
      <c r="P4126">
        <v>-0.98581920000000001</v>
      </c>
      <c r="Q4126">
        <v>0.15808169999999999</v>
      </c>
      <c r="R4126">
        <v>-5.6308629999999998E-2</v>
      </c>
      <c r="S4126">
        <v>-3.0668639999999998</v>
      </c>
      <c r="T4126">
        <v>-0.1716183</v>
      </c>
      <c r="U4126">
        <v>-7.8826899999999894E-2</v>
      </c>
      <c r="V4126">
        <v>4.6092099999999997E-2</v>
      </c>
      <c r="W4126">
        <v>0.16838649999999999</v>
      </c>
      <c r="X4126">
        <v>0.98464280000000004</v>
      </c>
      <c r="Y4126">
        <v>7.8023460000000003E-2</v>
      </c>
      <c r="Z4126">
        <v>7.9796160000000001E-3</v>
      </c>
      <c r="AA4126">
        <v>0.99691960000000002</v>
      </c>
      <c r="AB4126">
        <v>29</v>
      </c>
      <c r="AC4126">
        <v>-19.411899999999999</v>
      </c>
      <c r="AD4126">
        <v>-1.11055637644909</v>
      </c>
      <c r="AE4126">
        <v>-0.46319999999997202</v>
      </c>
      <c r="AF4126">
        <v>1.5510668967647401</v>
      </c>
      <c r="AG4126">
        <v>-1.11055637644909</v>
      </c>
      <c r="AH4126">
        <v>19.2918632338402</v>
      </c>
      <c r="AI4126">
        <v>93.284081601680199</v>
      </c>
      <c r="AJ4126">
        <v>85.403303673384102</v>
      </c>
      <c r="AK4126">
        <v>19.385951898648301</v>
      </c>
      <c r="AL4126">
        <v>80.305979705436002</v>
      </c>
      <c r="AM4126">
        <v>87.319884561117306</v>
      </c>
      <c r="AN4126">
        <v>0.99999996932824897</v>
      </c>
    </row>
    <row r="4127" spans="1:40" x14ac:dyDescent="0.25">
      <c r="A4127" t="str">
        <f>"20190312173012605"</f>
        <v>20190312173012605</v>
      </c>
      <c r="B4127" t="str">
        <f>"1552383012601540"</f>
        <v>1552383012601540</v>
      </c>
      <c r="C4127" t="s">
        <v>40</v>
      </c>
      <c r="D4127">
        <v>3.5466519999999901</v>
      </c>
      <c r="E4127">
        <v>0.51136619999999999</v>
      </c>
      <c r="F4127" t="s">
        <v>41</v>
      </c>
      <c r="G4127">
        <v>-249.60570000000001</v>
      </c>
      <c r="H4127" s="1">
        <v>-4.1725610000000001E-7</v>
      </c>
      <c r="I4127">
        <v>140.61519999999999</v>
      </c>
      <c r="J4127">
        <v>-230.5857</v>
      </c>
      <c r="K4127">
        <v>1.1104080000000001</v>
      </c>
      <c r="L4127">
        <v>141.0857</v>
      </c>
      <c r="M4127">
        <v>-0.99446540000000005</v>
      </c>
      <c r="N4127">
        <v>0</v>
      </c>
      <c r="O4127">
        <v>-0.1045521</v>
      </c>
      <c r="P4127">
        <v>-0.9858711</v>
      </c>
      <c r="Q4127">
        <v>0.15776219999999999</v>
      </c>
      <c r="R4127">
        <v>-5.6297430000000002E-2</v>
      </c>
      <c r="S4127">
        <v>-3.06691</v>
      </c>
      <c r="T4127">
        <v>-0.17653160000000001</v>
      </c>
      <c r="U4127">
        <v>-7.9467769999999993E-2</v>
      </c>
      <c r="V4127">
        <v>4.6825739999999998E-2</v>
      </c>
      <c r="W4127">
        <v>0.16804949999999999</v>
      </c>
      <c r="X4127">
        <v>0.98466580000000004</v>
      </c>
      <c r="Y4127">
        <v>7.8459959999999995E-2</v>
      </c>
      <c r="Z4127">
        <v>8.2579039999999999E-3</v>
      </c>
      <c r="AA4127">
        <v>0.99688299999999996</v>
      </c>
      <c r="AB4127">
        <v>29</v>
      </c>
      <c r="AC4127">
        <v>-19.02</v>
      </c>
      <c r="AD4127">
        <v>-1.1104084172561</v>
      </c>
      <c r="AE4127">
        <v>-0.47050000000001502</v>
      </c>
      <c r="AF4127">
        <v>1.5156041053984901</v>
      </c>
      <c r="AG4127">
        <v>-1.1104084172561</v>
      </c>
      <c r="AH4127">
        <v>18.900561991966399</v>
      </c>
      <c r="AI4127">
        <v>93.351529920146106</v>
      </c>
      <c r="AJ4127">
        <v>85.415358201884501</v>
      </c>
      <c r="AK4127">
        <v>18.9937175473781</v>
      </c>
      <c r="AL4127">
        <v>80.325567921018603</v>
      </c>
      <c r="AM4127">
        <v>87.277352818387598</v>
      </c>
      <c r="AN4127">
        <v>1.0000000110332099</v>
      </c>
    </row>
    <row r="4128" spans="1:40" x14ac:dyDescent="0.25">
      <c r="A4128" t="str">
        <f>"20190312173012625"</f>
        <v>20190312173012625</v>
      </c>
      <c r="B4128" t="str">
        <f>"1552383012622036"</f>
        <v>1552383012622036</v>
      </c>
      <c r="C4128" t="s">
        <v>40</v>
      </c>
      <c r="D4128">
        <v>3.5241669999999998</v>
      </c>
      <c r="E4128">
        <v>0.51165950000000004</v>
      </c>
      <c r="F4128" t="s">
        <v>42</v>
      </c>
      <c r="G4128">
        <v>-231.56649999999999</v>
      </c>
      <c r="H4128">
        <v>1.0533250000000001</v>
      </c>
      <c r="I4128">
        <v>141.06110000000001</v>
      </c>
      <c r="J4128">
        <v>-230.85919999999999</v>
      </c>
      <c r="K4128">
        <v>1.1102399999999999</v>
      </c>
      <c r="L4128">
        <v>141.05629999999999</v>
      </c>
      <c r="M4128">
        <v>-0.99441979999999996</v>
      </c>
      <c r="N4128">
        <v>0</v>
      </c>
      <c r="O4128">
        <v>-0.1049861</v>
      </c>
      <c r="P4128">
        <v>-0.98593459999999999</v>
      </c>
      <c r="Q4128">
        <v>0.15757189999999999</v>
      </c>
      <c r="R4128">
        <v>-5.5718589999999998E-2</v>
      </c>
      <c r="S4128">
        <v>-3.0671539999999999</v>
      </c>
      <c r="T4128">
        <v>-0.178562</v>
      </c>
      <c r="U4128">
        <v>-7.7407840000000006E-2</v>
      </c>
      <c r="V4128">
        <v>4.7908979999999997E-2</v>
      </c>
      <c r="W4128">
        <v>0.1678394</v>
      </c>
      <c r="X4128">
        <v>0.98464949999999996</v>
      </c>
      <c r="Y4128">
        <v>7.9556489999999994E-2</v>
      </c>
      <c r="Z4128">
        <v>8.4091919999999994E-3</v>
      </c>
      <c r="AA4128">
        <v>0.99679490000000004</v>
      </c>
      <c r="AB4128">
        <v>29</v>
      </c>
      <c r="AC4128">
        <v>-0.70730000000000304</v>
      </c>
      <c r="AD4128">
        <v>-5.6914999999999799E-2</v>
      </c>
      <c r="AE4128">
        <v>4.8000000000172297E-3</v>
      </c>
      <c r="AF4128">
        <v>7.8525681275717699E-2</v>
      </c>
      <c r="AG4128">
        <v>-5.6914999999999799E-2</v>
      </c>
      <c r="AH4128">
        <v>0.69836508779468298</v>
      </c>
      <c r="AI4128">
        <v>94.630115300626201</v>
      </c>
      <c r="AJ4128">
        <v>83.584485670998404</v>
      </c>
      <c r="AK4128">
        <v>0.705066944123245</v>
      </c>
      <c r="AL4128">
        <v>80.337778965464196</v>
      </c>
      <c r="AM4128">
        <v>87.214420689807895</v>
      </c>
      <c r="AN4128">
        <v>0.99999998620362496</v>
      </c>
    </row>
    <row r="4129" spans="1:40" x14ac:dyDescent="0.25">
      <c r="A4129" t="str">
        <f>"20190312173012648"</f>
        <v>20190312173012648</v>
      </c>
      <c r="B4129" t="str">
        <f>"1552383012641556"</f>
        <v>1552383012641556</v>
      </c>
      <c r="C4129" t="s">
        <v>40</v>
      </c>
      <c r="D4129">
        <v>3.605496</v>
      </c>
      <c r="E4129">
        <v>0.51172429999999902</v>
      </c>
      <c r="F4129" t="s">
        <v>42</v>
      </c>
      <c r="G4129">
        <v>-231.8235</v>
      </c>
      <c r="H4129">
        <v>1.053536</v>
      </c>
      <c r="I4129">
        <v>141.03290000000001</v>
      </c>
      <c r="J4129">
        <v>-231.14570000000001</v>
      </c>
      <c r="K4129">
        <v>1.11006</v>
      </c>
      <c r="L4129">
        <v>141.0256</v>
      </c>
      <c r="M4129">
        <v>-0.99439270000000002</v>
      </c>
      <c r="N4129">
        <v>0</v>
      </c>
      <c r="O4129">
        <v>-0.1052425</v>
      </c>
      <c r="P4129">
        <v>-0.98595359999999999</v>
      </c>
      <c r="Q4129">
        <v>0.1577094</v>
      </c>
      <c r="R4129">
        <v>-5.49889E-2</v>
      </c>
      <c r="S4129">
        <v>-3.0673979999999998</v>
      </c>
      <c r="T4129">
        <v>-0.18035570000000001</v>
      </c>
      <c r="U4129">
        <v>-7.4386599999999997E-2</v>
      </c>
      <c r="V4129">
        <v>4.8963510000000002E-2</v>
      </c>
      <c r="W4129">
        <v>0.1679551</v>
      </c>
      <c r="X4129">
        <v>0.98457790000000001</v>
      </c>
      <c r="Y4129">
        <v>8.0787899999999996E-2</v>
      </c>
      <c r="Z4129">
        <v>8.5441809999999997E-3</v>
      </c>
      <c r="AA4129">
        <v>0.99669470000000004</v>
      </c>
      <c r="AB4129">
        <v>29</v>
      </c>
      <c r="AC4129">
        <v>-0.67779999999998997</v>
      </c>
      <c r="AD4129">
        <v>-5.6523999999999998E-2</v>
      </c>
      <c r="AE4129">
        <v>7.3000000000149603E-3</v>
      </c>
      <c r="AF4129">
        <v>7.8053886382116897E-2</v>
      </c>
      <c r="AG4129">
        <v>-5.6523999999999998E-2</v>
      </c>
      <c r="AH4129">
        <v>0.66861785267756302</v>
      </c>
      <c r="AI4129">
        <v>94.799772572010994</v>
      </c>
      <c r="AJ4129">
        <v>83.341477210071403</v>
      </c>
      <c r="AK4129">
        <v>0.67552735301726097</v>
      </c>
      <c r="AL4129">
        <v>80.331054432186505</v>
      </c>
      <c r="AM4129">
        <v>87.153000081262604</v>
      </c>
      <c r="AN4129">
        <v>0.99999999104796999</v>
      </c>
    </row>
    <row r="4130" spans="1:40" x14ac:dyDescent="0.25">
      <c r="A4130" t="str">
        <f>"20190312173012671"</f>
        <v>20190312173012671</v>
      </c>
      <c r="B4130" t="str">
        <f>"1552383012662056"</f>
        <v>1552383012662056</v>
      </c>
      <c r="C4130" t="s">
        <v>40</v>
      </c>
      <c r="D4130">
        <v>3.590811</v>
      </c>
      <c r="E4130">
        <v>0.5125284</v>
      </c>
      <c r="F4130" t="s">
        <v>42</v>
      </c>
      <c r="G4130">
        <v>-232.0813</v>
      </c>
      <c r="H4130">
        <v>1.054408</v>
      </c>
      <c r="I4130">
        <v>141.00389999999999</v>
      </c>
      <c r="J4130">
        <v>-231.44800000000001</v>
      </c>
      <c r="K4130">
        <v>1.1099019999999999</v>
      </c>
      <c r="L4130">
        <v>140.9933</v>
      </c>
      <c r="M4130">
        <v>-0.99438419999999905</v>
      </c>
      <c r="N4130">
        <v>0</v>
      </c>
      <c r="O4130">
        <v>-0.1053234</v>
      </c>
      <c r="P4130">
        <v>-0.98593439999999999</v>
      </c>
      <c r="Q4130">
        <v>0.1580059</v>
      </c>
      <c r="R4130">
        <v>-5.4478819999999997E-2</v>
      </c>
      <c r="S4130">
        <v>-3.0679630000000002</v>
      </c>
      <c r="T4130">
        <v>-0.1825148</v>
      </c>
      <c r="U4130">
        <v>-7.1640010000000004E-2</v>
      </c>
      <c r="V4130">
        <v>4.9617080000000001E-2</v>
      </c>
      <c r="W4130">
        <v>0.16823099999999999</v>
      </c>
      <c r="X4130">
        <v>0.98449810000000004</v>
      </c>
      <c r="Y4130">
        <v>8.1755679999999997E-2</v>
      </c>
      <c r="Z4130">
        <v>8.6784059999999996E-3</v>
      </c>
      <c r="AA4130">
        <v>0.99661460000000002</v>
      </c>
      <c r="AB4130">
        <v>29</v>
      </c>
      <c r="AC4130">
        <v>-0.63330000000001896</v>
      </c>
      <c r="AD4130">
        <v>-5.5493999999999898E-2</v>
      </c>
      <c r="AE4130">
        <v>1.05999999999824E-2</v>
      </c>
      <c r="AF4130">
        <v>7.6657471155182205E-2</v>
      </c>
      <c r="AG4130">
        <v>-5.5493999999999898E-2</v>
      </c>
      <c r="AH4130">
        <v>0.62387171312063705</v>
      </c>
      <c r="AI4130">
        <v>95.045390663183994</v>
      </c>
      <c r="AJ4130">
        <v>82.994964503459897</v>
      </c>
      <c r="AK4130">
        <v>0.63100861036279499</v>
      </c>
      <c r="AL4130">
        <v>80.315018599502906</v>
      </c>
      <c r="AM4130">
        <v>87.114828360220599</v>
      </c>
      <c r="AN4130">
        <v>1.00000001644616</v>
      </c>
    </row>
    <row r="4131" spans="1:40" x14ac:dyDescent="0.25">
      <c r="A4131" t="str">
        <f>"20190312173012694"</f>
        <v>20190312173012694</v>
      </c>
      <c r="B4131" t="str">
        <f>"1552383012692308"</f>
        <v>1552383012692308</v>
      </c>
      <c r="C4131" t="s">
        <v>40</v>
      </c>
      <c r="D4131">
        <v>3.5846110000000002</v>
      </c>
      <c r="E4131">
        <v>0.51215299999999997</v>
      </c>
      <c r="F4131" t="s">
        <v>42</v>
      </c>
      <c r="G4131">
        <v>-232.33519999999999</v>
      </c>
      <c r="H4131">
        <v>1.050651</v>
      </c>
      <c r="I4131">
        <v>140.9752</v>
      </c>
      <c r="J4131">
        <v>-231.73750000000001</v>
      </c>
      <c r="K4131">
        <v>1.1097539999999999</v>
      </c>
      <c r="L4131">
        <v>140.96270000000001</v>
      </c>
      <c r="M4131">
        <v>-0.99439699999999998</v>
      </c>
      <c r="N4131">
        <v>0</v>
      </c>
      <c r="O4131">
        <v>-0.10520309999999999</v>
      </c>
      <c r="P4131">
        <v>-0.98577409999999999</v>
      </c>
      <c r="Q4131">
        <v>0.1591513</v>
      </c>
      <c r="R4131">
        <v>-5.4041899999999997E-2</v>
      </c>
      <c r="S4131">
        <v>-3.072174</v>
      </c>
      <c r="T4131">
        <v>-0.20518700000000001</v>
      </c>
      <c r="U4131">
        <v>-6.3308719999999999E-2</v>
      </c>
      <c r="V4131">
        <v>4.9976550000000002E-2</v>
      </c>
      <c r="W4131">
        <v>0.169354799999999</v>
      </c>
      <c r="X4131">
        <v>0.98428720000000003</v>
      </c>
      <c r="Y4131">
        <v>8.4276909999999997E-2</v>
      </c>
      <c r="Z4131">
        <v>9.8174869999999997E-3</v>
      </c>
      <c r="AA4131">
        <v>0.996394</v>
      </c>
      <c r="AB4131">
        <v>29</v>
      </c>
      <c r="AC4131">
        <v>-0.59769999999997403</v>
      </c>
      <c r="AD4131">
        <v>-5.91030000000001E-2</v>
      </c>
      <c r="AE4131">
        <v>1.24999999999886E-2</v>
      </c>
      <c r="AF4131">
        <v>7.4584904962506804E-2</v>
      </c>
      <c r="AG4131">
        <v>-5.91030000000001E-2</v>
      </c>
      <c r="AH4131">
        <v>0.58732734345728999</v>
      </c>
      <c r="AI4131">
        <v>95.700875258724295</v>
      </c>
      <c r="AJ4131">
        <v>82.762727074899701</v>
      </c>
      <c r="AK4131">
        <v>0.59498695870570395</v>
      </c>
      <c r="AL4131">
        <v>80.2496920854514</v>
      </c>
      <c r="AM4131">
        <v>87.093339727418595</v>
      </c>
      <c r="AN4131">
        <v>0.99999999795839101</v>
      </c>
    </row>
    <row r="4132" spans="1:40" x14ac:dyDescent="0.25">
      <c r="A4132" t="str">
        <f>"20190312173012718"</f>
        <v>20190312173012718</v>
      </c>
      <c r="B4132" t="str">
        <f>"1552383012711828"</f>
        <v>1552383012711828</v>
      </c>
      <c r="C4132" t="s">
        <v>40</v>
      </c>
      <c r="D4132">
        <v>3.5803820000000002</v>
      </c>
      <c r="E4132">
        <v>0.51248720000000003</v>
      </c>
      <c r="F4132" t="s">
        <v>42</v>
      </c>
      <c r="G4132">
        <v>-232.59540000000001</v>
      </c>
      <c r="H4132">
        <v>1.0534319999999999</v>
      </c>
      <c r="I4132">
        <v>140.94460000000001</v>
      </c>
      <c r="J4132">
        <v>-232.0445</v>
      </c>
      <c r="K4132">
        <v>1.109594</v>
      </c>
      <c r="L4132">
        <v>140.93039999999999</v>
      </c>
      <c r="M4132">
        <v>-0.99443419999999905</v>
      </c>
      <c r="N4132">
        <v>0</v>
      </c>
      <c r="O4132">
        <v>-0.1048499</v>
      </c>
      <c r="P4132">
        <v>-0.98571059999999999</v>
      </c>
      <c r="Q4132">
        <v>0.15976689999999999</v>
      </c>
      <c r="R4132">
        <v>-5.3381900000000003E-2</v>
      </c>
      <c r="S4132">
        <v>-3.0722809999999998</v>
      </c>
      <c r="T4132">
        <v>-0.20173540000000001</v>
      </c>
      <c r="U4132">
        <v>-6.5216060000000006E-2</v>
      </c>
      <c r="V4132">
        <v>5.0342480000000002E-2</v>
      </c>
      <c r="W4132">
        <v>0.16994970000000001</v>
      </c>
      <c r="X4132">
        <v>0.98416599999999999</v>
      </c>
      <c r="Y4132">
        <v>8.3322170000000001E-2</v>
      </c>
      <c r="Z4132">
        <v>9.5978769999999995E-3</v>
      </c>
      <c r="AA4132">
        <v>0.99647640000000004</v>
      </c>
      <c r="AB4132">
        <v>29</v>
      </c>
      <c r="AC4132">
        <v>-0.55090000000001205</v>
      </c>
      <c r="AD4132">
        <v>-5.6161999999999997E-2</v>
      </c>
      <c r="AE4132">
        <v>1.42000000000166E-2</v>
      </c>
      <c r="AF4132">
        <v>7.1147681302169405E-2</v>
      </c>
      <c r="AG4132">
        <v>-5.6161999999999997E-2</v>
      </c>
      <c r="AH4132">
        <v>0.540757849426309</v>
      </c>
      <c r="AI4132">
        <v>95.879056374789201</v>
      </c>
      <c r="AJ4132">
        <v>82.504628467420503</v>
      </c>
      <c r="AK4132">
        <v>0.54830211974315901</v>
      </c>
      <c r="AL4132">
        <v>80.215105385647902</v>
      </c>
      <c r="AM4132">
        <v>87.071734015752199</v>
      </c>
      <c r="AN4132">
        <v>0.99999999068932</v>
      </c>
    </row>
    <row r="4133" spans="1:40" x14ac:dyDescent="0.25">
      <c r="A4133" t="str">
        <f>"20190312173012739"</f>
        <v>20190312173012739</v>
      </c>
      <c r="B4133" t="str">
        <f>"1552383012732325"</f>
        <v>1552383012732325</v>
      </c>
      <c r="C4133" t="s">
        <v>40</v>
      </c>
      <c r="D4133">
        <v>3.5662970000000001</v>
      </c>
      <c r="E4133">
        <v>0.5124997</v>
      </c>
      <c r="F4133" t="s">
        <v>41</v>
      </c>
      <c r="G4133">
        <v>-249.01439999999999</v>
      </c>
      <c r="H4133" s="1">
        <v>-6.6496000000000005E-7</v>
      </c>
      <c r="I4133">
        <v>140.59280000000001</v>
      </c>
      <c r="J4133">
        <v>-232.3167</v>
      </c>
      <c r="K4133">
        <v>1.109442</v>
      </c>
      <c r="L4133">
        <v>140.90209999999999</v>
      </c>
      <c r="M4133">
        <v>-0.99448829999999999</v>
      </c>
      <c r="N4133">
        <v>0</v>
      </c>
      <c r="O4133">
        <v>-0.10433539999999999</v>
      </c>
      <c r="P4133">
        <v>-0.98585219999999996</v>
      </c>
      <c r="Q4133">
        <v>0.1590695</v>
      </c>
      <c r="R4133">
        <v>-5.2843300000000003E-2</v>
      </c>
      <c r="S4133">
        <v>-3.0727540000000002</v>
      </c>
      <c r="T4133">
        <v>-0.20091500000000001</v>
      </c>
      <c r="U4133">
        <v>-6.1126710000000001E-2</v>
      </c>
      <c r="V4133">
        <v>5.0445629999999998E-2</v>
      </c>
      <c r="W4133">
        <v>0.16923489999999999</v>
      </c>
      <c r="X4133">
        <v>0.98428389999999999</v>
      </c>
      <c r="Y4133">
        <v>8.4138169999999998E-2</v>
      </c>
      <c r="Z4133">
        <v>9.5509089999999998E-3</v>
      </c>
      <c r="AA4133">
        <v>0.99640830000000002</v>
      </c>
      <c r="AB4133">
        <v>29</v>
      </c>
      <c r="AC4133">
        <v>-16.697699999999902</v>
      </c>
      <c r="AD4133">
        <v>-1.10944266496</v>
      </c>
      <c r="AE4133">
        <v>-0.30929999999997898</v>
      </c>
      <c r="AF4133">
        <v>1.4283393795513599</v>
      </c>
      <c r="AG4133">
        <v>-1.10944266496</v>
      </c>
      <c r="AH4133">
        <v>16.565722830092898</v>
      </c>
      <c r="AI4133">
        <v>93.817380519283901</v>
      </c>
      <c r="AJ4133">
        <v>85.071998026577802</v>
      </c>
      <c r="AK4133">
        <v>16.6641588234592</v>
      </c>
      <c r="AL4133">
        <v>80.256662526910702</v>
      </c>
      <c r="AM4133">
        <v>87.066095432940699</v>
      </c>
      <c r="AN4133">
        <v>1.0000000043816499</v>
      </c>
    </row>
    <row r="4134" spans="1:40" x14ac:dyDescent="0.25">
      <c r="A4134" t="str">
        <f>"20190312173012761"</f>
        <v>20190312173012761</v>
      </c>
      <c r="B4134" t="str">
        <f>"1552383012751847"</f>
        <v>1552383012751847</v>
      </c>
      <c r="C4134" t="s">
        <v>40</v>
      </c>
      <c r="D4134">
        <v>3.4908079999999999</v>
      </c>
      <c r="E4134">
        <v>0.49071720000000002</v>
      </c>
      <c r="F4134" t="s">
        <v>41</v>
      </c>
      <c r="G4134">
        <v>-249.0069</v>
      </c>
      <c r="H4134" s="1">
        <v>-6.6476099999999995E-7</v>
      </c>
      <c r="I4134">
        <v>140.58000000000001</v>
      </c>
      <c r="J4134">
        <v>-232.60319999999999</v>
      </c>
      <c r="K4134">
        <v>1.1092690000000001</v>
      </c>
      <c r="L4134">
        <v>140.87270000000001</v>
      </c>
      <c r="M4134">
        <v>-0.99456599999999995</v>
      </c>
      <c r="N4134">
        <v>0</v>
      </c>
      <c r="O4134">
        <v>-0.1035923</v>
      </c>
      <c r="P4134">
        <v>-0.9859289</v>
      </c>
      <c r="Q4134">
        <v>0.15863450000000001</v>
      </c>
      <c r="R4134">
        <v>-5.2721820000000003E-2</v>
      </c>
      <c r="S4134">
        <v>-3.0728300000000002</v>
      </c>
      <c r="T4134">
        <v>-0.20425869999999999</v>
      </c>
      <c r="U4134">
        <v>-5.9295649999999998E-2</v>
      </c>
      <c r="V4134">
        <v>4.9908729999999998E-2</v>
      </c>
      <c r="W4134">
        <v>0.1687814</v>
      </c>
      <c r="X4134">
        <v>0.98438910000000002</v>
      </c>
      <c r="Y4134">
        <v>8.397628E-2</v>
      </c>
      <c r="Z4134">
        <v>9.6548980000000003E-3</v>
      </c>
      <c r="AA4134">
        <v>0.996421</v>
      </c>
      <c r="AB4134">
        <v>29</v>
      </c>
      <c r="AC4134">
        <v>-16.403700000000001</v>
      </c>
      <c r="AD4134">
        <v>-1.1092696647610001</v>
      </c>
      <c r="AE4134">
        <v>-0.29269999999999602</v>
      </c>
      <c r="AF4134">
        <v>1.40185447857837</v>
      </c>
      <c r="AG4134">
        <v>-1.1092696647610001</v>
      </c>
      <c r="AH4134">
        <v>16.2713756489532</v>
      </c>
      <c r="AI4134">
        <v>93.885645108123597</v>
      </c>
      <c r="AJ4134">
        <v>85.075862173266898</v>
      </c>
      <c r="AK4134">
        <v>16.3692803958395</v>
      </c>
      <c r="AL4134">
        <v>80.2830250771582</v>
      </c>
      <c r="AM4134">
        <v>87.097577385286399</v>
      </c>
      <c r="AN4134">
        <v>0.99999997125749096</v>
      </c>
    </row>
    <row r="4135" spans="1:40" x14ac:dyDescent="0.25">
      <c r="A4135" t="str">
        <f>"20190312173012784"</f>
        <v>20190312173012784</v>
      </c>
      <c r="B4135" t="str">
        <f>"1552383012782101"</f>
        <v>1552383012782101</v>
      </c>
      <c r="C4135" t="s">
        <v>40</v>
      </c>
      <c r="D4135">
        <v>3.2947340000000001</v>
      </c>
      <c r="E4135">
        <v>0.47197030000000001</v>
      </c>
      <c r="F4135" t="s">
        <v>41</v>
      </c>
      <c r="G4135">
        <v>-255.2628</v>
      </c>
      <c r="H4135" s="1">
        <v>-2.0978239999999999E-6</v>
      </c>
      <c r="I4135">
        <v>139.14680000000001</v>
      </c>
      <c r="J4135">
        <v>-232.89439999999999</v>
      </c>
      <c r="K4135">
        <v>1.109086</v>
      </c>
      <c r="L4135">
        <v>140.8432</v>
      </c>
      <c r="M4135">
        <v>-0.9946663</v>
      </c>
      <c r="N4135">
        <v>0</v>
      </c>
      <c r="O4135">
        <v>-0.1026251</v>
      </c>
      <c r="P4135">
        <v>-0.98593459999999999</v>
      </c>
      <c r="Q4135">
        <v>0.1585519</v>
      </c>
      <c r="R4135">
        <v>-5.2861659999999998E-2</v>
      </c>
      <c r="S4135">
        <v>-3.054443</v>
      </c>
      <c r="T4135">
        <v>-0.14952679999999999</v>
      </c>
      <c r="U4135">
        <v>-0.2326355</v>
      </c>
      <c r="V4135">
        <v>4.8885209999999998E-2</v>
      </c>
      <c r="W4135">
        <v>0.16868169999999999</v>
      </c>
      <c r="X4135">
        <v>0.98445760000000004</v>
      </c>
      <c r="Y4135">
        <v>2.6638889999999998E-2</v>
      </c>
      <c r="Z4135">
        <v>5.653099E-3</v>
      </c>
      <c r="AA4135">
        <v>0.99962910000000005</v>
      </c>
      <c r="AB4135">
        <v>29</v>
      </c>
      <c r="AC4135">
        <v>-22.368400000000001</v>
      </c>
      <c r="AD4135">
        <v>-1.1090880978239901</v>
      </c>
      <c r="AE4135">
        <v>-1.6963999999999799</v>
      </c>
      <c r="AF4135">
        <v>0.60675677583126497</v>
      </c>
      <c r="AG4135">
        <v>-1.1090880978239901</v>
      </c>
      <c r="AH4135">
        <v>22.3697066585305</v>
      </c>
      <c r="AI4135">
        <v>92.837353662771406</v>
      </c>
      <c r="AJ4135">
        <v>88.446288047358806</v>
      </c>
      <c r="AK4135">
        <v>22.405401272515899</v>
      </c>
      <c r="AL4135">
        <v>80.288821068664205</v>
      </c>
      <c r="AM4135">
        <v>87.157198612818505</v>
      </c>
      <c r="AN4135">
        <v>1.0000000229346899</v>
      </c>
    </row>
    <row r="4136" spans="1:40" x14ac:dyDescent="0.25">
      <c r="A4136" t="str">
        <f>"20190312173012805"</f>
        <v>20190312173012805</v>
      </c>
      <c r="B4136" t="str">
        <f>"1552383012801621"</f>
        <v>1552383012801621</v>
      </c>
      <c r="C4136" t="s">
        <v>40</v>
      </c>
      <c r="D4136">
        <v>3.4170250000000002</v>
      </c>
      <c r="E4136">
        <v>0.4657152</v>
      </c>
      <c r="F4136" t="s">
        <v>41</v>
      </c>
      <c r="G4136">
        <v>-256.29570000000001</v>
      </c>
      <c r="H4136" s="1">
        <v>-1.875749E-6</v>
      </c>
      <c r="I4136">
        <v>137.9008</v>
      </c>
      <c r="J4136">
        <v>-233.17330000000001</v>
      </c>
      <c r="K4136">
        <v>1.1089089999999999</v>
      </c>
      <c r="L4136">
        <v>140.81549999999999</v>
      </c>
      <c r="M4136">
        <v>-0.99478250000000001</v>
      </c>
      <c r="N4136">
        <v>0</v>
      </c>
      <c r="O4136">
        <v>-0.101491</v>
      </c>
      <c r="P4136">
        <v>-0.98597190000000001</v>
      </c>
      <c r="Q4136">
        <v>0.1579691</v>
      </c>
      <c r="R4136">
        <v>-5.3902609999999997E-2</v>
      </c>
      <c r="S4136">
        <v>-3.0454560000000002</v>
      </c>
      <c r="T4136">
        <v>-0.14433789999999999</v>
      </c>
      <c r="U4136">
        <v>-0.38291930000000002</v>
      </c>
      <c r="V4136">
        <v>4.6796119999999997E-2</v>
      </c>
      <c r="W4136">
        <v>0.16808809999999999</v>
      </c>
      <c r="X4136">
        <v>0.9846606</v>
      </c>
      <c r="Y4136">
        <v>-2.3490279999999999E-2</v>
      </c>
      <c r="Z4136">
        <v>4.220906E-3</v>
      </c>
      <c r="AA4136">
        <v>0.99971509999999997</v>
      </c>
      <c r="AB4136">
        <v>29</v>
      </c>
      <c r="AC4136">
        <v>-23.122399999999999</v>
      </c>
      <c r="AD4136">
        <v>-1.1089108757489901</v>
      </c>
      <c r="AE4136">
        <v>-2.9146999999999799</v>
      </c>
      <c r="AF4136">
        <v>-0.55155798841597803</v>
      </c>
      <c r="AG4136">
        <v>-1.1089108757489901</v>
      </c>
      <c r="AH4136">
        <v>23.2461954290807</v>
      </c>
      <c r="AI4136">
        <v>92.730337078946903</v>
      </c>
      <c r="AJ4136">
        <v>91.359190873491201</v>
      </c>
      <c r="AK4136">
        <v>23.279164535523002</v>
      </c>
      <c r="AL4136">
        <v>80.323324201455407</v>
      </c>
      <c r="AM4136">
        <v>87.279058114215701</v>
      </c>
      <c r="AN4136">
        <v>0.99999999170051201</v>
      </c>
    </row>
    <row r="4137" spans="1:40" x14ac:dyDescent="0.25">
      <c r="A4137" t="str">
        <f>"20190312173012826"</f>
        <v>20190312173012826</v>
      </c>
      <c r="B4137" t="str">
        <f>"1552383012822116"</f>
        <v>1552383012822116</v>
      </c>
      <c r="C4137" t="s">
        <v>40</v>
      </c>
      <c r="D4137">
        <v>3.416318</v>
      </c>
      <c r="E4137">
        <v>0.46205940000000001</v>
      </c>
      <c r="F4137" t="s">
        <v>41</v>
      </c>
      <c r="G4137">
        <v>-256.8272</v>
      </c>
      <c r="H4137" s="1">
        <v>-1.7332049999999999E-6</v>
      </c>
      <c r="I4137">
        <v>137.41890000000001</v>
      </c>
      <c r="J4137">
        <v>-233.4545</v>
      </c>
      <c r="K4137">
        <v>1.108762</v>
      </c>
      <c r="L4137">
        <v>140.78809999999999</v>
      </c>
      <c r="M4137">
        <v>-0.99491439999999998</v>
      </c>
      <c r="N4137">
        <v>0</v>
      </c>
      <c r="O4137">
        <v>-0.1001903</v>
      </c>
      <c r="P4137">
        <v>-0.98604829999999999</v>
      </c>
      <c r="Q4137">
        <v>0.15704969999999999</v>
      </c>
      <c r="R4137">
        <v>-5.5174939999999999E-2</v>
      </c>
      <c r="S4137">
        <v>-3.041687</v>
      </c>
      <c r="T4137">
        <v>-0.14259659999999999</v>
      </c>
      <c r="U4137">
        <v>-0.43676759999999898</v>
      </c>
      <c r="V4137">
        <v>4.4303790000000003E-2</v>
      </c>
      <c r="W4137">
        <v>0.16716339999999999</v>
      </c>
      <c r="X4137">
        <v>0.98493330000000001</v>
      </c>
      <c r="Y4137">
        <v>-4.2304139999999997E-2</v>
      </c>
      <c r="Z4137">
        <v>3.6705069999999999E-3</v>
      </c>
      <c r="AA4137">
        <v>0.99909809999999999</v>
      </c>
      <c r="AB4137">
        <v>29</v>
      </c>
      <c r="AC4137">
        <v>-23.372699999999998</v>
      </c>
      <c r="AD4137">
        <v>-1.108763733205</v>
      </c>
      <c r="AE4137">
        <v>-3.36919999999997</v>
      </c>
      <c r="AF4137">
        <v>-1.00817932665399</v>
      </c>
      <c r="AG4137">
        <v>-1.108763733205</v>
      </c>
      <c r="AH4137">
        <v>23.5407642442282</v>
      </c>
      <c r="AI4137">
        <v>92.694157134847501</v>
      </c>
      <c r="AJ4137">
        <v>92.452305390461404</v>
      </c>
      <c r="AK4137">
        <v>23.5884158809593</v>
      </c>
      <c r="AL4137">
        <v>80.377066263926693</v>
      </c>
      <c r="AM4137">
        <v>87.424485259295295</v>
      </c>
      <c r="AN4137">
        <v>1.0000000167784</v>
      </c>
    </row>
    <row r="4138" spans="1:40" x14ac:dyDescent="0.25">
      <c r="A4138" t="str">
        <f>"20190312173012850"</f>
        <v>20190312173012850</v>
      </c>
      <c r="B4138" t="str">
        <f>"1552383012841640"</f>
        <v>1552383012841640</v>
      </c>
      <c r="C4138" t="s">
        <v>40</v>
      </c>
      <c r="D4138">
        <v>3.4251649999999998</v>
      </c>
      <c r="E4138">
        <v>0.45980179999999998</v>
      </c>
      <c r="F4138" t="s">
        <v>41</v>
      </c>
      <c r="G4138">
        <v>-256.7439</v>
      </c>
      <c r="H4138" s="1">
        <v>-1.8099349999999999E-6</v>
      </c>
      <c r="I4138">
        <v>137.18770000000001</v>
      </c>
      <c r="J4138">
        <v>-233.76179999999999</v>
      </c>
      <c r="K4138">
        <v>1.108636</v>
      </c>
      <c r="L4138">
        <v>140.75880000000001</v>
      </c>
      <c r="M4138">
        <v>-0.99507290000000004</v>
      </c>
      <c r="N4138">
        <v>0</v>
      </c>
      <c r="O4138">
        <v>-9.8602720000000005E-2</v>
      </c>
      <c r="P4138">
        <v>-0.98608119999999999</v>
      </c>
      <c r="Q4138">
        <v>0.1565588</v>
      </c>
      <c r="R4138">
        <v>-5.5977659999999999E-2</v>
      </c>
      <c r="S4138">
        <v>-3.0391849999999998</v>
      </c>
      <c r="T4138">
        <v>-0.1446897</v>
      </c>
      <c r="U4138">
        <v>-0.46983340000000001</v>
      </c>
      <c r="V4138">
        <v>4.1984250000000001E-2</v>
      </c>
      <c r="W4138">
        <v>0.16666929999999999</v>
      </c>
      <c r="X4138">
        <v>0.98511859999999996</v>
      </c>
      <c r="Y4138">
        <v>-5.4630329999999998E-2</v>
      </c>
      <c r="Z4138">
        <v>3.3577030000000001E-3</v>
      </c>
      <c r="AA4138">
        <v>0.99850099999999997</v>
      </c>
      <c r="AB4138">
        <v>29</v>
      </c>
      <c r="AC4138">
        <v>-22.982099999999999</v>
      </c>
      <c r="AD4138">
        <v>-1.1086378099350001</v>
      </c>
      <c r="AE4138">
        <v>-3.5710999999999999</v>
      </c>
      <c r="AF4138">
        <v>-1.28455770048745</v>
      </c>
      <c r="AG4138">
        <v>-1.1086378099350001</v>
      </c>
      <c r="AH4138">
        <v>23.169587484779498</v>
      </c>
      <c r="AI4138">
        <v>92.735252869710095</v>
      </c>
      <c r="AJ4138">
        <v>93.173317788797206</v>
      </c>
      <c r="AK4138">
        <v>23.231636844922299</v>
      </c>
      <c r="AL4138">
        <v>80.405778700121004</v>
      </c>
      <c r="AM4138">
        <v>87.559618195671703</v>
      </c>
      <c r="AN4138">
        <v>0.99999999443825605</v>
      </c>
    </row>
    <row r="4139" spans="1:40" x14ac:dyDescent="0.25">
      <c r="A4139" t="str">
        <f>"20190312173012872"</f>
        <v>20190312173012872</v>
      </c>
      <c r="B4139" t="str">
        <f>"1552383012862136"</f>
        <v>1552383012862136</v>
      </c>
      <c r="C4139" t="s">
        <v>40</v>
      </c>
      <c r="D4139">
        <v>3.4290560000000001</v>
      </c>
      <c r="E4139">
        <v>0.45814559999999999</v>
      </c>
      <c r="F4139" t="s">
        <v>41</v>
      </c>
      <c r="G4139">
        <v>-256.78859999999997</v>
      </c>
      <c r="H4139" s="1">
        <v>-1.817684E-6</v>
      </c>
      <c r="I4139">
        <v>137.03579999999999</v>
      </c>
      <c r="J4139">
        <v>-234.04859999999999</v>
      </c>
      <c r="K4139">
        <v>1.1085389999999999</v>
      </c>
      <c r="L4139">
        <v>140.732</v>
      </c>
      <c r="M4139">
        <v>-0.99523139999999999</v>
      </c>
      <c r="N4139">
        <v>0</v>
      </c>
      <c r="O4139">
        <v>-9.6989699999999998E-2</v>
      </c>
      <c r="P4139">
        <v>-0.98607650000000002</v>
      </c>
      <c r="Q4139">
        <v>0.156419</v>
      </c>
      <c r="R4139">
        <v>-5.6445479999999999E-2</v>
      </c>
      <c r="S4139">
        <v>-3.0376889999999999</v>
      </c>
      <c r="T4139">
        <v>-0.1462513</v>
      </c>
      <c r="U4139">
        <v>-0.49111939999999998</v>
      </c>
      <c r="V4139">
        <v>3.9959010000000003E-2</v>
      </c>
      <c r="W4139">
        <v>0.1665287</v>
      </c>
      <c r="X4139">
        <v>0.98522659999999995</v>
      </c>
      <c r="Y4139">
        <v>-6.3136559999999994E-2</v>
      </c>
      <c r="Z4139">
        <v>3.113434E-3</v>
      </c>
      <c r="AA4139">
        <v>0.998</v>
      </c>
      <c r="AB4139">
        <v>29</v>
      </c>
      <c r="AC4139">
        <v>-22.739999999999899</v>
      </c>
      <c r="AD4139">
        <v>-1.1085408176839999</v>
      </c>
      <c r="AE4139">
        <v>-3.6962000000000002</v>
      </c>
      <c r="AF4139">
        <v>-1.46970494311861</v>
      </c>
      <c r="AG4139">
        <v>-1.1085408176839999</v>
      </c>
      <c r="AH4139">
        <v>22.938183132559001</v>
      </c>
      <c r="AI4139">
        <v>92.761145546937101</v>
      </c>
      <c r="AJ4139">
        <v>93.666068088383696</v>
      </c>
      <c r="AK4139">
        <v>23.011934746716001</v>
      </c>
      <c r="AL4139">
        <v>80.413948639410705</v>
      </c>
      <c r="AM4139">
        <v>87.677459693370807</v>
      </c>
      <c r="AN4139">
        <v>0.99999999187571498</v>
      </c>
    </row>
    <row r="4140" spans="1:40" x14ac:dyDescent="0.25">
      <c r="A4140" t="str">
        <f>"20190312173012896"</f>
        <v>20190312173012896</v>
      </c>
      <c r="B4140" t="str">
        <f>"1552383012892388"</f>
        <v>1552383012892388</v>
      </c>
      <c r="C4140" t="s">
        <v>40</v>
      </c>
      <c r="D4140">
        <v>3.3754089999999901</v>
      </c>
      <c r="E4140">
        <v>0.45630609999999999</v>
      </c>
      <c r="F4140" t="s">
        <v>41</v>
      </c>
      <c r="G4140">
        <v>-257.1891</v>
      </c>
      <c r="H4140" s="1">
        <v>-1.675319E-6</v>
      </c>
      <c r="I4140">
        <v>136.87</v>
      </c>
      <c r="J4140">
        <v>-234.3502</v>
      </c>
      <c r="K4140">
        <v>1.108444</v>
      </c>
      <c r="L4140">
        <v>140.70439999999999</v>
      </c>
      <c r="M4140">
        <v>-0.99540530000000005</v>
      </c>
      <c r="N4140">
        <v>0</v>
      </c>
      <c r="O4140">
        <v>-9.5187010000000002E-2</v>
      </c>
      <c r="P4140">
        <v>-0.98598330000000001</v>
      </c>
      <c r="Q4140">
        <v>0.1567211</v>
      </c>
      <c r="R4140">
        <v>-5.7233319999999997E-2</v>
      </c>
      <c r="S4140">
        <v>-3.0364070000000001</v>
      </c>
      <c r="T4140">
        <v>-0.14545910000000001</v>
      </c>
      <c r="U4140">
        <v>-0.50674439999999998</v>
      </c>
      <c r="V4140">
        <v>3.7416520000000002E-2</v>
      </c>
      <c r="W4140">
        <v>0.16683290000000001</v>
      </c>
      <c r="X4140">
        <v>0.98527500000000001</v>
      </c>
      <c r="Y4140">
        <v>-6.9999489999999998E-2</v>
      </c>
      <c r="Z4140">
        <v>2.8480649999999999E-3</v>
      </c>
      <c r="AA4140">
        <v>0.99754299999999996</v>
      </c>
      <c r="AB4140">
        <v>29</v>
      </c>
      <c r="AC4140">
        <v>-22.838899999999899</v>
      </c>
      <c r="AD4140">
        <v>-1.108445675319</v>
      </c>
      <c r="AE4140">
        <v>-3.83439999999998</v>
      </c>
      <c r="AF4140">
        <v>-1.63914884132659</v>
      </c>
      <c r="AG4140">
        <v>-1.108445675319</v>
      </c>
      <c r="AH4140">
        <v>23.0473920966846</v>
      </c>
      <c r="AI4140">
        <v>92.746545672211099</v>
      </c>
      <c r="AJ4140">
        <v>94.068071602568295</v>
      </c>
      <c r="AK4140">
        <v>23.132179819409</v>
      </c>
      <c r="AL4140">
        <v>80.396272246212305</v>
      </c>
      <c r="AM4140">
        <v>87.825197023216901</v>
      </c>
      <c r="AN4140">
        <v>1.0000000190581599</v>
      </c>
    </row>
    <row r="4141" spans="1:40" x14ac:dyDescent="0.25">
      <c r="A4141" t="str">
        <f>"20190312173012918"</f>
        <v>20190312173012918</v>
      </c>
      <c r="B4141" t="str">
        <f>"1552383012911909"</f>
        <v>1552383012911909</v>
      </c>
      <c r="C4141" t="s">
        <v>40</v>
      </c>
      <c r="D4141">
        <v>3.576387</v>
      </c>
      <c r="E4141">
        <v>0.45593489999999998</v>
      </c>
      <c r="F4141" t="s">
        <v>41</v>
      </c>
      <c r="G4141">
        <v>-257.99810000000002</v>
      </c>
      <c r="H4141" s="1">
        <v>-1.466512E-6</v>
      </c>
      <c r="I4141">
        <v>136.61250000000001</v>
      </c>
      <c r="J4141">
        <v>-234.6439</v>
      </c>
      <c r="K4141">
        <v>1.108368</v>
      </c>
      <c r="L4141">
        <v>140.6782</v>
      </c>
      <c r="M4141">
        <v>-0.99557830000000003</v>
      </c>
      <c r="N4141">
        <v>0</v>
      </c>
      <c r="O4141">
        <v>-9.3361239999999998E-2</v>
      </c>
      <c r="P4141">
        <v>-0.98599519999999996</v>
      </c>
      <c r="Q4141">
        <v>0.1563677</v>
      </c>
      <c r="R4141">
        <v>-5.798888E-2</v>
      </c>
      <c r="S4141">
        <v>-3.0347749999999998</v>
      </c>
      <c r="T4141">
        <v>-0.1422484</v>
      </c>
      <c r="U4141">
        <v>-0.52511600000000003</v>
      </c>
      <c r="V4141">
        <v>3.4883659999999997E-2</v>
      </c>
      <c r="W4141">
        <v>0.16648550000000001</v>
      </c>
      <c r="X4141">
        <v>0.98542669999999999</v>
      </c>
      <c r="Y4141">
        <v>-7.7771720000000003E-2</v>
      </c>
      <c r="Z4141">
        <v>2.5200380000000001E-3</v>
      </c>
      <c r="AA4141">
        <v>0.99696799999999997</v>
      </c>
      <c r="AB4141">
        <v>29</v>
      </c>
      <c r="AC4141">
        <v>-23.354199999999999</v>
      </c>
      <c r="AD4141">
        <v>-1.1083694665119901</v>
      </c>
      <c r="AE4141">
        <v>-4.0656999999999899</v>
      </c>
      <c r="AF4141">
        <v>-1.86337248452208</v>
      </c>
      <c r="AG4141">
        <v>-1.1083694665119901</v>
      </c>
      <c r="AH4141">
        <v>23.580235044439199</v>
      </c>
      <c r="AI4141">
        <v>92.682808810364506</v>
      </c>
      <c r="AJ4141">
        <v>94.518274606640105</v>
      </c>
      <c r="AK4141">
        <v>23.679698575813202</v>
      </c>
      <c r="AL4141">
        <v>80.416459288493598</v>
      </c>
      <c r="AM4141">
        <v>87.972601869712705</v>
      </c>
      <c r="AN4141">
        <v>1.00000003625906</v>
      </c>
    </row>
    <row r="4142" spans="1:40" x14ac:dyDescent="0.25">
      <c r="A4142" t="str">
        <f>"20190312173012940"</f>
        <v>20190312173012940</v>
      </c>
      <c r="B4142" t="str">
        <f>"1552383012932405"</f>
        <v>1552383012932405</v>
      </c>
      <c r="C4142" t="s">
        <v>40</v>
      </c>
      <c r="D4142">
        <v>3.585744</v>
      </c>
      <c r="E4142">
        <v>0.45596989999999998</v>
      </c>
      <c r="F4142" t="s">
        <v>41</v>
      </c>
      <c r="G4142">
        <v>-257.72460000000001</v>
      </c>
      <c r="H4142" s="1">
        <v>-1.5536100000000001E-6</v>
      </c>
      <c r="I4142">
        <v>136.63499999999999</v>
      </c>
      <c r="J4142">
        <v>-234.9365</v>
      </c>
      <c r="K4142">
        <v>1.1083179999999999</v>
      </c>
      <c r="L4142">
        <v>140.65260000000001</v>
      </c>
      <c r="M4142">
        <v>-0.99575100000000005</v>
      </c>
      <c r="N4142">
        <v>0</v>
      </c>
      <c r="O4142">
        <v>-9.1501669999999993E-2</v>
      </c>
      <c r="P4142">
        <v>-0.98597159999999995</v>
      </c>
      <c r="Q4142">
        <v>0.15633159999999999</v>
      </c>
      <c r="R4142">
        <v>-5.8489930000000002E-2</v>
      </c>
      <c r="S4142">
        <v>-3.0344699999999998</v>
      </c>
      <c r="T4142">
        <v>-0.14571990000000001</v>
      </c>
      <c r="U4142">
        <v>-0.53155520000000001</v>
      </c>
      <c r="V4142">
        <v>3.2560939999999997E-2</v>
      </c>
      <c r="W4142">
        <v>0.16645579999999999</v>
      </c>
      <c r="X4142">
        <v>0.98551120000000003</v>
      </c>
      <c r="Y4142">
        <v>-8.1697710000000007E-2</v>
      </c>
      <c r="Z4142">
        <v>2.3997100000000002E-3</v>
      </c>
      <c r="AA4142">
        <v>0.99665429999999999</v>
      </c>
      <c r="AB4142">
        <v>29</v>
      </c>
      <c r="AC4142">
        <v>-22.7881</v>
      </c>
      <c r="AD4142">
        <v>-1.1083195536099999</v>
      </c>
      <c r="AE4142">
        <v>-4.0176000000000096</v>
      </c>
      <c r="AF4142">
        <v>-1.9110985349484</v>
      </c>
      <c r="AG4142">
        <v>-1.1083195536099999</v>
      </c>
      <c r="AH4142">
        <v>23.007346602528798</v>
      </c>
      <c r="AI4142">
        <v>92.748493240001906</v>
      </c>
      <c r="AJ4142">
        <v>94.748356417597094</v>
      </c>
      <c r="AK4142">
        <v>23.113170867107101</v>
      </c>
      <c r="AL4142">
        <v>80.418185058415204</v>
      </c>
      <c r="AM4142">
        <v>88.107656167974397</v>
      </c>
      <c r="AN4142">
        <v>1.0000000367463799</v>
      </c>
    </row>
    <row r="4143" spans="1:40" x14ac:dyDescent="0.25">
      <c r="A4143" t="str">
        <f>"20190312173012962"</f>
        <v>20190312173012962</v>
      </c>
      <c r="B4143" t="str">
        <f>"1552383012951924"</f>
        <v>1552383012951924</v>
      </c>
      <c r="C4143" t="s">
        <v>40</v>
      </c>
      <c r="D4143">
        <v>3.5865429999999998</v>
      </c>
      <c r="E4143">
        <v>0.4560399</v>
      </c>
      <c r="F4143" t="s">
        <v>41</v>
      </c>
      <c r="G4143">
        <v>-257.41160000000002</v>
      </c>
      <c r="H4143" s="1">
        <v>-1.6423909999999999E-6</v>
      </c>
      <c r="I4143">
        <v>136.70169999999999</v>
      </c>
      <c r="J4143">
        <v>-235.2277</v>
      </c>
      <c r="K4143">
        <v>1.108298</v>
      </c>
      <c r="L4143">
        <v>140.62780000000001</v>
      </c>
      <c r="M4143">
        <v>-0.99592119999999995</v>
      </c>
      <c r="N4143">
        <v>0</v>
      </c>
      <c r="O4143">
        <v>-8.9628540000000007E-2</v>
      </c>
      <c r="P4143">
        <v>-0.98584490000000002</v>
      </c>
      <c r="Q4143">
        <v>0.156517299999999</v>
      </c>
      <c r="R4143">
        <v>-6.0102660000000002E-2</v>
      </c>
      <c r="S4143">
        <v>-3.0347599999999999</v>
      </c>
      <c r="T4143">
        <v>-0.14965439999999999</v>
      </c>
      <c r="U4143">
        <v>-0.5334778</v>
      </c>
      <c r="V4143">
        <v>2.9101309999999998E-2</v>
      </c>
      <c r="W4143">
        <v>0.16665379999999999</v>
      </c>
      <c r="X4143">
        <v>0.98558590000000001</v>
      </c>
      <c r="Y4143">
        <v>-8.4163989999999994E-2</v>
      </c>
      <c r="Z4143">
        <v>2.3127460000000001E-3</v>
      </c>
      <c r="AA4143">
        <v>0.99644920000000003</v>
      </c>
      <c r="AB4143">
        <v>29</v>
      </c>
      <c r="AC4143">
        <v>-22.183900000000001</v>
      </c>
      <c r="AD4143">
        <v>-1.1082996423909901</v>
      </c>
      <c r="AE4143">
        <v>-3.9261000000000199</v>
      </c>
      <c r="AF4143">
        <v>-1.9172391107889</v>
      </c>
      <c r="AG4143">
        <v>-1.1082996423909901</v>
      </c>
      <c r="AH4143">
        <v>22.392322523220098</v>
      </c>
      <c r="AI4143">
        <v>92.823208389407</v>
      </c>
      <c r="AJ4143">
        <v>94.893751117255206</v>
      </c>
      <c r="AK4143">
        <v>22.501560876729702</v>
      </c>
      <c r="AL4143">
        <v>80.406679152468101</v>
      </c>
      <c r="AM4143">
        <v>88.308723844503902</v>
      </c>
      <c r="AN4143">
        <v>0.99999997078848202</v>
      </c>
    </row>
    <row r="4144" spans="1:40" x14ac:dyDescent="0.25">
      <c r="A4144" t="str">
        <f>"20190312173012986"</f>
        <v>20190312173012986</v>
      </c>
      <c r="B4144" t="str">
        <f>"1552383012972420"</f>
        <v>1552383012972420</v>
      </c>
      <c r="C4144" t="s">
        <v>40</v>
      </c>
      <c r="D4144">
        <v>3.6174949999999999</v>
      </c>
      <c r="E4144">
        <v>0.45607399999999998</v>
      </c>
      <c r="F4144" t="s">
        <v>41</v>
      </c>
      <c r="G4144">
        <v>-257.1875</v>
      </c>
      <c r="H4144" s="1">
        <v>-1.707946E-6</v>
      </c>
      <c r="I4144">
        <v>136.74189999999999</v>
      </c>
      <c r="J4144">
        <v>-235.5284</v>
      </c>
      <c r="K4144">
        <v>1.1082799999999999</v>
      </c>
      <c r="L4144">
        <v>140.6027</v>
      </c>
      <c r="M4144">
        <v>-0.99609429999999999</v>
      </c>
      <c r="N4144">
        <v>0</v>
      </c>
      <c r="O4144">
        <v>-8.768389E-2</v>
      </c>
      <c r="P4144">
        <v>-0.98570480000000005</v>
      </c>
      <c r="Q4144">
        <v>0.15717390000000001</v>
      </c>
      <c r="R4144">
        <v>-6.0685009999999998E-2</v>
      </c>
      <c r="S4144">
        <v>-3.034653</v>
      </c>
      <c r="T4144">
        <v>-0.153157399999999</v>
      </c>
      <c r="U4144">
        <v>-0.53698729999999995</v>
      </c>
      <c r="V4144">
        <v>2.659187E-2</v>
      </c>
      <c r="W4144">
        <v>0.16731949999999901</v>
      </c>
      <c r="X4144">
        <v>0.98554399999999998</v>
      </c>
      <c r="Y4144">
        <v>-8.7226869999999998E-2</v>
      </c>
      <c r="Z4144">
        <v>2.1932879999999998E-3</v>
      </c>
      <c r="AA4144">
        <v>0.99618609999999996</v>
      </c>
      <c r="AB4144">
        <v>29</v>
      </c>
      <c r="AC4144">
        <v>-21.659099999999899</v>
      </c>
      <c r="AD4144">
        <v>-1.1082817079459999</v>
      </c>
      <c r="AE4144">
        <v>-3.86080000000001</v>
      </c>
      <c r="AF4144">
        <v>-1.94174404149394</v>
      </c>
      <c r="AG4144">
        <v>-1.1082817079459999</v>
      </c>
      <c r="AH4144">
        <v>21.8587456699881</v>
      </c>
      <c r="AI4144">
        <v>92.891158803353207</v>
      </c>
      <c r="AJ4144">
        <v>95.076342554671797</v>
      </c>
      <c r="AK4144">
        <v>21.972788182933702</v>
      </c>
      <c r="AL4144">
        <v>80.367994068609306</v>
      </c>
      <c r="AM4144">
        <v>88.454424823067299</v>
      </c>
      <c r="AN4144">
        <v>0.99999995928317198</v>
      </c>
    </row>
    <row r="4145" spans="1:40" x14ac:dyDescent="0.25">
      <c r="A4145" t="str">
        <f>"20190312173013005"</f>
        <v>20190312173013005</v>
      </c>
      <c r="B4145" t="str">
        <f>"1552383013001701"</f>
        <v>1552383013001701</v>
      </c>
      <c r="C4145" t="s">
        <v>40</v>
      </c>
      <c r="D4145">
        <v>3.571599</v>
      </c>
      <c r="E4145">
        <v>0.45608910000000003</v>
      </c>
      <c r="F4145" t="s">
        <v>41</v>
      </c>
      <c r="G4145">
        <v>-257.26609999999999</v>
      </c>
      <c r="H4145" s="1">
        <v>-1.679677E-6</v>
      </c>
      <c r="I4145">
        <v>136.74770000000001</v>
      </c>
      <c r="J4145">
        <v>-235.79259999999999</v>
      </c>
      <c r="K4145">
        <v>1.1082620000000001</v>
      </c>
      <c r="L4145">
        <v>140.5813</v>
      </c>
      <c r="M4145">
        <v>-0.99624310000000005</v>
      </c>
      <c r="N4145">
        <v>0</v>
      </c>
      <c r="O4145">
        <v>-8.597523E-2</v>
      </c>
      <c r="P4145">
        <v>-0.98543670000000005</v>
      </c>
      <c r="Q4145">
        <v>0.1586563</v>
      </c>
      <c r="R4145">
        <v>-6.1176059999999997E-2</v>
      </c>
      <c r="S4145">
        <v>-3.0350489999999999</v>
      </c>
      <c r="T4145">
        <v>-0.15474060000000001</v>
      </c>
      <c r="U4145">
        <v>-0.53823849999999995</v>
      </c>
      <c r="V4145">
        <v>2.4395199999999999E-2</v>
      </c>
      <c r="W4145">
        <v>0.1688086</v>
      </c>
      <c r="X4145">
        <v>0.98534690000000003</v>
      </c>
      <c r="Y4145">
        <v>-8.9306440000000001E-2</v>
      </c>
      <c r="Z4145">
        <v>2.0771629999999999E-3</v>
      </c>
      <c r="AA4145">
        <v>0.99600200000000005</v>
      </c>
      <c r="AB4145">
        <v>29</v>
      </c>
      <c r="AC4145">
        <v>-21.473500000000001</v>
      </c>
      <c r="AD4145">
        <v>-1.108263679677</v>
      </c>
      <c r="AE4145">
        <v>-3.8335999999999899</v>
      </c>
      <c r="AF4145">
        <v>-1.96803466598851</v>
      </c>
      <c r="AG4145">
        <v>-1.108263679677</v>
      </c>
      <c r="AH4145">
        <v>21.667660537121801</v>
      </c>
      <c r="AI4145">
        <v>92.916046468364499</v>
      </c>
      <c r="AJ4145">
        <v>95.189832316416499</v>
      </c>
      <c r="AK4145">
        <v>21.785061899893002</v>
      </c>
      <c r="AL4145">
        <v>80.281444140982302</v>
      </c>
      <c r="AM4145">
        <v>88.581761895409002</v>
      </c>
      <c r="AN4145">
        <v>0.99999999127830497</v>
      </c>
    </row>
    <row r="4146" spans="1:40" x14ac:dyDescent="0.25">
      <c r="A4146" t="str">
        <f>"20190312173013029"</f>
        <v>20190312173013029</v>
      </c>
      <c r="B4146" t="str">
        <f>"1552383013022197"</f>
        <v>1552383013022197</v>
      </c>
      <c r="C4146" t="s">
        <v>40</v>
      </c>
      <c r="D4146">
        <v>3.5780419999999999</v>
      </c>
      <c r="E4146">
        <v>0.45611560000000001</v>
      </c>
      <c r="F4146" t="s">
        <v>41</v>
      </c>
      <c r="G4146">
        <v>-257.66180000000003</v>
      </c>
      <c r="H4146" s="1">
        <v>-1.5595799999999999E-6</v>
      </c>
      <c r="I4146">
        <v>136.69290000000001</v>
      </c>
      <c r="J4146">
        <v>-236.09540000000001</v>
      </c>
      <c r="K4146">
        <v>1.108249</v>
      </c>
      <c r="L4146">
        <v>140.55719999999999</v>
      </c>
      <c r="M4146">
        <v>-0.99640969999999995</v>
      </c>
      <c r="N4146">
        <v>0</v>
      </c>
      <c r="O4146">
        <v>-8.4024260000000003E-2</v>
      </c>
      <c r="P4146">
        <v>-0.98528510000000002</v>
      </c>
      <c r="Q4146">
        <v>0.1595936</v>
      </c>
      <c r="R4146">
        <v>-6.1181689999999997E-2</v>
      </c>
      <c r="S4146">
        <v>-3.0355989999999999</v>
      </c>
      <c r="T4146">
        <v>-0.15383540000000001</v>
      </c>
      <c r="U4146">
        <v>-0.53971859999999905</v>
      </c>
      <c r="V4146">
        <v>2.2449750000000001E-2</v>
      </c>
      <c r="W4146">
        <v>0.16975319999999999</v>
      </c>
      <c r="X4146">
        <v>0.98523090000000002</v>
      </c>
      <c r="Y4146">
        <v>-9.1691040000000001E-2</v>
      </c>
      <c r="Z4146">
        <v>1.907228E-3</v>
      </c>
      <c r="AA4146">
        <v>0.9957857</v>
      </c>
      <c r="AB4146">
        <v>29</v>
      </c>
      <c r="AC4146">
        <v>-21.566400000000002</v>
      </c>
      <c r="AD4146">
        <v>-1.1082505595799901</v>
      </c>
      <c r="AE4146">
        <v>-3.8642999999999801</v>
      </c>
      <c r="AF4146">
        <v>-2.0332327514272199</v>
      </c>
      <c r="AG4146">
        <v>-1.1082505595799901</v>
      </c>
      <c r="AH4146">
        <v>21.7591669141515</v>
      </c>
      <c r="AI4146">
        <v>92.903077697913304</v>
      </c>
      <c r="AJ4146">
        <v>95.338364283636906</v>
      </c>
      <c r="AK4146">
        <v>21.882038285365201</v>
      </c>
      <c r="AL4146">
        <v>80.226530429975796</v>
      </c>
      <c r="AM4146">
        <v>88.694668044145303</v>
      </c>
      <c r="AN4146">
        <v>1.00000003325005</v>
      </c>
    </row>
    <row r="4147" spans="1:40" x14ac:dyDescent="0.25">
      <c r="A4147" t="str">
        <f>"20190312173013052"</f>
        <v>20190312173013052</v>
      </c>
      <c r="B4147" t="str">
        <f>"1552383013041720"</f>
        <v>1552383013041720</v>
      </c>
      <c r="C4147" t="s">
        <v>40</v>
      </c>
      <c r="D4147">
        <v>3.5739670000000001</v>
      </c>
      <c r="E4147">
        <v>0.45609470000000002</v>
      </c>
      <c r="F4147" t="s">
        <v>41</v>
      </c>
      <c r="G4147">
        <v>-258.10129999999998</v>
      </c>
      <c r="H4147" s="1">
        <v>-1.423201E-6</v>
      </c>
      <c r="I4147">
        <v>136.64330000000001</v>
      </c>
      <c r="J4147">
        <v>-236.40780000000001</v>
      </c>
      <c r="K4147">
        <v>1.1082510000000001</v>
      </c>
      <c r="L4147">
        <v>140.53299999999999</v>
      </c>
      <c r="M4147">
        <v>-0.99657649999999998</v>
      </c>
      <c r="N4147">
        <v>0</v>
      </c>
      <c r="O4147">
        <v>-8.2021919999999998E-2</v>
      </c>
      <c r="P4147">
        <v>-0.98530859999999998</v>
      </c>
      <c r="Q4147">
        <v>0.15961520000000001</v>
      </c>
      <c r="R4147">
        <v>-6.0745180000000003E-2</v>
      </c>
      <c r="S4147">
        <v>-3.036041</v>
      </c>
      <c r="T4147">
        <v>-0.15290019999999999</v>
      </c>
      <c r="U4147">
        <v>-0.53996279999999997</v>
      </c>
      <c r="V4147">
        <v>2.090506E-2</v>
      </c>
      <c r="W4147">
        <v>0.16978190000000001</v>
      </c>
      <c r="X4147">
        <v>0.98525989999999997</v>
      </c>
      <c r="Y4147">
        <v>-9.3739550000000005E-2</v>
      </c>
      <c r="Z4147">
        <v>1.7448349999999999E-3</v>
      </c>
      <c r="AA4147">
        <v>0.99559520000000001</v>
      </c>
      <c r="AB4147">
        <v>29</v>
      </c>
      <c r="AC4147">
        <v>-21.693499999999901</v>
      </c>
      <c r="AD4147">
        <v>-1.108252423201</v>
      </c>
      <c r="AE4147">
        <v>-3.8896999999999702</v>
      </c>
      <c r="AF4147">
        <v>-2.09186457577984</v>
      </c>
      <c r="AG4147">
        <v>-1.108252423201</v>
      </c>
      <c r="AH4147">
        <v>21.8841186643699</v>
      </c>
      <c r="AI4147">
        <v>92.885955792160402</v>
      </c>
      <c r="AJ4147">
        <v>95.460213348908894</v>
      </c>
      <c r="AK4147">
        <v>22.011787082223801</v>
      </c>
      <c r="AL4147">
        <v>80.224861420795804</v>
      </c>
      <c r="AM4147">
        <v>88.784491266554994</v>
      </c>
      <c r="AN4147">
        <v>0.99999999282461105</v>
      </c>
    </row>
    <row r="4148" spans="1:40" x14ac:dyDescent="0.25">
      <c r="A4148" t="str">
        <f>"20190312173013073"</f>
        <v>20190312173013073</v>
      </c>
      <c r="B4148" t="str">
        <f>"1552383013062216"</f>
        <v>1552383013062216</v>
      </c>
      <c r="C4148" t="s">
        <v>40</v>
      </c>
      <c r="D4148">
        <v>3.5713439999999999</v>
      </c>
      <c r="E4148">
        <v>0.45604939999999999</v>
      </c>
      <c r="F4148" t="s">
        <v>41</v>
      </c>
      <c r="G4148">
        <v>-258.20389999999998</v>
      </c>
      <c r="H4148" s="1">
        <v>-1.3825739999999901E-6</v>
      </c>
      <c r="I4148">
        <v>136.66470000000001</v>
      </c>
      <c r="J4148">
        <v>-236.68559999999999</v>
      </c>
      <c r="K4148">
        <v>1.1082430000000001</v>
      </c>
      <c r="L4148">
        <v>140.512</v>
      </c>
      <c r="M4148">
        <v>-0.99672070000000001</v>
      </c>
      <c r="N4148">
        <v>0</v>
      </c>
      <c r="O4148">
        <v>-8.0248829999999993E-2</v>
      </c>
      <c r="P4148">
        <v>-0.9853442</v>
      </c>
      <c r="Q4148">
        <v>0.1597317</v>
      </c>
      <c r="R4148">
        <v>-5.9853749999999997E-2</v>
      </c>
      <c r="S4148">
        <v>-3.03653</v>
      </c>
      <c r="T4148">
        <v>-0.15439639999999999</v>
      </c>
      <c r="U4148">
        <v>-0.53889469999999995</v>
      </c>
      <c r="V4148">
        <v>2.0041929999999999E-2</v>
      </c>
      <c r="W4148">
        <v>0.1699032</v>
      </c>
      <c r="X4148">
        <v>0.98525700000000005</v>
      </c>
      <c r="Y4148">
        <v>-9.5139340000000003E-2</v>
      </c>
      <c r="Z4148">
        <v>1.637524E-3</v>
      </c>
      <c r="AA4148">
        <v>0.99546259999999998</v>
      </c>
      <c r="AB4148">
        <v>29</v>
      </c>
      <c r="AC4148">
        <v>-21.518299999999901</v>
      </c>
      <c r="AD4148">
        <v>-1.108244382574</v>
      </c>
      <c r="AE4148">
        <v>-3.84729999999999</v>
      </c>
      <c r="AF4148">
        <v>-2.1025746357305999</v>
      </c>
      <c r="AG4148">
        <v>-1.108244382574</v>
      </c>
      <c r="AH4148">
        <v>21.7018699470852</v>
      </c>
      <c r="AI4148">
        <v>92.909769952374802</v>
      </c>
      <c r="AJ4148">
        <v>95.533801060430307</v>
      </c>
      <c r="AK4148">
        <v>21.831632667084801</v>
      </c>
      <c r="AL4148">
        <v>80.217809703968101</v>
      </c>
      <c r="AM4148">
        <v>88.834659734369197</v>
      </c>
      <c r="AN4148">
        <v>1.0000000661886801</v>
      </c>
    </row>
    <row r="4149" spans="1:40" x14ac:dyDescent="0.25">
      <c r="A4149" t="str">
        <f>"20190312173013097"</f>
        <v>20190312173013097</v>
      </c>
      <c r="B4149" t="str">
        <f>"1552383013091493"</f>
        <v>1552383013091493</v>
      </c>
      <c r="C4149" t="s">
        <v>40</v>
      </c>
      <c r="D4149">
        <v>3.5313210000000002</v>
      </c>
      <c r="E4149">
        <v>0.45606439999999998</v>
      </c>
      <c r="F4149" t="s">
        <v>41</v>
      </c>
      <c r="G4149">
        <v>-258.32870000000003</v>
      </c>
      <c r="H4149" s="1">
        <v>-1.3333429999999999E-6</v>
      </c>
      <c r="I4149">
        <v>136.6902</v>
      </c>
      <c r="J4149">
        <v>-236.9965</v>
      </c>
      <c r="K4149">
        <v>1.1082430000000001</v>
      </c>
      <c r="L4149">
        <v>140.48910000000001</v>
      </c>
      <c r="M4149">
        <v>-0.99687800000000004</v>
      </c>
      <c r="N4149">
        <v>0</v>
      </c>
      <c r="O4149">
        <v>-7.8270339999999994E-2</v>
      </c>
      <c r="P4149">
        <v>-0.98532450000000005</v>
      </c>
      <c r="Q4149">
        <v>0.16023689999999999</v>
      </c>
      <c r="R4149">
        <v>-5.8817880000000003E-2</v>
      </c>
      <c r="S4149">
        <v>-3.0372469999999998</v>
      </c>
      <c r="T4149">
        <v>-0.15552349999999901</v>
      </c>
      <c r="U4149">
        <v>-0.53631589999999996</v>
      </c>
      <c r="V4149">
        <v>1.9116890000000001E-2</v>
      </c>
      <c r="W4149">
        <v>0.17041300000000001</v>
      </c>
      <c r="X4149">
        <v>0.98518729999999999</v>
      </c>
      <c r="Y4149">
        <v>-9.625098E-2</v>
      </c>
      <c r="Z4149">
        <v>1.521124E-3</v>
      </c>
      <c r="AA4149">
        <v>0.99535589999999996</v>
      </c>
      <c r="AB4149">
        <v>29</v>
      </c>
      <c r="AC4149">
        <v>-21.3322</v>
      </c>
      <c r="AD4149">
        <v>-1.1082443333429901</v>
      </c>
      <c r="AE4149">
        <v>-3.7989000000000002</v>
      </c>
      <c r="AF4149">
        <v>-2.1119507415940202</v>
      </c>
      <c r="AG4149">
        <v>-1.1082443333429901</v>
      </c>
      <c r="AH4149">
        <v>21.507841747129699</v>
      </c>
      <c r="AI4149">
        <v>92.9356030122985</v>
      </c>
      <c r="AJ4149">
        <v>95.608148932952304</v>
      </c>
      <c r="AK4149">
        <v>21.6396810987797</v>
      </c>
      <c r="AL4149">
        <v>80.188167698233997</v>
      </c>
      <c r="AM4149">
        <v>88.888353845941694</v>
      </c>
      <c r="AN4149">
        <v>1.00000003106678</v>
      </c>
    </row>
    <row r="4150" spans="1:40" x14ac:dyDescent="0.25">
      <c r="A4150" t="str">
        <f>"20190312173013119"</f>
        <v>20190312173013119</v>
      </c>
      <c r="B4150" t="str">
        <f>"1552383013111989"</f>
        <v>1552383013111989</v>
      </c>
      <c r="C4150" t="s">
        <v>40</v>
      </c>
      <c r="D4150">
        <v>3.5347770000000001</v>
      </c>
      <c r="E4150">
        <v>0.45603260000000001</v>
      </c>
      <c r="F4150" t="s">
        <v>41</v>
      </c>
      <c r="G4150">
        <v>-258.62369999999999</v>
      </c>
      <c r="H4150" s="1">
        <v>-1.2310289999999999E-6</v>
      </c>
      <c r="I4150">
        <v>136.69739999999999</v>
      </c>
      <c r="J4150">
        <v>-237.29519999999999</v>
      </c>
      <c r="K4150">
        <v>1.1082369999999999</v>
      </c>
      <c r="L4150">
        <v>140.46770000000001</v>
      </c>
      <c r="M4150">
        <v>-0.9970253</v>
      </c>
      <c r="N4150">
        <v>0</v>
      </c>
      <c r="O4150">
        <v>-7.6372330000000002E-2</v>
      </c>
      <c r="P4150">
        <v>-0.9852976</v>
      </c>
      <c r="Q4150">
        <v>0.1608031</v>
      </c>
      <c r="R4150">
        <v>-5.7716339999999998E-2</v>
      </c>
      <c r="S4150">
        <v>-3.0382229999999999</v>
      </c>
      <c r="T4150">
        <v>-0.1556882</v>
      </c>
      <c r="U4150">
        <v>-0.53265379999999996</v>
      </c>
      <c r="V4150">
        <v>1.8337030000000001E-2</v>
      </c>
      <c r="W4150">
        <v>0.17098289999999999</v>
      </c>
      <c r="X4150">
        <v>0.98510339999999996</v>
      </c>
      <c r="Y4150">
        <v>-9.6924120000000002E-2</v>
      </c>
      <c r="Z4150">
        <v>1.4094240000000001E-3</v>
      </c>
      <c r="AA4150">
        <v>0.99529080000000003</v>
      </c>
      <c r="AB4150">
        <v>30</v>
      </c>
      <c r="AC4150">
        <v>-21.328499999999899</v>
      </c>
      <c r="AD4150">
        <v>-1.108238231029</v>
      </c>
      <c r="AE4150">
        <v>-3.7703000000000202</v>
      </c>
      <c r="AF4150">
        <v>-2.1247293907078402</v>
      </c>
      <c r="AG4150">
        <v>-1.108238231029</v>
      </c>
      <c r="AH4150">
        <v>21.497879624245801</v>
      </c>
      <c r="AI4150">
        <v>92.936761804955793</v>
      </c>
      <c r="AJ4150">
        <v>95.6444611040273</v>
      </c>
      <c r="AK4150">
        <v>21.631030842264899</v>
      </c>
      <c r="AL4150">
        <v>80.1550286881657</v>
      </c>
      <c r="AM4150">
        <v>88.933601176047404</v>
      </c>
      <c r="AN4150">
        <v>1.0000000537265901</v>
      </c>
    </row>
    <row r="4151" spans="1:40" x14ac:dyDescent="0.25">
      <c r="A4151" t="str">
        <f>"20190312173013142"</f>
        <v>20190312173013142</v>
      </c>
      <c r="B4151" t="str">
        <f>"1552383013131509"</f>
        <v>1552383013131509</v>
      </c>
      <c r="C4151" t="s">
        <v>40</v>
      </c>
      <c r="D4151">
        <v>3.4881519999999901</v>
      </c>
      <c r="E4151">
        <v>0.45602619999999999</v>
      </c>
      <c r="F4151" t="s">
        <v>41</v>
      </c>
      <c r="G4151">
        <v>-259.03980000000001</v>
      </c>
      <c r="H4151" s="1">
        <v>-1.094391E-6</v>
      </c>
      <c r="I4151">
        <v>136.6788</v>
      </c>
      <c r="J4151">
        <v>-237.59610000000001</v>
      </c>
      <c r="K4151">
        <v>1.1082369999999999</v>
      </c>
      <c r="L4151">
        <v>140.44659999999999</v>
      </c>
      <c r="M4151">
        <v>-0.9971698</v>
      </c>
      <c r="N4151">
        <v>0</v>
      </c>
      <c r="O4151">
        <v>-7.4461680000000002E-2</v>
      </c>
      <c r="P4151">
        <v>-0.98531539999999995</v>
      </c>
      <c r="Q4151">
        <v>0.16129579999999999</v>
      </c>
      <c r="R4151">
        <v>-5.6011239999999997E-2</v>
      </c>
      <c r="S4151">
        <v>-3.0390470000000001</v>
      </c>
      <c r="T4151">
        <v>-0.15488929999999901</v>
      </c>
      <c r="U4151">
        <v>-0.52952580000000005</v>
      </c>
      <c r="V4151">
        <v>1.815025E-2</v>
      </c>
      <c r="W4151">
        <v>0.17147660000000001</v>
      </c>
      <c r="X4151">
        <v>0.98502100000000004</v>
      </c>
      <c r="Y4151">
        <v>-9.7788079999999999E-2</v>
      </c>
      <c r="Z4151">
        <v>1.2840760000000001E-3</v>
      </c>
      <c r="AA4151">
        <v>0.99520640000000005</v>
      </c>
      <c r="AB4151">
        <v>30</v>
      </c>
      <c r="AC4151">
        <v>-21.4437</v>
      </c>
      <c r="AD4151">
        <v>-1.108238094391</v>
      </c>
      <c r="AE4151">
        <v>-3.76779999999999</v>
      </c>
      <c r="AF4151">
        <v>-2.1549355885996602</v>
      </c>
      <c r="AG4151">
        <v>-1.108238094391</v>
      </c>
      <c r="AH4151">
        <v>21.608747523266999</v>
      </c>
      <c r="AI4151">
        <v>92.921464579683203</v>
      </c>
      <c r="AJ4151">
        <v>95.695000888233494</v>
      </c>
      <c r="AK4151">
        <v>21.7441925255727</v>
      </c>
      <c r="AL4151">
        <v>80.126317330286597</v>
      </c>
      <c r="AM4151">
        <v>88.944372707771294</v>
      </c>
      <c r="AN4151">
        <v>1.0000000131818101</v>
      </c>
    </row>
    <row r="4152" spans="1:40" x14ac:dyDescent="0.25">
      <c r="A4152" t="str">
        <f>"20190312173013163"</f>
        <v>20190312173013163</v>
      </c>
      <c r="B4152" t="str">
        <f>"1552383013152007"</f>
        <v>1552383013152007</v>
      </c>
      <c r="C4152" t="s">
        <v>40</v>
      </c>
      <c r="D4152">
        <v>3.4355839999999902</v>
      </c>
      <c r="E4152">
        <v>0.45591769999999998</v>
      </c>
      <c r="F4152" t="s">
        <v>41</v>
      </c>
      <c r="G4152">
        <v>-259.44260000000003</v>
      </c>
      <c r="H4152" s="1">
        <v>-9.5762319999999898E-7</v>
      </c>
      <c r="I4152">
        <v>136.67769999999999</v>
      </c>
      <c r="J4152">
        <v>-237.87620000000001</v>
      </c>
      <c r="K4152">
        <v>1.108233</v>
      </c>
      <c r="L4152">
        <v>140.42760000000001</v>
      </c>
      <c r="M4152">
        <v>-0.99730090000000005</v>
      </c>
      <c r="N4152">
        <v>0</v>
      </c>
      <c r="O4152">
        <v>-7.2683579999999998E-2</v>
      </c>
      <c r="P4152">
        <v>-0.98536159999999995</v>
      </c>
      <c r="Q4152">
        <v>0.1615866</v>
      </c>
      <c r="R4152">
        <v>-5.4336780000000001E-2</v>
      </c>
      <c r="S4152">
        <v>-3.0401310000000001</v>
      </c>
      <c r="T4152">
        <v>-0.15422169999999999</v>
      </c>
      <c r="U4152">
        <v>-0.52447509999999997</v>
      </c>
      <c r="V4152">
        <v>1.8065939999999999E-2</v>
      </c>
      <c r="W4152">
        <v>0.1717688</v>
      </c>
      <c r="X4152">
        <v>0.98497159999999995</v>
      </c>
      <c r="Y4152">
        <v>-9.7895369999999995E-2</v>
      </c>
      <c r="Z4152">
        <v>1.186613E-3</v>
      </c>
      <c r="AA4152">
        <v>0.99519599999999997</v>
      </c>
      <c r="AB4152">
        <v>30</v>
      </c>
      <c r="AC4152">
        <v>-21.566400000000002</v>
      </c>
      <c r="AD4152">
        <v>-1.1082339576231901</v>
      </c>
      <c r="AE4152">
        <v>-3.7499000000000202</v>
      </c>
      <c r="AF4152">
        <v>-2.16681895275604</v>
      </c>
      <c r="AG4152">
        <v>-1.1082339576231901</v>
      </c>
      <c r="AH4152">
        <v>21.7262353255121</v>
      </c>
      <c r="AI4152">
        <v>92.905680451208994</v>
      </c>
      <c r="AJ4152">
        <v>95.695436633329905</v>
      </c>
      <c r="AK4152">
        <v>21.862126801809101</v>
      </c>
      <c r="AL4152">
        <v>80.1093229867204</v>
      </c>
      <c r="AM4152">
        <v>88.949222430196798</v>
      </c>
      <c r="AN4152">
        <v>0.99999997582404099</v>
      </c>
    </row>
    <row r="4153" spans="1:40" x14ac:dyDescent="0.25">
      <c r="A4153" t="str">
        <f>"20190312173013285"</f>
        <v>20190312173013285</v>
      </c>
      <c r="B4153" t="str">
        <f>"1552383013281813"</f>
        <v>1552383013281813</v>
      </c>
      <c r="C4153" t="s">
        <v>40</v>
      </c>
      <c r="D4153">
        <v>3.2923749999999998</v>
      </c>
      <c r="E4153">
        <v>0.45607350000000002</v>
      </c>
      <c r="F4153" t="s">
        <v>41</v>
      </c>
      <c r="G4153">
        <v>-259.81319999999999</v>
      </c>
      <c r="H4153" s="1">
        <v>-8.3173459999999995E-7</v>
      </c>
      <c r="I4153">
        <v>136.67679999999999</v>
      </c>
      <c r="J4153">
        <v>-239.49719999999999</v>
      </c>
      <c r="K4153">
        <v>1.1082299999999901</v>
      </c>
      <c r="L4153">
        <v>140.3272</v>
      </c>
      <c r="M4153">
        <v>-0.99799780000000005</v>
      </c>
      <c r="N4153">
        <v>0</v>
      </c>
      <c r="O4153">
        <v>-6.2388350000000002E-2</v>
      </c>
      <c r="P4153">
        <v>-0.98611380000000004</v>
      </c>
      <c r="Q4153">
        <v>0.16140370000000001</v>
      </c>
      <c r="R4153">
        <v>-3.9098510000000003E-2</v>
      </c>
      <c r="S4153">
        <v>-3.0411069999999998</v>
      </c>
      <c r="T4153">
        <v>-0.15363360000000001</v>
      </c>
      <c r="U4153">
        <v>-0.51995849999999999</v>
      </c>
      <c r="V4153">
        <v>2.31431E-2</v>
      </c>
      <c r="W4153">
        <v>0.1715739</v>
      </c>
      <c r="X4153">
        <v>0.98489939999999998</v>
      </c>
      <c r="Y4153">
        <v>-0.1066487</v>
      </c>
      <c r="Z4153">
        <v>4.4883789999999998E-4</v>
      </c>
      <c r="AA4153">
        <v>0.99429670000000003</v>
      </c>
      <c r="AB4153">
        <v>30</v>
      </c>
      <c r="AC4153">
        <v>-20.315999999999999</v>
      </c>
      <c r="AD4153">
        <v>-1.1082308317345999</v>
      </c>
      <c r="AE4153">
        <v>-3.6504000000000101</v>
      </c>
      <c r="AF4153">
        <v>-2.3689092280855499</v>
      </c>
      <c r="AG4153">
        <v>-1.1082308317345999</v>
      </c>
      <c r="AH4153">
        <v>20.4452384289464</v>
      </c>
      <c r="AI4153">
        <v>93.082092753931505</v>
      </c>
      <c r="AJ4153">
        <v>96.609165493458903</v>
      </c>
      <c r="AK4153">
        <v>20.6118335167879</v>
      </c>
      <c r="AL4153">
        <v>80.120658626765703</v>
      </c>
      <c r="AM4153">
        <v>88.653915330083095</v>
      </c>
      <c r="AN4153">
        <v>1.00000001717959</v>
      </c>
    </row>
    <row r="4154" spans="1:40" x14ac:dyDescent="0.25">
      <c r="A4154" t="str">
        <f>"20190312173013310"</f>
        <v>20190312173013310</v>
      </c>
      <c r="B4154" t="str">
        <f>"1552383013302309"</f>
        <v>1552383013302309</v>
      </c>
      <c r="C4154" t="s">
        <v>40</v>
      </c>
      <c r="D4154">
        <v>3.5534020000000002</v>
      </c>
      <c r="E4154">
        <v>0.53531739999999906</v>
      </c>
      <c r="F4154" t="s">
        <v>41</v>
      </c>
      <c r="G4154">
        <v>-261.02510000000001</v>
      </c>
      <c r="H4154" s="1">
        <v>-4.2998599999999999E-6</v>
      </c>
      <c r="I4154">
        <v>136.98159999999999</v>
      </c>
      <c r="J4154">
        <v>-239.8184</v>
      </c>
      <c r="K4154">
        <v>1.108225</v>
      </c>
      <c r="L4154">
        <v>140.30930000000001</v>
      </c>
      <c r="M4154">
        <v>-0.99812310000000004</v>
      </c>
      <c r="N4154">
        <v>0</v>
      </c>
      <c r="O4154">
        <v>-6.0348939999999997E-2</v>
      </c>
      <c r="P4154">
        <v>-0.98612420000000001</v>
      </c>
      <c r="Q4154">
        <v>0.16198689999999999</v>
      </c>
      <c r="R4154">
        <v>-3.6323319999999999E-2</v>
      </c>
      <c r="S4154">
        <v>-3.0491489999999999</v>
      </c>
      <c r="T4154">
        <v>-0.15696789999999999</v>
      </c>
      <c r="U4154">
        <v>-0.4738617</v>
      </c>
      <c r="V4154">
        <v>2.390132E-2</v>
      </c>
      <c r="W4154">
        <v>0.17215449999999999</v>
      </c>
      <c r="X4154">
        <v>0.98477999999999999</v>
      </c>
      <c r="Y4154">
        <v>-9.3605270000000004E-2</v>
      </c>
      <c r="Z4154">
        <v>6.8791489999999996E-4</v>
      </c>
      <c r="AA4154">
        <v>0.99560919999999997</v>
      </c>
      <c r="AB4154">
        <v>30</v>
      </c>
      <c r="AC4154">
        <v>-21.206700000000001</v>
      </c>
      <c r="AD4154">
        <v>-1.1082292998600001</v>
      </c>
      <c r="AE4154">
        <v>-3.3277000000000201</v>
      </c>
      <c r="AF4154">
        <v>-2.03633544037868</v>
      </c>
      <c r="AG4154">
        <v>-1.1082292998600001</v>
      </c>
      <c r="AH4154">
        <v>21.312073841250399</v>
      </c>
      <c r="AI4154">
        <v>92.9632319119453</v>
      </c>
      <c r="AJ4154">
        <v>95.4579532105532</v>
      </c>
      <c r="AK4154">
        <v>21.437801324336402</v>
      </c>
      <c r="AL4154">
        <v>80.086890541146602</v>
      </c>
      <c r="AM4154">
        <v>88.609663115460606</v>
      </c>
      <c r="AN4154">
        <v>1.00000004668399</v>
      </c>
    </row>
    <row r="4155" spans="1:40" x14ac:dyDescent="0.25">
      <c r="A4155" t="str">
        <f>"20190312173013332"</f>
        <v>20190312173013332</v>
      </c>
      <c r="B4155" t="str">
        <f>"1552383013321829"</f>
        <v>1552383013321829</v>
      </c>
      <c r="C4155" t="s">
        <v>40</v>
      </c>
      <c r="D4155">
        <v>3.5041790000000002</v>
      </c>
      <c r="E4155">
        <v>0.53687779999999996</v>
      </c>
      <c r="F4155" t="s">
        <v>51</v>
      </c>
      <c r="G4155">
        <v>-421.93290000000002</v>
      </c>
      <c r="H4155" s="1">
        <v>-1.4014760000000001E-5</v>
      </c>
      <c r="I4155">
        <v>150.3022</v>
      </c>
      <c r="J4155">
        <v>-240.1208</v>
      </c>
      <c r="K4155">
        <v>1.108222</v>
      </c>
      <c r="L4155">
        <v>140.29310000000001</v>
      </c>
      <c r="M4155">
        <v>-0.99823729999999999</v>
      </c>
      <c r="N4155">
        <v>0</v>
      </c>
      <c r="O4155">
        <v>-5.8429219999999997E-2</v>
      </c>
      <c r="P4155">
        <v>-0.98612619999999895</v>
      </c>
      <c r="Q4155">
        <v>0.16256779999999901</v>
      </c>
      <c r="R4155">
        <v>-3.356837E-2</v>
      </c>
      <c r="S4155">
        <v>-3.0514220000000001</v>
      </c>
      <c r="T4155">
        <v>-1.856911E-2</v>
      </c>
      <c r="U4155">
        <v>0.16743469999999999</v>
      </c>
      <c r="V4155">
        <v>2.4757769999999998E-2</v>
      </c>
      <c r="W4155">
        <v>0.1727322</v>
      </c>
      <c r="X4155">
        <v>0.98465760000000002</v>
      </c>
      <c r="Y4155">
        <v>0.1130365</v>
      </c>
      <c r="Z4155">
        <v>6.9897830000000005E-4</v>
      </c>
      <c r="AA4155">
        <v>0.99359059999999999</v>
      </c>
      <c r="AB4155">
        <v>30</v>
      </c>
      <c r="AC4155">
        <v>-181.81209999999999</v>
      </c>
      <c r="AD4155">
        <v>-1.1082360147600001</v>
      </c>
      <c r="AE4155">
        <v>10.009099999999901</v>
      </c>
      <c r="AF4155">
        <v>20.6149490803083</v>
      </c>
      <c r="AG4155">
        <v>-1.1082360147600001</v>
      </c>
      <c r="AH4155">
        <v>180.90989311253099</v>
      </c>
      <c r="AI4155">
        <v>90.348727115845605</v>
      </c>
      <c r="AJ4155">
        <v>83.499102582395906</v>
      </c>
      <c r="AK4155">
        <v>182.08402933435801</v>
      </c>
      <c r="AL4155">
        <v>80.053286652424305</v>
      </c>
      <c r="AM4155">
        <v>88.559685196900006</v>
      </c>
      <c r="AN4155">
        <v>0.99999997466498602</v>
      </c>
    </row>
    <row r="4156" spans="1:40" x14ac:dyDescent="0.25">
      <c r="A4156" t="str">
        <f>"20190312173013354"</f>
        <v>20190312173013354</v>
      </c>
      <c r="B4156" t="str">
        <f>"1552383013352085"</f>
        <v>1552383013352085</v>
      </c>
      <c r="C4156" t="s">
        <v>40</v>
      </c>
      <c r="D4156">
        <v>3.4876930000000002</v>
      </c>
      <c r="E4156">
        <v>0.53714659999999903</v>
      </c>
      <c r="F4156" t="s">
        <v>51</v>
      </c>
      <c r="G4156">
        <v>-295.24059999999997</v>
      </c>
      <c r="H4156" s="1">
        <v>-9.5349969999999995E-6</v>
      </c>
      <c r="I4156">
        <v>143.6747</v>
      </c>
      <c r="J4156">
        <v>-240.4151</v>
      </c>
      <c r="K4156">
        <v>1.108217</v>
      </c>
      <c r="L4156">
        <v>140.27780000000001</v>
      </c>
      <c r="M4156">
        <v>-0.99834500000000004</v>
      </c>
      <c r="N4156">
        <v>0</v>
      </c>
      <c r="O4156">
        <v>-5.6561229999999997E-2</v>
      </c>
      <c r="P4156">
        <v>-0.98615240000000004</v>
      </c>
      <c r="Q4156">
        <v>0.16289790000000001</v>
      </c>
      <c r="R4156">
        <v>-3.1110659999999998E-2</v>
      </c>
      <c r="S4156">
        <v>-3.0587309999999999</v>
      </c>
      <c r="T4156">
        <v>-6.1498400000000002E-2</v>
      </c>
      <c r="U4156">
        <v>0.1876526</v>
      </c>
      <c r="V4156">
        <v>2.536973E-2</v>
      </c>
      <c r="W4156">
        <v>0.17306050000000001</v>
      </c>
      <c r="X4156">
        <v>0.98458440000000003</v>
      </c>
      <c r="Y4156">
        <v>0.1175597</v>
      </c>
      <c r="Z4156">
        <v>2.3167190000000001E-3</v>
      </c>
      <c r="AA4156">
        <v>0.99306309999999998</v>
      </c>
      <c r="AB4156">
        <v>30</v>
      </c>
      <c r="AC4156">
        <v>-54.825499999999899</v>
      </c>
      <c r="AD4156">
        <v>-1.108226534997</v>
      </c>
      <c r="AE4156">
        <v>3.39689999999998</v>
      </c>
      <c r="AF4156">
        <v>6.4899851160453697</v>
      </c>
      <c r="AG4156">
        <v>-1.108226534997</v>
      </c>
      <c r="AH4156">
        <v>54.523386173646898</v>
      </c>
      <c r="AI4156">
        <v>91.156256938371797</v>
      </c>
      <c r="AJ4156">
        <v>83.211951954232902</v>
      </c>
      <c r="AK4156">
        <v>54.919465699330999</v>
      </c>
      <c r="AL4156">
        <v>80.034189092760997</v>
      </c>
      <c r="AM4156">
        <v>88.523989522444296</v>
      </c>
      <c r="AN4156">
        <v>1.00000000029194</v>
      </c>
    </row>
    <row r="4157" spans="1:40" x14ac:dyDescent="0.25">
      <c r="A4157" t="str">
        <f>"20190312173013375"</f>
        <v>20190312173013375</v>
      </c>
      <c r="B4157" t="str">
        <f>"1552383013371606"</f>
        <v>1552383013371606</v>
      </c>
      <c r="C4157" t="s">
        <v>40</v>
      </c>
      <c r="D4157">
        <v>3.5501170000000002</v>
      </c>
      <c r="E4157">
        <v>0.53643909999999995</v>
      </c>
      <c r="F4157" t="s">
        <v>41</v>
      </c>
      <c r="G4157">
        <v>-276.899</v>
      </c>
      <c r="H4157" s="1">
        <v>-2.113172E-6</v>
      </c>
      <c r="I4157">
        <v>142.6249</v>
      </c>
      <c r="J4157">
        <v>-240.7028</v>
      </c>
      <c r="K4157">
        <v>1.108209</v>
      </c>
      <c r="L4157">
        <v>140.26349999999999</v>
      </c>
      <c r="M4157">
        <v>-0.99844670000000002</v>
      </c>
      <c r="N4157">
        <v>0</v>
      </c>
      <c r="O4157">
        <v>-5.4735329999999999E-2</v>
      </c>
      <c r="P4157">
        <v>-0.98613360000000005</v>
      </c>
      <c r="Q4157">
        <v>0.16342609999999999</v>
      </c>
      <c r="R4157">
        <v>-2.885482E-2</v>
      </c>
      <c r="S4157">
        <v>-3.063736</v>
      </c>
      <c r="T4157">
        <v>-9.3062759999999994E-2</v>
      </c>
      <c r="U4157">
        <v>0.19709779999999999</v>
      </c>
      <c r="V4157">
        <v>2.582046E-2</v>
      </c>
      <c r="W4157">
        <v>0.1735874</v>
      </c>
      <c r="X4157">
        <v>0.98447989999999996</v>
      </c>
      <c r="Y4157">
        <v>0.1186492</v>
      </c>
      <c r="Z4157">
        <v>3.4604620000000001E-3</v>
      </c>
      <c r="AA4157">
        <v>0.99293019999999999</v>
      </c>
      <c r="AB4157">
        <v>30</v>
      </c>
      <c r="AC4157">
        <v>-36.196199999999997</v>
      </c>
      <c r="AD4157">
        <v>-1.1082111131720001</v>
      </c>
      <c r="AE4157">
        <v>2.3614000000000002</v>
      </c>
      <c r="AF4157">
        <v>4.3351313374569704</v>
      </c>
      <c r="AG4157">
        <v>-1.1082111131720001</v>
      </c>
      <c r="AH4157">
        <v>35.979089923698503</v>
      </c>
      <c r="AI4157">
        <v>91.751579189503403</v>
      </c>
      <c r="AJ4157">
        <v>83.129534860866499</v>
      </c>
      <c r="AK4157">
        <v>36.256260250085703</v>
      </c>
      <c r="AL4157">
        <v>80.003535777976694</v>
      </c>
      <c r="AM4157">
        <v>88.497618585741193</v>
      </c>
      <c r="AN4157">
        <v>0.99999997754868997</v>
      </c>
    </row>
    <row r="4158" spans="1:40" x14ac:dyDescent="0.25">
      <c r="A4158" t="str">
        <f>"20190312173013396"</f>
        <v>20190312173013396</v>
      </c>
      <c r="B4158" t="str">
        <f>"1552383013392101"</f>
        <v>1552383013392101</v>
      </c>
      <c r="C4158" t="s">
        <v>40</v>
      </c>
      <c r="D4158">
        <v>3.544019</v>
      </c>
      <c r="E4158">
        <v>0.53625330000000004</v>
      </c>
      <c r="F4158" t="s">
        <v>41</v>
      </c>
      <c r="G4158">
        <v>-272.8295</v>
      </c>
      <c r="H4158" s="1">
        <v>-3.7845130000000001E-6</v>
      </c>
      <c r="I4158">
        <v>142.3449</v>
      </c>
      <c r="J4158">
        <v>-240.9888</v>
      </c>
      <c r="K4158">
        <v>1.108203</v>
      </c>
      <c r="L4158">
        <v>140.24969999999999</v>
      </c>
      <c r="M4158">
        <v>-0.9985446</v>
      </c>
      <c r="N4158">
        <v>0</v>
      </c>
      <c r="O4158">
        <v>-5.2920509999999997E-2</v>
      </c>
      <c r="P4158">
        <v>-0.98621879999999995</v>
      </c>
      <c r="Q4158">
        <v>0.16327700000000001</v>
      </c>
      <c r="R4158">
        <v>-2.6712469999999999E-2</v>
      </c>
      <c r="S4158">
        <v>-3.0655359999999998</v>
      </c>
      <c r="T4158">
        <v>-0.1057462</v>
      </c>
      <c r="U4158">
        <v>0.19862369999999999</v>
      </c>
      <c r="V4158">
        <v>2.6172480000000001E-2</v>
      </c>
      <c r="W4158">
        <v>0.1734385</v>
      </c>
      <c r="X4158">
        <v>0.98449690000000001</v>
      </c>
      <c r="Y4158">
        <v>0.1172781</v>
      </c>
      <c r="Z4158">
        <v>3.8433339999999999E-3</v>
      </c>
      <c r="AA4158">
        <v>0.99309170000000002</v>
      </c>
      <c r="AB4158">
        <v>30</v>
      </c>
      <c r="AC4158">
        <v>-31.840699999999998</v>
      </c>
      <c r="AD4158">
        <v>-1.1082067845129999</v>
      </c>
      <c r="AE4158">
        <v>2.0952000000000002</v>
      </c>
      <c r="AF4158">
        <v>3.77283031921543</v>
      </c>
      <c r="AG4158">
        <v>-1.1082067845129999</v>
      </c>
      <c r="AH4158">
        <v>31.647021709906099</v>
      </c>
      <c r="AI4158">
        <v>91.991458160759194</v>
      </c>
      <c r="AJ4158">
        <v>83.201514735426699</v>
      </c>
      <c r="AK4158">
        <v>31.8903802737142</v>
      </c>
      <c r="AL4158">
        <v>80.012199039457201</v>
      </c>
      <c r="AM4158">
        <v>88.477171921337899</v>
      </c>
      <c r="AN4158">
        <v>1.0000000290505999</v>
      </c>
    </row>
    <row r="4159" spans="1:40" x14ac:dyDescent="0.25">
      <c r="A4159" t="str">
        <f>"20190312173013420"</f>
        <v>20190312173013420</v>
      </c>
      <c r="B4159" t="str">
        <f>"1552383013412170"</f>
        <v>1552383013412170</v>
      </c>
      <c r="C4159" t="s">
        <v>40</v>
      </c>
      <c r="D4159">
        <v>3.5185529999999998</v>
      </c>
      <c r="E4159">
        <v>0.53598469999999998</v>
      </c>
      <c r="F4159" t="s">
        <v>41</v>
      </c>
      <c r="G4159">
        <v>-270.60660000000001</v>
      </c>
      <c r="H4159" s="1">
        <v>-4.5316979999999997E-6</v>
      </c>
      <c r="I4159">
        <v>142.22120000000001</v>
      </c>
      <c r="J4159">
        <v>-241.30539999999999</v>
      </c>
      <c r="K4159">
        <v>1.108195</v>
      </c>
      <c r="L4159">
        <v>140.23500000000001</v>
      </c>
      <c r="M4159">
        <v>-0.99864889999999995</v>
      </c>
      <c r="N4159">
        <v>0</v>
      </c>
      <c r="O4159">
        <v>-5.0912199999999998E-2</v>
      </c>
      <c r="P4159">
        <v>-0.98627549999999997</v>
      </c>
      <c r="Q4159">
        <v>0.16331660000000001</v>
      </c>
      <c r="R4159">
        <v>-2.4259780000000002E-2</v>
      </c>
      <c r="S4159">
        <v>-3.0664669999999998</v>
      </c>
      <c r="T4159">
        <v>-0.1147382</v>
      </c>
      <c r="U4159">
        <v>0.20413210000000001</v>
      </c>
      <c r="V4159">
        <v>2.6642780000000001E-2</v>
      </c>
      <c r="W4159">
        <v>0.17347279999999901</v>
      </c>
      <c r="X4159">
        <v>0.98447819999999997</v>
      </c>
      <c r="Y4159">
        <v>0.1170214</v>
      </c>
      <c r="Z4159">
        <v>4.0886239999999999E-3</v>
      </c>
      <c r="AA4159">
        <v>0.99312100000000003</v>
      </c>
      <c r="AB4159">
        <v>30</v>
      </c>
      <c r="AC4159">
        <v>-29.301200000000001</v>
      </c>
      <c r="AD4159">
        <v>-1.108199531698</v>
      </c>
      <c r="AE4159">
        <v>1.98619999999999</v>
      </c>
      <c r="AF4159">
        <v>3.4705515842421</v>
      </c>
      <c r="AG4159">
        <v>-1.108199531698</v>
      </c>
      <c r="AH4159">
        <v>29.120604514188202</v>
      </c>
      <c r="AI4159">
        <v>92.164068792572394</v>
      </c>
      <c r="AJ4159">
        <v>83.203628264044298</v>
      </c>
      <c r="AK4159">
        <v>29.347613902542399</v>
      </c>
      <c r="AL4159">
        <v>80.010203133380401</v>
      </c>
      <c r="AM4159">
        <v>88.449791636524196</v>
      </c>
      <c r="AN4159">
        <v>0.99999998817060398</v>
      </c>
    </row>
    <row r="4160" spans="1:40" x14ac:dyDescent="0.25">
      <c r="A4160" t="str">
        <f>"20190312173013442"</f>
        <v>20190312173013442</v>
      </c>
      <c r="B4160" t="str">
        <f>"1552383013431694"</f>
        <v>1552383013431694</v>
      </c>
      <c r="C4160" t="s">
        <v>40</v>
      </c>
      <c r="D4160">
        <v>3.4770189999999999</v>
      </c>
      <c r="E4160">
        <v>0.53561459999999905</v>
      </c>
      <c r="F4160" t="s">
        <v>41</v>
      </c>
      <c r="G4160">
        <v>-268.96409999999997</v>
      </c>
      <c r="H4160" s="1">
        <v>-1.0942799999999999E-6</v>
      </c>
      <c r="I4160">
        <v>142.125</v>
      </c>
      <c r="J4160">
        <v>-241.60169999999999</v>
      </c>
      <c r="K4160">
        <v>1.108195</v>
      </c>
      <c r="L4160">
        <v>140.2218</v>
      </c>
      <c r="M4160">
        <v>-0.99874320000000005</v>
      </c>
      <c r="N4160">
        <v>0</v>
      </c>
      <c r="O4160">
        <v>-4.9032270000000003E-2</v>
      </c>
      <c r="P4160">
        <v>-0.9862997</v>
      </c>
      <c r="Q4160">
        <v>0.16347139999999999</v>
      </c>
      <c r="R4160">
        <v>-2.2145740000000001E-2</v>
      </c>
      <c r="S4160">
        <v>-3.0672609999999998</v>
      </c>
      <c r="T4160">
        <v>-0.1228955</v>
      </c>
      <c r="U4160">
        <v>0.20960999999999999</v>
      </c>
      <c r="V4160">
        <v>2.690062E-2</v>
      </c>
      <c r="W4160">
        <v>0.17361979999999999</v>
      </c>
      <c r="X4160">
        <v>0.98444529999999997</v>
      </c>
      <c r="Y4160">
        <v>0.116885</v>
      </c>
      <c r="Z4160">
        <v>4.2997779999999998E-3</v>
      </c>
      <c r="AA4160">
        <v>0.99313620000000002</v>
      </c>
      <c r="AB4160">
        <v>30</v>
      </c>
      <c r="AC4160">
        <v>-27.362399999999901</v>
      </c>
      <c r="AD4160">
        <v>-1.10819609428</v>
      </c>
      <c r="AE4160">
        <v>1.90319999999999</v>
      </c>
      <c r="AF4160">
        <v>3.2373388580787599</v>
      </c>
      <c r="AG4160">
        <v>-1.10819609428</v>
      </c>
      <c r="AH4160">
        <v>27.1917734832248</v>
      </c>
      <c r="AI4160">
        <v>92.317439987885805</v>
      </c>
      <c r="AJ4160">
        <v>83.210562177151303</v>
      </c>
      <c r="AK4160">
        <v>27.4062220422373</v>
      </c>
      <c r="AL4160">
        <v>80.001651135166</v>
      </c>
      <c r="AM4160">
        <v>88.434744377688403</v>
      </c>
      <c r="AN4160">
        <v>1.00000001350025</v>
      </c>
    </row>
    <row r="4161" spans="1:40" x14ac:dyDescent="0.25">
      <c r="A4161" t="str">
        <f>"20190312173013465"</f>
        <v>20190312173013465</v>
      </c>
      <c r="B4161" t="str">
        <f>"1552383013461946"</f>
        <v>1552383013461946</v>
      </c>
      <c r="C4161" t="s">
        <v>40</v>
      </c>
      <c r="D4161">
        <v>3.4820410000000002</v>
      </c>
      <c r="E4161">
        <v>0.53517789999999998</v>
      </c>
      <c r="F4161" t="s">
        <v>41</v>
      </c>
      <c r="G4161">
        <v>-267.73689999999999</v>
      </c>
      <c r="H4161" s="1">
        <v>-1.598108E-6</v>
      </c>
      <c r="I4161">
        <v>142.0401</v>
      </c>
      <c r="J4161">
        <v>-241.90549999999999</v>
      </c>
      <c r="K4161">
        <v>1.1081859999999999</v>
      </c>
      <c r="L4161">
        <v>140.209</v>
      </c>
      <c r="M4161">
        <v>-0.9988361</v>
      </c>
      <c r="N4161">
        <v>0</v>
      </c>
      <c r="O4161">
        <v>-4.7101650000000002E-2</v>
      </c>
      <c r="P4161">
        <v>-0.98629339999999999</v>
      </c>
      <c r="Q4161">
        <v>0.163815299999999</v>
      </c>
      <c r="R4161">
        <v>-1.9745410000000001E-2</v>
      </c>
      <c r="S4161">
        <v>-3.0680239999999999</v>
      </c>
      <c r="T4161">
        <v>-0.1300914</v>
      </c>
      <c r="U4161">
        <v>0.21345520000000001</v>
      </c>
      <c r="V4161">
        <v>2.7394459999999999E-2</v>
      </c>
      <c r="W4161">
        <v>0.17394899999999999</v>
      </c>
      <c r="X4161">
        <v>0.98437359999999896</v>
      </c>
      <c r="Y4161">
        <v>0.11617379999999999</v>
      </c>
      <c r="Z4161">
        <v>4.4532340000000004E-3</v>
      </c>
      <c r="AA4161">
        <v>0.99321890000000002</v>
      </c>
      <c r="AB4161">
        <v>30</v>
      </c>
      <c r="AC4161">
        <v>-25.831399999999999</v>
      </c>
      <c r="AD4161">
        <v>-1.108187598108</v>
      </c>
      <c r="AE4161">
        <v>1.83109999999999</v>
      </c>
      <c r="AF4161">
        <v>3.0402670723286098</v>
      </c>
      <c r="AG4161">
        <v>-1.108187598108</v>
      </c>
      <c r="AH4161">
        <v>25.669466301761499</v>
      </c>
      <c r="AI4161">
        <v>92.454868774825997</v>
      </c>
      <c r="AJ4161">
        <v>83.245409341237007</v>
      </c>
      <c r="AK4161">
        <v>25.872626535412898</v>
      </c>
      <c r="AL4161">
        <v>79.982498270379097</v>
      </c>
      <c r="AM4161">
        <v>88.405908155211307</v>
      </c>
      <c r="AN4161">
        <v>1.00000004770832</v>
      </c>
    </row>
    <row r="4162" spans="1:40" x14ac:dyDescent="0.25">
      <c r="A4162" t="str">
        <f>"20190312173013486"</f>
        <v>20190312173013486</v>
      </c>
      <c r="B4162" t="str">
        <f>"1552383013482443"</f>
        <v>1552383013482443</v>
      </c>
      <c r="C4162" t="s">
        <v>40</v>
      </c>
      <c r="D4162">
        <v>3.4923259999999998</v>
      </c>
      <c r="E4162">
        <v>0.53485749999999999</v>
      </c>
      <c r="F4162" t="s">
        <v>41</v>
      </c>
      <c r="G4162">
        <v>-266.9828</v>
      </c>
      <c r="H4162" s="1">
        <v>-1.908298E-6</v>
      </c>
      <c r="I4162">
        <v>141.99</v>
      </c>
      <c r="J4162">
        <v>-242.1891</v>
      </c>
      <c r="K4162">
        <v>1.108179</v>
      </c>
      <c r="L4162">
        <v>140.19749999999999</v>
      </c>
      <c r="M4162">
        <v>-0.99891980000000002</v>
      </c>
      <c r="N4162">
        <v>0</v>
      </c>
      <c r="O4162">
        <v>-4.5293319999999998E-2</v>
      </c>
      <c r="P4162">
        <v>-0.98634829999999996</v>
      </c>
      <c r="Q4162">
        <v>0.16379279999999999</v>
      </c>
      <c r="R4162">
        <v>-1.6999299999999998E-2</v>
      </c>
      <c r="S4162">
        <v>-3.0685880000000001</v>
      </c>
      <c r="T4162">
        <v>-0.13560410000000001</v>
      </c>
      <c r="U4162">
        <v>0.2179413</v>
      </c>
      <c r="V4162">
        <v>2.8357440000000001E-2</v>
      </c>
      <c r="W4162">
        <v>0.17390949999999999</v>
      </c>
      <c r="X4162">
        <v>0.98435320000000004</v>
      </c>
      <c r="Y4162">
        <v>0.1157975</v>
      </c>
      <c r="Z4162">
        <v>4.552614E-3</v>
      </c>
      <c r="AA4162">
        <v>0.99326239999999999</v>
      </c>
      <c r="AB4162">
        <v>30</v>
      </c>
      <c r="AC4162">
        <v>-24.793700000000001</v>
      </c>
      <c r="AD4162">
        <v>-1.1081809082979901</v>
      </c>
      <c r="AE4162">
        <v>1.79250000000001</v>
      </c>
      <c r="AF4162">
        <v>2.9079306285343698</v>
      </c>
      <c r="AG4162">
        <v>-1.1081809082979901</v>
      </c>
      <c r="AH4162">
        <v>24.638095055903001</v>
      </c>
      <c r="AI4162">
        <v>92.557605580818802</v>
      </c>
      <c r="AJ4162">
        <v>83.268760687870397</v>
      </c>
      <c r="AK4162">
        <v>24.8338449187716</v>
      </c>
      <c r="AL4162">
        <v>79.9847953974934</v>
      </c>
      <c r="AM4162">
        <v>88.349868336219998</v>
      </c>
      <c r="AN4162">
        <v>0.99999994047191998</v>
      </c>
    </row>
    <row r="4163" spans="1:40" x14ac:dyDescent="0.25">
      <c r="A4163" t="str">
        <f>"20190312173013509"</f>
        <v>20190312173013509</v>
      </c>
      <c r="B4163" t="str">
        <f>"1552383013501963"</f>
        <v>1552383013501963</v>
      </c>
      <c r="C4163" t="s">
        <v>40</v>
      </c>
      <c r="D4163">
        <v>3.479298</v>
      </c>
      <c r="E4163">
        <v>0.53458070000000002</v>
      </c>
      <c r="F4163" t="s">
        <v>41</v>
      </c>
      <c r="G4163">
        <v>-266.64760000000001</v>
      </c>
      <c r="H4163" s="1">
        <v>-2.0505090000000001E-6</v>
      </c>
      <c r="I4163">
        <v>141.98410000000001</v>
      </c>
      <c r="J4163">
        <v>-242.50729999999999</v>
      </c>
      <c r="K4163">
        <v>1.1081669999999999</v>
      </c>
      <c r="L4163">
        <v>140.18520000000001</v>
      </c>
      <c r="M4163">
        <v>-0.99901039999999997</v>
      </c>
      <c r="N4163">
        <v>0</v>
      </c>
      <c r="O4163">
        <v>-4.3254279999999999E-2</v>
      </c>
      <c r="P4163">
        <v>-0.98635879999999998</v>
      </c>
      <c r="Q4163">
        <v>0.16406770000000001</v>
      </c>
      <c r="R4163">
        <v>-1.3351750000000001E-2</v>
      </c>
      <c r="S4163">
        <v>-3.0684809999999998</v>
      </c>
      <c r="T4163">
        <v>-0.1390285</v>
      </c>
      <c r="U4163">
        <v>0.22415160000000001</v>
      </c>
      <c r="V4163">
        <v>2.999448E-2</v>
      </c>
      <c r="W4163">
        <v>0.17416219999999999</v>
      </c>
      <c r="X4163">
        <v>0.98426009999999997</v>
      </c>
      <c r="Y4163">
        <v>0.1157666</v>
      </c>
      <c r="Z4163">
        <v>4.5743859999999997E-3</v>
      </c>
      <c r="AA4163">
        <v>0.99326590000000003</v>
      </c>
      <c r="AB4163">
        <v>30</v>
      </c>
      <c r="AC4163">
        <v>-24.1403</v>
      </c>
      <c r="AD4163">
        <v>-1.1081690505089901</v>
      </c>
      <c r="AE4163">
        <v>1.7988999999999999</v>
      </c>
      <c r="AF4163">
        <v>2.8355012753837601</v>
      </c>
      <c r="AG4163">
        <v>-1.1081690505089901</v>
      </c>
      <c r="AH4163">
        <v>23.989616080338099</v>
      </c>
      <c r="AI4163">
        <v>92.6265659482318</v>
      </c>
      <c r="AJ4163">
        <v>83.259084562607796</v>
      </c>
      <c r="AK4163">
        <v>24.182013683918601</v>
      </c>
      <c r="AL4163">
        <v>79.970093409799304</v>
      </c>
      <c r="AM4163">
        <v>88.254500597682394</v>
      </c>
      <c r="AN4163">
        <v>1.0000000425956499</v>
      </c>
    </row>
    <row r="4164" spans="1:40" x14ac:dyDescent="0.25">
      <c r="A4164" t="str">
        <f>"20190312173013533"</f>
        <v>20190312173013533</v>
      </c>
      <c r="B4164" t="str">
        <f>"1552383013522345"</f>
        <v>1552383013522345</v>
      </c>
      <c r="C4164" t="s">
        <v>40</v>
      </c>
      <c r="D4164">
        <v>3.44909</v>
      </c>
      <c r="E4164">
        <v>0.53432669999999904</v>
      </c>
      <c r="F4164" t="s">
        <v>41</v>
      </c>
      <c r="G4164">
        <v>-266.61250000000001</v>
      </c>
      <c r="H4164" s="1">
        <v>-2.0742E-6</v>
      </c>
      <c r="I4164">
        <v>142.0164</v>
      </c>
      <c r="J4164">
        <v>-242.82599999999999</v>
      </c>
      <c r="K4164">
        <v>1.1081479999999999</v>
      </c>
      <c r="L4164">
        <v>140.17359999999999</v>
      </c>
      <c r="M4164">
        <v>-0.99909780000000004</v>
      </c>
      <c r="N4164">
        <v>0</v>
      </c>
      <c r="O4164">
        <v>-4.1191470000000001E-2</v>
      </c>
      <c r="P4164">
        <v>-0.98638159999999997</v>
      </c>
      <c r="Q4164">
        <v>0.16418869999999999</v>
      </c>
      <c r="R4164">
        <v>-9.6775779999999992E-3</v>
      </c>
      <c r="S4164">
        <v>-3.0680999999999998</v>
      </c>
      <c r="T4164">
        <v>-0.1410476</v>
      </c>
      <c r="U4164">
        <v>0.23307800000000001</v>
      </c>
      <c r="V4164">
        <v>3.1637650000000003E-2</v>
      </c>
      <c r="W4164">
        <v>0.1742551</v>
      </c>
      <c r="X4164">
        <v>0.98419210000000001</v>
      </c>
      <c r="Y4164">
        <v>0.11659509999999999</v>
      </c>
      <c r="Z4164">
        <v>4.565197E-3</v>
      </c>
      <c r="AA4164">
        <v>0.99316899999999997</v>
      </c>
      <c r="AB4164">
        <v>30</v>
      </c>
      <c r="AC4164">
        <v>-23.7865</v>
      </c>
      <c r="AD4164">
        <v>-1.1081500741999999</v>
      </c>
      <c r="AE4164">
        <v>1.84280000000001</v>
      </c>
      <c r="AF4164">
        <v>2.81501583918218</v>
      </c>
      <c r="AG4164">
        <v>-1.1081500741999999</v>
      </c>
      <c r="AH4164">
        <v>23.639397452121301</v>
      </c>
      <c r="AI4164">
        <v>92.665101937776697</v>
      </c>
      <c r="AJ4164">
        <v>83.209109098863706</v>
      </c>
      <c r="AK4164">
        <v>23.8321929889206</v>
      </c>
      <c r="AL4164">
        <v>79.964686887823902</v>
      </c>
      <c r="AM4164">
        <v>88.158814912313105</v>
      </c>
      <c r="AN4164">
        <v>0.99999993523796904</v>
      </c>
    </row>
    <row r="4165" spans="1:40" x14ac:dyDescent="0.25">
      <c r="A4165" t="str">
        <f>"20190312173013553"</f>
        <v>20190312173013553</v>
      </c>
      <c r="B4165" t="str">
        <f>"1552383013541865"</f>
        <v>1552383013541865</v>
      </c>
      <c r="C4165" t="s">
        <v>40</v>
      </c>
      <c r="D4165">
        <v>3.5082939999999998</v>
      </c>
      <c r="E4165">
        <v>0.53379319999999997</v>
      </c>
      <c r="F4165" t="s">
        <v>41</v>
      </c>
      <c r="G4165">
        <v>-266.53640000000001</v>
      </c>
      <c r="H4165" s="1">
        <v>-2.1157599999999999E-6</v>
      </c>
      <c r="I4165">
        <v>142.04990000000001</v>
      </c>
      <c r="J4165">
        <v>-243.1078</v>
      </c>
      <c r="K4165">
        <v>1.1081219999999901</v>
      </c>
      <c r="L4165">
        <v>140.16390000000001</v>
      </c>
      <c r="M4165">
        <v>-0.99917259999999997</v>
      </c>
      <c r="N4165">
        <v>0</v>
      </c>
      <c r="O4165">
        <v>-3.9340559999999997E-2</v>
      </c>
      <c r="P4165">
        <v>-0.98639540000000003</v>
      </c>
      <c r="Q4165">
        <v>0.16427949999999999</v>
      </c>
      <c r="R4165">
        <v>-6.0323809999999999E-3</v>
      </c>
      <c r="S4165">
        <v>-3.067688</v>
      </c>
      <c r="T4165">
        <v>-0.14337469999999999</v>
      </c>
      <c r="U4165">
        <v>0.24276729999999999</v>
      </c>
      <c r="V4165">
        <v>3.3463439999999997E-2</v>
      </c>
      <c r="W4165">
        <v>0.1743171</v>
      </c>
      <c r="X4165">
        <v>0.98412080000000002</v>
      </c>
      <c r="Y4165">
        <v>0.1178785</v>
      </c>
      <c r="Z4165">
        <v>4.5841060000000001E-3</v>
      </c>
      <c r="AA4165">
        <v>0.99301740000000005</v>
      </c>
      <c r="AB4165">
        <v>30</v>
      </c>
      <c r="AC4165">
        <v>-23.428599999999999</v>
      </c>
      <c r="AD4165">
        <v>-1.1081241157599999</v>
      </c>
      <c r="AE4165">
        <v>1.8859999999999899</v>
      </c>
      <c r="AF4165">
        <v>2.8000594519903199</v>
      </c>
      <c r="AG4165">
        <v>-1.1081241157599999</v>
      </c>
      <c r="AH4165">
        <v>23.284506580520901</v>
      </c>
      <c r="AI4165">
        <v>92.705225170914403</v>
      </c>
      <c r="AJ4165">
        <v>83.142869813898997</v>
      </c>
      <c r="AK4165">
        <v>23.478426665535601</v>
      </c>
      <c r="AL4165">
        <v>79.961080003718905</v>
      </c>
      <c r="AM4165">
        <v>88.052499814989901</v>
      </c>
      <c r="AN4165">
        <v>1.0000000010808401</v>
      </c>
    </row>
    <row r="4166" spans="1:40" x14ac:dyDescent="0.25">
      <c r="A4166" t="str">
        <f>"20190312173013576"</f>
        <v>20190312173013576</v>
      </c>
      <c r="B4166" t="str">
        <f>"1552383013572122"</f>
        <v>1552383013572122</v>
      </c>
      <c r="C4166" t="s">
        <v>40</v>
      </c>
      <c r="D4166">
        <v>3.5060750000000001</v>
      </c>
      <c r="E4166">
        <v>0.53304799999999997</v>
      </c>
      <c r="F4166" t="s">
        <v>41</v>
      </c>
      <c r="G4166">
        <v>-267.04180000000002</v>
      </c>
      <c r="H4166" s="1">
        <v>-1.9166180000000001E-6</v>
      </c>
      <c r="I4166">
        <v>142.1164</v>
      </c>
      <c r="J4166">
        <v>-243.40629999999999</v>
      </c>
      <c r="K4166">
        <v>1.1080840000000001</v>
      </c>
      <c r="L4166">
        <v>140.1542</v>
      </c>
      <c r="M4166">
        <v>-0.99924959999999996</v>
      </c>
      <c r="N4166">
        <v>0</v>
      </c>
      <c r="O4166">
        <v>-3.7343420000000002E-2</v>
      </c>
      <c r="P4166">
        <v>-0.9862706</v>
      </c>
      <c r="Q4166">
        <v>0.1651329</v>
      </c>
      <c r="R4166">
        <v>-1.3514379999999999E-3</v>
      </c>
      <c r="S4166">
        <v>-3.0665589999999998</v>
      </c>
      <c r="T4166">
        <v>-0.14197950000000001</v>
      </c>
      <c r="U4166">
        <v>0.2501678</v>
      </c>
      <c r="V4166">
        <v>3.6182069999999997E-2</v>
      </c>
      <c r="W4166">
        <v>0.1751279</v>
      </c>
      <c r="X4166">
        <v>0.98388059999999999</v>
      </c>
      <c r="Y4166">
        <v>0.1183085</v>
      </c>
      <c r="Z4166">
        <v>4.4584339999999998E-3</v>
      </c>
      <c r="AA4166">
        <v>0.99296689999999999</v>
      </c>
      <c r="AB4166">
        <v>30</v>
      </c>
      <c r="AC4166">
        <v>-23.6355</v>
      </c>
      <c r="AD4166">
        <v>-1.1080859166179999</v>
      </c>
      <c r="AE4166">
        <v>1.96219999999999</v>
      </c>
      <c r="AF4166">
        <v>2.8373146793452499</v>
      </c>
      <c r="AG4166">
        <v>-1.1080859166179999</v>
      </c>
      <c r="AH4166">
        <v>23.494447072073399</v>
      </c>
      <c r="AI4166">
        <v>92.6808325634303</v>
      </c>
      <c r="AJ4166">
        <v>83.114002747480598</v>
      </c>
      <c r="AK4166">
        <v>23.691079591497999</v>
      </c>
      <c r="AL4166">
        <v>79.913898608165397</v>
      </c>
      <c r="AM4166">
        <v>87.893904885448904</v>
      </c>
      <c r="AN4166">
        <v>0.99999997930212703</v>
      </c>
    </row>
    <row r="4167" spans="1:40" x14ac:dyDescent="0.25">
      <c r="A4167" t="str">
        <f>"20190312173013610"</f>
        <v>20190312173013610</v>
      </c>
      <c r="B4167" t="str">
        <f>"1552383013602377"</f>
        <v>1552383013602377</v>
      </c>
      <c r="C4167" t="s">
        <v>40</v>
      </c>
      <c r="D4167">
        <v>3.469481</v>
      </c>
      <c r="E4167">
        <v>0.52518909999999996</v>
      </c>
      <c r="F4167" t="s">
        <v>41</v>
      </c>
      <c r="G4167">
        <v>-267.66759999999999</v>
      </c>
      <c r="H4167" s="1">
        <v>-1.6714439999999999E-6</v>
      </c>
      <c r="I4167">
        <v>142.2039</v>
      </c>
      <c r="J4167">
        <v>-243.8623</v>
      </c>
      <c r="K4167">
        <v>1.108017</v>
      </c>
      <c r="L4167">
        <v>140.14070000000001</v>
      </c>
      <c r="M4167">
        <v>-0.99936239999999998</v>
      </c>
      <c r="N4167">
        <v>0</v>
      </c>
      <c r="O4167">
        <v>-3.420343E-2</v>
      </c>
      <c r="P4167">
        <v>-0.98628249999999995</v>
      </c>
      <c r="Q4167">
        <v>0.16499659999999999</v>
      </c>
      <c r="R4167">
        <v>4.8212649999999999E-3</v>
      </c>
      <c r="S4167">
        <v>-3.0655670000000002</v>
      </c>
      <c r="T4167">
        <v>-0.14001350000000001</v>
      </c>
      <c r="U4167">
        <v>0.25900269999999997</v>
      </c>
      <c r="V4167">
        <v>3.9278519999999997E-2</v>
      </c>
      <c r="W4167">
        <v>0.174927</v>
      </c>
      <c r="X4167">
        <v>0.98379760000000005</v>
      </c>
      <c r="Y4167">
        <v>0.11806460000000001</v>
      </c>
      <c r="Z4167">
        <v>4.2489909999999997E-3</v>
      </c>
      <c r="AA4167">
        <v>0.99299680000000001</v>
      </c>
      <c r="AB4167">
        <v>30</v>
      </c>
      <c r="AC4167">
        <v>-23.8052999999999</v>
      </c>
      <c r="AD4167">
        <v>-1.1080186714439999</v>
      </c>
      <c r="AE4167">
        <v>2.0631999999999899</v>
      </c>
      <c r="AF4167">
        <v>2.8700867916014698</v>
      </c>
      <c r="AG4167">
        <v>-1.1080186714439999</v>
      </c>
      <c r="AH4167">
        <v>23.669900517396801</v>
      </c>
      <c r="AI4167">
        <v>92.660673203774905</v>
      </c>
      <c r="AJ4167">
        <v>83.086368381388198</v>
      </c>
      <c r="AK4167">
        <v>23.8690027875288</v>
      </c>
      <c r="AL4167">
        <v>79.925589885616603</v>
      </c>
      <c r="AM4167">
        <v>87.7136569827925</v>
      </c>
      <c r="AN4167">
        <v>0.99999998761407505</v>
      </c>
    </row>
    <row r="4168" spans="1:40" x14ac:dyDescent="0.25">
      <c r="A4168" t="str">
        <f>"20190312173013631"</f>
        <v>20190312173013631</v>
      </c>
      <c r="B4168" t="str">
        <f>"1552383013621900"</f>
        <v>1552383013621900</v>
      </c>
      <c r="C4168" t="s">
        <v>40</v>
      </c>
      <c r="D4168">
        <v>3.479266</v>
      </c>
      <c r="E4168">
        <v>0.52535449999999995</v>
      </c>
      <c r="F4168" t="s">
        <v>41</v>
      </c>
      <c r="G4168">
        <v>-266.2029</v>
      </c>
      <c r="H4168" s="1">
        <v>-2.168537E-6</v>
      </c>
      <c r="I4168">
        <v>141.7106</v>
      </c>
      <c r="J4168">
        <v>-244.16720000000001</v>
      </c>
      <c r="K4168">
        <v>1.107969</v>
      </c>
      <c r="L4168">
        <v>140.13249999999999</v>
      </c>
      <c r="M4168">
        <v>-0.99943439999999995</v>
      </c>
      <c r="N4168">
        <v>0</v>
      </c>
      <c r="O4168">
        <v>-3.204253E-2</v>
      </c>
      <c r="P4168">
        <v>-0.98624820000000002</v>
      </c>
      <c r="Q4168">
        <v>0.16506509999999999</v>
      </c>
      <c r="R4168">
        <v>8.2711880000000005E-3</v>
      </c>
      <c r="S4168">
        <v>-3.0661010000000002</v>
      </c>
      <c r="T4168">
        <v>-0.15206900000000001</v>
      </c>
      <c r="U4168">
        <v>0.21546940000000001</v>
      </c>
      <c r="V4168">
        <v>4.0612370000000002E-2</v>
      </c>
      <c r="W4168">
        <v>0.17495139999999901</v>
      </c>
      <c r="X4168">
        <v>0.98373909999999998</v>
      </c>
      <c r="Y4168">
        <v>0.10186729999999999</v>
      </c>
      <c r="Z4168">
        <v>4.1080989999999996E-3</v>
      </c>
      <c r="AA4168">
        <v>0.99478949999999999</v>
      </c>
      <c r="AB4168">
        <v>30</v>
      </c>
      <c r="AC4168">
        <v>-22.035699999999899</v>
      </c>
      <c r="AD4168">
        <v>-1.107971168537</v>
      </c>
      <c r="AE4168">
        <v>1.5781000000000001</v>
      </c>
      <c r="AF4168">
        <v>2.2776769920992601</v>
      </c>
      <c r="AG4168">
        <v>-1.107971168537</v>
      </c>
      <c r="AH4168">
        <v>21.918683664893699</v>
      </c>
      <c r="AI4168">
        <v>92.878318294409397</v>
      </c>
      <c r="AJ4168">
        <v>84.067409784513501</v>
      </c>
      <c r="AK4168">
        <v>22.0645440966344</v>
      </c>
      <c r="AL4168">
        <v>79.924169965307101</v>
      </c>
      <c r="AM4168">
        <v>87.6359618188403</v>
      </c>
      <c r="AN4168">
        <v>0.99999998691389302</v>
      </c>
    </row>
    <row r="4169" spans="1:40" x14ac:dyDescent="0.25">
      <c r="A4169" t="str">
        <f>"20190312173013654"</f>
        <v>20190312173013654</v>
      </c>
      <c r="B4169" t="str">
        <f>"1552383013652153"</f>
        <v>1552383013652153</v>
      </c>
      <c r="C4169" t="s">
        <v>40</v>
      </c>
      <c r="D4169">
        <v>3.485811</v>
      </c>
      <c r="E4169">
        <v>0.52454489999999998</v>
      </c>
      <c r="F4169" t="s">
        <v>41</v>
      </c>
      <c r="G4169">
        <v>-265.3193</v>
      </c>
      <c r="H4169" s="1">
        <v>-2.546142E-6</v>
      </c>
      <c r="I4169">
        <v>141.70509999999999</v>
      </c>
      <c r="J4169">
        <v>-244.4692</v>
      </c>
      <c r="K4169">
        <v>1.107925</v>
      </c>
      <c r="L4169">
        <v>140.125</v>
      </c>
      <c r="M4169">
        <v>-0.99950240000000001</v>
      </c>
      <c r="N4169">
        <v>0</v>
      </c>
      <c r="O4169">
        <v>-2.985865E-2</v>
      </c>
      <c r="P4169">
        <v>-0.98626480000000005</v>
      </c>
      <c r="Q4169">
        <v>0.16472479999999901</v>
      </c>
      <c r="R4169">
        <v>1.215569E-2</v>
      </c>
      <c r="S4169">
        <v>-3.0668030000000002</v>
      </c>
      <c r="T4169">
        <v>-0.16064289999999901</v>
      </c>
      <c r="U4169">
        <v>0.22802729999999999</v>
      </c>
      <c r="V4169">
        <v>4.2356779999999997E-2</v>
      </c>
      <c r="W4169">
        <v>0.174565</v>
      </c>
      <c r="X4169">
        <v>0.9837342</v>
      </c>
      <c r="Y4169">
        <v>0.1037115</v>
      </c>
      <c r="Z4169">
        <v>4.2718230000000001E-3</v>
      </c>
      <c r="AA4169">
        <v>0.99459830000000005</v>
      </c>
      <c r="AB4169">
        <v>30</v>
      </c>
      <c r="AC4169">
        <v>-20.850100000000001</v>
      </c>
      <c r="AD4169">
        <v>-1.107927546142</v>
      </c>
      <c r="AE4169">
        <v>1.5800999999999801</v>
      </c>
      <c r="AF4169">
        <v>2.1958186859714899</v>
      </c>
      <c r="AG4169">
        <v>-1.107927546142</v>
      </c>
      <c r="AH4169">
        <v>20.7354059399707</v>
      </c>
      <c r="AI4169">
        <v>93.041526889068294</v>
      </c>
      <c r="AJ4169">
        <v>83.955074094408005</v>
      </c>
      <c r="AK4169">
        <v>20.880761064782401</v>
      </c>
      <c r="AL4169">
        <v>79.946655264998796</v>
      </c>
      <c r="AM4169">
        <v>87.534530507969293</v>
      </c>
      <c r="AN4169">
        <v>1.0000000061433001</v>
      </c>
    </row>
    <row r="4170" spans="1:40" x14ac:dyDescent="0.25">
      <c r="A4170" t="str">
        <f>"20190312173013675"</f>
        <v>20190312173013675</v>
      </c>
      <c r="B4170" t="str">
        <f>"1552383013671673"</f>
        <v>1552383013671673</v>
      </c>
      <c r="C4170" t="s">
        <v>40</v>
      </c>
      <c r="D4170">
        <v>3.5194879999999999</v>
      </c>
      <c r="E4170">
        <v>0.52388670000000004</v>
      </c>
      <c r="F4170" t="s">
        <v>41</v>
      </c>
      <c r="G4170">
        <v>-264.69529999999997</v>
      </c>
      <c r="H4170" s="1">
        <v>-2.8021659999999999E-6</v>
      </c>
      <c r="I4170">
        <v>141.66139999999999</v>
      </c>
      <c r="J4170">
        <v>-244.76589999999999</v>
      </c>
      <c r="K4170">
        <v>1.1078779999999999</v>
      </c>
      <c r="L4170">
        <v>140.11840000000001</v>
      </c>
      <c r="M4170">
        <v>-0.99956560000000005</v>
      </c>
      <c r="N4170">
        <v>0</v>
      </c>
      <c r="O4170">
        <v>-2.7671810000000002E-2</v>
      </c>
      <c r="P4170">
        <v>-0.98631809999999998</v>
      </c>
      <c r="Q4170">
        <v>0.1641136</v>
      </c>
      <c r="R4170">
        <v>1.5595639999999999E-2</v>
      </c>
      <c r="S4170">
        <v>-3.0669559999999998</v>
      </c>
      <c r="T4170">
        <v>-0.1679987</v>
      </c>
      <c r="U4170">
        <v>0.23297119999999999</v>
      </c>
      <c r="V4170">
        <v>4.3652650000000001E-2</v>
      </c>
      <c r="W4170">
        <v>0.17390910000000001</v>
      </c>
      <c r="X4170">
        <v>0.98379369999999999</v>
      </c>
      <c r="Y4170">
        <v>0.1031132</v>
      </c>
      <c r="Z4170">
        <v>4.3307520000000002E-3</v>
      </c>
      <c r="AA4170">
        <v>0.99466019999999999</v>
      </c>
      <c r="AB4170">
        <v>30</v>
      </c>
      <c r="AC4170">
        <v>-19.929399999999902</v>
      </c>
      <c r="AD4170">
        <v>-1.107880802166</v>
      </c>
      <c r="AE4170">
        <v>1.54299999999997</v>
      </c>
      <c r="AF4170">
        <v>2.0875074669657598</v>
      </c>
      <c r="AG4170">
        <v>-1.107880802166</v>
      </c>
      <c r="AH4170">
        <v>19.818188899571801</v>
      </c>
      <c r="AI4170">
        <v>93.182063803728099</v>
      </c>
      <c r="AJ4170">
        <v>83.9870414837807</v>
      </c>
      <c r="AK4170">
        <v>19.958599614090101</v>
      </c>
      <c r="AL4170">
        <v>79.984819136557107</v>
      </c>
      <c r="AM4170">
        <v>87.459352397361201</v>
      </c>
      <c r="AN4170">
        <v>0.99999998653726097</v>
      </c>
    </row>
    <row r="4171" spans="1:40" x14ac:dyDescent="0.25">
      <c r="A4171" t="str">
        <f>"20190312173013699"</f>
        <v>20190312173013699</v>
      </c>
      <c r="B4171" t="str">
        <f>"1552383013692169"</f>
        <v>1552383013692169</v>
      </c>
      <c r="C4171" t="s">
        <v>40</v>
      </c>
      <c r="D4171">
        <v>3.4618000000000002</v>
      </c>
      <c r="E4171">
        <v>0.52351720000000002</v>
      </c>
      <c r="F4171" t="s">
        <v>41</v>
      </c>
      <c r="G4171">
        <v>-264.88979999999998</v>
      </c>
      <c r="H4171" s="1">
        <v>-2.7240140000000001E-6</v>
      </c>
      <c r="I4171">
        <v>141.68119999999999</v>
      </c>
      <c r="J4171">
        <v>-245.07259999999999</v>
      </c>
      <c r="K4171">
        <v>1.1078330000000001</v>
      </c>
      <c r="L4171">
        <v>140.1123</v>
      </c>
      <c r="M4171">
        <v>-0.99962709999999999</v>
      </c>
      <c r="N4171">
        <v>0</v>
      </c>
      <c r="O4171">
        <v>-2.5375089999999999E-2</v>
      </c>
      <c r="P4171">
        <v>-0.98638419999999905</v>
      </c>
      <c r="Q4171">
        <v>0.16341939999999999</v>
      </c>
      <c r="R4171">
        <v>1.8461100000000001E-2</v>
      </c>
      <c r="S4171">
        <v>-3.0659329999999998</v>
      </c>
      <c r="T4171">
        <v>-0.16878879999999999</v>
      </c>
      <c r="U4171">
        <v>0.2381134</v>
      </c>
      <c r="V4171">
        <v>4.4265110000000003E-2</v>
      </c>
      <c r="W4171">
        <v>0.17317460000000001</v>
      </c>
      <c r="X4171">
        <v>0.98389590000000005</v>
      </c>
      <c r="Y4171">
        <v>0.1025138</v>
      </c>
      <c r="Z4171">
        <v>4.2096059999999899E-3</v>
      </c>
      <c r="AA4171">
        <v>0.99472269999999896</v>
      </c>
      <c r="AB4171">
        <v>30</v>
      </c>
      <c r="AC4171">
        <v>-19.8171999999999</v>
      </c>
      <c r="AD4171">
        <v>-1.107835724014</v>
      </c>
      <c r="AE4171">
        <v>1.56889999999998</v>
      </c>
      <c r="AF4171">
        <v>2.06487081849026</v>
      </c>
      <c r="AG4171">
        <v>-1.107835724014</v>
      </c>
      <c r="AH4171">
        <v>19.709793481908001</v>
      </c>
      <c r="AI4171">
        <v>93.199586449448802</v>
      </c>
      <c r="AJ4171">
        <v>84.019298941970902</v>
      </c>
      <c r="AK4171">
        <v>19.848600721157101</v>
      </c>
      <c r="AL4171">
        <v>80.027551340164095</v>
      </c>
      <c r="AM4171">
        <v>87.424021271765696</v>
      </c>
      <c r="AN4171">
        <v>0.99999999204264101</v>
      </c>
    </row>
    <row r="4172" spans="1:40" x14ac:dyDescent="0.25">
      <c r="A4172" t="str">
        <f>"20190312173013723"</f>
        <v>20190312173013723</v>
      </c>
      <c r="B4172" t="str">
        <f>"1552383013711689"</f>
        <v>1552383013711689</v>
      </c>
      <c r="C4172" t="s">
        <v>40</v>
      </c>
      <c r="D4172">
        <v>3.586268</v>
      </c>
      <c r="E4172">
        <v>0.52388140000000005</v>
      </c>
      <c r="F4172" t="s">
        <v>41</v>
      </c>
      <c r="G4172">
        <v>-264.74239999999998</v>
      </c>
      <c r="H4172" s="1">
        <v>-2.7864199999999998E-6</v>
      </c>
      <c r="I4172">
        <v>141.6781</v>
      </c>
      <c r="J4172">
        <v>-245.40639999999999</v>
      </c>
      <c r="K4172">
        <v>1.1077870000000001</v>
      </c>
      <c r="L4172">
        <v>140.10640000000001</v>
      </c>
      <c r="M4172">
        <v>-0.99968840000000003</v>
      </c>
      <c r="N4172">
        <v>0</v>
      </c>
      <c r="O4172">
        <v>-2.2840909999999999E-2</v>
      </c>
      <c r="P4172">
        <v>-0.98642870000000005</v>
      </c>
      <c r="Q4172">
        <v>0.16267300000000001</v>
      </c>
      <c r="R4172">
        <v>2.2273299999999999E-2</v>
      </c>
      <c r="S4172">
        <v>-3.065445</v>
      </c>
      <c r="T4172">
        <v>-0.17265129999999901</v>
      </c>
      <c r="U4172">
        <v>0.2440338</v>
      </c>
      <c r="V4172">
        <v>4.5589009999999999E-2</v>
      </c>
      <c r="W4172">
        <v>0.17238039999999999</v>
      </c>
      <c r="X4172">
        <v>0.98397489999999999</v>
      </c>
      <c r="Y4172">
        <v>0.10190970000000001</v>
      </c>
      <c r="Z4172">
        <v>4.146744E-3</v>
      </c>
      <c r="AA4172">
        <v>0.99478500000000003</v>
      </c>
      <c r="AB4172">
        <v>30</v>
      </c>
      <c r="AC4172">
        <v>-19.335999999999899</v>
      </c>
      <c r="AD4172">
        <v>-1.1077897864199999</v>
      </c>
      <c r="AE4172">
        <v>1.5716999999999901</v>
      </c>
      <c r="AF4172">
        <v>2.0064216502913501</v>
      </c>
      <c r="AG4172">
        <v>-1.1077897864199999</v>
      </c>
      <c r="AH4172">
        <v>19.232341654550901</v>
      </c>
      <c r="AI4172">
        <v>93.278859085248897</v>
      </c>
      <c r="AJ4172">
        <v>84.044140220981703</v>
      </c>
      <c r="AK4172">
        <v>19.3684251183989</v>
      </c>
      <c r="AL4172">
        <v>80.0737503429676</v>
      </c>
      <c r="AM4172">
        <v>87.347298951148801</v>
      </c>
      <c r="AN4172">
        <v>0.99999998198347495</v>
      </c>
    </row>
    <row r="4173" spans="1:40" x14ac:dyDescent="0.25">
      <c r="A4173" t="str">
        <f>"20190312173013744"</f>
        <v>20190312173013744</v>
      </c>
      <c r="B4173" t="str">
        <f>"1552383013741945"</f>
        <v>1552383013741945</v>
      </c>
      <c r="C4173" t="s">
        <v>40</v>
      </c>
      <c r="D4173">
        <v>3.5150600000000001</v>
      </c>
      <c r="E4173">
        <v>0.56679740000000001</v>
      </c>
      <c r="F4173" t="s">
        <v>41</v>
      </c>
      <c r="G4173">
        <v>-264.97489999999999</v>
      </c>
      <c r="H4173" s="1">
        <v>-2.7077029999999998E-6</v>
      </c>
      <c r="I4173">
        <v>141.75700000000001</v>
      </c>
      <c r="J4173">
        <v>-245.70509999999999</v>
      </c>
      <c r="K4173">
        <v>1.1077509999999999</v>
      </c>
      <c r="L4173">
        <v>140.1019</v>
      </c>
      <c r="M4173">
        <v>-0.99973860000000003</v>
      </c>
      <c r="N4173">
        <v>0</v>
      </c>
      <c r="O4173">
        <v>-2.054769E-2</v>
      </c>
      <c r="P4173">
        <v>-0.98646699999999998</v>
      </c>
      <c r="Q4173">
        <v>0.16199189999999999</v>
      </c>
      <c r="R4173">
        <v>2.5339049999999998E-2</v>
      </c>
      <c r="S4173">
        <v>-3.064041</v>
      </c>
      <c r="T4173">
        <v>-0.1734591</v>
      </c>
      <c r="U4173">
        <v>0.25846859999999999</v>
      </c>
      <c r="V4173">
        <v>4.6401869999999998E-2</v>
      </c>
      <c r="W4173">
        <v>0.17165800000000001</v>
      </c>
      <c r="X4173">
        <v>0.98406320000000003</v>
      </c>
      <c r="Y4173">
        <v>0.1043166</v>
      </c>
      <c r="Z4173">
        <v>4.1056560000000001E-3</v>
      </c>
      <c r="AA4173">
        <v>0.99453570000000002</v>
      </c>
      <c r="AB4173">
        <v>30</v>
      </c>
      <c r="AC4173">
        <v>-19.2698</v>
      </c>
      <c r="AD4173">
        <v>-1.107753707703</v>
      </c>
      <c r="AE4173">
        <v>1.6551</v>
      </c>
      <c r="AF4173">
        <v>2.0440149212602101</v>
      </c>
      <c r="AG4173">
        <v>-1.107753707703</v>
      </c>
      <c r="AH4173">
        <v>19.168837694812201</v>
      </c>
      <c r="AI4173">
        <v>93.288801041789299</v>
      </c>
      <c r="AJ4173">
        <v>83.913425653727998</v>
      </c>
      <c r="AK4173">
        <v>19.309310030275999</v>
      </c>
      <c r="AL4173">
        <v>80.115767235592898</v>
      </c>
      <c r="AM4173">
        <v>87.300312110798302</v>
      </c>
      <c r="AN4173">
        <v>0.99999999204886802</v>
      </c>
    </row>
    <row r="4174" spans="1:40" x14ac:dyDescent="0.25">
      <c r="A4174" t="str">
        <f>"20190312173013766"</f>
        <v>20190312173013766</v>
      </c>
      <c r="B4174" t="str">
        <f>"1552383013761466"</f>
        <v>1552383013761466</v>
      </c>
      <c r="C4174" t="s">
        <v>40</v>
      </c>
      <c r="D4174">
        <v>3.4944299999999999</v>
      </c>
      <c r="E4174">
        <v>0.56975779999999998</v>
      </c>
      <c r="F4174" t="s">
        <v>41</v>
      </c>
      <c r="G4174">
        <v>-274.88499999999999</v>
      </c>
      <c r="H4174" s="1">
        <v>-3.7365429999999998E-6</v>
      </c>
      <c r="I4174">
        <v>145.94659999999999</v>
      </c>
      <c r="J4174">
        <v>-245.9965</v>
      </c>
      <c r="K4174">
        <v>1.107718</v>
      </c>
      <c r="L4174">
        <v>140.09819999999999</v>
      </c>
      <c r="M4174">
        <v>-0.99978279999999997</v>
      </c>
      <c r="N4174">
        <v>0</v>
      </c>
      <c r="O4174">
        <v>-1.828979E-2</v>
      </c>
      <c r="P4174">
        <v>-0.98638150000000002</v>
      </c>
      <c r="Q4174">
        <v>0.16192999999999999</v>
      </c>
      <c r="R4174">
        <v>2.8817809999999999E-2</v>
      </c>
      <c r="S4174">
        <v>-3.0444789999999999</v>
      </c>
      <c r="T4174">
        <v>-0.1155772</v>
      </c>
      <c r="U4174">
        <v>0.60981750000000001</v>
      </c>
      <c r="V4174">
        <v>4.7661910000000002E-2</v>
      </c>
      <c r="W4174">
        <v>0.17155599999999999</v>
      </c>
      <c r="X4174">
        <v>0.98402080000000003</v>
      </c>
      <c r="Y4174">
        <v>0.2141421</v>
      </c>
      <c r="Z4174">
        <v>4.7109270000000002E-3</v>
      </c>
      <c r="AA4174">
        <v>0.97679119999999997</v>
      </c>
      <c r="AB4174">
        <v>31</v>
      </c>
      <c r="AC4174">
        <v>-28.888500000000001</v>
      </c>
      <c r="AD4174">
        <v>-1.1077217365430001</v>
      </c>
      <c r="AE4174">
        <v>5.8483999999999901</v>
      </c>
      <c r="AF4174">
        <v>6.3668199155909004</v>
      </c>
      <c r="AG4174">
        <v>-1.1077217365430001</v>
      </c>
      <c r="AH4174">
        <v>28.736108185742101</v>
      </c>
      <c r="AI4174">
        <v>92.155331881579798</v>
      </c>
      <c r="AJ4174">
        <v>77.507263544236693</v>
      </c>
      <c r="AK4174">
        <v>29.453817357786502</v>
      </c>
      <c r="AL4174">
        <v>80.121699752902202</v>
      </c>
      <c r="AM4174">
        <v>87.226995861978594</v>
      </c>
      <c r="AN4174">
        <v>1.0000000268167399</v>
      </c>
    </row>
    <row r="4175" spans="1:40" x14ac:dyDescent="0.25">
      <c r="A4175" t="str">
        <f>"20190312173013788"</f>
        <v>20190312173013788</v>
      </c>
      <c r="B4175" t="str">
        <f>"1552383013781962"</f>
        <v>1552383013781962</v>
      </c>
      <c r="C4175" t="s">
        <v>40</v>
      </c>
      <c r="D4175">
        <v>3.4723299999999999</v>
      </c>
      <c r="E4175">
        <v>0.5709398</v>
      </c>
      <c r="F4175" t="s">
        <v>41</v>
      </c>
      <c r="G4175">
        <v>-276.2389</v>
      </c>
      <c r="H4175" s="1">
        <v>-3.3743839999999998E-6</v>
      </c>
      <c r="I4175">
        <v>146.50219999999999</v>
      </c>
      <c r="J4175">
        <v>-246.30340000000001</v>
      </c>
      <c r="K4175">
        <v>1.107694</v>
      </c>
      <c r="L4175">
        <v>140.095</v>
      </c>
      <c r="M4175">
        <v>-0.99982400000000005</v>
      </c>
      <c r="N4175">
        <v>0</v>
      </c>
      <c r="O4175">
        <v>-1.5894579999999998E-2</v>
      </c>
      <c r="P4175">
        <v>-0.98624279999999998</v>
      </c>
      <c r="Q4175">
        <v>0.16209000000000001</v>
      </c>
      <c r="R4175">
        <v>3.2435949999999998E-2</v>
      </c>
      <c r="S4175">
        <v>-3.0409090000000001</v>
      </c>
      <c r="T4175">
        <v>-0.1113828</v>
      </c>
      <c r="U4175">
        <v>0.64393619999999996</v>
      </c>
      <c r="V4175">
        <v>4.8926230000000001E-2</v>
      </c>
      <c r="W4175">
        <v>0.1716772</v>
      </c>
      <c r="X4175">
        <v>0.98393759999999997</v>
      </c>
      <c r="Y4175">
        <v>0.22253519999999999</v>
      </c>
      <c r="Z4175">
        <v>4.6053939999999996E-3</v>
      </c>
      <c r="AA4175">
        <v>0.97491380000000005</v>
      </c>
      <c r="AB4175">
        <v>31</v>
      </c>
      <c r="AC4175">
        <v>-29.935499999999902</v>
      </c>
      <c r="AD4175">
        <v>-1.107697374384</v>
      </c>
      <c r="AE4175">
        <v>6.40719999999998</v>
      </c>
      <c r="AF4175">
        <v>6.8732277083500097</v>
      </c>
      <c r="AG4175">
        <v>-1.107697374384</v>
      </c>
      <c r="AH4175">
        <v>29.790870025354302</v>
      </c>
      <c r="AI4175">
        <v>92.074956884956904</v>
      </c>
      <c r="AJ4175">
        <v>77.008283790023597</v>
      </c>
      <c r="AK4175">
        <v>30.593531824089901</v>
      </c>
      <c r="AL4175">
        <v>80.114650847260293</v>
      </c>
      <c r="AM4175">
        <v>87.153315936972106</v>
      </c>
      <c r="AN4175">
        <v>1.0000000188378</v>
      </c>
    </row>
    <row r="4176" spans="1:40" x14ac:dyDescent="0.25">
      <c r="A4176" t="str">
        <f>"20190312173013810"</f>
        <v>20190312173013810</v>
      </c>
      <c r="B4176" t="str">
        <f>"1552383013801481"</f>
        <v>1552383013801481</v>
      </c>
      <c r="C4176" t="s">
        <v>40</v>
      </c>
      <c r="D4176">
        <v>3.4630800000000002</v>
      </c>
      <c r="E4176">
        <v>0.57170679999999996</v>
      </c>
      <c r="F4176" t="s">
        <v>41</v>
      </c>
      <c r="G4176">
        <v>-277.12430000000001</v>
      </c>
      <c r="H4176" s="1">
        <v>-3.1320599999999998E-6</v>
      </c>
      <c r="I4176">
        <v>146.8347</v>
      </c>
      <c r="J4176">
        <v>-246.60910000000001</v>
      </c>
      <c r="K4176">
        <v>1.1076699999999999</v>
      </c>
      <c r="L4176">
        <v>140.0926</v>
      </c>
      <c r="M4176">
        <v>-0.99985959999999996</v>
      </c>
      <c r="N4176">
        <v>0</v>
      </c>
      <c r="O4176">
        <v>-1.3491029999999999E-2</v>
      </c>
      <c r="P4176">
        <v>-0.98605390000000004</v>
      </c>
      <c r="Q4176">
        <v>0.16261439999999999</v>
      </c>
      <c r="R4176">
        <v>3.5417190000000001E-2</v>
      </c>
      <c r="S4176">
        <v>-3.0379330000000002</v>
      </c>
      <c r="T4176">
        <v>-0.10918310000000001</v>
      </c>
      <c r="U4176">
        <v>0.66432190000000002</v>
      </c>
      <c r="V4176">
        <v>4.9547620000000001E-2</v>
      </c>
      <c r="W4176">
        <v>0.17216809999999999</v>
      </c>
      <c r="X4176">
        <v>0.98382069999999999</v>
      </c>
      <c r="Y4176">
        <v>0.22664020000000001</v>
      </c>
      <c r="Z4176">
        <v>4.5031460000000004E-3</v>
      </c>
      <c r="AA4176">
        <v>0.9739681</v>
      </c>
      <c r="AB4176">
        <v>31</v>
      </c>
      <c r="AC4176">
        <v>-30.5152</v>
      </c>
      <c r="AD4176">
        <v>-1.10767313206</v>
      </c>
      <c r="AE4176">
        <v>6.74209999999999</v>
      </c>
      <c r="AF4176">
        <v>7.1442129250090201</v>
      </c>
      <c r="AG4176">
        <v>-1.10767313206</v>
      </c>
      <c r="AH4176">
        <v>30.3832898491764</v>
      </c>
      <c r="AI4176">
        <v>92.032504494405799</v>
      </c>
      <c r="AJ4176">
        <v>76.768050880807195</v>
      </c>
      <c r="AK4176">
        <v>31.231570888196099</v>
      </c>
      <c r="AL4176">
        <v>80.086098995189801</v>
      </c>
      <c r="AM4176">
        <v>87.116880128852301</v>
      </c>
      <c r="AN4176">
        <v>0.99999999552688201</v>
      </c>
    </row>
    <row r="4177" spans="1:40" x14ac:dyDescent="0.25">
      <c r="A4177" t="str">
        <f>"20190312173013833"</f>
        <v>20190312173013833</v>
      </c>
      <c r="B4177" t="str">
        <f>"1552383013821507"</f>
        <v>1552383013821507</v>
      </c>
      <c r="C4177" t="s">
        <v>40</v>
      </c>
      <c r="D4177">
        <v>3.522383</v>
      </c>
      <c r="E4177">
        <v>0.57183149999999905</v>
      </c>
      <c r="F4177" t="s">
        <v>41</v>
      </c>
      <c r="G4177">
        <v>-278.46620000000001</v>
      </c>
      <c r="H4177" s="1">
        <v>-2.665471E-6</v>
      </c>
      <c r="I4177">
        <v>147.22739999999999</v>
      </c>
      <c r="J4177">
        <v>-246.92609999999999</v>
      </c>
      <c r="K4177">
        <v>1.1076440000000001</v>
      </c>
      <c r="L4177">
        <v>140.0909</v>
      </c>
      <c r="M4177">
        <v>-0.99989070000000002</v>
      </c>
      <c r="N4177">
        <v>0</v>
      </c>
      <c r="O4177">
        <v>-1.097447E-2</v>
      </c>
      <c r="P4177">
        <v>-0.98586470000000004</v>
      </c>
      <c r="Q4177">
        <v>0.16315160000000001</v>
      </c>
      <c r="R4177">
        <v>3.8110739999999997E-2</v>
      </c>
      <c r="S4177">
        <v>-3.0354160000000001</v>
      </c>
      <c r="T4177">
        <v>-0.1055413</v>
      </c>
      <c r="U4177">
        <v>0.67982480000000001</v>
      </c>
      <c r="V4177">
        <v>4.9771469999999998E-2</v>
      </c>
      <c r="W4177">
        <v>0.17267399999999999</v>
      </c>
      <c r="X4177">
        <v>0.9837207</v>
      </c>
      <c r="Y4177">
        <v>0.22910849999999999</v>
      </c>
      <c r="Z4177">
        <v>4.3101019999999997E-3</v>
      </c>
      <c r="AA4177">
        <v>0.97339140000000002</v>
      </c>
      <c r="AB4177">
        <v>31</v>
      </c>
      <c r="AC4177">
        <v>-31.540099999999999</v>
      </c>
      <c r="AD4177">
        <v>-1.107646665471</v>
      </c>
      <c r="AE4177">
        <v>7.1364999999999803</v>
      </c>
      <c r="AF4177">
        <v>7.4734547925114896</v>
      </c>
      <c r="AG4177">
        <v>-1.107646665471</v>
      </c>
      <c r="AH4177">
        <v>31.423010088777801</v>
      </c>
      <c r="AI4177">
        <v>91.964073962335604</v>
      </c>
      <c r="AJ4177">
        <v>76.621677224354798</v>
      </c>
      <c r="AK4177">
        <v>32.318492704807099</v>
      </c>
      <c r="AL4177">
        <v>80.056672015785296</v>
      </c>
      <c r="AM4177">
        <v>87.103582772946297</v>
      </c>
      <c r="AN4177">
        <v>0.99999996255522405</v>
      </c>
    </row>
    <row r="4178" spans="1:40" x14ac:dyDescent="0.25">
      <c r="A4178" t="str">
        <f>"20190312173013855"</f>
        <v>20190312173013855</v>
      </c>
      <c r="B4178" t="str">
        <f>"1552383013851764"</f>
        <v>1552383013851764</v>
      </c>
      <c r="C4178" t="s">
        <v>40</v>
      </c>
      <c r="D4178">
        <v>3.5339429999999998</v>
      </c>
      <c r="E4178">
        <v>0.57158019999999998</v>
      </c>
      <c r="F4178" t="s">
        <v>41</v>
      </c>
      <c r="G4178">
        <v>-279.50700000000001</v>
      </c>
      <c r="H4178" s="1">
        <v>-2.290739E-6</v>
      </c>
      <c r="I4178">
        <v>147.49709999999999</v>
      </c>
      <c r="J4178">
        <v>-247.2276</v>
      </c>
      <c r="K4178">
        <v>1.1076090000000001</v>
      </c>
      <c r="L4178">
        <v>140.09010000000001</v>
      </c>
      <c r="M4178">
        <v>-0.99991450000000004</v>
      </c>
      <c r="N4178">
        <v>0</v>
      </c>
      <c r="O4178">
        <v>-8.5564809999999995E-3</v>
      </c>
      <c r="P4178">
        <v>-0.98568310000000003</v>
      </c>
      <c r="Q4178">
        <v>0.16383120000000001</v>
      </c>
      <c r="R4178">
        <v>3.9852129999999999E-2</v>
      </c>
      <c r="S4178">
        <v>-3.0334319999999999</v>
      </c>
      <c r="T4178">
        <v>-0.1031271</v>
      </c>
      <c r="U4178">
        <v>0.6895599</v>
      </c>
      <c r="V4178">
        <v>4.9142720000000001E-2</v>
      </c>
      <c r="W4178">
        <v>0.17332629999999999</v>
      </c>
      <c r="X4178">
        <v>0.9836376</v>
      </c>
      <c r="Y4178">
        <v>0.22986989999999999</v>
      </c>
      <c r="Z4178">
        <v>4.1443690000000002E-3</v>
      </c>
      <c r="AA4178">
        <v>0.97321250000000004</v>
      </c>
      <c r="AB4178">
        <v>31</v>
      </c>
      <c r="AC4178">
        <v>-32.279400000000003</v>
      </c>
      <c r="AD4178">
        <v>-1.1076112907389899</v>
      </c>
      <c r="AE4178">
        <v>7.4069999999999796</v>
      </c>
      <c r="AF4178">
        <v>7.6743565907317404</v>
      </c>
      <c r="AG4178">
        <v>-1.1076112907389899</v>
      </c>
      <c r="AH4178">
        <v>32.178845056362903</v>
      </c>
      <c r="AI4178">
        <v>91.917630618970406</v>
      </c>
      <c r="AJ4178">
        <v>76.586059229897799</v>
      </c>
      <c r="AK4178">
        <v>33.099858323178502</v>
      </c>
      <c r="AL4178">
        <v>80.018725897952606</v>
      </c>
      <c r="AM4178">
        <v>87.139870115843294</v>
      </c>
      <c r="AN4178">
        <v>0.99999997066722301</v>
      </c>
    </row>
    <row r="4179" spans="1:40" x14ac:dyDescent="0.25">
      <c r="A4179" t="str">
        <f>"20190312173013877"</f>
        <v>20190312173013877</v>
      </c>
      <c r="B4179" t="str">
        <f>"1552383013872260"</f>
        <v>1552383013872260</v>
      </c>
      <c r="C4179" t="s">
        <v>40</v>
      </c>
      <c r="D4179">
        <v>3.4432680000000002</v>
      </c>
      <c r="E4179">
        <v>0.57169729999999996</v>
      </c>
      <c r="F4179" t="s">
        <v>51</v>
      </c>
      <c r="G4179">
        <v>-281.32040000000001</v>
      </c>
      <c r="H4179" s="1">
        <v>-6.8781299999999998E-6</v>
      </c>
      <c r="I4179">
        <v>147.88319999999999</v>
      </c>
      <c r="J4179">
        <v>-247.5248</v>
      </c>
      <c r="K4179">
        <v>1.107578</v>
      </c>
      <c r="L4179">
        <v>140.0899</v>
      </c>
      <c r="M4179">
        <v>-0.99993259999999995</v>
      </c>
      <c r="N4179">
        <v>0</v>
      </c>
      <c r="O4179">
        <v>-6.1471969999999897E-3</v>
      </c>
      <c r="P4179">
        <v>-0.98553500000000005</v>
      </c>
      <c r="Q4179">
        <v>0.1643405</v>
      </c>
      <c r="R4179">
        <v>4.1390749999999997E-2</v>
      </c>
      <c r="S4179">
        <v>-3.0319210000000001</v>
      </c>
      <c r="T4179">
        <v>-9.8502039999999999E-2</v>
      </c>
      <c r="U4179">
        <v>0.69305419999999995</v>
      </c>
      <c r="V4179">
        <v>4.8320429999999998E-2</v>
      </c>
      <c r="W4179">
        <v>0.17381179999999999</v>
      </c>
      <c r="X4179">
        <v>0.98359269999999999</v>
      </c>
      <c r="Y4179">
        <v>0.228709</v>
      </c>
      <c r="Z4179">
        <v>3.8641140000000001E-3</v>
      </c>
      <c r="AA4179">
        <v>0.97348710000000005</v>
      </c>
      <c r="AB4179">
        <v>31</v>
      </c>
      <c r="AC4179">
        <v>-33.7956</v>
      </c>
      <c r="AD4179">
        <v>-1.10758487813</v>
      </c>
      <c r="AE4179">
        <v>7.7932999999999799</v>
      </c>
      <c r="AF4179">
        <v>7.9927596827639302</v>
      </c>
      <c r="AG4179">
        <v>-1.10758487813</v>
      </c>
      <c r="AH4179">
        <v>33.712670563658499</v>
      </c>
      <c r="AI4179">
        <v>91.830980221298802</v>
      </c>
      <c r="AJ4179">
        <v>76.662305991180105</v>
      </c>
      <c r="AK4179">
        <v>34.6648973479288</v>
      </c>
      <c r="AL4179">
        <v>79.990480395559899</v>
      </c>
      <c r="AM4179">
        <v>87.187522129197305</v>
      </c>
      <c r="AN4179">
        <v>1.0000000026339499</v>
      </c>
    </row>
    <row r="4180" spans="1:40" x14ac:dyDescent="0.25">
      <c r="A4180" t="str">
        <f>"20190312173013900"</f>
        <v>20190312173013900</v>
      </c>
      <c r="B4180" t="str">
        <f>"1552383013891783"</f>
        <v>1552383013891783</v>
      </c>
      <c r="C4180" t="s">
        <v>40</v>
      </c>
      <c r="D4180">
        <v>3.4675750000000001</v>
      </c>
      <c r="E4180">
        <v>0.57158160000000002</v>
      </c>
      <c r="F4180" t="s">
        <v>51</v>
      </c>
      <c r="G4180">
        <v>-281.9692</v>
      </c>
      <c r="H4180" s="1">
        <v>-7.2108520000000002E-6</v>
      </c>
      <c r="I4180">
        <v>148.0222</v>
      </c>
      <c r="J4180">
        <v>-247.85149999999999</v>
      </c>
      <c r="K4180">
        <v>1.1075489999999999</v>
      </c>
      <c r="L4180">
        <v>140.09059999999999</v>
      </c>
      <c r="M4180">
        <v>-0.99994570000000005</v>
      </c>
      <c r="N4180">
        <v>0</v>
      </c>
      <c r="O4180">
        <v>-3.4645449999999999E-3</v>
      </c>
      <c r="P4180">
        <v>-0.9854754</v>
      </c>
      <c r="Q4180">
        <v>0.16426370000000001</v>
      </c>
      <c r="R4180">
        <v>4.3083110000000001E-2</v>
      </c>
      <c r="S4180">
        <v>-3.0309750000000002</v>
      </c>
      <c r="T4180">
        <v>-9.7463250000000001E-2</v>
      </c>
      <c r="U4180">
        <v>0.69801329999999995</v>
      </c>
      <c r="V4180">
        <v>4.7383139999999997E-2</v>
      </c>
      <c r="W4180">
        <v>0.17371329999999999</v>
      </c>
      <c r="X4180">
        <v>0.98365570000000002</v>
      </c>
      <c r="Y4180">
        <v>0.22768070000000001</v>
      </c>
      <c r="Z4180">
        <v>3.7223870000000002E-3</v>
      </c>
      <c r="AA4180">
        <v>0.9737287</v>
      </c>
      <c r="AB4180">
        <v>31</v>
      </c>
      <c r="AC4180">
        <v>-34.117699999999999</v>
      </c>
      <c r="AD4180">
        <v>-1.1075562108519901</v>
      </c>
      <c r="AE4180">
        <v>7.9316000000000004</v>
      </c>
      <c r="AF4180">
        <v>8.0417203080830699</v>
      </c>
      <c r="AG4180">
        <v>-1.1075562108519901</v>
      </c>
      <c r="AH4180">
        <v>34.055965398429898</v>
      </c>
      <c r="AI4180">
        <v>91.812875357674699</v>
      </c>
      <c r="AJ4180">
        <v>76.713972645911696</v>
      </c>
      <c r="AK4180">
        <v>35.010066059530502</v>
      </c>
      <c r="AL4180">
        <v>79.996211226701803</v>
      </c>
      <c r="AM4180">
        <v>87.242168150406201</v>
      </c>
      <c r="AN4180">
        <v>1.0000000043478099</v>
      </c>
    </row>
    <row r="4181" spans="1:40" x14ac:dyDescent="0.25">
      <c r="A4181" t="str">
        <f>"20190312173013923"</f>
        <v>20190312173013923</v>
      </c>
      <c r="B4181" t="str">
        <f>"1552383013912275"</f>
        <v>1552383013912275</v>
      </c>
      <c r="C4181" t="s">
        <v>40</v>
      </c>
      <c r="D4181">
        <v>3.4716529999999999</v>
      </c>
      <c r="E4181">
        <v>0.57126390000000005</v>
      </c>
      <c r="F4181" t="s">
        <v>51</v>
      </c>
      <c r="G4181">
        <v>-282.25409999999999</v>
      </c>
      <c r="H4181" s="1">
        <v>-7.3523779999999999E-6</v>
      </c>
      <c r="I4181">
        <v>148.0692</v>
      </c>
      <c r="J4181">
        <v>-248.1696</v>
      </c>
      <c r="K4181">
        <v>1.1075090000000001</v>
      </c>
      <c r="L4181">
        <v>140.09219999999999</v>
      </c>
      <c r="M4181">
        <v>-0.99995149999999999</v>
      </c>
      <c r="N4181">
        <v>0</v>
      </c>
      <c r="O4181">
        <v>-8.1635119999999995E-4</v>
      </c>
      <c r="P4181">
        <v>-0.98541279999999998</v>
      </c>
      <c r="Q4181">
        <v>0.16437189999999999</v>
      </c>
      <c r="R4181">
        <v>4.4090919999999999E-2</v>
      </c>
      <c r="S4181">
        <v>-3.0297390000000002</v>
      </c>
      <c r="T4181">
        <v>-9.7539420000000002E-2</v>
      </c>
      <c r="U4181">
        <v>0.70265200000000005</v>
      </c>
      <c r="V4181">
        <v>4.5796570000000002E-2</v>
      </c>
      <c r="W4181">
        <v>0.17380670000000001</v>
      </c>
      <c r="X4181">
        <v>0.98371430000000004</v>
      </c>
      <c r="Y4181">
        <v>0.22660549999999999</v>
      </c>
      <c r="Z4181">
        <v>3.6249339999999998E-3</v>
      </c>
      <c r="AA4181">
        <v>0.97397990000000001</v>
      </c>
      <c r="AB4181">
        <v>31</v>
      </c>
      <c r="AC4181">
        <v>-34.084499999999899</v>
      </c>
      <c r="AD4181">
        <v>-1.1075163523780001</v>
      </c>
      <c r="AE4181">
        <v>7.9770000000000003</v>
      </c>
      <c r="AF4181">
        <v>7.9968189100182698</v>
      </c>
      <c r="AG4181">
        <v>-1.1075163523780001</v>
      </c>
      <c r="AH4181">
        <v>34.043898867789601</v>
      </c>
      <c r="AI4181">
        <v>91.813951835392203</v>
      </c>
      <c r="AJ4181">
        <v>76.781026879080699</v>
      </c>
      <c r="AK4181">
        <v>34.988037316641503</v>
      </c>
      <c r="AL4181">
        <v>79.990776683254495</v>
      </c>
      <c r="AM4181">
        <v>87.334534050621002</v>
      </c>
      <c r="AN4181">
        <v>0.99999995940657105</v>
      </c>
    </row>
    <row r="4182" spans="1:40" x14ac:dyDescent="0.25">
      <c r="A4182" t="str">
        <f>"20190312173013947"</f>
        <v>20190312173013947</v>
      </c>
      <c r="B4182" t="str">
        <f>"1552383013941556"</f>
        <v>1552383013941556</v>
      </c>
      <c r="C4182" t="s">
        <v>40</v>
      </c>
      <c r="D4182">
        <v>3.439546</v>
      </c>
      <c r="E4182">
        <v>0.57095359999999995</v>
      </c>
      <c r="F4182" t="s">
        <v>51</v>
      </c>
      <c r="G4182">
        <v>-282.64299999999997</v>
      </c>
      <c r="H4182" s="1">
        <v>-7.5342309999999996E-6</v>
      </c>
      <c r="I4182">
        <v>148.09819999999999</v>
      </c>
      <c r="J4182">
        <v>-248.49440000000001</v>
      </c>
      <c r="K4182">
        <v>1.107459</v>
      </c>
      <c r="L4182">
        <v>140.09469999999999</v>
      </c>
      <c r="M4182">
        <v>-0.99995009999999995</v>
      </c>
      <c r="N4182">
        <v>0</v>
      </c>
      <c r="O4182">
        <v>1.9288129999999999E-3</v>
      </c>
      <c r="P4182">
        <v>-0.98541339999999999</v>
      </c>
      <c r="Q4182">
        <v>0.16401569999999999</v>
      </c>
      <c r="R4182">
        <v>4.5382949999999998E-2</v>
      </c>
      <c r="S4182">
        <v>-3.0291899999999998</v>
      </c>
      <c r="T4182">
        <v>-9.7317810000000005E-2</v>
      </c>
      <c r="U4182">
        <v>0.70349119999999998</v>
      </c>
      <c r="V4182">
        <v>4.4396230000000002E-2</v>
      </c>
      <c r="W4182">
        <v>0.17343810000000001</v>
      </c>
      <c r="X4182">
        <v>0.98384360000000004</v>
      </c>
      <c r="Y4182">
        <v>0.22422900000000001</v>
      </c>
      <c r="Z4182">
        <v>3.4925479999999998E-3</v>
      </c>
      <c r="AA4182">
        <v>0.97453020000000001</v>
      </c>
      <c r="AB4182">
        <v>31</v>
      </c>
      <c r="AC4182">
        <v>-34.148599999999902</v>
      </c>
      <c r="AD4182">
        <v>-1.1074665342309999</v>
      </c>
      <c r="AE4182">
        <v>8.0035000000000007</v>
      </c>
      <c r="AF4182">
        <v>7.9297098279903304</v>
      </c>
      <c r="AG4182">
        <v>-1.1074665342309999</v>
      </c>
      <c r="AH4182">
        <v>34.129947194686103</v>
      </c>
      <c r="AI4182">
        <v>91.810325294337005</v>
      </c>
      <c r="AJ4182">
        <v>76.9200317654728</v>
      </c>
      <c r="AK4182">
        <v>35.056526861522201</v>
      </c>
      <c r="AL4182">
        <v>80.012222163783207</v>
      </c>
      <c r="AM4182">
        <v>87.416263999211594</v>
      </c>
      <c r="AN4182">
        <v>1.00000001451539</v>
      </c>
    </row>
    <row r="4183" spans="1:40" x14ac:dyDescent="0.25">
      <c r="A4183" t="str">
        <f>"20190312173013967"</f>
        <v>20190312173013967</v>
      </c>
      <c r="B4183" t="str">
        <f>"1552383013962052"</f>
        <v>1552383013962052</v>
      </c>
      <c r="C4183" t="s">
        <v>40</v>
      </c>
      <c r="D4183">
        <v>3.4374729999999998</v>
      </c>
      <c r="E4183">
        <v>0.57071470000000002</v>
      </c>
      <c r="F4183" t="s">
        <v>51</v>
      </c>
      <c r="G4183">
        <v>-282.45650000000001</v>
      </c>
      <c r="H4183" s="1">
        <v>-7.4207290000000001E-6</v>
      </c>
      <c r="I4183">
        <v>148.00299999999999</v>
      </c>
      <c r="J4183">
        <v>-248.78870000000001</v>
      </c>
      <c r="K4183">
        <v>1.1074250000000001</v>
      </c>
      <c r="L4183">
        <v>140.09780000000001</v>
      </c>
      <c r="M4183">
        <v>-0.9999422</v>
      </c>
      <c r="N4183">
        <v>0</v>
      </c>
      <c r="O4183">
        <v>4.4446429999999999E-3</v>
      </c>
      <c r="P4183">
        <v>-0.9854851</v>
      </c>
      <c r="Q4183">
        <v>0.1632314</v>
      </c>
      <c r="R4183">
        <v>4.6636339999999998E-2</v>
      </c>
      <c r="S4183">
        <v>-3.0283660000000001</v>
      </c>
      <c r="T4183">
        <v>-9.8751539999999999E-2</v>
      </c>
      <c r="U4183">
        <v>0.70516969999999901</v>
      </c>
      <c r="V4183">
        <v>4.3178479999999998E-2</v>
      </c>
      <c r="W4183">
        <v>0.17264479999999999</v>
      </c>
      <c r="X4183">
        <v>0.9840373</v>
      </c>
      <c r="Y4183">
        <v>0.2223465</v>
      </c>
      <c r="Z4183">
        <v>3.4334930000000001E-3</v>
      </c>
      <c r="AA4183">
        <v>0.97496159999999998</v>
      </c>
      <c r="AB4183">
        <v>31</v>
      </c>
      <c r="AC4183">
        <v>-33.6678</v>
      </c>
      <c r="AD4183">
        <v>-1.1074324207290001</v>
      </c>
      <c r="AE4183">
        <v>7.9051999999999696</v>
      </c>
      <c r="AF4183">
        <v>7.7475289733560997</v>
      </c>
      <c r="AG4183">
        <v>-1.1074324207290001</v>
      </c>
      <c r="AH4183">
        <v>33.668081221243</v>
      </c>
      <c r="AI4183">
        <v>91.835981694631201</v>
      </c>
      <c r="AJ4183">
        <v>77.040980159613397</v>
      </c>
      <c r="AK4183">
        <v>34.565738888091097</v>
      </c>
      <c r="AL4183">
        <v>80.058371017926603</v>
      </c>
      <c r="AM4183">
        <v>87.487535525235501</v>
      </c>
      <c r="AN4183">
        <v>1.0000000079467199</v>
      </c>
    </row>
    <row r="4184" spans="1:40" x14ac:dyDescent="0.25">
      <c r="A4184" t="str">
        <f>"20190312173013991"</f>
        <v>20190312173013991</v>
      </c>
      <c r="B4184" t="str">
        <f>"1552383013981572"</f>
        <v>1552383013981572</v>
      </c>
      <c r="C4184" t="s">
        <v>40</v>
      </c>
      <c r="D4184">
        <v>3.4395799999999999</v>
      </c>
      <c r="E4184">
        <v>0.570546</v>
      </c>
      <c r="F4184" t="s">
        <v>51</v>
      </c>
      <c r="G4184">
        <v>-281.96969999999999</v>
      </c>
      <c r="H4184" s="1">
        <v>-7.1569970000000004E-6</v>
      </c>
      <c r="I4184">
        <v>147.85509999999999</v>
      </c>
      <c r="J4184">
        <v>-249.12219999999999</v>
      </c>
      <c r="K4184">
        <v>1.10738799999999</v>
      </c>
      <c r="L4184">
        <v>140.10230000000001</v>
      </c>
      <c r="M4184">
        <v>-0.99992550000000002</v>
      </c>
      <c r="N4184">
        <v>0</v>
      </c>
      <c r="O4184">
        <v>7.3231559999999999E-3</v>
      </c>
      <c r="P4184">
        <v>-0.98544430000000005</v>
      </c>
      <c r="Q4184">
        <v>0.16291249999999999</v>
      </c>
      <c r="R4184">
        <v>4.857177E-2</v>
      </c>
      <c r="S4184">
        <v>-3.0274350000000001</v>
      </c>
      <c r="T4184">
        <v>-0.1010422</v>
      </c>
      <c r="U4184">
        <v>0.70777889999999999</v>
      </c>
      <c r="V4184">
        <v>4.2287289999999998E-2</v>
      </c>
      <c r="W4184">
        <v>0.1723152</v>
      </c>
      <c r="X4184">
        <v>0.98413379999999995</v>
      </c>
      <c r="Y4184">
        <v>0.22040000000000001</v>
      </c>
      <c r="Z4184">
        <v>3.3870229999999999E-3</v>
      </c>
      <c r="AA4184">
        <v>0.97540369999999998</v>
      </c>
      <c r="AB4184">
        <v>31</v>
      </c>
      <c r="AC4184">
        <v>-32.847499999999997</v>
      </c>
      <c r="AD4184">
        <v>-1.10739515699699</v>
      </c>
      <c r="AE4184">
        <v>7.7527999999999704</v>
      </c>
      <c r="AF4184">
        <v>7.5039544467694599</v>
      </c>
      <c r="AG4184">
        <v>-1.10739515699699</v>
      </c>
      <c r="AH4184">
        <v>32.868010873965098</v>
      </c>
      <c r="AI4184">
        <v>91.8813186167542</v>
      </c>
      <c r="AJ4184">
        <v>77.139468101047797</v>
      </c>
      <c r="AK4184">
        <v>33.7319106364289</v>
      </c>
      <c r="AL4184">
        <v>80.077543355471903</v>
      </c>
      <c r="AM4184">
        <v>87.539568563467896</v>
      </c>
      <c r="AN4184">
        <v>1.0000000396745099</v>
      </c>
    </row>
    <row r="4185" spans="1:40" x14ac:dyDescent="0.25">
      <c r="A4185" t="str">
        <f>"20190312173014012"</f>
        <v>20190312173014012</v>
      </c>
      <c r="B4185" t="str">
        <f>"1552383014002067"</f>
        <v>1552383014002067</v>
      </c>
      <c r="C4185" t="s">
        <v>40</v>
      </c>
      <c r="D4185">
        <v>3.485033</v>
      </c>
      <c r="E4185">
        <v>0.55424640000000003</v>
      </c>
      <c r="F4185" t="s">
        <v>51</v>
      </c>
      <c r="G4185">
        <v>-281.84339999999997</v>
      </c>
      <c r="H4185" s="1">
        <v>-7.0855280000000001E-6</v>
      </c>
      <c r="I4185">
        <v>147.8073</v>
      </c>
      <c r="J4185">
        <v>-249.41370000000001</v>
      </c>
      <c r="K4185">
        <v>1.107369</v>
      </c>
      <c r="L4185">
        <v>140.1069</v>
      </c>
      <c r="M4185">
        <v>-0.99990369999999995</v>
      </c>
      <c r="N4185">
        <v>0</v>
      </c>
      <c r="O4185">
        <v>9.8574660000000005E-3</v>
      </c>
      <c r="P4185">
        <v>-0.9852841</v>
      </c>
      <c r="Q4185">
        <v>0.163331</v>
      </c>
      <c r="R4185">
        <v>5.0376690000000002E-2</v>
      </c>
      <c r="S4185">
        <v>-3.026138</v>
      </c>
      <c r="T4185">
        <v>-0.1024147</v>
      </c>
      <c r="U4185">
        <v>0.71258540000000004</v>
      </c>
      <c r="V4185">
        <v>4.1606570000000002E-2</v>
      </c>
      <c r="W4185">
        <v>0.17272509999999999</v>
      </c>
      <c r="X4185">
        <v>0.98409089999999999</v>
      </c>
      <c r="Y4185">
        <v>0.2194876</v>
      </c>
      <c r="Z4185">
        <v>3.3340499999999999E-3</v>
      </c>
      <c r="AA4185">
        <v>0.97560959999999997</v>
      </c>
      <c r="AB4185">
        <v>31</v>
      </c>
      <c r="AC4185">
        <v>-32.429699999999897</v>
      </c>
      <c r="AD4185">
        <v>-1.1073760855279999</v>
      </c>
      <c r="AE4185">
        <v>7.7004000000000001</v>
      </c>
      <c r="AF4185">
        <v>7.3721986124712799</v>
      </c>
      <c r="AG4185">
        <v>-1.1073760855279999</v>
      </c>
      <c r="AH4185">
        <v>32.4681964536857</v>
      </c>
      <c r="AI4185">
        <v>91.904949102209201</v>
      </c>
      <c r="AJ4185">
        <v>77.207374668472994</v>
      </c>
      <c r="AK4185">
        <v>33.313051123120601</v>
      </c>
      <c r="AL4185">
        <v>80.053699745456896</v>
      </c>
      <c r="AM4185">
        <v>87.5790224634829</v>
      </c>
      <c r="AN4185">
        <v>0.99999998314999194</v>
      </c>
    </row>
    <row r="4186" spans="1:40" x14ac:dyDescent="0.25">
      <c r="A4186" t="str">
        <f>"20190312173014034"</f>
        <v>20190312173014034</v>
      </c>
      <c r="B4186" t="str">
        <f>"1552383014021599"</f>
        <v>1552383014021599</v>
      </c>
      <c r="C4186" t="s">
        <v>40</v>
      </c>
      <c r="D4186">
        <v>3.4178410000000001</v>
      </c>
      <c r="E4186">
        <v>0.53897539999999999</v>
      </c>
      <c r="F4186" t="s">
        <v>41</v>
      </c>
      <c r="G4186">
        <v>-275.37200000000001</v>
      </c>
      <c r="H4186" s="1">
        <v>-3.4267639999999998E-6</v>
      </c>
      <c r="I4186">
        <v>145.1345</v>
      </c>
      <c r="J4186">
        <v>-249.71100000000001</v>
      </c>
      <c r="K4186">
        <v>1.1073500000000001</v>
      </c>
      <c r="L4186">
        <v>140.11250000000001</v>
      </c>
      <c r="M4186">
        <v>-0.99987490000000001</v>
      </c>
      <c r="N4186">
        <v>0</v>
      </c>
      <c r="O4186">
        <v>1.245535E-2</v>
      </c>
      <c r="P4186">
        <v>-0.98518600000000001</v>
      </c>
      <c r="Q4186">
        <v>0.1633559</v>
      </c>
      <c r="R4186">
        <v>5.2187919999999999E-2</v>
      </c>
      <c r="S4186">
        <v>-3.0362089999999999</v>
      </c>
      <c r="T4186">
        <v>-0.12952359999999999</v>
      </c>
      <c r="U4186">
        <v>0.58805850000000004</v>
      </c>
      <c r="V4186">
        <v>4.086592E-2</v>
      </c>
      <c r="W4186">
        <v>0.17274389999999901</v>
      </c>
      <c r="X4186">
        <v>0.98411859999999995</v>
      </c>
      <c r="Y4186">
        <v>0.1777599</v>
      </c>
      <c r="Z4186">
        <v>3.2289459999999999E-3</v>
      </c>
      <c r="AA4186">
        <v>0.98406859999999996</v>
      </c>
      <c r="AB4186">
        <v>31</v>
      </c>
      <c r="AC4186">
        <v>-25.661000000000001</v>
      </c>
      <c r="AD4186">
        <v>-1.1073534267639999</v>
      </c>
      <c r="AE4186">
        <v>5.0219999999999896</v>
      </c>
      <c r="AF4186">
        <v>4.6935605578057196</v>
      </c>
      <c r="AG4186">
        <v>-1.1073534267639999</v>
      </c>
      <c r="AH4186">
        <v>25.675513881449699</v>
      </c>
      <c r="AI4186">
        <v>92.429358398720794</v>
      </c>
      <c r="AJ4186">
        <v>79.640543594842498</v>
      </c>
      <c r="AK4186">
        <v>26.124466605044201</v>
      </c>
      <c r="AL4186">
        <v>80.052605799438993</v>
      </c>
      <c r="AM4186">
        <v>87.622135886662093</v>
      </c>
      <c r="AN4186">
        <v>0.99999994863530595</v>
      </c>
    </row>
    <row r="4187" spans="1:40" x14ac:dyDescent="0.25">
      <c r="A4187" t="str">
        <f>"20190312173014055"</f>
        <v>20190312173014055</v>
      </c>
      <c r="B4187" t="str">
        <f>"1552383014051844"</f>
        <v>1552383014051844</v>
      </c>
      <c r="C4187" t="s">
        <v>40</v>
      </c>
      <c r="D4187">
        <v>3.3741340000000002</v>
      </c>
      <c r="E4187">
        <v>0.52838450000000003</v>
      </c>
      <c r="F4187" t="s">
        <v>41</v>
      </c>
      <c r="G4187">
        <v>-277.35840000000002</v>
      </c>
      <c r="H4187" s="1">
        <v>-2.3886299999999999E-6</v>
      </c>
      <c r="I4187">
        <v>144.4008</v>
      </c>
      <c r="J4187">
        <v>-250.0164</v>
      </c>
      <c r="K4187">
        <v>1.1073360000000001</v>
      </c>
      <c r="L4187">
        <v>140.119</v>
      </c>
      <c r="M4187">
        <v>-0.99983809999999995</v>
      </c>
      <c r="N4187">
        <v>0</v>
      </c>
      <c r="O4187">
        <v>1.51313E-2</v>
      </c>
      <c r="P4187">
        <v>-0.98509999999999998</v>
      </c>
      <c r="Q4187">
        <v>0.1630704</v>
      </c>
      <c r="R4187">
        <v>5.4644989999999997E-2</v>
      </c>
      <c r="S4187">
        <v>-3.0403289999999998</v>
      </c>
      <c r="T4187">
        <v>-0.1217736</v>
      </c>
      <c r="U4187">
        <v>0.47158810000000001</v>
      </c>
      <c r="V4187">
        <v>4.0690650000000002E-2</v>
      </c>
      <c r="W4187">
        <v>0.1724513</v>
      </c>
      <c r="X4187">
        <v>0.98417719999999997</v>
      </c>
      <c r="Y4187">
        <v>0.1382109</v>
      </c>
      <c r="Z4187">
        <v>2.1482839999999999E-3</v>
      </c>
      <c r="AA4187">
        <v>0.99040050000000002</v>
      </c>
      <c r="AB4187">
        <v>31</v>
      </c>
      <c r="AC4187">
        <v>-27.341999999999999</v>
      </c>
      <c r="AD4187">
        <v>-1.1073383886299999</v>
      </c>
      <c r="AE4187">
        <v>4.2817999999999996</v>
      </c>
      <c r="AF4187">
        <v>3.8613882403376301</v>
      </c>
      <c r="AG4187">
        <v>-1.1073383886299999</v>
      </c>
      <c r="AH4187">
        <v>27.3598599445804</v>
      </c>
      <c r="AI4187">
        <v>92.294954166122807</v>
      </c>
      <c r="AJ4187">
        <v>81.966712574571901</v>
      </c>
      <c r="AK4187">
        <v>27.653181618696301</v>
      </c>
      <c r="AL4187">
        <v>80.069626195816994</v>
      </c>
      <c r="AM4187">
        <v>87.632463501985399</v>
      </c>
      <c r="AN4187">
        <v>0.99999997043447497</v>
      </c>
    </row>
    <row r="4188" spans="1:40" x14ac:dyDescent="0.25">
      <c r="A4188" t="str">
        <f>"20190312173014078"</f>
        <v>20190312173014078</v>
      </c>
      <c r="B4188" t="str">
        <f>"1552383014072340"</f>
        <v>1552383014072340</v>
      </c>
      <c r="C4188" t="s">
        <v>40</v>
      </c>
      <c r="D4188">
        <v>3.369256</v>
      </c>
      <c r="E4188">
        <v>0.52504510000000004</v>
      </c>
      <c r="F4188" t="s">
        <v>41</v>
      </c>
      <c r="G4188">
        <v>-278.78699999999998</v>
      </c>
      <c r="H4188" s="1">
        <v>-1.6288500000000001E-6</v>
      </c>
      <c r="I4188">
        <v>143.8486</v>
      </c>
      <c r="J4188">
        <v>-250.33369999999999</v>
      </c>
      <c r="K4188">
        <v>1.107316</v>
      </c>
      <c r="L4188">
        <v>140.1266</v>
      </c>
      <c r="M4188">
        <v>-0.99979200000000001</v>
      </c>
      <c r="N4188">
        <v>0</v>
      </c>
      <c r="O4188">
        <v>1.7915170000000001E-2</v>
      </c>
      <c r="P4188">
        <v>-0.9849386</v>
      </c>
      <c r="Q4188">
        <v>0.16324159999999999</v>
      </c>
      <c r="R4188">
        <v>5.6993599999999998E-2</v>
      </c>
      <c r="S4188">
        <v>-3.0428920000000002</v>
      </c>
      <c r="T4188">
        <v>-0.1171167</v>
      </c>
      <c r="U4188">
        <v>0.39447019999999999</v>
      </c>
      <c r="V4188">
        <v>4.030326E-2</v>
      </c>
      <c r="W4188">
        <v>0.1726162</v>
      </c>
      <c r="X4188">
        <v>0.98416420000000004</v>
      </c>
      <c r="Y4188">
        <v>0.11070530000000001</v>
      </c>
      <c r="Z4188">
        <v>1.434582E-3</v>
      </c>
      <c r="AA4188">
        <v>0.99385230000000002</v>
      </c>
      <c r="AB4188">
        <v>31</v>
      </c>
      <c r="AC4188">
        <v>-28.453299999999999</v>
      </c>
      <c r="AD4188">
        <v>-1.10731762885</v>
      </c>
      <c r="AE4188">
        <v>3.722</v>
      </c>
      <c r="AF4188">
        <v>3.2068574935818099</v>
      </c>
      <c r="AG4188">
        <v>-1.10731762885</v>
      </c>
      <c r="AH4188">
        <v>28.4730186634945</v>
      </c>
      <c r="AI4188">
        <v>92.213135824720794</v>
      </c>
      <c r="AJ4188">
        <v>83.5739744556532</v>
      </c>
      <c r="AK4188">
        <v>28.674429011350998</v>
      </c>
      <c r="AL4188">
        <v>80.060033960811694</v>
      </c>
      <c r="AM4188">
        <v>87.654947097966001</v>
      </c>
      <c r="AN4188">
        <v>0.99999993891535199</v>
      </c>
    </row>
    <row r="4189" spans="1:40" x14ac:dyDescent="0.25">
      <c r="A4189" t="str">
        <f>"20190312173014101"</f>
        <v>20190312173014101</v>
      </c>
      <c r="B4189" t="str">
        <f>"1552383014091863"</f>
        <v>1552383014091863</v>
      </c>
      <c r="C4189" t="s">
        <v>40</v>
      </c>
      <c r="D4189">
        <v>3.3842159999999999</v>
      </c>
      <c r="E4189">
        <v>0.5225476</v>
      </c>
      <c r="F4189" t="s">
        <v>41</v>
      </c>
      <c r="G4189">
        <v>-278.87479999999999</v>
      </c>
      <c r="H4189" s="1">
        <v>-1.536552E-6</v>
      </c>
      <c r="I4189">
        <v>143.64330000000001</v>
      </c>
      <c r="J4189">
        <v>-250.66329999999999</v>
      </c>
      <c r="K4189">
        <v>1.1073010000000001</v>
      </c>
      <c r="L4189">
        <v>140.1354</v>
      </c>
      <c r="M4189">
        <v>-0.99973610000000002</v>
      </c>
      <c r="N4189">
        <v>0</v>
      </c>
      <c r="O4189">
        <v>2.0807570000000001E-2</v>
      </c>
      <c r="P4189">
        <v>-0.98489760000000004</v>
      </c>
      <c r="Q4189">
        <v>0.16265079999999901</v>
      </c>
      <c r="R4189">
        <v>5.9342730000000003E-2</v>
      </c>
      <c r="S4189">
        <v>-3.043777</v>
      </c>
      <c r="T4189">
        <v>-0.1180906</v>
      </c>
      <c r="U4189">
        <v>0.37504579999999998</v>
      </c>
      <c r="V4189">
        <v>3.980185E-2</v>
      </c>
      <c r="W4189">
        <v>0.17202300000000001</v>
      </c>
      <c r="X4189">
        <v>0.98428850000000001</v>
      </c>
      <c r="Y4189">
        <v>0.1015537</v>
      </c>
      <c r="Z4189">
        <v>1.1581810000000001E-3</v>
      </c>
      <c r="AA4189">
        <v>0.99482939999999997</v>
      </c>
      <c r="AB4189">
        <v>31</v>
      </c>
      <c r="AC4189">
        <v>-28.211500000000001</v>
      </c>
      <c r="AD4189">
        <v>-1.1073025365519999</v>
      </c>
      <c r="AE4189">
        <v>3.5078999999999998</v>
      </c>
      <c r="AF4189">
        <v>2.91567648383357</v>
      </c>
      <c r="AG4189">
        <v>-1.1073025365519999</v>
      </c>
      <c r="AH4189">
        <v>28.235549519880401</v>
      </c>
      <c r="AI4189">
        <v>92.233928752614005</v>
      </c>
      <c r="AJ4189">
        <v>84.104384429324099</v>
      </c>
      <c r="AK4189">
        <v>28.4072797880306</v>
      </c>
      <c r="AL4189">
        <v>80.094538328220594</v>
      </c>
      <c r="AM4189">
        <v>87.684381912810395</v>
      </c>
      <c r="AN4189">
        <v>0.99999997551233499</v>
      </c>
    </row>
    <row r="4190" spans="1:40" x14ac:dyDescent="0.25">
      <c r="A4190" t="str">
        <f>"20190312173014123"</f>
        <v>20190312173014123</v>
      </c>
      <c r="B4190" t="str">
        <f>"1552383014112356"</f>
        <v>1552383014112356</v>
      </c>
      <c r="C4190" t="s">
        <v>40</v>
      </c>
      <c r="D4190">
        <v>3.3530869999999999</v>
      </c>
      <c r="E4190">
        <v>0.52111719999999995</v>
      </c>
      <c r="F4190" t="s">
        <v>41</v>
      </c>
      <c r="G4190">
        <v>-278.98739999999998</v>
      </c>
      <c r="H4190" s="1">
        <v>-1.454337E-6</v>
      </c>
      <c r="I4190">
        <v>143.51589999999999</v>
      </c>
      <c r="J4190">
        <v>-250.95920000000001</v>
      </c>
      <c r="K4190">
        <v>1.1072930000000001</v>
      </c>
      <c r="L4190">
        <v>140.14410000000001</v>
      </c>
      <c r="M4190">
        <v>-0.99967879999999998</v>
      </c>
      <c r="N4190">
        <v>0</v>
      </c>
      <c r="O4190">
        <v>2.3402940000000001E-2</v>
      </c>
      <c r="P4190">
        <v>-0.98481660000000004</v>
      </c>
      <c r="Q4190">
        <v>0.1624767</v>
      </c>
      <c r="R4190">
        <v>6.1138159999999997E-2</v>
      </c>
      <c r="S4190">
        <v>-3.0437620000000001</v>
      </c>
      <c r="T4190">
        <v>-0.118992899999999</v>
      </c>
      <c r="U4190">
        <v>0.36328129999999997</v>
      </c>
      <c r="V4190">
        <v>3.9041699999999999E-2</v>
      </c>
      <c r="W4190">
        <v>0.17184920000000001</v>
      </c>
      <c r="X4190">
        <v>0.98434929999999998</v>
      </c>
      <c r="Y4190">
        <v>9.5186000000000007E-2</v>
      </c>
      <c r="Z4190">
        <v>9.4232249999999995E-4</v>
      </c>
      <c r="AA4190">
        <v>0.99545910000000004</v>
      </c>
      <c r="AB4190">
        <v>31</v>
      </c>
      <c r="AC4190">
        <v>-28.028199999999899</v>
      </c>
      <c r="AD4190">
        <v>-1.107294454337</v>
      </c>
      <c r="AE4190">
        <v>3.3717999999999702</v>
      </c>
      <c r="AF4190">
        <v>2.71073266689422</v>
      </c>
      <c r="AG4190">
        <v>-1.107294454337</v>
      </c>
      <c r="AH4190">
        <v>28.0562721032382</v>
      </c>
      <c r="AI4190">
        <v>92.249649572663998</v>
      </c>
      <c r="AJ4190">
        <v>84.481342832081395</v>
      </c>
      <c r="AK4190">
        <v>28.208661381407602</v>
      </c>
      <c r="AL4190">
        <v>80.104646846656905</v>
      </c>
      <c r="AM4190">
        <v>87.728699796837304</v>
      </c>
      <c r="AN4190">
        <v>0.99999997314500899</v>
      </c>
    </row>
    <row r="4191" spans="1:40" x14ac:dyDescent="0.25">
      <c r="A4191" t="str">
        <f>"20190312173014148"</f>
        <v>20190312173014148</v>
      </c>
      <c r="B4191" t="str">
        <f>"1552383014141635"</f>
        <v>1552383014141635</v>
      </c>
      <c r="C4191" t="s">
        <v>40</v>
      </c>
      <c r="D4191">
        <v>3.3807320000000001</v>
      </c>
      <c r="E4191">
        <v>0.51908620000000005</v>
      </c>
      <c r="F4191" t="s">
        <v>41</v>
      </c>
      <c r="G4191">
        <v>-279.23899999999998</v>
      </c>
      <c r="H4191" s="1">
        <v>-1.334104E-6</v>
      </c>
      <c r="I4191">
        <v>143.46960000000001</v>
      </c>
      <c r="J4191">
        <v>-251.30019999999999</v>
      </c>
      <c r="K4191">
        <v>1.1072839999999999</v>
      </c>
      <c r="L4191">
        <v>140.15520000000001</v>
      </c>
      <c r="M4191">
        <v>-0.99960439999999995</v>
      </c>
      <c r="N4191">
        <v>0</v>
      </c>
      <c r="O4191">
        <v>2.6391999999999999E-2</v>
      </c>
      <c r="P4191">
        <v>-0.98464379999999996</v>
      </c>
      <c r="Q4191">
        <v>0.1627461</v>
      </c>
      <c r="R4191">
        <v>6.3171229999999995E-2</v>
      </c>
      <c r="S4191">
        <v>-3.0437159999999999</v>
      </c>
      <c r="T4191">
        <v>-0.1191767</v>
      </c>
      <c r="U4191">
        <v>0.3579254</v>
      </c>
      <c r="V4191">
        <v>3.8135420000000003E-2</v>
      </c>
      <c r="W4191">
        <v>0.17211969999999999</v>
      </c>
      <c r="X4191">
        <v>0.98433760000000003</v>
      </c>
      <c r="Y4191">
        <v>9.0488379999999993E-2</v>
      </c>
      <c r="Z4191">
        <v>7.3578309999999998E-4</v>
      </c>
      <c r="AA4191">
        <v>0.99589720000000004</v>
      </c>
      <c r="AB4191">
        <v>31</v>
      </c>
      <c r="AC4191">
        <v>-27.938800000000001</v>
      </c>
      <c r="AD4191">
        <v>-1.1072853341040001</v>
      </c>
      <c r="AE4191">
        <v>3.3144</v>
      </c>
      <c r="AF4191">
        <v>2.57186606978666</v>
      </c>
      <c r="AG4191">
        <v>-1.1072853341040001</v>
      </c>
      <c r="AH4191">
        <v>27.973216149124902</v>
      </c>
      <c r="AI4191">
        <v>92.257289013601806</v>
      </c>
      <c r="AJ4191">
        <v>84.746976550554905</v>
      </c>
      <c r="AK4191">
        <v>28.113011180193801</v>
      </c>
      <c r="AL4191">
        <v>80.088914241527505</v>
      </c>
      <c r="AM4191">
        <v>87.781344122779601</v>
      </c>
      <c r="AN4191">
        <v>1.0000000060802099</v>
      </c>
    </row>
    <row r="4192" spans="1:40" x14ac:dyDescent="0.25">
      <c r="A4192" t="str">
        <f>"20190312173014167"</f>
        <v>20190312173014167</v>
      </c>
      <c r="B4192" t="str">
        <f>"1552383014162131"</f>
        <v>1552383014162131</v>
      </c>
      <c r="C4192" t="s">
        <v>40</v>
      </c>
      <c r="D4192">
        <v>3.3390919999999999</v>
      </c>
      <c r="E4192">
        <v>0.51822599999999996</v>
      </c>
      <c r="F4192" t="s">
        <v>41</v>
      </c>
      <c r="G4192">
        <v>-279.89440000000002</v>
      </c>
      <c r="H4192" s="1">
        <v>-1.0424660000000001E-6</v>
      </c>
      <c r="I4192">
        <v>143.43029999999999</v>
      </c>
      <c r="J4192">
        <v>-251.59649999999999</v>
      </c>
      <c r="K4192">
        <v>1.1072770000000001</v>
      </c>
      <c r="L4192">
        <v>140.16560000000001</v>
      </c>
      <c r="M4192">
        <v>-0.99953250000000005</v>
      </c>
      <c r="N4192">
        <v>0</v>
      </c>
      <c r="O4192">
        <v>2.8987599999999999E-2</v>
      </c>
      <c r="P4192">
        <v>-0.98455309999999996</v>
      </c>
      <c r="Q4192">
        <v>0.162750799999999</v>
      </c>
      <c r="R4192">
        <v>6.4557420000000004E-2</v>
      </c>
      <c r="S4192">
        <v>-3.0439150000000001</v>
      </c>
      <c r="T4192">
        <v>-0.11787300000000001</v>
      </c>
      <c r="U4192">
        <v>0.34864810000000002</v>
      </c>
      <c r="V4192">
        <v>3.6966430000000002E-2</v>
      </c>
      <c r="W4192">
        <v>0.17212769999999999</v>
      </c>
      <c r="X4192">
        <v>0.98438079999999994</v>
      </c>
      <c r="Y4192">
        <v>8.4905519999999998E-2</v>
      </c>
      <c r="Z4192">
        <v>5.2006139999999997E-4</v>
      </c>
      <c r="AA4192">
        <v>0.99638890000000002</v>
      </c>
      <c r="AB4192">
        <v>31</v>
      </c>
      <c r="AC4192">
        <v>-28.297899999999998</v>
      </c>
      <c r="AD4192">
        <v>-1.107278042466</v>
      </c>
      <c r="AE4192">
        <v>3.2646999999999702</v>
      </c>
      <c r="AF4192">
        <v>2.43931519213668</v>
      </c>
      <c r="AG4192">
        <v>-1.107278042466</v>
      </c>
      <c r="AH4192">
        <v>28.337829294400802</v>
      </c>
      <c r="AI4192">
        <v>92.229412400770599</v>
      </c>
      <c r="AJ4192">
        <v>85.080117476627706</v>
      </c>
      <c r="AK4192">
        <v>28.464168570125398</v>
      </c>
      <c r="AL4192">
        <v>80.088448977255993</v>
      </c>
      <c r="AM4192">
        <v>87.849383455043906</v>
      </c>
      <c r="AN4192">
        <v>1.00000001073143</v>
      </c>
    </row>
    <row r="4193" spans="1:40" x14ac:dyDescent="0.25">
      <c r="A4193" t="str">
        <f>"20190312173014190"</f>
        <v>20190312173014190</v>
      </c>
      <c r="B4193" t="str">
        <f>"1552383014181654"</f>
        <v>1552383014181654</v>
      </c>
      <c r="C4193" t="s">
        <v>40</v>
      </c>
      <c r="D4193">
        <v>3.311423</v>
      </c>
      <c r="E4193">
        <v>0.51748509999999903</v>
      </c>
      <c r="F4193" t="s">
        <v>51</v>
      </c>
      <c r="G4193">
        <v>-280.1474</v>
      </c>
      <c r="H4193" s="1">
        <v>-4.9123170000000002E-6</v>
      </c>
      <c r="I4193">
        <v>143.41569999999999</v>
      </c>
      <c r="J4193">
        <v>-251.9084</v>
      </c>
      <c r="K4193">
        <v>1.1072649999999999</v>
      </c>
      <c r="L4193">
        <v>140.17740000000001</v>
      </c>
      <c r="M4193">
        <v>-0.99944960000000005</v>
      </c>
      <c r="N4193">
        <v>0</v>
      </c>
      <c r="O4193">
        <v>3.1718330000000003E-2</v>
      </c>
      <c r="P4193">
        <v>-0.98453809999999997</v>
      </c>
      <c r="Q4193">
        <v>0.16243640000000001</v>
      </c>
      <c r="R4193">
        <v>6.5569879999999997E-2</v>
      </c>
      <c r="S4193">
        <v>-3.0438689999999999</v>
      </c>
      <c r="T4193">
        <v>-0.1180495</v>
      </c>
      <c r="U4193">
        <v>0.34649659999999999</v>
      </c>
      <c r="V4193">
        <v>3.5286070000000003E-2</v>
      </c>
      <c r="W4193">
        <v>0.17182140000000001</v>
      </c>
      <c r="X4193">
        <v>0.98449589999999998</v>
      </c>
      <c r="Y4193">
        <v>8.1493709999999997E-2</v>
      </c>
      <c r="Z4193">
        <v>3.4954099999999998E-4</v>
      </c>
      <c r="AA4193">
        <v>0.99667380000000005</v>
      </c>
      <c r="AB4193">
        <v>31</v>
      </c>
      <c r="AC4193">
        <v>-28.239000000000001</v>
      </c>
      <c r="AD4193">
        <v>-1.107269912317</v>
      </c>
      <c r="AE4193">
        <v>3.2382999999999802</v>
      </c>
      <c r="AF4193">
        <v>2.3373872332597201</v>
      </c>
      <c r="AG4193">
        <v>-1.107269912317</v>
      </c>
      <c r="AH4193">
        <v>28.284586012065699</v>
      </c>
      <c r="AI4193">
        <v>92.234231783770099</v>
      </c>
      <c r="AJ4193">
        <v>85.275914193034595</v>
      </c>
      <c r="AK4193">
        <v>28.402591987543499</v>
      </c>
      <c r="AL4193">
        <v>80.106263374767906</v>
      </c>
      <c r="AM4193">
        <v>87.947296863943706</v>
      </c>
      <c r="AN4193">
        <v>0.99999993867540504</v>
      </c>
    </row>
    <row r="4194" spans="1:40" x14ac:dyDescent="0.25">
      <c r="A4194" t="str">
        <f>"20190312173014213"</f>
        <v>20190312173014213</v>
      </c>
      <c r="B4194" t="str">
        <f>"1552383014202151"</f>
        <v>1552383014202151</v>
      </c>
      <c r="C4194" t="s">
        <v>40</v>
      </c>
      <c r="D4194">
        <v>3.3030490000000001</v>
      </c>
      <c r="E4194">
        <v>0.51687090000000002</v>
      </c>
      <c r="F4194" t="s">
        <v>51</v>
      </c>
      <c r="G4194">
        <v>-280.38569999999999</v>
      </c>
      <c r="H4194" s="1">
        <v>-5.0126320000000001E-6</v>
      </c>
      <c r="I4194">
        <v>143.399</v>
      </c>
      <c r="J4194">
        <v>-252.23429999999999</v>
      </c>
      <c r="K4194">
        <v>1.1072550000000001</v>
      </c>
      <c r="L4194">
        <v>140.19059999999999</v>
      </c>
      <c r="M4194">
        <v>-0.99935499999999999</v>
      </c>
      <c r="N4194">
        <v>0</v>
      </c>
      <c r="O4194">
        <v>3.4570999999999998E-2</v>
      </c>
      <c r="P4194">
        <v>-0.9845642</v>
      </c>
      <c r="Q4194">
        <v>0.16192049999999999</v>
      </c>
      <c r="R4194">
        <v>6.6446160000000004E-2</v>
      </c>
      <c r="S4194">
        <v>-3.0437159999999999</v>
      </c>
      <c r="T4194">
        <v>-0.11834740000000001</v>
      </c>
      <c r="U4194">
        <v>0.34432980000000002</v>
      </c>
      <c r="V4194">
        <v>3.3345859999999998E-2</v>
      </c>
      <c r="W4194">
        <v>0.17131360000000001</v>
      </c>
      <c r="X4194">
        <v>0.98465199999999997</v>
      </c>
      <c r="Y4194">
        <v>7.7958029999999998E-2</v>
      </c>
      <c r="Z4194">
        <v>1.715749E-4</v>
      </c>
      <c r="AA4194">
        <v>0.99695659999999997</v>
      </c>
      <c r="AB4194">
        <v>31</v>
      </c>
      <c r="AC4194">
        <v>-28.151399999999899</v>
      </c>
      <c r="AD4194">
        <v>-1.10726001263199</v>
      </c>
      <c r="AE4194">
        <v>3.2084000000000099</v>
      </c>
      <c r="AF4194">
        <v>2.2298086236530099</v>
      </c>
      <c r="AG4194">
        <v>-1.10726001263199</v>
      </c>
      <c r="AH4194">
        <v>28.202422985819499</v>
      </c>
      <c r="AI4194">
        <v>92.241356874124506</v>
      </c>
      <c r="AJ4194">
        <v>85.479345759662195</v>
      </c>
      <c r="AK4194">
        <v>28.312095180413099</v>
      </c>
      <c r="AL4194">
        <v>80.135795972577696</v>
      </c>
      <c r="AM4194">
        <v>88.060383624864201</v>
      </c>
      <c r="AN4194">
        <v>0.99999992851404695</v>
      </c>
    </row>
    <row r="4195" spans="1:40" x14ac:dyDescent="0.25">
      <c r="A4195" t="str">
        <f>"20190312173014235"</f>
        <v>20190312173014235</v>
      </c>
      <c r="B4195" t="str">
        <f>"1552383014231429"</f>
        <v>1552383014231429</v>
      </c>
      <c r="C4195" t="s">
        <v>40</v>
      </c>
      <c r="D4195">
        <v>3.3065220000000002</v>
      </c>
      <c r="E4195">
        <v>0.51590130000000001</v>
      </c>
      <c r="F4195" t="s">
        <v>51</v>
      </c>
      <c r="G4195">
        <v>-280.40550000000002</v>
      </c>
      <c r="H4195" s="1">
        <v>-5.0108060000000001E-6</v>
      </c>
      <c r="I4195">
        <v>143.3663</v>
      </c>
      <c r="J4195">
        <v>-252.54169999999999</v>
      </c>
      <c r="K4195">
        <v>1.1072439999999999</v>
      </c>
      <c r="L4195">
        <v>140.2039</v>
      </c>
      <c r="M4195">
        <v>-0.99925850000000005</v>
      </c>
      <c r="N4195">
        <v>0</v>
      </c>
      <c r="O4195">
        <v>3.7260790000000002E-2</v>
      </c>
      <c r="P4195">
        <v>-0.98450910000000003</v>
      </c>
      <c r="Q4195">
        <v>0.16199069999999999</v>
      </c>
      <c r="R4195">
        <v>6.7090140000000006E-2</v>
      </c>
      <c r="S4195">
        <v>-3.0435639999999999</v>
      </c>
      <c r="T4195">
        <v>-0.1196265</v>
      </c>
      <c r="U4195">
        <v>0.34309390000000001</v>
      </c>
      <c r="V4195">
        <v>3.133992E-2</v>
      </c>
      <c r="W4195">
        <v>0.17138779999999901</v>
      </c>
      <c r="X4195">
        <v>0.98470500000000005</v>
      </c>
      <c r="Y4195">
        <v>7.4883720000000001E-2</v>
      </c>
      <c r="Z4195" s="1">
        <v>8.0392930000000003E-6</v>
      </c>
      <c r="AA4195">
        <v>0.99719230000000003</v>
      </c>
      <c r="AB4195">
        <v>31</v>
      </c>
      <c r="AC4195">
        <v>-27.863800000000001</v>
      </c>
      <c r="AD4195">
        <v>-1.107249010806</v>
      </c>
      <c r="AE4195">
        <v>3.1623999999999901</v>
      </c>
      <c r="AF4195">
        <v>2.1186247252634902</v>
      </c>
      <c r="AG4195">
        <v>-1.107249010806</v>
      </c>
      <c r="AH4195">
        <v>27.9187620590093</v>
      </c>
      <c r="AI4195">
        <v>92.264637318854994</v>
      </c>
      <c r="AJ4195">
        <v>85.660407561305604</v>
      </c>
      <c r="AK4195">
        <v>28.020918007909899</v>
      </c>
      <c r="AL4195">
        <v>80.131481046573796</v>
      </c>
      <c r="AM4195">
        <v>88.177079205211797</v>
      </c>
      <c r="AN4195">
        <v>0.99999995279972198</v>
      </c>
    </row>
    <row r="4196" spans="1:40" x14ac:dyDescent="0.25">
      <c r="A4196" t="str">
        <f>"20190312173014256"</f>
        <v>20190312173014256</v>
      </c>
      <c r="B4196" t="str">
        <f>"1552383014251924"</f>
        <v>1552383014251924</v>
      </c>
      <c r="C4196" t="s">
        <v>40</v>
      </c>
      <c r="D4196">
        <v>3.312173</v>
      </c>
      <c r="E4196">
        <v>0.51539209999999902</v>
      </c>
      <c r="F4196" t="s">
        <v>51</v>
      </c>
      <c r="G4196">
        <v>-281.04450000000003</v>
      </c>
      <c r="H4196" s="1">
        <v>-5.2936670000000004E-6</v>
      </c>
      <c r="I4196">
        <v>143.3647</v>
      </c>
      <c r="J4196">
        <v>-252.85640000000001</v>
      </c>
      <c r="K4196">
        <v>1.1072409999999999</v>
      </c>
      <c r="L4196">
        <v>140.2184</v>
      </c>
      <c r="M4196">
        <v>-0.99915200000000004</v>
      </c>
      <c r="N4196">
        <v>0</v>
      </c>
      <c r="O4196">
        <v>4.0012800000000001E-2</v>
      </c>
      <c r="P4196">
        <v>-0.98443650000000005</v>
      </c>
      <c r="Q4196">
        <v>0.16216949999999999</v>
      </c>
      <c r="R4196">
        <v>6.7720199999999994E-2</v>
      </c>
      <c r="S4196">
        <v>-3.0436709999999998</v>
      </c>
      <c r="T4196">
        <v>-0.11823790000000001</v>
      </c>
      <c r="U4196">
        <v>0.3375244</v>
      </c>
      <c r="V4196">
        <v>2.9259170000000001E-2</v>
      </c>
      <c r="W4196">
        <v>0.1715711</v>
      </c>
      <c r="X4196">
        <v>0.98473719999999998</v>
      </c>
      <c r="Y4196">
        <v>7.0336490000000002E-2</v>
      </c>
      <c r="Z4196">
        <v>-1.8645900000000001E-4</v>
      </c>
      <c r="AA4196">
        <v>0.9975233</v>
      </c>
      <c r="AB4196">
        <v>32</v>
      </c>
      <c r="AC4196">
        <v>-28.188099999999999</v>
      </c>
      <c r="AD4196">
        <v>-1.107246293667</v>
      </c>
      <c r="AE4196">
        <v>3.1462999999999899</v>
      </c>
      <c r="AF4196">
        <v>2.0127747047839302</v>
      </c>
      <c r="AG4196">
        <v>-1.107246293667</v>
      </c>
      <c r="AH4196">
        <v>28.248372136940201</v>
      </c>
      <c r="AI4196">
        <v>92.238992497318307</v>
      </c>
      <c r="AJ4196">
        <v>85.924405011636907</v>
      </c>
      <c r="AK4196">
        <v>28.341626360428201</v>
      </c>
      <c r="AL4196">
        <v>80.120821769453499</v>
      </c>
      <c r="AM4196">
        <v>88.298090217572394</v>
      </c>
      <c r="AN4196">
        <v>1.00000004722406</v>
      </c>
    </row>
    <row r="4197" spans="1:40" x14ac:dyDescent="0.25">
      <c r="A4197" t="str">
        <f>"20190312173014279"</f>
        <v>20190312173014279</v>
      </c>
      <c r="B4197" t="str">
        <f>"1552383014272420"</f>
        <v>1552383014272420</v>
      </c>
      <c r="C4197" t="s">
        <v>40</v>
      </c>
      <c r="D4197">
        <v>3.2935099999999999</v>
      </c>
      <c r="E4197">
        <v>0.51491069999999906</v>
      </c>
      <c r="F4197" t="s">
        <v>51</v>
      </c>
      <c r="G4197">
        <v>-281.64440000000002</v>
      </c>
      <c r="H4197" s="1">
        <v>-5.5689189999999996E-6</v>
      </c>
      <c r="I4197">
        <v>143.3931</v>
      </c>
      <c r="J4197">
        <v>-253.1679</v>
      </c>
      <c r="K4197">
        <v>1.107235</v>
      </c>
      <c r="L4197">
        <v>140.2336</v>
      </c>
      <c r="M4197">
        <v>-0.99903920000000002</v>
      </c>
      <c r="N4197">
        <v>0</v>
      </c>
      <c r="O4197">
        <v>4.273714E-2</v>
      </c>
      <c r="P4197">
        <v>-0.98433419999999905</v>
      </c>
      <c r="Q4197">
        <v>0.1625828</v>
      </c>
      <c r="R4197">
        <v>6.8212930000000005E-2</v>
      </c>
      <c r="S4197">
        <v>-3.0436550000000002</v>
      </c>
      <c r="T4197">
        <v>-0.11706519999999999</v>
      </c>
      <c r="U4197">
        <v>0.33564759999999999</v>
      </c>
      <c r="V4197">
        <v>2.7070830000000001E-2</v>
      </c>
      <c r="W4197">
        <v>0.17198959999999999</v>
      </c>
      <c r="X4197">
        <v>0.98472669999999995</v>
      </c>
      <c r="Y4197">
        <v>6.7013799999999998E-2</v>
      </c>
      <c r="Z4197">
        <v>-3.5255360000000001E-4</v>
      </c>
      <c r="AA4197">
        <v>0.99775199999999997</v>
      </c>
      <c r="AB4197">
        <v>32</v>
      </c>
      <c r="AC4197">
        <v>-28.476500000000001</v>
      </c>
      <c r="AD4197">
        <v>-1.1072405689189999</v>
      </c>
      <c r="AE4197">
        <v>3.1595</v>
      </c>
      <c r="AF4197">
        <v>1.9366592066885999</v>
      </c>
      <c r="AG4197">
        <v>-1.1072405689189999</v>
      </c>
      <c r="AH4197">
        <v>28.542886368648102</v>
      </c>
      <c r="AI4197">
        <v>92.216422911072698</v>
      </c>
      <c r="AJ4197">
        <v>86.118381803935193</v>
      </c>
      <c r="AK4197">
        <v>28.629931764045001</v>
      </c>
      <c r="AL4197">
        <v>80.0964808356145</v>
      </c>
      <c r="AM4197">
        <v>88.425295306935496</v>
      </c>
      <c r="AN4197">
        <v>0.99999996301896799</v>
      </c>
    </row>
    <row r="4198" spans="1:40" x14ac:dyDescent="0.25">
      <c r="A4198" t="str">
        <f>"20190312173014302"</f>
        <v>20190312173014302</v>
      </c>
      <c r="B4198" t="str">
        <f>"1552383014291943"</f>
        <v>1552383014291943</v>
      </c>
      <c r="C4198" t="s">
        <v>40</v>
      </c>
      <c r="D4198">
        <v>3.2899389999999999</v>
      </c>
      <c r="E4198">
        <v>0.51450600000000002</v>
      </c>
      <c r="F4198" t="s">
        <v>51</v>
      </c>
      <c r="G4198">
        <v>-282.53309999999999</v>
      </c>
      <c r="H4198" s="1">
        <v>-5.98276999999999E-6</v>
      </c>
      <c r="I4198">
        <v>143.45419999999999</v>
      </c>
      <c r="J4198">
        <v>-253.50489999999999</v>
      </c>
      <c r="K4198">
        <v>1.107232</v>
      </c>
      <c r="L4198">
        <v>140.251</v>
      </c>
      <c r="M4198">
        <v>-0.99890889999999999</v>
      </c>
      <c r="N4198">
        <v>0</v>
      </c>
      <c r="O4198">
        <v>4.5683939999999999E-2</v>
      </c>
      <c r="P4198">
        <v>-0.98427419999999999</v>
      </c>
      <c r="Q4198">
        <v>0.16261210000000001</v>
      </c>
      <c r="R4198">
        <v>6.9006460000000006E-2</v>
      </c>
      <c r="S4198">
        <v>-3.0435789999999998</v>
      </c>
      <c r="T4198">
        <v>-0.114761</v>
      </c>
      <c r="U4198">
        <v>0.33380130000000002</v>
      </c>
      <c r="V4198">
        <v>2.4959510000000001E-2</v>
      </c>
      <c r="W4198">
        <v>0.17202390000000001</v>
      </c>
      <c r="X4198">
        <v>0.98477650000000005</v>
      </c>
      <c r="Y4198">
        <v>6.3480120000000001E-2</v>
      </c>
      <c r="Z4198">
        <v>-5.2257249999999996E-4</v>
      </c>
      <c r="AA4198">
        <v>0.99798299999999995</v>
      </c>
      <c r="AB4198">
        <v>32</v>
      </c>
      <c r="AC4198">
        <v>-29.028199999999998</v>
      </c>
      <c r="AD4198">
        <v>-1.1072379827700001</v>
      </c>
      <c r="AE4198">
        <v>3.2031999999999798</v>
      </c>
      <c r="AF4198">
        <v>1.8709810974754899</v>
      </c>
      <c r="AG4198">
        <v>-1.1072379827700001</v>
      </c>
      <c r="AH4198">
        <v>29.102399212881</v>
      </c>
      <c r="AI4198">
        <v>92.174355765611594</v>
      </c>
      <c r="AJ4198">
        <v>86.321540553297993</v>
      </c>
      <c r="AK4198">
        <v>29.183491671893801</v>
      </c>
      <c r="AL4198">
        <v>80.094485997880199</v>
      </c>
      <c r="AM4198">
        <v>88.548128962015497</v>
      </c>
      <c r="AN4198">
        <v>0.99999997713144995</v>
      </c>
    </row>
    <row r="4199" spans="1:40" x14ac:dyDescent="0.25">
      <c r="A4199" t="str">
        <f>"20190312173014327"</f>
        <v>20190312173014327</v>
      </c>
      <c r="B4199" t="str">
        <f>"1552383014322196"</f>
        <v>1552383014322196</v>
      </c>
      <c r="C4199" t="s">
        <v>40</v>
      </c>
      <c r="D4199">
        <v>3.2866240000000002</v>
      </c>
      <c r="E4199">
        <v>0.51398060000000001</v>
      </c>
      <c r="F4199" t="s">
        <v>51</v>
      </c>
      <c r="G4199">
        <v>-283.1026</v>
      </c>
      <c r="H4199" s="1">
        <v>-6.2480070000000001E-6</v>
      </c>
      <c r="I4199">
        <v>143.49340000000001</v>
      </c>
      <c r="J4199">
        <v>-253.83160000000001</v>
      </c>
      <c r="K4199">
        <v>1.1072249999999999</v>
      </c>
      <c r="L4199">
        <v>140.2688</v>
      </c>
      <c r="M4199">
        <v>-0.99877439999999995</v>
      </c>
      <c r="N4199">
        <v>0</v>
      </c>
      <c r="O4199">
        <v>4.853971E-2</v>
      </c>
      <c r="P4199">
        <v>-0.98420960000000002</v>
      </c>
      <c r="Q4199">
        <v>0.16266329999999901</v>
      </c>
      <c r="R4199">
        <v>6.9801409999999994E-2</v>
      </c>
      <c r="S4199">
        <v>-3.0433650000000001</v>
      </c>
      <c r="T4199">
        <v>-0.1138513</v>
      </c>
      <c r="U4199">
        <v>0.33340449999999999</v>
      </c>
      <c r="V4199">
        <v>2.2939330000000001E-2</v>
      </c>
      <c r="W4199">
        <v>0.17208119999999999</v>
      </c>
      <c r="X4199">
        <v>0.98481569999999996</v>
      </c>
      <c r="Y4199">
        <v>6.0509779999999999E-2</v>
      </c>
      <c r="Z4199">
        <v>-6.8010619999999897E-4</v>
      </c>
      <c r="AA4199">
        <v>0.99816740000000004</v>
      </c>
      <c r="AB4199">
        <v>32</v>
      </c>
      <c r="AC4199">
        <v>-29.270999999999901</v>
      </c>
      <c r="AD4199">
        <v>-1.1072312480069999</v>
      </c>
      <c r="AE4199">
        <v>3.2246000000000001</v>
      </c>
      <c r="AF4199">
        <v>1.79738531711312</v>
      </c>
      <c r="AG4199">
        <v>-1.1072312480069999</v>
      </c>
      <c r="AH4199">
        <v>29.351527384673702</v>
      </c>
      <c r="AI4199">
        <v>92.156315927676204</v>
      </c>
      <c r="AJ4199">
        <v>86.495781798859497</v>
      </c>
      <c r="AK4199">
        <v>29.427346377612501</v>
      </c>
      <c r="AL4199">
        <v>80.091154056456702</v>
      </c>
      <c r="AM4199">
        <v>88.665649655290594</v>
      </c>
      <c r="AN4199">
        <v>1.00000005761038</v>
      </c>
    </row>
    <row r="4200" spans="1:40" x14ac:dyDescent="0.25">
      <c r="A4200" t="str">
        <f>"20190312173014349"</f>
        <v>20190312173014349</v>
      </c>
      <c r="B4200" t="str">
        <f>"1552383014341717"</f>
        <v>1552383014341717</v>
      </c>
      <c r="C4200" t="s">
        <v>40</v>
      </c>
      <c r="D4200">
        <v>3.291201</v>
      </c>
      <c r="E4200">
        <v>0.51369920000000002</v>
      </c>
      <c r="F4200" t="s">
        <v>51</v>
      </c>
      <c r="G4200">
        <v>-283.72449999999998</v>
      </c>
      <c r="H4200" s="1">
        <v>-6.5349749999999899E-6</v>
      </c>
      <c r="I4200">
        <v>143.52799999999999</v>
      </c>
      <c r="J4200">
        <v>-254.15539999999999</v>
      </c>
      <c r="K4200">
        <v>1.107216</v>
      </c>
      <c r="L4200">
        <v>140.28739999999999</v>
      </c>
      <c r="M4200">
        <v>-0.99863279999999999</v>
      </c>
      <c r="N4200">
        <v>0</v>
      </c>
      <c r="O4200">
        <v>5.1369499999999998E-2</v>
      </c>
      <c r="P4200">
        <v>-0.98415799999999998</v>
      </c>
      <c r="Q4200">
        <v>0.16259770000000001</v>
      </c>
      <c r="R4200">
        <v>7.0676820000000001E-2</v>
      </c>
      <c r="S4200">
        <v>-3.0432589999999999</v>
      </c>
      <c r="T4200">
        <v>-0.1127224</v>
      </c>
      <c r="U4200">
        <v>0.3318024</v>
      </c>
      <c r="V4200">
        <v>2.1023670000000001E-2</v>
      </c>
      <c r="W4200">
        <v>0.17202200000000001</v>
      </c>
      <c r="X4200">
        <v>0.98486879999999999</v>
      </c>
      <c r="Y4200">
        <v>5.7169999999999999E-2</v>
      </c>
      <c r="Z4200">
        <v>-8.393001E-4</v>
      </c>
      <c r="AA4200">
        <v>0.99836409999999998</v>
      </c>
      <c r="AB4200">
        <v>32</v>
      </c>
      <c r="AC4200">
        <v>-29.569099999999899</v>
      </c>
      <c r="AD4200">
        <v>-1.107222534975</v>
      </c>
      <c r="AE4200">
        <v>3.2406000000000001</v>
      </c>
      <c r="AF4200">
        <v>1.71492399346754</v>
      </c>
      <c r="AG4200">
        <v>-1.107222534975</v>
      </c>
      <c r="AH4200">
        <v>29.655444721582899</v>
      </c>
      <c r="AI4200">
        <v>92.134652303811194</v>
      </c>
      <c r="AJ4200">
        <v>86.690368373213303</v>
      </c>
      <c r="AK4200">
        <v>29.7256170277454</v>
      </c>
      <c r="AL4200">
        <v>80.094597318335303</v>
      </c>
      <c r="AM4200">
        <v>88.777111585867502</v>
      </c>
      <c r="AN4200">
        <v>1.00000005819885</v>
      </c>
    </row>
    <row r="4201" spans="1:40" x14ac:dyDescent="0.25">
      <c r="A4201" t="str">
        <f>"20190312173014371"</f>
        <v>20190312173014371</v>
      </c>
      <c r="B4201" t="str">
        <f>"1552383014362212"</f>
        <v>1552383014362212</v>
      </c>
      <c r="C4201" t="s">
        <v>40</v>
      </c>
      <c r="D4201">
        <v>3.263865</v>
      </c>
      <c r="E4201">
        <v>0.51338569999999994</v>
      </c>
      <c r="F4201" t="s">
        <v>51</v>
      </c>
      <c r="G4201">
        <v>-284.13639999999998</v>
      </c>
      <c r="H4201" s="1">
        <v>-6.7281330000000003E-6</v>
      </c>
      <c r="I4201">
        <v>143.56039999999999</v>
      </c>
      <c r="J4201">
        <v>-254.48480000000001</v>
      </c>
      <c r="K4201">
        <v>1.107205</v>
      </c>
      <c r="L4201">
        <v>140.3073</v>
      </c>
      <c r="M4201">
        <v>-0.9984807</v>
      </c>
      <c r="N4201">
        <v>0</v>
      </c>
      <c r="O4201">
        <v>5.4246379999999997E-2</v>
      </c>
      <c r="P4201">
        <v>-0.98407549999999999</v>
      </c>
      <c r="Q4201">
        <v>0.16263559999999999</v>
      </c>
      <c r="R4201">
        <v>7.1729600000000004E-2</v>
      </c>
      <c r="S4201">
        <v>-3.042999</v>
      </c>
      <c r="T4201">
        <v>-0.11238049999999999</v>
      </c>
      <c r="U4201">
        <v>0.33219910000000002</v>
      </c>
      <c r="V4201">
        <v>1.9239849999999999E-2</v>
      </c>
      <c r="W4201">
        <v>0.17206379999999999</v>
      </c>
      <c r="X4201">
        <v>0.98489789999999999</v>
      </c>
      <c r="Y4201">
        <v>5.4435079999999997E-2</v>
      </c>
      <c r="Z4201">
        <v>-9.9279139999999995E-4</v>
      </c>
      <c r="AA4201">
        <v>0.99851679999999998</v>
      </c>
      <c r="AB4201">
        <v>32</v>
      </c>
      <c r="AC4201">
        <v>-29.651599999999899</v>
      </c>
      <c r="AD4201">
        <v>-1.1072117281330001</v>
      </c>
      <c r="AE4201">
        <v>3.2530999999999799</v>
      </c>
      <c r="AF4201">
        <v>1.63748632466584</v>
      </c>
      <c r="AG4201">
        <v>-1.1072117281330001</v>
      </c>
      <c r="AH4201">
        <v>29.7434346167366</v>
      </c>
      <c r="AI4201">
        <v>92.128654390120005</v>
      </c>
      <c r="AJ4201">
        <v>86.848836024462898</v>
      </c>
      <c r="AK4201">
        <v>29.809045306323799</v>
      </c>
      <c r="AL4201">
        <v>80.092165504333707</v>
      </c>
      <c r="AM4201">
        <v>88.880876879694398</v>
      </c>
      <c r="AN4201">
        <v>0.99999999826143604</v>
      </c>
    </row>
    <row r="4202" spans="1:40" x14ac:dyDescent="0.25">
      <c r="A4202" t="str">
        <f>"20190312173014392"</f>
        <v>20190312173014392</v>
      </c>
      <c r="B4202" t="str">
        <f>"1552383014381732"</f>
        <v>1552383014381732</v>
      </c>
      <c r="C4202" t="s">
        <v>40</v>
      </c>
      <c r="D4202">
        <v>3.273622</v>
      </c>
      <c r="E4202">
        <v>0.51316799999999996</v>
      </c>
      <c r="F4202" t="s">
        <v>51</v>
      </c>
      <c r="G4202">
        <v>-284.59519999999998</v>
      </c>
      <c r="H4202" s="1">
        <v>-6.9441769999999999E-6</v>
      </c>
      <c r="I4202">
        <v>143.5993</v>
      </c>
      <c r="J4202">
        <v>-254.78149999999999</v>
      </c>
      <c r="K4202">
        <v>1.107194</v>
      </c>
      <c r="L4202">
        <v>140.32599999999999</v>
      </c>
      <c r="M4202">
        <v>-0.99833689999999997</v>
      </c>
      <c r="N4202">
        <v>0</v>
      </c>
      <c r="O4202">
        <v>5.6834059999999999E-2</v>
      </c>
      <c r="P4202">
        <v>-0.98410989999999998</v>
      </c>
      <c r="Q4202">
        <v>0.16222490000000001</v>
      </c>
      <c r="R4202">
        <v>7.2185260000000001E-2</v>
      </c>
      <c r="S4202">
        <v>-3.04277</v>
      </c>
      <c r="T4202">
        <v>-0.1118881</v>
      </c>
      <c r="U4202">
        <v>0.33267210000000003</v>
      </c>
      <c r="V4202">
        <v>1.7135339999999999E-2</v>
      </c>
      <c r="W4202">
        <v>0.17165610000000001</v>
      </c>
      <c r="X4202">
        <v>0.98500790000000005</v>
      </c>
      <c r="Y4202">
        <v>5.2011799999999997E-2</v>
      </c>
      <c r="Z4202">
        <v>-1.1275040000000001E-3</v>
      </c>
      <c r="AA4202">
        <v>0.99864580000000003</v>
      </c>
      <c r="AB4202">
        <v>32</v>
      </c>
      <c r="AC4202">
        <v>-29.813699999999901</v>
      </c>
      <c r="AD4202">
        <v>-1.1072009441769901</v>
      </c>
      <c r="AE4202">
        <v>3.2732999999999999</v>
      </c>
      <c r="AF4202">
        <v>1.5713546148862401</v>
      </c>
      <c r="AG4202">
        <v>-1.1072009441769901</v>
      </c>
      <c r="AH4202">
        <v>29.910788355976699</v>
      </c>
      <c r="AI4202">
        <v>92.117020394930293</v>
      </c>
      <c r="AJ4202">
        <v>86.992747330368601</v>
      </c>
      <c r="AK4202">
        <v>29.9724925445406</v>
      </c>
      <c r="AL4202">
        <v>80.115877815199397</v>
      </c>
      <c r="AM4202">
        <v>89.003374853241496</v>
      </c>
      <c r="AN4202">
        <v>0.99999999980326704</v>
      </c>
    </row>
    <row r="4203" spans="1:40" x14ac:dyDescent="0.25">
      <c r="A4203" t="str">
        <f>"20190312173014414"</f>
        <v>20190312173014414</v>
      </c>
      <c r="B4203" t="str">
        <f>"1552383014402228"</f>
        <v>1552383014402228</v>
      </c>
      <c r="C4203" t="s">
        <v>40</v>
      </c>
      <c r="D4203">
        <v>3.2674470000000002</v>
      </c>
      <c r="E4203">
        <v>0.51311279999999904</v>
      </c>
      <c r="F4203" t="s">
        <v>51</v>
      </c>
      <c r="G4203">
        <v>-284.58609999999999</v>
      </c>
      <c r="H4203" s="1">
        <v>-6.9342929999999998E-6</v>
      </c>
      <c r="I4203">
        <v>143.5812</v>
      </c>
      <c r="J4203">
        <v>-255.09299999999999</v>
      </c>
      <c r="K4203">
        <v>1.1071879999999901</v>
      </c>
      <c r="L4203">
        <v>140.34639999999999</v>
      </c>
      <c r="M4203">
        <v>-0.99817909999999999</v>
      </c>
      <c r="N4203">
        <v>0</v>
      </c>
      <c r="O4203">
        <v>5.9543850000000002E-2</v>
      </c>
      <c r="P4203">
        <v>-0.98412920000000004</v>
      </c>
      <c r="Q4203">
        <v>0.16185529999999901</v>
      </c>
      <c r="R4203">
        <v>7.2752010000000006E-2</v>
      </c>
      <c r="S4203">
        <v>-3.042694</v>
      </c>
      <c r="T4203">
        <v>-0.1130319</v>
      </c>
      <c r="U4203">
        <v>0.33232119999999998</v>
      </c>
      <c r="V4203">
        <v>1.5020500000000001E-2</v>
      </c>
      <c r="W4203">
        <v>0.1712901</v>
      </c>
      <c r="X4203">
        <v>0.98510609999999998</v>
      </c>
      <c r="Y4203">
        <v>4.9193479999999998E-2</v>
      </c>
      <c r="Z4203">
        <v>-1.291286E-3</v>
      </c>
      <c r="AA4203">
        <v>0.99878840000000002</v>
      </c>
      <c r="AB4203">
        <v>32</v>
      </c>
      <c r="AC4203">
        <v>-29.493099999999998</v>
      </c>
      <c r="AD4203">
        <v>-1.1071949342930001</v>
      </c>
      <c r="AE4203">
        <v>3.2347999999999999</v>
      </c>
      <c r="AF4203">
        <v>1.4707973552896301</v>
      </c>
      <c r="AG4203">
        <v>-1.1071949342930001</v>
      </c>
      <c r="AH4203">
        <v>29.592177756817101</v>
      </c>
      <c r="AI4203">
        <v>92.140089824368502</v>
      </c>
      <c r="AJ4203">
        <v>87.1546131928514</v>
      </c>
      <c r="AK4203">
        <v>29.649386332163999</v>
      </c>
      <c r="AL4203">
        <v>80.137163047931395</v>
      </c>
      <c r="AM4203">
        <v>89.126444784772801</v>
      </c>
      <c r="AN4203">
        <v>0.99999997101773397</v>
      </c>
    </row>
    <row r="4204" spans="1:40" x14ac:dyDescent="0.25">
      <c r="A4204" t="str">
        <f>"20190312173014436"</f>
        <v>20190312173014436</v>
      </c>
      <c r="B4204" t="str">
        <f>"1552383014431508"</f>
        <v>1552383014431508</v>
      </c>
      <c r="C4204" t="s">
        <v>40</v>
      </c>
      <c r="D4204">
        <v>3.207147</v>
      </c>
      <c r="E4204">
        <v>0.4843865</v>
      </c>
      <c r="F4204" t="s">
        <v>51</v>
      </c>
      <c r="G4204">
        <v>-284.5213</v>
      </c>
      <c r="H4204" s="1">
        <v>-6.9032890000000004E-6</v>
      </c>
      <c r="I4204">
        <v>143.57419999999999</v>
      </c>
      <c r="J4204">
        <v>-255.40479999999999</v>
      </c>
      <c r="K4204">
        <v>1.1071820000000001</v>
      </c>
      <c r="L4204">
        <v>140.36770000000001</v>
      </c>
      <c r="M4204">
        <v>-0.99801430000000002</v>
      </c>
      <c r="N4204">
        <v>0</v>
      </c>
      <c r="O4204">
        <v>6.2244269999999997E-2</v>
      </c>
      <c r="P4204">
        <v>-0.98408099999999998</v>
      </c>
      <c r="Q4204">
        <v>0.16189790000000001</v>
      </c>
      <c r="R4204">
        <v>7.3304179999999997E-2</v>
      </c>
      <c r="S4204">
        <v>-3.0425420000000001</v>
      </c>
      <c r="T4204">
        <v>-0.1144708</v>
      </c>
      <c r="U4204">
        <v>0.3337097</v>
      </c>
      <c r="V4204">
        <v>1.2904509999999999E-2</v>
      </c>
      <c r="W4204">
        <v>0.17133619999999999</v>
      </c>
      <c r="X4204">
        <v>0.98512809999999995</v>
      </c>
      <c r="Y4204">
        <v>4.6950510000000001E-2</v>
      </c>
      <c r="Z4204">
        <v>-1.4507470000000001E-3</v>
      </c>
      <c r="AA4204">
        <v>0.99889620000000001</v>
      </c>
      <c r="AB4204">
        <v>32</v>
      </c>
      <c r="AC4204">
        <v>-29.116499999999998</v>
      </c>
      <c r="AD4204">
        <v>-1.1071889032890001</v>
      </c>
      <c r="AE4204">
        <v>3.2064999999999699</v>
      </c>
      <c r="AF4204">
        <v>1.3858822190764799</v>
      </c>
      <c r="AG4204">
        <v>-1.1071889032890001</v>
      </c>
      <c r="AH4204">
        <v>29.217889288961899</v>
      </c>
      <c r="AI4204">
        <v>92.167705269547099</v>
      </c>
      <c r="AJ4204">
        <v>87.284344142538203</v>
      </c>
      <c r="AK4204">
        <v>29.271685829394102</v>
      </c>
      <c r="AL4204">
        <v>80.134482333649402</v>
      </c>
      <c r="AM4204">
        <v>89.249507070438895</v>
      </c>
      <c r="AN4204">
        <v>0.99999999660919503</v>
      </c>
    </row>
    <row r="4205" spans="1:40" x14ac:dyDescent="0.25">
      <c r="A4205" t="str">
        <f>"20190312173014457"</f>
        <v>20190312173014457</v>
      </c>
      <c r="B4205" t="str">
        <f>"1552383014452004"</f>
        <v>1552383014452004</v>
      </c>
      <c r="C4205" t="s">
        <v>40</v>
      </c>
      <c r="D4205">
        <v>3.2013440000000002</v>
      </c>
      <c r="E4205">
        <v>0.48080329999999899</v>
      </c>
      <c r="F4205" t="s">
        <v>51</v>
      </c>
      <c r="G4205">
        <v>-287.31150000000002</v>
      </c>
      <c r="H4205" s="1">
        <v>-7.8834169999999996E-6</v>
      </c>
      <c r="I4205">
        <v>141.47669999999999</v>
      </c>
      <c r="J4205">
        <v>-255.72380000000001</v>
      </c>
      <c r="K4205">
        <v>1.107183</v>
      </c>
      <c r="L4205">
        <v>140.3903</v>
      </c>
      <c r="M4205">
        <v>-0.9978397</v>
      </c>
      <c r="N4205">
        <v>0</v>
      </c>
      <c r="O4205">
        <v>6.4987519999999993E-2</v>
      </c>
      <c r="P4205">
        <v>-0.98402239999999996</v>
      </c>
      <c r="Q4205">
        <v>0.1619575</v>
      </c>
      <c r="R4205">
        <v>7.3958709999999997E-2</v>
      </c>
      <c r="S4205">
        <v>-3.0580750000000001</v>
      </c>
      <c r="T4205">
        <v>-0.1061178</v>
      </c>
      <c r="U4205">
        <v>0.1062927</v>
      </c>
      <c r="V4205">
        <v>1.084629E-2</v>
      </c>
      <c r="W4205">
        <v>0.17139489999999999</v>
      </c>
      <c r="X4205">
        <v>0.98514270000000004</v>
      </c>
      <c r="Y4205">
        <v>-3.0230509999999999E-2</v>
      </c>
      <c r="Z4205">
        <v>-2.776237E-3</v>
      </c>
      <c r="AA4205">
        <v>0.99953910000000001</v>
      </c>
      <c r="AB4205">
        <v>32</v>
      </c>
      <c r="AC4205">
        <v>-31.587700000000002</v>
      </c>
      <c r="AD4205">
        <v>-1.1071908834169999</v>
      </c>
      <c r="AE4205">
        <v>1.08639999999999</v>
      </c>
      <c r="AF4205">
        <v>-0.96761067242429799</v>
      </c>
      <c r="AG4205">
        <v>-1.1071908834169999</v>
      </c>
      <c r="AH4205">
        <v>31.552805709204598</v>
      </c>
      <c r="AI4205">
        <v>92.008746098888693</v>
      </c>
      <c r="AJ4205">
        <v>91.7565042851991</v>
      </c>
      <c r="AK4205">
        <v>31.587049406181102</v>
      </c>
      <c r="AL4205">
        <v>80.131068572873303</v>
      </c>
      <c r="AM4205">
        <v>89.3692065807316</v>
      </c>
      <c r="AN4205">
        <v>0.99999999655803196</v>
      </c>
    </row>
    <row r="4206" spans="1:40" x14ac:dyDescent="0.25">
      <c r="A4206" t="str">
        <f>"20190312173014480"</f>
        <v>20190312173014480</v>
      </c>
      <c r="B4206" t="str">
        <f>"1552383014471527"</f>
        <v>1552383014471527</v>
      </c>
      <c r="C4206" t="s">
        <v>40</v>
      </c>
      <c r="D4206">
        <v>3.2187899999999998</v>
      </c>
      <c r="E4206">
        <v>0.47881479999999998</v>
      </c>
      <c r="F4206" t="s">
        <v>51</v>
      </c>
      <c r="G4206">
        <v>-288.09840000000003</v>
      </c>
      <c r="H4206" s="1">
        <v>-8.2931089999999999E-6</v>
      </c>
      <c r="I4206">
        <v>141.22890000000001</v>
      </c>
      <c r="J4206">
        <v>-256.04430000000002</v>
      </c>
      <c r="K4206">
        <v>1.107189</v>
      </c>
      <c r="L4206">
        <v>140.41390000000001</v>
      </c>
      <c r="M4206">
        <v>-0.99765859999999995</v>
      </c>
      <c r="N4206">
        <v>0</v>
      </c>
      <c r="O4206">
        <v>6.7711250000000001E-2</v>
      </c>
      <c r="P4206">
        <v>-0.98405260000000006</v>
      </c>
      <c r="Q4206">
        <v>0.16160079999999999</v>
      </c>
      <c r="R4206">
        <v>7.4333590000000005E-2</v>
      </c>
      <c r="S4206">
        <v>-3.0599370000000001</v>
      </c>
      <c r="T4206">
        <v>-0.1046479</v>
      </c>
      <c r="U4206">
        <v>7.9254149999999995E-2</v>
      </c>
      <c r="V4206">
        <v>8.5163630000000008E-3</v>
      </c>
      <c r="W4206">
        <v>0.17103689999999999</v>
      </c>
      <c r="X4206">
        <v>0.98522779999999999</v>
      </c>
      <c r="Y4206">
        <v>-4.1795289999999999E-2</v>
      </c>
      <c r="Z4206">
        <v>-3.0272440000000001E-3</v>
      </c>
      <c r="AA4206">
        <v>0.99912160000000005</v>
      </c>
      <c r="AB4206">
        <v>32</v>
      </c>
      <c r="AC4206">
        <v>-32.054099999999998</v>
      </c>
      <c r="AD4206">
        <v>-1.1071972931089999</v>
      </c>
      <c r="AE4206">
        <v>0.81499999999999695</v>
      </c>
      <c r="AF4206">
        <v>-1.35577764794927</v>
      </c>
      <c r="AG4206">
        <v>-1.1071972931089999</v>
      </c>
      <c r="AH4206">
        <v>31.997562800403799</v>
      </c>
      <c r="AI4206">
        <v>91.980014247073299</v>
      </c>
      <c r="AJ4206">
        <v>92.426244165051401</v>
      </c>
      <c r="AK4206">
        <v>32.045405974060202</v>
      </c>
      <c r="AL4206">
        <v>80.151887762455601</v>
      </c>
      <c r="AM4206">
        <v>89.504744482394102</v>
      </c>
      <c r="AN4206">
        <v>0.99999998374659804</v>
      </c>
    </row>
    <row r="4207" spans="1:40" x14ac:dyDescent="0.25">
      <c r="A4207" t="str">
        <f>"20190312173014503"</f>
        <v>20190312173014503</v>
      </c>
      <c r="B4207" t="str">
        <f>"1552383014492023"</f>
        <v>1552383014492023</v>
      </c>
      <c r="C4207" t="s">
        <v>40</v>
      </c>
      <c r="D4207">
        <v>3.2096520000000002</v>
      </c>
      <c r="E4207">
        <v>0.47780889999999998</v>
      </c>
      <c r="F4207" t="s">
        <v>51</v>
      </c>
      <c r="G4207">
        <v>-287.95030000000003</v>
      </c>
      <c r="H4207" s="1">
        <v>-8.1537509999999906E-6</v>
      </c>
      <c r="I4207">
        <v>141.0831</v>
      </c>
      <c r="J4207">
        <v>-256.37220000000002</v>
      </c>
      <c r="K4207">
        <v>1.1072120000000001</v>
      </c>
      <c r="L4207">
        <v>140.43889999999999</v>
      </c>
      <c r="M4207">
        <v>-0.99746900000000005</v>
      </c>
      <c r="N4207">
        <v>0</v>
      </c>
      <c r="O4207">
        <v>7.0452680000000004E-2</v>
      </c>
      <c r="P4207">
        <v>-0.98413459999999997</v>
      </c>
      <c r="Q4207">
        <v>0.16111839999999999</v>
      </c>
      <c r="R4207">
        <v>7.4297260000000004E-2</v>
      </c>
      <c r="S4207">
        <v>-3.0612180000000002</v>
      </c>
      <c r="T4207">
        <v>-0.1062297</v>
      </c>
      <c r="U4207">
        <v>6.4208979999999999E-2</v>
      </c>
      <c r="V4207">
        <v>5.7491479999999999E-3</v>
      </c>
      <c r="W4207">
        <v>0.17055680000000001</v>
      </c>
      <c r="X4207">
        <v>0.98533110000000002</v>
      </c>
      <c r="Y4207">
        <v>-4.945012E-2</v>
      </c>
      <c r="Z4207">
        <v>-3.2996190000000002E-3</v>
      </c>
      <c r="AA4207">
        <v>0.99877110000000002</v>
      </c>
      <c r="AB4207">
        <v>32</v>
      </c>
      <c r="AC4207">
        <v>-31.578099999999999</v>
      </c>
      <c r="AD4207">
        <v>-1.107220153751</v>
      </c>
      <c r="AE4207">
        <v>0.64420000000001199</v>
      </c>
      <c r="AF4207">
        <v>-1.58032298816063</v>
      </c>
      <c r="AG4207">
        <v>-1.107220153751</v>
      </c>
      <c r="AH4207">
        <v>31.506294796720599</v>
      </c>
      <c r="AI4207">
        <v>92.010182092387893</v>
      </c>
      <c r="AJ4207">
        <v>92.871490192532903</v>
      </c>
      <c r="AK4207">
        <v>31.565328590617298</v>
      </c>
      <c r="AL4207">
        <v>80.179806101373103</v>
      </c>
      <c r="AM4207">
        <v>89.665697978880203</v>
      </c>
      <c r="AN4207">
        <v>1.0000000256780801</v>
      </c>
    </row>
    <row r="4208" spans="1:40" x14ac:dyDescent="0.25">
      <c r="A4208" t="str">
        <f>"20190312173014526"</f>
        <v>20190312173014526</v>
      </c>
      <c r="B4208" t="str">
        <f>"1552383014522277"</f>
        <v>1552383014522277</v>
      </c>
      <c r="C4208" t="s">
        <v>40</v>
      </c>
      <c r="D4208">
        <v>3.2143090000000001</v>
      </c>
      <c r="E4208">
        <v>0.47685889999999997</v>
      </c>
      <c r="F4208" t="s">
        <v>51</v>
      </c>
      <c r="G4208">
        <v>-287.99939999999998</v>
      </c>
      <c r="H4208" s="1">
        <v>-8.1623820000000008E-6</v>
      </c>
      <c r="I4208">
        <v>141.0155</v>
      </c>
      <c r="J4208">
        <v>-256.69170000000003</v>
      </c>
      <c r="K4208">
        <v>1.1072420000000001</v>
      </c>
      <c r="L4208">
        <v>140.4641</v>
      </c>
      <c r="M4208">
        <v>-0.99728139999999998</v>
      </c>
      <c r="N4208">
        <v>0</v>
      </c>
      <c r="O4208">
        <v>7.306174E-2</v>
      </c>
      <c r="P4208">
        <v>-0.98406269999999996</v>
      </c>
      <c r="Q4208">
        <v>0.1615857</v>
      </c>
      <c r="R4208">
        <v>7.4236540000000004E-2</v>
      </c>
      <c r="S4208">
        <v>-3.0617369999999999</v>
      </c>
      <c r="T4208">
        <v>-0.1071868</v>
      </c>
      <c r="U4208">
        <v>5.5816650000000002E-2</v>
      </c>
      <c r="V4208">
        <v>3.1005440000000002E-3</v>
      </c>
      <c r="W4208">
        <v>0.17102419999999999</v>
      </c>
      <c r="X4208">
        <v>0.98526190000000002</v>
      </c>
      <c r="Y4208">
        <v>-5.47961E-2</v>
      </c>
      <c r="Z4208">
        <v>-3.5135570000000001E-3</v>
      </c>
      <c r="AA4208">
        <v>0.99849140000000003</v>
      </c>
      <c r="AB4208">
        <v>32</v>
      </c>
      <c r="AC4208">
        <v>-31.307699999999901</v>
      </c>
      <c r="AD4208">
        <v>-1.1072501623819999</v>
      </c>
      <c r="AE4208">
        <v>0.551400000000001</v>
      </c>
      <c r="AF4208">
        <v>-1.7354038458571599</v>
      </c>
      <c r="AG4208">
        <v>-1.1072501623819999</v>
      </c>
      <c r="AH4208">
        <v>31.225263494205201</v>
      </c>
      <c r="AI4208">
        <v>92.027735073716997</v>
      </c>
      <c r="AJ4208">
        <v>93.181050215200997</v>
      </c>
      <c r="AK4208">
        <v>31.293045708477401</v>
      </c>
      <c r="AL4208">
        <v>80.152625974764206</v>
      </c>
      <c r="AM4208">
        <v>89.819695150117795</v>
      </c>
      <c r="AN4208">
        <v>0.99999995097517103</v>
      </c>
    </row>
    <row r="4209" spans="1:40" x14ac:dyDescent="0.25">
      <c r="A4209" t="str">
        <f>"20190312173014549"</f>
        <v>20190312173014549</v>
      </c>
      <c r="B4209" t="str">
        <f>"1552383014541796"</f>
        <v>1552383014541796</v>
      </c>
      <c r="C4209" t="s">
        <v>40</v>
      </c>
      <c r="D4209">
        <v>3.1942689999999998</v>
      </c>
      <c r="E4209">
        <v>0.47630719999999999</v>
      </c>
      <c r="F4209" t="s">
        <v>51</v>
      </c>
      <c r="G4209">
        <v>-288.03629999999998</v>
      </c>
      <c r="H4209" s="1">
        <v>-8.1637689999999999E-6</v>
      </c>
      <c r="I4209">
        <v>140.94880000000001</v>
      </c>
      <c r="J4209">
        <v>-257.02870000000001</v>
      </c>
      <c r="K4209">
        <v>1.107283</v>
      </c>
      <c r="L4209">
        <v>140.4915</v>
      </c>
      <c r="M4209">
        <v>-0.99708039999999998</v>
      </c>
      <c r="N4209">
        <v>0</v>
      </c>
      <c r="O4209">
        <v>7.5757320000000003E-2</v>
      </c>
      <c r="P4209">
        <v>-0.98410439999999999</v>
      </c>
      <c r="Q4209">
        <v>0.16132759999999999</v>
      </c>
      <c r="R4209">
        <v>7.4244240000000003E-2</v>
      </c>
      <c r="S4209">
        <v>-3.062805</v>
      </c>
      <c r="T4209">
        <v>-0.108193899999999</v>
      </c>
      <c r="U4209">
        <v>4.7363280000000001E-2</v>
      </c>
      <c r="V4209">
        <v>4.19899E-4</v>
      </c>
      <c r="W4209">
        <v>0.17076820000000001</v>
      </c>
      <c r="X4209">
        <v>0.98531120000000005</v>
      </c>
      <c r="Y4209">
        <v>-6.0249280000000002E-2</v>
      </c>
      <c r="Z4209">
        <v>-3.7367059999999998E-3</v>
      </c>
      <c r="AA4209">
        <v>0.99817639999999996</v>
      </c>
      <c r="AB4209">
        <v>32</v>
      </c>
      <c r="AC4209">
        <v>-31.007599999999901</v>
      </c>
      <c r="AD4209">
        <v>-1.1072911637689999</v>
      </c>
      <c r="AE4209">
        <v>0.45730000000000298</v>
      </c>
      <c r="AF4209">
        <v>-1.8907637996222399</v>
      </c>
      <c r="AG4209">
        <v>-1.1072911637689999</v>
      </c>
      <c r="AH4209">
        <v>30.9137168183304</v>
      </c>
      <c r="AI4209">
        <v>92.047564083623499</v>
      </c>
      <c r="AJ4209">
        <v>93.499999779200905</v>
      </c>
      <c r="AK4209">
        <v>30.991272464860899</v>
      </c>
      <c r="AL4209">
        <v>80.167513752306604</v>
      </c>
      <c r="AM4209">
        <v>89.975582903081403</v>
      </c>
      <c r="AN4209">
        <v>1.00000005764592</v>
      </c>
    </row>
    <row r="4210" spans="1:40" x14ac:dyDescent="0.25">
      <c r="A4210" t="str">
        <f>"20190312173014572"</f>
        <v>20190312173014572</v>
      </c>
      <c r="B4210" t="str">
        <f>"1552383014562292"</f>
        <v>1552383014562292</v>
      </c>
      <c r="C4210" t="s">
        <v>40</v>
      </c>
      <c r="D4210">
        <v>3.2116159999999998</v>
      </c>
      <c r="E4210">
        <v>0.47596189999999999</v>
      </c>
      <c r="F4210" t="s">
        <v>51</v>
      </c>
      <c r="G4210">
        <v>-287.80040000000002</v>
      </c>
      <c r="H4210" s="1">
        <v>-8.0072220000000004E-6</v>
      </c>
      <c r="I4210">
        <v>140.91890000000001</v>
      </c>
      <c r="J4210">
        <v>-257.35300000000001</v>
      </c>
      <c r="K4210">
        <v>1.1073200000000001</v>
      </c>
      <c r="L4210">
        <v>140.5187</v>
      </c>
      <c r="M4210">
        <v>-0.99688520000000003</v>
      </c>
      <c r="N4210">
        <v>0</v>
      </c>
      <c r="O4210">
        <v>7.8284679999999995E-2</v>
      </c>
      <c r="P4210">
        <v>-0.98418870000000003</v>
      </c>
      <c r="Q4210">
        <v>0.16087079999999901</v>
      </c>
      <c r="R4210">
        <v>7.4115310000000004E-2</v>
      </c>
      <c r="S4210">
        <v>-3.0633240000000002</v>
      </c>
      <c r="T4210">
        <v>-0.1102312</v>
      </c>
      <c r="U4210">
        <v>4.2541500000000003E-2</v>
      </c>
      <c r="V4210">
        <v>-2.2368790000000002E-3</v>
      </c>
      <c r="W4210">
        <v>0.17031470000000001</v>
      </c>
      <c r="X4210">
        <v>0.98538709999999996</v>
      </c>
      <c r="Y4210">
        <v>-6.4345100000000002E-2</v>
      </c>
      <c r="Z4210">
        <v>-3.9708149999999999E-3</v>
      </c>
      <c r="AA4210">
        <v>0.99791980000000002</v>
      </c>
      <c r="AB4210">
        <v>32</v>
      </c>
      <c r="AC4210">
        <v>-30.447399999999998</v>
      </c>
      <c r="AD4210">
        <v>-1.107328007222</v>
      </c>
      <c r="AE4210">
        <v>0.40020000000001199</v>
      </c>
      <c r="AF4210">
        <v>-1.9820810284710499</v>
      </c>
      <c r="AG4210">
        <v>-1.107328007222</v>
      </c>
      <c r="AH4210">
        <v>30.345150964274399</v>
      </c>
      <c r="AI4210">
        <v>92.0854188885002</v>
      </c>
      <c r="AJ4210">
        <v>93.737130341356504</v>
      </c>
      <c r="AK4210">
        <v>30.429968905071298</v>
      </c>
      <c r="AL4210">
        <v>80.193882317958995</v>
      </c>
      <c r="AM4210">
        <v>90.130064119810299</v>
      </c>
      <c r="AN4210">
        <v>0.99999991875507699</v>
      </c>
    </row>
    <row r="4211" spans="1:40" x14ac:dyDescent="0.25">
      <c r="A4211" t="str">
        <f>"20190312173014592"</f>
        <v>20190312173014592</v>
      </c>
      <c r="B4211" t="str">
        <f>"1552383014581815"</f>
        <v>1552383014581815</v>
      </c>
      <c r="C4211" t="s">
        <v>40</v>
      </c>
      <c r="D4211">
        <v>3.2008779999999999</v>
      </c>
      <c r="E4211">
        <v>0.47570750000000001</v>
      </c>
      <c r="F4211" t="s">
        <v>51</v>
      </c>
      <c r="G4211">
        <v>-287.41520000000003</v>
      </c>
      <c r="H4211" s="1">
        <v>-7.7628770000000002E-6</v>
      </c>
      <c r="I4211">
        <v>140.90469999999999</v>
      </c>
      <c r="J4211">
        <v>-257.65559999999999</v>
      </c>
      <c r="K4211">
        <v>1.107361</v>
      </c>
      <c r="L4211">
        <v>140.54470000000001</v>
      </c>
      <c r="M4211">
        <v>-0.99670309999999995</v>
      </c>
      <c r="N4211">
        <v>0</v>
      </c>
      <c r="O4211">
        <v>8.0570009999999997E-2</v>
      </c>
      <c r="P4211">
        <v>-0.98421670000000006</v>
      </c>
      <c r="Q4211">
        <v>0.161026799999999</v>
      </c>
      <c r="R4211">
        <v>7.3400649999999998E-2</v>
      </c>
      <c r="S4211">
        <v>-3.0636899999999998</v>
      </c>
      <c r="T4211">
        <v>-0.1128497</v>
      </c>
      <c r="U4211">
        <v>3.9337160000000003E-2</v>
      </c>
      <c r="V4211">
        <v>-5.2321329999999999E-3</v>
      </c>
      <c r="W4211">
        <v>0.17047590000000001</v>
      </c>
      <c r="X4211">
        <v>0.98534790000000005</v>
      </c>
      <c r="Y4211">
        <v>-6.7669649999999998E-2</v>
      </c>
      <c r="Z4211">
        <v>-4.2097870000000004E-3</v>
      </c>
      <c r="AA4211">
        <v>0.99769890000000006</v>
      </c>
      <c r="AB4211">
        <v>32</v>
      </c>
      <c r="AC4211">
        <v>-29.759599999999999</v>
      </c>
      <c r="AD4211">
        <v>-1.1073687628769999</v>
      </c>
      <c r="AE4211">
        <v>0.359999999999985</v>
      </c>
      <c r="AF4211">
        <v>-2.0361924039185602</v>
      </c>
      <c r="AG4211">
        <v>-1.1073687628769999</v>
      </c>
      <c r="AH4211">
        <v>29.650798726219598</v>
      </c>
      <c r="AI4211">
        <v>92.133811329595005</v>
      </c>
      <c r="AJ4211">
        <v>93.928472730806305</v>
      </c>
      <c r="AK4211">
        <v>29.7412543478845</v>
      </c>
      <c r="AL4211">
        <v>80.184509431232001</v>
      </c>
      <c r="AM4211">
        <v>90.304233988151694</v>
      </c>
      <c r="AN4211">
        <v>0.99999994586547303</v>
      </c>
    </row>
    <row r="4212" spans="1:40" x14ac:dyDescent="0.25">
      <c r="A4212" t="str">
        <f>"20190312173014614"</f>
        <v>20190312173014614</v>
      </c>
      <c r="B4212" t="str">
        <f>"1552383014602308"</f>
        <v>1552383014602308</v>
      </c>
      <c r="C4212" t="s">
        <v>40</v>
      </c>
      <c r="D4212">
        <v>3.2209439999999998</v>
      </c>
      <c r="E4212">
        <v>0.47550759999999997</v>
      </c>
      <c r="F4212" t="s">
        <v>51</v>
      </c>
      <c r="G4212">
        <v>-287.6096</v>
      </c>
      <c r="H4212" s="1">
        <v>-7.8789729999999998E-6</v>
      </c>
      <c r="I4212">
        <v>140.8895</v>
      </c>
      <c r="J4212">
        <v>-257.97919999999999</v>
      </c>
      <c r="K4212">
        <v>1.1074170000000001</v>
      </c>
      <c r="L4212">
        <v>140.57329999999999</v>
      </c>
      <c r="M4212">
        <v>-0.99651000000000001</v>
      </c>
      <c r="N4212">
        <v>0</v>
      </c>
      <c r="O4212">
        <v>8.2926180000000002E-2</v>
      </c>
      <c r="P4212">
        <v>-0.9842303</v>
      </c>
      <c r="Q4212">
        <v>0.16171050000000001</v>
      </c>
      <c r="R4212">
        <v>7.1696679999999999E-2</v>
      </c>
      <c r="S4212">
        <v>-3.0640559999999999</v>
      </c>
      <c r="T4212">
        <v>-0.11327479999999999</v>
      </c>
      <c r="U4212">
        <v>3.5263059999999999E-2</v>
      </c>
      <c r="V4212">
        <v>-9.2857549999999997E-3</v>
      </c>
      <c r="W4212">
        <v>0.17116889999999901</v>
      </c>
      <c r="X4212">
        <v>0.98519800000000002</v>
      </c>
      <c r="Y4212">
        <v>-7.1351010000000006E-2</v>
      </c>
      <c r="Z4212">
        <v>-4.380063E-3</v>
      </c>
      <c r="AA4212">
        <v>0.99744160000000004</v>
      </c>
      <c r="AB4212">
        <v>32</v>
      </c>
      <c r="AC4212">
        <v>-29.630400000000002</v>
      </c>
      <c r="AD4212">
        <v>-1.1074248789729999</v>
      </c>
      <c r="AE4212">
        <v>0.31620000000000897</v>
      </c>
      <c r="AF4212">
        <v>-2.1391492086341199</v>
      </c>
      <c r="AG4212">
        <v>-1.1074248789729999</v>
      </c>
      <c r="AH4212">
        <v>29.513335573809801</v>
      </c>
      <c r="AI4212">
        <v>92.143276430778798</v>
      </c>
      <c r="AJ4212">
        <v>94.145592635037701</v>
      </c>
      <c r="AK4212">
        <v>29.6114728760944</v>
      </c>
      <c r="AL4212">
        <v>80.144212262125507</v>
      </c>
      <c r="AM4212">
        <v>90.540012076133294</v>
      </c>
      <c r="AN4212">
        <v>1.00000005838856</v>
      </c>
    </row>
    <row r="4213" spans="1:40" x14ac:dyDescent="0.25">
      <c r="A4213" t="str">
        <f>"20190312173014648"</f>
        <v>20190312173014648</v>
      </c>
      <c r="B4213" t="str">
        <f>"1552383014642325"</f>
        <v>1552383014642325</v>
      </c>
      <c r="C4213" t="s">
        <v>40</v>
      </c>
      <c r="D4213">
        <v>3.2264179999999998</v>
      </c>
      <c r="E4213">
        <v>0.47519699999999998</v>
      </c>
      <c r="F4213" t="s">
        <v>51</v>
      </c>
      <c r="G4213">
        <v>-288.28030000000001</v>
      </c>
      <c r="H4213" s="1">
        <v>-8.2864820000000001E-6</v>
      </c>
      <c r="I4213">
        <v>140.85839999999999</v>
      </c>
      <c r="J4213">
        <v>-258.46199999999999</v>
      </c>
      <c r="K4213">
        <v>1.107529</v>
      </c>
      <c r="L4213">
        <v>140.61709999999999</v>
      </c>
      <c r="M4213">
        <v>-0.9962278</v>
      </c>
      <c r="N4213">
        <v>0</v>
      </c>
      <c r="O4213">
        <v>8.6253060000000006E-2</v>
      </c>
      <c r="P4213">
        <v>-0.98399780000000003</v>
      </c>
      <c r="Q4213">
        <v>0.1631251</v>
      </c>
      <c r="R4213">
        <v>7.1683280000000002E-2</v>
      </c>
      <c r="S4213">
        <v>-3.0643919999999998</v>
      </c>
      <c r="T4213">
        <v>-0.11199530000000001</v>
      </c>
      <c r="U4213">
        <v>2.8839110000000001E-2</v>
      </c>
      <c r="V4213">
        <v>-1.2611860000000001E-2</v>
      </c>
      <c r="W4213">
        <v>0.1725814</v>
      </c>
      <c r="X4213">
        <v>0.98491450000000003</v>
      </c>
      <c r="Y4213">
        <v>-7.6768900000000001E-2</v>
      </c>
      <c r="Z4213">
        <v>-4.5504270000000001E-3</v>
      </c>
      <c r="AA4213">
        <v>0.99703850000000005</v>
      </c>
      <c r="AB4213">
        <v>32</v>
      </c>
      <c r="AC4213">
        <v>-29.818300000000001</v>
      </c>
      <c r="AD4213">
        <v>-1.1075372864819999</v>
      </c>
      <c r="AE4213">
        <v>0.24129999999999499</v>
      </c>
      <c r="AF4213">
        <v>-2.3284233871490998</v>
      </c>
      <c r="AG4213">
        <v>-1.1075372864819999</v>
      </c>
      <c r="AH4213">
        <v>29.687025357238799</v>
      </c>
      <c r="AI4213">
        <v>92.130013969303405</v>
      </c>
      <c r="AJ4213">
        <v>94.484662100384696</v>
      </c>
      <c r="AK4213">
        <v>29.798786365758399</v>
      </c>
      <c r="AL4213">
        <v>80.062058701327899</v>
      </c>
      <c r="AM4213">
        <v>90.733634095882906</v>
      </c>
      <c r="AN4213">
        <v>0.99999998547443403</v>
      </c>
    </row>
    <row r="4214" spans="1:40" x14ac:dyDescent="0.25">
      <c r="A4214" t="str">
        <f>"20190312173014670"</f>
        <v>20190312173014670</v>
      </c>
      <c r="B4214" t="str">
        <f>"1552383014661847"</f>
        <v>1552383014661847</v>
      </c>
      <c r="C4214" t="s">
        <v>40</v>
      </c>
      <c r="D4214">
        <v>3.2561909999999998</v>
      </c>
      <c r="E4214">
        <v>0.47498259999999998</v>
      </c>
      <c r="F4214" t="s">
        <v>51</v>
      </c>
      <c r="G4214">
        <v>-289.46249999999998</v>
      </c>
      <c r="H4214" s="1">
        <v>-9.013931E-6</v>
      </c>
      <c r="I4214">
        <v>140.8732</v>
      </c>
      <c r="J4214">
        <v>-258.78750000000002</v>
      </c>
      <c r="K4214">
        <v>1.1076189999999999</v>
      </c>
      <c r="L4214">
        <v>140.6474</v>
      </c>
      <c r="M4214">
        <v>-0.99604340000000002</v>
      </c>
      <c r="N4214">
        <v>0</v>
      </c>
      <c r="O4214">
        <v>8.8356809999999994E-2</v>
      </c>
      <c r="P4214">
        <v>-0.98419020000000002</v>
      </c>
      <c r="Q4214">
        <v>0.16215499999999999</v>
      </c>
      <c r="R4214">
        <v>7.1241380000000007E-2</v>
      </c>
      <c r="S4214">
        <v>-3.0650940000000002</v>
      </c>
      <c r="T4214">
        <v>-0.1095052</v>
      </c>
      <c r="U4214">
        <v>2.5329589999999999E-2</v>
      </c>
      <c r="V4214">
        <v>-1.519183E-2</v>
      </c>
      <c r="W4214">
        <v>0.171614299999999</v>
      </c>
      <c r="X4214">
        <v>0.98504709999999995</v>
      </c>
      <c r="Y4214">
        <v>-8.0019229999999997E-2</v>
      </c>
      <c r="Z4214">
        <v>-4.5813080000000001E-3</v>
      </c>
      <c r="AA4214">
        <v>0.99678279999999997</v>
      </c>
      <c r="AB4214">
        <v>32</v>
      </c>
      <c r="AC4214">
        <v>-30.674999999999901</v>
      </c>
      <c r="AD4214">
        <v>-1.107628013931</v>
      </c>
      <c r="AE4214">
        <v>0.22579999999999201</v>
      </c>
      <c r="AF4214">
        <v>-2.4823148447746402</v>
      </c>
      <c r="AG4214">
        <v>-1.107628013931</v>
      </c>
      <c r="AH4214">
        <v>30.535157346506601</v>
      </c>
      <c r="AI4214">
        <v>92.070603517432403</v>
      </c>
      <c r="AJ4214">
        <v>94.647563816175705</v>
      </c>
      <c r="AK4214">
        <v>30.655905809187001</v>
      </c>
      <c r="AL4214">
        <v>80.118309099906</v>
      </c>
      <c r="AM4214">
        <v>90.883570685129797</v>
      </c>
      <c r="AN4214">
        <v>1.00000002444082</v>
      </c>
    </row>
    <row r="4215" spans="1:40" x14ac:dyDescent="0.25">
      <c r="A4215" t="str">
        <f>"20190312173014693"</f>
        <v>20190312173014693</v>
      </c>
      <c r="B4215" t="str">
        <f>"1552383014682340"</f>
        <v>1552383014682340</v>
      </c>
      <c r="C4215" t="s">
        <v>40</v>
      </c>
      <c r="D4215">
        <v>3.2909310000000001</v>
      </c>
      <c r="E4215">
        <v>0.47482180000000002</v>
      </c>
      <c r="F4215" t="s">
        <v>51</v>
      </c>
      <c r="G4215">
        <v>-289.1807</v>
      </c>
      <c r="H4215" s="1">
        <v>-8.8504700000000007E-6</v>
      </c>
      <c r="I4215">
        <v>140.86920000000001</v>
      </c>
      <c r="J4215">
        <v>-259.10969999999998</v>
      </c>
      <c r="K4215">
        <v>1.107694</v>
      </c>
      <c r="L4215">
        <v>140.678</v>
      </c>
      <c r="M4215">
        <v>-0.99586609999999998</v>
      </c>
      <c r="N4215">
        <v>0</v>
      </c>
      <c r="O4215">
        <v>9.0334600000000001E-2</v>
      </c>
      <c r="P4215">
        <v>-0.9842919</v>
      </c>
      <c r="Q4215">
        <v>0.16187270000000001</v>
      </c>
      <c r="R4215">
        <v>7.0476919999999998E-2</v>
      </c>
      <c r="S4215">
        <v>-3.064972</v>
      </c>
      <c r="T4215">
        <v>-0.1116978</v>
      </c>
      <c r="U4215">
        <v>2.2369380000000001E-2</v>
      </c>
      <c r="V4215">
        <v>-1.7957819999999999E-2</v>
      </c>
      <c r="W4215">
        <v>0.17133519999999999</v>
      </c>
      <c r="X4215">
        <v>0.98504910000000001</v>
      </c>
      <c r="Y4215">
        <v>-8.2953029999999997E-2</v>
      </c>
      <c r="Z4215">
        <v>-4.7984840000000004E-3</v>
      </c>
      <c r="AA4215">
        <v>0.99654189999999998</v>
      </c>
      <c r="AB4215">
        <v>32</v>
      </c>
      <c r="AC4215">
        <v>-30.071000000000002</v>
      </c>
      <c r="AD4215">
        <v>-1.1077028504699999</v>
      </c>
      <c r="AE4215">
        <v>0.191200000000009</v>
      </c>
      <c r="AF4215">
        <v>-2.52273332456814</v>
      </c>
      <c r="AG4215">
        <v>-1.1077028504699999</v>
      </c>
      <c r="AH4215">
        <v>29.924712018438399</v>
      </c>
      <c r="AI4215">
        <v>92.112424954428604</v>
      </c>
      <c r="AJ4215">
        <v>94.818793507276894</v>
      </c>
      <c r="AK4215">
        <v>30.051282475433499</v>
      </c>
      <c r="AL4215">
        <v>80.134540341181804</v>
      </c>
      <c r="AM4215">
        <v>91.044408175496301</v>
      </c>
      <c r="AN4215">
        <v>0.999999981734501</v>
      </c>
    </row>
    <row r="4216" spans="1:40" x14ac:dyDescent="0.25">
      <c r="A4216" t="str">
        <f>"20190312173014715"</f>
        <v>20190312173014715</v>
      </c>
      <c r="B4216" t="str">
        <f>"1552383014711621"</f>
        <v>1552383014711621</v>
      </c>
      <c r="C4216" t="s">
        <v>40</v>
      </c>
      <c r="D4216">
        <v>3.2795640000000001</v>
      </c>
      <c r="E4216">
        <v>0.47474379999999999</v>
      </c>
      <c r="F4216" t="s">
        <v>51</v>
      </c>
      <c r="G4216">
        <v>-289.39089999999999</v>
      </c>
      <c r="H4216" s="1">
        <v>-8.9753560000000001E-6</v>
      </c>
      <c r="I4216">
        <v>140.869</v>
      </c>
      <c r="J4216">
        <v>-259.43830000000003</v>
      </c>
      <c r="K4216">
        <v>1.1077889999999999</v>
      </c>
      <c r="L4216">
        <v>140.7097</v>
      </c>
      <c r="M4216">
        <v>-0.9956933</v>
      </c>
      <c r="N4216">
        <v>0</v>
      </c>
      <c r="O4216">
        <v>9.2219850000000006E-2</v>
      </c>
      <c r="P4216">
        <v>-0.98430110000000004</v>
      </c>
      <c r="Q4216">
        <v>0.16203119999999999</v>
      </c>
      <c r="R4216">
        <v>6.9980360000000005E-2</v>
      </c>
      <c r="S4216">
        <v>-3.0649410000000001</v>
      </c>
      <c r="T4216">
        <v>-0.1121173</v>
      </c>
      <c r="U4216">
        <v>1.9332889999999998E-2</v>
      </c>
      <c r="V4216">
        <v>-2.0358339999999999E-2</v>
      </c>
      <c r="W4216">
        <v>0.17149349999999999</v>
      </c>
      <c r="X4216">
        <v>0.98497489999999999</v>
      </c>
      <c r="Y4216">
        <v>-8.5822510000000005E-2</v>
      </c>
      <c r="Z4216">
        <v>-4.9377750000000002E-3</v>
      </c>
      <c r="AA4216">
        <v>0.99629820000000002</v>
      </c>
      <c r="AB4216">
        <v>33</v>
      </c>
      <c r="AC4216">
        <v>-29.952599999999901</v>
      </c>
      <c r="AD4216">
        <v>-1.1077979753560001</v>
      </c>
      <c r="AE4216">
        <v>0.159300000000001</v>
      </c>
      <c r="AF4216">
        <v>-2.6001713094216399</v>
      </c>
      <c r="AG4216">
        <v>-1.1077979753560001</v>
      </c>
      <c r="AH4216">
        <v>29.7988812960036</v>
      </c>
      <c r="AI4216">
        <v>92.120985673161698</v>
      </c>
      <c r="AJ4216">
        <v>94.986846919724698</v>
      </c>
      <c r="AK4216">
        <v>29.932614882195899</v>
      </c>
      <c r="AL4216">
        <v>80.125334521228694</v>
      </c>
      <c r="AM4216">
        <v>91.184071694823302</v>
      </c>
      <c r="AN4216">
        <v>1.0000000180899</v>
      </c>
    </row>
    <row r="4217" spans="1:40" x14ac:dyDescent="0.25">
      <c r="A4217" t="str">
        <f>"20190312173014738"</f>
        <v>20190312173014738</v>
      </c>
      <c r="B4217" t="str">
        <f>"1552383014732116"</f>
        <v>1552383014732116</v>
      </c>
      <c r="C4217" t="s">
        <v>40</v>
      </c>
      <c r="D4217">
        <v>3.2476799999999999</v>
      </c>
      <c r="E4217">
        <v>0.47464899999999999</v>
      </c>
      <c r="F4217" t="s">
        <v>51</v>
      </c>
      <c r="G4217">
        <v>-289.8528</v>
      </c>
      <c r="H4217" s="1">
        <v>-9.2199260000000007E-6</v>
      </c>
      <c r="I4217">
        <v>140.8801</v>
      </c>
      <c r="J4217">
        <v>-259.77789999999999</v>
      </c>
      <c r="K4217">
        <v>1.107901</v>
      </c>
      <c r="L4217">
        <v>140.74299999999999</v>
      </c>
      <c r="M4217">
        <v>-0.99552549999999995</v>
      </c>
      <c r="N4217">
        <v>0</v>
      </c>
      <c r="O4217">
        <v>9.4013819999999998E-2</v>
      </c>
      <c r="P4217">
        <v>-0.98419699999999999</v>
      </c>
      <c r="Q4217">
        <v>0.1627094</v>
      </c>
      <c r="R4217">
        <v>6.9869860000000006E-2</v>
      </c>
      <c r="S4217">
        <v>-3.0650330000000001</v>
      </c>
      <c r="T4217">
        <v>-0.1116385</v>
      </c>
      <c r="U4217">
        <v>1.716614E-2</v>
      </c>
      <c r="V4217">
        <v>-2.2280359999999999E-2</v>
      </c>
      <c r="W4217">
        <v>0.17216709999999999</v>
      </c>
      <c r="X4217">
        <v>0.98481580000000002</v>
      </c>
      <c r="Y4217">
        <v>-8.8320099999999999E-2</v>
      </c>
      <c r="Z4217">
        <v>-5.0271669999999999E-3</v>
      </c>
      <c r="AA4217">
        <v>0.99607939999999995</v>
      </c>
      <c r="AB4217">
        <v>33</v>
      </c>
      <c r="AC4217">
        <v>-30.0749</v>
      </c>
      <c r="AD4217">
        <v>-1.107910219926</v>
      </c>
      <c r="AE4217">
        <v>0.137100000000003</v>
      </c>
      <c r="AF4217">
        <v>-2.6874443411676299</v>
      </c>
      <c r="AG4217">
        <v>-1.107910219926</v>
      </c>
      <c r="AH4217">
        <v>29.913978460625898</v>
      </c>
      <c r="AI4217">
        <v>92.112567440151594</v>
      </c>
      <c r="AJ4217">
        <v>95.133618542496805</v>
      </c>
      <c r="AK4217">
        <v>30.054881957596901</v>
      </c>
      <c r="AL4217">
        <v>80.086157628352694</v>
      </c>
      <c r="AM4217">
        <v>91.296032071018402</v>
      </c>
      <c r="AN4217">
        <v>1.00000004234688</v>
      </c>
    </row>
    <row r="4218" spans="1:40" x14ac:dyDescent="0.25">
      <c r="A4218" t="str">
        <f>"20190312173014761"</f>
        <v>20190312173014761</v>
      </c>
      <c r="B4218" t="str">
        <f>"1552383014751636"</f>
        <v>1552383014751636</v>
      </c>
      <c r="C4218" t="s">
        <v>40</v>
      </c>
      <c r="D4218">
        <v>3.2496559999999999</v>
      </c>
      <c r="E4218">
        <v>0.4745702</v>
      </c>
      <c r="F4218" t="s">
        <v>51</v>
      </c>
      <c r="G4218">
        <v>-290.9597</v>
      </c>
      <c r="H4218" s="1">
        <v>-9.1825719999999992E-6</v>
      </c>
      <c r="I4218">
        <v>140.9015</v>
      </c>
      <c r="J4218">
        <v>-260.1112</v>
      </c>
      <c r="K4218">
        <v>1.1080270000000001</v>
      </c>
      <c r="L4218">
        <v>140.77619999999999</v>
      </c>
      <c r="M4218">
        <v>-0.99537419999999999</v>
      </c>
      <c r="N4218">
        <v>0</v>
      </c>
      <c r="O4218">
        <v>9.5603670000000002E-2</v>
      </c>
      <c r="P4218">
        <v>-0.98421559999999997</v>
      </c>
      <c r="Q4218">
        <v>0.16262079999999901</v>
      </c>
      <c r="R4218">
        <v>6.9818149999999995E-2</v>
      </c>
      <c r="S4218">
        <v>-3.0650629999999999</v>
      </c>
      <c r="T4218">
        <v>-0.1089035</v>
      </c>
      <c r="U4218">
        <v>1.557922E-2</v>
      </c>
      <c r="V4218">
        <v>-2.396235E-2</v>
      </c>
      <c r="W4218">
        <v>0.1720727</v>
      </c>
      <c r="X4218">
        <v>0.98479280000000002</v>
      </c>
      <c r="Y4218">
        <v>-9.0430010000000005E-2</v>
      </c>
      <c r="Z4218">
        <v>-4.9978080000000003E-3</v>
      </c>
      <c r="AA4218">
        <v>0.99589030000000001</v>
      </c>
      <c r="AB4218">
        <v>33</v>
      </c>
      <c r="AC4218">
        <v>-30.848500000000001</v>
      </c>
      <c r="AD4218">
        <v>-1.108036182572</v>
      </c>
      <c r="AE4218">
        <v>0.12530000000000899</v>
      </c>
      <c r="AF4218">
        <v>-2.8209972902946299</v>
      </c>
      <c r="AG4218">
        <v>-1.108036182572</v>
      </c>
      <c r="AH4218">
        <v>30.6795841227189</v>
      </c>
      <c r="AI4218">
        <v>92.059736820086499</v>
      </c>
      <c r="AJ4218">
        <v>95.253591832542796</v>
      </c>
      <c r="AK4218">
        <v>30.828925570585898</v>
      </c>
      <c r="AL4218">
        <v>80.091648204966305</v>
      </c>
      <c r="AM4218">
        <v>91.393867483336606</v>
      </c>
      <c r="AN4218">
        <v>1.00000003361732</v>
      </c>
    </row>
    <row r="4219" spans="1:40" x14ac:dyDescent="0.25">
      <c r="A4219" t="str">
        <f>"20190312173014782"</f>
        <v>20190312173014782</v>
      </c>
      <c r="B4219" t="str">
        <f>"1552383014772136"</f>
        <v>1552383014772136</v>
      </c>
      <c r="C4219" t="s">
        <v>40</v>
      </c>
      <c r="D4219">
        <v>3.270381</v>
      </c>
      <c r="E4219">
        <v>0.4745122</v>
      </c>
      <c r="F4219" t="s">
        <v>51</v>
      </c>
      <c r="G4219">
        <v>-291.33449999999999</v>
      </c>
      <c r="H4219" s="1">
        <v>-9.1523470000000007E-6</v>
      </c>
      <c r="I4219">
        <v>140.92259999999999</v>
      </c>
      <c r="J4219">
        <v>-260.42669999999998</v>
      </c>
      <c r="K4219">
        <v>1.108163</v>
      </c>
      <c r="L4219">
        <v>140.80779999999999</v>
      </c>
      <c r="M4219">
        <v>-0.99524610000000002</v>
      </c>
      <c r="N4219">
        <v>0</v>
      </c>
      <c r="O4219">
        <v>9.6928799999999996E-2</v>
      </c>
      <c r="P4219">
        <v>-0.98424120000000004</v>
      </c>
      <c r="Q4219">
        <v>0.16272600000000001</v>
      </c>
      <c r="R4219">
        <v>6.9206279999999995E-2</v>
      </c>
      <c r="S4219">
        <v>-3.0650940000000002</v>
      </c>
      <c r="T4219">
        <v>-0.10877249999999999</v>
      </c>
      <c r="U4219">
        <v>1.4373779999999999E-2</v>
      </c>
      <c r="V4219">
        <v>-2.5944910000000002E-2</v>
      </c>
      <c r="W4219">
        <v>0.17217189999999999</v>
      </c>
      <c r="X4219">
        <v>0.98472519999999997</v>
      </c>
      <c r="Y4219">
        <v>-9.2145870000000005E-2</v>
      </c>
      <c r="Z4219">
        <v>-5.0690500000000003E-3</v>
      </c>
      <c r="AA4219">
        <v>0.99573259999999997</v>
      </c>
      <c r="AB4219">
        <v>33</v>
      </c>
      <c r="AC4219">
        <v>-30.907800000000002</v>
      </c>
      <c r="AD4219">
        <v>-1.1081721523469901</v>
      </c>
      <c r="AE4219">
        <v>0.114800000000002</v>
      </c>
      <c r="AF4219">
        <v>-2.8780316934616201</v>
      </c>
      <c r="AG4219">
        <v>-1.1081721523469901</v>
      </c>
      <c r="AH4219">
        <v>30.733871384326601</v>
      </c>
      <c r="AI4219">
        <v>92.056033720675998</v>
      </c>
      <c r="AJ4219">
        <v>95.349784293192201</v>
      </c>
      <c r="AK4219">
        <v>30.8882172068272</v>
      </c>
      <c r="AL4219">
        <v>80.085878120766793</v>
      </c>
      <c r="AM4219">
        <v>91.509243401440699</v>
      </c>
      <c r="AN4219">
        <v>1.0000000105097699</v>
      </c>
    </row>
    <row r="4220" spans="1:40" x14ac:dyDescent="0.25">
      <c r="A4220" t="str">
        <f>"20190312173014804"</f>
        <v>20190312173014804</v>
      </c>
      <c r="B4220" t="str">
        <f>"1552383014791656"</f>
        <v>1552383014791656</v>
      </c>
      <c r="C4220" t="s">
        <v>40</v>
      </c>
      <c r="D4220">
        <v>3.2786119999999999</v>
      </c>
      <c r="E4220">
        <v>0.47449419999999998</v>
      </c>
      <c r="F4220" t="s">
        <v>51</v>
      </c>
      <c r="G4220">
        <v>-291.76819999999998</v>
      </c>
      <c r="H4220" s="1">
        <v>-9.1165449999999996E-6</v>
      </c>
      <c r="I4220">
        <v>140.93129999999999</v>
      </c>
      <c r="J4220">
        <v>-260.7346</v>
      </c>
      <c r="K4220">
        <v>1.1083149999999999</v>
      </c>
      <c r="L4220">
        <v>140.839</v>
      </c>
      <c r="M4220">
        <v>-0.995139</v>
      </c>
      <c r="N4220">
        <v>0</v>
      </c>
      <c r="O4220">
        <v>9.8021280000000002E-2</v>
      </c>
      <c r="P4220">
        <v>-0.9843982</v>
      </c>
      <c r="Q4220">
        <v>0.16191159999999999</v>
      </c>
      <c r="R4220">
        <v>6.8882929999999995E-2</v>
      </c>
      <c r="S4220">
        <v>-3.0650940000000002</v>
      </c>
      <c r="T4220">
        <v>-0.10837570000000001</v>
      </c>
      <c r="U4220">
        <v>1.2069699999999999E-2</v>
      </c>
      <c r="V4220">
        <v>-2.7432649999999999E-2</v>
      </c>
      <c r="W4220">
        <v>0.17135029999999901</v>
      </c>
      <c r="X4220">
        <v>0.98482820000000004</v>
      </c>
      <c r="Y4220">
        <v>-9.3986340000000002E-2</v>
      </c>
      <c r="Z4220">
        <v>-5.1216090000000001E-3</v>
      </c>
      <c r="AA4220">
        <v>0.99556029999999995</v>
      </c>
      <c r="AB4220">
        <v>33</v>
      </c>
      <c r="AC4220">
        <v>-31.0335999999999</v>
      </c>
      <c r="AD4220">
        <v>-1.108324116545</v>
      </c>
      <c r="AE4220">
        <v>9.2299999999994498E-2</v>
      </c>
      <c r="AF4220">
        <v>-2.9464768220233002</v>
      </c>
      <c r="AG4220">
        <v>-1.108324116545</v>
      </c>
      <c r="AH4220">
        <v>30.853833637884001</v>
      </c>
      <c r="AI4220">
        <v>92.047971446810394</v>
      </c>
      <c r="AJ4220">
        <v>95.455084506120599</v>
      </c>
      <c r="AK4220">
        <v>31.014015511769198</v>
      </c>
      <c r="AL4220">
        <v>80.133662664853802</v>
      </c>
      <c r="AM4220">
        <v>91.595576500884903</v>
      </c>
      <c r="AN4220">
        <v>1.0000000295556699</v>
      </c>
    </row>
    <row r="4221" spans="1:40" x14ac:dyDescent="0.25">
      <c r="A4221" t="str">
        <f>"20190312173014825"</f>
        <v>20190312173014825</v>
      </c>
      <c r="B4221" t="str">
        <f>"1552383014821908"</f>
        <v>1552383014821908</v>
      </c>
      <c r="C4221" t="s">
        <v>40</v>
      </c>
      <c r="D4221">
        <v>3.2289029999999999</v>
      </c>
      <c r="E4221">
        <v>0.47446309999999903</v>
      </c>
      <c r="F4221" t="s">
        <v>51</v>
      </c>
      <c r="G4221">
        <v>-291.46910000000003</v>
      </c>
      <c r="H4221" s="1">
        <v>-9.1467979999999998E-6</v>
      </c>
      <c r="I4221">
        <v>140.94640000000001</v>
      </c>
      <c r="J4221">
        <v>-261.05189999999999</v>
      </c>
      <c r="K4221">
        <v>1.1084940000000001</v>
      </c>
      <c r="L4221">
        <v>140.87129999999999</v>
      </c>
      <c r="M4221">
        <v>-0.99504950000000003</v>
      </c>
      <c r="N4221">
        <v>0</v>
      </c>
      <c r="O4221">
        <v>9.8927189999999998E-2</v>
      </c>
      <c r="P4221">
        <v>-0.98438650000000005</v>
      </c>
      <c r="Q4221">
        <v>0.16213169999999999</v>
      </c>
      <c r="R4221">
        <v>6.853455E-2</v>
      </c>
      <c r="S4221">
        <v>-3.064972</v>
      </c>
      <c r="T4221">
        <v>-0.11052629999999999</v>
      </c>
      <c r="U4221">
        <v>1.071167E-2</v>
      </c>
      <c r="V4221">
        <v>-2.8749750000000001E-2</v>
      </c>
      <c r="W4221">
        <v>0.171558399999999</v>
      </c>
      <c r="X4221">
        <v>0.98475440000000003</v>
      </c>
      <c r="Y4221">
        <v>-9.5327239999999994E-2</v>
      </c>
      <c r="Z4221">
        <v>-5.2801159999999996E-3</v>
      </c>
      <c r="AA4221">
        <v>0.99543199999999998</v>
      </c>
      <c r="AB4221">
        <v>33</v>
      </c>
      <c r="AC4221">
        <v>-30.417200000000001</v>
      </c>
      <c r="AD4221">
        <v>-1.108503146798</v>
      </c>
      <c r="AE4221">
        <v>7.5100000000020303E-2</v>
      </c>
      <c r="AF4221">
        <v>-2.9305996728355002</v>
      </c>
      <c r="AG4221">
        <v>-1.108503146798</v>
      </c>
      <c r="AH4221">
        <v>30.235254425036601</v>
      </c>
      <c r="AI4221">
        <v>92.089886733785093</v>
      </c>
      <c r="AJ4221">
        <v>95.536189863942397</v>
      </c>
      <c r="AK4221">
        <v>30.397167693974101</v>
      </c>
      <c r="AL4221">
        <v>80.121560210679704</v>
      </c>
      <c r="AM4221">
        <v>91.672266276972195</v>
      </c>
      <c r="AN4221">
        <v>1.0000000305274901</v>
      </c>
    </row>
    <row r="4222" spans="1:40" x14ac:dyDescent="0.25">
      <c r="A4222" t="str">
        <f>"20190312173014850"</f>
        <v>20190312173014850</v>
      </c>
      <c r="B4222" t="str">
        <f>"1552383014842405"</f>
        <v>1552383014842405</v>
      </c>
      <c r="C4222" t="s">
        <v>40</v>
      </c>
      <c r="D4222">
        <v>3.237168</v>
      </c>
      <c r="E4222">
        <v>0.47446549999999998</v>
      </c>
      <c r="F4222" t="s">
        <v>51</v>
      </c>
      <c r="G4222">
        <v>-292.09969999999998</v>
      </c>
      <c r="H4222" s="1">
        <v>-9.0946310000000008E-6</v>
      </c>
      <c r="I4222">
        <v>140.95859999999999</v>
      </c>
      <c r="J4222">
        <v>-261.40140000000002</v>
      </c>
      <c r="K4222">
        <v>1.1086800000000001</v>
      </c>
      <c r="L4222">
        <v>140.90690000000001</v>
      </c>
      <c r="M4222">
        <v>-0.99497179999999996</v>
      </c>
      <c r="N4222">
        <v>0</v>
      </c>
      <c r="O4222">
        <v>9.9705500000000002E-2</v>
      </c>
      <c r="P4222">
        <v>-0.98433479999999995</v>
      </c>
      <c r="Q4222">
        <v>0.1624805</v>
      </c>
      <c r="R4222">
        <v>6.8449170000000004E-2</v>
      </c>
      <c r="S4222">
        <v>-3.0650019999999998</v>
      </c>
      <c r="T4222">
        <v>-0.10943029999999999</v>
      </c>
      <c r="U4222">
        <v>8.6212159999999993E-3</v>
      </c>
      <c r="V4222">
        <v>-2.9678199999999998E-2</v>
      </c>
      <c r="W4222">
        <v>0.17189279999999901</v>
      </c>
      <c r="X4222">
        <v>0.98466849999999995</v>
      </c>
      <c r="Y4222">
        <v>-9.6785800000000005E-2</v>
      </c>
      <c r="Z4222">
        <v>-5.2814769999999997E-3</v>
      </c>
      <c r="AA4222">
        <v>0.99529120000000004</v>
      </c>
      <c r="AB4222">
        <v>33</v>
      </c>
      <c r="AC4222">
        <v>-30.6982999999999</v>
      </c>
      <c r="AD4222">
        <v>-1.108689094631</v>
      </c>
      <c r="AE4222">
        <v>5.1699999999982503E-2</v>
      </c>
      <c r="AF4222">
        <v>-3.0055643663346001</v>
      </c>
      <c r="AG4222">
        <v>-1.108689094631</v>
      </c>
      <c r="AH4222">
        <v>30.510675133299401</v>
      </c>
      <c r="AI4222">
        <v>92.071067986403193</v>
      </c>
      <c r="AJ4222">
        <v>95.625976708712798</v>
      </c>
      <c r="AK4222">
        <v>30.678394771540301</v>
      </c>
      <c r="AL4222">
        <v>80.1021112102827</v>
      </c>
      <c r="AM4222">
        <v>91.726389105471398</v>
      </c>
      <c r="AN4222">
        <v>0.99999999256966499</v>
      </c>
    </row>
    <row r="4223" spans="1:40" x14ac:dyDescent="0.25">
      <c r="A4223" t="str">
        <f>"20190312173014870"</f>
        <v>20190312173014870</v>
      </c>
      <c r="B4223" t="str">
        <f>"1552383014861935"</f>
        <v>1552383014861935</v>
      </c>
      <c r="C4223" t="s">
        <v>40</v>
      </c>
      <c r="D4223">
        <v>3.2341570000000002</v>
      </c>
      <c r="E4223">
        <v>0.47443669999999999</v>
      </c>
      <c r="F4223" t="s">
        <v>51</v>
      </c>
      <c r="G4223">
        <v>-292.47250000000003</v>
      </c>
      <c r="H4223" s="1">
        <v>-9.0695009999999995E-6</v>
      </c>
      <c r="I4223">
        <v>140.98750000000001</v>
      </c>
      <c r="J4223">
        <v>-261.71480000000003</v>
      </c>
      <c r="K4223">
        <v>1.1088309999999999</v>
      </c>
      <c r="L4223">
        <v>140.93889999999999</v>
      </c>
      <c r="M4223">
        <v>-0.99492159999999996</v>
      </c>
      <c r="N4223">
        <v>0</v>
      </c>
      <c r="O4223">
        <v>0.10020510000000001</v>
      </c>
      <c r="P4223">
        <v>-0.98447050000000003</v>
      </c>
      <c r="Q4223">
        <v>0.1621523</v>
      </c>
      <c r="R4223">
        <v>6.7266900000000004E-2</v>
      </c>
      <c r="S4223">
        <v>-3.0652469999999998</v>
      </c>
      <c r="T4223">
        <v>-0.109375399999999</v>
      </c>
      <c r="U4223">
        <v>7.9498290000000003E-3</v>
      </c>
      <c r="V4223">
        <v>-3.1432300000000003E-2</v>
      </c>
      <c r="W4223">
        <v>0.1715537</v>
      </c>
      <c r="X4223">
        <v>0.98467320000000003</v>
      </c>
      <c r="Y4223">
        <v>-9.7503090000000001E-2</v>
      </c>
      <c r="Z4223">
        <v>-5.3089629999999999E-3</v>
      </c>
      <c r="AA4223">
        <v>0.99522109999999997</v>
      </c>
      <c r="AB4223">
        <v>33</v>
      </c>
      <c r="AC4223">
        <v>-30.7577</v>
      </c>
      <c r="AD4223">
        <v>-1.1088400695009999</v>
      </c>
      <c r="AE4223">
        <v>4.8600000000021702E-2</v>
      </c>
      <c r="AF4223">
        <v>-3.0299237979840501</v>
      </c>
      <c r="AG4223">
        <v>-1.1088400695009999</v>
      </c>
      <c r="AH4223">
        <v>30.5680186800783</v>
      </c>
      <c r="AI4223">
        <v>92.067343700562702</v>
      </c>
      <c r="AJ4223">
        <v>95.660708163479697</v>
      </c>
      <c r="AK4223">
        <v>30.7378224756885</v>
      </c>
      <c r="AL4223">
        <v>80.121833110376798</v>
      </c>
      <c r="AM4223">
        <v>91.828349541806105</v>
      </c>
      <c r="AN4223">
        <v>0.99999998613260999</v>
      </c>
    </row>
    <row r="4224" spans="1:40" x14ac:dyDescent="0.25">
      <c r="A4224" t="str">
        <f>"20190312173014893"</f>
        <v>20190312173014893</v>
      </c>
      <c r="B4224" t="str">
        <f>"1552383014882420"</f>
        <v>1552383014882420</v>
      </c>
      <c r="C4224" t="s">
        <v>40</v>
      </c>
      <c r="D4224">
        <v>2.5669149999999998</v>
      </c>
      <c r="E4224">
        <v>0.47844789999999998</v>
      </c>
      <c r="F4224" t="s">
        <v>51</v>
      </c>
      <c r="G4224">
        <v>-292.25900000000001</v>
      </c>
      <c r="H4224" s="1">
        <v>-9.0856660000000004E-6</v>
      </c>
      <c r="I4224">
        <v>140.9777</v>
      </c>
      <c r="J4224">
        <v>-262.0444</v>
      </c>
      <c r="K4224">
        <v>1.1090040000000001</v>
      </c>
      <c r="L4224">
        <v>140.9725</v>
      </c>
      <c r="M4224">
        <v>-0.99489070000000002</v>
      </c>
      <c r="N4224">
        <v>0</v>
      </c>
      <c r="O4224">
        <v>0.1005119</v>
      </c>
      <c r="P4224">
        <v>-0.98457890000000003</v>
      </c>
      <c r="Q4224">
        <v>0.16186389999999901</v>
      </c>
      <c r="R4224">
        <v>6.6365939999999998E-2</v>
      </c>
      <c r="S4224">
        <v>-3.0653380000000001</v>
      </c>
      <c r="T4224">
        <v>-0.1112804</v>
      </c>
      <c r="U4224">
        <v>3.8909909999999999E-3</v>
      </c>
      <c r="V4224">
        <v>-3.271723E-2</v>
      </c>
      <c r="W4224">
        <v>0.17125299999999999</v>
      </c>
      <c r="X4224">
        <v>0.98468370000000005</v>
      </c>
      <c r="Y4224">
        <v>-9.9122080000000001E-2</v>
      </c>
      <c r="Z4224">
        <v>-5.4417490000000001E-3</v>
      </c>
      <c r="AA4224">
        <v>0.99506039999999996</v>
      </c>
      <c r="AB4224">
        <v>33</v>
      </c>
      <c r="AC4224">
        <v>-30.214600000000001</v>
      </c>
      <c r="AD4224">
        <v>-1.1090130856659901</v>
      </c>
      <c r="AE4224">
        <v>5.2000000000020901E-3</v>
      </c>
      <c r="AF4224">
        <v>-3.0278105000939801</v>
      </c>
      <c r="AG4224">
        <v>-1.1090130856659901</v>
      </c>
      <c r="AH4224">
        <v>30.0216519482824</v>
      </c>
      <c r="AI4224">
        <v>92.104901139853894</v>
      </c>
      <c r="AJ4224">
        <v>95.759048038728395</v>
      </c>
      <c r="AK4224">
        <v>30.194322846397299</v>
      </c>
      <c r="AL4224">
        <v>80.139320871415606</v>
      </c>
      <c r="AM4224">
        <v>91.9030170096852</v>
      </c>
      <c r="AN4224">
        <v>0.99999999809678097</v>
      </c>
    </row>
    <row r="4225" spans="1:40" x14ac:dyDescent="0.25">
      <c r="A4225" t="str">
        <f>"20190312173014940"</f>
        <v>20190312173014940</v>
      </c>
      <c r="B4225" t="str">
        <f>"1552383014932197"</f>
        <v>1552383014932197</v>
      </c>
      <c r="C4225" t="s">
        <v>40</v>
      </c>
      <c r="D4225">
        <v>3.137718</v>
      </c>
      <c r="E4225">
        <v>0.47844789999999998</v>
      </c>
      <c r="F4225" t="s">
        <v>41</v>
      </c>
      <c r="G4225">
        <v>-270.25959999999998</v>
      </c>
      <c r="H4225" s="1">
        <v>-4.4451220000000002E-6</v>
      </c>
      <c r="I4225">
        <v>141.0675</v>
      </c>
      <c r="J4225">
        <v>-262.71249999999998</v>
      </c>
      <c r="K4225">
        <v>1.109397</v>
      </c>
      <c r="L4225">
        <v>141.0403</v>
      </c>
      <c r="M4225">
        <v>-0.99489740000000004</v>
      </c>
      <c r="N4225">
        <v>0</v>
      </c>
      <c r="O4225">
        <v>0.1004452</v>
      </c>
      <c r="P4225">
        <v>-0.98454090000000005</v>
      </c>
      <c r="Q4225">
        <v>0.16254959999999999</v>
      </c>
      <c r="R4225">
        <v>6.5242510000000004E-2</v>
      </c>
      <c r="S4225">
        <v>-3.1136469999999998</v>
      </c>
      <c r="T4225">
        <v>-0.42032789999999998</v>
      </c>
      <c r="U4225">
        <v>3.6041259999999999E-2</v>
      </c>
      <c r="V4225">
        <v>-3.3924219999999998E-2</v>
      </c>
      <c r="W4225">
        <v>0.1719069</v>
      </c>
      <c r="X4225">
        <v>0.98452890000000004</v>
      </c>
      <c r="Y4225">
        <v>-8.7227739999999998E-2</v>
      </c>
      <c r="Z4225">
        <v>-1.9340329999999999E-2</v>
      </c>
      <c r="AA4225">
        <v>0.99600060000000001</v>
      </c>
      <c r="AB4225">
        <v>33</v>
      </c>
      <c r="AC4225">
        <v>-7.5471000000000004</v>
      </c>
      <c r="AD4225">
        <v>-1.109401445122</v>
      </c>
      <c r="AE4225">
        <v>2.71999999999934E-2</v>
      </c>
      <c r="AF4225">
        <v>-0.71557949385598596</v>
      </c>
      <c r="AG4225">
        <v>-1.109401445122</v>
      </c>
      <c r="AH4225">
        <v>7.3527821962044504</v>
      </c>
      <c r="AI4225">
        <v>98.540423920609896</v>
      </c>
      <c r="AJ4225">
        <v>95.558572731986501</v>
      </c>
      <c r="AK4225">
        <v>7.4703568591659097</v>
      </c>
      <c r="AL4225">
        <v>80.101291156286706</v>
      </c>
      <c r="AM4225">
        <v>91.973477787417707</v>
      </c>
      <c r="AN4225">
        <v>0.99999999495271397</v>
      </c>
    </row>
    <row r="4226" spans="1:40" x14ac:dyDescent="0.25">
      <c r="A4226" t="str">
        <f>"20190312173014962"</f>
        <v>20190312173014962</v>
      </c>
      <c r="B4226" t="str">
        <f>"1552383014951716"</f>
        <v>1552383014951716</v>
      </c>
      <c r="C4226" t="s">
        <v>40</v>
      </c>
      <c r="D4226">
        <v>3.3362370000000001</v>
      </c>
      <c r="E4226">
        <v>0.47225830000000002</v>
      </c>
      <c r="F4226" t="s">
        <v>41</v>
      </c>
      <c r="G4226">
        <v>-270.9796</v>
      </c>
      <c r="H4226" s="1">
        <v>-4.2099640000000002E-6</v>
      </c>
      <c r="I4226">
        <v>141.12299999999999</v>
      </c>
      <c r="J4226">
        <v>-263.0566</v>
      </c>
      <c r="K4226">
        <v>1.109613</v>
      </c>
      <c r="L4226">
        <v>141.07480000000001</v>
      </c>
      <c r="M4226">
        <v>-0.99493830000000005</v>
      </c>
      <c r="N4226">
        <v>0</v>
      </c>
      <c r="O4226">
        <v>0.1000397</v>
      </c>
      <c r="P4226">
        <v>-0.98452430000000002</v>
      </c>
      <c r="Q4226">
        <v>0.16305220000000001</v>
      </c>
      <c r="R4226">
        <v>6.4232360000000002E-2</v>
      </c>
      <c r="S4226">
        <v>-3.1140750000000001</v>
      </c>
      <c r="T4226">
        <v>-0.41789389999999998</v>
      </c>
      <c r="U4226">
        <v>3.1188960000000002E-2</v>
      </c>
      <c r="V4226">
        <v>-3.4616969999999997E-2</v>
      </c>
      <c r="W4226">
        <v>0.17239170000000001</v>
      </c>
      <c r="X4226">
        <v>0.98441999999999996</v>
      </c>
      <c r="Y4226">
        <v>-8.8388259999999996E-2</v>
      </c>
      <c r="Z4226">
        <v>-1.9250710000000001E-2</v>
      </c>
      <c r="AA4226">
        <v>0.99590000000000001</v>
      </c>
      <c r="AB4226">
        <v>33</v>
      </c>
      <c r="AC4226">
        <v>-7.923</v>
      </c>
      <c r="AD4226">
        <v>-1.109617209964</v>
      </c>
      <c r="AE4226">
        <v>4.8199999999980002E-2</v>
      </c>
      <c r="AF4226">
        <v>-0.73036705011160197</v>
      </c>
      <c r="AG4226">
        <v>-1.109617209964</v>
      </c>
      <c r="AH4226">
        <v>7.7363371841047899</v>
      </c>
      <c r="AI4226">
        <v>98.126575877549499</v>
      </c>
      <c r="AJ4226">
        <v>95.393157686449499</v>
      </c>
      <c r="AK4226">
        <v>7.8495604594588198</v>
      </c>
      <c r="AL4226">
        <v>80.073093087223995</v>
      </c>
      <c r="AM4226">
        <v>92.013966954218603</v>
      </c>
      <c r="AN4226">
        <v>0.99999998462043505</v>
      </c>
    </row>
    <row r="4227" spans="1:40" x14ac:dyDescent="0.25">
      <c r="A4227" t="str">
        <f>"20190312173014983"</f>
        <v>20190312173014983</v>
      </c>
      <c r="B4227" t="str">
        <f>"1552383014972213"</f>
        <v>1552383014972213</v>
      </c>
      <c r="C4227" t="s">
        <v>40</v>
      </c>
      <c r="D4227">
        <v>3.2923360000000002</v>
      </c>
      <c r="E4227">
        <v>0.4730355</v>
      </c>
      <c r="F4227" t="s">
        <v>52</v>
      </c>
      <c r="G4227">
        <v>0</v>
      </c>
      <c r="H4227">
        <v>0</v>
      </c>
      <c r="I4227">
        <v>0</v>
      </c>
      <c r="J4227">
        <v>-263.36680000000001</v>
      </c>
      <c r="K4227">
        <v>1.1098190000000001</v>
      </c>
      <c r="L4227">
        <v>141.10560000000001</v>
      </c>
      <c r="M4227">
        <v>-0.99499740000000003</v>
      </c>
      <c r="N4227">
        <v>0</v>
      </c>
      <c r="O4227">
        <v>9.9449830000000003E-2</v>
      </c>
      <c r="P4227">
        <v>-0.98452779999999995</v>
      </c>
      <c r="Q4227">
        <v>0.16358259999999999</v>
      </c>
      <c r="R4227">
        <v>6.2818869999999999E-2</v>
      </c>
      <c r="S4227">
        <v>-3.0460820000000002</v>
      </c>
      <c r="T4227">
        <v>1.605821E-2</v>
      </c>
      <c r="U4227">
        <v>-2.4291989999999999E-2</v>
      </c>
      <c r="V4227">
        <v>-3.552342E-2</v>
      </c>
      <c r="W4227">
        <v>0.172906</v>
      </c>
      <c r="X4227">
        <v>0.98429750000000005</v>
      </c>
      <c r="Y4227">
        <v>-0.1073833</v>
      </c>
      <c r="Z4227">
        <v>8.0673080000000002E-4</v>
      </c>
      <c r="AA4227">
        <v>0.99421729999999997</v>
      </c>
      <c r="AB4227">
        <v>33</v>
      </c>
      <c r="AC4227">
        <v>-3.0460820000000002</v>
      </c>
      <c r="AD4227">
        <v>1.605821E-2</v>
      </c>
      <c r="AE4227">
        <v>-2.4291989999999999E-2</v>
      </c>
      <c r="AF4227">
        <v>-0.32710841885070302</v>
      </c>
      <c r="AG4227">
        <v>1.605821E-2</v>
      </c>
      <c r="AH4227">
        <v>3.0284798204874299</v>
      </c>
      <c r="AI4227">
        <v>89.697954471282699</v>
      </c>
      <c r="AJ4227">
        <v>96.1646620573174</v>
      </c>
      <c r="AK4227">
        <v>3.0461365377952099</v>
      </c>
      <c r="AL4227">
        <v>80.043176611869598</v>
      </c>
      <c r="AM4227">
        <v>92.066914783481295</v>
      </c>
      <c r="AN4227">
        <v>0.99999998335537299</v>
      </c>
    </row>
    <row r="4228" spans="1:40" x14ac:dyDescent="0.25">
      <c r="A4228" t="str">
        <f>"20190312173015006"</f>
        <v>20190312173015006</v>
      </c>
      <c r="B4228" t="str">
        <f>"1552383015001493"</f>
        <v>1552383015001493</v>
      </c>
      <c r="C4228" t="s">
        <v>40</v>
      </c>
      <c r="D4228">
        <v>3.2989329999999999</v>
      </c>
      <c r="E4228">
        <v>0.47360920000000001</v>
      </c>
      <c r="F4228" t="s">
        <v>43</v>
      </c>
      <c r="G4228">
        <v>-539.21220000000005</v>
      </c>
      <c r="H4228">
        <v>-0.05</v>
      </c>
      <c r="I4228">
        <v>139.1146</v>
      </c>
      <c r="J4228">
        <v>-263.69490000000002</v>
      </c>
      <c r="K4228">
        <v>1.110028</v>
      </c>
      <c r="L4228">
        <v>141.13759999999999</v>
      </c>
      <c r="M4228">
        <v>-0.99508260000000004</v>
      </c>
      <c r="N4228">
        <v>0</v>
      </c>
      <c r="O4228">
        <v>9.8593899999999998E-2</v>
      </c>
      <c r="P4228">
        <v>-0.98438389999999998</v>
      </c>
      <c r="Q4228">
        <v>0.16489129999999999</v>
      </c>
      <c r="R4228">
        <v>6.1640420000000001E-2</v>
      </c>
      <c r="S4228">
        <v>-3.0506899999999999</v>
      </c>
      <c r="T4228">
        <v>-1.282692E-2</v>
      </c>
      <c r="U4228">
        <v>-2.2018429999999999E-2</v>
      </c>
      <c r="V4228">
        <v>-3.5922049999999997E-2</v>
      </c>
      <c r="W4228">
        <v>0.1741964</v>
      </c>
      <c r="X4228">
        <v>0.98405549999999997</v>
      </c>
      <c r="Y4228">
        <v>-0.1057761</v>
      </c>
      <c r="Z4228">
        <v>-6.3645889999999999E-4</v>
      </c>
      <c r="AA4228">
        <v>0.99438979999999999</v>
      </c>
      <c r="AB4228">
        <v>33</v>
      </c>
      <c r="AC4228">
        <v>-275.51729999999998</v>
      </c>
      <c r="AD4228">
        <v>-1.1600280000000001</v>
      </c>
      <c r="AE4228">
        <v>-2.0229999999999899</v>
      </c>
      <c r="AF4228">
        <v>-29.178171063983001</v>
      </c>
      <c r="AG4228">
        <v>-1.1600280000000001</v>
      </c>
      <c r="AH4228">
        <v>273.97046958255902</v>
      </c>
      <c r="AI4228">
        <v>90.241232410226999</v>
      </c>
      <c r="AJ4228">
        <v>96.079151474571304</v>
      </c>
      <c r="AK4228">
        <v>275.52228500592798</v>
      </c>
      <c r="AL4228">
        <v>79.968103077360695</v>
      </c>
      <c r="AM4228">
        <v>92.0906019809035</v>
      </c>
      <c r="AN4228">
        <v>1.0000000032647001</v>
      </c>
    </row>
    <row r="4229" spans="1:40" x14ac:dyDescent="0.25">
      <c r="A4229" t="str">
        <f>"20190312173015026"</f>
        <v>20190312173015026</v>
      </c>
      <c r="B4229" t="str">
        <f>"1552383015021989"</f>
        <v>1552383015021989</v>
      </c>
      <c r="C4229" t="s">
        <v>40</v>
      </c>
      <c r="D4229">
        <v>3.2140810000000002</v>
      </c>
      <c r="E4229">
        <v>0.47345019999999999</v>
      </c>
      <c r="F4229" t="s">
        <v>41</v>
      </c>
      <c r="G4229">
        <v>-380.25020000000001</v>
      </c>
      <c r="H4229" s="1">
        <v>-4.3155740000000004E-6</v>
      </c>
      <c r="I4229">
        <v>140.3193</v>
      </c>
      <c r="J4229">
        <v>-264.012</v>
      </c>
      <c r="K4229">
        <v>1.1102179999999999</v>
      </c>
      <c r="L4229">
        <v>141.16820000000001</v>
      </c>
      <c r="M4229">
        <v>-0.99518289999999998</v>
      </c>
      <c r="N4229">
        <v>0</v>
      </c>
      <c r="O4229">
        <v>9.7574629999999996E-2</v>
      </c>
      <c r="P4229">
        <v>-0.98414729999999995</v>
      </c>
      <c r="Q4229">
        <v>0.1666309</v>
      </c>
      <c r="R4229">
        <v>6.0730579999999999E-2</v>
      </c>
      <c r="S4229">
        <v>-3.053741</v>
      </c>
      <c r="T4229">
        <v>-2.9082779999999999E-2</v>
      </c>
      <c r="U4229">
        <v>-2.1438599999999999E-2</v>
      </c>
      <c r="V4229">
        <v>-3.587709E-2</v>
      </c>
      <c r="W4229">
        <v>0.1759194</v>
      </c>
      <c r="X4229">
        <v>0.98375060000000003</v>
      </c>
      <c r="Y4229">
        <v>-0.1045542</v>
      </c>
      <c r="Z4229">
        <v>-1.426096E-3</v>
      </c>
      <c r="AA4229">
        <v>0.99451820000000002</v>
      </c>
      <c r="AB4229">
        <v>33</v>
      </c>
      <c r="AC4229">
        <v>-116.23820000000001</v>
      </c>
      <c r="AD4229">
        <v>-1.1102223155740001</v>
      </c>
      <c r="AE4229">
        <v>-0.84890000000001398</v>
      </c>
      <c r="AF4229">
        <v>-12.1861480567794</v>
      </c>
      <c r="AG4229">
        <v>-1.1102223155740001</v>
      </c>
      <c r="AH4229">
        <v>115.59010648012099</v>
      </c>
      <c r="AI4229">
        <v>90.547266085202395</v>
      </c>
      <c r="AJ4229">
        <v>96.018206995894701</v>
      </c>
      <c r="AK4229">
        <v>116.23599921770101</v>
      </c>
      <c r="AL4229">
        <v>79.867834287499306</v>
      </c>
      <c r="AM4229">
        <v>92.088634273193193</v>
      </c>
      <c r="AN4229">
        <v>1.0000000219417899</v>
      </c>
    </row>
    <row r="4230" spans="1:40" x14ac:dyDescent="0.25">
      <c r="A4230" t="str">
        <f>"20190312173015051"</f>
        <v>20190312173015051</v>
      </c>
      <c r="B4230" t="str">
        <f>"1552383015041514"</f>
        <v>1552383015041514</v>
      </c>
      <c r="C4230" t="s">
        <v>40</v>
      </c>
      <c r="D4230">
        <v>3.2285249999999999</v>
      </c>
      <c r="E4230">
        <v>0.47344560000000002</v>
      </c>
      <c r="F4230" t="s">
        <v>41</v>
      </c>
      <c r="G4230">
        <v>-350.71609999999998</v>
      </c>
      <c r="H4230" s="1">
        <v>-4.1763969999999996E-6</v>
      </c>
      <c r="I4230">
        <v>140.42840000000001</v>
      </c>
      <c r="J4230">
        <v>-264.3673</v>
      </c>
      <c r="K4230">
        <v>1.1103959999999999</v>
      </c>
      <c r="L4230">
        <v>141.20179999999999</v>
      </c>
      <c r="M4230">
        <v>-0.99531190000000003</v>
      </c>
      <c r="N4230">
        <v>0</v>
      </c>
      <c r="O4230">
        <v>9.6250559999999999E-2</v>
      </c>
      <c r="P4230">
        <v>-0.98409729999999995</v>
      </c>
      <c r="Q4230">
        <v>0.16727049999999999</v>
      </c>
      <c r="R4230">
        <v>5.9775290000000002E-2</v>
      </c>
      <c r="S4230">
        <v>-3.056549</v>
      </c>
      <c r="T4230">
        <v>-3.9138319999999997E-2</v>
      </c>
      <c r="U4230">
        <v>-2.607727E-2</v>
      </c>
      <c r="V4230">
        <v>-3.5589240000000001E-2</v>
      </c>
      <c r="W4230">
        <v>0.1765465</v>
      </c>
      <c r="X4230">
        <v>0.98364870000000004</v>
      </c>
      <c r="Y4230">
        <v>-0.1047266</v>
      </c>
      <c r="Z4230">
        <v>-1.9015970000000001E-3</v>
      </c>
      <c r="AA4230">
        <v>0.99449920000000003</v>
      </c>
      <c r="AB4230">
        <v>33</v>
      </c>
      <c r="AC4230">
        <v>-86.348799999999898</v>
      </c>
      <c r="AD4230">
        <v>-1.1104001763969999</v>
      </c>
      <c r="AE4230">
        <v>-0.77339999999997999</v>
      </c>
      <c r="AF4230">
        <v>-9.0798021092848096</v>
      </c>
      <c r="AG4230">
        <v>-1.1104001763969999</v>
      </c>
      <c r="AH4230">
        <v>85.859217542744304</v>
      </c>
      <c r="AI4230">
        <v>90.736845254769904</v>
      </c>
      <c r="AJ4230">
        <v>96.036718160129496</v>
      </c>
      <c r="AK4230">
        <v>86.345127436050504</v>
      </c>
      <c r="AL4230">
        <v>79.831332707337396</v>
      </c>
      <c r="AM4230">
        <v>92.072105800435594</v>
      </c>
      <c r="AN4230">
        <v>1.00000001283885</v>
      </c>
    </row>
    <row r="4231" spans="1:40" x14ac:dyDescent="0.25">
      <c r="A4231" t="str">
        <f>"20190312173015072"</f>
        <v>20190312173015072</v>
      </c>
      <c r="B4231" t="str">
        <f>"1552383015062008"</f>
        <v>1552383015062008</v>
      </c>
      <c r="C4231" t="s">
        <v>40</v>
      </c>
      <c r="D4231">
        <v>3.2493759999999998</v>
      </c>
      <c r="E4231">
        <v>0.47363759999999999</v>
      </c>
      <c r="F4231" t="s">
        <v>41</v>
      </c>
      <c r="G4231">
        <v>-333.38749999999999</v>
      </c>
      <c r="H4231" s="1">
        <v>-3.3498040000000002E-6</v>
      </c>
      <c r="I4231">
        <v>140.5318</v>
      </c>
      <c r="J4231">
        <v>-264.68819999999999</v>
      </c>
      <c r="K4231">
        <v>1.1105309999999999</v>
      </c>
      <c r="L4231">
        <v>141.23169999999999</v>
      </c>
      <c r="M4231">
        <v>-0.99544029999999994</v>
      </c>
      <c r="N4231">
        <v>0</v>
      </c>
      <c r="O4231">
        <v>9.4913129999999998E-2</v>
      </c>
      <c r="P4231">
        <v>-0.98419610000000002</v>
      </c>
      <c r="Q4231">
        <v>0.16715559999999999</v>
      </c>
      <c r="R4231">
        <v>5.8455390000000003E-2</v>
      </c>
      <c r="S4231">
        <v>-3.0586549999999999</v>
      </c>
      <c r="T4231">
        <v>-4.9207689999999998E-2</v>
      </c>
      <c r="U4231">
        <v>-2.9693600000000001E-2</v>
      </c>
      <c r="V4231">
        <v>-3.5647720000000001E-2</v>
      </c>
      <c r="W4231">
        <v>0.176423</v>
      </c>
      <c r="X4231">
        <v>0.98366869999999995</v>
      </c>
      <c r="Y4231">
        <v>-0.1045509</v>
      </c>
      <c r="Z4231">
        <v>-2.366281E-3</v>
      </c>
      <c r="AA4231">
        <v>0.99451670000000003</v>
      </c>
      <c r="AB4231">
        <v>33</v>
      </c>
      <c r="AC4231">
        <v>-68.699299999999994</v>
      </c>
      <c r="AD4231">
        <v>-1.1105343498039999</v>
      </c>
      <c r="AE4231">
        <v>-0.69989999999998498</v>
      </c>
      <c r="AF4231">
        <v>-7.2156141073831197</v>
      </c>
      <c r="AG4231">
        <v>-1.1105343498039999</v>
      </c>
      <c r="AH4231">
        <v>68.304853318412697</v>
      </c>
      <c r="AI4231">
        <v>90.926307966167997</v>
      </c>
      <c r="AJ4231">
        <v>96.030268214398006</v>
      </c>
      <c r="AK4231">
        <v>68.693896092292206</v>
      </c>
      <c r="AL4231">
        <v>79.838521169074099</v>
      </c>
      <c r="AM4231">
        <v>92.075465532960493</v>
      </c>
      <c r="AN4231">
        <v>0.99999997311494304</v>
      </c>
    </row>
    <row r="4232" spans="1:40" x14ac:dyDescent="0.25">
      <c r="A4232" t="str">
        <f>"20190312173015094"</f>
        <v>20190312173015094</v>
      </c>
      <c r="B4232" t="str">
        <f>"1552383015092261"</f>
        <v>1552383015092261</v>
      </c>
      <c r="C4232" t="s">
        <v>40</v>
      </c>
      <c r="D4232">
        <v>3.2740930000000001</v>
      </c>
      <c r="E4232">
        <v>0.47403869999999998</v>
      </c>
      <c r="F4232" t="s">
        <v>41</v>
      </c>
      <c r="G4232">
        <v>-325.3981</v>
      </c>
      <c r="H4232" s="1">
        <v>-2.2157319999999998E-6</v>
      </c>
      <c r="I4232">
        <v>140.59059999999999</v>
      </c>
      <c r="J4232">
        <v>-265.01310000000001</v>
      </c>
      <c r="K4232">
        <v>1.110657</v>
      </c>
      <c r="L4232">
        <v>141.26130000000001</v>
      </c>
      <c r="M4232">
        <v>-0.99558000000000002</v>
      </c>
      <c r="N4232">
        <v>0</v>
      </c>
      <c r="O4232">
        <v>9.3434669999999997E-2</v>
      </c>
      <c r="P4232">
        <v>-0.98413099999999998</v>
      </c>
      <c r="Q4232">
        <v>0.16780349999999999</v>
      </c>
      <c r="R4232">
        <v>5.7690669999999999E-2</v>
      </c>
      <c r="S4232">
        <v>-3.0595400000000001</v>
      </c>
      <c r="T4232">
        <v>-5.5966500000000002E-2</v>
      </c>
      <c r="U4232">
        <v>-3.2302860000000003E-2</v>
      </c>
      <c r="V4232">
        <v>-3.4996329999999999E-2</v>
      </c>
      <c r="W4232">
        <v>0.177066</v>
      </c>
      <c r="X4232">
        <v>0.98357660000000002</v>
      </c>
      <c r="Y4232">
        <v>-0.103912</v>
      </c>
      <c r="Z4232">
        <v>-2.65767E-3</v>
      </c>
      <c r="AA4232">
        <v>0.99458299999999999</v>
      </c>
      <c r="AB4232">
        <v>33</v>
      </c>
      <c r="AC4232">
        <v>-60.384999999999899</v>
      </c>
      <c r="AD4232">
        <v>-1.1106592157320001</v>
      </c>
      <c r="AE4232">
        <v>-0.67070000000000995</v>
      </c>
      <c r="AF4232">
        <v>-6.3079396377103496</v>
      </c>
      <c r="AG4232">
        <v>-1.1106592157320001</v>
      </c>
      <c r="AH4232">
        <v>60.037838772390799</v>
      </c>
      <c r="AI4232">
        <v>91.054011828073399</v>
      </c>
      <c r="AJ4232">
        <v>95.997837049272107</v>
      </c>
      <c r="AK4232">
        <v>60.378520608127602</v>
      </c>
      <c r="AL4232">
        <v>79.801091185455803</v>
      </c>
      <c r="AM4232">
        <v>92.037763494540101</v>
      </c>
      <c r="AN4232">
        <v>1.0000000197685099</v>
      </c>
    </row>
    <row r="4233" spans="1:40" x14ac:dyDescent="0.25">
      <c r="A4233" t="str">
        <f>"20190312173015117"</f>
        <v>20190312173015117</v>
      </c>
      <c r="B4233" t="str">
        <f>"1552383015111781"</f>
        <v>1552383015111781</v>
      </c>
      <c r="C4233" t="s">
        <v>40</v>
      </c>
      <c r="D4233">
        <v>3.2714449999999999</v>
      </c>
      <c r="E4233">
        <v>0.47411490000000001</v>
      </c>
      <c r="F4233" t="s">
        <v>41</v>
      </c>
      <c r="G4233">
        <v>-320.81479999999999</v>
      </c>
      <c r="H4233" s="1">
        <v>-4.1895910000000001E-6</v>
      </c>
      <c r="I4233">
        <v>140.69229999999999</v>
      </c>
      <c r="J4233">
        <v>-265.3501</v>
      </c>
      <c r="K4233">
        <v>1.1107860000000001</v>
      </c>
      <c r="L4233">
        <v>141.29150000000001</v>
      </c>
      <c r="M4233">
        <v>-0.99573330000000004</v>
      </c>
      <c r="N4233">
        <v>0</v>
      </c>
      <c r="O4233">
        <v>9.1786499999999993E-2</v>
      </c>
      <c r="P4233">
        <v>-0.98399210000000004</v>
      </c>
      <c r="Q4233">
        <v>0.16881350000000001</v>
      </c>
      <c r="R4233">
        <v>5.7110349999999997E-2</v>
      </c>
      <c r="S4233">
        <v>-3.0606080000000002</v>
      </c>
      <c r="T4233">
        <v>-6.0917499999999902E-2</v>
      </c>
      <c r="U4233">
        <v>-3.1204220000000001E-2</v>
      </c>
      <c r="V4233">
        <v>-3.398586E-2</v>
      </c>
      <c r="W4233">
        <v>0.17807819999999999</v>
      </c>
      <c r="X4233">
        <v>0.98342929999999995</v>
      </c>
      <c r="Y4233">
        <v>-0.1018994</v>
      </c>
      <c r="Z4233">
        <v>-2.8389909999999999E-3</v>
      </c>
      <c r="AA4233">
        <v>0.99479070000000003</v>
      </c>
      <c r="AB4233">
        <v>33</v>
      </c>
      <c r="AC4233">
        <v>-55.464699999999901</v>
      </c>
      <c r="AD4233">
        <v>-1.110790189591</v>
      </c>
      <c r="AE4233">
        <v>-0.59920000000002405</v>
      </c>
      <c r="AF4233">
        <v>-5.6855311852926196</v>
      </c>
      <c r="AG4233">
        <v>-1.110790189591</v>
      </c>
      <c r="AH4233">
        <v>55.153426873009799</v>
      </c>
      <c r="AI4233">
        <v>91.147700833898895</v>
      </c>
      <c r="AJ4233">
        <v>95.885587858390096</v>
      </c>
      <c r="AK4233">
        <v>55.4568265909678</v>
      </c>
      <c r="AL4233">
        <v>79.742160015597193</v>
      </c>
      <c r="AM4233">
        <v>91.979269585581903</v>
      </c>
      <c r="AN4233">
        <v>1.00000003604683</v>
      </c>
    </row>
    <row r="4234" spans="1:40" x14ac:dyDescent="0.25">
      <c r="A4234" t="str">
        <f>"20190312173015141"</f>
        <v>20190312173015141</v>
      </c>
      <c r="B4234" t="str">
        <f>"1552383015132278"</f>
        <v>1552383015132278</v>
      </c>
      <c r="C4234" t="s">
        <v>40</v>
      </c>
      <c r="D4234">
        <v>3.2656489999999998</v>
      </c>
      <c r="E4234">
        <v>0.47422180000000003</v>
      </c>
      <c r="F4234" t="s">
        <v>41</v>
      </c>
      <c r="G4234">
        <v>-321.89589999999998</v>
      </c>
      <c r="H4234" s="1">
        <v>-3.7441019999999999E-6</v>
      </c>
      <c r="I4234">
        <v>140.68819999999999</v>
      </c>
      <c r="J4234">
        <v>-265.69670000000002</v>
      </c>
      <c r="K4234">
        <v>1.110903</v>
      </c>
      <c r="L4234">
        <v>141.3218</v>
      </c>
      <c r="M4234">
        <v>-0.99589709999999998</v>
      </c>
      <c r="N4234">
        <v>0</v>
      </c>
      <c r="O4234">
        <v>8.9991310000000005E-2</v>
      </c>
      <c r="P4234">
        <v>-0.98404650000000005</v>
      </c>
      <c r="Q4234">
        <v>0.1688171</v>
      </c>
      <c r="R4234">
        <v>5.6156959999999999E-2</v>
      </c>
      <c r="S4234">
        <v>-3.0610050000000002</v>
      </c>
      <c r="T4234">
        <v>-6.0130599999999999E-2</v>
      </c>
      <c r="U4234">
        <v>-3.2653809999999998E-2</v>
      </c>
      <c r="V4234">
        <v>-3.3215340000000003E-2</v>
      </c>
      <c r="W4234">
        <v>0.17808669999999999</v>
      </c>
      <c r="X4234">
        <v>0.98345400000000005</v>
      </c>
      <c r="Y4234">
        <v>-0.10057729999999999</v>
      </c>
      <c r="Z4234">
        <v>-2.753821E-3</v>
      </c>
      <c r="AA4234">
        <v>0.99492539999999996</v>
      </c>
      <c r="AB4234">
        <v>33</v>
      </c>
      <c r="AC4234">
        <v>-56.199199999999898</v>
      </c>
      <c r="AD4234">
        <v>-1.110906744102</v>
      </c>
      <c r="AE4234">
        <v>-0.63360000000000105</v>
      </c>
      <c r="AF4234">
        <v>-5.6864758498492698</v>
      </c>
      <c r="AG4234">
        <v>-1.110906744102</v>
      </c>
      <c r="AH4234">
        <v>55.892295892728299</v>
      </c>
      <c r="AI4234">
        <v>91.132806033878097</v>
      </c>
      <c r="AJ4234">
        <v>95.809277191495596</v>
      </c>
      <c r="AK4234">
        <v>56.191804220413701</v>
      </c>
      <c r="AL4234">
        <v>79.741664206664794</v>
      </c>
      <c r="AM4234">
        <v>91.934381957783302</v>
      </c>
      <c r="AN4234">
        <v>0.99999995082210102</v>
      </c>
    </row>
    <row r="4235" spans="1:40" x14ac:dyDescent="0.25">
      <c r="A4235" t="str">
        <f>"20190312173015164"</f>
        <v>20190312173015164</v>
      </c>
      <c r="B4235" t="str">
        <f>"1552383015151797"</f>
        <v>1552383015151797</v>
      </c>
      <c r="C4235" t="s">
        <v>40</v>
      </c>
      <c r="D4235">
        <v>3.2707739999999998</v>
      </c>
      <c r="E4235">
        <v>0.47416239999999998</v>
      </c>
      <c r="F4235" t="s">
        <v>51</v>
      </c>
      <c r="G4235">
        <v>-319.66829999999999</v>
      </c>
      <c r="H4235" s="1">
        <v>-5.8041229999999996E-6</v>
      </c>
      <c r="I4235">
        <v>140.71039999999999</v>
      </c>
      <c r="J4235">
        <v>-266.04939999999999</v>
      </c>
      <c r="K4235">
        <v>1.1110120000000001</v>
      </c>
      <c r="L4235">
        <v>141.3519</v>
      </c>
      <c r="M4235">
        <v>-0.99606779999999995</v>
      </c>
      <c r="N4235">
        <v>0</v>
      </c>
      <c r="O4235">
        <v>8.8078539999999997E-2</v>
      </c>
      <c r="P4235">
        <v>-0.98415710000000001</v>
      </c>
      <c r="Q4235">
        <v>0.1687187</v>
      </c>
      <c r="R4235">
        <v>5.4488170000000002E-2</v>
      </c>
      <c r="S4235">
        <v>-3.0614319999999999</v>
      </c>
      <c r="T4235">
        <v>-6.3014150000000005E-2</v>
      </c>
      <c r="U4235">
        <v>-3.4683230000000002E-2</v>
      </c>
      <c r="V4235">
        <v>-3.3041429999999997E-2</v>
      </c>
      <c r="W4235">
        <v>0.1779975</v>
      </c>
      <c r="X4235">
        <v>0.98347600000000002</v>
      </c>
      <c r="Y4235">
        <v>-9.9321560000000003E-2</v>
      </c>
      <c r="Z4235">
        <v>-2.833272E-3</v>
      </c>
      <c r="AA4235">
        <v>0.99505140000000003</v>
      </c>
      <c r="AB4235">
        <v>34</v>
      </c>
      <c r="AC4235">
        <v>-53.618899999999996</v>
      </c>
      <c r="AD4235">
        <v>-1.1110178041230001</v>
      </c>
      <c r="AE4235">
        <v>-0.64150000000000695</v>
      </c>
      <c r="AF4235">
        <v>-5.3595953998425001</v>
      </c>
      <c r="AG4235">
        <v>-1.1110178041230001</v>
      </c>
      <c r="AH4235">
        <v>53.331093784487997</v>
      </c>
      <c r="AI4235">
        <v>91.187459699748501</v>
      </c>
      <c r="AJ4235">
        <v>95.7387650352739</v>
      </c>
      <c r="AK4235">
        <v>53.611241243427102</v>
      </c>
      <c r="AL4235">
        <v>79.746857904728998</v>
      </c>
      <c r="AM4235">
        <v>91.924218476838504</v>
      </c>
      <c r="AN4235">
        <v>0.99999994433934603</v>
      </c>
    </row>
    <row r="4236" spans="1:40" x14ac:dyDescent="0.25">
      <c r="A4236" t="str">
        <f>"20190312173015184"</f>
        <v>20190312173015184</v>
      </c>
      <c r="B4236" t="str">
        <f>"1552383015182053"</f>
        <v>1552383015182053</v>
      </c>
      <c r="C4236" t="s">
        <v>40</v>
      </c>
      <c r="D4236">
        <v>3.2761179999999999</v>
      </c>
      <c r="E4236">
        <v>0.47420390000000001</v>
      </c>
      <c r="F4236" t="s">
        <v>51</v>
      </c>
      <c r="G4236">
        <v>-317.74630000000002</v>
      </c>
      <c r="H4236" s="1">
        <v>-6.6451070000000001E-6</v>
      </c>
      <c r="I4236">
        <v>140.66739999999999</v>
      </c>
      <c r="J4236">
        <v>-266.34960000000001</v>
      </c>
      <c r="K4236">
        <v>1.111097</v>
      </c>
      <c r="L4236">
        <v>141.37690000000001</v>
      </c>
      <c r="M4236">
        <v>-0.99621559999999998</v>
      </c>
      <c r="N4236">
        <v>0</v>
      </c>
      <c r="O4236">
        <v>8.6390120000000001E-2</v>
      </c>
      <c r="P4236">
        <v>-0.98420940000000001</v>
      </c>
      <c r="Q4236">
        <v>0.16875229999999999</v>
      </c>
      <c r="R4236">
        <v>5.3428530000000002E-2</v>
      </c>
      <c r="S4236">
        <v>-3.0618590000000001</v>
      </c>
      <c r="T4236">
        <v>-6.5802449999999998E-2</v>
      </c>
      <c r="U4236">
        <v>-4.0542599999999998E-2</v>
      </c>
      <c r="V4236">
        <v>-3.2466210000000002E-2</v>
      </c>
      <c r="W4236">
        <v>0.17804349999999999</v>
      </c>
      <c r="X4236">
        <v>0.98348690000000005</v>
      </c>
      <c r="Y4236">
        <v>-9.95341E-2</v>
      </c>
      <c r="Z4236">
        <v>-2.9243009999999998E-3</v>
      </c>
      <c r="AA4236">
        <v>0.99502990000000002</v>
      </c>
      <c r="AB4236">
        <v>34</v>
      </c>
      <c r="AC4236">
        <v>-51.396700000000003</v>
      </c>
      <c r="AD4236">
        <v>-1.111103645107</v>
      </c>
      <c r="AE4236">
        <v>-0.709500000000019</v>
      </c>
      <c r="AF4236">
        <v>-5.1448128824104904</v>
      </c>
      <c r="AG4236">
        <v>-1.111103645107</v>
      </c>
      <c r="AH4236">
        <v>51.119347495892001</v>
      </c>
      <c r="AI4236">
        <v>91.238898654789594</v>
      </c>
      <c r="AJ4236">
        <v>95.747076544573801</v>
      </c>
      <c r="AK4236">
        <v>51.389603416556398</v>
      </c>
      <c r="AL4236">
        <v>79.744180223640797</v>
      </c>
      <c r="AM4236">
        <v>91.890723245371703</v>
      </c>
      <c r="AN4236">
        <v>1.0000000125778099</v>
      </c>
    </row>
    <row r="4237" spans="1:40" x14ac:dyDescent="0.25">
      <c r="A4237" t="str">
        <f>"20190312173015206"</f>
        <v>20190312173015206</v>
      </c>
      <c r="B4237" t="str">
        <f>"1552383015202549"</f>
        <v>1552383015202549</v>
      </c>
      <c r="C4237" t="s">
        <v>40</v>
      </c>
      <c r="D4237">
        <v>3.2741850000000001</v>
      </c>
      <c r="E4237">
        <v>0.47420430000000002</v>
      </c>
      <c r="F4237" t="s">
        <v>51</v>
      </c>
      <c r="G4237">
        <v>-315.40309999999999</v>
      </c>
      <c r="H4237" s="1">
        <v>-7.6844140000000005E-6</v>
      </c>
      <c r="I4237">
        <v>140.66810000000001</v>
      </c>
      <c r="J4237">
        <v>-266.67669999999998</v>
      </c>
      <c r="K4237">
        <v>1.111167</v>
      </c>
      <c r="L4237">
        <v>141.40350000000001</v>
      </c>
      <c r="M4237">
        <v>-0.99637710000000002</v>
      </c>
      <c r="N4237">
        <v>0</v>
      </c>
      <c r="O4237">
        <v>8.4505739999999996E-2</v>
      </c>
      <c r="P4237">
        <v>-0.98421650000000005</v>
      </c>
      <c r="Q4237">
        <v>0.1691077</v>
      </c>
      <c r="R4237">
        <v>5.2158610000000001E-2</v>
      </c>
      <c r="S4237">
        <v>-3.0624389999999999</v>
      </c>
      <c r="T4237">
        <v>-6.9366929999999993E-2</v>
      </c>
      <c r="U4237">
        <v>-4.4250490000000003E-2</v>
      </c>
      <c r="V4237">
        <v>-3.1899869999999997E-2</v>
      </c>
      <c r="W4237">
        <v>0.17841279999999901</v>
      </c>
      <c r="X4237">
        <v>0.98343849999999999</v>
      </c>
      <c r="Y4237">
        <v>-9.8850030000000005E-2</v>
      </c>
      <c r="Z4237">
        <v>-3.0317669999999999E-3</v>
      </c>
      <c r="AA4237">
        <v>0.99509769999999997</v>
      </c>
      <c r="AB4237">
        <v>34</v>
      </c>
      <c r="AC4237">
        <v>-48.726399999999998</v>
      </c>
      <c r="AD4237">
        <v>-1.111174684414</v>
      </c>
      <c r="AE4237">
        <v>-0.73539999999999806</v>
      </c>
      <c r="AF4237">
        <v>-4.8480973931686799</v>
      </c>
      <c r="AG4237">
        <v>-1.111174684414</v>
      </c>
      <c r="AH4237">
        <v>48.464743143301497</v>
      </c>
      <c r="AI4237">
        <v>91.306897721390001</v>
      </c>
      <c r="AJ4237">
        <v>95.712492962150804</v>
      </c>
      <c r="AK4237">
        <v>48.719298901555703</v>
      </c>
      <c r="AL4237">
        <v>79.722676534671507</v>
      </c>
      <c r="AM4237">
        <v>91.857856184451094</v>
      </c>
      <c r="AN4237">
        <v>1.0000000060960501</v>
      </c>
    </row>
    <row r="4238" spans="1:40" x14ac:dyDescent="0.25">
      <c r="A4238" t="str">
        <f>"20190312173015228"</f>
        <v>20190312173015228</v>
      </c>
      <c r="B4238" t="str">
        <f>"1552383015222069"</f>
        <v>1552383015222069</v>
      </c>
      <c r="C4238" t="s">
        <v>40</v>
      </c>
      <c r="D4238">
        <v>3.3424939999999999</v>
      </c>
      <c r="E4238">
        <v>0.4742246</v>
      </c>
      <c r="F4238" t="s">
        <v>51</v>
      </c>
      <c r="G4238">
        <v>-315.59100000000001</v>
      </c>
      <c r="H4238" s="1">
        <v>-7.5887059999999996E-6</v>
      </c>
      <c r="I4238">
        <v>140.62119999999999</v>
      </c>
      <c r="J4238">
        <v>-267.01479999999998</v>
      </c>
      <c r="K4238">
        <v>1.111219</v>
      </c>
      <c r="L4238">
        <v>141.43029999999999</v>
      </c>
      <c r="M4238">
        <v>-0.99654310000000002</v>
      </c>
      <c r="N4238">
        <v>0</v>
      </c>
      <c r="O4238">
        <v>8.2522739999999997E-2</v>
      </c>
      <c r="P4238">
        <v>-0.98429230000000001</v>
      </c>
      <c r="Q4238">
        <v>0.16911109999999999</v>
      </c>
      <c r="R4238">
        <v>5.0699609999999999E-2</v>
      </c>
      <c r="S4238">
        <v>-3.0627140000000002</v>
      </c>
      <c r="T4238">
        <v>-6.9574949999999997E-2</v>
      </c>
      <c r="U4238">
        <v>-4.8980709999999997E-2</v>
      </c>
      <c r="V4238">
        <v>-3.1422850000000002E-2</v>
      </c>
      <c r="W4238">
        <v>0.17843110000000001</v>
      </c>
      <c r="X4238">
        <v>0.98345050000000001</v>
      </c>
      <c r="Y4238">
        <v>-9.8405350000000003E-2</v>
      </c>
      <c r="Z4238">
        <v>-2.9905919999999998E-3</v>
      </c>
      <c r="AA4238">
        <v>0.99514190000000002</v>
      </c>
      <c r="AB4238">
        <v>34</v>
      </c>
      <c r="AC4238">
        <v>-48.5762</v>
      </c>
      <c r="AD4238">
        <v>-1.111226588706</v>
      </c>
      <c r="AE4238">
        <v>-0.80910000000000004</v>
      </c>
      <c r="AF4238">
        <v>-4.8126474768233303</v>
      </c>
      <c r="AG4238">
        <v>-1.111226588706</v>
      </c>
      <c r="AH4238">
        <v>48.318449490298001</v>
      </c>
      <c r="AI4238">
        <v>91.310970241275896</v>
      </c>
      <c r="AJ4238">
        <v>95.688053372765694</v>
      </c>
      <c r="AK4238">
        <v>48.570247697681197</v>
      </c>
      <c r="AL4238">
        <v>79.721610542425694</v>
      </c>
      <c r="AM4238">
        <v>91.830071143557305</v>
      </c>
      <c r="AN4238">
        <v>0.99999996944978997</v>
      </c>
    </row>
    <row r="4239" spans="1:40" x14ac:dyDescent="0.25">
      <c r="A4239" t="str">
        <f>"20190312173015251"</f>
        <v>20190312173015251</v>
      </c>
      <c r="B4239" t="str">
        <f>"1552383015242565"</f>
        <v>1552383015242565</v>
      </c>
      <c r="C4239" t="s">
        <v>40</v>
      </c>
      <c r="D4239">
        <v>3.3215729999999999</v>
      </c>
      <c r="E4239">
        <v>0.47427390000000003</v>
      </c>
      <c r="F4239" t="s">
        <v>51</v>
      </c>
      <c r="G4239">
        <v>-316.0727</v>
      </c>
      <c r="H4239" s="1">
        <v>-7.3604559999999997E-6</v>
      </c>
      <c r="I4239">
        <v>140.5658</v>
      </c>
      <c r="J4239">
        <v>-267.36189999999999</v>
      </c>
      <c r="K4239">
        <v>1.1112580000000001</v>
      </c>
      <c r="L4239">
        <v>141.4571</v>
      </c>
      <c r="M4239">
        <v>-0.99671129999999997</v>
      </c>
      <c r="N4239">
        <v>0</v>
      </c>
      <c r="O4239">
        <v>8.046275E-2</v>
      </c>
      <c r="P4239">
        <v>-0.98439189999999999</v>
      </c>
      <c r="Q4239">
        <v>0.1690217</v>
      </c>
      <c r="R4239">
        <v>4.9035410000000001E-2</v>
      </c>
      <c r="S4239">
        <v>-3.0625610000000001</v>
      </c>
      <c r="T4239">
        <v>-6.9371100000000005E-2</v>
      </c>
      <c r="U4239">
        <v>-5.3970339999999999E-2</v>
      </c>
      <c r="V4239">
        <v>-3.107203E-2</v>
      </c>
      <c r="W4239">
        <v>0.1783565</v>
      </c>
      <c r="X4239">
        <v>0.98347519999999999</v>
      </c>
      <c r="Y4239">
        <v>-9.7970979999999999E-2</v>
      </c>
      <c r="Z4239">
        <v>-2.9304999999999999E-3</v>
      </c>
      <c r="AA4239">
        <v>0.99518499999999999</v>
      </c>
      <c r="AB4239">
        <v>34</v>
      </c>
      <c r="AC4239">
        <v>-48.710799999999999</v>
      </c>
      <c r="AD4239">
        <v>-1.1112653604559899</v>
      </c>
      <c r="AE4239">
        <v>-0.89130000000000098</v>
      </c>
      <c r="AF4239">
        <v>-4.8054954537278398</v>
      </c>
      <c r="AG4239">
        <v>-1.1112653604559899</v>
      </c>
      <c r="AH4239">
        <v>48.455915743533602</v>
      </c>
      <c r="AI4239">
        <v>91.307353318832895</v>
      </c>
      <c r="AJ4239">
        <v>95.663647818522605</v>
      </c>
      <c r="AK4239">
        <v>48.7062980301477</v>
      </c>
      <c r="AL4239">
        <v>79.725954707627494</v>
      </c>
      <c r="AM4239">
        <v>91.809607580897506</v>
      </c>
      <c r="AN4239">
        <v>0.99999999057780498</v>
      </c>
    </row>
    <row r="4240" spans="1:40" x14ac:dyDescent="0.25">
      <c r="A4240" t="str">
        <f>"20190312173015272"</f>
        <v>20190312173015272</v>
      </c>
      <c r="B4240" t="str">
        <f>"1552383015262088"</f>
        <v>1552383015262088</v>
      </c>
      <c r="C4240" t="s">
        <v>40</v>
      </c>
      <c r="D4240">
        <v>3.3343940000000001</v>
      </c>
      <c r="E4240">
        <v>0.47433619999999999</v>
      </c>
      <c r="F4240" t="s">
        <v>51</v>
      </c>
      <c r="G4240">
        <v>-316.02210000000002</v>
      </c>
      <c r="H4240" s="1">
        <v>-7.3703049999999999E-6</v>
      </c>
      <c r="I4240">
        <v>140.5181</v>
      </c>
      <c r="J4240">
        <v>-267.68220000000002</v>
      </c>
      <c r="K4240">
        <v>1.1112899999999999</v>
      </c>
      <c r="L4240">
        <v>141.4811</v>
      </c>
      <c r="M4240">
        <v>-0.99686359999999996</v>
      </c>
      <c r="N4240">
        <v>0</v>
      </c>
      <c r="O4240">
        <v>7.8550729999999999E-2</v>
      </c>
      <c r="P4240">
        <v>-0.98441829999999997</v>
      </c>
      <c r="Q4240">
        <v>0.16914570000000001</v>
      </c>
      <c r="R4240">
        <v>4.8067230000000002E-2</v>
      </c>
      <c r="S4240">
        <v>-3.0625309999999999</v>
      </c>
      <c r="T4240">
        <v>-6.9939730000000006E-2</v>
      </c>
      <c r="U4240">
        <v>-5.9097289999999997E-2</v>
      </c>
      <c r="V4240">
        <v>-3.0163349999999998E-2</v>
      </c>
      <c r="W4240">
        <v>0.17849579999999901</v>
      </c>
      <c r="X4240">
        <v>0.98347819999999997</v>
      </c>
      <c r="Y4240">
        <v>-9.772749E-2</v>
      </c>
      <c r="Z4240">
        <v>-2.9081799999999998E-3</v>
      </c>
      <c r="AA4240">
        <v>0.99520900000000001</v>
      </c>
      <c r="AB4240">
        <v>34</v>
      </c>
      <c r="AC4240">
        <v>-48.3399</v>
      </c>
      <c r="AD4240">
        <v>-1.111297370305</v>
      </c>
      <c r="AE4240">
        <v>-0.96299999999999397</v>
      </c>
      <c r="AF4240">
        <v>-4.7548227459112402</v>
      </c>
      <c r="AG4240">
        <v>-1.111297370305</v>
      </c>
      <c r="AH4240">
        <v>48.0894682222836</v>
      </c>
      <c r="AI4240">
        <v>91.317388427227002</v>
      </c>
      <c r="AJ4240">
        <v>95.646738859313402</v>
      </c>
      <c r="AK4240">
        <v>48.336738358026402</v>
      </c>
      <c r="AL4240">
        <v>79.717843071878306</v>
      </c>
      <c r="AM4240">
        <v>91.756715163843893</v>
      </c>
      <c r="AN4240">
        <v>0.99999997408804997</v>
      </c>
    </row>
    <row r="4241" spans="1:40" x14ac:dyDescent="0.25">
      <c r="A4241" t="str">
        <f>"20190312173015285"</f>
        <v>20190312173015285</v>
      </c>
      <c r="B4241" t="str">
        <f>"1552383015281605"</f>
        <v>1552383015281605</v>
      </c>
      <c r="C4241" t="s">
        <v>40</v>
      </c>
      <c r="D4241">
        <v>3.291671</v>
      </c>
      <c r="E4241">
        <v>0.47444809999999998</v>
      </c>
      <c r="F4241" t="s">
        <v>51</v>
      </c>
      <c r="G4241">
        <v>-316.81259999999997</v>
      </c>
      <c r="H4241" s="1">
        <v>-7.0102579999999997E-6</v>
      </c>
      <c r="I4241">
        <v>140.4821</v>
      </c>
      <c r="J4241">
        <v>-267.87430000000001</v>
      </c>
      <c r="K4241">
        <v>1.1113040000000001</v>
      </c>
      <c r="L4241">
        <v>141.49529999999999</v>
      </c>
      <c r="M4241">
        <v>-0.99695339999999999</v>
      </c>
      <c r="N4241">
        <v>0</v>
      </c>
      <c r="O4241">
        <v>7.7401910000000004E-2</v>
      </c>
      <c r="P4241">
        <v>-0.98443659999999999</v>
      </c>
      <c r="Q4241">
        <v>0.1692506</v>
      </c>
      <c r="R4241">
        <v>4.731788E-2</v>
      </c>
      <c r="S4241">
        <v>-3.0624690000000001</v>
      </c>
      <c r="T4241">
        <v>-6.9270970000000001E-2</v>
      </c>
      <c r="U4241">
        <v>-6.2271119999999999E-2</v>
      </c>
      <c r="V4241">
        <v>-2.978333E-2</v>
      </c>
      <c r="W4241">
        <v>0.17860980000000001</v>
      </c>
      <c r="X4241">
        <v>0.98346909999999998</v>
      </c>
      <c r="Y4241">
        <v>-9.7613210000000006E-2</v>
      </c>
      <c r="Z4241">
        <v>-2.8532010000000001E-3</v>
      </c>
      <c r="AA4241">
        <v>0.99522040000000001</v>
      </c>
      <c r="AB4241">
        <v>34</v>
      </c>
      <c r="AC4241">
        <v>-48.938299999999899</v>
      </c>
      <c r="AD4241">
        <v>-1.1113110102579999</v>
      </c>
      <c r="AE4241">
        <v>-1.0131999999999799</v>
      </c>
      <c r="AF4241">
        <v>-4.7957818808494599</v>
      </c>
      <c r="AG4241">
        <v>-1.1113110102579999</v>
      </c>
      <c r="AH4241">
        <v>48.687946572136703</v>
      </c>
      <c r="AI4241">
        <v>91.301264053862695</v>
      </c>
      <c r="AJ4241">
        <v>95.625510130339194</v>
      </c>
      <c r="AK4241">
        <v>48.936189853945997</v>
      </c>
      <c r="AL4241">
        <v>79.711204831407102</v>
      </c>
      <c r="AM4241">
        <v>91.734612425657204</v>
      </c>
      <c r="AN4241">
        <v>0.99999998902836895</v>
      </c>
    </row>
    <row r="4242" spans="1:40" x14ac:dyDescent="0.25">
      <c r="A4242" t="str">
        <f>"20190312173015298"</f>
        <v>20190312173015298</v>
      </c>
      <c r="B4242" t="str">
        <f>"1552383015292341"</f>
        <v>1552383015292341</v>
      </c>
      <c r="C4242" t="s">
        <v>40</v>
      </c>
      <c r="D4242">
        <v>3.3008169999999999</v>
      </c>
      <c r="E4242">
        <v>0.4745007</v>
      </c>
      <c r="F4242" t="s">
        <v>51</v>
      </c>
      <c r="G4242">
        <v>-316.42140000000001</v>
      </c>
      <c r="H4242" s="1">
        <v>-7.1830319999999997E-6</v>
      </c>
      <c r="I4242">
        <v>140.4794</v>
      </c>
      <c r="J4242">
        <v>-268.0675</v>
      </c>
      <c r="K4242">
        <v>1.111316</v>
      </c>
      <c r="L4242">
        <v>141.50919999999999</v>
      </c>
      <c r="M4242">
        <v>-0.99704250000000005</v>
      </c>
      <c r="N4242">
        <v>0</v>
      </c>
      <c r="O4242">
        <v>7.6245160000000006E-2</v>
      </c>
      <c r="P4242">
        <v>-0.98448690000000005</v>
      </c>
      <c r="Q4242">
        <v>0.169131</v>
      </c>
      <c r="R4242">
        <v>4.6694989999999999E-2</v>
      </c>
      <c r="S4242">
        <v>-3.0625610000000001</v>
      </c>
      <c r="T4242">
        <v>-7.0106269999999998E-2</v>
      </c>
      <c r="U4242">
        <v>-6.4086909999999997E-2</v>
      </c>
      <c r="V4242">
        <v>-2.9270879999999999E-2</v>
      </c>
      <c r="W4242">
        <v>0.17849909999999999</v>
      </c>
      <c r="X4242">
        <v>0.98350459999999995</v>
      </c>
      <c r="Y4242">
        <v>-9.7047079999999994E-2</v>
      </c>
      <c r="Z4242">
        <v>-2.8545990000000002E-3</v>
      </c>
      <c r="AA4242">
        <v>0.99527569999999999</v>
      </c>
      <c r="AB4242">
        <v>34</v>
      </c>
      <c r="AC4242">
        <v>-48.353900000000003</v>
      </c>
      <c r="AD4242">
        <v>-1.1113231830320001</v>
      </c>
      <c r="AE4242">
        <v>-1.0297999999999901</v>
      </c>
      <c r="AF4242">
        <v>-4.7112367761848502</v>
      </c>
      <c r="AG4242">
        <v>-1.1113231830320001</v>
      </c>
      <c r="AH4242">
        <v>48.109211776136704</v>
      </c>
      <c r="AI4242">
        <v>91.316999994295301</v>
      </c>
      <c r="AJ4242">
        <v>95.593025248851802</v>
      </c>
      <c r="AK4242">
        <v>48.352115247417998</v>
      </c>
      <c r="AL4242">
        <v>79.717651238006596</v>
      </c>
      <c r="AM4242">
        <v>91.704723066681595</v>
      </c>
      <c r="AN4242">
        <v>1.00000000566897</v>
      </c>
    </row>
    <row r="4243" spans="1:40" x14ac:dyDescent="0.25">
      <c r="A4243" t="str">
        <f>"20190312173015318"</f>
        <v>20190312173015318</v>
      </c>
      <c r="B4243" t="str">
        <f>"1552383015311861"</f>
        <v>1552383015311861</v>
      </c>
      <c r="C4243" t="s">
        <v>40</v>
      </c>
      <c r="D4243">
        <v>3.2993980000000001</v>
      </c>
      <c r="E4243">
        <v>0.47458470000000003</v>
      </c>
      <c r="F4243" t="s">
        <v>51</v>
      </c>
      <c r="G4243">
        <v>-316.00970000000001</v>
      </c>
      <c r="H4243" s="1">
        <v>-7.3653949999999902E-6</v>
      </c>
      <c r="I4243">
        <v>140.4786</v>
      </c>
      <c r="J4243">
        <v>-268.36540000000002</v>
      </c>
      <c r="K4243">
        <v>1.1113200000000001</v>
      </c>
      <c r="L4243">
        <v>141.53039999999999</v>
      </c>
      <c r="M4243">
        <v>-0.99717710000000004</v>
      </c>
      <c r="N4243">
        <v>0</v>
      </c>
      <c r="O4243">
        <v>7.4462470000000003E-2</v>
      </c>
      <c r="P4243">
        <v>-0.98454169999999996</v>
      </c>
      <c r="Q4243">
        <v>0.16901050000000001</v>
      </c>
      <c r="R4243">
        <v>4.5971909999999998E-2</v>
      </c>
      <c r="S4243">
        <v>-3.0626530000000001</v>
      </c>
      <c r="T4243">
        <v>-7.0993780000000006E-2</v>
      </c>
      <c r="U4243">
        <v>-6.5841670000000005E-2</v>
      </c>
      <c r="V4243">
        <v>-2.8241079999999998E-2</v>
      </c>
      <c r="W4243">
        <v>0.178394</v>
      </c>
      <c r="X4243">
        <v>0.98355380000000003</v>
      </c>
      <c r="Y4243">
        <v>-9.5836619999999997E-2</v>
      </c>
      <c r="Z4243">
        <v>-2.8353639999999999E-3</v>
      </c>
      <c r="AA4243">
        <v>0.99539299999999997</v>
      </c>
      <c r="AB4243">
        <v>34</v>
      </c>
      <c r="AC4243">
        <v>-47.644299999999902</v>
      </c>
      <c r="AD4243">
        <v>-1.111327365395</v>
      </c>
      <c r="AE4243">
        <v>-1.0517999999999801</v>
      </c>
      <c r="AF4243">
        <v>-4.5942588592310303</v>
      </c>
      <c r="AG4243">
        <v>-1.111327365395</v>
      </c>
      <c r="AH4243">
        <v>47.407913977402998</v>
      </c>
      <c r="AI4243">
        <v>91.336611543978293</v>
      </c>
      <c r="AJ4243">
        <v>95.535198603011906</v>
      </c>
      <c r="AK4243">
        <v>47.642969792693897</v>
      </c>
      <c r="AL4243">
        <v>79.723771481540496</v>
      </c>
      <c r="AM4243">
        <v>91.644699284631201</v>
      </c>
      <c r="AN4243">
        <v>1.0000000276650001</v>
      </c>
    </row>
    <row r="4244" spans="1:40" x14ac:dyDescent="0.25">
      <c r="A4244" t="str">
        <f>"20190312173015342"</f>
        <v>20190312173015342</v>
      </c>
      <c r="B4244" t="str">
        <f>"1552383015332169"</f>
        <v>1552383015332169</v>
      </c>
      <c r="C4244" t="s">
        <v>40</v>
      </c>
      <c r="D4244">
        <v>3.3221400000000001</v>
      </c>
      <c r="E4244">
        <v>0.47467480000000001</v>
      </c>
      <c r="F4244" t="s">
        <v>51</v>
      </c>
      <c r="G4244">
        <v>-315.48149999999998</v>
      </c>
      <c r="H4244" s="1">
        <v>-7.6008399999999902E-6</v>
      </c>
      <c r="I4244">
        <v>140.48320000000001</v>
      </c>
      <c r="J4244">
        <v>-268.73520000000002</v>
      </c>
      <c r="K4244">
        <v>1.1113379999999999</v>
      </c>
      <c r="L4244">
        <v>141.55590000000001</v>
      </c>
      <c r="M4244">
        <v>-0.99733950000000005</v>
      </c>
      <c r="N4244">
        <v>0</v>
      </c>
      <c r="O4244">
        <v>7.2252529999999995E-2</v>
      </c>
      <c r="P4244">
        <v>-0.98464799999999997</v>
      </c>
      <c r="Q4244">
        <v>0.16873260000000001</v>
      </c>
      <c r="R4244">
        <v>4.4695680000000002E-2</v>
      </c>
      <c r="S4244">
        <v>-3.0627140000000002</v>
      </c>
      <c r="T4244">
        <v>-7.2240230000000002E-2</v>
      </c>
      <c r="U4244">
        <v>-6.8069459999999998E-2</v>
      </c>
      <c r="V4244">
        <v>-2.7344739999999999E-2</v>
      </c>
      <c r="W4244">
        <v>0.1781317</v>
      </c>
      <c r="X4244">
        <v>0.98362669999999996</v>
      </c>
      <c r="Y4244">
        <v>-9.4353400000000004E-2</v>
      </c>
      <c r="Z4244">
        <v>-2.815545E-3</v>
      </c>
      <c r="AA4244">
        <v>0.99553480000000005</v>
      </c>
      <c r="AB4244">
        <v>34</v>
      </c>
      <c r="AC4244">
        <v>-46.746299999999898</v>
      </c>
      <c r="AD4244">
        <v>-1.11134560084</v>
      </c>
      <c r="AE4244">
        <v>-1.07269999999999</v>
      </c>
      <c r="AF4244">
        <v>-4.4450813932833997</v>
      </c>
      <c r="AG4244">
        <v>-1.11134560084</v>
      </c>
      <c r="AH4244">
        <v>46.520322589651997</v>
      </c>
      <c r="AI4244">
        <v>91.362302725756393</v>
      </c>
      <c r="AJ4244">
        <v>95.458120505517996</v>
      </c>
      <c r="AK4244">
        <v>46.745419577566203</v>
      </c>
      <c r="AL4244">
        <v>79.739045145626505</v>
      </c>
      <c r="AM4244">
        <v>91.592407740368998</v>
      </c>
      <c r="AN4244">
        <v>1.0000000611517199</v>
      </c>
    </row>
    <row r="4245" spans="1:40" x14ac:dyDescent="0.25">
      <c r="A4245" t="str">
        <f>"20190312173015365"</f>
        <v>20190312173015365</v>
      </c>
      <c r="B4245" t="str">
        <f>"1552383015362426"</f>
        <v>1552383015362426</v>
      </c>
      <c r="C4245" t="s">
        <v>40</v>
      </c>
      <c r="D4245">
        <v>3.32646</v>
      </c>
      <c r="E4245">
        <v>0.47486859999999997</v>
      </c>
      <c r="F4245" t="s">
        <v>51</v>
      </c>
      <c r="G4245">
        <v>-314.7561</v>
      </c>
      <c r="H4245" s="1">
        <v>-7.9087779999999994E-6</v>
      </c>
      <c r="I4245">
        <v>140.48240000000001</v>
      </c>
      <c r="J4245">
        <v>-269.0668</v>
      </c>
      <c r="K4245">
        <v>1.111348</v>
      </c>
      <c r="L4245">
        <v>141.578</v>
      </c>
      <c r="M4245">
        <v>-0.99748099999999995</v>
      </c>
      <c r="N4245">
        <v>0</v>
      </c>
      <c r="O4245">
        <v>7.0272630000000003E-2</v>
      </c>
      <c r="P4245">
        <v>-0.98482320000000001</v>
      </c>
      <c r="Q4245">
        <v>0.16813929999999999</v>
      </c>
      <c r="R4245">
        <v>4.3044659999999998E-2</v>
      </c>
      <c r="S4245">
        <v>-3.0626829999999998</v>
      </c>
      <c r="T4245">
        <v>-7.3959830000000004E-2</v>
      </c>
      <c r="U4245">
        <v>-7.1441649999999995E-2</v>
      </c>
      <c r="V4245">
        <v>-2.7050729999999999E-2</v>
      </c>
      <c r="W4245">
        <v>0.17755029999999999</v>
      </c>
      <c r="X4245">
        <v>0.9837399</v>
      </c>
      <c r="Y4245">
        <v>-9.3471589999999993E-2</v>
      </c>
      <c r="Z4245">
        <v>-2.8241830000000001E-3</v>
      </c>
      <c r="AA4245">
        <v>0.99561789999999994</v>
      </c>
      <c r="AB4245">
        <v>34</v>
      </c>
      <c r="AC4245">
        <v>-45.689300000000003</v>
      </c>
      <c r="AD4245">
        <v>-1.1113559087780001</v>
      </c>
      <c r="AE4245">
        <v>-1.0955999999999899</v>
      </c>
      <c r="AF4245">
        <v>-4.3012050548464096</v>
      </c>
      <c r="AG4245">
        <v>-1.1113559087780001</v>
      </c>
      <c r="AH4245">
        <v>45.472454017271701</v>
      </c>
      <c r="AI4245">
        <v>91.393822646618105</v>
      </c>
      <c r="AJ4245">
        <v>95.4034875206316</v>
      </c>
      <c r="AK4245">
        <v>45.688943424341801</v>
      </c>
      <c r="AL4245">
        <v>79.772896111473301</v>
      </c>
      <c r="AM4245">
        <v>91.575113704265107</v>
      </c>
      <c r="AN4245">
        <v>1.0000000209378099</v>
      </c>
    </row>
    <row r="4246" spans="1:40" x14ac:dyDescent="0.25">
      <c r="A4246" t="str">
        <f>"20190312173015385"</f>
        <v>20190312173015385</v>
      </c>
      <c r="B4246" t="str">
        <f>"1552383015381945"</f>
        <v>1552383015381945</v>
      </c>
      <c r="C4246" t="s">
        <v>40</v>
      </c>
      <c r="D4246">
        <v>3.3255560000000002</v>
      </c>
      <c r="E4246">
        <v>0.47500920000000002</v>
      </c>
      <c r="F4246" t="s">
        <v>51</v>
      </c>
      <c r="G4246">
        <v>-313.1891</v>
      </c>
      <c r="H4246" s="1">
        <v>-8.5022059999999994E-6</v>
      </c>
      <c r="I4246">
        <v>140.4958</v>
      </c>
      <c r="J4246">
        <v>-269.38380000000001</v>
      </c>
      <c r="K4246">
        <v>1.1113489999999999</v>
      </c>
      <c r="L4246">
        <v>141.5985</v>
      </c>
      <c r="M4246">
        <v>-0.99761219999999995</v>
      </c>
      <c r="N4246">
        <v>0</v>
      </c>
      <c r="O4246">
        <v>6.8382129999999999E-2</v>
      </c>
      <c r="P4246">
        <v>-0.98489669999999896</v>
      </c>
      <c r="Q4246">
        <v>0.16794489999999901</v>
      </c>
      <c r="R4246">
        <v>4.210825E-2</v>
      </c>
      <c r="S4246">
        <v>-3.0626530000000001</v>
      </c>
      <c r="T4246">
        <v>-7.7142359999999993E-2</v>
      </c>
      <c r="U4246">
        <v>-7.5119019999999995E-2</v>
      </c>
      <c r="V4246">
        <v>-2.612561E-2</v>
      </c>
      <c r="W4246">
        <v>0.1773692</v>
      </c>
      <c r="X4246">
        <v>0.98379760000000005</v>
      </c>
      <c r="Y4246">
        <v>-9.2776349999999994E-2</v>
      </c>
      <c r="Z4246">
        <v>-2.889385E-3</v>
      </c>
      <c r="AA4246">
        <v>0.99568279999999998</v>
      </c>
      <c r="AB4246">
        <v>34</v>
      </c>
      <c r="AC4246">
        <v>-43.805299999999903</v>
      </c>
      <c r="AD4246">
        <v>-1.1113575022059901</v>
      </c>
      <c r="AE4246">
        <v>-1.10269999999999</v>
      </c>
      <c r="AF4246">
        <v>-4.0931258531578703</v>
      </c>
      <c r="AG4246">
        <v>-1.1113575022059901</v>
      </c>
      <c r="AH4246">
        <v>43.599297317190398</v>
      </c>
      <c r="AI4246">
        <v>91.453778559300005</v>
      </c>
      <c r="AJ4246">
        <v>95.363239541180903</v>
      </c>
      <c r="AK4246">
        <v>43.805108392746497</v>
      </c>
      <c r="AL4246">
        <v>79.783440016234806</v>
      </c>
      <c r="AM4246">
        <v>91.521182266959798</v>
      </c>
      <c r="AN4246">
        <v>1.0000000491861301</v>
      </c>
    </row>
    <row r="4247" spans="1:40" x14ac:dyDescent="0.25">
      <c r="A4247" t="str">
        <f>"20190312173015406"</f>
        <v>20190312173015406</v>
      </c>
      <c r="B4247" t="str">
        <f>"1552383015402442"</f>
        <v>1552383015402442</v>
      </c>
      <c r="C4247" t="s">
        <v>40</v>
      </c>
      <c r="D4247">
        <v>3.3479719999999999</v>
      </c>
      <c r="E4247">
        <v>0.47516530000000001</v>
      </c>
      <c r="F4247" t="s">
        <v>51</v>
      </c>
      <c r="G4247">
        <v>-312.64260000000002</v>
      </c>
      <c r="H4247" s="1">
        <v>-8.7122329999999996E-6</v>
      </c>
      <c r="I4247">
        <v>140.5121</v>
      </c>
      <c r="J4247">
        <v>-269.70269999999999</v>
      </c>
      <c r="K4247">
        <v>1.1113580000000001</v>
      </c>
      <c r="L4247">
        <v>141.61859999999999</v>
      </c>
      <c r="M4247">
        <v>-0.99774050000000003</v>
      </c>
      <c r="N4247">
        <v>0</v>
      </c>
      <c r="O4247">
        <v>6.6481769999999996E-2</v>
      </c>
      <c r="P4247">
        <v>-0.9850141</v>
      </c>
      <c r="Q4247">
        <v>0.167628</v>
      </c>
      <c r="R4247">
        <v>4.0595630000000001E-2</v>
      </c>
      <c r="S4247">
        <v>-3.0627140000000002</v>
      </c>
      <c r="T4247">
        <v>-7.8683970000000006E-2</v>
      </c>
      <c r="U4247">
        <v>-7.6919559999999998E-2</v>
      </c>
      <c r="V4247">
        <v>-2.5767720000000001E-2</v>
      </c>
      <c r="W4247">
        <v>0.17706229999999901</v>
      </c>
      <c r="X4247">
        <v>0.98386229999999997</v>
      </c>
      <c r="Y4247">
        <v>-9.1463230000000006E-2</v>
      </c>
      <c r="Z4247">
        <v>-2.8814280000000001E-3</v>
      </c>
      <c r="AA4247">
        <v>0.99580429999999998</v>
      </c>
      <c r="AB4247">
        <v>34</v>
      </c>
      <c r="AC4247">
        <v>-42.939900000000002</v>
      </c>
      <c r="AD4247">
        <v>-1.111366712233</v>
      </c>
      <c r="AE4247">
        <v>-1.1064999999999801</v>
      </c>
      <c r="AF4247">
        <v>-3.9562581948930702</v>
      </c>
      <c r="AG4247">
        <v>-1.111366712233</v>
      </c>
      <c r="AH4247">
        <v>42.742713785065298</v>
      </c>
      <c r="AI4247">
        <v>91.483093279049697</v>
      </c>
      <c r="AJ4247">
        <v>95.288219829777702</v>
      </c>
      <c r="AK4247">
        <v>42.9398031735793</v>
      </c>
      <c r="AL4247">
        <v>79.801306682737007</v>
      </c>
      <c r="AM4247">
        <v>91.500254837457504</v>
      </c>
      <c r="AN4247">
        <v>1.00000002941828</v>
      </c>
    </row>
    <row r="4248" spans="1:40" x14ac:dyDescent="0.25">
      <c r="A4248" t="str">
        <f>"20190312173015430"</f>
        <v>20190312173015430</v>
      </c>
      <c r="B4248" t="str">
        <f>"1552383015421747"</f>
        <v>1552383015421747</v>
      </c>
      <c r="C4248" t="s">
        <v>40</v>
      </c>
      <c r="D4248">
        <v>3.3487110000000002</v>
      </c>
      <c r="E4248">
        <v>0.47526479999999999</v>
      </c>
      <c r="F4248" t="s">
        <v>51</v>
      </c>
      <c r="G4248">
        <v>-312.01080000000002</v>
      </c>
      <c r="H4248" s="1">
        <v>-8.9488679999999906E-6</v>
      </c>
      <c r="I4248">
        <v>140.50749999999999</v>
      </c>
      <c r="J4248">
        <v>-270.05919999999998</v>
      </c>
      <c r="K4248">
        <v>1.111364</v>
      </c>
      <c r="L4248">
        <v>141.64019999999999</v>
      </c>
      <c r="M4248">
        <v>-0.99787979999999998</v>
      </c>
      <c r="N4248">
        <v>0</v>
      </c>
      <c r="O4248">
        <v>6.4358009999999993E-2</v>
      </c>
      <c r="P4248">
        <v>-0.98509639999999998</v>
      </c>
      <c r="Q4248">
        <v>0.1674658</v>
      </c>
      <c r="R4248">
        <v>3.9250180000000003E-2</v>
      </c>
      <c r="S4248">
        <v>-3.0626530000000001</v>
      </c>
      <c r="T4248">
        <v>-8.0451129999999996E-2</v>
      </c>
      <c r="U4248">
        <v>-8.042908E-2</v>
      </c>
      <c r="V4248">
        <v>-2.502105E-2</v>
      </c>
      <c r="W4248">
        <v>0.17691209999999999</v>
      </c>
      <c r="X4248">
        <v>0.98390849999999996</v>
      </c>
      <c r="Y4248">
        <v>-9.0483240000000006E-2</v>
      </c>
      <c r="Z4248">
        <v>-2.8775799999999998E-3</v>
      </c>
      <c r="AA4248">
        <v>0.99589380000000005</v>
      </c>
      <c r="AB4248">
        <v>34</v>
      </c>
      <c r="AC4248">
        <v>-41.951599999999999</v>
      </c>
      <c r="AD4248">
        <v>-1.111372948868</v>
      </c>
      <c r="AE4248">
        <v>-1.13269999999999</v>
      </c>
      <c r="AF4248">
        <v>-3.8277154907028699</v>
      </c>
      <c r="AG4248">
        <v>-1.111372948868</v>
      </c>
      <c r="AH4248">
        <v>41.762430993977397</v>
      </c>
      <c r="AI4248">
        <v>91.518023554553096</v>
      </c>
      <c r="AJ4248">
        <v>95.236785809009504</v>
      </c>
      <c r="AK4248">
        <v>41.952201351490103</v>
      </c>
      <c r="AL4248">
        <v>79.810049627983602</v>
      </c>
      <c r="AM4248">
        <v>91.456732661846502</v>
      </c>
      <c r="AN4248">
        <v>0.99999994022087901</v>
      </c>
    </row>
    <row r="4249" spans="1:40" x14ac:dyDescent="0.25">
      <c r="A4249" t="str">
        <f>"20190312173015452"</f>
        <v>20190312173015452</v>
      </c>
      <c r="B4249" t="str">
        <f>"1552383015442249"</f>
        <v>1552383015442249</v>
      </c>
      <c r="C4249" t="s">
        <v>40</v>
      </c>
      <c r="D4249">
        <v>3.392976</v>
      </c>
      <c r="E4249">
        <v>0.4753385</v>
      </c>
      <c r="F4249" t="s">
        <v>51</v>
      </c>
      <c r="G4249">
        <v>-311.69990000000001</v>
      </c>
      <c r="H4249" s="1">
        <v>-9.0619530000000004E-6</v>
      </c>
      <c r="I4249">
        <v>140.49250000000001</v>
      </c>
      <c r="J4249">
        <v>-270.39949999999999</v>
      </c>
      <c r="K4249">
        <v>1.111367</v>
      </c>
      <c r="L4249">
        <v>141.6602</v>
      </c>
      <c r="M4249">
        <v>-0.99800829999999996</v>
      </c>
      <c r="N4249">
        <v>0</v>
      </c>
      <c r="O4249">
        <v>6.2331480000000002E-2</v>
      </c>
      <c r="P4249">
        <v>-0.98511479999999996</v>
      </c>
      <c r="Q4249">
        <v>0.16767299999999999</v>
      </c>
      <c r="R4249">
        <v>3.7880780000000003E-2</v>
      </c>
      <c r="S4249">
        <v>-3.0626530000000001</v>
      </c>
      <c r="T4249">
        <v>-8.1740980000000005E-2</v>
      </c>
      <c r="U4249">
        <v>-8.4411620000000007E-2</v>
      </c>
      <c r="V4249">
        <v>-2.439092E-2</v>
      </c>
      <c r="W4249">
        <v>0.1771317</v>
      </c>
      <c r="X4249">
        <v>0.98388489999999995</v>
      </c>
      <c r="Y4249">
        <v>-8.9754210000000001E-2</v>
      </c>
      <c r="Z4249">
        <v>-2.8599290000000002E-3</v>
      </c>
      <c r="AA4249">
        <v>0.99595979999999995</v>
      </c>
      <c r="AB4249">
        <v>34</v>
      </c>
      <c r="AC4249">
        <v>-41.300400000000003</v>
      </c>
      <c r="AD4249">
        <v>-1.111376061953</v>
      </c>
      <c r="AE4249">
        <v>-1.16769999999999</v>
      </c>
      <c r="AF4249">
        <v>-3.7371615265425202</v>
      </c>
      <c r="AG4249">
        <v>-1.111376061953</v>
      </c>
      <c r="AH4249">
        <v>41.117545551367101</v>
      </c>
      <c r="AI4249">
        <v>91.541931762090599</v>
      </c>
      <c r="AJ4249">
        <v>95.193327197921903</v>
      </c>
      <c r="AK4249">
        <v>41.301986455802599</v>
      </c>
      <c r="AL4249">
        <v>79.797266461818097</v>
      </c>
      <c r="AM4249">
        <v>91.420095578040204</v>
      </c>
      <c r="AN4249">
        <v>1.0000000262856701</v>
      </c>
    </row>
    <row r="4250" spans="1:40" x14ac:dyDescent="0.25">
      <c r="A4250" t="str">
        <f>"20190312173015474"</f>
        <v>20190312173015474</v>
      </c>
      <c r="B4250" t="str">
        <f>"1552383015461762"</f>
        <v>1552383015461762</v>
      </c>
      <c r="C4250" t="s">
        <v>40</v>
      </c>
      <c r="D4250">
        <v>3.4080089999999998</v>
      </c>
      <c r="E4250">
        <v>0.47545789999999999</v>
      </c>
      <c r="F4250" t="s">
        <v>51</v>
      </c>
      <c r="G4250">
        <v>-312.49079999999998</v>
      </c>
      <c r="H4250" s="1">
        <v>-8.7515159999999996E-6</v>
      </c>
      <c r="I4250">
        <v>140.44450000000001</v>
      </c>
      <c r="J4250">
        <v>-270.73989999999998</v>
      </c>
      <c r="K4250">
        <v>1.1113789999999999</v>
      </c>
      <c r="L4250">
        <v>141.67949999999999</v>
      </c>
      <c r="M4250">
        <v>-0.99813249999999998</v>
      </c>
      <c r="N4250">
        <v>0</v>
      </c>
      <c r="O4250">
        <v>6.0305530000000003E-2</v>
      </c>
      <c r="P4250">
        <v>-0.9851394</v>
      </c>
      <c r="Q4250">
        <v>0.16785739999999999</v>
      </c>
      <c r="R4250">
        <v>3.6393429999999997E-2</v>
      </c>
      <c r="S4250">
        <v>-3.0625</v>
      </c>
      <c r="T4250">
        <v>-8.0861929999999999E-2</v>
      </c>
      <c r="U4250">
        <v>-8.8455199999999998E-2</v>
      </c>
      <c r="V4250">
        <v>-2.3879600000000001E-2</v>
      </c>
      <c r="W4250">
        <v>0.17733119999999999</v>
      </c>
      <c r="X4250">
        <v>0.98386150000000006</v>
      </c>
      <c r="Y4250">
        <v>-8.9049970000000006E-2</v>
      </c>
      <c r="Z4250">
        <v>-2.7665720000000001E-3</v>
      </c>
      <c r="AA4250">
        <v>0.99602329999999994</v>
      </c>
      <c r="AB4250">
        <v>34</v>
      </c>
      <c r="AC4250">
        <v>-41.750900000000001</v>
      </c>
      <c r="AD4250">
        <v>-1.111387751516</v>
      </c>
      <c r="AE4250">
        <v>-1.2349999999999799</v>
      </c>
      <c r="AF4250">
        <v>-3.7480279721081602</v>
      </c>
      <c r="AG4250">
        <v>-1.111387751516</v>
      </c>
      <c r="AH4250">
        <v>41.570992502389998</v>
      </c>
      <c r="AI4250">
        <v>91.525236665234402</v>
      </c>
      <c r="AJ4250">
        <v>95.151840714854202</v>
      </c>
      <c r="AK4250">
        <v>41.754404726300301</v>
      </c>
      <c r="AL4250">
        <v>79.785652029402399</v>
      </c>
      <c r="AM4250">
        <v>91.390370213918004</v>
      </c>
      <c r="AN4250">
        <v>1.0000000204859201</v>
      </c>
    </row>
    <row r="4251" spans="1:40" x14ac:dyDescent="0.25">
      <c r="A4251" t="str">
        <f>"20190312173015495"</f>
        <v>20190312173015495</v>
      </c>
      <c r="B4251" t="str">
        <f>"1552383015492019"</f>
        <v>1552383015492019</v>
      </c>
      <c r="C4251" t="s">
        <v>40</v>
      </c>
      <c r="D4251">
        <v>3.4301300000000001</v>
      </c>
      <c r="E4251">
        <v>0.4756165</v>
      </c>
      <c r="F4251" t="s">
        <v>51</v>
      </c>
      <c r="G4251">
        <v>-313.3184</v>
      </c>
      <c r="H4251" s="1">
        <v>-8.4265779999999997E-6</v>
      </c>
      <c r="I4251">
        <v>140.39359999999999</v>
      </c>
      <c r="J4251">
        <v>-271.06360000000001</v>
      </c>
      <c r="K4251">
        <v>1.1113869999999999</v>
      </c>
      <c r="L4251">
        <v>141.69730000000001</v>
      </c>
      <c r="M4251">
        <v>-0.99824710000000005</v>
      </c>
      <c r="N4251">
        <v>0</v>
      </c>
      <c r="O4251">
        <v>5.8378300000000001E-2</v>
      </c>
      <c r="P4251">
        <v>-0.98520430000000003</v>
      </c>
      <c r="Q4251">
        <v>0.1678104</v>
      </c>
      <c r="R4251">
        <v>3.4820520000000001E-2</v>
      </c>
      <c r="S4251">
        <v>-3.0622560000000001</v>
      </c>
      <c r="T4251">
        <v>-7.9931260000000004E-2</v>
      </c>
      <c r="U4251">
        <v>-9.248352E-2</v>
      </c>
      <c r="V4251">
        <v>-2.3552750000000001E-2</v>
      </c>
      <c r="W4251">
        <v>0.17729929999999999</v>
      </c>
      <c r="X4251">
        <v>0.9838751</v>
      </c>
      <c r="Y4251">
        <v>-8.8440340000000006E-2</v>
      </c>
      <c r="Z4251">
        <v>-2.6767259999999999E-3</v>
      </c>
      <c r="AA4251">
        <v>0.99607789999999996</v>
      </c>
      <c r="AB4251">
        <v>34</v>
      </c>
      <c r="AC4251">
        <v>-42.254799999999904</v>
      </c>
      <c r="AD4251">
        <v>-1.1113954265779999</v>
      </c>
      <c r="AE4251">
        <v>-1.3037000000000201</v>
      </c>
      <c r="AF4251">
        <v>-3.7657538754534601</v>
      </c>
      <c r="AG4251">
        <v>-1.1113954265779999</v>
      </c>
      <c r="AH4251">
        <v>42.0775357364885</v>
      </c>
      <c r="AI4251">
        <v>91.506983418349805</v>
      </c>
      <c r="AJ4251">
        <v>95.114094903817104</v>
      </c>
      <c r="AK4251">
        <v>42.260325551280097</v>
      </c>
      <c r="AL4251">
        <v>79.787508910541305</v>
      </c>
      <c r="AM4251">
        <v>91.371328008254395</v>
      </c>
      <c r="AN4251">
        <v>0.99999999310653098</v>
      </c>
    </row>
    <row r="4252" spans="1:40" x14ac:dyDescent="0.25">
      <c r="A4252" t="str">
        <f>"20190312173015518"</f>
        <v>20190312173015518</v>
      </c>
      <c r="B4252" t="str">
        <f>"1552383015512515"</f>
        <v>1552383015512515</v>
      </c>
      <c r="C4252" t="s">
        <v>40</v>
      </c>
      <c r="D4252">
        <v>3.3996909999999998</v>
      </c>
      <c r="E4252">
        <v>0.47572779999999998</v>
      </c>
      <c r="F4252" t="s">
        <v>51</v>
      </c>
      <c r="G4252">
        <v>-313.49869999999999</v>
      </c>
      <c r="H4252" s="1">
        <v>-8.3532849999999906E-6</v>
      </c>
      <c r="I4252">
        <v>140.37309999999999</v>
      </c>
      <c r="J4252">
        <v>-271.41079999999999</v>
      </c>
      <c r="K4252">
        <v>1.1113959999999901</v>
      </c>
      <c r="L4252">
        <v>141.71559999999999</v>
      </c>
      <c r="M4252">
        <v>-0.99836559999999996</v>
      </c>
      <c r="N4252">
        <v>0</v>
      </c>
      <c r="O4252">
        <v>5.6312359999999999E-2</v>
      </c>
      <c r="P4252">
        <v>-0.98514500000000005</v>
      </c>
      <c r="Q4252">
        <v>0.16857929999999999</v>
      </c>
      <c r="R4252">
        <v>3.2721060000000003E-2</v>
      </c>
      <c r="S4252">
        <v>-3.0621339999999999</v>
      </c>
      <c r="T4252">
        <v>-8.0198759999999994E-2</v>
      </c>
      <c r="U4252">
        <v>-9.5550540000000003E-2</v>
      </c>
      <c r="V4252">
        <v>-2.36127E-2</v>
      </c>
      <c r="W4252">
        <v>0.17808009999999999</v>
      </c>
      <c r="X4252">
        <v>0.98373259999999996</v>
      </c>
      <c r="Y4252">
        <v>-8.7377650000000001E-2</v>
      </c>
      <c r="Z4252">
        <v>-2.6178019999999998E-3</v>
      </c>
      <c r="AA4252">
        <v>0.99617180000000005</v>
      </c>
      <c r="AB4252">
        <v>34</v>
      </c>
      <c r="AC4252">
        <v>-42.087899999999898</v>
      </c>
      <c r="AD4252">
        <v>-1.11140435328499</v>
      </c>
      <c r="AE4252">
        <v>-1.3425</v>
      </c>
      <c r="AF4252">
        <v>-3.7079681390391199</v>
      </c>
      <c r="AG4252">
        <v>-1.11140435328499</v>
      </c>
      <c r="AH4252">
        <v>41.916306429126102</v>
      </c>
      <c r="AI4252">
        <v>91.512927501838902</v>
      </c>
      <c r="AJ4252">
        <v>95.055296138067803</v>
      </c>
      <c r="AK4252">
        <v>42.094667025848103</v>
      </c>
      <c r="AL4252">
        <v>79.742048544537198</v>
      </c>
      <c r="AM4252">
        <v>91.375016255169001</v>
      </c>
      <c r="AN4252">
        <v>0.99999995496002803</v>
      </c>
    </row>
    <row r="4253" spans="1:40" x14ac:dyDescent="0.25">
      <c r="A4253" t="str">
        <f>"20190312173015532"</f>
        <v>20190312173015532</v>
      </c>
      <c r="B4253" t="str">
        <f>"1552383015522277"</f>
        <v>1552383015522277</v>
      </c>
      <c r="C4253" t="s">
        <v>40</v>
      </c>
      <c r="D4253">
        <v>3.399629</v>
      </c>
      <c r="E4253">
        <v>0.47580499999999998</v>
      </c>
      <c r="F4253" t="s">
        <v>51</v>
      </c>
      <c r="G4253">
        <v>-315.02499999999998</v>
      </c>
      <c r="H4253" s="1">
        <v>-7.7491479999999997E-6</v>
      </c>
      <c r="I4253">
        <v>140.27809999999999</v>
      </c>
      <c r="J4253">
        <v>-271.61259999999999</v>
      </c>
      <c r="K4253">
        <v>1.1113999999999999</v>
      </c>
      <c r="L4253">
        <v>141.7259</v>
      </c>
      <c r="M4253">
        <v>-0.9984326</v>
      </c>
      <c r="N4253">
        <v>0</v>
      </c>
      <c r="O4253">
        <v>5.511166E-2</v>
      </c>
      <c r="P4253">
        <v>-0.98523570000000005</v>
      </c>
      <c r="Q4253">
        <v>0.1682594</v>
      </c>
      <c r="R4253">
        <v>3.1619870000000001E-2</v>
      </c>
      <c r="S4253">
        <v>-3.0619510000000001</v>
      </c>
      <c r="T4253">
        <v>-7.8026529999999997E-2</v>
      </c>
      <c r="U4253">
        <v>-0.1009216</v>
      </c>
      <c r="V4253">
        <v>-2.3531489999999999E-2</v>
      </c>
      <c r="W4253">
        <v>0.1777685</v>
      </c>
      <c r="X4253">
        <v>0.98379090000000002</v>
      </c>
      <c r="Y4253">
        <v>-8.7929930000000003E-2</v>
      </c>
      <c r="Z4253">
        <v>-2.5234889999999999E-3</v>
      </c>
      <c r="AA4253">
        <v>0.99612350000000005</v>
      </c>
      <c r="AB4253">
        <v>34</v>
      </c>
      <c r="AC4253">
        <v>-43.412399999999899</v>
      </c>
      <c r="AD4253">
        <v>-1.1114077491479999</v>
      </c>
      <c r="AE4253">
        <v>-1.4478</v>
      </c>
      <c r="AF4253">
        <v>-3.8357313407368001</v>
      </c>
      <c r="AG4253">
        <v>-1.1114077491479999</v>
      </c>
      <c r="AH4253">
        <v>43.238313256566002</v>
      </c>
      <c r="AI4253">
        <v>91.466662671082304</v>
      </c>
      <c r="AJ4253">
        <v>95.069518108682601</v>
      </c>
      <c r="AK4253">
        <v>43.422342122185299</v>
      </c>
      <c r="AL4253">
        <v>79.760191371752001</v>
      </c>
      <c r="AM4253">
        <v>91.370207862290201</v>
      </c>
      <c r="AN4253">
        <v>0.99999995276833897</v>
      </c>
    </row>
    <row r="4254" spans="1:40" x14ac:dyDescent="0.25">
      <c r="A4254" t="str">
        <f>"20190312173015553"</f>
        <v>20190312173015553</v>
      </c>
      <c r="B4254" t="str">
        <f>"1552383015541796"</f>
        <v>1552383015541796</v>
      </c>
      <c r="C4254" t="s">
        <v>40</v>
      </c>
      <c r="D4254">
        <v>3.4136739999999999</v>
      </c>
      <c r="E4254">
        <v>0.47595920000000003</v>
      </c>
      <c r="F4254" t="s">
        <v>51</v>
      </c>
      <c r="G4254">
        <v>-314.61309999999997</v>
      </c>
      <c r="H4254" s="1">
        <v>-7.9061640000000005E-6</v>
      </c>
      <c r="I4254">
        <v>140.26849999999999</v>
      </c>
      <c r="J4254">
        <v>-271.94310000000002</v>
      </c>
      <c r="K4254">
        <v>1.1114059999999999</v>
      </c>
      <c r="L4254">
        <v>141.7423</v>
      </c>
      <c r="M4254">
        <v>-0.99853899999999995</v>
      </c>
      <c r="N4254">
        <v>0</v>
      </c>
      <c r="O4254">
        <v>5.3145999999999999E-2</v>
      </c>
      <c r="P4254">
        <v>-0.98525549999999995</v>
      </c>
      <c r="Q4254">
        <v>0.16845009999999999</v>
      </c>
      <c r="R4254">
        <v>2.9940629999999999E-2</v>
      </c>
      <c r="S4254">
        <v>-3.061798</v>
      </c>
      <c r="T4254">
        <v>-7.9136490000000004E-2</v>
      </c>
      <c r="U4254">
        <v>-0.10377500000000001</v>
      </c>
      <c r="V4254">
        <v>-2.3272149999999998E-2</v>
      </c>
      <c r="W4254">
        <v>0.1779713</v>
      </c>
      <c r="X4254">
        <v>0.98376050000000004</v>
      </c>
      <c r="Y4254">
        <v>-8.6897459999999996E-2</v>
      </c>
      <c r="Z4254">
        <v>-2.4953829999999999E-3</v>
      </c>
      <c r="AA4254">
        <v>0.99621420000000005</v>
      </c>
      <c r="AB4254">
        <v>34</v>
      </c>
      <c r="AC4254">
        <v>-42.669999999999902</v>
      </c>
      <c r="AD4254">
        <v>-1.1114139061639901</v>
      </c>
      <c r="AE4254">
        <v>-1.47380000000001</v>
      </c>
      <c r="AF4254">
        <v>-3.7370326183829201</v>
      </c>
      <c r="AG4254">
        <v>-1.1114139061639901</v>
      </c>
      <c r="AH4254">
        <v>42.502559931444701</v>
      </c>
      <c r="AI4254">
        <v>91.492151456718602</v>
      </c>
      <c r="AJ4254">
        <v>95.024802752212295</v>
      </c>
      <c r="AK4254">
        <v>42.681005779945302</v>
      </c>
      <c r="AL4254">
        <v>79.748384495812005</v>
      </c>
      <c r="AM4254">
        <v>91.355154355563698</v>
      </c>
      <c r="AN4254">
        <v>1.00000004897478</v>
      </c>
    </row>
    <row r="4255" spans="1:40" x14ac:dyDescent="0.25">
      <c r="A4255" t="str">
        <f>"20190312173015576"</f>
        <v>20190312173015576</v>
      </c>
      <c r="B4255" t="str">
        <f>"1552383015572053"</f>
        <v>1552383015572053</v>
      </c>
      <c r="C4255" t="s">
        <v>40</v>
      </c>
      <c r="D4255">
        <v>3.422911</v>
      </c>
      <c r="E4255">
        <v>0.47616029999999998</v>
      </c>
      <c r="F4255" t="s">
        <v>51</v>
      </c>
      <c r="G4255">
        <v>-314.97070000000002</v>
      </c>
      <c r="H4255" s="1">
        <v>-7.7601679999999998E-6</v>
      </c>
      <c r="I4255">
        <v>140.2287</v>
      </c>
      <c r="J4255">
        <v>-272.29340000000002</v>
      </c>
      <c r="K4255">
        <v>1.11141</v>
      </c>
      <c r="L4255">
        <v>141.75890000000001</v>
      </c>
      <c r="M4255">
        <v>-0.99864759999999997</v>
      </c>
      <c r="N4255">
        <v>0</v>
      </c>
      <c r="O4255">
        <v>5.1062219999999998E-2</v>
      </c>
      <c r="P4255">
        <v>-0.98527600000000004</v>
      </c>
      <c r="Q4255">
        <v>0.168657</v>
      </c>
      <c r="R4255">
        <v>2.804042E-2</v>
      </c>
      <c r="S4255">
        <v>-3.0616759999999998</v>
      </c>
      <c r="T4255">
        <v>-7.9083680000000003E-2</v>
      </c>
      <c r="U4255">
        <v>-0.1076965</v>
      </c>
      <c r="V4255">
        <v>-2.3117349999999998E-2</v>
      </c>
      <c r="W4255">
        <v>0.1781904</v>
      </c>
      <c r="X4255">
        <v>0.9837245</v>
      </c>
      <c r="Y4255">
        <v>-8.6095469999999993E-2</v>
      </c>
      <c r="Z4255">
        <v>-2.4296510000000001E-3</v>
      </c>
      <c r="AA4255">
        <v>0.9962839</v>
      </c>
      <c r="AB4255">
        <v>34</v>
      </c>
      <c r="AC4255">
        <v>-42.677300000000002</v>
      </c>
      <c r="AD4255">
        <v>-1.111417760168</v>
      </c>
      <c r="AE4255">
        <v>-1.5302</v>
      </c>
      <c r="AF4255">
        <v>-3.7049959810408399</v>
      </c>
      <c r="AG4255">
        <v>-1.111417760168</v>
      </c>
      <c r="AH4255">
        <v>42.514685239330603</v>
      </c>
      <c r="AI4255">
        <v>91.491832110120896</v>
      </c>
      <c r="AJ4255">
        <v>94.980530391702302</v>
      </c>
      <c r="AK4255">
        <v>42.690288188960501</v>
      </c>
      <c r="AL4255">
        <v>79.735627201675797</v>
      </c>
      <c r="AM4255">
        <v>91.346192810813406</v>
      </c>
      <c r="AN4255">
        <v>1.0000000612117099</v>
      </c>
    </row>
    <row r="4256" spans="1:40" x14ac:dyDescent="0.25">
      <c r="A4256" t="str">
        <f>"20190312173015597"</f>
        <v>20190312173015597</v>
      </c>
      <c r="B4256" t="str">
        <f>"1552383015592549"</f>
        <v>1552383015592549</v>
      </c>
      <c r="C4256" t="s">
        <v>40</v>
      </c>
      <c r="D4256">
        <v>3.4204310000000002</v>
      </c>
      <c r="E4256">
        <v>0.4763135</v>
      </c>
      <c r="F4256" t="s">
        <v>51</v>
      </c>
      <c r="G4256">
        <v>-315.6755</v>
      </c>
      <c r="H4256" s="1">
        <v>-7.4299879999999997E-6</v>
      </c>
      <c r="I4256">
        <v>140.1619</v>
      </c>
      <c r="J4256">
        <v>-272.60849999999999</v>
      </c>
      <c r="K4256">
        <v>1.111413</v>
      </c>
      <c r="L4256">
        <v>141.77330000000001</v>
      </c>
      <c r="M4256">
        <v>-0.9987414</v>
      </c>
      <c r="N4256">
        <v>0</v>
      </c>
      <c r="O4256">
        <v>4.9188549999999998E-2</v>
      </c>
      <c r="P4256">
        <v>-0.98538769999999998</v>
      </c>
      <c r="Q4256">
        <v>0.16822670000000001</v>
      </c>
      <c r="R4256">
        <v>2.666673E-2</v>
      </c>
      <c r="S4256">
        <v>-3.0614319999999999</v>
      </c>
      <c r="T4256">
        <v>-7.8431609999999999E-2</v>
      </c>
      <c r="U4256">
        <v>-0.11270139999999999</v>
      </c>
      <c r="V4256">
        <v>-2.2645789999999999E-2</v>
      </c>
      <c r="W4256">
        <v>0.17777279999999901</v>
      </c>
      <c r="X4256">
        <v>0.98381099999999999</v>
      </c>
      <c r="Y4256">
        <v>-8.5857210000000003E-2</v>
      </c>
      <c r="Z4256">
        <v>-2.3587510000000001E-3</v>
      </c>
      <c r="AA4256">
        <v>0.99630459999999998</v>
      </c>
      <c r="AB4256">
        <v>34</v>
      </c>
      <c r="AC4256">
        <v>-43.067</v>
      </c>
      <c r="AD4256">
        <v>-1.1114204299879999</v>
      </c>
      <c r="AE4256">
        <v>-1.6113999999999999</v>
      </c>
      <c r="AF4256">
        <v>-3.72547665150549</v>
      </c>
      <c r="AG4256">
        <v>-1.1114204299879999</v>
      </c>
      <c r="AH4256">
        <v>42.907060890986799</v>
      </c>
      <c r="AI4256">
        <v>91.478240033097507</v>
      </c>
      <c r="AJ4256">
        <v>94.962355774336103</v>
      </c>
      <c r="AK4256">
        <v>43.082830756067501</v>
      </c>
      <c r="AL4256">
        <v>79.759941935457405</v>
      </c>
      <c r="AM4256">
        <v>91.318626344589902</v>
      </c>
      <c r="AN4256">
        <v>1.0000000419727799</v>
      </c>
    </row>
    <row r="4257" spans="1:40" x14ac:dyDescent="0.25">
      <c r="A4257" t="str">
        <f>"20190312173015619"</f>
        <v>20190312173015619</v>
      </c>
      <c r="B4257" t="str">
        <f>"1552383015612069"</f>
        <v>1552383015612069</v>
      </c>
      <c r="C4257" t="s">
        <v>40</v>
      </c>
      <c r="D4257">
        <v>3.391308</v>
      </c>
      <c r="E4257">
        <v>0.47643560000000001</v>
      </c>
      <c r="F4257" t="s">
        <v>51</v>
      </c>
      <c r="G4257">
        <v>-315.09500000000003</v>
      </c>
      <c r="H4257" s="1">
        <v>-7.6872910000000005E-6</v>
      </c>
      <c r="I4257">
        <v>140.16149999999999</v>
      </c>
      <c r="J4257">
        <v>-272.95209999999997</v>
      </c>
      <c r="K4257">
        <v>1.1114120000000001</v>
      </c>
      <c r="L4257">
        <v>141.78829999999999</v>
      </c>
      <c r="M4257">
        <v>-0.9988399</v>
      </c>
      <c r="N4257">
        <v>0</v>
      </c>
      <c r="O4257">
        <v>4.7145369999999999E-2</v>
      </c>
      <c r="P4257">
        <v>-0.98555519999999996</v>
      </c>
      <c r="Q4257">
        <v>0.1674977</v>
      </c>
      <c r="R4257">
        <v>2.5008229999999999E-2</v>
      </c>
      <c r="S4257">
        <v>-3.0613100000000002</v>
      </c>
      <c r="T4257">
        <v>-8.0081819999999998E-2</v>
      </c>
      <c r="U4257">
        <v>-0.1161346</v>
      </c>
      <c r="V4257">
        <v>-2.229312E-2</v>
      </c>
      <c r="W4257">
        <v>0.1770562</v>
      </c>
      <c r="X4257">
        <v>0.98394820000000005</v>
      </c>
      <c r="Y4257">
        <v>-8.4935460000000004E-2</v>
      </c>
      <c r="Z4257">
        <v>-2.342968E-3</v>
      </c>
      <c r="AA4257">
        <v>0.99638369999999998</v>
      </c>
      <c r="AB4257">
        <v>34</v>
      </c>
      <c r="AC4257">
        <v>-42.142899999999997</v>
      </c>
      <c r="AD4257">
        <v>-1.111419687291</v>
      </c>
      <c r="AE4257">
        <v>-1.6268</v>
      </c>
      <c r="AF4257">
        <v>-3.60942236633751</v>
      </c>
      <c r="AG4257">
        <v>-1.111419687291</v>
      </c>
      <c r="AH4257">
        <v>41.990173047872503</v>
      </c>
      <c r="AI4257">
        <v>91.510615115037396</v>
      </c>
      <c r="AJ4257">
        <v>94.912996209307707</v>
      </c>
      <c r="AK4257">
        <v>42.159670493615003</v>
      </c>
      <c r="AL4257">
        <v>79.801661192706604</v>
      </c>
      <c r="AM4257">
        <v>91.297917101815898</v>
      </c>
      <c r="AN4257">
        <v>0.99999997072050595</v>
      </c>
    </row>
    <row r="4258" spans="1:40" x14ac:dyDescent="0.25">
      <c r="A4258" t="str">
        <f>"20190312173015652"</f>
        <v>20190312173015652</v>
      </c>
      <c r="B4258" t="str">
        <f>"1552383015641860"</f>
        <v>1552383015641860</v>
      </c>
      <c r="C4258" t="s">
        <v>40</v>
      </c>
      <c r="D4258">
        <v>3.4231950000000002</v>
      </c>
      <c r="E4258">
        <v>0.47656189999999998</v>
      </c>
      <c r="F4258" t="s">
        <v>51</v>
      </c>
      <c r="G4258">
        <v>-314.01929999999999</v>
      </c>
      <c r="H4258" s="1">
        <v>-8.1046659999999992E-6</v>
      </c>
      <c r="I4258">
        <v>140.1737</v>
      </c>
      <c r="J4258">
        <v>-273.46910000000003</v>
      </c>
      <c r="K4258">
        <v>1.1114090000000001</v>
      </c>
      <c r="L4258">
        <v>141.80940000000001</v>
      </c>
      <c r="M4258">
        <v>-0.99897999999999998</v>
      </c>
      <c r="N4258">
        <v>0</v>
      </c>
      <c r="O4258">
        <v>4.407734E-2</v>
      </c>
      <c r="P4258">
        <v>-0.98579439999999996</v>
      </c>
      <c r="Q4258">
        <v>0.16646369999999999</v>
      </c>
      <c r="R4258">
        <v>2.2354590000000001E-2</v>
      </c>
      <c r="S4258">
        <v>-3.061096</v>
      </c>
      <c r="T4258">
        <v>-8.2843899999999998E-2</v>
      </c>
      <c r="U4258">
        <v>-0.1203461</v>
      </c>
      <c r="V4258">
        <v>-2.1925119999999999E-2</v>
      </c>
      <c r="W4258">
        <v>0.1760391</v>
      </c>
      <c r="X4258">
        <v>0.98413899999999999</v>
      </c>
      <c r="Y4258">
        <v>-8.3245040000000006E-2</v>
      </c>
      <c r="Z4258">
        <v>-2.3180420000000002E-3</v>
      </c>
      <c r="AA4258">
        <v>0.99652640000000003</v>
      </c>
      <c r="AB4258">
        <v>34</v>
      </c>
      <c r="AC4258">
        <v>-40.550199999999897</v>
      </c>
      <c r="AD4258">
        <v>-1.111417104666</v>
      </c>
      <c r="AE4258">
        <v>-1.6357000000000099</v>
      </c>
      <c r="AF4258">
        <v>-3.4189767916916698</v>
      </c>
      <c r="AG4258">
        <v>-1.111417104666</v>
      </c>
      <c r="AH4258">
        <v>40.408379239994296</v>
      </c>
      <c r="AI4258">
        <v>91.569894859003099</v>
      </c>
      <c r="AJ4258">
        <v>94.836310663706101</v>
      </c>
      <c r="AK4258">
        <v>40.567989389244701</v>
      </c>
      <c r="AL4258">
        <v>79.860867270104507</v>
      </c>
      <c r="AM4258">
        <v>91.276251698413603</v>
      </c>
      <c r="AN4258">
        <v>1.0000000234684101</v>
      </c>
    </row>
    <row r="4259" spans="1:40" x14ac:dyDescent="0.25">
      <c r="A4259" t="str">
        <f>"20190312173015675"</f>
        <v>20190312173015675</v>
      </c>
      <c r="B4259" t="str">
        <f>"1552383015662353"</f>
        <v>1552383015662353</v>
      </c>
      <c r="C4259" t="s">
        <v>40</v>
      </c>
      <c r="D4259">
        <v>3.4073039999999999</v>
      </c>
      <c r="E4259">
        <v>0.48188589999999998</v>
      </c>
      <c r="F4259" t="s">
        <v>51</v>
      </c>
      <c r="G4259">
        <v>-312.84960000000001</v>
      </c>
      <c r="H4259" s="1">
        <v>-8.5436039999999999E-6</v>
      </c>
      <c r="I4259">
        <v>140.16849999999999</v>
      </c>
      <c r="J4259">
        <v>-273.81509999999997</v>
      </c>
      <c r="K4259">
        <v>1.1114029999999999</v>
      </c>
      <c r="L4259">
        <v>141.8228</v>
      </c>
      <c r="M4259">
        <v>-0.99906799999999996</v>
      </c>
      <c r="N4259">
        <v>0</v>
      </c>
      <c r="O4259">
        <v>4.2031069999999997E-2</v>
      </c>
      <c r="P4259">
        <v>-0.98597319999999999</v>
      </c>
      <c r="Q4259">
        <v>0.16561529999999999</v>
      </c>
      <c r="R4259">
        <v>2.0708049999999999E-2</v>
      </c>
      <c r="S4259">
        <v>-3.0606990000000001</v>
      </c>
      <c r="T4259">
        <v>-8.6380600000000002E-2</v>
      </c>
      <c r="U4259">
        <v>-0.12753299999999901</v>
      </c>
      <c r="V4259">
        <v>-2.1554380000000001E-2</v>
      </c>
      <c r="W4259">
        <v>0.17520160000000001</v>
      </c>
      <c r="X4259">
        <v>0.98429659999999997</v>
      </c>
      <c r="Y4259">
        <v>-8.3541710000000005E-2</v>
      </c>
      <c r="Z4259">
        <v>-2.3636590000000002E-3</v>
      </c>
      <c r="AA4259">
        <v>0.99650150000000004</v>
      </c>
      <c r="AB4259">
        <v>35</v>
      </c>
      <c r="AC4259">
        <v>-39.034500000000001</v>
      </c>
      <c r="AD4259">
        <v>-1.111411543604</v>
      </c>
      <c r="AE4259">
        <v>-1.6543000000000001</v>
      </c>
      <c r="AF4259">
        <v>-3.29091583164757</v>
      </c>
      <c r="AG4259">
        <v>-1.111411543604</v>
      </c>
      <c r="AH4259">
        <v>38.898988367770798</v>
      </c>
      <c r="AI4259">
        <v>91.630772022135801</v>
      </c>
      <c r="AJ4259">
        <v>94.835798056030498</v>
      </c>
      <c r="AK4259">
        <v>39.053766254565097</v>
      </c>
      <c r="AL4259">
        <v>79.909609750796605</v>
      </c>
      <c r="AM4259">
        <v>91.2544772142558</v>
      </c>
      <c r="AN4259">
        <v>0.99999999435565201</v>
      </c>
    </row>
    <row r="4260" spans="1:40" x14ac:dyDescent="0.25">
      <c r="A4260" t="str">
        <f>"20190312173015697"</f>
        <v>20190312173015697</v>
      </c>
      <c r="B4260" t="str">
        <f>"1552383015691633"</f>
        <v>1552383015691633</v>
      </c>
      <c r="C4260" t="s">
        <v>40</v>
      </c>
      <c r="D4260">
        <v>3.4000880000000002</v>
      </c>
      <c r="E4260">
        <v>0.48231400000000002</v>
      </c>
      <c r="F4260" t="s">
        <v>51</v>
      </c>
      <c r="G4260">
        <v>-308.37639999999999</v>
      </c>
      <c r="H4260" s="1">
        <v>-9.6094149999999992E-6</v>
      </c>
      <c r="I4260">
        <v>140.79310000000001</v>
      </c>
      <c r="J4260">
        <v>-274.15890000000002</v>
      </c>
      <c r="K4260">
        <v>1.111397</v>
      </c>
      <c r="L4260">
        <v>141.83529999999999</v>
      </c>
      <c r="M4260">
        <v>-0.99915109999999996</v>
      </c>
      <c r="N4260">
        <v>0</v>
      </c>
      <c r="O4260">
        <v>4.000691E-2</v>
      </c>
      <c r="P4260">
        <v>-0.9860911</v>
      </c>
      <c r="Q4260">
        <v>0.16508310000000001</v>
      </c>
      <c r="R4260">
        <v>1.9292139999999999E-2</v>
      </c>
      <c r="S4260">
        <v>-3.0611570000000001</v>
      </c>
      <c r="T4260">
        <v>-9.8439929999999995E-2</v>
      </c>
      <c r="U4260">
        <v>-9.1201779999999996E-2</v>
      </c>
      <c r="V4260">
        <v>-2.097342E-2</v>
      </c>
      <c r="W4260">
        <v>0.17468049999999999</v>
      </c>
      <c r="X4260">
        <v>0.98440179999999999</v>
      </c>
      <c r="Y4260">
        <v>-6.969061E-2</v>
      </c>
      <c r="Z4260">
        <v>-2.4059200000000002E-3</v>
      </c>
      <c r="AA4260">
        <v>0.9975657</v>
      </c>
      <c r="AB4260">
        <v>35</v>
      </c>
      <c r="AC4260">
        <v>-34.217499999999902</v>
      </c>
      <c r="AD4260">
        <v>-1.1114066094149999</v>
      </c>
      <c r="AE4260">
        <v>-1.04219999999997</v>
      </c>
      <c r="AF4260">
        <v>-2.4078301658425301</v>
      </c>
      <c r="AG4260">
        <v>-1.1114066094149999</v>
      </c>
      <c r="AH4260">
        <v>34.112450689341202</v>
      </c>
      <c r="AI4260">
        <v>91.861446908824405</v>
      </c>
      <c r="AJ4260">
        <v>94.037530907616301</v>
      </c>
      <c r="AK4260">
        <v>34.215379039135698</v>
      </c>
      <c r="AL4260">
        <v>79.939934607515198</v>
      </c>
      <c r="AM4260">
        <v>91.220544972554904</v>
      </c>
      <c r="AN4260">
        <v>1.00000003263499</v>
      </c>
    </row>
    <row r="4261" spans="1:40" x14ac:dyDescent="0.25">
      <c r="A4261" t="str">
        <f>"20190312173015719"</f>
        <v>20190312173015719</v>
      </c>
      <c r="B4261" t="str">
        <f>"1552383015712136"</f>
        <v>1552383015712136</v>
      </c>
      <c r="C4261" t="s">
        <v>40</v>
      </c>
      <c r="D4261">
        <v>3.4959699999999998</v>
      </c>
      <c r="E4261">
        <v>0.48492109999999999</v>
      </c>
      <c r="F4261" t="s">
        <v>51</v>
      </c>
      <c r="G4261">
        <v>-307.92160000000001</v>
      </c>
      <c r="H4261" s="1">
        <v>-9.5505949999999993E-6</v>
      </c>
      <c r="I4261">
        <v>140.81489999999999</v>
      </c>
      <c r="J4261">
        <v>-274.50619999999998</v>
      </c>
      <c r="K4261">
        <v>1.111381</v>
      </c>
      <c r="L4261">
        <v>141.84729999999999</v>
      </c>
      <c r="M4261">
        <v>-0.99923010000000001</v>
      </c>
      <c r="N4261">
        <v>0</v>
      </c>
      <c r="O4261">
        <v>3.7981359999999999E-2</v>
      </c>
      <c r="P4261">
        <v>-0.9862379</v>
      </c>
      <c r="Q4261">
        <v>0.1643462</v>
      </c>
      <c r="R4261">
        <v>1.8037009999999999E-2</v>
      </c>
      <c r="S4261">
        <v>-3.0609739999999999</v>
      </c>
      <c r="T4261">
        <v>-0.1007617</v>
      </c>
      <c r="U4261">
        <v>-9.2514040000000006E-2</v>
      </c>
      <c r="V4261">
        <v>-2.0227829999999999E-2</v>
      </c>
      <c r="W4261">
        <v>0.1739551</v>
      </c>
      <c r="X4261">
        <v>0.98454580000000003</v>
      </c>
      <c r="Y4261">
        <v>-6.8096569999999995E-2</v>
      </c>
      <c r="Z4261">
        <v>-2.3699150000000002E-3</v>
      </c>
      <c r="AA4261">
        <v>0.99767589999999995</v>
      </c>
      <c r="AB4261">
        <v>35</v>
      </c>
      <c r="AC4261">
        <v>-33.415399999999998</v>
      </c>
      <c r="AD4261">
        <v>-1.1113905505949999</v>
      </c>
      <c r="AE4261">
        <v>-1.03239999999999</v>
      </c>
      <c r="AF4261">
        <v>-2.2983386192610999</v>
      </c>
      <c r="AG4261">
        <v>-1.1113905505949999</v>
      </c>
      <c r="AH4261">
        <v>33.315254131141899</v>
      </c>
      <c r="AI4261">
        <v>91.906140558389694</v>
      </c>
      <c r="AJ4261">
        <v>93.946444105966506</v>
      </c>
      <c r="AK4261">
        <v>33.412927246610799</v>
      </c>
      <c r="AL4261">
        <v>79.982142741820297</v>
      </c>
      <c r="AM4261">
        <v>91.176995786016803</v>
      </c>
      <c r="AN4261">
        <v>0.99999998711007898</v>
      </c>
    </row>
    <row r="4262" spans="1:40" x14ac:dyDescent="0.25">
      <c r="A4262" t="str">
        <f>"20190312173015742"</f>
        <v>20190312173015742</v>
      </c>
      <c r="B4262" t="str">
        <f>"1552383015732156"</f>
        <v>1552383015732156</v>
      </c>
      <c r="C4262" t="s">
        <v>40</v>
      </c>
      <c r="D4262">
        <v>3.4605640000000002</v>
      </c>
      <c r="E4262">
        <v>0.51724550000000002</v>
      </c>
      <c r="F4262" t="s">
        <v>51</v>
      </c>
      <c r="G4262">
        <v>-306.42720000000003</v>
      </c>
      <c r="H4262" s="1">
        <v>-9.4091320000000003E-6</v>
      </c>
      <c r="I4262">
        <v>141.0607</v>
      </c>
      <c r="J4262">
        <v>-274.86320000000001</v>
      </c>
      <c r="K4262">
        <v>1.1113660000000001</v>
      </c>
      <c r="L4262">
        <v>141.85890000000001</v>
      </c>
      <c r="M4262">
        <v>-0.99930580000000002</v>
      </c>
      <c r="N4262">
        <v>0</v>
      </c>
      <c r="O4262">
        <v>3.5931749999999998E-2</v>
      </c>
      <c r="P4262">
        <v>-0.98621409999999998</v>
      </c>
      <c r="Q4262">
        <v>0.16467190000000001</v>
      </c>
      <c r="R4262">
        <v>1.6291739999999999E-2</v>
      </c>
      <c r="S4262">
        <v>-3.0610050000000002</v>
      </c>
      <c r="T4262">
        <v>-0.1065748</v>
      </c>
      <c r="U4262">
        <v>-7.5424190000000002E-2</v>
      </c>
      <c r="V4262">
        <v>-1.9942620000000001E-2</v>
      </c>
      <c r="W4262">
        <v>0.174283299999999</v>
      </c>
      <c r="X4262">
        <v>0.98449359999999997</v>
      </c>
      <c r="Y4262">
        <v>-6.0481149999999997E-2</v>
      </c>
      <c r="Z4262">
        <v>-2.3028670000000001E-3</v>
      </c>
      <c r="AA4262">
        <v>0.99816669999999996</v>
      </c>
      <c r="AB4262">
        <v>35</v>
      </c>
      <c r="AC4262">
        <v>-31.564</v>
      </c>
      <c r="AD4262">
        <v>-1.1113754091320001</v>
      </c>
      <c r="AE4262">
        <v>-0.79820000000000801</v>
      </c>
      <c r="AF4262">
        <v>-1.92949859303292</v>
      </c>
      <c r="AG4262">
        <v>-1.1113754091320001</v>
      </c>
      <c r="AH4262">
        <v>31.475935684238301</v>
      </c>
      <c r="AI4262">
        <v>92.018415611749504</v>
      </c>
      <c r="AJ4262">
        <v>93.507884928432702</v>
      </c>
      <c r="AK4262">
        <v>31.554597879213201</v>
      </c>
      <c r="AL4262">
        <v>79.963046823018303</v>
      </c>
      <c r="AM4262">
        <v>91.160466365780707</v>
      </c>
      <c r="AN4262">
        <v>1.0000000125961499</v>
      </c>
    </row>
    <row r="4263" spans="1:40" x14ac:dyDescent="0.25">
      <c r="A4263" t="str">
        <f>"20190312173015765"</f>
        <v>20190312173015765</v>
      </c>
      <c r="B4263" t="str">
        <f>"1552383015762414"</f>
        <v>1552383015762414</v>
      </c>
      <c r="C4263" t="s">
        <v>40</v>
      </c>
      <c r="D4263">
        <v>3.4408470000000002</v>
      </c>
      <c r="E4263">
        <v>0.52024020000000004</v>
      </c>
      <c r="F4263" t="s">
        <v>51</v>
      </c>
      <c r="G4263">
        <v>-306.95179999999999</v>
      </c>
      <c r="H4263" s="1">
        <v>-1.027615E-5</v>
      </c>
      <c r="I4263">
        <v>143.72190000000001</v>
      </c>
      <c r="J4263">
        <v>-275.20479999999998</v>
      </c>
      <c r="K4263">
        <v>1.1113379999999999</v>
      </c>
      <c r="L4263">
        <v>141.86940000000001</v>
      </c>
      <c r="M4263">
        <v>-0.9993727</v>
      </c>
      <c r="N4263">
        <v>0</v>
      </c>
      <c r="O4263">
        <v>3.4019519999999998E-2</v>
      </c>
      <c r="P4263">
        <v>-0.98623640000000001</v>
      </c>
      <c r="Q4263">
        <v>0.164658</v>
      </c>
      <c r="R4263">
        <v>1.501327E-2</v>
      </c>
      <c r="S4263">
        <v>-3.0566710000000001</v>
      </c>
      <c r="T4263">
        <v>-0.1058664</v>
      </c>
      <c r="U4263">
        <v>0.1774597</v>
      </c>
      <c r="V4263">
        <v>-1.9322059999999999E-2</v>
      </c>
      <c r="W4263">
        <v>0.17427019999999999</v>
      </c>
      <c r="X4263">
        <v>0.9845083</v>
      </c>
      <c r="Y4263">
        <v>2.39674E-2</v>
      </c>
      <c r="Z4263">
        <v>-7.6192729999999904E-4</v>
      </c>
      <c r="AA4263">
        <v>0.9997125</v>
      </c>
      <c r="AB4263">
        <v>35</v>
      </c>
      <c r="AC4263">
        <v>-31.747</v>
      </c>
      <c r="AD4263">
        <v>-1.11134827615</v>
      </c>
      <c r="AE4263">
        <v>1.85249999999999</v>
      </c>
      <c r="AF4263">
        <v>0.77041668823939602</v>
      </c>
      <c r="AG4263">
        <v>-1.11134827615</v>
      </c>
      <c r="AH4263">
        <v>31.752866819610201</v>
      </c>
      <c r="AI4263">
        <v>92.003941034376595</v>
      </c>
      <c r="AJ4263">
        <v>88.610110824827501</v>
      </c>
      <c r="AK4263">
        <v>31.781648606205401</v>
      </c>
      <c r="AL4263">
        <v>79.963809124280502</v>
      </c>
      <c r="AM4263">
        <v>91.124348449053997</v>
      </c>
      <c r="AN4263">
        <v>1.0000000186897799</v>
      </c>
    </row>
    <row r="4264" spans="1:40" x14ac:dyDescent="0.25">
      <c r="A4264" t="str">
        <f>"20190312173015786"</f>
        <v>20190312173015786</v>
      </c>
      <c r="B4264" t="str">
        <f>"1552383015781932"</f>
        <v>1552383015781932</v>
      </c>
      <c r="C4264" t="s">
        <v>40</v>
      </c>
      <c r="D4264">
        <v>3.4400680000000001</v>
      </c>
      <c r="E4264">
        <v>0.52113189999999998</v>
      </c>
      <c r="F4264" t="s">
        <v>51</v>
      </c>
      <c r="G4264">
        <v>-306.03339999999997</v>
      </c>
      <c r="H4264" s="1">
        <v>-1.018733E-5</v>
      </c>
      <c r="I4264">
        <v>143.86670000000001</v>
      </c>
      <c r="J4264">
        <v>-275.53629999999998</v>
      </c>
      <c r="K4264">
        <v>1.111297</v>
      </c>
      <c r="L4264">
        <v>141.87899999999999</v>
      </c>
      <c r="M4264">
        <v>-0.9994326</v>
      </c>
      <c r="N4264">
        <v>0</v>
      </c>
      <c r="O4264">
        <v>3.221769E-2</v>
      </c>
      <c r="P4264">
        <v>-0.98620549999999996</v>
      </c>
      <c r="Q4264">
        <v>0.16495029999999999</v>
      </c>
      <c r="R4264">
        <v>1.379332E-2</v>
      </c>
      <c r="S4264">
        <v>-3.0572810000000001</v>
      </c>
      <c r="T4264">
        <v>-0.1102127</v>
      </c>
      <c r="U4264">
        <v>0.19807430000000001</v>
      </c>
      <c r="V4264">
        <v>-1.874835E-2</v>
      </c>
      <c r="W4264">
        <v>0.174558399999999</v>
      </c>
      <c r="X4264">
        <v>0.98446829999999996</v>
      </c>
      <c r="Y4264">
        <v>3.2466630000000003E-2</v>
      </c>
      <c r="Z4264">
        <v>-5.750385E-4</v>
      </c>
      <c r="AA4264">
        <v>0.99947269999999999</v>
      </c>
      <c r="AB4264">
        <v>35</v>
      </c>
      <c r="AC4264">
        <v>-30.4970999999999</v>
      </c>
      <c r="AD4264">
        <v>-1.11130718733</v>
      </c>
      <c r="AE4264">
        <v>1.98770000000001</v>
      </c>
      <c r="AF4264">
        <v>1.00274863830738</v>
      </c>
      <c r="AG4264">
        <v>-1.11130718733</v>
      </c>
      <c r="AH4264">
        <v>30.5049739850602</v>
      </c>
      <c r="AI4264">
        <v>92.085257902673106</v>
      </c>
      <c r="AJ4264">
        <v>88.117271474826197</v>
      </c>
      <c r="AK4264">
        <v>30.5416755651264</v>
      </c>
      <c r="AL4264">
        <v>79.947039095637294</v>
      </c>
      <c r="AM4264">
        <v>91.091016838833994</v>
      </c>
      <c r="AN4264">
        <v>0.99999998467158602</v>
      </c>
    </row>
    <row r="4265" spans="1:40" x14ac:dyDescent="0.25">
      <c r="A4265" t="str">
        <f>"20190312173015809"</f>
        <v>20190312173015809</v>
      </c>
      <c r="B4265" t="str">
        <f>"1552383015802428"</f>
        <v>1552383015802428</v>
      </c>
      <c r="C4265" t="s">
        <v>40</v>
      </c>
      <c r="D4265">
        <v>3.4720770000000001</v>
      </c>
      <c r="E4265">
        <v>0.52186579999999905</v>
      </c>
      <c r="F4265" t="s">
        <v>51</v>
      </c>
      <c r="G4265">
        <v>-305.83699999999999</v>
      </c>
      <c r="H4265" s="1">
        <v>-1.0162349999999999E-5</v>
      </c>
      <c r="I4265">
        <v>143.8775</v>
      </c>
      <c r="J4265">
        <v>-275.8981</v>
      </c>
      <c r="K4265">
        <v>1.111246</v>
      </c>
      <c r="L4265">
        <v>141.8888</v>
      </c>
      <c r="M4265">
        <v>-0.9994923</v>
      </c>
      <c r="N4265">
        <v>0</v>
      </c>
      <c r="O4265">
        <v>3.030888E-2</v>
      </c>
      <c r="P4265">
        <v>-0.98612089999999997</v>
      </c>
      <c r="Q4265">
        <v>0.16558419999999999</v>
      </c>
      <c r="R4265">
        <v>1.214806E-2</v>
      </c>
      <c r="S4265">
        <v>-3.0578609999999999</v>
      </c>
      <c r="T4265">
        <v>-0.11215</v>
      </c>
      <c r="U4265">
        <v>0.2016907</v>
      </c>
      <c r="V4265">
        <v>-1.8490900000000001E-2</v>
      </c>
      <c r="W4265">
        <v>0.1751829</v>
      </c>
      <c r="X4265">
        <v>0.98436219999999996</v>
      </c>
      <c r="Y4265">
        <v>3.5536699999999997E-2</v>
      </c>
      <c r="Z4265">
        <v>-4.58932E-4</v>
      </c>
      <c r="AA4265">
        <v>0.99936829999999999</v>
      </c>
      <c r="AB4265">
        <v>35</v>
      </c>
      <c r="AC4265">
        <v>-29.938899999999901</v>
      </c>
      <c r="AD4265">
        <v>-1.1112561623499999</v>
      </c>
      <c r="AE4265">
        <v>1.9886999999999899</v>
      </c>
      <c r="AF4265">
        <v>1.0788481376022501</v>
      </c>
      <c r="AG4265">
        <v>-1.1112561623499999</v>
      </c>
      <c r="AH4265">
        <v>29.944349038326699</v>
      </c>
      <c r="AI4265">
        <v>92.123935186023502</v>
      </c>
      <c r="AJ4265">
        <v>87.936615014139093</v>
      </c>
      <c r="AK4265">
        <v>29.984376646705702</v>
      </c>
      <c r="AL4265">
        <v>79.910697573848296</v>
      </c>
      <c r="AM4265">
        <v>91.076154633029603</v>
      </c>
      <c r="AN4265">
        <v>0.99999995131202801</v>
      </c>
    </row>
    <row r="4266" spans="1:40" x14ac:dyDescent="0.25">
      <c r="A4266" t="str">
        <f>"20190312173015831"</f>
        <v>20190312173015831</v>
      </c>
      <c r="B4266" t="str">
        <f>"1552383015821951"</f>
        <v>1552383015821951</v>
      </c>
      <c r="C4266" t="s">
        <v>40</v>
      </c>
      <c r="D4266">
        <v>3.4634710000000002</v>
      </c>
      <c r="E4266">
        <v>0.52235089999999995</v>
      </c>
      <c r="F4266" t="s">
        <v>51</v>
      </c>
      <c r="G4266">
        <v>-306.48630000000003</v>
      </c>
      <c r="H4266" s="1">
        <v>-1.026658E-5</v>
      </c>
      <c r="I4266">
        <v>143.9145</v>
      </c>
      <c r="J4266">
        <v>-276.24700000000001</v>
      </c>
      <c r="K4266">
        <v>1.111197</v>
      </c>
      <c r="L4266">
        <v>141.89769999999999</v>
      </c>
      <c r="M4266">
        <v>-0.99954469999999995</v>
      </c>
      <c r="N4266">
        <v>0</v>
      </c>
      <c r="O4266">
        <v>2.8537199999999999E-2</v>
      </c>
      <c r="P4266">
        <v>-0.98609970000000002</v>
      </c>
      <c r="Q4266">
        <v>0.16583000000000001</v>
      </c>
      <c r="R4266">
        <v>1.0400009999999999E-2</v>
      </c>
      <c r="S4266">
        <v>-3.058411</v>
      </c>
      <c r="T4266">
        <v>-0.111111</v>
      </c>
      <c r="U4266">
        <v>0.20254520000000001</v>
      </c>
      <c r="V4266">
        <v>-1.847039E-2</v>
      </c>
      <c r="W4266">
        <v>0.17541989999999999</v>
      </c>
      <c r="X4266">
        <v>0.98432039999999998</v>
      </c>
      <c r="Y4266">
        <v>3.7571830000000001E-2</v>
      </c>
      <c r="Z4266">
        <v>-3.5345729999999999E-4</v>
      </c>
      <c r="AA4266">
        <v>0.99929389999999996</v>
      </c>
      <c r="AB4266">
        <v>35</v>
      </c>
      <c r="AC4266">
        <v>-30.2393</v>
      </c>
      <c r="AD4266">
        <v>-1.1112072665799999</v>
      </c>
      <c r="AE4266">
        <v>2.0168000000000101</v>
      </c>
      <c r="AF4266">
        <v>1.15144418781154</v>
      </c>
      <c r="AG4266">
        <v>-1.1112072665799999</v>
      </c>
      <c r="AH4266">
        <v>30.243880884169702</v>
      </c>
      <c r="AI4266">
        <v>92.102667670344701</v>
      </c>
      <c r="AJ4266">
        <v>87.819689711848</v>
      </c>
      <c r="AK4266">
        <v>30.2861839168092</v>
      </c>
      <c r="AL4266">
        <v>79.896905114989494</v>
      </c>
      <c r="AM4266">
        <v>91.075006887171796</v>
      </c>
      <c r="AN4266">
        <v>0.99999997323945999</v>
      </c>
    </row>
    <row r="4267" spans="1:40" x14ac:dyDescent="0.25">
      <c r="A4267" t="str">
        <f>"20190312173015854"</f>
        <v>20190312173015854</v>
      </c>
      <c r="B4267" t="str">
        <f>"1552383015842443"</f>
        <v>1552383015842443</v>
      </c>
      <c r="C4267" t="s">
        <v>40</v>
      </c>
      <c r="D4267">
        <v>3.415975</v>
      </c>
      <c r="E4267">
        <v>0.52264330000000003</v>
      </c>
      <c r="F4267" t="s">
        <v>51</v>
      </c>
      <c r="G4267">
        <v>-307.27229999999997</v>
      </c>
      <c r="H4267" s="1">
        <v>-1.03854399999999E-5</v>
      </c>
      <c r="I4267">
        <v>143.93459999999999</v>
      </c>
      <c r="J4267">
        <v>-276.5908</v>
      </c>
      <c r="K4267">
        <v>1.111135</v>
      </c>
      <c r="L4267">
        <v>141.9059</v>
      </c>
      <c r="M4267">
        <v>-0.99959109999999995</v>
      </c>
      <c r="N4267">
        <v>0</v>
      </c>
      <c r="O4267">
        <v>2.686902E-2</v>
      </c>
      <c r="P4267">
        <v>-0.98616990000000004</v>
      </c>
      <c r="Q4267">
        <v>0.165522799999999</v>
      </c>
      <c r="R4267">
        <v>8.4554569999999996E-3</v>
      </c>
      <c r="S4267">
        <v>-3.0585939999999998</v>
      </c>
      <c r="T4267">
        <v>-0.1095469</v>
      </c>
      <c r="U4267">
        <v>0.2008057</v>
      </c>
      <c r="V4267">
        <v>-1.874698E-2</v>
      </c>
      <c r="W4267">
        <v>0.1751045</v>
      </c>
      <c r="X4267">
        <v>0.98437140000000001</v>
      </c>
      <c r="Y4267">
        <v>3.8668130000000002E-2</v>
      </c>
      <c r="Z4267">
        <v>-2.6924419999999999E-4</v>
      </c>
      <c r="AA4267">
        <v>0.99925209999999998</v>
      </c>
      <c r="AB4267">
        <v>35</v>
      </c>
      <c r="AC4267">
        <v>-30.6814999999999</v>
      </c>
      <c r="AD4267">
        <v>-1.11114538544</v>
      </c>
      <c r="AE4267">
        <v>2.0286999999999802</v>
      </c>
      <c r="AF4267">
        <v>1.2019766079493399</v>
      </c>
      <c r="AG4267">
        <v>-1.11114538544</v>
      </c>
      <c r="AH4267">
        <v>30.684863669545901</v>
      </c>
      <c r="AI4267">
        <v>92.072272930800096</v>
      </c>
      <c r="AJ4267">
        <v>87.756776903010504</v>
      </c>
      <c r="AK4267">
        <v>30.728492482584599</v>
      </c>
      <c r="AL4267">
        <v>79.915261032615007</v>
      </c>
      <c r="AM4267">
        <v>91.091044498331499</v>
      </c>
      <c r="AN4267">
        <v>1.0000000441586601</v>
      </c>
    </row>
    <row r="4268" spans="1:40" x14ac:dyDescent="0.25">
      <c r="A4268" t="str">
        <f>"20190312173015874"</f>
        <v>20190312173015874</v>
      </c>
      <c r="B4268" t="str">
        <f>"1552383015871724"</f>
        <v>1552383015871724</v>
      </c>
      <c r="C4268" t="s">
        <v>40</v>
      </c>
      <c r="D4268">
        <v>3.4345729999999999</v>
      </c>
      <c r="E4268">
        <v>0.52318249999999999</v>
      </c>
      <c r="F4268" t="s">
        <v>51</v>
      </c>
      <c r="G4268">
        <v>-307.27609999999999</v>
      </c>
      <c r="H4268" s="1">
        <v>-1.0371289999999999E-5</v>
      </c>
      <c r="I4268">
        <v>143.8852</v>
      </c>
      <c r="J4268">
        <v>-276.92140000000001</v>
      </c>
      <c r="K4268">
        <v>1.1110739999999999</v>
      </c>
      <c r="L4268">
        <v>141.91329999999999</v>
      </c>
      <c r="M4268">
        <v>-0.99963080000000004</v>
      </c>
      <c r="N4268">
        <v>0</v>
      </c>
      <c r="O4268">
        <v>2.534602E-2</v>
      </c>
      <c r="P4268">
        <v>-0.98622319999999997</v>
      </c>
      <c r="Q4268">
        <v>0.1652711</v>
      </c>
      <c r="R4268">
        <v>7.0159810000000001E-3</v>
      </c>
      <c r="S4268">
        <v>-3.058929</v>
      </c>
      <c r="T4268">
        <v>-0.110767</v>
      </c>
      <c r="U4268">
        <v>0.1973114</v>
      </c>
      <c r="V4268">
        <v>-1.8658669999999999E-2</v>
      </c>
      <c r="W4268">
        <v>0.17484439999999901</v>
      </c>
      <c r="X4268">
        <v>0.9844193</v>
      </c>
      <c r="Y4268">
        <v>3.9045360000000001E-2</v>
      </c>
      <c r="Z4268">
        <v>-2.103648E-4</v>
      </c>
      <c r="AA4268">
        <v>0.99923740000000005</v>
      </c>
      <c r="AB4268">
        <v>35</v>
      </c>
      <c r="AC4268">
        <v>-30.354699999999902</v>
      </c>
      <c r="AD4268">
        <v>-1.11108437128999</v>
      </c>
      <c r="AE4268">
        <v>1.9719</v>
      </c>
      <c r="AF4268">
        <v>1.2002573822212601</v>
      </c>
      <c r="AG4268">
        <v>-1.11108437128999</v>
      </c>
      <c r="AH4268">
        <v>30.354431296562101</v>
      </c>
      <c r="AI4268">
        <v>92.094665961378695</v>
      </c>
      <c r="AJ4268">
        <v>87.735623038795794</v>
      </c>
      <c r="AK4268">
        <v>30.3984641980711</v>
      </c>
      <c r="AL4268">
        <v>79.930397068435596</v>
      </c>
      <c r="AM4268">
        <v>91.085853404472601</v>
      </c>
      <c r="AN4268">
        <v>1.0000000341949999</v>
      </c>
    </row>
    <row r="4269" spans="1:40" x14ac:dyDescent="0.25">
      <c r="A4269" t="str">
        <f>"20190312173015898"</f>
        <v>20190312173015898</v>
      </c>
      <c r="B4269" t="str">
        <f>"1552383015892220"</f>
        <v>1552383015892220</v>
      </c>
      <c r="C4269" t="s">
        <v>40</v>
      </c>
      <c r="D4269">
        <v>3.4200529999999998</v>
      </c>
      <c r="E4269">
        <v>0.5235919</v>
      </c>
      <c r="F4269" t="s">
        <v>51</v>
      </c>
      <c r="G4269">
        <v>-307.35820000000001</v>
      </c>
      <c r="H4269" s="1">
        <v>-1.037924E-5</v>
      </c>
      <c r="I4269">
        <v>143.8723</v>
      </c>
      <c r="J4269">
        <v>-277.28800000000001</v>
      </c>
      <c r="K4269">
        <v>1.1110009999999999</v>
      </c>
      <c r="L4269">
        <v>141.9211</v>
      </c>
      <c r="M4269">
        <v>-0.99967030000000001</v>
      </c>
      <c r="N4269">
        <v>0</v>
      </c>
      <c r="O4269">
        <v>2.3749949999999999E-2</v>
      </c>
      <c r="P4269">
        <v>-0.98636809999999997</v>
      </c>
      <c r="Q4269">
        <v>0.16444500000000001</v>
      </c>
      <c r="R4269">
        <v>6.0191709999999898E-3</v>
      </c>
      <c r="S4269">
        <v>-3.0592350000000001</v>
      </c>
      <c r="T4269">
        <v>-0.11167630000000001</v>
      </c>
      <c r="U4269">
        <v>0.1968994</v>
      </c>
      <c r="V4269">
        <v>-1.805068E-2</v>
      </c>
      <c r="W4269">
        <v>0.17400860000000001</v>
      </c>
      <c r="X4269">
        <v>0.98457870000000003</v>
      </c>
      <c r="Y4269">
        <v>4.0498149999999997E-2</v>
      </c>
      <c r="Z4269">
        <v>-1.2743879999999901E-4</v>
      </c>
      <c r="AA4269">
        <v>0.99917959999999995</v>
      </c>
      <c r="AB4269">
        <v>35</v>
      </c>
      <c r="AC4269">
        <v>-30.0702</v>
      </c>
      <c r="AD4269">
        <v>-1.11101137924</v>
      </c>
      <c r="AE4269">
        <v>1.9512</v>
      </c>
      <c r="AF4269">
        <v>1.2347712999443301</v>
      </c>
      <c r="AG4269">
        <v>-1.11101137924</v>
      </c>
      <c r="AH4269">
        <v>30.0671877877108</v>
      </c>
      <c r="AI4269">
        <v>92.114390551639005</v>
      </c>
      <c r="AJ4269">
        <v>87.648351650363097</v>
      </c>
      <c r="AK4269">
        <v>30.113033522204798</v>
      </c>
      <c r="AL4269">
        <v>79.979030258704199</v>
      </c>
      <c r="AM4269">
        <v>91.050309063137405</v>
      </c>
      <c r="AN4269">
        <v>1.00000001820805</v>
      </c>
    </row>
    <row r="4270" spans="1:40" x14ac:dyDescent="0.25">
      <c r="A4270" t="str">
        <f>"20190312173015920"</f>
        <v>20190312173015920</v>
      </c>
      <c r="B4270" t="str">
        <f>"1552383015911743"</f>
        <v>1552383015911743</v>
      </c>
      <c r="C4270" t="s">
        <v>40</v>
      </c>
      <c r="D4270">
        <v>3.417065</v>
      </c>
      <c r="E4270">
        <v>0.52404810000000002</v>
      </c>
      <c r="F4270" t="s">
        <v>51</v>
      </c>
      <c r="G4270">
        <v>-307.09280000000001</v>
      </c>
      <c r="H4270" s="1">
        <v>-1.033173E-5</v>
      </c>
      <c r="I4270">
        <v>143.8407</v>
      </c>
      <c r="J4270">
        <v>-277.63639999999998</v>
      </c>
      <c r="K4270">
        <v>1.1109290000000001</v>
      </c>
      <c r="L4270">
        <v>141.928</v>
      </c>
      <c r="M4270">
        <v>-0.99970329999999996</v>
      </c>
      <c r="N4270">
        <v>0</v>
      </c>
      <c r="O4270">
        <v>2.2320719999999999E-2</v>
      </c>
      <c r="P4270">
        <v>-0.9864811</v>
      </c>
      <c r="Q4270">
        <v>0.1637981</v>
      </c>
      <c r="R4270">
        <v>5.0548279999999999E-3</v>
      </c>
      <c r="S4270">
        <v>-3.0592649999999999</v>
      </c>
      <c r="T4270">
        <v>-0.114037899999999</v>
      </c>
      <c r="U4270">
        <v>0.19703670000000001</v>
      </c>
      <c r="V4270">
        <v>-1.757481E-2</v>
      </c>
      <c r="W4270">
        <v>0.17335159999999999</v>
      </c>
      <c r="X4270">
        <v>0.9847032</v>
      </c>
      <c r="Y4270">
        <v>4.1968159999999997E-2</v>
      </c>
      <c r="Z4270" s="1">
        <v>-4.9594790000000001E-5</v>
      </c>
      <c r="AA4270">
        <v>0.99911890000000003</v>
      </c>
      <c r="AB4270">
        <v>35</v>
      </c>
      <c r="AC4270">
        <v>-29.456399999999999</v>
      </c>
      <c r="AD4270">
        <v>-1.11093933173</v>
      </c>
      <c r="AE4270">
        <v>1.9127000000000001</v>
      </c>
      <c r="AF4270">
        <v>1.2529294237403801</v>
      </c>
      <c r="AG4270">
        <v>-1.11093933173</v>
      </c>
      <c r="AH4270">
        <v>29.450041633707102</v>
      </c>
      <c r="AI4270">
        <v>92.158384804361106</v>
      </c>
      <c r="AJ4270">
        <v>87.563864127478595</v>
      </c>
      <c r="AK4270">
        <v>29.497609573772898</v>
      </c>
      <c r="AL4270">
        <v>80.017254547901899</v>
      </c>
      <c r="AM4270">
        <v>91.022496462160106</v>
      </c>
      <c r="AN4270">
        <v>1.0000000216296601</v>
      </c>
    </row>
    <row r="4271" spans="1:40" x14ac:dyDescent="0.25">
      <c r="A4271" t="str">
        <f>"20190312173015942"</f>
        <v>20190312173015942</v>
      </c>
      <c r="B4271" t="str">
        <f>"1552383015932235"</f>
        <v>1552383015932235</v>
      </c>
      <c r="C4271" t="s">
        <v>40</v>
      </c>
      <c r="D4271">
        <v>3.4096739999999999</v>
      </c>
      <c r="E4271">
        <v>0.52439590000000003</v>
      </c>
      <c r="F4271" t="s">
        <v>51</v>
      </c>
      <c r="G4271">
        <v>-306.74799999999999</v>
      </c>
      <c r="H4271" s="1">
        <v>-1.0273690000000001E-5</v>
      </c>
      <c r="I4271">
        <v>143.81200000000001</v>
      </c>
      <c r="J4271">
        <v>-277.98390000000001</v>
      </c>
      <c r="K4271">
        <v>1.1108549999999999</v>
      </c>
      <c r="L4271">
        <v>141.93450000000001</v>
      </c>
      <c r="M4271">
        <v>-0.99973270000000003</v>
      </c>
      <c r="N4271">
        <v>0</v>
      </c>
      <c r="O4271">
        <v>2.0973289999999999E-2</v>
      </c>
      <c r="P4271">
        <v>-0.98653979999999997</v>
      </c>
      <c r="Q4271">
        <v>0.16345750000000001</v>
      </c>
      <c r="R4271">
        <v>4.6010299999999999E-3</v>
      </c>
      <c r="S4271">
        <v>-3.0594790000000001</v>
      </c>
      <c r="T4271">
        <v>-0.11675389999999999</v>
      </c>
      <c r="U4271">
        <v>0.19799800000000001</v>
      </c>
      <c r="V4271">
        <v>-1.6670109999999998E-2</v>
      </c>
      <c r="W4271">
        <v>0.1729995</v>
      </c>
      <c r="X4271">
        <v>0.98478080000000001</v>
      </c>
      <c r="Y4271">
        <v>4.362005E-2</v>
      </c>
      <c r="Z4271" s="1">
        <v>3.2027660000000002E-5</v>
      </c>
      <c r="AA4271">
        <v>0.99904820000000005</v>
      </c>
      <c r="AB4271">
        <v>35</v>
      </c>
      <c r="AC4271">
        <v>-28.7640999999999</v>
      </c>
      <c r="AD4271">
        <v>-1.11086527369</v>
      </c>
      <c r="AE4271">
        <v>1.87749999999999</v>
      </c>
      <c r="AF4271">
        <v>1.27189164674007</v>
      </c>
      <c r="AG4271">
        <v>-1.11086527369</v>
      </c>
      <c r="AH4271">
        <v>28.754446450902599</v>
      </c>
      <c r="AI4271">
        <v>92.210238137030998</v>
      </c>
      <c r="AJ4271">
        <v>87.467294247726102</v>
      </c>
      <c r="AK4271">
        <v>28.8039914024978</v>
      </c>
      <c r="AL4271">
        <v>80.037737373273202</v>
      </c>
      <c r="AM4271">
        <v>90.969795240433498</v>
      </c>
      <c r="AN4271">
        <v>0.99999997180815003</v>
      </c>
    </row>
    <row r="4272" spans="1:40" x14ac:dyDescent="0.25">
      <c r="A4272" t="str">
        <f>"20190312173015967"</f>
        <v>20190312173015967</v>
      </c>
      <c r="B4272" t="str">
        <f>"1552383015962491"</f>
        <v>1552383015962491</v>
      </c>
      <c r="C4272" t="s">
        <v>40</v>
      </c>
      <c r="D4272">
        <v>3.3486069999999999</v>
      </c>
      <c r="E4272">
        <v>0.52482680000000004</v>
      </c>
      <c r="F4272" t="s">
        <v>51</v>
      </c>
      <c r="G4272">
        <v>-306.74279999999999</v>
      </c>
      <c r="H4272" s="1">
        <v>-1.027216E-5</v>
      </c>
      <c r="I4272">
        <v>143.80940000000001</v>
      </c>
      <c r="J4272">
        <v>-278.35629999999998</v>
      </c>
      <c r="K4272">
        <v>1.1107880000000001</v>
      </c>
      <c r="L4272">
        <v>141.941</v>
      </c>
      <c r="M4272">
        <v>-0.9997606</v>
      </c>
      <c r="N4272">
        <v>0</v>
      </c>
      <c r="O4272">
        <v>1.9606999999999999E-2</v>
      </c>
      <c r="P4272">
        <v>-0.98637350000000001</v>
      </c>
      <c r="Q4272">
        <v>0.1644592</v>
      </c>
      <c r="R4272">
        <v>4.5250569999999999E-3</v>
      </c>
      <c r="S4272">
        <v>-3.0595699999999999</v>
      </c>
      <c r="T4272">
        <v>-0.11818149999999999</v>
      </c>
      <c r="U4272">
        <v>0.1994629</v>
      </c>
      <c r="V4272">
        <v>-1.5371340000000001E-2</v>
      </c>
      <c r="W4272">
        <v>0.17398469999999999</v>
      </c>
      <c r="X4272">
        <v>0.98462839999999996</v>
      </c>
      <c r="Y4272">
        <v>4.545693E-2</v>
      </c>
      <c r="Z4272">
        <v>1.2052080000000001E-4</v>
      </c>
      <c r="AA4272">
        <v>0.99896629999999997</v>
      </c>
      <c r="AB4272">
        <v>35</v>
      </c>
      <c r="AC4272">
        <v>-28.386500000000002</v>
      </c>
      <c r="AD4272">
        <v>-1.1107982721599901</v>
      </c>
      <c r="AE4272">
        <v>1.8684000000000001</v>
      </c>
      <c r="AF4272">
        <v>1.30944400107854</v>
      </c>
      <c r="AG4272">
        <v>-1.1107982721599901</v>
      </c>
      <c r="AH4272">
        <v>28.374417065822499</v>
      </c>
      <c r="AI4272">
        <v>92.239482480939401</v>
      </c>
      <c r="AJ4272">
        <v>87.357745828601196</v>
      </c>
      <c r="AK4272">
        <v>28.426326885804801</v>
      </c>
      <c r="AL4272">
        <v>79.980420857597693</v>
      </c>
      <c r="AM4272">
        <v>90.894389569559195</v>
      </c>
      <c r="AN4272">
        <v>1.00000002000702</v>
      </c>
    </row>
    <row r="4273" spans="1:40" x14ac:dyDescent="0.25">
      <c r="A4273" t="str">
        <f>"20190312173015990"</f>
        <v>20190312173015990</v>
      </c>
      <c r="B4273" t="str">
        <f>"1552383015982013"</f>
        <v>1552383015982013</v>
      </c>
      <c r="C4273" t="s">
        <v>40</v>
      </c>
      <c r="D4273">
        <v>3.3469660000000001</v>
      </c>
      <c r="E4273">
        <v>0.52502769999999899</v>
      </c>
      <c r="F4273" t="s">
        <v>51</v>
      </c>
      <c r="G4273">
        <v>-307.56740000000002</v>
      </c>
      <c r="H4273" s="1">
        <v>-1.0408480000000001E-5</v>
      </c>
      <c r="I4273">
        <v>143.86959999999999</v>
      </c>
      <c r="J4273">
        <v>-278.72770000000003</v>
      </c>
      <c r="K4273">
        <v>1.110738</v>
      </c>
      <c r="L4273">
        <v>141.947</v>
      </c>
      <c r="M4273">
        <v>-0.9997857</v>
      </c>
      <c r="N4273">
        <v>0</v>
      </c>
      <c r="O4273">
        <v>1.8298120000000001E-2</v>
      </c>
      <c r="P4273">
        <v>-0.98639239999999995</v>
      </c>
      <c r="Q4273">
        <v>0.16434789999999999</v>
      </c>
      <c r="R4273">
        <v>4.4774790000000004E-3</v>
      </c>
      <c r="S4273">
        <v>-3.0599059999999998</v>
      </c>
      <c r="T4273">
        <v>-0.1163579</v>
      </c>
      <c r="U4273">
        <v>0.20202639999999999</v>
      </c>
      <c r="V4273">
        <v>-1.410632E-2</v>
      </c>
      <c r="W4273">
        <v>0.17386019999999999</v>
      </c>
      <c r="X4273">
        <v>0.98466929999999997</v>
      </c>
      <c r="Y4273">
        <v>4.758896E-2</v>
      </c>
      <c r="Z4273">
        <v>2.0880669999999999E-4</v>
      </c>
      <c r="AA4273">
        <v>0.99886699999999995</v>
      </c>
      <c r="AB4273">
        <v>35</v>
      </c>
      <c r="AC4273">
        <v>-28.839700000000001</v>
      </c>
      <c r="AD4273">
        <v>-1.1107484084799999</v>
      </c>
      <c r="AE4273">
        <v>1.9225999999999801</v>
      </c>
      <c r="AF4273">
        <v>1.39248462145667</v>
      </c>
      <c r="AG4273">
        <v>-1.1107484084799999</v>
      </c>
      <c r="AH4273">
        <v>28.8274800272488</v>
      </c>
      <c r="AI4273">
        <v>92.203998486770601</v>
      </c>
      <c r="AJ4273">
        <v>87.234530177310006</v>
      </c>
      <c r="AK4273">
        <v>28.882458000823998</v>
      </c>
      <c r="AL4273">
        <v>79.987664316809102</v>
      </c>
      <c r="AM4273">
        <v>90.820760142857196</v>
      </c>
      <c r="AN4273">
        <v>0.99999999388523597</v>
      </c>
    </row>
    <row r="4274" spans="1:40" x14ac:dyDescent="0.25">
      <c r="A4274" t="str">
        <f>"20190312173016010"</f>
        <v>20190312173016010</v>
      </c>
      <c r="B4274" t="str">
        <f>"1552383016001535"</f>
        <v>1552383016001535</v>
      </c>
      <c r="C4274" t="s">
        <v>40</v>
      </c>
      <c r="D4274">
        <v>3.3476710000000001</v>
      </c>
      <c r="E4274">
        <v>0.52517840000000005</v>
      </c>
      <c r="F4274" t="s">
        <v>51</v>
      </c>
      <c r="G4274">
        <v>-307.65359999999998</v>
      </c>
      <c r="H4274" s="1">
        <v>-1.0419479999999999E-5</v>
      </c>
      <c r="I4274">
        <v>143.86490000000001</v>
      </c>
      <c r="J4274">
        <v>-279.03859999999997</v>
      </c>
      <c r="K4274">
        <v>1.110706</v>
      </c>
      <c r="L4274">
        <v>141.95169999999999</v>
      </c>
      <c r="M4274">
        <v>-0.99980469999999999</v>
      </c>
      <c r="N4274">
        <v>0</v>
      </c>
      <c r="O4274">
        <v>1.723015E-2</v>
      </c>
      <c r="P4274">
        <v>-0.98635399999999995</v>
      </c>
      <c r="Q4274">
        <v>0.16458010000000001</v>
      </c>
      <c r="R4274">
        <v>4.3990510000000002E-3</v>
      </c>
      <c r="S4274">
        <v>-3.0599980000000002</v>
      </c>
      <c r="T4274">
        <v>-0.1175035</v>
      </c>
      <c r="U4274">
        <v>0.2028961</v>
      </c>
      <c r="V4274">
        <v>-1.3117439999999999E-2</v>
      </c>
      <c r="W4274">
        <v>0.17407999999999901</v>
      </c>
      <c r="X4274">
        <v>0.98464419999999997</v>
      </c>
      <c r="Y4274">
        <v>4.8934400000000003E-2</v>
      </c>
      <c r="Z4274">
        <v>2.7758280000000001E-4</v>
      </c>
      <c r="AA4274">
        <v>0.99880190000000002</v>
      </c>
      <c r="AB4274">
        <v>35</v>
      </c>
      <c r="AC4274">
        <v>-28.614999999999998</v>
      </c>
      <c r="AD4274">
        <v>-1.1107164194800001</v>
      </c>
      <c r="AE4274">
        <v>1.91320000000001</v>
      </c>
      <c r="AF4274">
        <v>1.41772557786806</v>
      </c>
      <c r="AG4274">
        <v>-1.1107164194800001</v>
      </c>
      <c r="AH4274">
        <v>28.600817678928401</v>
      </c>
      <c r="AI4274">
        <v>92.221246817735206</v>
      </c>
      <c r="AJ4274">
        <v>87.162204926788306</v>
      </c>
      <c r="AK4274">
        <v>28.657466892276901</v>
      </c>
      <c r="AL4274">
        <v>79.974876330174993</v>
      </c>
      <c r="AM4274">
        <v>90.763249803988899</v>
      </c>
      <c r="AN4274">
        <v>1.00000005711289</v>
      </c>
    </row>
    <row r="4275" spans="1:40" x14ac:dyDescent="0.25">
      <c r="A4275" t="str">
        <f>"20190312173016031"</f>
        <v>20190312173016031</v>
      </c>
      <c r="B4275" t="str">
        <f>"1552383016022031"</f>
        <v>1552383016022031</v>
      </c>
      <c r="C4275" t="s">
        <v>40</v>
      </c>
      <c r="D4275">
        <v>3.3334760000000001</v>
      </c>
      <c r="E4275">
        <v>0.52990509999999902</v>
      </c>
      <c r="F4275" t="s">
        <v>51</v>
      </c>
      <c r="G4275">
        <v>-308.10890000000001</v>
      </c>
      <c r="H4275" s="1">
        <v>-1.049008E-5</v>
      </c>
      <c r="I4275">
        <v>143.88239999999999</v>
      </c>
      <c r="J4275">
        <v>-279.39299999999997</v>
      </c>
      <c r="K4275">
        <v>1.110671</v>
      </c>
      <c r="L4275">
        <v>141.95660000000001</v>
      </c>
      <c r="M4275">
        <v>-0.99982490000000002</v>
      </c>
      <c r="N4275">
        <v>0</v>
      </c>
      <c r="O4275">
        <v>1.603154E-2</v>
      </c>
      <c r="P4275">
        <v>-0.98634270000000002</v>
      </c>
      <c r="Q4275">
        <v>0.1646618</v>
      </c>
      <c r="R4275">
        <v>3.8171519999999999E-3</v>
      </c>
      <c r="S4275">
        <v>-3.06012</v>
      </c>
      <c r="T4275">
        <v>-0.116920899999999</v>
      </c>
      <c r="U4275">
        <v>0.20324710000000001</v>
      </c>
      <c r="V4275">
        <v>-1.2505519999999999E-2</v>
      </c>
      <c r="W4275">
        <v>0.17414289999999999</v>
      </c>
      <c r="X4275">
        <v>0.98464099999999999</v>
      </c>
      <c r="Y4275">
        <v>5.0241599999999997E-2</v>
      </c>
      <c r="Z4275">
        <v>3.4684640000000002E-4</v>
      </c>
      <c r="AA4275">
        <v>0.99873699999999999</v>
      </c>
      <c r="AB4275">
        <v>35</v>
      </c>
      <c r="AC4275">
        <v>-28.715900000000001</v>
      </c>
      <c r="AD4275">
        <v>-1.1106814900799999</v>
      </c>
      <c r="AE4275">
        <v>1.92579999999998</v>
      </c>
      <c r="AF4275">
        <v>1.46299209169651</v>
      </c>
      <c r="AG4275">
        <v>-1.1106814900799999</v>
      </c>
      <c r="AH4275">
        <v>28.700340531449601</v>
      </c>
      <c r="AI4275">
        <v>92.213326611645002</v>
      </c>
      <c r="AJ4275">
        <v>87.081888891473895</v>
      </c>
      <c r="AK4275">
        <v>28.759059543975699</v>
      </c>
      <c r="AL4275">
        <v>79.971216132216796</v>
      </c>
      <c r="AM4275">
        <v>90.727650986116103</v>
      </c>
      <c r="AN4275">
        <v>1.0000000182659301</v>
      </c>
    </row>
    <row r="4276" spans="1:40" x14ac:dyDescent="0.25">
      <c r="A4276" t="str">
        <f>"20190312173016200"</f>
        <v>20190312173016200</v>
      </c>
      <c r="B4276" t="str">
        <f>"1552383016191852"</f>
        <v>1552383016191852</v>
      </c>
      <c r="C4276" t="s">
        <v>40</v>
      </c>
      <c r="D4276">
        <v>3.3007049999999998</v>
      </c>
      <c r="E4276">
        <v>0.53591199999999894</v>
      </c>
      <c r="F4276" t="s">
        <v>51</v>
      </c>
      <c r="G4276">
        <v>-309.8279</v>
      </c>
      <c r="H4276" s="1">
        <v>-1.0872200000000001E-5</v>
      </c>
      <c r="I4276">
        <v>144.3372</v>
      </c>
      <c r="J4276">
        <v>-282.07889999999998</v>
      </c>
      <c r="K4276">
        <v>1.110574</v>
      </c>
      <c r="L4276">
        <v>141.98070000000001</v>
      </c>
      <c r="M4276">
        <v>-0.99992990000000004</v>
      </c>
      <c r="N4276">
        <v>0</v>
      </c>
      <c r="O4276">
        <v>7.0122519999999897E-3</v>
      </c>
      <c r="P4276">
        <v>-0.98649279999999995</v>
      </c>
      <c r="Q4276">
        <v>0.16372400000000001</v>
      </c>
      <c r="R4276">
        <v>-5.1547099999999998E-3</v>
      </c>
      <c r="S4276">
        <v>-3.0592649999999999</v>
      </c>
      <c r="T4276">
        <v>-0.1116443</v>
      </c>
      <c r="U4276">
        <v>0.23928830000000001</v>
      </c>
      <c r="V4276">
        <v>-1.2552000000000001E-2</v>
      </c>
      <c r="W4276">
        <v>0.1730999</v>
      </c>
      <c r="X4276">
        <v>0.98482429999999999</v>
      </c>
      <c r="Y4276">
        <v>7.0943980000000004E-2</v>
      </c>
      <c r="Z4276">
        <v>1.0366850000000001E-3</v>
      </c>
      <c r="AA4276">
        <v>0.99747969999999997</v>
      </c>
      <c r="AB4276">
        <v>36</v>
      </c>
      <c r="AC4276">
        <v>-27.748999999999999</v>
      </c>
      <c r="AD4276">
        <v>-1.1105848722</v>
      </c>
      <c r="AE4276">
        <v>2.3564999999999801</v>
      </c>
      <c r="AF4276">
        <v>2.1584176177060899</v>
      </c>
      <c r="AG4276">
        <v>-1.1105848722</v>
      </c>
      <c r="AH4276">
        <v>27.720757587262401</v>
      </c>
      <c r="AI4276">
        <v>92.287315038473693</v>
      </c>
      <c r="AJ4276">
        <v>85.547769332684695</v>
      </c>
      <c r="AK4276">
        <v>27.826831774072801</v>
      </c>
      <c r="AL4276">
        <v>80.031897194762195</v>
      </c>
      <c r="AM4276">
        <v>90.730219274492299</v>
      </c>
      <c r="AN4276">
        <v>1.0000000149772399</v>
      </c>
    </row>
    <row r="4277" spans="1:40" x14ac:dyDescent="0.25">
      <c r="A4277" t="str">
        <f>"20190312173016222"</f>
        <v>20190312173016222</v>
      </c>
      <c r="B4277" t="str">
        <f>"1552383016212348"</f>
        <v>1552383016212348</v>
      </c>
      <c r="C4277" t="s">
        <v>40</v>
      </c>
      <c r="D4277">
        <v>3.237876</v>
      </c>
      <c r="E4277">
        <v>0.53183459999999905</v>
      </c>
      <c r="F4277" t="s">
        <v>42</v>
      </c>
      <c r="G4277">
        <v>-282.81509999999997</v>
      </c>
      <c r="H4277">
        <v>0.99177070000000001</v>
      </c>
      <c r="I4277">
        <v>142.04050000000001</v>
      </c>
      <c r="J4277">
        <v>-282.40940000000001</v>
      </c>
      <c r="K4277">
        <v>1.110579</v>
      </c>
      <c r="L4277">
        <v>141.982</v>
      </c>
      <c r="M4277">
        <v>-0.99993710000000002</v>
      </c>
      <c r="N4277">
        <v>0</v>
      </c>
      <c r="O4277">
        <v>5.8999090000000001E-3</v>
      </c>
      <c r="P4277">
        <v>-0.98645859999999996</v>
      </c>
      <c r="Q4277">
        <v>0.1638976</v>
      </c>
      <c r="R4277">
        <v>-6.0866019999999896E-3</v>
      </c>
      <c r="S4277">
        <v>-3.1261290000000002</v>
      </c>
      <c r="T4277">
        <v>-0.50459149999999997</v>
      </c>
      <c r="U4277">
        <v>0.2533417</v>
      </c>
      <c r="V4277">
        <v>-1.2387270000000001E-2</v>
      </c>
      <c r="W4277">
        <v>0.17326759999999999</v>
      </c>
      <c r="X4277">
        <v>0.98479689999999998</v>
      </c>
      <c r="Y4277">
        <v>7.4017120000000006E-2</v>
      </c>
      <c r="Z4277">
        <v>4.9809989999999998E-3</v>
      </c>
      <c r="AA4277">
        <v>0.99724449999999998</v>
      </c>
      <c r="AB4277">
        <v>36</v>
      </c>
      <c r="AC4277">
        <v>-0.40569999999996698</v>
      </c>
      <c r="AD4277">
        <v>-0.11880829999999901</v>
      </c>
      <c r="AE4277">
        <v>5.8500000000009302E-2</v>
      </c>
      <c r="AF4277">
        <v>5.1757020348062503E-2</v>
      </c>
      <c r="AG4277">
        <v>-0.11880829999999901</v>
      </c>
      <c r="AH4277">
        <v>0.37456942069010402</v>
      </c>
      <c r="AI4277">
        <v>107.442770609704</v>
      </c>
      <c r="AJ4277">
        <v>82.132836242100595</v>
      </c>
      <c r="AK4277">
        <v>0.39635394815785502</v>
      </c>
      <c r="AL4277">
        <v>80.022141326383306</v>
      </c>
      <c r="AM4277">
        <v>90.7206570846717</v>
      </c>
      <c r="AN4277">
        <v>1.00000001995871</v>
      </c>
    </row>
    <row r="4278" spans="1:40" x14ac:dyDescent="0.25">
      <c r="A4278" t="str">
        <f>"20190312173016244"</f>
        <v>20190312173016244</v>
      </c>
      <c r="B4278" t="str">
        <f>"1552383016241629"</f>
        <v>1552383016241629</v>
      </c>
      <c r="C4278" t="s">
        <v>40</v>
      </c>
      <c r="D4278">
        <v>3.2136520000000002</v>
      </c>
      <c r="E4278">
        <v>0.53283309999999995</v>
      </c>
      <c r="F4278" t="s">
        <v>53</v>
      </c>
      <c r="G4278">
        <v>-511.92669999999998</v>
      </c>
      <c r="H4278">
        <v>4.5343339999999897</v>
      </c>
      <c r="I4278">
        <v>159.1841</v>
      </c>
      <c r="J4278">
        <v>-282.7611</v>
      </c>
      <c r="K4278">
        <v>1.110579</v>
      </c>
      <c r="L4278">
        <v>141.983</v>
      </c>
      <c r="M4278">
        <v>-0.99994360000000004</v>
      </c>
      <c r="N4278">
        <v>0</v>
      </c>
      <c r="O4278">
        <v>4.7166179999999997E-3</v>
      </c>
      <c r="P4278">
        <v>-0.98649589999999998</v>
      </c>
      <c r="Q4278">
        <v>0.1636331</v>
      </c>
      <c r="R4278">
        <v>-7.0992869999999897E-3</v>
      </c>
      <c r="S4278">
        <v>-3.0350950000000001</v>
      </c>
      <c r="T4278">
        <v>4.527569E-2</v>
      </c>
      <c r="U4278">
        <v>0.22747800000000001</v>
      </c>
      <c r="V4278">
        <v>-1.223289E-2</v>
      </c>
      <c r="W4278">
        <v>0.1729985</v>
      </c>
      <c r="X4278">
        <v>0.98484609999999995</v>
      </c>
      <c r="Y4278">
        <v>7.0027900000000004E-2</v>
      </c>
      <c r="Z4278">
        <v>-4.512993E-4</v>
      </c>
      <c r="AA4278">
        <v>0.99754489999999996</v>
      </c>
      <c r="AB4278">
        <v>36</v>
      </c>
      <c r="AC4278">
        <v>-229.16560000000001</v>
      </c>
      <c r="AD4278">
        <v>3.4237549999999901</v>
      </c>
      <c r="AE4278">
        <v>17.201099999999901</v>
      </c>
      <c r="AF4278">
        <v>16.116395986805799</v>
      </c>
      <c r="AG4278">
        <v>3.4237549999999901</v>
      </c>
      <c r="AH4278">
        <v>229.19331458709999</v>
      </c>
      <c r="AI4278">
        <v>89.146270749453606</v>
      </c>
      <c r="AJ4278">
        <v>85.977701099457605</v>
      </c>
      <c r="AK4278">
        <v>229.78475965417101</v>
      </c>
      <c r="AL4278">
        <v>80.037795655221601</v>
      </c>
      <c r="AM4278">
        <v>90.711641063530706</v>
      </c>
      <c r="AN4278">
        <v>0.99999998264260503</v>
      </c>
    </row>
    <row r="4279" spans="1:40" x14ac:dyDescent="0.25">
      <c r="A4279" t="str">
        <f>"20190312173016266"</f>
        <v>20190312173016266</v>
      </c>
      <c r="B4279" t="str">
        <f>"1552383016262124"</f>
        <v>1552383016262124</v>
      </c>
      <c r="C4279" t="s">
        <v>40</v>
      </c>
      <c r="D4279">
        <v>3.2772709999999998</v>
      </c>
      <c r="E4279">
        <v>0.53225739999999999</v>
      </c>
      <c r="F4279" t="s">
        <v>41</v>
      </c>
      <c r="G4279">
        <v>-447.73520000000002</v>
      </c>
      <c r="H4279">
        <v>7.9987409999999995E-2</v>
      </c>
      <c r="I4279">
        <v>154.49459999999999</v>
      </c>
      <c r="J4279">
        <v>-283.11290000000002</v>
      </c>
      <c r="K4279">
        <v>1.110568</v>
      </c>
      <c r="L4279">
        <v>141.98349999999999</v>
      </c>
      <c r="M4279">
        <v>-0.99994830000000001</v>
      </c>
      <c r="N4279">
        <v>0</v>
      </c>
      <c r="O4279">
        <v>3.534798E-3</v>
      </c>
      <c r="P4279">
        <v>-0.98647079999999998</v>
      </c>
      <c r="Q4279">
        <v>0.163734299999999</v>
      </c>
      <c r="R4279">
        <v>-8.181196E-3</v>
      </c>
      <c r="S4279">
        <v>-3.0458980000000002</v>
      </c>
      <c r="T4279">
        <v>-1.902771E-2</v>
      </c>
      <c r="U4279">
        <v>0.23100280000000001</v>
      </c>
      <c r="V4279">
        <v>-1.214909E-2</v>
      </c>
      <c r="W4279">
        <v>0.17309530000000001</v>
      </c>
      <c r="X4279">
        <v>0.98483010000000004</v>
      </c>
      <c r="Y4279">
        <v>7.2096789999999994E-2</v>
      </c>
      <c r="Z4279">
        <v>2.0281880000000001E-4</v>
      </c>
      <c r="AA4279">
        <v>0.9973976</v>
      </c>
      <c r="AB4279">
        <v>36</v>
      </c>
      <c r="AC4279">
        <v>-164.6223</v>
      </c>
      <c r="AD4279">
        <v>-1.03058059</v>
      </c>
      <c r="AE4279">
        <v>12.511100000000001</v>
      </c>
      <c r="AF4279">
        <v>11.9286239935316</v>
      </c>
      <c r="AG4279">
        <v>-1.03058059</v>
      </c>
      <c r="AH4279">
        <v>164.65908156420099</v>
      </c>
      <c r="AI4279">
        <v>90.357665138654994</v>
      </c>
      <c r="AJ4279">
        <v>85.856481689466406</v>
      </c>
      <c r="AK4279">
        <v>165.09381365847</v>
      </c>
      <c r="AL4279">
        <v>80.032164186554795</v>
      </c>
      <c r="AM4279">
        <v>90.706778026128504</v>
      </c>
      <c r="AN4279">
        <v>0.99999995456796298</v>
      </c>
    </row>
    <row r="4280" spans="1:40" x14ac:dyDescent="0.25">
      <c r="A4280" t="str">
        <f>"20190312173016277"</f>
        <v>20190312173016277</v>
      </c>
      <c r="B4280" t="str">
        <f>"1552383016271886"</f>
        <v>1552383016271886</v>
      </c>
      <c r="C4280" t="s">
        <v>40</v>
      </c>
      <c r="D4280">
        <v>3.2709869999999999</v>
      </c>
      <c r="E4280">
        <v>0.53216569999999996</v>
      </c>
      <c r="F4280" t="s">
        <v>41</v>
      </c>
      <c r="G4280">
        <v>-375.0795</v>
      </c>
      <c r="H4280" s="1">
        <v>-4.1582030000000001E-6</v>
      </c>
      <c r="I4280">
        <v>148.6969</v>
      </c>
      <c r="J4280">
        <v>-283.3116</v>
      </c>
      <c r="K4280">
        <v>1.110568</v>
      </c>
      <c r="L4280">
        <v>141.9837</v>
      </c>
      <c r="M4280">
        <v>-0.99995060000000002</v>
      </c>
      <c r="N4280">
        <v>0</v>
      </c>
      <c r="O4280">
        <v>2.8669350000000001E-3</v>
      </c>
      <c r="P4280">
        <v>-0.98649730000000002</v>
      </c>
      <c r="Q4280">
        <v>0.1635479</v>
      </c>
      <c r="R4280">
        <v>-8.6958480000000008E-3</v>
      </c>
      <c r="S4280">
        <v>-3.0491030000000001</v>
      </c>
      <c r="T4280">
        <v>-3.6820409999999998E-2</v>
      </c>
      <c r="U4280">
        <v>0.22258</v>
      </c>
      <c r="V4280">
        <v>-1.200532E-2</v>
      </c>
      <c r="W4280">
        <v>0.17290739999999999</v>
      </c>
      <c r="X4280">
        <v>0.98486499999999999</v>
      </c>
      <c r="Y4280">
        <v>6.9940169999999996E-2</v>
      </c>
      <c r="Z4280">
        <v>3.8714210000000002E-4</v>
      </c>
      <c r="AA4280">
        <v>0.99755110000000002</v>
      </c>
      <c r="AB4280">
        <v>36</v>
      </c>
      <c r="AC4280">
        <v>-91.767899999999997</v>
      </c>
      <c r="AD4280">
        <v>-1.1105721582029999</v>
      </c>
      <c r="AE4280">
        <v>6.7131999999999996</v>
      </c>
      <c r="AF4280">
        <v>6.4491283917924598</v>
      </c>
      <c r="AG4280">
        <v>-1.1105721582029999</v>
      </c>
      <c r="AH4280">
        <v>91.773400642665905</v>
      </c>
      <c r="AI4280">
        <v>90.691610883029696</v>
      </c>
      <c r="AJ4280">
        <v>85.980301509219203</v>
      </c>
      <c r="AK4280">
        <v>92.0064220207028</v>
      </c>
      <c r="AL4280">
        <v>80.043096167903599</v>
      </c>
      <c r="AM4280">
        <v>90.698390237212095</v>
      </c>
      <c r="AN4280">
        <v>1.0000000824540201</v>
      </c>
    </row>
    <row r="4281" spans="1:40" x14ac:dyDescent="0.25">
      <c r="A4281" t="str">
        <f>"20190312173016290"</f>
        <v>20190312173016290</v>
      </c>
      <c r="B4281" t="str">
        <f>"1552383016281645"</f>
        <v>1552383016281645</v>
      </c>
      <c r="C4281" t="s">
        <v>40</v>
      </c>
      <c r="D4281">
        <v>3.273441</v>
      </c>
      <c r="E4281">
        <v>0.5321285</v>
      </c>
      <c r="F4281" t="s">
        <v>41</v>
      </c>
      <c r="G4281">
        <v>-363.5446</v>
      </c>
      <c r="H4281" s="1">
        <v>-4.51573699999999E-6</v>
      </c>
      <c r="I4281">
        <v>147.76769999999999</v>
      </c>
      <c r="J4281">
        <v>-283.50880000000001</v>
      </c>
      <c r="K4281">
        <v>1.1105659999999999</v>
      </c>
      <c r="L4281">
        <v>141.9837</v>
      </c>
      <c r="M4281">
        <v>-0.99995219999999996</v>
      </c>
      <c r="N4281">
        <v>0</v>
      </c>
      <c r="O4281">
        <v>2.2043760000000001E-3</v>
      </c>
      <c r="P4281">
        <v>-0.98647680000000004</v>
      </c>
      <c r="Q4281">
        <v>0.16363910000000001</v>
      </c>
      <c r="R4281">
        <v>-9.2771369999999995E-3</v>
      </c>
      <c r="S4281">
        <v>-3.0499879999999999</v>
      </c>
      <c r="T4281">
        <v>-4.2217490000000003E-2</v>
      </c>
      <c r="U4281">
        <v>0.2198792</v>
      </c>
      <c r="V4281">
        <v>-1.193375E-2</v>
      </c>
      <c r="W4281">
        <v>0.1729966</v>
      </c>
      <c r="X4281">
        <v>0.98485009999999995</v>
      </c>
      <c r="Y4281">
        <v>6.9699819999999996E-2</v>
      </c>
      <c r="Z4281">
        <v>4.5126679999999997E-4</v>
      </c>
      <c r="AA4281">
        <v>0.99756789999999995</v>
      </c>
      <c r="AB4281">
        <v>36</v>
      </c>
      <c r="AC4281">
        <v>-80.035799999999995</v>
      </c>
      <c r="AD4281">
        <v>-1.1105705157370001</v>
      </c>
      <c r="AE4281">
        <v>5.78399999999999</v>
      </c>
      <c r="AF4281">
        <v>5.6064750749434697</v>
      </c>
      <c r="AG4281">
        <v>-1.1105705157370001</v>
      </c>
      <c r="AH4281">
        <v>80.033026618219907</v>
      </c>
      <c r="AI4281">
        <v>90.793065023565006</v>
      </c>
      <c r="AJ4281">
        <v>85.992861152740005</v>
      </c>
      <c r="AK4281">
        <v>80.236844898768894</v>
      </c>
      <c r="AL4281">
        <v>80.037906144403394</v>
      </c>
      <c r="AM4281">
        <v>90.694237678026596</v>
      </c>
      <c r="AN4281">
        <v>0.99999997873531499</v>
      </c>
    </row>
    <row r="4282" spans="1:40" x14ac:dyDescent="0.25">
      <c r="A4282" t="str">
        <f>"20190312173016327"</f>
        <v>20190312173016327</v>
      </c>
      <c r="B4282" t="str">
        <f>"1552383016321660"</f>
        <v>1552383016321660</v>
      </c>
      <c r="C4282" t="s">
        <v>40</v>
      </c>
      <c r="D4282">
        <v>3.2772459999999999</v>
      </c>
      <c r="E4282">
        <v>0.53210900000000005</v>
      </c>
      <c r="F4282" t="s">
        <v>41</v>
      </c>
      <c r="G4282">
        <v>-355.38929999999999</v>
      </c>
      <c r="H4282" s="1">
        <v>-3.771736E-6</v>
      </c>
      <c r="I4282">
        <v>147.11250000000001</v>
      </c>
      <c r="J4282">
        <v>-283.85899999999998</v>
      </c>
      <c r="K4282">
        <v>1.110565</v>
      </c>
      <c r="L4282">
        <v>141.98339999999999</v>
      </c>
      <c r="M4282">
        <v>-0.99995409999999996</v>
      </c>
      <c r="N4282">
        <v>0</v>
      </c>
      <c r="O4282">
        <v>1.0276040000000001E-3</v>
      </c>
      <c r="P4282">
        <v>-0.98651800000000001</v>
      </c>
      <c r="Q4282">
        <v>0.16333739999999999</v>
      </c>
      <c r="R4282">
        <v>-1.016302E-2</v>
      </c>
      <c r="S4282">
        <v>-3.0509949999999999</v>
      </c>
      <c r="T4282">
        <v>-4.7138569999999998E-2</v>
      </c>
      <c r="U4282">
        <v>0.2176971</v>
      </c>
      <c r="V4282">
        <v>-1.165919E-2</v>
      </c>
      <c r="W4282">
        <v>0.17269419999999999</v>
      </c>
      <c r="X4282">
        <v>0.98490650000000002</v>
      </c>
      <c r="Y4282">
        <v>7.0138590000000001E-2</v>
      </c>
      <c r="Z4282">
        <v>5.2525239999999995E-4</v>
      </c>
      <c r="AA4282">
        <v>0.99753709999999995</v>
      </c>
      <c r="AB4282">
        <v>36</v>
      </c>
      <c r="AC4282">
        <v>-71.530299999999897</v>
      </c>
      <c r="AD4282">
        <v>-1.110568771736</v>
      </c>
      <c r="AE4282">
        <v>5.1291000000000198</v>
      </c>
      <c r="AF4282">
        <v>5.0543769985102696</v>
      </c>
      <c r="AG4282">
        <v>-1.110568771736</v>
      </c>
      <c r="AH4282">
        <v>71.518381687027301</v>
      </c>
      <c r="AI4282">
        <v>90.887429412191196</v>
      </c>
      <c r="AJ4282">
        <v>85.957489981123103</v>
      </c>
      <c r="AK4282">
        <v>71.705362484064906</v>
      </c>
      <c r="AL4282">
        <v>80.0554975517081</v>
      </c>
      <c r="AM4282">
        <v>90.678228012218597</v>
      </c>
      <c r="AN4282">
        <v>1.0000000185836699</v>
      </c>
    </row>
    <row r="4283" spans="1:40" x14ac:dyDescent="0.25">
      <c r="A4283" t="str">
        <f>"20190312173016342"</f>
        <v>20190312173016342</v>
      </c>
      <c r="B4283" t="str">
        <f>"1552383016332397"</f>
        <v>1552383016332397</v>
      </c>
      <c r="C4283" t="s">
        <v>40</v>
      </c>
      <c r="D4283">
        <v>3.2513990000000002</v>
      </c>
      <c r="E4283">
        <v>0.53217409999999998</v>
      </c>
      <c r="F4283" t="s">
        <v>41</v>
      </c>
      <c r="G4283">
        <v>-341.06450000000001</v>
      </c>
      <c r="H4283" s="1">
        <v>-5.0464840000000003E-6</v>
      </c>
      <c r="I4283">
        <v>146.00200000000001</v>
      </c>
      <c r="J4283">
        <v>-284.33960000000002</v>
      </c>
      <c r="K4283">
        <v>1.110571</v>
      </c>
      <c r="L4283">
        <v>141.98230000000001</v>
      </c>
      <c r="M4283">
        <v>-0.99995469999999997</v>
      </c>
      <c r="N4283">
        <v>0</v>
      </c>
      <c r="O4283">
        <v>-5.8619710000000003E-4</v>
      </c>
      <c r="P4283">
        <v>-0.98653820000000003</v>
      </c>
      <c r="Q4283">
        <v>0.1631281</v>
      </c>
      <c r="R4283">
        <v>-1.148916E-2</v>
      </c>
      <c r="S4283">
        <v>-3.0530089999999999</v>
      </c>
      <c r="T4283">
        <v>-5.9270259999999998E-2</v>
      </c>
      <c r="U4283">
        <v>0.21447749999999999</v>
      </c>
      <c r="V4283">
        <v>-1.139427E-2</v>
      </c>
      <c r="W4283">
        <v>0.17248329999999901</v>
      </c>
      <c r="X4283">
        <v>0.98494649999999995</v>
      </c>
      <c r="Y4283">
        <v>7.0649879999999998E-2</v>
      </c>
      <c r="Z4283">
        <v>6.9624599999999997E-4</v>
      </c>
      <c r="AA4283">
        <v>0.99750099999999997</v>
      </c>
      <c r="AB4283">
        <v>36</v>
      </c>
      <c r="AC4283">
        <v>-56.724899999999899</v>
      </c>
      <c r="AD4283">
        <v>-1.110576046484</v>
      </c>
      <c r="AE4283">
        <v>4.0197000000000003</v>
      </c>
      <c r="AF4283">
        <v>4.0514075997020598</v>
      </c>
      <c r="AG4283">
        <v>-1.110576046484</v>
      </c>
      <c r="AH4283">
        <v>56.700908429614998</v>
      </c>
      <c r="AI4283">
        <v>91.119231343318305</v>
      </c>
      <c r="AJ4283">
        <v>85.913033310820396</v>
      </c>
      <c r="AK4283">
        <v>56.856312749223697</v>
      </c>
      <c r="AL4283">
        <v>80.067764764396799</v>
      </c>
      <c r="AM4283">
        <v>90.662791797325099</v>
      </c>
      <c r="AN4283">
        <v>0.99999996301498495</v>
      </c>
    </row>
    <row r="4284" spans="1:40" x14ac:dyDescent="0.25">
      <c r="A4284" t="str">
        <f>"20190312173016356"</f>
        <v>20190312173016356</v>
      </c>
      <c r="B4284" t="str">
        <f>"1552383016351916"</f>
        <v>1552383016351916</v>
      </c>
      <c r="C4284" t="s">
        <v>40</v>
      </c>
      <c r="D4284">
        <v>3.2714270000000001</v>
      </c>
      <c r="E4284">
        <v>0.53236079999999997</v>
      </c>
      <c r="F4284" t="s">
        <v>41</v>
      </c>
      <c r="G4284">
        <v>-339.34320000000002</v>
      </c>
      <c r="H4284" s="1">
        <v>-1.9307719999999999E-6</v>
      </c>
      <c r="I4284">
        <v>145.77940000000001</v>
      </c>
      <c r="J4284">
        <v>-284.57440000000003</v>
      </c>
      <c r="K4284">
        <v>1.110571</v>
      </c>
      <c r="L4284">
        <v>141.98150000000001</v>
      </c>
      <c r="M4284">
        <v>-0.9999538</v>
      </c>
      <c r="N4284">
        <v>0</v>
      </c>
      <c r="O4284">
        <v>-1.3744149999999999E-3</v>
      </c>
      <c r="P4284">
        <v>-0.98658349999999995</v>
      </c>
      <c r="Q4284">
        <v>0.16279179999999999</v>
      </c>
      <c r="R4284">
        <v>-1.2335769999999999E-2</v>
      </c>
      <c r="S4284">
        <v>-3.0535890000000001</v>
      </c>
      <c r="T4284">
        <v>-6.1654689999999998E-2</v>
      </c>
      <c r="U4284">
        <v>0.21080019999999999</v>
      </c>
      <c r="V4284">
        <v>-1.146258E-2</v>
      </c>
      <c r="W4284">
        <v>0.17214699999999999</v>
      </c>
      <c r="X4284">
        <v>0.98500460000000001</v>
      </c>
      <c r="Y4284">
        <v>7.022631E-2</v>
      </c>
      <c r="Z4284">
        <v>7.3576800000000003E-4</v>
      </c>
      <c r="AA4284">
        <v>0.99753080000000005</v>
      </c>
      <c r="AB4284">
        <v>36</v>
      </c>
      <c r="AC4284">
        <v>-54.768799999999999</v>
      </c>
      <c r="AD4284">
        <v>-1.110572930772</v>
      </c>
      <c r="AE4284">
        <v>3.7978999999999998</v>
      </c>
      <c r="AF4284">
        <v>3.87159059279012</v>
      </c>
      <c r="AG4284">
        <v>-1.110572930772</v>
      </c>
      <c r="AH4284">
        <v>54.741127618594199</v>
      </c>
      <c r="AI4284">
        <v>91.159346400078903</v>
      </c>
      <c r="AJ4284">
        <v>85.9544669134401</v>
      </c>
      <c r="AK4284">
        <v>54.889103098046299</v>
      </c>
      <c r="AL4284">
        <v>80.087326516818393</v>
      </c>
      <c r="AM4284">
        <v>90.666725629846994</v>
      </c>
      <c r="AN4284">
        <v>1.0000000211852</v>
      </c>
    </row>
    <row r="4285" spans="1:40" x14ac:dyDescent="0.25">
      <c r="A4285" t="str">
        <f>"20190312173016380"</f>
        <v>20190312173016380</v>
      </c>
      <c r="B4285" t="str">
        <f>"1552383016372412"</f>
        <v>1552383016372412</v>
      </c>
      <c r="C4285" t="s">
        <v>40</v>
      </c>
      <c r="D4285">
        <v>3.2886829999999998</v>
      </c>
      <c r="E4285">
        <v>0.53246719999999903</v>
      </c>
      <c r="F4285" t="s">
        <v>41</v>
      </c>
      <c r="G4285">
        <v>-335.89670000000001</v>
      </c>
      <c r="H4285" s="1">
        <v>-3.4863049999999999E-6</v>
      </c>
      <c r="I4285">
        <v>145.5025</v>
      </c>
      <c r="J4285">
        <v>-284.94369999999998</v>
      </c>
      <c r="K4285">
        <v>1.1105689999999999</v>
      </c>
      <c r="L4285">
        <v>141.97980000000001</v>
      </c>
      <c r="M4285">
        <v>-0.99995120000000004</v>
      </c>
      <c r="N4285">
        <v>0</v>
      </c>
      <c r="O4285">
        <v>-2.613607E-3</v>
      </c>
      <c r="P4285">
        <v>-0.9865737</v>
      </c>
      <c r="Q4285">
        <v>0.16275609999999999</v>
      </c>
      <c r="R4285">
        <v>-1.3529100000000001E-2</v>
      </c>
      <c r="S4285">
        <v>-3.0543819999999999</v>
      </c>
      <c r="T4285">
        <v>-6.6094520000000004E-2</v>
      </c>
      <c r="U4285">
        <v>0.20954900000000001</v>
      </c>
      <c r="V4285">
        <v>-1.143401E-2</v>
      </c>
      <c r="W4285">
        <v>0.17211080000000001</v>
      </c>
      <c r="X4285">
        <v>0.98501119999999998</v>
      </c>
      <c r="Y4285">
        <v>7.1035299999999996E-2</v>
      </c>
      <c r="Z4285">
        <v>8.2407050000000005E-4</v>
      </c>
      <c r="AA4285">
        <v>0.99747350000000001</v>
      </c>
      <c r="AB4285">
        <v>36</v>
      </c>
      <c r="AC4285">
        <v>-50.953000000000003</v>
      </c>
      <c r="AD4285">
        <v>-1.1105724863049999</v>
      </c>
      <c r="AE4285">
        <v>3.52269999999998</v>
      </c>
      <c r="AF4285">
        <v>3.65413742908247</v>
      </c>
      <c r="AG4285">
        <v>-1.1105724863049999</v>
      </c>
      <c r="AH4285">
        <v>50.919543495402102</v>
      </c>
      <c r="AI4285">
        <v>91.246238381657804</v>
      </c>
      <c r="AJ4285">
        <v>85.895321576136197</v>
      </c>
      <c r="AK4285">
        <v>51.062569474891397</v>
      </c>
      <c r="AL4285">
        <v>80.089431478744999</v>
      </c>
      <c r="AM4285">
        <v>90.6650595378064</v>
      </c>
      <c r="AN4285">
        <v>0.99999996409337899</v>
      </c>
    </row>
    <row r="4286" spans="1:40" x14ac:dyDescent="0.25">
      <c r="A4286" t="str">
        <f>"20190312173016402"</f>
        <v>20190312173016402</v>
      </c>
      <c r="B4286" t="str">
        <f>"1552383016391933"</f>
        <v>1552383016391933</v>
      </c>
      <c r="C4286" t="s">
        <v>40</v>
      </c>
      <c r="D4286">
        <v>3.3229479999999998</v>
      </c>
      <c r="E4286">
        <v>0.51618059999999999</v>
      </c>
      <c r="F4286" t="s">
        <v>41</v>
      </c>
      <c r="G4286">
        <v>-334.74919999999997</v>
      </c>
      <c r="H4286" s="1">
        <v>-3.9042109999999999E-6</v>
      </c>
      <c r="I4286">
        <v>145.34790000000001</v>
      </c>
      <c r="J4286">
        <v>-285.31560000000002</v>
      </c>
      <c r="K4286">
        <v>1.1105700000000001</v>
      </c>
      <c r="L4286">
        <v>141.9777</v>
      </c>
      <c r="M4286">
        <v>-0.99994720000000004</v>
      </c>
      <c r="N4286">
        <v>0</v>
      </c>
      <c r="O4286">
        <v>-3.8615059999999998E-3</v>
      </c>
      <c r="P4286">
        <v>-0.98657969999999895</v>
      </c>
      <c r="Q4286">
        <v>0.16263529999999901</v>
      </c>
      <c r="R4286">
        <v>-1.450796E-2</v>
      </c>
      <c r="S4286">
        <v>-3.0549010000000001</v>
      </c>
      <c r="T4286">
        <v>-6.8118689999999996E-2</v>
      </c>
      <c r="U4286">
        <v>0.20658869999999999</v>
      </c>
      <c r="V4286">
        <v>-1.118249E-2</v>
      </c>
      <c r="W4286">
        <v>0.17199059999999999</v>
      </c>
      <c r="X4286">
        <v>0.98503510000000005</v>
      </c>
      <c r="Y4286">
        <v>7.1305030000000005E-2</v>
      </c>
      <c r="Z4286">
        <v>8.7998269999999999E-4</v>
      </c>
      <c r="AA4286">
        <v>0.99745419999999996</v>
      </c>
      <c r="AB4286">
        <v>36</v>
      </c>
      <c r="AC4286">
        <v>-49.433599999999899</v>
      </c>
      <c r="AD4286">
        <v>-1.1105739042110001</v>
      </c>
      <c r="AE4286">
        <v>3.3702000000000099</v>
      </c>
      <c r="AF4286">
        <v>3.55928353966475</v>
      </c>
      <c r="AG4286">
        <v>-1.1105739042110001</v>
      </c>
      <c r="AH4286">
        <v>49.395401269067897</v>
      </c>
      <c r="AI4286">
        <v>91.284654188633198</v>
      </c>
      <c r="AJ4286">
        <v>85.878562319280604</v>
      </c>
      <c r="AK4286">
        <v>49.535921715909097</v>
      </c>
      <c r="AL4286">
        <v>80.096422857022603</v>
      </c>
      <c r="AM4286">
        <v>90.650415360275403</v>
      </c>
      <c r="AN4286">
        <v>0.99999998140148405</v>
      </c>
    </row>
    <row r="4287" spans="1:40" x14ac:dyDescent="0.25">
      <c r="A4287" t="str">
        <f>"20190312173016423"</f>
        <v>20190312173016423</v>
      </c>
      <c r="B4287" t="str">
        <f>"1552383016412428"</f>
        <v>1552383016412428</v>
      </c>
      <c r="C4287" t="s">
        <v>40</v>
      </c>
      <c r="D4287">
        <v>3.282254</v>
      </c>
      <c r="E4287">
        <v>0.50791019999999998</v>
      </c>
      <c r="F4287" t="s">
        <v>51</v>
      </c>
      <c r="G4287">
        <v>-311.7491</v>
      </c>
      <c r="H4287" s="1">
        <v>-9.5993180000000006E-6</v>
      </c>
      <c r="I4287">
        <v>142.5984</v>
      </c>
      <c r="J4287">
        <v>-285.64850000000001</v>
      </c>
      <c r="K4287">
        <v>1.1105700000000001</v>
      </c>
      <c r="L4287">
        <v>141.97540000000001</v>
      </c>
      <c r="M4287">
        <v>-0.99994240000000001</v>
      </c>
      <c r="N4287">
        <v>0</v>
      </c>
      <c r="O4287">
        <v>-4.978278E-3</v>
      </c>
      <c r="P4287">
        <v>-0.98661430000000006</v>
      </c>
      <c r="Q4287">
        <v>0.16231379999999901</v>
      </c>
      <c r="R4287">
        <v>-1.5696769999999999E-2</v>
      </c>
      <c r="S4287">
        <v>-3.0630799999999998</v>
      </c>
      <c r="T4287">
        <v>-0.12869230000000001</v>
      </c>
      <c r="U4287">
        <v>7.191467E-2</v>
      </c>
      <c r="V4287">
        <v>-1.127002E-2</v>
      </c>
      <c r="W4287">
        <v>0.17166970000000001</v>
      </c>
      <c r="X4287">
        <v>0.98509009999999997</v>
      </c>
      <c r="Y4287">
        <v>2.8418820000000001E-2</v>
      </c>
      <c r="Z4287">
        <v>8.0569729999999996E-4</v>
      </c>
      <c r="AA4287">
        <v>0.99959580000000003</v>
      </c>
      <c r="AB4287">
        <v>36</v>
      </c>
      <c r="AC4287">
        <v>-26.100599999999901</v>
      </c>
      <c r="AD4287">
        <v>-1.1105795993179901</v>
      </c>
      <c r="AE4287">
        <v>0.62299999999999001</v>
      </c>
      <c r="AF4287">
        <v>0.75157424646146598</v>
      </c>
      <c r="AG4287">
        <v>-1.1105795993179901</v>
      </c>
      <c r="AH4287">
        <v>26.050038207794302</v>
      </c>
      <c r="AI4287">
        <v>92.440172866102003</v>
      </c>
      <c r="AJ4287">
        <v>88.3474077929217</v>
      </c>
      <c r="AK4287">
        <v>26.084530693917198</v>
      </c>
      <c r="AL4287">
        <v>80.1150868750954</v>
      </c>
      <c r="AM4287">
        <v>90.655469393978095</v>
      </c>
      <c r="AN4287">
        <v>1.0000000021834501</v>
      </c>
    </row>
    <row r="4288" spans="1:40" x14ac:dyDescent="0.25">
      <c r="A4288" t="str">
        <f>"20190312173016445"</f>
        <v>20190312173016445</v>
      </c>
      <c r="B4288" t="str">
        <f>"1552383016441708"</f>
        <v>1552383016441708</v>
      </c>
      <c r="C4288" t="s">
        <v>40</v>
      </c>
      <c r="D4288">
        <v>3.3189440000000001</v>
      </c>
      <c r="E4288">
        <v>0.50443039999999995</v>
      </c>
      <c r="F4288" t="s">
        <v>51</v>
      </c>
      <c r="G4288">
        <v>-309.88889999999998</v>
      </c>
      <c r="H4288" s="1">
        <v>-1.018333E-5</v>
      </c>
      <c r="I4288">
        <v>141.99209999999999</v>
      </c>
      <c r="J4288">
        <v>-286.0102</v>
      </c>
      <c r="K4288">
        <v>1.1105670000000001</v>
      </c>
      <c r="L4288">
        <v>141.9725</v>
      </c>
      <c r="M4288">
        <v>-0.99993560000000004</v>
      </c>
      <c r="N4288">
        <v>0</v>
      </c>
      <c r="O4288">
        <v>-6.1915759999999999E-3</v>
      </c>
      <c r="P4288">
        <v>-0.98664249999999998</v>
      </c>
      <c r="Q4288">
        <v>0.162018</v>
      </c>
      <c r="R4288">
        <v>-1.694085E-2</v>
      </c>
      <c r="S4288">
        <v>-3.063812</v>
      </c>
      <c r="T4288">
        <v>-0.1403693</v>
      </c>
      <c r="U4288">
        <v>2.1057129999999999E-3</v>
      </c>
      <c r="V4288">
        <v>-1.1316659999999999E-2</v>
      </c>
      <c r="W4288">
        <v>0.17136999999999999</v>
      </c>
      <c r="X4288">
        <v>0.98514179999999996</v>
      </c>
      <c r="Y4288">
        <v>6.8654320000000003E-3</v>
      </c>
      <c r="Z4288">
        <v>4.4071969999999997E-4</v>
      </c>
      <c r="AA4288">
        <v>0.99997630000000004</v>
      </c>
      <c r="AB4288">
        <v>36</v>
      </c>
      <c r="AC4288">
        <v>-23.878699999999899</v>
      </c>
      <c r="AD4288">
        <v>-1.11057718333</v>
      </c>
      <c r="AE4288">
        <v>1.9599999999996901E-2</v>
      </c>
      <c r="AF4288">
        <v>0.16709166233978201</v>
      </c>
      <c r="AG4288">
        <v>-1.11057718333</v>
      </c>
      <c r="AH4288">
        <v>23.826581702256</v>
      </c>
      <c r="AI4288">
        <v>92.668607848301605</v>
      </c>
      <c r="AJ4288">
        <v>89.598201276832</v>
      </c>
      <c r="AK4288">
        <v>23.853035381645601</v>
      </c>
      <c r="AL4288">
        <v>80.1325172443469</v>
      </c>
      <c r="AM4288">
        <v>90.658147220877595</v>
      </c>
      <c r="AN4288">
        <v>1.00000005490039</v>
      </c>
    </row>
    <row r="4289" spans="1:40" x14ac:dyDescent="0.25">
      <c r="A4289" t="str">
        <f>"20190312173016458"</f>
        <v>20190312173016458</v>
      </c>
      <c r="B4289" t="str">
        <f>"1552383016452444"</f>
        <v>1552383016452444</v>
      </c>
      <c r="C4289" t="s">
        <v>40</v>
      </c>
      <c r="D4289">
        <v>3.3167960000000001</v>
      </c>
      <c r="E4289">
        <v>0.50385869999999999</v>
      </c>
      <c r="F4289" t="s">
        <v>51</v>
      </c>
      <c r="G4289">
        <v>-309.20440000000002</v>
      </c>
      <c r="H4289" s="1">
        <v>-1.001159E-5</v>
      </c>
      <c r="I4289">
        <v>141.74520000000001</v>
      </c>
      <c r="J4289">
        <v>-286.22719999999998</v>
      </c>
      <c r="K4289">
        <v>1.110565</v>
      </c>
      <c r="L4289">
        <v>141.97059999999999</v>
      </c>
      <c r="M4289">
        <v>-0.99993089999999996</v>
      </c>
      <c r="N4289">
        <v>0</v>
      </c>
      <c r="O4289">
        <v>-6.918619E-3</v>
      </c>
      <c r="P4289">
        <v>-0.98665409999999998</v>
      </c>
      <c r="Q4289">
        <v>0.16189100000000001</v>
      </c>
      <c r="R4289">
        <v>-1.747274E-2</v>
      </c>
      <c r="S4289">
        <v>-3.0641780000000001</v>
      </c>
      <c r="T4289">
        <v>-0.14671789999999901</v>
      </c>
      <c r="U4289">
        <v>-3.0029299999999998E-2</v>
      </c>
      <c r="V4289">
        <v>-1.1130889999999999E-2</v>
      </c>
      <c r="W4289">
        <v>0.1712399</v>
      </c>
      <c r="X4289">
        <v>0.98516649999999995</v>
      </c>
      <c r="Y4289">
        <v>-2.88543E-3</v>
      </c>
      <c r="Z4289">
        <v>2.6204910000000002E-4</v>
      </c>
      <c r="AA4289">
        <v>0.99999579999999999</v>
      </c>
      <c r="AB4289">
        <v>36</v>
      </c>
      <c r="AC4289">
        <v>-22.9772</v>
      </c>
      <c r="AD4289">
        <v>-1.1105750115899999</v>
      </c>
      <c r="AE4289">
        <v>-0.22539999999997901</v>
      </c>
      <c r="AF4289">
        <v>-6.6262148363172998E-2</v>
      </c>
      <c r="AG4289">
        <v>-1.1105750115899999</v>
      </c>
      <c r="AH4289">
        <v>22.9246591472752</v>
      </c>
      <c r="AI4289">
        <v>92.773488895520003</v>
      </c>
      <c r="AJ4289">
        <v>90.165609043322704</v>
      </c>
      <c r="AK4289">
        <v>22.951639691913599</v>
      </c>
      <c r="AL4289">
        <v>80.140082881888802</v>
      </c>
      <c r="AM4289">
        <v>90.647328023924203</v>
      </c>
      <c r="AN4289">
        <v>1.0000000163932199</v>
      </c>
    </row>
    <row r="4290" spans="1:40" x14ac:dyDescent="0.25">
      <c r="A4290" t="str">
        <f>"20190312173016478"</f>
        <v>20190312173016478</v>
      </c>
      <c r="B4290" t="str">
        <f>"1552383016471967"</f>
        <v>1552383016471967</v>
      </c>
      <c r="C4290" t="s">
        <v>40</v>
      </c>
      <c r="D4290">
        <v>3.3293119999999998</v>
      </c>
      <c r="E4290">
        <v>0.5031137</v>
      </c>
      <c r="F4290" t="s">
        <v>51</v>
      </c>
      <c r="G4290">
        <v>-308.91520000000003</v>
      </c>
      <c r="H4290" s="1">
        <v>-9.9572489999999992E-6</v>
      </c>
      <c r="I4290">
        <v>141.7022</v>
      </c>
      <c r="J4290">
        <v>-286.54360000000003</v>
      </c>
      <c r="K4290">
        <v>1.110554</v>
      </c>
      <c r="L4290">
        <v>141.9674</v>
      </c>
      <c r="M4290">
        <v>-0.99992309999999995</v>
      </c>
      <c r="N4290">
        <v>0</v>
      </c>
      <c r="O4290">
        <v>-7.978967E-3</v>
      </c>
      <c r="P4290">
        <v>-0.98674150000000005</v>
      </c>
      <c r="Q4290">
        <v>0.1612439</v>
      </c>
      <c r="R4290">
        <v>-1.8491609999999999E-2</v>
      </c>
      <c r="S4290">
        <v>-3.0646059999999999</v>
      </c>
      <c r="T4290">
        <v>-0.1500118</v>
      </c>
      <c r="U4290">
        <v>-3.6254880000000003E-2</v>
      </c>
      <c r="V4290">
        <v>-1.1102570000000001E-2</v>
      </c>
      <c r="W4290">
        <v>0.1705882</v>
      </c>
      <c r="X4290">
        <v>0.98527989999999999</v>
      </c>
      <c r="Y4290">
        <v>-3.855158E-3</v>
      </c>
      <c r="Z4290">
        <v>2.9603650000000002E-4</v>
      </c>
      <c r="AA4290">
        <v>0.99999249999999995</v>
      </c>
      <c r="AB4290">
        <v>36</v>
      </c>
      <c r="AC4290">
        <v>-22.371600000000001</v>
      </c>
      <c r="AD4290">
        <v>-1.110563957249</v>
      </c>
      <c r="AE4290">
        <v>-0.265199999999993</v>
      </c>
      <c r="AF4290">
        <v>-8.6468200975328202E-2</v>
      </c>
      <c r="AG4290">
        <v>-1.110563957249</v>
      </c>
      <c r="AH4290">
        <v>22.318013422863899</v>
      </c>
      <c r="AI4290">
        <v>92.8487172390534</v>
      </c>
      <c r="AJ4290">
        <v>90.221983834102801</v>
      </c>
      <c r="AK4290">
        <v>22.345794955562699</v>
      </c>
      <c r="AL4290">
        <v>80.177980410308294</v>
      </c>
      <c r="AM4290">
        <v>90.645606877788694</v>
      </c>
      <c r="AN4290">
        <v>1.0000000411919201</v>
      </c>
    </row>
    <row r="4291" spans="1:40" x14ac:dyDescent="0.25">
      <c r="A4291" t="str">
        <f>"20190312173016501"</f>
        <v>20190312173016501</v>
      </c>
      <c r="B4291" t="str">
        <f>"1552383016492460"</f>
        <v>1552383016492460</v>
      </c>
      <c r="C4291" t="s">
        <v>40</v>
      </c>
      <c r="D4291">
        <v>3.287941</v>
      </c>
      <c r="E4291">
        <v>0.5028397</v>
      </c>
      <c r="F4291" t="s">
        <v>51</v>
      </c>
      <c r="G4291">
        <v>-308.48500000000001</v>
      </c>
      <c r="H4291" s="1">
        <v>-9.877012E-6</v>
      </c>
      <c r="I4291">
        <v>141.64019999999999</v>
      </c>
      <c r="J4291">
        <v>-286.92509999999999</v>
      </c>
      <c r="K4291">
        <v>1.110549</v>
      </c>
      <c r="L4291">
        <v>141.9632</v>
      </c>
      <c r="M4291">
        <v>-0.99991209999999997</v>
      </c>
      <c r="N4291">
        <v>0</v>
      </c>
      <c r="O4291">
        <v>-9.2574670000000001E-3</v>
      </c>
      <c r="P4291">
        <v>-0.98685900000000004</v>
      </c>
      <c r="Q4291">
        <v>0.16039679999999901</v>
      </c>
      <c r="R4291">
        <v>-1.9561510000000001E-2</v>
      </c>
      <c r="S4291">
        <v>-3.0647890000000002</v>
      </c>
      <c r="T4291">
        <v>-0.1551244</v>
      </c>
      <c r="U4291">
        <v>-4.5715329999999998E-2</v>
      </c>
      <c r="V4291">
        <v>-1.090781E-2</v>
      </c>
      <c r="W4291">
        <v>0.16973729999999901</v>
      </c>
      <c r="X4291">
        <v>0.985429</v>
      </c>
      <c r="Y4291">
        <v>-5.6617580000000002E-3</v>
      </c>
      <c r="Z4291">
        <v>3.2506389999999998E-4</v>
      </c>
      <c r="AA4291">
        <v>0.99998390000000004</v>
      </c>
      <c r="AB4291">
        <v>36</v>
      </c>
      <c r="AC4291">
        <v>-21.559899999999999</v>
      </c>
      <c r="AD4291">
        <v>-1.1105588770119901</v>
      </c>
      <c r="AE4291">
        <v>-0.323000000000007</v>
      </c>
      <c r="AF4291">
        <v>-0.12306065764092899</v>
      </c>
      <c r="AG4291">
        <v>-1.1105588770119901</v>
      </c>
      <c r="AH4291">
        <v>21.504919706625799</v>
      </c>
      <c r="AI4291">
        <v>92.956199017526501</v>
      </c>
      <c r="AJ4291">
        <v>90.327868201387105</v>
      </c>
      <c r="AK4291">
        <v>21.533928033064299</v>
      </c>
      <c r="AL4291">
        <v>80.227454743761896</v>
      </c>
      <c r="AM4291">
        <v>90.634186687975898</v>
      </c>
      <c r="AN4291">
        <v>1.00000002268564</v>
      </c>
    </row>
    <row r="4292" spans="1:40" x14ac:dyDescent="0.25">
      <c r="A4292" t="str">
        <f>"20190312173016513"</f>
        <v>20190312173016513</v>
      </c>
      <c r="B4292" t="str">
        <f>"1552383016511980"</f>
        <v>1552383016511980</v>
      </c>
      <c r="C4292" t="s">
        <v>40</v>
      </c>
      <c r="D4292">
        <v>3.3022670000000001</v>
      </c>
      <c r="E4292">
        <v>0.50276209999999999</v>
      </c>
      <c r="F4292" t="s">
        <v>51</v>
      </c>
      <c r="G4292">
        <v>-307.70060000000001</v>
      </c>
      <c r="H4292" s="1">
        <v>-9.7573120000000001E-6</v>
      </c>
      <c r="I4292">
        <v>141.6164</v>
      </c>
      <c r="J4292">
        <v>-287.12759999999997</v>
      </c>
      <c r="K4292">
        <v>1.110547</v>
      </c>
      <c r="L4292">
        <v>141.96080000000001</v>
      </c>
      <c r="M4292">
        <v>-0.99990559999999995</v>
      </c>
      <c r="N4292">
        <v>0</v>
      </c>
      <c r="O4292">
        <v>-9.9357600000000001E-3</v>
      </c>
      <c r="P4292">
        <v>-0.98686039999999997</v>
      </c>
      <c r="Q4292">
        <v>0.16033059999999999</v>
      </c>
      <c r="R4292">
        <v>-2.002727E-2</v>
      </c>
      <c r="S4292">
        <v>-3.065582</v>
      </c>
      <c r="T4292">
        <v>-0.1638713</v>
      </c>
      <c r="U4292">
        <v>-5.1177979999999998E-2</v>
      </c>
      <c r="V4292">
        <v>-1.0704470000000001E-2</v>
      </c>
      <c r="W4292">
        <v>0.16966909999999999</v>
      </c>
      <c r="X4292">
        <v>0.98544290000000001</v>
      </c>
      <c r="Y4292">
        <v>-6.7609330000000002E-3</v>
      </c>
      <c r="Z4292">
        <v>3.5014660000000001E-4</v>
      </c>
      <c r="AA4292">
        <v>0.99997709999999995</v>
      </c>
      <c r="AB4292">
        <v>36</v>
      </c>
      <c r="AC4292">
        <v>-20.573</v>
      </c>
      <c r="AD4292">
        <v>-1.1105567573120001</v>
      </c>
      <c r="AE4292">
        <v>-0.34440000000000698</v>
      </c>
      <c r="AF4292">
        <v>-0.13955884430167301</v>
      </c>
      <c r="AG4292">
        <v>-1.1105567573120001</v>
      </c>
      <c r="AH4292">
        <v>20.5156410593362</v>
      </c>
      <c r="AI4292">
        <v>93.098450802219006</v>
      </c>
      <c r="AJ4292">
        <v>90.389751868474093</v>
      </c>
      <c r="AK4292">
        <v>20.546151490187999</v>
      </c>
      <c r="AL4292">
        <v>80.231419103308696</v>
      </c>
      <c r="AM4292">
        <v>90.622356537842506</v>
      </c>
      <c r="AN4292">
        <v>0.99999994916659896</v>
      </c>
    </row>
    <row r="4293" spans="1:40" x14ac:dyDescent="0.25">
      <c r="A4293" t="str">
        <f>"20190312173016526"</f>
        <v>20190312173016526</v>
      </c>
      <c r="B4293" t="str">
        <f>"1552383016521740"</f>
        <v>1552383016521740</v>
      </c>
      <c r="C4293" t="s">
        <v>40</v>
      </c>
      <c r="D4293">
        <v>3.2930450000000002</v>
      </c>
      <c r="E4293">
        <v>0.50276120000000002</v>
      </c>
      <c r="F4293" t="s">
        <v>51</v>
      </c>
      <c r="G4293">
        <v>-307.42079999999999</v>
      </c>
      <c r="H4293" s="1">
        <v>-9.7151999999999998E-6</v>
      </c>
      <c r="I4293">
        <v>141.60990000000001</v>
      </c>
      <c r="J4293">
        <v>-287.32150000000001</v>
      </c>
      <c r="K4293">
        <v>1.110549</v>
      </c>
      <c r="L4293">
        <v>141.95830000000001</v>
      </c>
      <c r="M4293">
        <v>-0.99989899999999998</v>
      </c>
      <c r="N4293">
        <v>0</v>
      </c>
      <c r="O4293">
        <v>-1.058484E-2</v>
      </c>
      <c r="P4293">
        <v>-0.98686750000000001</v>
      </c>
      <c r="Q4293">
        <v>0.16021949999999999</v>
      </c>
      <c r="R4293">
        <v>-2.0558079999999999E-2</v>
      </c>
      <c r="S4293">
        <v>-3.0661320000000001</v>
      </c>
      <c r="T4293">
        <v>-0.16779569999999999</v>
      </c>
      <c r="U4293">
        <v>-5.3009029999999999E-2</v>
      </c>
      <c r="V4293">
        <v>-1.059473E-2</v>
      </c>
      <c r="W4293">
        <v>0.16955590000000001</v>
      </c>
      <c r="X4293">
        <v>0.9854636</v>
      </c>
      <c r="Y4293">
        <v>-6.7070849999999998E-3</v>
      </c>
      <c r="Z4293">
        <v>3.9541620000000001E-4</v>
      </c>
      <c r="AA4293">
        <v>0.99997740000000002</v>
      </c>
      <c r="AB4293">
        <v>36</v>
      </c>
      <c r="AC4293">
        <v>-20.0992999999999</v>
      </c>
      <c r="AD4293">
        <v>-1.1105587152</v>
      </c>
      <c r="AE4293">
        <v>-0.34839999999999799</v>
      </c>
      <c r="AF4293">
        <v>-0.13521036891433399</v>
      </c>
      <c r="AG4293">
        <v>-1.1105587152</v>
      </c>
      <c r="AH4293">
        <v>20.040696762706698</v>
      </c>
      <c r="AI4293">
        <v>93.171739544664106</v>
      </c>
      <c r="AJ4293">
        <v>90.3865567168002</v>
      </c>
      <c r="AK4293">
        <v>20.0718994925376</v>
      </c>
      <c r="AL4293">
        <v>80.238000638895002</v>
      </c>
      <c r="AM4293">
        <v>90.615963824412006</v>
      </c>
      <c r="AN4293">
        <v>0.99999997922677097</v>
      </c>
    </row>
    <row r="4294" spans="1:40" x14ac:dyDescent="0.25">
      <c r="A4294" t="str">
        <f>"20190312173016545"</f>
        <v>20190312173016545</v>
      </c>
      <c r="B4294" t="str">
        <f>"1552383016542236"</f>
        <v>1552383016542236</v>
      </c>
      <c r="C4294" t="s">
        <v>40</v>
      </c>
      <c r="D4294">
        <v>3.296802</v>
      </c>
      <c r="E4294">
        <v>0.50270519999999996</v>
      </c>
      <c r="F4294" t="s">
        <v>51</v>
      </c>
      <c r="G4294">
        <v>-307.39210000000003</v>
      </c>
      <c r="H4294" s="1">
        <v>-9.7082389999999997E-6</v>
      </c>
      <c r="I4294">
        <v>141.60040000000001</v>
      </c>
      <c r="J4294">
        <v>-287.6352</v>
      </c>
      <c r="K4294">
        <v>1.110549</v>
      </c>
      <c r="L4294">
        <v>141.95410000000001</v>
      </c>
      <c r="M4294">
        <v>-0.99988730000000003</v>
      </c>
      <c r="N4294">
        <v>0</v>
      </c>
      <c r="O4294">
        <v>-1.1632160000000001E-2</v>
      </c>
      <c r="P4294">
        <v>-0.9867013</v>
      </c>
      <c r="Q4294">
        <v>0.16116620000000001</v>
      </c>
      <c r="R4294">
        <v>-2.1123469999999998E-2</v>
      </c>
      <c r="S4294">
        <v>-3.066284</v>
      </c>
      <c r="T4294">
        <v>-0.16966510000000001</v>
      </c>
      <c r="U4294">
        <v>-5.46875E-2</v>
      </c>
      <c r="V4294">
        <v>-1.013115E-2</v>
      </c>
      <c r="W4294">
        <v>0.1704938</v>
      </c>
      <c r="X4294">
        <v>0.98530669999999998</v>
      </c>
      <c r="Y4294">
        <v>-6.2085250000000003E-3</v>
      </c>
      <c r="Z4294">
        <v>4.714729E-4</v>
      </c>
      <c r="AA4294">
        <v>0.9999806</v>
      </c>
      <c r="AB4294">
        <v>37</v>
      </c>
      <c r="AC4294">
        <v>-19.756900000000002</v>
      </c>
      <c r="AD4294">
        <v>-1.110558708239</v>
      </c>
      <c r="AE4294">
        <v>-0.35370000000000301</v>
      </c>
      <c r="AF4294">
        <v>-0.123460322233558</v>
      </c>
      <c r="AG4294">
        <v>-1.110558708239</v>
      </c>
      <c r="AH4294">
        <v>19.697459626420301</v>
      </c>
      <c r="AI4294">
        <v>93.226902753275397</v>
      </c>
      <c r="AJ4294">
        <v>90.359115485204597</v>
      </c>
      <c r="AK4294">
        <v>19.729128182209902</v>
      </c>
      <c r="AL4294">
        <v>80.183469478463095</v>
      </c>
      <c r="AM4294">
        <v>90.589107616187704</v>
      </c>
      <c r="AN4294">
        <v>1.0000000345518201</v>
      </c>
    </row>
    <row r="4295" spans="1:40" x14ac:dyDescent="0.25">
      <c r="A4295" t="str">
        <f>"20190312173016568"</f>
        <v>20190312173016568</v>
      </c>
      <c r="B4295" t="str">
        <f>"1552383016561756"</f>
        <v>1552383016561756</v>
      </c>
      <c r="C4295" t="s">
        <v>40</v>
      </c>
      <c r="D4295">
        <v>3.300106</v>
      </c>
      <c r="E4295">
        <v>0.50263649999999904</v>
      </c>
      <c r="F4295" t="s">
        <v>51</v>
      </c>
      <c r="G4295">
        <v>-307.85210000000001</v>
      </c>
      <c r="H4295" s="1">
        <v>-9.7672429999999995E-6</v>
      </c>
      <c r="I4295">
        <v>141.57669999999999</v>
      </c>
      <c r="J4295">
        <v>-288.01650000000001</v>
      </c>
      <c r="K4295">
        <v>1.1105430000000001</v>
      </c>
      <c r="L4295">
        <v>141.9485</v>
      </c>
      <c r="M4295">
        <v>-0.99987199999999998</v>
      </c>
      <c r="N4295">
        <v>0</v>
      </c>
      <c r="O4295">
        <v>-1.2894930000000001E-2</v>
      </c>
      <c r="P4295">
        <v>-0.9867243</v>
      </c>
      <c r="Q4295">
        <v>0.16091939999999999</v>
      </c>
      <c r="R4295">
        <v>-2.191941E-2</v>
      </c>
      <c r="S4295">
        <v>-3.0667420000000001</v>
      </c>
      <c r="T4295">
        <v>-0.16846320000000001</v>
      </c>
      <c r="U4295">
        <v>-5.725098E-2</v>
      </c>
      <c r="V4295">
        <v>-9.6786660000000007E-3</v>
      </c>
      <c r="W4295">
        <v>0.17023720000000001</v>
      </c>
      <c r="X4295">
        <v>0.9853556</v>
      </c>
      <c r="Y4295">
        <v>-5.7809999999999997E-3</v>
      </c>
      <c r="Z4295">
        <v>5.4910050000000002E-4</v>
      </c>
      <c r="AA4295">
        <v>0.99998310000000001</v>
      </c>
      <c r="AB4295">
        <v>37</v>
      </c>
      <c r="AC4295">
        <v>-19.835599999999999</v>
      </c>
      <c r="AD4295">
        <v>-1.110552767243</v>
      </c>
      <c r="AE4295">
        <v>-0.37180000000000701</v>
      </c>
      <c r="AF4295">
        <v>-0.11561664879848001</v>
      </c>
      <c r="AG4295">
        <v>-1.110552767243</v>
      </c>
      <c r="AH4295">
        <v>19.776773909859902</v>
      </c>
      <c r="AI4295">
        <v>93.213979556551294</v>
      </c>
      <c r="AJ4295">
        <v>90.334952029248598</v>
      </c>
      <c r="AK4295">
        <v>19.8082679944518</v>
      </c>
      <c r="AL4295">
        <v>80.198389546996793</v>
      </c>
      <c r="AM4295">
        <v>90.562770313183606</v>
      </c>
      <c r="AN4295">
        <v>1.00000001964536</v>
      </c>
    </row>
    <row r="4296" spans="1:40" x14ac:dyDescent="0.25">
      <c r="A4296" t="str">
        <f>"20190312173016592"</f>
        <v>20190312173016592</v>
      </c>
      <c r="B4296" t="str">
        <f>"1552383016582252"</f>
        <v>1552383016582252</v>
      </c>
      <c r="C4296" t="s">
        <v>40</v>
      </c>
      <c r="D4296">
        <v>3.2945259999999998</v>
      </c>
      <c r="E4296">
        <v>0.50260509999999903</v>
      </c>
      <c r="F4296" t="s">
        <v>51</v>
      </c>
      <c r="G4296">
        <v>-307.92500000000001</v>
      </c>
      <c r="H4296" s="1">
        <v>-9.7716710000000007E-6</v>
      </c>
      <c r="I4296">
        <v>141.55629999999999</v>
      </c>
      <c r="J4296">
        <v>-288.39060000000001</v>
      </c>
      <c r="K4296">
        <v>1.110527</v>
      </c>
      <c r="L4296">
        <v>141.9426</v>
      </c>
      <c r="M4296">
        <v>-0.99985559999999996</v>
      </c>
      <c r="N4296">
        <v>0</v>
      </c>
      <c r="O4296">
        <v>-1.4118520000000001E-2</v>
      </c>
      <c r="P4296">
        <v>-0.98664459999999998</v>
      </c>
      <c r="Q4296">
        <v>0.1612151</v>
      </c>
      <c r="R4296">
        <v>-2.3288590000000001E-2</v>
      </c>
      <c r="S4296">
        <v>-3.0668950000000001</v>
      </c>
      <c r="T4296">
        <v>-0.17107999999999901</v>
      </c>
      <c r="U4296">
        <v>-6.0409549999999999E-2</v>
      </c>
      <c r="V4296">
        <v>-9.8393390000000008E-3</v>
      </c>
      <c r="W4296">
        <v>0.17051910000000001</v>
      </c>
      <c r="X4296">
        <v>0.98530519999999999</v>
      </c>
      <c r="Y4296">
        <v>-5.5883560000000001E-3</v>
      </c>
      <c r="Z4296">
        <v>6.3114029999999997E-4</v>
      </c>
      <c r="AA4296">
        <v>0.99998419999999999</v>
      </c>
      <c r="AB4296">
        <v>37</v>
      </c>
      <c r="AC4296">
        <v>-19.534400000000002</v>
      </c>
      <c r="AD4296">
        <v>-1.110536771671</v>
      </c>
      <c r="AE4296">
        <v>-0.38630000000000497</v>
      </c>
      <c r="AF4296">
        <v>-0.110096652412529</v>
      </c>
      <c r="AG4296">
        <v>-1.110536771671</v>
      </c>
      <c r="AH4296">
        <v>19.474989289386102</v>
      </c>
      <c r="AI4296">
        <v>93.263633276937497</v>
      </c>
      <c r="AJ4296">
        <v>90.323902941835399</v>
      </c>
      <c r="AK4296">
        <v>19.506937766236199</v>
      </c>
      <c r="AL4296">
        <v>80.181997580062799</v>
      </c>
      <c r="AM4296">
        <v>90.572141362429505</v>
      </c>
      <c r="AN4296">
        <v>0.999999956601902</v>
      </c>
    </row>
    <row r="4297" spans="1:40" x14ac:dyDescent="0.25">
      <c r="A4297" t="str">
        <f>"20190312173016613"</f>
        <v>20190312173016613</v>
      </c>
      <c r="B4297" t="str">
        <f>"1552383016601774"</f>
        <v>1552383016601774</v>
      </c>
      <c r="C4297" t="s">
        <v>40</v>
      </c>
      <c r="D4297">
        <v>3.2710279999999998</v>
      </c>
      <c r="E4297">
        <v>0.50249120000000003</v>
      </c>
      <c r="F4297" t="s">
        <v>51</v>
      </c>
      <c r="G4297">
        <v>-308.25599999999997</v>
      </c>
      <c r="H4297" s="1">
        <v>-9.8093809999999993E-6</v>
      </c>
      <c r="I4297">
        <v>141.52330000000001</v>
      </c>
      <c r="J4297">
        <v>-288.74369999999999</v>
      </c>
      <c r="K4297">
        <v>1.1105119999999999</v>
      </c>
      <c r="L4297">
        <v>141.9366</v>
      </c>
      <c r="M4297">
        <v>-0.99983920000000004</v>
      </c>
      <c r="N4297">
        <v>0</v>
      </c>
      <c r="O4297">
        <v>-1.524842E-2</v>
      </c>
      <c r="P4297">
        <v>-0.98662349999999999</v>
      </c>
      <c r="Q4297">
        <v>0.16121669999999999</v>
      </c>
      <c r="R4297">
        <v>-2.415575E-2</v>
      </c>
      <c r="S4297">
        <v>-3.067078</v>
      </c>
      <c r="T4297">
        <v>-0.17145839999999901</v>
      </c>
      <c r="U4297">
        <v>-6.4727779999999999E-2</v>
      </c>
      <c r="V4297">
        <v>-9.5856510000000006E-3</v>
      </c>
      <c r="W4297">
        <v>0.17050689999999999</v>
      </c>
      <c r="X4297">
        <v>0.98530980000000001</v>
      </c>
      <c r="Y4297">
        <v>-5.8658410000000001E-3</v>
      </c>
      <c r="Z4297">
        <v>6.8783709999999999E-4</v>
      </c>
      <c r="AA4297">
        <v>0.9999825</v>
      </c>
      <c r="AB4297">
        <v>37</v>
      </c>
      <c r="AC4297">
        <v>-19.5122999999999</v>
      </c>
      <c r="AD4297">
        <v>-1.1105218093809901</v>
      </c>
      <c r="AE4297">
        <v>-0.41329999999999201</v>
      </c>
      <c r="AF4297">
        <v>-0.115333527940873</v>
      </c>
      <c r="AG4297">
        <v>-1.1105218093809901</v>
      </c>
      <c r="AH4297">
        <v>19.453348719457999</v>
      </c>
      <c r="AI4297">
        <v>93.267206867676194</v>
      </c>
      <c r="AJ4297">
        <v>90.339686861096496</v>
      </c>
      <c r="AK4297">
        <v>19.485362119104099</v>
      </c>
      <c r="AL4297">
        <v>80.182706860558199</v>
      </c>
      <c r="AM4297">
        <v>90.557388163884596</v>
      </c>
      <c r="AN4297">
        <v>0.99999994481437005</v>
      </c>
    </row>
    <row r="4298" spans="1:40" x14ac:dyDescent="0.25">
      <c r="A4298" t="str">
        <f>"20190312173016626"</f>
        <v>20190312173016626</v>
      </c>
      <c r="B4298" t="str">
        <f>"1552383016622269"</f>
        <v>1552383016622269</v>
      </c>
      <c r="C4298" t="s">
        <v>40</v>
      </c>
      <c r="D4298">
        <v>3.2802199999999999</v>
      </c>
      <c r="E4298">
        <v>0.50237739999999997</v>
      </c>
      <c r="F4298" t="s">
        <v>51</v>
      </c>
      <c r="G4298">
        <v>-308.51029999999997</v>
      </c>
      <c r="H4298" s="1">
        <v>-9.8381169999999997E-6</v>
      </c>
      <c r="I4298">
        <v>141.49719999999999</v>
      </c>
      <c r="J4298">
        <v>-288.96010000000001</v>
      </c>
      <c r="K4298">
        <v>1.1104959999999999</v>
      </c>
      <c r="L4298">
        <v>141.93270000000001</v>
      </c>
      <c r="M4298">
        <v>-0.99982879999999996</v>
      </c>
      <c r="N4298">
        <v>0</v>
      </c>
      <c r="O4298">
        <v>-1.592323E-2</v>
      </c>
      <c r="P4298">
        <v>-0.98658869999999999</v>
      </c>
      <c r="Q4298">
        <v>0.16134899999999999</v>
      </c>
      <c r="R4298">
        <v>-2.46912E-2</v>
      </c>
      <c r="S4298">
        <v>-3.0671689999999998</v>
      </c>
      <c r="T4298">
        <v>-0.17231969999999999</v>
      </c>
      <c r="U4298">
        <v>-6.8176269999999997E-2</v>
      </c>
      <c r="V4298">
        <v>-9.4496649999999995E-3</v>
      </c>
      <c r="W4298">
        <v>0.17062959999999999</v>
      </c>
      <c r="X4298">
        <v>0.98528990000000005</v>
      </c>
      <c r="Y4298">
        <v>-6.3145819999999896E-3</v>
      </c>
      <c r="Z4298">
        <v>7.1653429999999903E-4</v>
      </c>
      <c r="AA4298">
        <v>0.99997979999999997</v>
      </c>
      <c r="AB4298">
        <v>37</v>
      </c>
      <c r="AC4298">
        <v>-19.550199999999901</v>
      </c>
      <c r="AD4298">
        <v>-1.1105058381170001</v>
      </c>
      <c r="AE4298">
        <v>-0.43550000000001798</v>
      </c>
      <c r="AF4298">
        <v>-0.123729601463007</v>
      </c>
      <c r="AG4298">
        <v>-1.1105058381170001</v>
      </c>
      <c r="AH4298">
        <v>19.491795838706899</v>
      </c>
      <c r="AI4298">
        <v>93.260721133703399</v>
      </c>
      <c r="AJ4298">
        <v>90.363696029229303</v>
      </c>
      <c r="AK4298">
        <v>19.523796691437902</v>
      </c>
      <c r="AL4298">
        <v>80.175572382250607</v>
      </c>
      <c r="AM4298">
        <v>90.549492410990595</v>
      </c>
      <c r="AN4298">
        <v>0.99999997180338995</v>
      </c>
    </row>
    <row r="4299" spans="1:40" x14ac:dyDescent="0.25">
      <c r="A4299" t="str">
        <f>"20190312173016640"</f>
        <v>20190312173016640</v>
      </c>
      <c r="B4299" t="str">
        <f>"1552383016632029"</f>
        <v>1552383016632029</v>
      </c>
      <c r="C4299" t="s">
        <v>40</v>
      </c>
      <c r="D4299">
        <v>3.2817219999999998</v>
      </c>
      <c r="E4299">
        <v>0.50233409999999901</v>
      </c>
      <c r="F4299" t="s">
        <v>51</v>
      </c>
      <c r="G4299">
        <v>-308.66039999999998</v>
      </c>
      <c r="H4299" s="1">
        <v>-9.8543660000000004E-6</v>
      </c>
      <c r="I4299">
        <v>141.47929999999999</v>
      </c>
      <c r="J4299">
        <v>-289.2054</v>
      </c>
      <c r="K4299">
        <v>1.1104670000000001</v>
      </c>
      <c r="L4299">
        <v>141.9282</v>
      </c>
      <c r="M4299">
        <v>-0.99981699999999996</v>
      </c>
      <c r="N4299">
        <v>0</v>
      </c>
      <c r="O4299">
        <v>-1.666132E-2</v>
      </c>
      <c r="P4299">
        <v>-0.9865756</v>
      </c>
      <c r="Q4299">
        <v>0.16132389999999999</v>
      </c>
      <c r="R4299">
        <v>-2.5376059999999999E-2</v>
      </c>
      <c r="S4299">
        <v>-3.0672609999999998</v>
      </c>
      <c r="T4299">
        <v>-0.17290150000000001</v>
      </c>
      <c r="U4299">
        <v>-7.0587159999999996E-2</v>
      </c>
      <c r="V4299">
        <v>-9.3975719999999999E-3</v>
      </c>
      <c r="W4299">
        <v>0.17059479999999999</v>
      </c>
      <c r="X4299">
        <v>0.98529639999999996</v>
      </c>
      <c r="Y4299">
        <v>-6.3625039999999997E-3</v>
      </c>
      <c r="Z4299">
        <v>7.5913239999999996E-4</v>
      </c>
      <c r="AA4299">
        <v>0.99997950000000002</v>
      </c>
      <c r="AB4299">
        <v>37</v>
      </c>
      <c r="AC4299">
        <v>-19.454999999999899</v>
      </c>
      <c r="AD4299">
        <v>-1.110476854366</v>
      </c>
      <c r="AE4299">
        <v>-0.44890000000000801</v>
      </c>
      <c r="AF4299">
        <v>-0.124272709357622</v>
      </c>
      <c r="AG4299">
        <v>-1.110476854366</v>
      </c>
      <c r="AH4299">
        <v>19.3966174720494</v>
      </c>
      <c r="AI4299">
        <v>93.276600005809996</v>
      </c>
      <c r="AJ4299">
        <v>90.367084845649103</v>
      </c>
      <c r="AK4299">
        <v>19.428776901992201</v>
      </c>
      <c r="AL4299">
        <v>80.177595708260498</v>
      </c>
      <c r="AM4299">
        <v>90.5464598133658</v>
      </c>
      <c r="AN4299">
        <v>0.99999994799974601</v>
      </c>
    </row>
    <row r="4300" spans="1:40" x14ac:dyDescent="0.25">
      <c r="A4300" t="str">
        <f>"20190312173016657"</f>
        <v>20190312173016657</v>
      </c>
      <c r="B4300" t="str">
        <f>"1552383016651548"</f>
        <v>1552383016651548</v>
      </c>
      <c r="C4300" t="s">
        <v>40</v>
      </c>
      <c r="D4300">
        <v>3.2789190000000001</v>
      </c>
      <c r="E4300">
        <v>0.5023512</v>
      </c>
      <c r="F4300" t="s">
        <v>51</v>
      </c>
      <c r="G4300">
        <v>-308.8329</v>
      </c>
      <c r="H4300" s="1">
        <v>-9.8732679999999999E-6</v>
      </c>
      <c r="I4300">
        <v>141.45959999999999</v>
      </c>
      <c r="J4300">
        <v>-289.46859999999998</v>
      </c>
      <c r="K4300">
        <v>1.1104309999999999</v>
      </c>
      <c r="L4300">
        <v>141.92310000000001</v>
      </c>
      <c r="M4300">
        <v>-0.99980420000000003</v>
      </c>
      <c r="N4300">
        <v>0</v>
      </c>
      <c r="O4300">
        <v>-1.7410680000000001E-2</v>
      </c>
      <c r="P4300">
        <v>-0.98655029999999999</v>
      </c>
      <c r="Q4300">
        <v>0.16135829999999901</v>
      </c>
      <c r="R4300">
        <v>-2.611165E-2</v>
      </c>
      <c r="S4300">
        <v>-3.0673219999999999</v>
      </c>
      <c r="T4300">
        <v>-0.1735419</v>
      </c>
      <c r="U4300">
        <v>-7.3226929999999996E-2</v>
      </c>
      <c r="V4300">
        <v>-9.3796780000000007E-3</v>
      </c>
      <c r="W4300">
        <v>0.1706192</v>
      </c>
      <c r="X4300">
        <v>0.98529239999999996</v>
      </c>
      <c r="Y4300">
        <v>-6.4738159999999899E-3</v>
      </c>
      <c r="Z4300">
        <v>8.0111940000000001E-4</v>
      </c>
      <c r="AA4300">
        <v>0.9999787</v>
      </c>
      <c r="AB4300">
        <v>37</v>
      </c>
      <c r="AC4300">
        <v>-19.3643</v>
      </c>
      <c r="AD4300">
        <v>-1.110440873268</v>
      </c>
      <c r="AE4300">
        <v>-0.46350000000001002</v>
      </c>
      <c r="AF4300">
        <v>-0.12585557009549</v>
      </c>
      <c r="AG4300">
        <v>-1.110440873268</v>
      </c>
      <c r="AH4300">
        <v>19.305984923606999</v>
      </c>
      <c r="AI4300">
        <v>93.291839547488493</v>
      </c>
      <c r="AJ4300">
        <v>90.373505463547502</v>
      </c>
      <c r="AK4300">
        <v>19.338303245840599</v>
      </c>
      <c r="AL4300">
        <v>80.176177422200098</v>
      </c>
      <c r="AM4300">
        <v>90.545421571428406</v>
      </c>
      <c r="AN4300">
        <v>1.00000000163289</v>
      </c>
    </row>
    <row r="4301" spans="1:40" x14ac:dyDescent="0.25">
      <c r="A4301" t="str">
        <f>"20190312173016691"</f>
        <v>20190312173016691</v>
      </c>
      <c r="B4301" t="str">
        <f>"1552383016681808"</f>
        <v>1552383016681808</v>
      </c>
      <c r="C4301" t="s">
        <v>40</v>
      </c>
      <c r="D4301">
        <v>3.2915169999999998</v>
      </c>
      <c r="E4301">
        <v>0.50239809999999996</v>
      </c>
      <c r="F4301" t="s">
        <v>51</v>
      </c>
      <c r="G4301">
        <v>-309.00779999999997</v>
      </c>
      <c r="H4301" s="1">
        <v>-9.8940230000000001E-6</v>
      </c>
      <c r="I4301">
        <v>141.44489999999999</v>
      </c>
      <c r="J4301">
        <v>-290.03489999999999</v>
      </c>
      <c r="K4301">
        <v>1.110314</v>
      </c>
      <c r="L4301">
        <v>141.9118</v>
      </c>
      <c r="M4301">
        <v>-0.99977830000000001</v>
      </c>
      <c r="N4301">
        <v>0</v>
      </c>
      <c r="O4301">
        <v>-1.8848460000000001E-2</v>
      </c>
      <c r="P4301">
        <v>-0.98653809999999997</v>
      </c>
      <c r="Q4301">
        <v>0.16117110000000001</v>
      </c>
      <c r="R4301">
        <v>-2.7690920000000001E-2</v>
      </c>
      <c r="S4301">
        <v>-3.0674130000000002</v>
      </c>
      <c r="T4301">
        <v>-0.17432510000000001</v>
      </c>
      <c r="U4301">
        <v>-7.5073239999999999E-2</v>
      </c>
      <c r="V4301">
        <v>-9.4932599999999999E-3</v>
      </c>
      <c r="W4301">
        <v>0.17040640000000001</v>
      </c>
      <c r="X4301">
        <v>0.98532810000000004</v>
      </c>
      <c r="Y4301">
        <v>-5.6404180000000003E-3</v>
      </c>
      <c r="Z4301">
        <v>9.0997440000000005E-4</v>
      </c>
      <c r="AA4301">
        <v>0.99998370000000003</v>
      </c>
      <c r="AB4301">
        <v>37</v>
      </c>
      <c r="AC4301">
        <v>-18.9728999999999</v>
      </c>
      <c r="AD4301">
        <v>-1.110323894023</v>
      </c>
      <c r="AE4301">
        <v>-0.46690000000000897</v>
      </c>
      <c r="AF4301">
        <v>-0.10881889619196899</v>
      </c>
      <c r="AG4301">
        <v>-1.110323894023</v>
      </c>
      <c r="AH4301">
        <v>18.913594353289799</v>
      </c>
      <c r="AI4301">
        <v>93.359641358926197</v>
      </c>
      <c r="AJ4301">
        <v>90.329646209572999</v>
      </c>
      <c r="AK4301">
        <v>18.946469646417</v>
      </c>
      <c r="AL4301">
        <v>80.188550798047402</v>
      </c>
      <c r="AM4301">
        <v>90.552005877731105</v>
      </c>
      <c r="AN4301">
        <v>0.99999996389799795</v>
      </c>
    </row>
    <row r="4302" spans="1:40" x14ac:dyDescent="0.25">
      <c r="A4302" t="str">
        <f>"20190312173016714"</f>
        <v>20190312173016714</v>
      </c>
      <c r="B4302" t="str">
        <f>"1552383016702301"</f>
        <v>1552383016702301</v>
      </c>
      <c r="C4302" t="s">
        <v>40</v>
      </c>
      <c r="D4302">
        <v>3.2830020000000002</v>
      </c>
      <c r="E4302">
        <v>0.50245680000000004</v>
      </c>
      <c r="F4302" t="s">
        <v>51</v>
      </c>
      <c r="G4302">
        <v>-309.33679999999998</v>
      </c>
      <c r="H4302" s="1">
        <v>-9.931625E-6</v>
      </c>
      <c r="I4302">
        <v>141.41249999999999</v>
      </c>
      <c r="J4302">
        <v>-290.40199999999999</v>
      </c>
      <c r="K4302">
        <v>1.11022</v>
      </c>
      <c r="L4302">
        <v>141.9042</v>
      </c>
      <c r="M4302">
        <v>-0.99976339999999997</v>
      </c>
      <c r="N4302">
        <v>0</v>
      </c>
      <c r="O4302">
        <v>-1.96372E-2</v>
      </c>
      <c r="P4302">
        <v>-0.98648360000000002</v>
      </c>
      <c r="Q4302">
        <v>0.16148289999999901</v>
      </c>
      <c r="R4302">
        <v>-2.7812300000000002E-2</v>
      </c>
      <c r="S4302">
        <v>-3.0675050000000001</v>
      </c>
      <c r="T4302">
        <v>-0.1764561</v>
      </c>
      <c r="U4302">
        <v>-7.9345700000000005E-2</v>
      </c>
      <c r="V4302">
        <v>-8.8016650000000002E-3</v>
      </c>
      <c r="W4302">
        <v>0.17070150000000001</v>
      </c>
      <c r="X4302">
        <v>0.98528349999999998</v>
      </c>
      <c r="Y4302">
        <v>-6.2435279999999999E-3</v>
      </c>
      <c r="Z4302">
        <v>9.4901920000000002E-4</v>
      </c>
      <c r="AA4302">
        <v>0.99997999999999998</v>
      </c>
      <c r="AB4302">
        <v>37</v>
      </c>
      <c r="AC4302">
        <v>-18.934799999999999</v>
      </c>
      <c r="AD4302">
        <v>-1.1102299316249999</v>
      </c>
      <c r="AE4302">
        <v>-0.49170000000000802</v>
      </c>
      <c r="AF4302">
        <v>-0.119352394759833</v>
      </c>
      <c r="AG4302">
        <v>-1.1102299316249999</v>
      </c>
      <c r="AH4302">
        <v>18.8759529698359</v>
      </c>
      <c r="AI4302">
        <v>93.366029806065896</v>
      </c>
      <c r="AJ4302">
        <v>90.362275609308199</v>
      </c>
      <c r="AK4302">
        <v>18.908951742882699</v>
      </c>
      <c r="AL4302">
        <v>80.1713919896617</v>
      </c>
      <c r="AM4302">
        <v>90.511816998216204</v>
      </c>
      <c r="AN4302">
        <v>1.0000000233906301</v>
      </c>
    </row>
    <row r="4303" spans="1:40" x14ac:dyDescent="0.25">
      <c r="A4303" t="str">
        <f>"20190312173016734"</f>
        <v>20190312173016734</v>
      </c>
      <c r="B4303" t="str">
        <f>"1552383016731581"</f>
        <v>1552383016731581</v>
      </c>
      <c r="C4303" t="s">
        <v>40</v>
      </c>
      <c r="D4303">
        <v>3.3053370000000002</v>
      </c>
      <c r="E4303">
        <v>0.50251880000000004</v>
      </c>
      <c r="F4303" t="s">
        <v>51</v>
      </c>
      <c r="G4303">
        <v>-309.6823</v>
      </c>
      <c r="H4303" s="1">
        <v>-9.9790069999999996E-6</v>
      </c>
      <c r="I4303">
        <v>141.405</v>
      </c>
      <c r="J4303">
        <v>-290.74650000000003</v>
      </c>
      <c r="K4303">
        <v>1.110131</v>
      </c>
      <c r="L4303">
        <v>141.89689999999999</v>
      </c>
      <c r="M4303">
        <v>-0.9997509</v>
      </c>
      <c r="N4303">
        <v>0</v>
      </c>
      <c r="O4303">
        <v>-2.0269189999999999E-2</v>
      </c>
      <c r="P4303">
        <v>-0.98650400000000005</v>
      </c>
      <c r="Q4303">
        <v>0.1613327</v>
      </c>
      <c r="R4303">
        <v>-2.796123E-2</v>
      </c>
      <c r="S4303">
        <v>-3.06778</v>
      </c>
      <c r="T4303">
        <v>-0.17665429999999999</v>
      </c>
      <c r="U4303">
        <v>-7.9422000000000006E-2</v>
      </c>
      <c r="V4303">
        <v>-8.2883939999999993E-3</v>
      </c>
      <c r="W4303">
        <v>0.17053560000000001</v>
      </c>
      <c r="X4303">
        <v>0.98531659999999999</v>
      </c>
      <c r="Y4303">
        <v>-5.6360250000000002E-3</v>
      </c>
      <c r="Z4303">
        <v>1.0038200000000001E-3</v>
      </c>
      <c r="AA4303">
        <v>0.99998359999999997</v>
      </c>
      <c r="AB4303">
        <v>37</v>
      </c>
      <c r="AC4303">
        <v>-18.935799999999901</v>
      </c>
      <c r="AD4303">
        <v>-1.110140979007</v>
      </c>
      <c r="AE4303">
        <v>-0.49189999999998602</v>
      </c>
      <c r="AF4303">
        <v>-0.107599275203556</v>
      </c>
      <c r="AG4303">
        <v>-1.110140979007</v>
      </c>
      <c r="AH4303">
        <v>18.8770422700883</v>
      </c>
      <c r="AI4303">
        <v>93.365579536687903</v>
      </c>
      <c r="AJ4303">
        <v>90.326582813873998</v>
      </c>
      <c r="AK4303">
        <v>18.9099633913976</v>
      </c>
      <c r="AL4303">
        <v>80.181038034603702</v>
      </c>
      <c r="AM4303">
        <v>90.481955540493402</v>
      </c>
      <c r="AN4303">
        <v>0.99999994528900804</v>
      </c>
    </row>
    <row r="4304" spans="1:40" x14ac:dyDescent="0.25">
      <c r="A4304" t="str">
        <f>"20190312173016757"</f>
        <v>20190312173016757</v>
      </c>
      <c r="B4304" t="str">
        <f>"1552383016752077"</f>
        <v>1552383016752077</v>
      </c>
      <c r="C4304" t="s">
        <v>40</v>
      </c>
      <c r="D4304">
        <v>3.3368890000000002</v>
      </c>
      <c r="E4304">
        <v>0.4839405</v>
      </c>
      <c r="F4304" t="s">
        <v>51</v>
      </c>
      <c r="G4304">
        <v>-309.84969999999998</v>
      </c>
      <c r="H4304" s="1">
        <v>-1.0001960000000001E-5</v>
      </c>
      <c r="I4304">
        <v>141.4014</v>
      </c>
      <c r="J4304">
        <v>-291.12509999999997</v>
      </c>
      <c r="K4304">
        <v>1.110012</v>
      </c>
      <c r="L4304">
        <v>141.8887</v>
      </c>
      <c r="M4304">
        <v>-0.99973979999999996</v>
      </c>
      <c r="N4304">
        <v>0</v>
      </c>
      <c r="O4304">
        <v>-2.0817100000000002E-2</v>
      </c>
      <c r="P4304">
        <v>-0.98649940000000003</v>
      </c>
      <c r="Q4304">
        <v>0.16141920000000001</v>
      </c>
      <c r="R4304">
        <v>-2.7617599999999999E-2</v>
      </c>
      <c r="S4304">
        <v>-3.0679020000000001</v>
      </c>
      <c r="T4304">
        <v>-0.1782839</v>
      </c>
      <c r="U4304">
        <v>-7.9574580000000006E-2</v>
      </c>
      <c r="V4304">
        <v>-7.3580290000000003E-3</v>
      </c>
      <c r="W4304">
        <v>0.170602799999999</v>
      </c>
      <c r="X4304">
        <v>0.98531239999999998</v>
      </c>
      <c r="Y4304">
        <v>-5.1388720000000001E-3</v>
      </c>
      <c r="Z4304">
        <v>1.059255E-3</v>
      </c>
      <c r="AA4304">
        <v>0.99998620000000005</v>
      </c>
      <c r="AB4304">
        <v>37</v>
      </c>
      <c r="AC4304">
        <v>-18.724599999999999</v>
      </c>
      <c r="AD4304">
        <v>-1.11002200196</v>
      </c>
      <c r="AE4304">
        <v>-0.48730000000000401</v>
      </c>
      <c r="AF4304">
        <v>-9.7044756334028495E-2</v>
      </c>
      <c r="AG4304">
        <v>-1.11002200196</v>
      </c>
      <c r="AH4304">
        <v>18.665136274924802</v>
      </c>
      <c r="AI4304">
        <v>93.403345096622601</v>
      </c>
      <c r="AJ4304">
        <v>90.297892540333294</v>
      </c>
      <c r="AK4304">
        <v>18.6983656689852</v>
      </c>
      <c r="AL4304">
        <v>80.177130946999398</v>
      </c>
      <c r="AM4304">
        <v>90.427860413318101</v>
      </c>
      <c r="AN4304">
        <v>0.99999999077618196</v>
      </c>
    </row>
    <row r="4305" spans="1:40" x14ac:dyDescent="0.25">
      <c r="A4305" t="str">
        <f>"20190312173016782"</f>
        <v>20190312173016782</v>
      </c>
      <c r="B4305" t="str">
        <f>"1552383016772572"</f>
        <v>1552383016772572</v>
      </c>
      <c r="C4305" t="s">
        <v>40</v>
      </c>
      <c r="D4305">
        <v>3.325221</v>
      </c>
      <c r="E4305">
        <v>0.48384470000000002</v>
      </c>
      <c r="F4305" t="s">
        <v>51</v>
      </c>
      <c r="G4305">
        <v>-319.36829999999998</v>
      </c>
      <c r="H4305" s="1">
        <v>-5.6975509999999996E-6</v>
      </c>
      <c r="I4305">
        <v>139.80269999999999</v>
      </c>
      <c r="J4305">
        <v>-291.53309999999999</v>
      </c>
      <c r="K4305">
        <v>1.109866</v>
      </c>
      <c r="L4305">
        <v>141.87979999999999</v>
      </c>
      <c r="M4305">
        <v>-0.9997315</v>
      </c>
      <c r="N4305">
        <v>0</v>
      </c>
      <c r="O4305">
        <v>-2.1229930000000001E-2</v>
      </c>
      <c r="P4305">
        <v>-0.98646509999999998</v>
      </c>
      <c r="Q4305">
        <v>0.16164029999999999</v>
      </c>
      <c r="R4305">
        <v>-2.755664E-2</v>
      </c>
      <c r="S4305">
        <v>-3.0543819999999999</v>
      </c>
      <c r="T4305">
        <v>-0.1200435</v>
      </c>
      <c r="U4305">
        <v>-0.22558590000000001</v>
      </c>
      <c r="V4305">
        <v>-6.8358019999999898E-3</v>
      </c>
      <c r="W4305">
        <v>0.17080339999999999</v>
      </c>
      <c r="X4305">
        <v>0.98528139999999997</v>
      </c>
      <c r="Y4305">
        <v>-5.2442130000000003E-2</v>
      </c>
      <c r="Z4305">
        <v>-1.9599379999999999E-4</v>
      </c>
      <c r="AA4305">
        <v>0.99862399999999996</v>
      </c>
      <c r="AB4305">
        <v>37</v>
      </c>
      <c r="AC4305">
        <v>-27.835199999999901</v>
      </c>
      <c r="AD4305">
        <v>-1.1098716975509999</v>
      </c>
      <c r="AE4305">
        <v>-2.0771000000000002</v>
      </c>
      <c r="AF4305">
        <v>-1.4833217939936001</v>
      </c>
      <c r="AG4305">
        <v>-1.1098716975509999</v>
      </c>
      <c r="AH4305">
        <v>27.829025493585402</v>
      </c>
      <c r="AI4305">
        <v>92.280614693021803</v>
      </c>
      <c r="AJ4305">
        <v>93.051049381110602</v>
      </c>
      <c r="AK4305">
        <v>27.890620621495401</v>
      </c>
      <c r="AL4305">
        <v>80.1654661312418</v>
      </c>
      <c r="AM4305">
        <v>90.3975070677063</v>
      </c>
      <c r="AN4305">
        <v>0.99999998341325103</v>
      </c>
    </row>
    <row r="4306" spans="1:40" x14ac:dyDescent="0.25">
      <c r="A4306" t="str">
        <f>"20190312173016803"</f>
        <v>20190312173016803</v>
      </c>
      <c r="B4306" t="str">
        <f>"1552383016792092"</f>
        <v>1552383016792092</v>
      </c>
      <c r="C4306" t="s">
        <v>40</v>
      </c>
      <c r="D4306">
        <v>3.3107709999999999</v>
      </c>
      <c r="E4306">
        <v>0.48349199999999998</v>
      </c>
      <c r="F4306" t="s">
        <v>41</v>
      </c>
      <c r="G4306">
        <v>-322.44110000000001</v>
      </c>
      <c r="H4306" s="1">
        <v>-3.2292919999999999E-6</v>
      </c>
      <c r="I4306">
        <v>139.5924</v>
      </c>
      <c r="J4306">
        <v>-291.88729999999998</v>
      </c>
      <c r="K4306">
        <v>1.1097570000000001</v>
      </c>
      <c r="L4306">
        <v>141.87200000000001</v>
      </c>
      <c r="M4306">
        <v>-0.99972680000000003</v>
      </c>
      <c r="N4306">
        <v>0</v>
      </c>
      <c r="O4306">
        <v>-2.1454150000000002E-2</v>
      </c>
      <c r="P4306">
        <v>-0.98643460000000005</v>
      </c>
      <c r="Q4306">
        <v>0.16193460000000001</v>
      </c>
      <c r="R4306">
        <v>-2.691346E-2</v>
      </c>
      <c r="S4306">
        <v>-3.052826</v>
      </c>
      <c r="T4306">
        <v>-0.10962330000000001</v>
      </c>
      <c r="U4306">
        <v>-0.2259216</v>
      </c>
      <c r="V4306">
        <v>-5.9240600000000001E-3</v>
      </c>
      <c r="W4306">
        <v>0.17108199999999901</v>
      </c>
      <c r="X4306">
        <v>0.98523899999999998</v>
      </c>
      <c r="Y4306">
        <v>-5.2368930000000001E-2</v>
      </c>
      <c r="Z4306">
        <v>-1.6973699999999999E-4</v>
      </c>
      <c r="AA4306">
        <v>0.99862779999999995</v>
      </c>
      <c r="AB4306">
        <v>37</v>
      </c>
      <c r="AC4306">
        <v>-30.553799999999999</v>
      </c>
      <c r="AD4306">
        <v>-1.1097602292919999</v>
      </c>
      <c r="AE4306">
        <v>-2.2796000000000101</v>
      </c>
      <c r="AF4306">
        <v>-1.6214140422593299</v>
      </c>
      <c r="AG4306">
        <v>-1.1097602292919999</v>
      </c>
      <c r="AH4306">
        <v>30.5555885292429</v>
      </c>
      <c r="AI4306">
        <v>92.0771135137024</v>
      </c>
      <c r="AJ4306">
        <v>93.037517386899296</v>
      </c>
      <c r="AK4306">
        <v>30.618695949229402</v>
      </c>
      <c r="AL4306">
        <v>80.149265388609194</v>
      </c>
      <c r="AM4306">
        <v>90.344504780230693</v>
      </c>
      <c r="AN4306">
        <v>1.0000000161659399</v>
      </c>
    </row>
    <row r="4307" spans="1:40" x14ac:dyDescent="0.25">
      <c r="A4307" t="str">
        <f>"20190312173016825"</f>
        <v>20190312173016825</v>
      </c>
      <c r="B4307" t="str">
        <f>"1552383016812589"</f>
        <v>1552383016812589</v>
      </c>
      <c r="C4307" t="s">
        <v>40</v>
      </c>
      <c r="D4307">
        <v>3.299671</v>
      </c>
      <c r="E4307">
        <v>0.4835159</v>
      </c>
      <c r="F4307" t="s">
        <v>41</v>
      </c>
      <c r="G4307">
        <v>-323.27719999999999</v>
      </c>
      <c r="H4307" s="1">
        <v>-2.8807389999999998E-6</v>
      </c>
      <c r="I4307">
        <v>139.53540000000001</v>
      </c>
      <c r="J4307">
        <v>-292.24340000000001</v>
      </c>
      <c r="K4307">
        <v>1.1096469999999901</v>
      </c>
      <c r="L4307">
        <v>141.86420000000001</v>
      </c>
      <c r="M4307">
        <v>-0.99972450000000002</v>
      </c>
      <c r="N4307">
        <v>0</v>
      </c>
      <c r="O4307">
        <v>-2.1570530000000001E-2</v>
      </c>
      <c r="P4307">
        <v>-0.9863807</v>
      </c>
      <c r="Q4307">
        <v>0.1623358</v>
      </c>
      <c r="R4307">
        <v>-2.6473409999999999E-2</v>
      </c>
      <c r="S4307">
        <v>-3.052765</v>
      </c>
      <c r="T4307">
        <v>-0.107928</v>
      </c>
      <c r="U4307">
        <v>-0.22723389999999999</v>
      </c>
      <c r="V4307">
        <v>-5.3265810000000004E-3</v>
      </c>
      <c r="W4307">
        <v>0.1714686</v>
      </c>
      <c r="X4307">
        <v>0.98517520000000003</v>
      </c>
      <c r="Y4307">
        <v>-5.2681550000000001E-2</v>
      </c>
      <c r="Z4307">
        <v>-1.6852699999999999E-4</v>
      </c>
      <c r="AA4307">
        <v>0.99861129999999998</v>
      </c>
      <c r="AB4307">
        <v>37</v>
      </c>
      <c r="AC4307">
        <v>-31.0337999999999</v>
      </c>
      <c r="AD4307">
        <v>-1.1096498807389901</v>
      </c>
      <c r="AE4307">
        <v>-2.3288000000000002</v>
      </c>
      <c r="AF4307">
        <v>-1.6567076840067501</v>
      </c>
      <c r="AG4307">
        <v>-1.1096498807389901</v>
      </c>
      <c r="AH4307">
        <v>31.037355141399399</v>
      </c>
      <c r="AI4307">
        <v>92.044662678346299</v>
      </c>
      <c r="AJ4307">
        <v>93.055426621932298</v>
      </c>
      <c r="AK4307">
        <v>31.101341086542</v>
      </c>
      <c r="AL4307">
        <v>80.126782595383105</v>
      </c>
      <c r="AM4307">
        <v>90.309780064226103</v>
      </c>
      <c r="AN4307">
        <v>1.00000001397307</v>
      </c>
    </row>
    <row r="4308" spans="1:40" x14ac:dyDescent="0.25">
      <c r="A4308" t="str">
        <f>"20190312173016846"</f>
        <v>20190312173016846</v>
      </c>
      <c r="B4308" t="str">
        <f>"1552383016841869"</f>
        <v>1552383016841869</v>
      </c>
      <c r="C4308" t="s">
        <v>40</v>
      </c>
      <c r="D4308">
        <v>3.2742239999999998</v>
      </c>
      <c r="E4308">
        <v>0.4836184</v>
      </c>
      <c r="F4308" t="s">
        <v>41</v>
      </c>
      <c r="G4308">
        <v>-324.06599999999997</v>
      </c>
      <c r="H4308" s="1">
        <v>-2.547202E-6</v>
      </c>
      <c r="I4308">
        <v>139.50790000000001</v>
      </c>
      <c r="J4308">
        <v>-292.60410000000002</v>
      </c>
      <c r="K4308">
        <v>1.1095489999999999</v>
      </c>
      <c r="L4308">
        <v>141.85640000000001</v>
      </c>
      <c r="M4308">
        <v>-0.9997239</v>
      </c>
      <c r="N4308">
        <v>0</v>
      </c>
      <c r="O4308">
        <v>-2.1604870000000002E-2</v>
      </c>
      <c r="P4308">
        <v>-0.98641259999999997</v>
      </c>
      <c r="Q4308">
        <v>0.16225909999999999</v>
      </c>
      <c r="R4308">
        <v>-2.5740240000000001E-2</v>
      </c>
      <c r="S4308">
        <v>-3.052826</v>
      </c>
      <c r="T4308">
        <v>-0.1064519</v>
      </c>
      <c r="U4308">
        <v>-0.22604369999999999</v>
      </c>
      <c r="V4308">
        <v>-4.5209990000000004E-3</v>
      </c>
      <c r="W4308">
        <v>0.17137849999999999</v>
      </c>
      <c r="X4308">
        <v>0.98519489999999998</v>
      </c>
      <c r="Y4308">
        <v>-5.2259380000000001E-2</v>
      </c>
      <c r="Z4308">
        <v>-1.5767879999999999E-4</v>
      </c>
      <c r="AA4308">
        <v>0.99863349999999995</v>
      </c>
      <c r="AB4308">
        <v>37</v>
      </c>
      <c r="AC4308">
        <v>-31.461899999999901</v>
      </c>
      <c r="AD4308">
        <v>-1.1095515472020001</v>
      </c>
      <c r="AE4308">
        <v>-2.3485</v>
      </c>
      <c r="AF4308">
        <v>-1.6661317833907701</v>
      </c>
      <c r="AG4308">
        <v>-1.1095515472020001</v>
      </c>
      <c r="AH4308">
        <v>31.466378246762702</v>
      </c>
      <c r="AI4308">
        <v>92.016675419470005</v>
      </c>
      <c r="AJ4308">
        <v>93.030957478952502</v>
      </c>
      <c r="AK4308">
        <v>31.529986674971202</v>
      </c>
      <c r="AL4308">
        <v>80.132022473053496</v>
      </c>
      <c r="AM4308">
        <v>90.262924974162701</v>
      </c>
      <c r="AN4308">
        <v>1.0000000103401001</v>
      </c>
    </row>
    <row r="4309" spans="1:40" x14ac:dyDescent="0.25">
      <c r="A4309" t="str">
        <f>"20190312173016869"</f>
        <v>20190312173016869</v>
      </c>
      <c r="B4309" t="str">
        <f>"1552383016862364"</f>
        <v>1552383016862364</v>
      </c>
      <c r="C4309" t="s">
        <v>40</v>
      </c>
      <c r="D4309">
        <v>3.3014510000000001</v>
      </c>
      <c r="E4309">
        <v>0.48377409999999998</v>
      </c>
      <c r="F4309" t="s">
        <v>41</v>
      </c>
      <c r="G4309">
        <v>-323.81650000000002</v>
      </c>
      <c r="H4309" s="1">
        <v>-2.6438E-6</v>
      </c>
      <c r="I4309">
        <v>139.5667</v>
      </c>
      <c r="J4309">
        <v>-292.98439999999999</v>
      </c>
      <c r="K4309">
        <v>1.109464</v>
      </c>
      <c r="L4309">
        <v>141.84819999999999</v>
      </c>
      <c r="M4309">
        <v>-0.99972499999999997</v>
      </c>
      <c r="N4309">
        <v>0</v>
      </c>
      <c r="O4309">
        <v>-2.1563990000000002E-2</v>
      </c>
      <c r="P4309">
        <v>-0.98656460000000001</v>
      </c>
      <c r="Q4309">
        <v>0.161384</v>
      </c>
      <c r="R4309">
        <v>-2.5417189999999999E-2</v>
      </c>
      <c r="S4309">
        <v>-3.053375</v>
      </c>
      <c r="T4309">
        <v>-0.10854279999999999</v>
      </c>
      <c r="U4309">
        <v>-0.22398380000000001</v>
      </c>
      <c r="V4309">
        <v>-4.2003300000000004E-3</v>
      </c>
      <c r="W4309">
        <v>0.17048720000000001</v>
      </c>
      <c r="X4309">
        <v>0.98535099999999998</v>
      </c>
      <c r="Y4309">
        <v>-5.1616549999999997E-2</v>
      </c>
      <c r="Z4309">
        <v>-1.507914E-4</v>
      </c>
      <c r="AA4309">
        <v>0.99866690000000002</v>
      </c>
      <c r="AB4309">
        <v>37</v>
      </c>
      <c r="AC4309">
        <v>-30.832100000000001</v>
      </c>
      <c r="AD4309">
        <v>-1.1094666438</v>
      </c>
      <c r="AE4309">
        <v>-2.2814999999999901</v>
      </c>
      <c r="AF4309">
        <v>-1.61399959076277</v>
      </c>
      <c r="AG4309">
        <v>-1.1094666438</v>
      </c>
      <c r="AH4309">
        <v>30.834421559488</v>
      </c>
      <c r="AI4309">
        <v>92.0578803603388</v>
      </c>
      <c r="AJ4309">
        <v>92.996360584545897</v>
      </c>
      <c r="AK4309">
        <v>30.896560711847901</v>
      </c>
      <c r="AL4309">
        <v>80.183853508162798</v>
      </c>
      <c r="AM4309">
        <v>90.244237559887694</v>
      </c>
      <c r="AN4309">
        <v>1.00000006066847</v>
      </c>
    </row>
    <row r="4310" spans="1:40" x14ac:dyDescent="0.25">
      <c r="A4310" t="str">
        <f>"20190312173016891"</f>
        <v>20190312173016891</v>
      </c>
      <c r="B4310" t="str">
        <f>"1552383016881888"</f>
        <v>1552383016881888</v>
      </c>
      <c r="C4310" t="s">
        <v>40</v>
      </c>
      <c r="D4310">
        <v>3.3036089999999998</v>
      </c>
      <c r="E4310">
        <v>0.48386240000000003</v>
      </c>
      <c r="F4310" t="s">
        <v>41</v>
      </c>
      <c r="G4310">
        <v>-322.33249999999998</v>
      </c>
      <c r="H4310" s="1">
        <v>-3.296719E-6</v>
      </c>
      <c r="I4310">
        <v>139.7106</v>
      </c>
      <c r="J4310">
        <v>-293.3578</v>
      </c>
      <c r="K4310">
        <v>1.1093820000000001</v>
      </c>
      <c r="L4310">
        <v>141.84010000000001</v>
      </c>
      <c r="M4310">
        <v>-0.99972709999999998</v>
      </c>
      <c r="N4310">
        <v>0</v>
      </c>
      <c r="O4310">
        <v>-2.146582E-2</v>
      </c>
      <c r="P4310">
        <v>-0.98664589999999996</v>
      </c>
      <c r="Q4310">
        <v>0.16079689999999999</v>
      </c>
      <c r="R4310">
        <v>-2.5965820000000001E-2</v>
      </c>
      <c r="S4310">
        <v>-3.0540159999999998</v>
      </c>
      <c r="T4310">
        <v>-0.11545320000000001</v>
      </c>
      <c r="U4310">
        <v>-0.2224274</v>
      </c>
      <c r="V4310">
        <v>-4.815405E-3</v>
      </c>
      <c r="W4310">
        <v>0.16988249999999999</v>
      </c>
      <c r="X4310">
        <v>0.98545260000000001</v>
      </c>
      <c r="Y4310">
        <v>-5.119083E-2</v>
      </c>
      <c r="Z4310">
        <v>-1.5602279999999999E-4</v>
      </c>
      <c r="AA4310">
        <v>0.99868889999999999</v>
      </c>
      <c r="AB4310">
        <v>37</v>
      </c>
      <c r="AC4310">
        <v>-28.974699999999899</v>
      </c>
      <c r="AD4310">
        <v>-1.1093852967190001</v>
      </c>
      <c r="AE4310">
        <v>-2.1295000000000002</v>
      </c>
      <c r="AF4310">
        <v>-1.50482298945671</v>
      </c>
      <c r="AG4310">
        <v>-1.1093852967190001</v>
      </c>
      <c r="AH4310">
        <v>28.971493226927699</v>
      </c>
      <c r="AI4310">
        <v>92.189966833263696</v>
      </c>
      <c r="AJ4310">
        <v>92.973357036914507</v>
      </c>
      <c r="AK4310">
        <v>29.031752406013801</v>
      </c>
      <c r="AL4310">
        <v>80.219012957924406</v>
      </c>
      <c r="AM4310">
        <v>90.279973067398402</v>
      </c>
      <c r="AN4310">
        <v>1.0000000393891599</v>
      </c>
    </row>
    <row r="4311" spans="1:40" x14ac:dyDescent="0.25">
      <c r="A4311" t="str">
        <f>"20190312173016914"</f>
        <v>20190312173016914</v>
      </c>
      <c r="B4311" t="str">
        <f>"1552383016902381"</f>
        <v>1552383016902381</v>
      </c>
      <c r="C4311" t="s">
        <v>40</v>
      </c>
      <c r="D4311">
        <v>3.3045270000000002</v>
      </c>
      <c r="E4311">
        <v>0.48398989999999997</v>
      </c>
      <c r="F4311" t="s">
        <v>41</v>
      </c>
      <c r="G4311">
        <v>-321.56599999999997</v>
      </c>
      <c r="H4311" s="1">
        <v>-3.6444760000000002E-6</v>
      </c>
      <c r="I4311">
        <v>139.7818</v>
      </c>
      <c r="J4311">
        <v>-293.7321</v>
      </c>
      <c r="K4311">
        <v>1.1093090000000001</v>
      </c>
      <c r="L4311">
        <v>141.8321</v>
      </c>
      <c r="M4311">
        <v>-0.99973020000000001</v>
      </c>
      <c r="N4311">
        <v>0</v>
      </c>
      <c r="O4311">
        <v>-2.1329890000000001E-2</v>
      </c>
      <c r="P4311">
        <v>-0.98671509999999996</v>
      </c>
      <c r="Q4311">
        <v>0.16038620000000001</v>
      </c>
      <c r="R4311">
        <v>-2.5877379999999998E-2</v>
      </c>
      <c r="S4311">
        <v>-3.0543209999999998</v>
      </c>
      <c r="T4311">
        <v>-0.12012200000000001</v>
      </c>
      <c r="U4311">
        <v>-0.22286990000000001</v>
      </c>
      <c r="V4311">
        <v>-4.8345619999999997E-3</v>
      </c>
      <c r="W4311">
        <v>0.16945669999999999</v>
      </c>
      <c r="X4311">
        <v>0.98552580000000001</v>
      </c>
      <c r="Y4311">
        <v>-5.1461270000000003E-2</v>
      </c>
      <c r="Z4311">
        <v>-1.72953499999999E-4</v>
      </c>
      <c r="AA4311">
        <v>0.99867499999999998</v>
      </c>
      <c r="AB4311">
        <v>37</v>
      </c>
      <c r="AC4311">
        <v>-27.8338999999999</v>
      </c>
      <c r="AD4311">
        <v>-1.109312644476</v>
      </c>
      <c r="AE4311">
        <v>-2.0502999999999898</v>
      </c>
      <c r="AF4311">
        <v>-1.45381759087022</v>
      </c>
      <c r="AG4311">
        <v>-1.109312644476</v>
      </c>
      <c r="AH4311">
        <v>27.827339158662699</v>
      </c>
      <c r="AI4311">
        <v>92.279731805575096</v>
      </c>
      <c r="AJ4311">
        <v>92.990654253601804</v>
      </c>
      <c r="AK4311">
        <v>27.887362097946099</v>
      </c>
      <c r="AL4311">
        <v>80.243768281064604</v>
      </c>
      <c r="AM4311">
        <v>90.281065981695804</v>
      </c>
      <c r="AN4311">
        <v>1.0000000243151299</v>
      </c>
    </row>
    <row r="4312" spans="1:40" x14ac:dyDescent="0.25">
      <c r="A4312" t="str">
        <f>"20190312173016936"</f>
        <v>20190312173016936</v>
      </c>
      <c r="B4312" t="str">
        <f>"1552383016931660"</f>
        <v>1552383016931660</v>
      </c>
      <c r="C4312" t="s">
        <v>40</v>
      </c>
      <c r="D4312">
        <v>3.366638</v>
      </c>
      <c r="E4312">
        <v>0.4841994</v>
      </c>
      <c r="F4312" t="s">
        <v>41</v>
      </c>
      <c r="G4312">
        <v>-321.23790000000002</v>
      </c>
      <c r="H4312" s="1">
        <v>-3.7992189999999999E-6</v>
      </c>
      <c r="I4312">
        <v>139.83439999999999</v>
      </c>
      <c r="J4312">
        <v>-294.10109999999997</v>
      </c>
      <c r="K4312">
        <v>1.1092519999999999</v>
      </c>
      <c r="L4312">
        <v>141.82429999999999</v>
      </c>
      <c r="M4312">
        <v>-0.9997336</v>
      </c>
      <c r="N4312">
        <v>0</v>
      </c>
      <c r="O4312">
        <v>-2.1174430000000001E-2</v>
      </c>
      <c r="P4312">
        <v>-0.98670619999999998</v>
      </c>
      <c r="Q4312">
        <v>0.16041059999999999</v>
      </c>
      <c r="R4312">
        <v>-2.6068589999999999E-2</v>
      </c>
      <c r="S4312">
        <v>-3.0545650000000002</v>
      </c>
      <c r="T4312">
        <v>-0.1231911</v>
      </c>
      <c r="U4312">
        <v>-0.2218475</v>
      </c>
      <c r="V4312">
        <v>-5.1597470000000001E-3</v>
      </c>
      <c r="W4312">
        <v>0.16946700000000001</v>
      </c>
      <c r="X4312">
        <v>0.98552229999999996</v>
      </c>
      <c r="Y4312">
        <v>-5.1277120000000002E-2</v>
      </c>
      <c r="Z4312">
        <v>-1.799049E-4</v>
      </c>
      <c r="AA4312">
        <v>0.99868449999999998</v>
      </c>
      <c r="AB4312">
        <v>37</v>
      </c>
      <c r="AC4312">
        <v>-27.136800000000001</v>
      </c>
      <c r="AD4312">
        <v>-1.109255799219</v>
      </c>
      <c r="AE4312">
        <v>-1.9899</v>
      </c>
      <c r="AF4312">
        <v>-1.41247584597659</v>
      </c>
      <c r="AG4312">
        <v>-1.109255799219</v>
      </c>
      <c r="AH4312">
        <v>27.127767188481901</v>
      </c>
      <c r="AI4312">
        <v>92.338358944892505</v>
      </c>
      <c r="AJ4312">
        <v>92.980558234132701</v>
      </c>
      <c r="AK4312">
        <v>27.187153015276198</v>
      </c>
      <c r="AL4312">
        <v>80.243168696730507</v>
      </c>
      <c r="AM4312">
        <v>90.299971928913905</v>
      </c>
      <c r="AN4312">
        <v>0.99999994543769499</v>
      </c>
    </row>
    <row r="4313" spans="1:40" x14ac:dyDescent="0.25">
      <c r="A4313" t="str">
        <f>"20190312173016958"</f>
        <v>20190312173016958</v>
      </c>
      <c r="B4313" t="str">
        <f>"1552383016952160"</f>
        <v>1552383016952160</v>
      </c>
      <c r="C4313" t="s">
        <v>40</v>
      </c>
      <c r="D4313">
        <v>3.3485330000000002</v>
      </c>
      <c r="E4313">
        <v>0.48424489999999998</v>
      </c>
      <c r="F4313" t="s">
        <v>41</v>
      </c>
      <c r="G4313">
        <v>-321.19799999999998</v>
      </c>
      <c r="H4313" s="1">
        <v>-3.8243830000000003E-6</v>
      </c>
      <c r="I4313">
        <v>139.8646</v>
      </c>
      <c r="J4313">
        <v>-294.48950000000002</v>
      </c>
      <c r="K4313">
        <v>1.1092059999999999</v>
      </c>
      <c r="L4313">
        <v>141.81620000000001</v>
      </c>
      <c r="M4313">
        <v>-0.9997376</v>
      </c>
      <c r="N4313">
        <v>0</v>
      </c>
      <c r="O4313">
        <v>-2.099939E-2</v>
      </c>
      <c r="P4313">
        <v>-0.98665720000000001</v>
      </c>
      <c r="Q4313">
        <v>0.16067779999999901</v>
      </c>
      <c r="R4313">
        <v>-2.6270490000000001E-2</v>
      </c>
      <c r="S4313">
        <v>-3.0548709999999999</v>
      </c>
      <c r="T4313">
        <v>-0.12505630000000001</v>
      </c>
      <c r="U4313">
        <v>-0.22093199999999999</v>
      </c>
      <c r="V4313">
        <v>-5.5185310000000001E-3</v>
      </c>
      <c r="W4313">
        <v>0.16972129999999999</v>
      </c>
      <c r="X4313">
        <v>0.98547669999999998</v>
      </c>
      <c r="Y4313">
        <v>-5.1146270000000001E-2</v>
      </c>
      <c r="Z4313">
        <v>-1.870858E-4</v>
      </c>
      <c r="AA4313">
        <v>0.99869110000000005</v>
      </c>
      <c r="AB4313">
        <v>38</v>
      </c>
      <c r="AC4313">
        <v>-26.708499999999901</v>
      </c>
      <c r="AD4313">
        <v>-1.109209824383</v>
      </c>
      <c r="AE4313">
        <v>-1.95160000000001</v>
      </c>
      <c r="AF4313">
        <v>-1.3879028317849</v>
      </c>
      <c r="AG4313">
        <v>-1.109209824383</v>
      </c>
      <c r="AH4313">
        <v>26.697791398533099</v>
      </c>
      <c r="AI4313">
        <v>92.375887801290702</v>
      </c>
      <c r="AJ4313">
        <v>92.975881186190705</v>
      </c>
      <c r="AK4313">
        <v>26.756843727625601</v>
      </c>
      <c r="AL4313">
        <v>80.2283852431908</v>
      </c>
      <c r="AM4313">
        <v>90.320844957994495</v>
      </c>
      <c r="AN4313">
        <v>1.00000005005048</v>
      </c>
    </row>
    <row r="4314" spans="1:40" x14ac:dyDescent="0.25">
      <c r="A4314" t="str">
        <f>"20190312173016982"</f>
        <v>20190312173016982</v>
      </c>
      <c r="B4314" t="str">
        <f>"1552383016971676"</f>
        <v>1552383016971676</v>
      </c>
      <c r="C4314" t="s">
        <v>40</v>
      </c>
      <c r="D4314">
        <v>3.361183</v>
      </c>
      <c r="E4314">
        <v>0.48421380000000003</v>
      </c>
      <c r="F4314" t="s">
        <v>41</v>
      </c>
      <c r="G4314">
        <v>-321.95999999999998</v>
      </c>
      <c r="H4314" s="1">
        <v>-3.4894430000000001E-6</v>
      </c>
      <c r="I4314">
        <v>139.83430000000001</v>
      </c>
      <c r="J4314">
        <v>-294.87299999999999</v>
      </c>
      <c r="K4314">
        <v>1.1091819999999999</v>
      </c>
      <c r="L4314">
        <v>141.8082</v>
      </c>
      <c r="M4314">
        <v>-0.99974130000000005</v>
      </c>
      <c r="N4314">
        <v>0</v>
      </c>
      <c r="O4314">
        <v>-2.0820410000000001E-2</v>
      </c>
      <c r="P4314">
        <v>-0.98659759999999996</v>
      </c>
      <c r="Q4314">
        <v>0.16097629999999999</v>
      </c>
      <c r="R4314">
        <v>-2.6685650000000002E-2</v>
      </c>
      <c r="S4314">
        <v>-3.0547789999999999</v>
      </c>
      <c r="T4314">
        <v>-0.1233469</v>
      </c>
      <c r="U4314">
        <v>-0.22038269999999999</v>
      </c>
      <c r="V4314">
        <v>-6.0976240000000003E-3</v>
      </c>
      <c r="W4314">
        <v>0.17000889999999999</v>
      </c>
      <c r="X4314">
        <v>0.98542370000000001</v>
      </c>
      <c r="Y4314">
        <v>-5.1149069999999998E-2</v>
      </c>
      <c r="Z4314">
        <v>-1.9180449999999999E-4</v>
      </c>
      <c r="AA4314">
        <v>0.998691</v>
      </c>
      <c r="AB4314">
        <v>38</v>
      </c>
      <c r="AC4314">
        <v>-27.0869999999999</v>
      </c>
      <c r="AD4314">
        <v>-1.109185489443</v>
      </c>
      <c r="AE4314">
        <v>-1.97389999999998</v>
      </c>
      <c r="AF4314">
        <v>-1.4071389404177601</v>
      </c>
      <c r="AG4314">
        <v>-1.109185489443</v>
      </c>
      <c r="AH4314">
        <v>27.077063502082499</v>
      </c>
      <c r="AI4314">
        <v>92.342596573432203</v>
      </c>
      <c r="AJ4314">
        <v>92.974866943993902</v>
      </c>
      <c r="AK4314">
        <v>27.136280149339601</v>
      </c>
      <c r="AL4314">
        <v>80.211663851999305</v>
      </c>
      <c r="AM4314">
        <v>90.3545314176652</v>
      </c>
      <c r="AN4314">
        <v>1.0000000378096701</v>
      </c>
    </row>
    <row r="4315" spans="1:40" x14ac:dyDescent="0.25">
      <c r="A4315" t="str">
        <f>"20190312173017004"</f>
        <v>20190312173017004</v>
      </c>
      <c r="B4315" t="str">
        <f>"1552383017001933"</f>
        <v>1552383017001933</v>
      </c>
      <c r="C4315" t="s">
        <v>40</v>
      </c>
      <c r="D4315">
        <v>3.3004540000000002</v>
      </c>
      <c r="E4315">
        <v>0.48433880000000001</v>
      </c>
      <c r="F4315" t="s">
        <v>41</v>
      </c>
      <c r="G4315">
        <v>-322.76589999999999</v>
      </c>
      <c r="H4315" s="1">
        <v>-3.131652E-6</v>
      </c>
      <c r="I4315">
        <v>139.78909999999999</v>
      </c>
      <c r="J4315">
        <v>-295.25510000000003</v>
      </c>
      <c r="K4315">
        <v>1.109151</v>
      </c>
      <c r="L4315">
        <v>141.8004</v>
      </c>
      <c r="M4315">
        <v>-0.9997452</v>
      </c>
      <c r="N4315">
        <v>0</v>
      </c>
      <c r="O4315">
        <v>-2.0640209999999999E-2</v>
      </c>
      <c r="P4315">
        <v>-0.98656869999999997</v>
      </c>
      <c r="Q4315">
        <v>0.16113520000000001</v>
      </c>
      <c r="R4315">
        <v>-2.679639E-2</v>
      </c>
      <c r="S4315">
        <v>-3.0546259999999998</v>
      </c>
      <c r="T4315">
        <v>-0.12146999999999999</v>
      </c>
      <c r="U4315">
        <v>-0.22111510000000001</v>
      </c>
      <c r="V4315">
        <v>-6.3761E-3</v>
      </c>
      <c r="W4315">
        <v>0.17015829999999901</v>
      </c>
      <c r="X4315">
        <v>0.9853961</v>
      </c>
      <c r="Y4315">
        <v>-5.1571140000000001E-2</v>
      </c>
      <c r="Z4315">
        <v>-2.0442410000000001E-4</v>
      </c>
      <c r="AA4315">
        <v>0.99866929999999998</v>
      </c>
      <c r="AB4315">
        <v>38</v>
      </c>
      <c r="AC4315">
        <v>-27.5107999999999</v>
      </c>
      <c r="AD4315">
        <v>-1.1091541316519999</v>
      </c>
      <c r="AE4315">
        <v>-2.0112999999999999</v>
      </c>
      <c r="AF4315">
        <v>-1.44068975185936</v>
      </c>
      <c r="AG4315">
        <v>-1.1091541316519999</v>
      </c>
      <c r="AH4315">
        <v>27.501988399210099</v>
      </c>
      <c r="AI4315">
        <v>92.306326092609694</v>
      </c>
      <c r="AJ4315">
        <v>92.998694447389596</v>
      </c>
      <c r="AK4315">
        <v>27.562024159324</v>
      </c>
      <c r="AL4315">
        <v>80.202976801845793</v>
      </c>
      <c r="AM4315">
        <v>90.370732664103798</v>
      </c>
      <c r="AN4315">
        <v>0.99999998780265398</v>
      </c>
    </row>
    <row r="4316" spans="1:40" x14ac:dyDescent="0.25">
      <c r="A4316" t="str">
        <f>"20190312173017025"</f>
        <v>20190312173017025</v>
      </c>
      <c r="B4316" t="str">
        <f>"1552383017022429"</f>
        <v>1552383017022429</v>
      </c>
      <c r="C4316" t="s">
        <v>40</v>
      </c>
      <c r="D4316">
        <v>3.3275290000000002</v>
      </c>
      <c r="E4316">
        <v>0.4843327</v>
      </c>
      <c r="F4316" t="s">
        <v>41</v>
      </c>
      <c r="G4316">
        <v>-322.72609999999997</v>
      </c>
      <c r="H4316" s="1">
        <v>-3.1566929999999998E-6</v>
      </c>
      <c r="I4316">
        <v>139.81890000000001</v>
      </c>
      <c r="J4316">
        <v>-295.60660000000001</v>
      </c>
      <c r="K4316">
        <v>1.109127</v>
      </c>
      <c r="L4316">
        <v>141.79320000000001</v>
      </c>
      <c r="M4316">
        <v>-0.99974859999999999</v>
      </c>
      <c r="N4316">
        <v>0</v>
      </c>
      <c r="O4316">
        <v>-2.047382E-2</v>
      </c>
      <c r="P4316">
        <v>-0.98649540000000002</v>
      </c>
      <c r="Q4316">
        <v>0.16151450000000001</v>
      </c>
      <c r="R4316">
        <v>-2.720742E-2</v>
      </c>
      <c r="S4316">
        <v>-3.0550229999999998</v>
      </c>
      <c r="T4316">
        <v>-0.12334820000000001</v>
      </c>
      <c r="U4316">
        <v>-0.2203522</v>
      </c>
      <c r="V4316">
        <v>-6.945601E-3</v>
      </c>
      <c r="W4316">
        <v>0.1705304</v>
      </c>
      <c r="X4316">
        <v>0.98532799999999998</v>
      </c>
      <c r="Y4316">
        <v>-5.1479110000000002E-2</v>
      </c>
      <c r="Z4316">
        <v>-2.1240580000000001E-4</v>
      </c>
      <c r="AA4316">
        <v>0.99867399999999995</v>
      </c>
      <c r="AB4316">
        <v>38</v>
      </c>
      <c r="AC4316">
        <v>-27.119499999999899</v>
      </c>
      <c r="AD4316">
        <v>-1.1091301566930001</v>
      </c>
      <c r="AE4316">
        <v>-1.97429999999999</v>
      </c>
      <c r="AF4316">
        <v>-1.4162667590254101</v>
      </c>
      <c r="AG4316">
        <v>-1.1091301566930001</v>
      </c>
      <c r="AH4316">
        <v>27.109133452464999</v>
      </c>
      <c r="AI4316">
        <v>92.339678356795801</v>
      </c>
      <c r="AJ4316">
        <v>92.990593684909797</v>
      </c>
      <c r="AK4316">
        <v>27.1687522308398</v>
      </c>
      <c r="AL4316">
        <v>80.181341570366001</v>
      </c>
      <c r="AM4316">
        <v>90.403872651955993</v>
      </c>
      <c r="AN4316">
        <v>1.0000000631407</v>
      </c>
    </row>
    <row r="4317" spans="1:40" x14ac:dyDescent="0.25">
      <c r="A4317" t="str">
        <f>"20190312173017047"</f>
        <v>20190312173017047</v>
      </c>
      <c r="B4317" t="str">
        <f>"1552383017041949"</f>
        <v>1552383017041949</v>
      </c>
      <c r="C4317" t="s">
        <v>40</v>
      </c>
      <c r="D4317">
        <v>3.3718509999999999</v>
      </c>
      <c r="E4317">
        <v>0.48434060000000001</v>
      </c>
      <c r="F4317" t="s">
        <v>41</v>
      </c>
      <c r="G4317">
        <v>-323.01</v>
      </c>
      <c r="H4317" s="1">
        <v>-3.0312529999999999E-6</v>
      </c>
      <c r="I4317">
        <v>139.80529999999999</v>
      </c>
      <c r="J4317">
        <v>-295.99450000000002</v>
      </c>
      <c r="K4317">
        <v>1.1091150000000001</v>
      </c>
      <c r="L4317">
        <v>141.78540000000001</v>
      </c>
      <c r="M4317">
        <v>-0.99975250000000004</v>
      </c>
      <c r="N4317">
        <v>0</v>
      </c>
      <c r="O4317">
        <v>-2.0290409999999998E-2</v>
      </c>
      <c r="P4317">
        <v>-0.9864444</v>
      </c>
      <c r="Q4317">
        <v>0.1617285</v>
      </c>
      <c r="R4317">
        <v>-2.7783160000000001E-2</v>
      </c>
      <c r="S4317">
        <v>-3.0552060000000001</v>
      </c>
      <c r="T4317">
        <v>-0.12365710000000001</v>
      </c>
      <c r="U4317">
        <v>-0.22163389999999999</v>
      </c>
      <c r="V4317">
        <v>-7.697064E-3</v>
      </c>
      <c r="W4317">
        <v>0.17073859999999999</v>
      </c>
      <c r="X4317">
        <v>0.98528629999999995</v>
      </c>
      <c r="Y4317">
        <v>-5.2074049999999997E-2</v>
      </c>
      <c r="Z4317">
        <v>-2.323483E-4</v>
      </c>
      <c r="AA4317">
        <v>0.99864319999999895</v>
      </c>
      <c r="AB4317">
        <v>38</v>
      </c>
      <c r="AC4317">
        <v>-27.0154999999999</v>
      </c>
      <c r="AD4317">
        <v>-1.109118031253</v>
      </c>
      <c r="AE4317">
        <v>-1.98010000000002</v>
      </c>
      <c r="AF4317">
        <v>-1.4291180219018</v>
      </c>
      <c r="AG4317">
        <v>-1.109118031253</v>
      </c>
      <c r="AH4317">
        <v>27.004843001106501</v>
      </c>
      <c r="AI4317">
        <v>92.348594889475294</v>
      </c>
      <c r="AJ4317">
        <v>93.029312889339394</v>
      </c>
      <c r="AK4317">
        <v>27.065366552887902</v>
      </c>
      <c r="AL4317">
        <v>80.169234449531203</v>
      </c>
      <c r="AM4317">
        <v>90.447585956431993</v>
      </c>
      <c r="AN4317">
        <v>1.00000000364593</v>
      </c>
    </row>
    <row r="4318" spans="1:40" x14ac:dyDescent="0.25">
      <c r="A4318" t="str">
        <f>"20190312173017070"</f>
        <v>20190312173017070</v>
      </c>
      <c r="B4318" t="str">
        <f>"1552383017062444"</f>
        <v>1552383017062444</v>
      </c>
      <c r="C4318" t="s">
        <v>40</v>
      </c>
      <c r="D4318">
        <v>3.3882439999999998</v>
      </c>
      <c r="E4318">
        <v>0.4822168</v>
      </c>
      <c r="F4318" t="s">
        <v>41</v>
      </c>
      <c r="G4318">
        <v>-323.36099999999999</v>
      </c>
      <c r="H4318" s="1">
        <v>-2.8756960000000002E-6</v>
      </c>
      <c r="I4318">
        <v>139.78649999999999</v>
      </c>
      <c r="J4318">
        <v>-296.36689999999999</v>
      </c>
      <c r="K4318">
        <v>1.1091070000000001</v>
      </c>
      <c r="L4318">
        <v>141.77799999999999</v>
      </c>
      <c r="M4318">
        <v>-0.99975619999999998</v>
      </c>
      <c r="N4318">
        <v>0</v>
      </c>
      <c r="O4318">
        <v>-2.0114920000000001E-2</v>
      </c>
      <c r="P4318">
        <v>-0.98643000000000003</v>
      </c>
      <c r="Q4318">
        <v>0.16175030000000001</v>
      </c>
      <c r="R4318">
        <v>-2.8162639999999999E-2</v>
      </c>
      <c r="S4318">
        <v>-3.0552670000000002</v>
      </c>
      <c r="T4318">
        <v>-0.1238252</v>
      </c>
      <c r="U4318">
        <v>-0.22315979999999999</v>
      </c>
      <c r="V4318">
        <v>-8.2453170000000003E-3</v>
      </c>
      <c r="W4318">
        <v>0.170756399999999</v>
      </c>
      <c r="X4318">
        <v>0.98527880000000001</v>
      </c>
      <c r="Y4318">
        <v>-5.274326E-2</v>
      </c>
      <c r="Z4318">
        <v>-2.5329029999999998E-4</v>
      </c>
      <c r="AA4318">
        <v>0.9986081</v>
      </c>
      <c r="AB4318">
        <v>38</v>
      </c>
      <c r="AC4318">
        <v>-26.9941</v>
      </c>
      <c r="AD4318">
        <v>-1.1091098756960001</v>
      </c>
      <c r="AE4318">
        <v>-1.9915</v>
      </c>
      <c r="AF4318">
        <v>-1.4456630698989901</v>
      </c>
      <c r="AG4318">
        <v>-1.1091098756960001</v>
      </c>
      <c r="AH4318">
        <v>26.983393008657298</v>
      </c>
      <c r="AI4318">
        <v>92.350360826971695</v>
      </c>
      <c r="AJ4318">
        <v>93.066748381764299</v>
      </c>
      <c r="AK4318">
        <v>27.044843587783799</v>
      </c>
      <c r="AL4318">
        <v>80.168199582292104</v>
      </c>
      <c r="AM4318">
        <v>90.479469199070493</v>
      </c>
      <c r="AN4318">
        <v>1.0000000235614099</v>
      </c>
    </row>
    <row r="4319" spans="1:40" x14ac:dyDescent="0.25">
      <c r="A4319" t="str">
        <f>"20190312173017092"</f>
        <v>20190312173017092</v>
      </c>
      <c r="B4319" t="str">
        <f>"1552383017081965"</f>
        <v>1552383017081965</v>
      </c>
      <c r="C4319" t="s">
        <v>40</v>
      </c>
      <c r="D4319">
        <v>3.3393190000000001</v>
      </c>
      <c r="E4319">
        <v>0.48243079999999999</v>
      </c>
      <c r="F4319" t="s">
        <v>41</v>
      </c>
      <c r="G4319">
        <v>-344.75529999999998</v>
      </c>
      <c r="H4319" s="1">
        <v>-2.523512E-6</v>
      </c>
      <c r="I4319">
        <v>137.97450000000001</v>
      </c>
      <c r="J4319">
        <v>-296.75940000000003</v>
      </c>
      <c r="K4319">
        <v>1.1090960000000001</v>
      </c>
      <c r="L4319">
        <v>141.77019999999999</v>
      </c>
      <c r="M4319">
        <v>-0.99975979999999998</v>
      </c>
      <c r="N4319">
        <v>0</v>
      </c>
      <c r="O4319">
        <v>-1.993052E-2</v>
      </c>
      <c r="P4319">
        <v>-0.98634370000000005</v>
      </c>
      <c r="Q4319">
        <v>0.1622845</v>
      </c>
      <c r="R4319">
        <v>-2.8109619999999998E-2</v>
      </c>
      <c r="S4319">
        <v>-3.045868</v>
      </c>
      <c r="T4319">
        <v>-6.9814319999999999E-2</v>
      </c>
      <c r="U4319">
        <v>-0.2394104</v>
      </c>
      <c r="V4319">
        <v>-8.3718560000000004E-3</v>
      </c>
      <c r="W4319">
        <v>0.171286299999999</v>
      </c>
      <c r="X4319">
        <v>0.98518570000000005</v>
      </c>
      <c r="Y4319">
        <v>-5.8464339999999997E-2</v>
      </c>
      <c r="Z4319">
        <v>-2.129399E-4</v>
      </c>
      <c r="AA4319">
        <v>0.99828950000000005</v>
      </c>
      <c r="AB4319">
        <v>38</v>
      </c>
      <c r="AC4319">
        <v>-47.995899999999899</v>
      </c>
      <c r="AD4319">
        <v>-1.1090985235119999</v>
      </c>
      <c r="AE4319">
        <v>-3.7956999999999801</v>
      </c>
      <c r="AF4319">
        <v>-2.8368175734573602</v>
      </c>
      <c r="AG4319">
        <v>-1.1090985235119999</v>
      </c>
      <c r="AH4319">
        <v>48.036527551748897</v>
      </c>
      <c r="AI4319">
        <v>91.320347582992198</v>
      </c>
      <c r="AJ4319">
        <v>93.379701333472596</v>
      </c>
      <c r="AK4319">
        <v>48.132999207506998</v>
      </c>
      <c r="AL4319">
        <v>80.137384067750304</v>
      </c>
      <c r="AM4319">
        <v>90.486873155001504</v>
      </c>
      <c r="AN4319">
        <v>0.99999997401253204</v>
      </c>
    </row>
    <row r="4320" spans="1:40" x14ac:dyDescent="0.25">
      <c r="A4320" t="str">
        <f>"20190312173017114"</f>
        <v>20190312173017114</v>
      </c>
      <c r="B4320" t="str">
        <f>"1552383017102460"</f>
        <v>1552383017102460</v>
      </c>
      <c r="C4320" t="s">
        <v>40</v>
      </c>
      <c r="D4320">
        <v>3.374228</v>
      </c>
      <c r="E4320">
        <v>0.48257060000000002</v>
      </c>
      <c r="F4320" t="s">
        <v>41</v>
      </c>
      <c r="G4320">
        <v>-347.24419999999998</v>
      </c>
      <c r="H4320" s="1">
        <v>-1.4805559999999999E-6</v>
      </c>
      <c r="I4320">
        <v>137.8347</v>
      </c>
      <c r="J4320">
        <v>-297.1189</v>
      </c>
      <c r="K4320">
        <v>1.1090880000000001</v>
      </c>
      <c r="L4320">
        <v>141.76320000000001</v>
      </c>
      <c r="M4320">
        <v>-0.99976310000000002</v>
      </c>
      <c r="N4320">
        <v>0</v>
      </c>
      <c r="O4320">
        <v>-1.976224E-2</v>
      </c>
      <c r="P4320">
        <v>-0.98625609999999997</v>
      </c>
      <c r="Q4320">
        <v>0.1629572</v>
      </c>
      <c r="R4320">
        <v>-2.7279479999999998E-2</v>
      </c>
      <c r="S4320">
        <v>-3.045776</v>
      </c>
      <c r="T4320">
        <v>-6.6912529999999998E-2</v>
      </c>
      <c r="U4320">
        <v>-0.23742679999999999</v>
      </c>
      <c r="V4320">
        <v>-7.7066849999999996E-3</v>
      </c>
      <c r="W4320">
        <v>0.17195529999999901</v>
      </c>
      <c r="X4320">
        <v>0.98507460000000002</v>
      </c>
      <c r="Y4320">
        <v>-5.7989390000000002E-2</v>
      </c>
      <c r="Z4320">
        <v>-2.025823E-4</v>
      </c>
      <c r="AA4320">
        <v>0.99831720000000002</v>
      </c>
      <c r="AB4320">
        <v>38</v>
      </c>
      <c r="AC4320">
        <v>-50.125299999999903</v>
      </c>
      <c r="AD4320">
        <v>-1.1090894805560001</v>
      </c>
      <c r="AE4320">
        <v>-3.9285000000000099</v>
      </c>
      <c r="AF4320">
        <v>-2.9356748536881199</v>
      </c>
      <c r="AG4320">
        <v>-1.1090894805560001</v>
      </c>
      <c r="AH4320">
        <v>50.168737885223997</v>
      </c>
      <c r="AI4320">
        <v>91.264280034835707</v>
      </c>
      <c r="AJ4320">
        <v>93.348902093191498</v>
      </c>
      <c r="AK4320">
        <v>50.266793485548298</v>
      </c>
      <c r="AL4320">
        <v>80.098476101055596</v>
      </c>
      <c r="AM4320">
        <v>90.448241702798995</v>
      </c>
      <c r="AN4320">
        <v>0.99999999287846897</v>
      </c>
    </row>
    <row r="4321" spans="1:40" x14ac:dyDescent="0.25">
      <c r="A4321" t="str">
        <f>"20190312173017136"</f>
        <v>20190312173017136</v>
      </c>
      <c r="B4321" t="str">
        <f>"1552383017131742"</f>
        <v>1552383017131742</v>
      </c>
      <c r="C4321" t="s">
        <v>40</v>
      </c>
      <c r="D4321">
        <v>3.3744900000000002</v>
      </c>
      <c r="E4321">
        <v>0.48268169999999999</v>
      </c>
      <c r="F4321" t="s">
        <v>41</v>
      </c>
      <c r="G4321">
        <v>-350.6311</v>
      </c>
      <c r="H4321" s="1">
        <v>-4.3503730000000002E-6</v>
      </c>
      <c r="I4321">
        <v>137.64959999999999</v>
      </c>
      <c r="J4321">
        <v>-297.49990000000003</v>
      </c>
      <c r="K4321">
        <v>1.1090869999999999</v>
      </c>
      <c r="L4321">
        <v>141.75579999999999</v>
      </c>
      <c r="M4321">
        <v>-0.99976670000000001</v>
      </c>
      <c r="N4321">
        <v>0</v>
      </c>
      <c r="O4321">
        <v>-1.958408E-2</v>
      </c>
      <c r="P4321">
        <v>-0.98629420000000001</v>
      </c>
      <c r="Q4321">
        <v>0.16277849999999999</v>
      </c>
      <c r="R4321">
        <v>-2.6965800000000002E-2</v>
      </c>
      <c r="S4321">
        <v>-3.045776</v>
      </c>
      <c r="T4321">
        <v>-6.3126680000000004E-2</v>
      </c>
      <c r="U4321">
        <v>-0.2341309</v>
      </c>
      <c r="V4321">
        <v>-7.5664790000000001E-3</v>
      </c>
      <c r="W4321">
        <v>0.17177490000000001</v>
      </c>
      <c r="X4321">
        <v>0.98510719999999996</v>
      </c>
      <c r="Y4321">
        <v>-5.7094569999999997E-2</v>
      </c>
      <c r="Z4321">
        <v>-1.8555629999999999E-4</v>
      </c>
      <c r="AA4321">
        <v>0.9983687</v>
      </c>
      <c r="AB4321">
        <v>38</v>
      </c>
      <c r="AC4321">
        <v>-53.1311999999999</v>
      </c>
      <c r="AD4321">
        <v>-1.109091350373</v>
      </c>
      <c r="AE4321">
        <v>-4.1062000000000003</v>
      </c>
      <c r="AF4321">
        <v>-3.0635165650311702</v>
      </c>
      <c r="AG4321">
        <v>-1.109091350373</v>
      </c>
      <c r="AH4321">
        <v>53.178394000177299</v>
      </c>
      <c r="AI4321">
        <v>91.192813450166298</v>
      </c>
      <c r="AJ4321">
        <v>93.2970679995138</v>
      </c>
      <c r="AK4321">
        <v>53.278108129003499</v>
      </c>
      <c r="AL4321">
        <v>80.108968767373</v>
      </c>
      <c r="AM4321">
        <v>90.440072702091797</v>
      </c>
      <c r="AN4321">
        <v>1.0000000316831501</v>
      </c>
    </row>
    <row r="4322" spans="1:40" x14ac:dyDescent="0.25">
      <c r="A4322" t="str">
        <f>"20190312173017160"</f>
        <v>20190312173017160</v>
      </c>
      <c r="B4322" t="str">
        <f>"1552383017152242"</f>
        <v>1552383017152242</v>
      </c>
      <c r="C4322" t="s">
        <v>40</v>
      </c>
      <c r="D4322">
        <v>3.3146810000000002</v>
      </c>
      <c r="E4322">
        <v>0.48260920000000002</v>
      </c>
      <c r="F4322" t="s">
        <v>41</v>
      </c>
      <c r="G4322">
        <v>-351.1395</v>
      </c>
      <c r="H4322" s="1">
        <v>-4.1290569999999999E-6</v>
      </c>
      <c r="I4322">
        <v>137.6678</v>
      </c>
      <c r="J4322">
        <v>-297.8929</v>
      </c>
      <c r="K4322">
        <v>1.1090789999999999</v>
      </c>
      <c r="L4322">
        <v>141.7483</v>
      </c>
      <c r="M4322">
        <v>-0.9997703</v>
      </c>
      <c r="N4322">
        <v>0</v>
      </c>
      <c r="O4322">
        <v>-1.9400219999999999E-2</v>
      </c>
      <c r="P4322">
        <v>-0.98630370000000001</v>
      </c>
      <c r="Q4322">
        <v>0.16271629999999901</v>
      </c>
      <c r="R4322">
        <v>-2.6992430000000001E-2</v>
      </c>
      <c r="S4322">
        <v>-3.045715</v>
      </c>
      <c r="T4322">
        <v>-6.2975409999999996E-2</v>
      </c>
      <c r="U4322">
        <v>-0.23211670000000001</v>
      </c>
      <c r="V4322">
        <v>-7.7727789999999996E-3</v>
      </c>
      <c r="W4322">
        <v>0.17171249999999999</v>
      </c>
      <c r="X4322">
        <v>0.9851164</v>
      </c>
      <c r="Y4322">
        <v>-5.6623399999999997E-2</v>
      </c>
      <c r="Z4322">
        <v>-1.8404979999999999E-4</v>
      </c>
      <c r="AA4322">
        <v>0.99839560000000005</v>
      </c>
      <c r="AB4322">
        <v>38</v>
      </c>
      <c r="AC4322">
        <v>-53.246600000000001</v>
      </c>
      <c r="AD4322">
        <v>-1.109083129057</v>
      </c>
      <c r="AE4322">
        <v>-4.0804999999999998</v>
      </c>
      <c r="AF4322">
        <v>-3.0453798242207601</v>
      </c>
      <c r="AG4322">
        <v>-1.109083129057</v>
      </c>
      <c r="AH4322">
        <v>53.292757608412401</v>
      </c>
      <c r="AI4322">
        <v>91.190277219780697</v>
      </c>
      <c r="AJ4322">
        <v>93.270572998079203</v>
      </c>
      <c r="AK4322">
        <v>53.391220412816303</v>
      </c>
      <c r="AL4322">
        <v>80.112597233080095</v>
      </c>
      <c r="AM4322">
        <v>90.452066568337798</v>
      </c>
      <c r="AN4322">
        <v>0.99999996014929504</v>
      </c>
    </row>
    <row r="4323" spans="1:40" x14ac:dyDescent="0.25">
      <c r="A4323" t="str">
        <f>"20190312173017183"</f>
        <v>20190312173017183</v>
      </c>
      <c r="B4323" t="str">
        <f>"1552383017171762"</f>
        <v>1552383017171762</v>
      </c>
      <c r="C4323" t="s">
        <v>40</v>
      </c>
      <c r="D4323">
        <v>3.315706</v>
      </c>
      <c r="E4323">
        <v>0.48258630000000002</v>
      </c>
      <c r="F4323" t="s">
        <v>41</v>
      </c>
      <c r="G4323">
        <v>-351.37819999999999</v>
      </c>
      <c r="H4323" s="1">
        <v>-4.0272470000000004E-6</v>
      </c>
      <c r="I4323">
        <v>137.66460000000001</v>
      </c>
      <c r="J4323">
        <v>-298.28579999999999</v>
      </c>
      <c r="K4323">
        <v>1.1090719999999901</v>
      </c>
      <c r="L4323">
        <v>141.74080000000001</v>
      </c>
      <c r="M4323">
        <v>-0.99977380000000005</v>
      </c>
      <c r="N4323">
        <v>0</v>
      </c>
      <c r="O4323">
        <v>-1.9216259999999999E-2</v>
      </c>
      <c r="P4323">
        <v>-0.98632739999999997</v>
      </c>
      <c r="Q4323">
        <v>0.16264429999999999</v>
      </c>
      <c r="R4323">
        <v>-2.655691E-2</v>
      </c>
      <c r="S4323">
        <v>-3.045715</v>
      </c>
      <c r="T4323">
        <v>-6.315672E-2</v>
      </c>
      <c r="U4323">
        <v>-0.2325439</v>
      </c>
      <c r="V4323">
        <v>-7.5173359999999899E-3</v>
      </c>
      <c r="W4323">
        <v>0.17164009999999999</v>
      </c>
      <c r="X4323">
        <v>0.98513099999999998</v>
      </c>
      <c r="Y4323">
        <v>-5.6946190000000001E-2</v>
      </c>
      <c r="Z4323">
        <v>-1.9172739999999999E-4</v>
      </c>
      <c r="AA4323">
        <v>0.99837719999999996</v>
      </c>
      <c r="AB4323">
        <v>38</v>
      </c>
      <c r="AC4323">
        <v>-53.092399999999998</v>
      </c>
      <c r="AD4323">
        <v>-1.1090760272469999</v>
      </c>
      <c r="AE4323">
        <v>-4.0762</v>
      </c>
      <c r="AF4323">
        <v>-3.0538427162189898</v>
      </c>
      <c r="AG4323">
        <v>-1.1090760272469999</v>
      </c>
      <c r="AH4323">
        <v>53.1378762232371</v>
      </c>
      <c r="AI4323">
        <v>91.193715676143796</v>
      </c>
      <c r="AJ4323">
        <v>93.289180113719695</v>
      </c>
      <c r="AK4323">
        <v>53.237110125228298</v>
      </c>
      <c r="AL4323">
        <v>80.116807968293998</v>
      </c>
      <c r="AM4323">
        <v>90.437204053362194</v>
      </c>
      <c r="AN4323">
        <v>0.99999996071477204</v>
      </c>
    </row>
    <row r="4324" spans="1:40" x14ac:dyDescent="0.25">
      <c r="A4324" t="str">
        <f>"20190312173017205"</f>
        <v>20190312173017205</v>
      </c>
      <c r="B4324" t="str">
        <f>"1552383017202015"</f>
        <v>1552383017202015</v>
      </c>
      <c r="C4324" t="s">
        <v>40</v>
      </c>
      <c r="D4324">
        <v>3.3350599999999999</v>
      </c>
      <c r="E4324">
        <v>0.48255890000000001</v>
      </c>
      <c r="F4324" t="s">
        <v>41</v>
      </c>
      <c r="G4324">
        <v>-351.7679</v>
      </c>
      <c r="H4324" s="1">
        <v>-3.8582940000000002E-6</v>
      </c>
      <c r="I4324">
        <v>137.67449999999999</v>
      </c>
      <c r="J4324">
        <v>-298.67590000000001</v>
      </c>
      <c r="K4324">
        <v>1.1090679999999999</v>
      </c>
      <c r="L4324">
        <v>141.73349999999999</v>
      </c>
      <c r="M4324">
        <v>-0.99977729999999998</v>
      </c>
      <c r="N4324">
        <v>0</v>
      </c>
      <c r="O4324">
        <v>-1.903326E-2</v>
      </c>
      <c r="P4324">
        <v>-0.98632390000000003</v>
      </c>
      <c r="Q4324">
        <v>0.16273899999999999</v>
      </c>
      <c r="R4324">
        <v>-2.6102770000000001E-2</v>
      </c>
      <c r="S4324">
        <v>-3.0457459999999998</v>
      </c>
      <c r="T4324">
        <v>-6.3160659999999993E-2</v>
      </c>
      <c r="U4324">
        <v>-0.23156740000000001</v>
      </c>
      <c r="V4324">
        <v>-7.2428800000000002E-3</v>
      </c>
      <c r="W4324">
        <v>0.17173550000000001</v>
      </c>
      <c r="X4324">
        <v>0.98511649999999995</v>
      </c>
      <c r="Y4324">
        <v>-5.6809909999999998E-2</v>
      </c>
      <c r="Z4324">
        <v>-1.9411600000000001E-4</v>
      </c>
      <c r="AA4324">
        <v>0.99838499999999997</v>
      </c>
      <c r="AB4324">
        <v>38</v>
      </c>
      <c r="AC4324">
        <v>-53.091999999999899</v>
      </c>
      <c r="AD4324">
        <v>-1.109071858294</v>
      </c>
      <c r="AE4324">
        <v>-4.0589999999999904</v>
      </c>
      <c r="AF4324">
        <v>-3.0463871871291599</v>
      </c>
      <c r="AG4324">
        <v>-1.109071858294</v>
      </c>
      <c r="AH4324">
        <v>53.136588047512902</v>
      </c>
      <c r="AI4324">
        <v>91.193749605510405</v>
      </c>
      <c r="AJ4324">
        <v>93.281246978446603</v>
      </c>
      <c r="AK4324">
        <v>53.235397102039698</v>
      </c>
      <c r="AL4324">
        <v>80.111260255977101</v>
      </c>
      <c r="AM4324">
        <v>90.4212486322171</v>
      </c>
      <c r="AN4324">
        <v>1.0000000299215901</v>
      </c>
    </row>
    <row r="4325" spans="1:40" x14ac:dyDescent="0.25">
      <c r="A4325" t="str">
        <f>"20190312173017226"</f>
        <v>20190312173017226</v>
      </c>
      <c r="B4325" t="str">
        <f>"1552383017222510"</f>
        <v>1552383017222510</v>
      </c>
      <c r="C4325" t="s">
        <v>40</v>
      </c>
      <c r="D4325">
        <v>3.2914859999999999</v>
      </c>
      <c r="E4325">
        <v>0.48258630000000002</v>
      </c>
      <c r="F4325" t="s">
        <v>41</v>
      </c>
      <c r="G4325">
        <v>-352.95409999999998</v>
      </c>
      <c r="H4325" s="1">
        <v>-3.358459E-6</v>
      </c>
      <c r="I4325">
        <v>137.62360000000001</v>
      </c>
      <c r="J4325">
        <v>-299.03210000000001</v>
      </c>
      <c r="K4325">
        <v>1.1090629999999999</v>
      </c>
      <c r="L4325">
        <v>141.7268</v>
      </c>
      <c r="M4325">
        <v>-0.99978040000000001</v>
      </c>
      <c r="N4325">
        <v>0</v>
      </c>
      <c r="O4325">
        <v>-1.886635E-2</v>
      </c>
      <c r="P4325">
        <v>-0.98639290000000002</v>
      </c>
      <c r="Q4325">
        <v>0.16237209999999999</v>
      </c>
      <c r="R4325">
        <v>-2.5781950000000001E-2</v>
      </c>
      <c r="S4325">
        <v>-3.0458069999999999</v>
      </c>
      <c r="T4325">
        <v>-6.2235360000000003E-2</v>
      </c>
      <c r="U4325">
        <v>-0.2306213</v>
      </c>
      <c r="V4325">
        <v>-7.0850380000000001E-3</v>
      </c>
      <c r="W4325">
        <v>0.17136949999999901</v>
      </c>
      <c r="X4325">
        <v>0.98518130000000004</v>
      </c>
      <c r="Y4325">
        <v>-5.6666969999999997E-2</v>
      </c>
      <c r="Z4325">
        <v>-1.9321630000000001E-4</v>
      </c>
      <c r="AA4325">
        <v>0.99839310000000003</v>
      </c>
      <c r="AB4325">
        <v>38</v>
      </c>
      <c r="AC4325">
        <v>-53.921999999999898</v>
      </c>
      <c r="AD4325">
        <v>-1.1090663584589999</v>
      </c>
      <c r="AE4325">
        <v>-4.1031999999999798</v>
      </c>
      <c r="AF4325">
        <v>-3.0838189024934</v>
      </c>
      <c r="AG4325">
        <v>-1.1090663584589999</v>
      </c>
      <c r="AH4325">
        <v>53.967118600531201</v>
      </c>
      <c r="AI4325">
        <v>91.175390333650398</v>
      </c>
      <c r="AJ4325">
        <v>93.270470519516607</v>
      </c>
      <c r="AK4325">
        <v>54.066531766469403</v>
      </c>
      <c r="AL4325">
        <v>80.1325452628015</v>
      </c>
      <c r="AM4325">
        <v>90.412041699286902</v>
      </c>
      <c r="AN4325">
        <v>0.99999994858169905</v>
      </c>
    </row>
    <row r="4326" spans="1:40" x14ac:dyDescent="0.25">
      <c r="A4326" t="str">
        <f>"20190312173017240"</f>
        <v>20190312173017240</v>
      </c>
      <c r="B4326" t="str">
        <f>"1552383017232271"</f>
        <v>1552383017232271</v>
      </c>
      <c r="C4326" t="s">
        <v>40</v>
      </c>
      <c r="D4326">
        <v>3.3246410000000002</v>
      </c>
      <c r="E4326">
        <v>0.4825776</v>
      </c>
      <c r="F4326" t="s">
        <v>41</v>
      </c>
      <c r="G4326">
        <v>-352.27730000000003</v>
      </c>
      <c r="H4326" s="1">
        <v>-3.633155E-6</v>
      </c>
      <c r="I4326">
        <v>137.71170000000001</v>
      </c>
      <c r="J4326">
        <v>-299.26560000000001</v>
      </c>
      <c r="K4326">
        <v>1.109059</v>
      </c>
      <c r="L4326">
        <v>141.7225</v>
      </c>
      <c r="M4326">
        <v>-0.99978259999999997</v>
      </c>
      <c r="N4326">
        <v>0</v>
      </c>
      <c r="O4326">
        <v>-1.8757039999999999E-2</v>
      </c>
      <c r="P4326">
        <v>-0.9864193</v>
      </c>
      <c r="Q4326">
        <v>0.16228090000000001</v>
      </c>
      <c r="R4326">
        <v>-2.534202E-2</v>
      </c>
      <c r="S4326">
        <v>-3.0458069999999999</v>
      </c>
      <c r="T4326">
        <v>-6.3442349999999995E-2</v>
      </c>
      <c r="U4326">
        <v>-0.2296753</v>
      </c>
      <c r="V4326">
        <v>-6.7520779999999999E-3</v>
      </c>
      <c r="W4326">
        <v>0.1712793</v>
      </c>
      <c r="X4326">
        <v>0.98519939999999995</v>
      </c>
      <c r="Y4326">
        <v>-5.6467499999999997E-2</v>
      </c>
      <c r="Z4326">
        <v>-1.9716309999999999E-4</v>
      </c>
      <c r="AA4326">
        <v>0.99840439999999997</v>
      </c>
      <c r="AB4326">
        <v>38</v>
      </c>
      <c r="AC4326">
        <v>-53.011699999999998</v>
      </c>
      <c r="AD4326">
        <v>-1.109062633155</v>
      </c>
      <c r="AE4326">
        <v>-4.0107999999999802</v>
      </c>
      <c r="AF4326">
        <v>-3.0143986490580401</v>
      </c>
      <c r="AG4326">
        <v>-1.109062633155</v>
      </c>
      <c r="AH4326">
        <v>53.054517427377696</v>
      </c>
      <c r="AI4326">
        <v>91.195620719798697</v>
      </c>
      <c r="AJ4326">
        <v>93.251878247570701</v>
      </c>
      <c r="AK4326">
        <v>53.151655087980302</v>
      </c>
      <c r="AL4326">
        <v>80.137791646745399</v>
      </c>
      <c r="AM4326">
        <v>90.392671286040098</v>
      </c>
      <c r="AN4326">
        <v>1.0000000234630799</v>
      </c>
    </row>
    <row r="4327" spans="1:40" x14ac:dyDescent="0.25">
      <c r="A4327" t="str">
        <f>"20190312173017252"</f>
        <v>20190312173017252</v>
      </c>
      <c r="B4327" t="str">
        <f>"1552383017242031"</f>
        <v>1552383017242031</v>
      </c>
      <c r="C4327" t="s">
        <v>40</v>
      </c>
      <c r="D4327">
        <v>3.3006829999999998</v>
      </c>
      <c r="E4327">
        <v>0.48256100000000002</v>
      </c>
      <c r="F4327" t="s">
        <v>41</v>
      </c>
      <c r="G4327">
        <v>-352.55700000000002</v>
      </c>
      <c r="H4327" s="1">
        <v>-3.510321E-6</v>
      </c>
      <c r="I4327">
        <v>137.7277</v>
      </c>
      <c r="J4327">
        <v>-299.4828</v>
      </c>
      <c r="K4327">
        <v>1.109056</v>
      </c>
      <c r="L4327">
        <v>141.71850000000001</v>
      </c>
      <c r="M4327">
        <v>-0.99978440000000002</v>
      </c>
      <c r="N4327">
        <v>0</v>
      </c>
      <c r="O4327">
        <v>-1.8655100000000001E-2</v>
      </c>
      <c r="P4327">
        <v>-0.98644129999999997</v>
      </c>
      <c r="Q4327">
        <v>0.16218440000000001</v>
      </c>
      <c r="R4327">
        <v>-2.5092969999999999E-2</v>
      </c>
      <c r="S4327">
        <v>-3.0458069999999999</v>
      </c>
      <c r="T4327">
        <v>-6.3387159999999998E-2</v>
      </c>
      <c r="U4327">
        <v>-0.2283173</v>
      </c>
      <c r="V4327">
        <v>-6.6032699999999996E-3</v>
      </c>
      <c r="W4327">
        <v>0.17118249999999999</v>
      </c>
      <c r="X4327">
        <v>0.98521720000000002</v>
      </c>
      <c r="Y4327">
        <v>-5.612669E-2</v>
      </c>
      <c r="Z4327">
        <v>-1.9557059999999999E-4</v>
      </c>
      <c r="AA4327">
        <v>0.99842359999999997</v>
      </c>
      <c r="AB4327">
        <v>38</v>
      </c>
      <c r="AC4327">
        <v>-53.074199999999898</v>
      </c>
      <c r="AD4327">
        <v>-1.1090595103209999</v>
      </c>
      <c r="AE4327">
        <v>-3.9908000000000001</v>
      </c>
      <c r="AF4327">
        <v>-2.9986577567767099</v>
      </c>
      <c r="AG4327">
        <v>-1.1090595103209999</v>
      </c>
      <c r="AH4327">
        <v>53.116351693681999</v>
      </c>
      <c r="AI4327">
        <v>91.194250337219998</v>
      </c>
      <c r="AJ4327">
        <v>93.231175524590398</v>
      </c>
      <c r="AK4327">
        <v>53.212487055075897</v>
      </c>
      <c r="AL4327">
        <v>80.143420698777305</v>
      </c>
      <c r="AM4327">
        <v>90.3840105886771</v>
      </c>
      <c r="AN4327">
        <v>0.99999999132839101</v>
      </c>
    </row>
    <row r="4328" spans="1:40" x14ac:dyDescent="0.25">
      <c r="A4328" t="str">
        <f>"20190312173017265"</f>
        <v>20190312173017265</v>
      </c>
      <c r="B4328" t="str">
        <f>"1552383017262527"</f>
        <v>1552383017262527</v>
      </c>
      <c r="C4328" t="s">
        <v>40</v>
      </c>
      <c r="D4328">
        <v>3.2919749999999999</v>
      </c>
      <c r="E4328">
        <v>0.4825566</v>
      </c>
      <c r="F4328" t="s">
        <v>41</v>
      </c>
      <c r="G4328">
        <v>-352.66239999999999</v>
      </c>
      <c r="H4328" s="1">
        <v>-3.4620419999999999E-6</v>
      </c>
      <c r="I4328">
        <v>137.7449</v>
      </c>
      <c r="J4328">
        <v>-299.7056</v>
      </c>
      <c r="K4328">
        <v>1.1090519999999999</v>
      </c>
      <c r="L4328">
        <v>141.71440000000001</v>
      </c>
      <c r="M4328">
        <v>-0.99978650000000002</v>
      </c>
      <c r="N4328">
        <v>0</v>
      </c>
      <c r="O4328">
        <v>-1.8550779999999999E-2</v>
      </c>
      <c r="P4328">
        <v>-0.98640300000000003</v>
      </c>
      <c r="Q4328">
        <v>0.1624815</v>
      </c>
      <c r="R4328">
        <v>-2.468472E-2</v>
      </c>
      <c r="S4328">
        <v>-3.0458980000000002</v>
      </c>
      <c r="T4328">
        <v>-6.3522220000000004E-2</v>
      </c>
      <c r="U4328">
        <v>-0.2275848</v>
      </c>
      <c r="V4328">
        <v>-6.2985209999999996E-3</v>
      </c>
      <c r="W4328">
        <v>0.1714762</v>
      </c>
      <c r="X4328">
        <v>0.98516820000000005</v>
      </c>
      <c r="Y4328">
        <v>-5.5989869999999997E-2</v>
      </c>
      <c r="Z4328">
        <v>-1.9672989999999999E-4</v>
      </c>
      <c r="AA4328">
        <v>0.99843130000000002</v>
      </c>
      <c r="AB4328">
        <v>38</v>
      </c>
      <c r="AC4328">
        <v>-52.956799999999902</v>
      </c>
      <c r="AD4328">
        <v>-1.1090554620419999</v>
      </c>
      <c r="AE4328">
        <v>-3.9695</v>
      </c>
      <c r="AF4328">
        <v>-2.9850843125119599</v>
      </c>
      <c r="AG4328">
        <v>-1.1090554620419999</v>
      </c>
      <c r="AH4328">
        <v>52.998211937216702</v>
      </c>
      <c r="AI4328">
        <v>91.196916093606802</v>
      </c>
      <c r="AJ4328">
        <v>93.223735428921003</v>
      </c>
      <c r="AK4328">
        <v>53.093796256369103</v>
      </c>
      <c r="AL4328">
        <v>80.126341163896996</v>
      </c>
      <c r="AM4328">
        <v>90.366306741974299</v>
      </c>
      <c r="AN4328">
        <v>1.00000007041223</v>
      </c>
    </row>
    <row r="4329" spans="1:40" x14ac:dyDescent="0.25">
      <c r="A4329" t="str">
        <f>"20190312173017282"</f>
        <v>20190312173017282</v>
      </c>
      <c r="B4329" t="str">
        <f>"1552383017272286"</f>
        <v>1552383017272286</v>
      </c>
      <c r="C4329" t="s">
        <v>40</v>
      </c>
      <c r="D4329">
        <v>3.3258139999999998</v>
      </c>
      <c r="E4329">
        <v>0.4825546</v>
      </c>
      <c r="F4329" t="s">
        <v>41</v>
      </c>
      <c r="G4329">
        <v>-354.154</v>
      </c>
      <c r="H4329" s="1">
        <v>-2.8368370000000001E-6</v>
      </c>
      <c r="I4329">
        <v>137.66220000000001</v>
      </c>
      <c r="J4329">
        <v>-300.00729999999999</v>
      </c>
      <c r="K4329">
        <v>1.1090439999999999</v>
      </c>
      <c r="L4329">
        <v>141.7089</v>
      </c>
      <c r="M4329">
        <v>-0.99978909999999999</v>
      </c>
      <c r="N4329">
        <v>0</v>
      </c>
      <c r="O4329">
        <v>-1.8408999999999998E-2</v>
      </c>
      <c r="P4329">
        <v>-0.98638740000000003</v>
      </c>
      <c r="Q4329">
        <v>0.16267029999999999</v>
      </c>
      <c r="R4329">
        <v>-2.4043019999999998E-2</v>
      </c>
      <c r="S4329">
        <v>-3.0459290000000001</v>
      </c>
      <c r="T4329">
        <v>-6.2042239999999999E-2</v>
      </c>
      <c r="U4329">
        <v>-0.22668460000000001</v>
      </c>
      <c r="V4329">
        <v>-5.796626E-3</v>
      </c>
      <c r="W4329">
        <v>0.17165610000000001</v>
      </c>
      <c r="X4329">
        <v>0.98513989999999996</v>
      </c>
      <c r="Y4329">
        <v>-5.5837619999999998E-2</v>
      </c>
      <c r="Z4329">
        <v>-1.9348130000000001E-4</v>
      </c>
      <c r="AA4329">
        <v>0.99843979999999999</v>
      </c>
      <c r="AB4329">
        <v>38</v>
      </c>
      <c r="AC4329">
        <v>-54.146700000000003</v>
      </c>
      <c r="AD4329">
        <v>-1.1090468368369999</v>
      </c>
      <c r="AE4329">
        <v>-4.04669999999998</v>
      </c>
      <c r="AF4329">
        <v>-3.0479147194539999</v>
      </c>
      <c r="AG4329">
        <v>-1.1090468368369999</v>
      </c>
      <c r="AH4329">
        <v>54.1894148929198</v>
      </c>
      <c r="AI4329">
        <v>91.170608703672997</v>
      </c>
      <c r="AJ4329">
        <v>93.219242078195407</v>
      </c>
      <c r="AK4329">
        <v>54.286392912592397</v>
      </c>
      <c r="AL4329">
        <v>80.1158780173906</v>
      </c>
      <c r="AM4329">
        <v>90.337128130086796</v>
      </c>
      <c r="AN4329">
        <v>1.0000000200560999</v>
      </c>
    </row>
    <row r="4330" spans="1:40" x14ac:dyDescent="0.25">
      <c r="A4330" t="str">
        <f>"20190312173017305"</f>
        <v>20190312173017305</v>
      </c>
      <c r="B4330" t="str">
        <f>"1552383017302543"</f>
        <v>1552383017302543</v>
      </c>
      <c r="C4330" t="s">
        <v>40</v>
      </c>
      <c r="D4330">
        <v>3.296532</v>
      </c>
      <c r="E4330">
        <v>0.48255419999999999</v>
      </c>
      <c r="F4330" t="s">
        <v>41</v>
      </c>
      <c r="G4330">
        <v>-355.2534</v>
      </c>
      <c r="H4330" s="1">
        <v>-2.3707750000000002E-6</v>
      </c>
      <c r="I4330">
        <v>137.6309</v>
      </c>
      <c r="J4330">
        <v>-300.38389999999998</v>
      </c>
      <c r="K4330">
        <v>1.109043</v>
      </c>
      <c r="L4330">
        <v>141.7022</v>
      </c>
      <c r="M4330">
        <v>-0.99979240000000003</v>
      </c>
      <c r="N4330">
        <v>0</v>
      </c>
      <c r="O4330">
        <v>-1.823263E-2</v>
      </c>
      <c r="P4330">
        <v>-0.98640050000000001</v>
      </c>
      <c r="Q4330">
        <v>0.16269029999999901</v>
      </c>
      <c r="R4330">
        <v>-2.3369170000000002E-2</v>
      </c>
      <c r="S4330">
        <v>-3.0459900000000002</v>
      </c>
      <c r="T4330">
        <v>-6.114721E-2</v>
      </c>
      <c r="U4330">
        <v>-0.22483829999999999</v>
      </c>
      <c r="V4330">
        <v>-5.2958629999999996E-3</v>
      </c>
      <c r="W4330">
        <v>0.1716636</v>
      </c>
      <c r="X4330">
        <v>0.98514139999999994</v>
      </c>
      <c r="Y4330">
        <v>-5.5410649999999999E-2</v>
      </c>
      <c r="Z4330">
        <v>-1.899452E-4</v>
      </c>
      <c r="AA4330">
        <v>0.99846360000000001</v>
      </c>
      <c r="AB4330">
        <v>38</v>
      </c>
      <c r="AC4330">
        <v>-54.869500000000002</v>
      </c>
      <c r="AD4330">
        <v>-1.1090453707750001</v>
      </c>
      <c r="AE4330">
        <v>-4.0712999999999999</v>
      </c>
      <c r="AF4330">
        <v>-3.0689195862234602</v>
      </c>
      <c r="AG4330">
        <v>-1.1090453707750001</v>
      </c>
      <c r="AH4330">
        <v>54.912300822999299</v>
      </c>
      <c r="AI4330">
        <v>91.155224156139894</v>
      </c>
      <c r="AJ4330">
        <v>93.1987989764947</v>
      </c>
      <c r="AK4330">
        <v>55.009172241879</v>
      </c>
      <c r="AL4330">
        <v>80.115441702581094</v>
      </c>
      <c r="AM4330">
        <v>90.308004186938803</v>
      </c>
      <c r="AN4330">
        <v>1.00000000786191</v>
      </c>
    </row>
    <row r="4331" spans="1:40" x14ac:dyDescent="0.25">
      <c r="A4331" t="str">
        <f>"20190312173017327"</f>
        <v>20190312173017327</v>
      </c>
      <c r="B4331" t="str">
        <f>"1552383017322064"</f>
        <v>1552383017322064</v>
      </c>
      <c r="C4331" t="s">
        <v>40</v>
      </c>
      <c r="D4331">
        <v>3.3412000000000002</v>
      </c>
      <c r="E4331">
        <v>0.48254760000000002</v>
      </c>
      <c r="F4331" t="s">
        <v>41</v>
      </c>
      <c r="G4331">
        <v>-356.23349999999999</v>
      </c>
      <c r="H4331" s="1">
        <v>-1.954572E-6</v>
      </c>
      <c r="I4331">
        <v>137.60679999999999</v>
      </c>
      <c r="J4331">
        <v>-300.77370000000002</v>
      </c>
      <c r="K4331">
        <v>1.1090329999999999</v>
      </c>
      <c r="L4331">
        <v>141.6952</v>
      </c>
      <c r="M4331">
        <v>-0.99979589999999996</v>
      </c>
      <c r="N4331">
        <v>0</v>
      </c>
      <c r="O4331">
        <v>-1.8049920000000001E-2</v>
      </c>
      <c r="P4331">
        <v>-0.98650280000000001</v>
      </c>
      <c r="Q4331">
        <v>0.1621426</v>
      </c>
      <c r="R4331">
        <v>-2.2852440000000002E-2</v>
      </c>
      <c r="S4331">
        <v>-3.0460509999999998</v>
      </c>
      <c r="T4331">
        <v>-6.0487630000000001E-2</v>
      </c>
      <c r="U4331">
        <v>-0.22335820000000001</v>
      </c>
      <c r="V4331">
        <v>-4.9581360000000001E-3</v>
      </c>
      <c r="W4331">
        <v>0.1710989</v>
      </c>
      <c r="X4331">
        <v>0.98524140000000004</v>
      </c>
      <c r="Y4331">
        <v>-5.5109279999999997E-2</v>
      </c>
      <c r="Z4331">
        <v>-1.885295E-4</v>
      </c>
      <c r="AA4331">
        <v>0.99848029999999999</v>
      </c>
      <c r="AB4331">
        <v>39</v>
      </c>
      <c r="AC4331">
        <v>-55.459799999999902</v>
      </c>
      <c r="AD4331">
        <v>-1.109034954572</v>
      </c>
      <c r="AE4331">
        <v>-4.0884</v>
      </c>
      <c r="AF4331">
        <v>-3.08542057203515</v>
      </c>
      <c r="AG4331">
        <v>-1.109034954572</v>
      </c>
      <c r="AH4331">
        <v>55.502487873980499</v>
      </c>
      <c r="AI4331">
        <v>91.142951452419098</v>
      </c>
      <c r="AJ4331">
        <v>93.181835921852496</v>
      </c>
      <c r="AK4331">
        <v>55.599244049160902</v>
      </c>
      <c r="AL4331">
        <v>80.148282602203494</v>
      </c>
      <c r="AM4331">
        <v>90.288333264279899</v>
      </c>
      <c r="AN4331">
        <v>1.00000001648388</v>
      </c>
    </row>
    <row r="4332" spans="1:40" x14ac:dyDescent="0.25">
      <c r="A4332" t="str">
        <f>"20190312173017350"</f>
        <v>20190312173017350</v>
      </c>
      <c r="B4332" t="str">
        <f>"1552383017342089"</f>
        <v>1552383017342089</v>
      </c>
      <c r="C4332" t="s">
        <v>40</v>
      </c>
      <c r="D4332">
        <v>3.3464360000000002</v>
      </c>
      <c r="E4332">
        <v>0.50733760000000006</v>
      </c>
      <c r="F4332" t="s">
        <v>41</v>
      </c>
      <c r="G4332">
        <v>-355.12369999999999</v>
      </c>
      <c r="H4332" s="1">
        <v>-2.4065920000000002E-6</v>
      </c>
      <c r="I4332">
        <v>137.74260000000001</v>
      </c>
      <c r="J4332">
        <v>-301.16559999999998</v>
      </c>
      <c r="K4332">
        <v>1.1090230000000001</v>
      </c>
      <c r="L4332">
        <v>141.6883</v>
      </c>
      <c r="M4332">
        <v>-0.99979949999999995</v>
      </c>
      <c r="N4332">
        <v>0</v>
      </c>
      <c r="O4332">
        <v>-1.7866130000000001E-2</v>
      </c>
      <c r="P4332">
        <v>-0.98651310000000003</v>
      </c>
      <c r="Q4332">
        <v>0.16212699999999999</v>
      </c>
      <c r="R4332">
        <v>-2.2517269999999999E-2</v>
      </c>
      <c r="S4332">
        <v>-3.0461429999999998</v>
      </c>
      <c r="T4332">
        <v>-6.2157869999999997E-2</v>
      </c>
      <c r="U4332">
        <v>-0.2215271</v>
      </c>
      <c r="V4332">
        <v>-4.804071E-3</v>
      </c>
      <c r="W4332">
        <v>0.17106459999999901</v>
      </c>
      <c r="X4332">
        <v>0.98524809999999996</v>
      </c>
      <c r="Y4332">
        <v>-5.469326E-2</v>
      </c>
      <c r="Z4332">
        <v>-1.9323720000000001E-4</v>
      </c>
      <c r="AA4332">
        <v>0.99850320000000004</v>
      </c>
      <c r="AB4332">
        <v>39</v>
      </c>
      <c r="AC4332">
        <v>-53.958100000000002</v>
      </c>
      <c r="AD4332">
        <v>-1.10902540659199</v>
      </c>
      <c r="AE4332">
        <v>-3.94569999999998</v>
      </c>
      <c r="AF4332">
        <v>-2.9797562394494101</v>
      </c>
      <c r="AG4332">
        <v>-1.10902540659199</v>
      </c>
      <c r="AH4332">
        <v>53.997294670478801</v>
      </c>
      <c r="AI4332">
        <v>91.174819108782202</v>
      </c>
      <c r="AJ4332">
        <v>93.158574389415506</v>
      </c>
      <c r="AK4332">
        <v>54.090819150106498</v>
      </c>
      <c r="AL4332">
        <v>80.150277066171498</v>
      </c>
      <c r="AM4332">
        <v>90.279372080389294</v>
      </c>
      <c r="AN4332">
        <v>0.99999999751247104</v>
      </c>
    </row>
    <row r="4333" spans="1:40" x14ac:dyDescent="0.25">
      <c r="A4333" t="str">
        <f>"20190312173017372"</f>
        <v>20190312173017372</v>
      </c>
      <c r="B4333" t="str">
        <f>"1552383017361609"</f>
        <v>1552383017361609</v>
      </c>
      <c r="C4333" t="s">
        <v>40</v>
      </c>
      <c r="D4333">
        <v>3.3653400000000002</v>
      </c>
      <c r="E4333">
        <v>0.51499379999999995</v>
      </c>
      <c r="F4333" t="s">
        <v>41</v>
      </c>
      <c r="G4333">
        <v>-340.01429999999999</v>
      </c>
      <c r="H4333" s="1">
        <v>-4.5851520000000001E-6</v>
      </c>
      <c r="I4333">
        <v>141.38650000000001</v>
      </c>
      <c r="J4333">
        <v>-301.54480000000001</v>
      </c>
      <c r="K4333">
        <v>1.1090150000000001</v>
      </c>
      <c r="L4333">
        <v>141.68170000000001</v>
      </c>
      <c r="M4333">
        <v>-0.99980259999999999</v>
      </c>
      <c r="N4333">
        <v>0</v>
      </c>
      <c r="O4333">
        <v>-1.7688200000000001E-2</v>
      </c>
      <c r="P4333">
        <v>-0.9865505</v>
      </c>
      <c r="Q4333">
        <v>0.16195229999999999</v>
      </c>
      <c r="R4333">
        <v>-2.2135140000000001E-2</v>
      </c>
      <c r="S4333">
        <v>-3.0548099999999998</v>
      </c>
      <c r="T4333">
        <v>-8.720696E-2</v>
      </c>
      <c r="U4333">
        <v>-2.3727419999999999E-2</v>
      </c>
      <c r="V4333">
        <v>-4.5961029999999998E-3</v>
      </c>
      <c r="W4333">
        <v>0.17087339999999901</v>
      </c>
      <c r="X4333">
        <v>0.98528230000000006</v>
      </c>
      <c r="Y4333">
        <v>9.9113680000000003E-3</v>
      </c>
      <c r="Z4333">
        <v>6.462757E-4</v>
      </c>
      <c r="AA4333">
        <v>0.99995060000000002</v>
      </c>
      <c r="AB4333">
        <v>39</v>
      </c>
      <c r="AC4333">
        <v>-38.469499999999897</v>
      </c>
      <c r="AD4333">
        <v>-1.1090195851519999</v>
      </c>
      <c r="AE4333">
        <v>-0.29519999999999402</v>
      </c>
      <c r="AF4333">
        <v>0.38501030240725798</v>
      </c>
      <c r="AG4333">
        <v>-1.1090195851519999</v>
      </c>
      <c r="AH4333">
        <v>38.436760456839203</v>
      </c>
      <c r="AI4333">
        <v>91.652619311676105</v>
      </c>
      <c r="AJ4333">
        <v>89.426103360360599</v>
      </c>
      <c r="AK4333">
        <v>38.454683873224702</v>
      </c>
      <c r="AL4333">
        <v>80.161396017295004</v>
      </c>
      <c r="AM4333">
        <v>90.267268978710305</v>
      </c>
      <c r="AN4333">
        <v>1.0000000268418101</v>
      </c>
    </row>
    <row r="4334" spans="1:40" x14ac:dyDescent="0.25">
      <c r="A4334" t="str">
        <f>"20190312173017387"</f>
        <v>20190312173017387</v>
      </c>
      <c r="B4334" t="str">
        <f>"1552383017382105"</f>
        <v>1552383017382105</v>
      </c>
      <c r="C4334" t="s">
        <v>40</v>
      </c>
      <c r="D4334">
        <v>3.3490039999999999</v>
      </c>
      <c r="E4334">
        <v>0.51857039999999999</v>
      </c>
      <c r="F4334" t="s">
        <v>41</v>
      </c>
      <c r="G4334">
        <v>-339.29899999999998</v>
      </c>
      <c r="H4334" s="1">
        <v>-9.8763359999999999E-7</v>
      </c>
      <c r="I4334">
        <v>142.15610000000001</v>
      </c>
      <c r="J4334">
        <v>-301.81819999999999</v>
      </c>
      <c r="K4334">
        <v>1.1090089999999999</v>
      </c>
      <c r="L4334">
        <v>141.67689999999999</v>
      </c>
      <c r="M4334">
        <v>-0.9998051</v>
      </c>
      <c r="N4334">
        <v>0</v>
      </c>
      <c r="O4334">
        <v>-1.7560240000000001E-2</v>
      </c>
      <c r="P4334">
        <v>-0.98651529999999998</v>
      </c>
      <c r="Q4334">
        <v>0.16217490000000001</v>
      </c>
      <c r="R4334">
        <v>-2.2072729999999999E-2</v>
      </c>
      <c r="S4334">
        <v>-3.0564879999999999</v>
      </c>
      <c r="T4334">
        <v>-8.9783429999999997E-2</v>
      </c>
      <c r="U4334">
        <v>3.8406370000000002E-2</v>
      </c>
      <c r="V4334">
        <v>-4.6607640000000004E-3</v>
      </c>
      <c r="W4334">
        <v>0.17108480000000001</v>
      </c>
      <c r="X4334">
        <v>0.98524529999999999</v>
      </c>
      <c r="Y4334">
        <v>3.0101599999999999E-2</v>
      </c>
      <c r="Z4334">
        <v>9.5771059999999995E-4</v>
      </c>
      <c r="AA4334">
        <v>0.99954639999999995</v>
      </c>
      <c r="AB4334">
        <v>39</v>
      </c>
      <c r="AC4334">
        <v>-37.480800000000002</v>
      </c>
      <c r="AD4334">
        <v>-1.1090099876335999</v>
      </c>
      <c r="AE4334">
        <v>0.47920000000002</v>
      </c>
      <c r="AF4334">
        <v>1.1363300497311799</v>
      </c>
      <c r="AG4334">
        <v>-1.1090099876335999</v>
      </c>
      <c r="AH4334">
        <v>37.433837300203002</v>
      </c>
      <c r="AI4334">
        <v>91.696160110558296</v>
      </c>
      <c r="AJ4334">
        <v>88.261280869242398</v>
      </c>
      <c r="AK4334">
        <v>37.467496902684402</v>
      </c>
      <c r="AL4334">
        <v>80.149102561523094</v>
      </c>
      <c r="AM4334">
        <v>90.271039216891296</v>
      </c>
      <c r="AN4334">
        <v>1.0000000163420899</v>
      </c>
    </row>
    <row r="4335" spans="1:40" x14ac:dyDescent="0.25">
      <c r="A4335" t="str">
        <f>"20190312173017406"</f>
        <v>20190312173017406</v>
      </c>
      <c r="B4335" t="str">
        <f>"1552383017402602"</f>
        <v>1552383017402602</v>
      </c>
      <c r="C4335" t="s">
        <v>40</v>
      </c>
      <c r="D4335">
        <v>3.3482989999999999</v>
      </c>
      <c r="E4335">
        <v>0.52053209999999905</v>
      </c>
      <c r="F4335" t="s">
        <v>41</v>
      </c>
      <c r="G4335">
        <v>-340.30149999999998</v>
      </c>
      <c r="H4335" s="1">
        <v>-4.6886990000000003E-6</v>
      </c>
      <c r="I4335">
        <v>142.5213</v>
      </c>
      <c r="J4335">
        <v>-302.14210000000003</v>
      </c>
      <c r="K4335">
        <v>1.1090059999999999</v>
      </c>
      <c r="L4335">
        <v>141.67140000000001</v>
      </c>
      <c r="M4335">
        <v>-0.99980769999999997</v>
      </c>
      <c r="N4335">
        <v>0</v>
      </c>
      <c r="O4335">
        <v>-1.740819E-2</v>
      </c>
      <c r="P4335">
        <v>-0.98659180000000002</v>
      </c>
      <c r="Q4335">
        <v>0.1617381</v>
      </c>
      <c r="R4335">
        <v>-2.185086E-2</v>
      </c>
      <c r="S4335">
        <v>-3.0569760000000001</v>
      </c>
      <c r="T4335">
        <v>-8.8096259999999996E-2</v>
      </c>
      <c r="U4335">
        <v>6.7077639999999994E-2</v>
      </c>
      <c r="V4335">
        <v>-4.5873659999999998E-3</v>
      </c>
      <c r="W4335">
        <v>0.1706366</v>
      </c>
      <c r="X4335">
        <v>0.98532339999999996</v>
      </c>
      <c r="Y4335">
        <v>3.9315059999999999E-2</v>
      </c>
      <c r="Z4335">
        <v>1.0678389999999999E-3</v>
      </c>
      <c r="AA4335">
        <v>0.99922630000000001</v>
      </c>
      <c r="AB4335">
        <v>39</v>
      </c>
      <c r="AC4335">
        <v>-38.159399999999899</v>
      </c>
      <c r="AD4335">
        <v>-1.1090106886990001</v>
      </c>
      <c r="AE4335">
        <v>0.84989999999999</v>
      </c>
      <c r="AF4335">
        <v>1.51280722910791</v>
      </c>
      <c r="AG4335">
        <v>-1.1090106886990001</v>
      </c>
      <c r="AH4335">
        <v>38.106651055312398</v>
      </c>
      <c r="AI4335">
        <v>91.665686419481801</v>
      </c>
      <c r="AJ4335">
        <v>87.726591697073403</v>
      </c>
      <c r="AK4335">
        <v>38.152789479557498</v>
      </c>
      <c r="AL4335">
        <v>80.175166097317003</v>
      </c>
      <c r="AM4335">
        <v>90.266749791862395</v>
      </c>
      <c r="AN4335">
        <v>1.00000004788696</v>
      </c>
    </row>
    <row r="4336" spans="1:40" x14ac:dyDescent="0.25">
      <c r="A4336" t="str">
        <f>"20190312173017427"</f>
        <v>20190312173017427</v>
      </c>
      <c r="B4336" t="str">
        <f>"1552383017422122"</f>
        <v>1552383017422122</v>
      </c>
      <c r="C4336" t="s">
        <v>40</v>
      </c>
      <c r="D4336">
        <v>3.3178939999999999</v>
      </c>
      <c r="E4336">
        <v>0.52183429999999997</v>
      </c>
      <c r="F4336" t="s">
        <v>41</v>
      </c>
      <c r="G4336">
        <v>-340.24520000000001</v>
      </c>
      <c r="H4336" s="1">
        <v>-4.7402379999999997E-6</v>
      </c>
      <c r="I4336">
        <v>142.7038</v>
      </c>
      <c r="J4336">
        <v>-302.51569999999998</v>
      </c>
      <c r="K4336">
        <v>1.1089990000000001</v>
      </c>
      <c r="L4336">
        <v>141.66499999999999</v>
      </c>
      <c r="M4336">
        <v>-0.99981100000000001</v>
      </c>
      <c r="N4336">
        <v>0</v>
      </c>
      <c r="O4336">
        <v>-1.723278E-2</v>
      </c>
      <c r="P4336">
        <v>-0.98666160000000003</v>
      </c>
      <c r="Q4336">
        <v>0.1613735</v>
      </c>
      <c r="R4336">
        <v>-2.1397059999999999E-2</v>
      </c>
      <c r="S4336">
        <v>-3.0571899999999999</v>
      </c>
      <c r="T4336">
        <v>-8.8981270000000001E-2</v>
      </c>
      <c r="U4336">
        <v>8.2839969999999999E-2</v>
      </c>
      <c r="V4336">
        <v>-4.3057490000000002E-3</v>
      </c>
      <c r="W4336">
        <v>0.17025979999999999</v>
      </c>
      <c r="X4336">
        <v>0.98538979999999998</v>
      </c>
      <c r="Y4336">
        <v>4.4283929999999999E-2</v>
      </c>
      <c r="Z4336">
        <v>1.145603E-3</v>
      </c>
      <c r="AA4336">
        <v>0.99901830000000003</v>
      </c>
      <c r="AB4336">
        <v>39</v>
      </c>
      <c r="AC4336">
        <v>-37.729500000000002</v>
      </c>
      <c r="AD4336">
        <v>-1.109003740238</v>
      </c>
      <c r="AE4336">
        <v>1.0387999999999999</v>
      </c>
      <c r="AF4336">
        <v>1.6873994602858</v>
      </c>
      <c r="AG4336">
        <v>-1.109003740238</v>
      </c>
      <c r="AH4336">
        <v>37.6734702660004</v>
      </c>
      <c r="AI4336">
        <v>91.684456009152896</v>
      </c>
      <c r="AJ4336">
        <v>87.435428905924198</v>
      </c>
      <c r="AK4336">
        <v>37.727543891932001</v>
      </c>
      <c r="AL4336">
        <v>80.197075268776004</v>
      </c>
      <c r="AM4336">
        <v>90.250357447627295</v>
      </c>
      <c r="AN4336">
        <v>0.99999999845726495</v>
      </c>
    </row>
    <row r="4337" spans="1:40" x14ac:dyDescent="0.25">
      <c r="A4337" t="str">
        <f>"20190312173017441"</f>
        <v>20190312173017441</v>
      </c>
      <c r="B4337" t="str">
        <f>"1552383017431881"</f>
        <v>1552383017431881</v>
      </c>
      <c r="C4337" t="s">
        <v>40</v>
      </c>
      <c r="D4337">
        <v>3.3481030000000001</v>
      </c>
      <c r="E4337">
        <v>0.52230829999999995</v>
      </c>
      <c r="F4337" t="s">
        <v>41</v>
      </c>
      <c r="G4337">
        <v>-339.9513</v>
      </c>
      <c r="H4337" s="1">
        <v>-8.5748800000000003E-7</v>
      </c>
      <c r="I4337">
        <v>142.82599999999999</v>
      </c>
      <c r="J4337">
        <v>-302.76749999999998</v>
      </c>
      <c r="K4337">
        <v>1.1089910000000001</v>
      </c>
      <c r="L4337">
        <v>141.66079999999999</v>
      </c>
      <c r="M4337">
        <v>-0.99981310000000001</v>
      </c>
      <c r="N4337">
        <v>0</v>
      </c>
      <c r="O4337">
        <v>-1.711497E-2</v>
      </c>
      <c r="P4337">
        <v>-0.98671229999999999</v>
      </c>
      <c r="Q4337">
        <v>0.16109309999999999</v>
      </c>
      <c r="R4337">
        <v>-2.1164530000000001E-2</v>
      </c>
      <c r="S4337">
        <v>-3.0574340000000002</v>
      </c>
      <c r="T4337">
        <v>-9.0573909999999994E-2</v>
      </c>
      <c r="U4337">
        <v>9.4818120000000006E-2</v>
      </c>
      <c r="V4337">
        <v>-4.1884920000000003E-3</v>
      </c>
      <c r="W4337">
        <v>0.16997219999999999</v>
      </c>
      <c r="X4337">
        <v>0.98543999999999998</v>
      </c>
      <c r="Y4337">
        <v>4.8071740000000002E-2</v>
      </c>
      <c r="Z4337">
        <v>1.2185339999999901E-3</v>
      </c>
      <c r="AA4337">
        <v>0.99884309999999998</v>
      </c>
      <c r="AB4337">
        <v>39</v>
      </c>
      <c r="AC4337">
        <v>-37.183799999999998</v>
      </c>
      <c r="AD4337">
        <v>-1.108991857488</v>
      </c>
      <c r="AE4337">
        <v>1.16519999999999</v>
      </c>
      <c r="AF4337">
        <v>1.79985525189578</v>
      </c>
      <c r="AG4337">
        <v>-1.108991857488</v>
      </c>
      <c r="AH4337">
        <v>37.1254191018215</v>
      </c>
      <c r="AI4337">
        <v>91.7089959353343</v>
      </c>
      <c r="AJ4337">
        <v>87.224450704090003</v>
      </c>
      <c r="AK4337">
        <v>37.185562861864099</v>
      </c>
      <c r="AL4337">
        <v>80.2137977136628</v>
      </c>
      <c r="AM4337">
        <v>90.243527225387794</v>
      </c>
      <c r="AN4337">
        <v>1.0000000429190301</v>
      </c>
    </row>
    <row r="4338" spans="1:40" x14ac:dyDescent="0.25">
      <c r="A4338" t="str">
        <f>"20190312173017461"</f>
        <v>20190312173017461</v>
      </c>
      <c r="B4338" t="str">
        <f>"1552383017452377"</f>
        <v>1552383017452377</v>
      </c>
      <c r="C4338" t="s">
        <v>40</v>
      </c>
      <c r="D4338">
        <v>3.3342619999999998</v>
      </c>
      <c r="E4338">
        <v>0.52307429999999999</v>
      </c>
      <c r="F4338" t="s">
        <v>41</v>
      </c>
      <c r="G4338">
        <v>-339.86770000000001</v>
      </c>
      <c r="H4338" s="1">
        <v>-9.0722810000000005E-7</v>
      </c>
      <c r="I4338">
        <v>142.86429999999999</v>
      </c>
      <c r="J4338">
        <v>-303.09030000000001</v>
      </c>
      <c r="K4338">
        <v>1.1089819999999999</v>
      </c>
      <c r="L4338">
        <v>141.65539999999999</v>
      </c>
      <c r="M4338">
        <v>-0.99981580000000003</v>
      </c>
      <c r="N4338">
        <v>0</v>
      </c>
      <c r="O4338">
        <v>-1.696365E-2</v>
      </c>
      <c r="P4338">
        <v>-0.98676229999999998</v>
      </c>
      <c r="Q4338">
        <v>0.1608165</v>
      </c>
      <c r="R4338">
        <v>-2.0938470000000001E-2</v>
      </c>
      <c r="S4338">
        <v>-3.0574650000000001</v>
      </c>
      <c r="T4338">
        <v>-9.139311E-2</v>
      </c>
      <c r="U4338">
        <v>9.9182129999999993E-2</v>
      </c>
      <c r="V4338">
        <v>-4.1111639999999996E-3</v>
      </c>
      <c r="W4338">
        <v>0.16968699999999901</v>
      </c>
      <c r="X4338">
        <v>0.98548939999999996</v>
      </c>
      <c r="Y4338">
        <v>4.9343440000000002E-2</v>
      </c>
      <c r="Z4338">
        <v>1.2439879999999999E-3</v>
      </c>
      <c r="AA4338">
        <v>0.99878109999999998</v>
      </c>
      <c r="AB4338">
        <v>39</v>
      </c>
      <c r="AC4338">
        <v>-36.7774</v>
      </c>
      <c r="AD4338">
        <v>-1.1089829072280999</v>
      </c>
      <c r="AE4338">
        <v>1.2089000000000001</v>
      </c>
      <c r="AF4338">
        <v>1.83096709258346</v>
      </c>
      <c r="AG4338">
        <v>-1.1089829072280999</v>
      </c>
      <c r="AH4338">
        <v>36.718249010026902</v>
      </c>
      <c r="AI4338">
        <v>91.727804382096096</v>
      </c>
      <c r="AJ4338">
        <v>87.145292402113796</v>
      </c>
      <c r="AK4338">
        <v>36.780593985755502</v>
      </c>
      <c r="AL4338">
        <v>80.230378609876098</v>
      </c>
      <c r="AM4338">
        <v>90.239019293009406</v>
      </c>
      <c r="AN4338">
        <v>0.99999996857539597</v>
      </c>
    </row>
    <row r="4339" spans="1:40" x14ac:dyDescent="0.25">
      <c r="A4339" t="str">
        <f>"20190312173017484"</f>
        <v>20190312173017484</v>
      </c>
      <c r="B4339" t="str">
        <f>"1552383017471897"</f>
        <v>1552383017471897</v>
      </c>
      <c r="C4339" t="s">
        <v>40</v>
      </c>
      <c r="D4339">
        <v>3.3393959999999998</v>
      </c>
      <c r="E4339">
        <v>0.52372070000000004</v>
      </c>
      <c r="F4339" t="s">
        <v>41</v>
      </c>
      <c r="G4339">
        <v>-339.9667</v>
      </c>
      <c r="H4339" s="1">
        <v>-4.8757919999999998E-6</v>
      </c>
      <c r="I4339">
        <v>142.93360000000001</v>
      </c>
      <c r="J4339">
        <v>-303.4896</v>
      </c>
      <c r="K4339">
        <v>1.108986</v>
      </c>
      <c r="L4339">
        <v>141.64869999999999</v>
      </c>
      <c r="M4339">
        <v>-0.99981900000000001</v>
      </c>
      <c r="N4339">
        <v>0</v>
      </c>
      <c r="O4339">
        <v>-1.677669E-2</v>
      </c>
      <c r="P4339">
        <v>-0.9867823</v>
      </c>
      <c r="Q4339">
        <v>0.16073109999999999</v>
      </c>
      <c r="R4339">
        <v>-2.0652690000000001E-2</v>
      </c>
      <c r="S4339">
        <v>-3.0574949999999999</v>
      </c>
      <c r="T4339">
        <v>-9.1948630000000003E-2</v>
      </c>
      <c r="U4339">
        <v>0.1059875</v>
      </c>
      <c r="V4339">
        <v>-4.0092579999999999E-3</v>
      </c>
      <c r="W4339">
        <v>0.16959299999999999</v>
      </c>
      <c r="X4339">
        <v>0.98550610000000005</v>
      </c>
      <c r="Y4339">
        <v>5.1375669999999998E-2</v>
      </c>
      <c r="Z4339">
        <v>1.276412E-3</v>
      </c>
      <c r="AA4339">
        <v>0.99867859999999997</v>
      </c>
      <c r="AB4339">
        <v>39</v>
      </c>
      <c r="AC4339">
        <v>-36.4771</v>
      </c>
      <c r="AD4339">
        <v>-1.108990875792</v>
      </c>
      <c r="AE4339">
        <v>1.2849000000000199</v>
      </c>
      <c r="AF4339">
        <v>1.8949594353125601</v>
      </c>
      <c r="AG4339">
        <v>-1.108990875792</v>
      </c>
      <c r="AH4339">
        <v>36.416790104553797</v>
      </c>
      <c r="AI4339">
        <v>91.7419189291641</v>
      </c>
      <c r="AJ4339">
        <v>87.021282135152504</v>
      </c>
      <c r="AK4339">
        <v>36.482918380294002</v>
      </c>
      <c r="AL4339">
        <v>80.235844587883605</v>
      </c>
      <c r="AM4339">
        <v>90.2330906882314</v>
      </c>
      <c r="AN4339">
        <v>1.00000006646795</v>
      </c>
    </row>
    <row r="4340" spans="1:40" x14ac:dyDescent="0.25">
      <c r="A4340" t="str">
        <f>"20190312173017497"</f>
        <v>20190312173017497</v>
      </c>
      <c r="B4340" t="str">
        <f>"1552383017492394"</f>
        <v>1552383017492394</v>
      </c>
      <c r="C4340" t="s">
        <v>40</v>
      </c>
      <c r="D4340">
        <v>3.3417110000000001</v>
      </c>
      <c r="E4340">
        <v>0.52419759999999904</v>
      </c>
      <c r="F4340" t="s">
        <v>41</v>
      </c>
      <c r="G4340">
        <v>-340.41419999999999</v>
      </c>
      <c r="H4340" s="1">
        <v>-4.7356220000000002E-6</v>
      </c>
      <c r="I4340">
        <v>143.00200000000001</v>
      </c>
      <c r="J4340">
        <v>-303.72199999999998</v>
      </c>
      <c r="K4340">
        <v>1.108984</v>
      </c>
      <c r="L4340">
        <v>141.64490000000001</v>
      </c>
      <c r="M4340">
        <v>-0.99982079999999995</v>
      </c>
      <c r="N4340">
        <v>0</v>
      </c>
      <c r="O4340">
        <v>-1.666807E-2</v>
      </c>
      <c r="P4340">
        <v>-0.98680279999999998</v>
      </c>
      <c r="Q4340">
        <v>0.16061310000000001</v>
      </c>
      <c r="R4340">
        <v>-2.058374E-2</v>
      </c>
      <c r="S4340">
        <v>-3.0574650000000001</v>
      </c>
      <c r="T4340">
        <v>-9.1827629999999993E-2</v>
      </c>
      <c r="U4340">
        <v>0.11206049999999999</v>
      </c>
      <c r="V4340">
        <v>-4.0474079999999997E-3</v>
      </c>
      <c r="W4340">
        <v>0.16947079999999901</v>
      </c>
      <c r="X4340">
        <v>0.98552689999999998</v>
      </c>
      <c r="Y4340">
        <v>5.3247849999999999E-2</v>
      </c>
      <c r="Z4340">
        <v>1.2995400000000001E-3</v>
      </c>
      <c r="AA4340">
        <v>0.99858049999999998</v>
      </c>
      <c r="AB4340">
        <v>39</v>
      </c>
      <c r="AC4340">
        <v>-36.6922</v>
      </c>
      <c r="AD4340">
        <v>-1.1089887356219901</v>
      </c>
      <c r="AE4340">
        <v>1.3571</v>
      </c>
      <c r="AF4340">
        <v>1.9667300968602099</v>
      </c>
      <c r="AG4340">
        <v>-1.1089887356219901</v>
      </c>
      <c r="AH4340">
        <v>36.631064462524101</v>
      </c>
      <c r="AI4340">
        <v>91.731581436217297</v>
      </c>
      <c r="AJ4340">
        <v>86.926727480106706</v>
      </c>
      <c r="AK4340">
        <v>36.7005826513317</v>
      </c>
      <c r="AL4340">
        <v>80.242948335478303</v>
      </c>
      <c r="AM4340">
        <v>90.235303666117602</v>
      </c>
      <c r="AN4340">
        <v>1.00000000209388</v>
      </c>
    </row>
    <row r="4341" spans="1:40" x14ac:dyDescent="0.25">
      <c r="A4341" t="str">
        <f>"20190312173017516"</f>
        <v>20190312173017516</v>
      </c>
      <c r="B4341" t="str">
        <f>"1552383017511914"</f>
        <v>1552383017511914</v>
      </c>
      <c r="C4341" t="s">
        <v>40</v>
      </c>
      <c r="D4341">
        <v>3.3224680000000002</v>
      </c>
      <c r="E4341">
        <v>0.52458139999999998</v>
      </c>
      <c r="F4341" t="s">
        <v>41</v>
      </c>
      <c r="G4341">
        <v>-340.38389999999998</v>
      </c>
      <c r="H4341" s="1">
        <v>-4.7520319999999996E-6</v>
      </c>
      <c r="I4341">
        <v>143.03620000000001</v>
      </c>
      <c r="J4341">
        <v>-304.06470000000002</v>
      </c>
      <c r="K4341">
        <v>1.1089850000000001</v>
      </c>
      <c r="L4341">
        <v>141.63929999999999</v>
      </c>
      <c r="M4341">
        <v>-0.99982349999999998</v>
      </c>
      <c r="N4341">
        <v>0</v>
      </c>
      <c r="O4341">
        <v>-1.650795E-2</v>
      </c>
      <c r="P4341">
        <v>-0.98678770000000005</v>
      </c>
      <c r="Q4341">
        <v>0.16070619999999999</v>
      </c>
      <c r="R4341">
        <v>-2.0584749999999999E-2</v>
      </c>
      <c r="S4341">
        <v>-3.057617</v>
      </c>
      <c r="T4341">
        <v>-9.2490429999999998E-2</v>
      </c>
      <c r="U4341">
        <v>0.1160431</v>
      </c>
      <c r="V4341">
        <v>-4.2061820000000001E-3</v>
      </c>
      <c r="W4341">
        <v>0.16955870000000001</v>
      </c>
      <c r="X4341">
        <v>0.98551109999999997</v>
      </c>
      <c r="Y4341">
        <v>5.4384019999999998E-2</v>
      </c>
      <c r="Z4341">
        <v>1.3211529999999901E-3</v>
      </c>
      <c r="AA4341">
        <v>0.99851920000000005</v>
      </c>
      <c r="AB4341">
        <v>39</v>
      </c>
      <c r="AC4341">
        <v>-36.319199999999903</v>
      </c>
      <c r="AD4341">
        <v>-1.108989752032</v>
      </c>
      <c r="AE4341">
        <v>1.39690000000001</v>
      </c>
      <c r="AF4341">
        <v>1.99443251598058</v>
      </c>
      <c r="AG4341">
        <v>-1.108989752032</v>
      </c>
      <c r="AH4341">
        <v>36.257434703960698</v>
      </c>
      <c r="AI4341">
        <v>91.749291007058901</v>
      </c>
      <c r="AJ4341">
        <v>86.851472836945305</v>
      </c>
      <c r="AK4341">
        <v>36.329178226914003</v>
      </c>
      <c r="AL4341">
        <v>80.237837925013807</v>
      </c>
      <c r="AM4341">
        <v>90.244538101244103</v>
      </c>
      <c r="AN4341">
        <v>0.99999998646795796</v>
      </c>
    </row>
    <row r="4342" spans="1:40" x14ac:dyDescent="0.25">
      <c r="A4342" t="str">
        <f>"20190312173017531"</f>
        <v>20190312173017531</v>
      </c>
      <c r="B4342" t="str">
        <f>"1552383017522650"</f>
        <v>1552383017522650</v>
      </c>
      <c r="C4342" t="s">
        <v>40</v>
      </c>
      <c r="D4342">
        <v>3.33535</v>
      </c>
      <c r="E4342">
        <v>0.52477649999999998</v>
      </c>
      <c r="F4342" t="s">
        <v>41</v>
      </c>
      <c r="G4342">
        <v>-340.5607</v>
      </c>
      <c r="H4342" s="1">
        <v>-4.6966839999999998E-6</v>
      </c>
      <c r="I4342">
        <v>143.0634</v>
      </c>
      <c r="J4342">
        <v>-304.31560000000002</v>
      </c>
      <c r="K4342">
        <v>1.1089830000000001</v>
      </c>
      <c r="L4342">
        <v>141.6353</v>
      </c>
      <c r="M4342">
        <v>-0.99982550000000003</v>
      </c>
      <c r="N4342">
        <v>0</v>
      </c>
      <c r="O4342">
        <v>-1.639063E-2</v>
      </c>
      <c r="P4342">
        <v>-0.98676649999999999</v>
      </c>
      <c r="Q4342">
        <v>0.16087309999999999</v>
      </c>
      <c r="R4342">
        <v>-2.0308420000000001E-2</v>
      </c>
      <c r="S4342">
        <v>-3.0577700000000001</v>
      </c>
      <c r="T4342">
        <v>-9.2915529999999996E-2</v>
      </c>
      <c r="U4342">
        <v>0.1193237</v>
      </c>
      <c r="V4342">
        <v>-4.045351E-3</v>
      </c>
      <c r="W4342">
        <v>0.16972179999999901</v>
      </c>
      <c r="X4342">
        <v>0.98548369999999996</v>
      </c>
      <c r="Y4342">
        <v>5.5333960000000001E-2</v>
      </c>
      <c r="Z4342">
        <v>1.337991E-3</v>
      </c>
      <c r="AA4342">
        <v>0.99846699999999999</v>
      </c>
      <c r="AB4342">
        <v>39</v>
      </c>
      <c r="AC4342">
        <v>-36.245099999999901</v>
      </c>
      <c r="AD4342">
        <v>-1.108987696684</v>
      </c>
      <c r="AE4342">
        <v>1.4280999999999999</v>
      </c>
      <c r="AF4342">
        <v>2.0201237739306102</v>
      </c>
      <c r="AG4342">
        <v>-1.108987696684</v>
      </c>
      <c r="AH4342">
        <v>36.183001265036999</v>
      </c>
      <c r="AI4342">
        <v>91.752804379783896</v>
      </c>
      <c r="AJ4342">
        <v>86.804451666595895</v>
      </c>
      <c r="AK4342">
        <v>36.256314406170198</v>
      </c>
      <c r="AL4342">
        <v>80.228355567325806</v>
      </c>
      <c r="AM4342">
        <v>90.235194389396497</v>
      </c>
      <c r="AN4342">
        <v>0.99999998861282102</v>
      </c>
    </row>
    <row r="4343" spans="1:40" x14ac:dyDescent="0.25">
      <c r="A4343" t="str">
        <f>"20190312173017544"</f>
        <v>20190312173017544</v>
      </c>
      <c r="B4343" t="str">
        <f>"1552383017532410"</f>
        <v>1552383017532410</v>
      </c>
      <c r="C4343" t="s">
        <v>40</v>
      </c>
      <c r="D4343">
        <v>3.3413309999999998</v>
      </c>
      <c r="E4343">
        <v>0.5249549</v>
      </c>
      <c r="F4343" t="s">
        <v>41</v>
      </c>
      <c r="G4343">
        <v>-341.03320000000002</v>
      </c>
      <c r="H4343" s="1">
        <v>-4.5417059999999998E-6</v>
      </c>
      <c r="I4343">
        <v>143.09620000000001</v>
      </c>
      <c r="J4343">
        <v>-304.54689999999999</v>
      </c>
      <c r="K4343">
        <v>1.1089819999999999</v>
      </c>
      <c r="L4343">
        <v>141.63159999999999</v>
      </c>
      <c r="M4343">
        <v>-0.99982720000000003</v>
      </c>
      <c r="N4343">
        <v>0</v>
      </c>
      <c r="O4343">
        <v>-1.6282379999999999E-2</v>
      </c>
      <c r="P4343">
        <v>-0.98677590000000004</v>
      </c>
      <c r="Q4343">
        <v>0.16081790000000001</v>
      </c>
      <c r="R4343">
        <v>-2.027079E-2</v>
      </c>
      <c r="S4343">
        <v>-3.0578310000000002</v>
      </c>
      <c r="T4343">
        <v>-9.2356199999999999E-2</v>
      </c>
      <c r="U4343">
        <v>0.12167360000000001</v>
      </c>
      <c r="V4343">
        <v>-4.1149400000000001E-3</v>
      </c>
      <c r="W4343">
        <v>0.16966400000000001</v>
      </c>
      <c r="X4343">
        <v>0.98549339999999996</v>
      </c>
      <c r="Y4343">
        <v>5.5991340000000001E-2</v>
      </c>
      <c r="Z4343">
        <v>1.3365479999999999E-3</v>
      </c>
      <c r="AA4343">
        <v>0.99843040000000005</v>
      </c>
      <c r="AB4343">
        <v>39</v>
      </c>
      <c r="AC4343">
        <v>-36.4863</v>
      </c>
      <c r="AD4343">
        <v>-1.1089865417060001</v>
      </c>
      <c r="AE4343">
        <v>1.4646000000000099</v>
      </c>
      <c r="AF4343">
        <v>2.0566166169515299</v>
      </c>
      <c r="AG4343">
        <v>-1.1089865417060001</v>
      </c>
      <c r="AH4343">
        <v>36.4240190740217</v>
      </c>
      <c r="AI4343">
        <v>91.741149822729696</v>
      </c>
      <c r="AJ4343">
        <v>86.768328406389301</v>
      </c>
      <c r="AK4343">
        <v>36.498886127709497</v>
      </c>
      <c r="AL4343">
        <v>80.231716344280301</v>
      </c>
      <c r="AM4343">
        <v>90.239237852594798</v>
      </c>
      <c r="AN4343">
        <v>1.0000000235353801</v>
      </c>
    </row>
    <row r="4344" spans="1:40" x14ac:dyDescent="0.25">
      <c r="A4344" t="str">
        <f>"20190312173017561"</f>
        <v>20190312173017561</v>
      </c>
      <c r="B4344" t="str">
        <f>"1552383017551933"</f>
        <v>1552383017551933</v>
      </c>
      <c r="C4344" t="s">
        <v>40</v>
      </c>
      <c r="D4344">
        <v>3.3531550000000001</v>
      </c>
      <c r="E4344">
        <v>0.52525679999999997</v>
      </c>
      <c r="F4344" t="s">
        <v>41</v>
      </c>
      <c r="G4344">
        <v>-341.11360000000002</v>
      </c>
      <c r="H4344" s="1">
        <v>-4.5162000000000001E-6</v>
      </c>
      <c r="I4344">
        <v>143.10679999999999</v>
      </c>
      <c r="J4344">
        <v>-304.86200000000002</v>
      </c>
      <c r="K4344">
        <v>1.1089789999999999</v>
      </c>
      <c r="L4344">
        <v>141.6266</v>
      </c>
      <c r="M4344">
        <v>-0.99982959999999999</v>
      </c>
      <c r="N4344">
        <v>0</v>
      </c>
      <c r="O4344">
        <v>-1.613502E-2</v>
      </c>
      <c r="P4344">
        <v>-0.98673929999999999</v>
      </c>
      <c r="Q4344">
        <v>0.16101889999999999</v>
      </c>
      <c r="R4344">
        <v>-2.0457759999999998E-2</v>
      </c>
      <c r="S4344">
        <v>-3.0578609999999999</v>
      </c>
      <c r="T4344">
        <v>-9.2738269999999998E-2</v>
      </c>
      <c r="U4344">
        <v>0.1233673</v>
      </c>
      <c r="V4344">
        <v>-4.4474889999999998E-3</v>
      </c>
      <c r="W4344">
        <v>0.16986229999999999</v>
      </c>
      <c r="X4344">
        <v>0.98545780000000005</v>
      </c>
      <c r="Y4344">
        <v>5.6395540000000001E-2</v>
      </c>
      <c r="Z4344">
        <v>1.3437049999999999E-3</v>
      </c>
      <c r="AA4344">
        <v>0.99840759999999995</v>
      </c>
      <c r="AB4344">
        <v>39</v>
      </c>
      <c r="AC4344">
        <v>-36.251600000000003</v>
      </c>
      <c r="AD4344">
        <v>-1.1089835161999999</v>
      </c>
      <c r="AE4344">
        <v>1.48019999999999</v>
      </c>
      <c r="AF4344">
        <v>2.0630236897883201</v>
      </c>
      <c r="AG4344">
        <v>-1.1089835161999999</v>
      </c>
      <c r="AH4344">
        <v>36.189185977417203</v>
      </c>
      <c r="AI4344">
        <v>91.752382591252697</v>
      </c>
      <c r="AJ4344">
        <v>86.737291729678901</v>
      </c>
      <c r="AK4344">
        <v>36.264901666651703</v>
      </c>
      <c r="AL4344">
        <v>80.220187292895702</v>
      </c>
      <c r="AM4344">
        <v>90.258580955021003</v>
      </c>
      <c r="AN4344">
        <v>1.0000000283502599</v>
      </c>
    </row>
    <row r="4345" spans="1:40" x14ac:dyDescent="0.25">
      <c r="A4345" t="str">
        <f>"20190312173017575"</f>
        <v>20190312173017575</v>
      </c>
      <c r="B4345" t="str">
        <f>"1552383017562666"</f>
        <v>1552383017562666</v>
      </c>
      <c r="C4345" t="s">
        <v>40</v>
      </c>
      <c r="D4345">
        <v>3.341288</v>
      </c>
      <c r="E4345">
        <v>0.52538229999999997</v>
      </c>
      <c r="F4345" t="s">
        <v>41</v>
      </c>
      <c r="G4345">
        <v>-341.46319999999997</v>
      </c>
      <c r="H4345" s="1">
        <v>-4.4005280000000004E-6</v>
      </c>
      <c r="I4345">
        <v>143.12530000000001</v>
      </c>
      <c r="J4345">
        <v>-305.08629999999999</v>
      </c>
      <c r="K4345">
        <v>1.108978</v>
      </c>
      <c r="L4345">
        <v>141.62299999999999</v>
      </c>
      <c r="M4345">
        <v>-0.99983140000000004</v>
      </c>
      <c r="N4345">
        <v>0</v>
      </c>
      <c r="O4345">
        <v>-1.603011E-2</v>
      </c>
      <c r="P4345">
        <v>-0.98669850000000003</v>
      </c>
      <c r="Q4345">
        <v>0.16125200000000001</v>
      </c>
      <c r="R4345">
        <v>-2.0591729999999999E-2</v>
      </c>
      <c r="S4345">
        <v>-3.0580750000000001</v>
      </c>
      <c r="T4345">
        <v>-9.2657089999999998E-2</v>
      </c>
      <c r="U4345">
        <v>0.1252289</v>
      </c>
      <c r="V4345">
        <v>-4.6855389999999998E-3</v>
      </c>
      <c r="W4345">
        <v>0.17009340000000001</v>
      </c>
      <c r="X4345">
        <v>0.98541679999999998</v>
      </c>
      <c r="Y4345">
        <v>5.6894599999999997E-2</v>
      </c>
      <c r="Z4345">
        <v>1.3467990000000001E-3</v>
      </c>
      <c r="AA4345">
        <v>0.99837929999999997</v>
      </c>
      <c r="AB4345">
        <v>39</v>
      </c>
      <c r="AC4345">
        <v>-36.3768999999999</v>
      </c>
      <c r="AD4345">
        <v>-1.108982400528</v>
      </c>
      <c r="AE4345">
        <v>1.50230000000001</v>
      </c>
      <c r="AF4345">
        <v>2.0833231258392999</v>
      </c>
      <c r="AG4345">
        <v>-1.108982400528</v>
      </c>
      <c r="AH4345">
        <v>36.314449722717903</v>
      </c>
      <c r="AI4345">
        <v>91.746303836391604</v>
      </c>
      <c r="AJ4345">
        <v>86.716598232749405</v>
      </c>
      <c r="AK4345">
        <v>36.3910612084224</v>
      </c>
      <c r="AL4345">
        <v>80.206750371701105</v>
      </c>
      <c r="AM4345">
        <v>90.272432524252906</v>
      </c>
      <c r="AN4345">
        <v>0.99999999436076004</v>
      </c>
    </row>
    <row r="4346" spans="1:40" x14ac:dyDescent="0.25">
      <c r="A4346" t="str">
        <f>"20190312173017589"</f>
        <v>20190312173017589</v>
      </c>
      <c r="B4346" t="str">
        <f>"1552383017582185"</f>
        <v>1552383017582185</v>
      </c>
      <c r="C4346" t="s">
        <v>40</v>
      </c>
      <c r="D4346">
        <v>3.338333</v>
      </c>
      <c r="E4346">
        <v>0.5256324</v>
      </c>
      <c r="F4346" t="s">
        <v>41</v>
      </c>
      <c r="G4346">
        <v>-342.09640000000002</v>
      </c>
      <c r="H4346" s="1">
        <v>-4.1895310000000001E-6</v>
      </c>
      <c r="I4346">
        <v>143.1507</v>
      </c>
      <c r="J4346">
        <v>-305.32670000000002</v>
      </c>
      <c r="K4346">
        <v>1.1089739999999999</v>
      </c>
      <c r="L4346">
        <v>141.61920000000001</v>
      </c>
      <c r="M4346">
        <v>-0.99983330000000004</v>
      </c>
      <c r="N4346">
        <v>0</v>
      </c>
      <c r="O4346">
        <v>-1.591805E-2</v>
      </c>
      <c r="P4346">
        <v>-0.98666229999999999</v>
      </c>
      <c r="Q4346">
        <v>0.16148170000000001</v>
      </c>
      <c r="R4346">
        <v>-2.0534460000000001E-2</v>
      </c>
      <c r="S4346">
        <v>-3.0580440000000002</v>
      </c>
      <c r="T4346">
        <v>-9.1632249999999998E-2</v>
      </c>
      <c r="U4346">
        <v>0.12623599999999999</v>
      </c>
      <c r="V4346">
        <v>-4.7389179999999999E-3</v>
      </c>
      <c r="W4346">
        <v>0.1703218</v>
      </c>
      <c r="X4346">
        <v>0.98537710000000001</v>
      </c>
      <c r="Y4346">
        <v>5.7112019999999999E-2</v>
      </c>
      <c r="Z4346">
        <v>1.3318129999999901E-3</v>
      </c>
      <c r="AA4346">
        <v>0.99836689999999995</v>
      </c>
      <c r="AB4346">
        <v>39</v>
      </c>
      <c r="AC4346">
        <v>-36.7697</v>
      </c>
      <c r="AD4346">
        <v>-1.10897818953099</v>
      </c>
      <c r="AE4346">
        <v>1.5314999999999901</v>
      </c>
      <c r="AF4346">
        <v>2.1147109982329502</v>
      </c>
      <c r="AG4346">
        <v>-1.10897818953099</v>
      </c>
      <c r="AH4346">
        <v>36.7073290870714</v>
      </c>
      <c r="AI4346">
        <v>91.727594090453493</v>
      </c>
      <c r="AJ4346">
        <v>86.702831834018994</v>
      </c>
      <c r="AK4346">
        <v>36.784913265324697</v>
      </c>
      <c r="AL4346">
        <v>80.193470301066597</v>
      </c>
      <c r="AM4346">
        <v>90.275547206826005</v>
      </c>
      <c r="AN4346">
        <v>1.00000000105173</v>
      </c>
    </row>
    <row r="4347" spans="1:40" x14ac:dyDescent="0.25">
      <c r="A4347" t="str">
        <f>"20190312173017608"</f>
        <v>20190312173017608</v>
      </c>
      <c r="B4347" t="str">
        <f>"1552383017602682"</f>
        <v>1552383017602682</v>
      </c>
      <c r="C4347" t="s">
        <v>40</v>
      </c>
      <c r="D4347">
        <v>3.3262429999999998</v>
      </c>
      <c r="E4347">
        <v>0.52585550000000003</v>
      </c>
      <c r="F4347" t="s">
        <v>41</v>
      </c>
      <c r="G4347">
        <v>-342.43549999999999</v>
      </c>
      <c r="H4347" s="1">
        <v>-4.0787749999999998E-6</v>
      </c>
      <c r="I4347">
        <v>143.17679999999999</v>
      </c>
      <c r="J4347">
        <v>-305.66419999999999</v>
      </c>
      <c r="K4347">
        <v>1.108968</v>
      </c>
      <c r="L4347">
        <v>141.614</v>
      </c>
      <c r="M4347">
        <v>-0.99983569999999999</v>
      </c>
      <c r="N4347">
        <v>0</v>
      </c>
      <c r="O4347">
        <v>-1.5760440000000001E-2</v>
      </c>
      <c r="P4347">
        <v>-0.9867281</v>
      </c>
      <c r="Q4347">
        <v>0.16105169999999999</v>
      </c>
      <c r="R4347">
        <v>-2.0746179999999999E-2</v>
      </c>
      <c r="S4347">
        <v>-3.0581969999999998</v>
      </c>
      <c r="T4347">
        <v>-9.1392760000000003E-2</v>
      </c>
      <c r="U4347">
        <v>0.12837219999999999</v>
      </c>
      <c r="V4347">
        <v>-5.1053260000000003E-3</v>
      </c>
      <c r="W4347">
        <v>0.1698914</v>
      </c>
      <c r="X4347">
        <v>0.98544960000000004</v>
      </c>
      <c r="Y4347">
        <v>5.7648779999999997E-2</v>
      </c>
      <c r="Z4347">
        <v>1.331556E-3</v>
      </c>
      <c r="AA4347">
        <v>0.998336</v>
      </c>
      <c r="AB4347">
        <v>39</v>
      </c>
      <c r="AC4347">
        <v>-36.771299999999997</v>
      </c>
      <c r="AD4347">
        <v>-1.1089720787749999</v>
      </c>
      <c r="AE4347">
        <v>1.56279999999998</v>
      </c>
      <c r="AF4347">
        <v>2.1402178714930802</v>
      </c>
      <c r="AG4347">
        <v>-1.1089720787749999</v>
      </c>
      <c r="AH4347">
        <v>36.708773099476801</v>
      </c>
      <c r="AI4347">
        <v>91.727447594074107</v>
      </c>
      <c r="AJ4347">
        <v>86.663282889443906</v>
      </c>
      <c r="AK4347">
        <v>36.787829156907797</v>
      </c>
      <c r="AL4347">
        <v>80.218495441873003</v>
      </c>
      <c r="AM4347">
        <v>90.296830011281102</v>
      </c>
      <c r="AN4347">
        <v>1.0000000331438399</v>
      </c>
    </row>
    <row r="4348" spans="1:40" x14ac:dyDescent="0.25">
      <c r="A4348" t="str">
        <f>"20190312173017630"</f>
        <v>20190312173017630</v>
      </c>
      <c r="B4348" t="str">
        <f>"1552383017622202"</f>
        <v>1552383017622202</v>
      </c>
      <c r="C4348" t="s">
        <v>40</v>
      </c>
      <c r="D4348">
        <v>3.3244199999999999</v>
      </c>
      <c r="E4348">
        <v>0.52602550000000003</v>
      </c>
      <c r="F4348" t="s">
        <v>41</v>
      </c>
      <c r="G4348">
        <v>-342.31990000000002</v>
      </c>
      <c r="H4348" s="1">
        <v>-4.1165670000000003E-6</v>
      </c>
      <c r="I4348">
        <v>143.16800000000001</v>
      </c>
      <c r="J4348">
        <v>-306.05500000000001</v>
      </c>
      <c r="K4348">
        <v>1.1089629999999999</v>
      </c>
      <c r="L4348">
        <v>141.608</v>
      </c>
      <c r="M4348">
        <v>-0.99983849999999996</v>
      </c>
      <c r="N4348">
        <v>0</v>
      </c>
      <c r="O4348">
        <v>-1.5577809999999999E-2</v>
      </c>
      <c r="P4348">
        <v>-0.98671419999999999</v>
      </c>
      <c r="Q4348">
        <v>0.1611078</v>
      </c>
      <c r="R4348">
        <v>-2.0970590000000001E-2</v>
      </c>
      <c r="S4348">
        <v>-3.0581360000000002</v>
      </c>
      <c r="T4348">
        <v>-9.2520240000000004E-2</v>
      </c>
      <c r="U4348">
        <v>0.12965389999999999</v>
      </c>
      <c r="V4348">
        <v>-5.5098559999999996E-3</v>
      </c>
      <c r="W4348">
        <v>0.16994679999999901</v>
      </c>
      <c r="X4348">
        <v>0.98543780000000003</v>
      </c>
      <c r="Y4348">
        <v>5.7884100000000001E-2</v>
      </c>
      <c r="Z4348">
        <v>1.3460259999999999E-3</v>
      </c>
      <c r="AA4348">
        <v>0.99832240000000005</v>
      </c>
      <c r="AB4348">
        <v>39</v>
      </c>
      <c r="AC4348">
        <v>-36.264899999999997</v>
      </c>
      <c r="AD4348">
        <v>-1.1089671165670001</v>
      </c>
      <c r="AE4348">
        <v>1.56</v>
      </c>
      <c r="AF4348">
        <v>2.1227797251067502</v>
      </c>
      <c r="AG4348">
        <v>-1.1089671165670001</v>
      </c>
      <c r="AH4348">
        <v>36.2024060180416</v>
      </c>
      <c r="AI4348">
        <v>91.751552767133106</v>
      </c>
      <c r="AJ4348">
        <v>86.644222685884301</v>
      </c>
      <c r="AK4348">
        <v>36.281540806890803</v>
      </c>
      <c r="AL4348">
        <v>80.215273747355099</v>
      </c>
      <c r="AM4348">
        <v>90.320353252970904</v>
      </c>
      <c r="AN4348">
        <v>0.99999996550610903</v>
      </c>
    </row>
    <row r="4349" spans="1:40" x14ac:dyDescent="0.25">
      <c r="A4349" t="str">
        <f>"20190312173017651"</f>
        <v>20190312173017651</v>
      </c>
      <c r="B4349" t="str">
        <f>"1552383017641724"</f>
        <v>1552383017641724</v>
      </c>
      <c r="C4349" t="s">
        <v>40</v>
      </c>
      <c r="D4349">
        <v>3.304084</v>
      </c>
      <c r="E4349">
        <v>0.52618940000000003</v>
      </c>
      <c r="F4349" t="s">
        <v>41</v>
      </c>
      <c r="G4349">
        <v>-342.7165</v>
      </c>
      <c r="H4349" s="1">
        <v>-3.9825969999999999E-6</v>
      </c>
      <c r="I4349">
        <v>143.17359999999999</v>
      </c>
      <c r="J4349">
        <v>-306.42950000000002</v>
      </c>
      <c r="K4349">
        <v>1.1089580000000001</v>
      </c>
      <c r="L4349">
        <v>141.60230000000001</v>
      </c>
      <c r="M4349">
        <v>-0.99984130000000004</v>
      </c>
      <c r="N4349">
        <v>0</v>
      </c>
      <c r="O4349">
        <v>-1.540305E-2</v>
      </c>
      <c r="P4349">
        <v>-0.98669819999999997</v>
      </c>
      <c r="Q4349">
        <v>0.16113720000000001</v>
      </c>
      <c r="R4349">
        <v>-2.148253E-2</v>
      </c>
      <c r="S4349">
        <v>-3.058319</v>
      </c>
      <c r="T4349">
        <v>-9.2510700000000001E-2</v>
      </c>
      <c r="U4349">
        <v>0.13061519999999999</v>
      </c>
      <c r="V4349">
        <v>-6.1944560000000001E-3</v>
      </c>
      <c r="W4349">
        <v>0.1699764</v>
      </c>
      <c r="X4349">
        <v>0.98542859999999999</v>
      </c>
      <c r="Y4349">
        <v>5.8020330000000002E-2</v>
      </c>
      <c r="Z4349">
        <v>1.342574E-3</v>
      </c>
      <c r="AA4349">
        <v>0.99831449999999999</v>
      </c>
      <c r="AB4349">
        <v>39</v>
      </c>
      <c r="AC4349">
        <v>-36.2869999999999</v>
      </c>
      <c r="AD4349">
        <v>-1.1089619825970001</v>
      </c>
      <c r="AE4349">
        <v>1.5712999999999699</v>
      </c>
      <c r="AF4349">
        <v>2.12808260560687</v>
      </c>
      <c r="AG4349">
        <v>-1.1089619825970001</v>
      </c>
      <c r="AH4349">
        <v>36.224721652525297</v>
      </c>
      <c r="AI4349">
        <v>91.750455042481093</v>
      </c>
      <c r="AJ4349">
        <v>86.637926571939303</v>
      </c>
      <c r="AK4349">
        <v>36.304118100541501</v>
      </c>
      <c r="AL4349">
        <v>80.2135524689416</v>
      </c>
      <c r="AM4349">
        <v>90.3601595392267</v>
      </c>
      <c r="AN4349">
        <v>0.99999993677002497</v>
      </c>
    </row>
    <row r="4350" spans="1:40" x14ac:dyDescent="0.25">
      <c r="A4350" t="str">
        <f>"20190312173017665"</f>
        <v>20190312173017665</v>
      </c>
      <c r="B4350" t="str">
        <f>"1552383017652458"</f>
        <v>1552383017652458</v>
      </c>
      <c r="C4350" t="s">
        <v>40</v>
      </c>
      <c r="D4350">
        <v>3.2819729999999998</v>
      </c>
      <c r="E4350">
        <v>0.52626119999999899</v>
      </c>
      <c r="F4350" t="s">
        <v>41</v>
      </c>
      <c r="G4350">
        <v>-343.11070000000001</v>
      </c>
      <c r="H4350" s="1">
        <v>-3.8470690000000002E-6</v>
      </c>
      <c r="I4350">
        <v>143.16579999999999</v>
      </c>
      <c r="J4350">
        <v>-306.6746</v>
      </c>
      <c r="K4350">
        <v>1.1089560000000001</v>
      </c>
      <c r="L4350">
        <v>141.5986</v>
      </c>
      <c r="M4350">
        <v>-0.99984309999999998</v>
      </c>
      <c r="N4350">
        <v>0</v>
      </c>
      <c r="O4350">
        <v>-1.528908E-2</v>
      </c>
      <c r="P4350">
        <v>-0.98672459999999995</v>
      </c>
      <c r="Q4350">
        <v>0.1609951</v>
      </c>
      <c r="R4350">
        <v>-2.135045E-2</v>
      </c>
      <c r="S4350">
        <v>-3.058411</v>
      </c>
      <c r="T4350">
        <v>-9.2463370000000003E-2</v>
      </c>
      <c r="U4350">
        <v>0.13037109999999999</v>
      </c>
      <c r="V4350">
        <v>-6.1744039999999997E-3</v>
      </c>
      <c r="W4350">
        <v>0.16983500000000001</v>
      </c>
      <c r="X4350">
        <v>0.98545320000000003</v>
      </c>
      <c r="Y4350">
        <v>5.7825889999999998E-2</v>
      </c>
      <c r="Z4350">
        <v>1.3354689999999999E-3</v>
      </c>
      <c r="AA4350">
        <v>0.99832580000000004</v>
      </c>
      <c r="AB4350">
        <v>39</v>
      </c>
      <c r="AC4350">
        <v>-36.436100000000003</v>
      </c>
      <c r="AD4350">
        <v>-1.1089598470690001</v>
      </c>
      <c r="AE4350">
        <v>1.5671999999999799</v>
      </c>
      <c r="AF4350">
        <v>2.12215134897605</v>
      </c>
      <c r="AG4350">
        <v>-1.1089598470690001</v>
      </c>
      <c r="AH4350">
        <v>36.374246327612497</v>
      </c>
      <c r="AI4350">
        <v>91.743301612152905</v>
      </c>
      <c r="AJ4350">
        <v>86.661026618407504</v>
      </c>
      <c r="AK4350">
        <v>36.452971266992797</v>
      </c>
      <c r="AL4350">
        <v>80.221774545628506</v>
      </c>
      <c r="AM4350">
        <v>90.358984740245901</v>
      </c>
      <c r="AN4350">
        <v>1.00000002993999</v>
      </c>
    </row>
    <row r="4351" spans="1:40" x14ac:dyDescent="0.25">
      <c r="A4351" t="str">
        <f>"20190312173017677"</f>
        <v>20190312173017677</v>
      </c>
      <c r="B4351" t="str">
        <f>"1552383017672954"</f>
        <v>1552383017672954</v>
      </c>
      <c r="C4351" t="s">
        <v>40</v>
      </c>
      <c r="D4351">
        <v>3.2866219999999999</v>
      </c>
      <c r="E4351">
        <v>0.52642109999999998</v>
      </c>
      <c r="F4351" t="s">
        <v>41</v>
      </c>
      <c r="G4351">
        <v>-343.07389999999998</v>
      </c>
      <c r="H4351" s="1">
        <v>-3.8587290000000002E-6</v>
      </c>
      <c r="I4351">
        <v>143.161</v>
      </c>
      <c r="J4351">
        <v>-306.91660000000002</v>
      </c>
      <c r="K4351">
        <v>1.1089469999999999</v>
      </c>
      <c r="L4351">
        <v>141.595</v>
      </c>
      <c r="M4351">
        <v>-0.99984479999999998</v>
      </c>
      <c r="N4351">
        <v>0</v>
      </c>
      <c r="O4351">
        <v>-1.517608E-2</v>
      </c>
      <c r="P4351">
        <v>-0.98674539999999999</v>
      </c>
      <c r="Q4351">
        <v>0.16086149999999999</v>
      </c>
      <c r="R4351">
        <v>-2.138441E-2</v>
      </c>
      <c r="S4351">
        <v>-3.0584410000000002</v>
      </c>
      <c r="T4351">
        <v>-9.3180180000000001E-2</v>
      </c>
      <c r="U4351">
        <v>0.1312866</v>
      </c>
      <c r="V4351">
        <v>-6.31928E-3</v>
      </c>
      <c r="W4351">
        <v>0.16970250000000001</v>
      </c>
      <c r="X4351">
        <v>0.98547510000000005</v>
      </c>
      <c r="Y4351">
        <v>5.801038E-2</v>
      </c>
      <c r="Z4351">
        <v>1.3451629999999999E-3</v>
      </c>
      <c r="AA4351">
        <v>0.99831510000000001</v>
      </c>
      <c r="AB4351">
        <v>40</v>
      </c>
      <c r="AC4351">
        <v>-36.1572999999999</v>
      </c>
      <c r="AD4351">
        <v>-1.108950858729</v>
      </c>
      <c r="AE4351">
        <v>1.5660000000000001</v>
      </c>
      <c r="AF4351">
        <v>2.1125841822048201</v>
      </c>
      <c r="AG4351">
        <v>-1.108950858729</v>
      </c>
      <c r="AH4351">
        <v>36.095478981606398</v>
      </c>
      <c r="AI4351">
        <v>91.756723622454203</v>
      </c>
      <c r="AJ4351">
        <v>86.650432829645993</v>
      </c>
      <c r="AK4351">
        <v>36.174250328729201</v>
      </c>
      <c r="AL4351">
        <v>80.229477985228797</v>
      </c>
      <c r="AM4351">
        <v>90.367399552807299</v>
      </c>
      <c r="AN4351">
        <v>1.0000000222629799</v>
      </c>
    </row>
    <row r="4352" spans="1:40" x14ac:dyDescent="0.25">
      <c r="A4352" t="str">
        <f>"20190312173017696"</f>
        <v>20190312173017696</v>
      </c>
      <c r="B4352" t="str">
        <f>"1552383017692473"</f>
        <v>1552383017692473</v>
      </c>
      <c r="C4352" t="s">
        <v>40</v>
      </c>
      <c r="D4352">
        <v>3.278718</v>
      </c>
      <c r="E4352">
        <v>0.52656049999999999</v>
      </c>
      <c r="F4352" t="s">
        <v>41</v>
      </c>
      <c r="G4352">
        <v>-343.12790000000001</v>
      </c>
      <c r="H4352" s="1">
        <v>-3.8408709999999998E-6</v>
      </c>
      <c r="I4352">
        <v>143.16390000000001</v>
      </c>
      <c r="J4352">
        <v>-307.2269</v>
      </c>
      <c r="K4352">
        <v>1.10894</v>
      </c>
      <c r="L4352">
        <v>141.59039999999999</v>
      </c>
      <c r="M4352">
        <v>-0.99984709999999999</v>
      </c>
      <c r="N4352">
        <v>0</v>
      </c>
      <c r="O4352">
        <v>-1.503148E-2</v>
      </c>
      <c r="P4352">
        <v>-0.9868188</v>
      </c>
      <c r="Q4352">
        <v>0.16034010000000001</v>
      </c>
      <c r="R4352">
        <v>-2.1916789999999998E-2</v>
      </c>
      <c r="S4352">
        <v>-3.0584720000000001</v>
      </c>
      <c r="T4352">
        <v>-9.3664170000000005E-2</v>
      </c>
      <c r="U4352">
        <v>0.13252259999999999</v>
      </c>
      <c r="V4352">
        <v>-6.9932939999999997E-3</v>
      </c>
      <c r="W4352">
        <v>0.16918320000000001</v>
      </c>
      <c r="X4352">
        <v>0.98555979999999999</v>
      </c>
      <c r="Y4352">
        <v>5.8267850000000003E-2</v>
      </c>
      <c r="Z4352">
        <v>1.351636E-3</v>
      </c>
      <c r="AA4352">
        <v>0.99830010000000002</v>
      </c>
      <c r="AB4352">
        <v>40</v>
      </c>
      <c r="AC4352">
        <v>-35.901000000000003</v>
      </c>
      <c r="AD4352">
        <v>-1.108943840871</v>
      </c>
      <c r="AE4352">
        <v>1.5735000000000201</v>
      </c>
      <c r="AF4352">
        <v>2.1109786390273499</v>
      </c>
      <c r="AG4352">
        <v>-1.108943840871</v>
      </c>
      <c r="AH4352">
        <v>35.839161100348399</v>
      </c>
      <c r="AI4352">
        <v>91.769229705882594</v>
      </c>
      <c r="AJ4352">
        <v>86.629090098034993</v>
      </c>
      <c r="AK4352">
        <v>35.918399959259901</v>
      </c>
      <c r="AL4352">
        <v>80.259667919896302</v>
      </c>
      <c r="AM4352">
        <v>90.406550172273199</v>
      </c>
      <c r="AN4352">
        <v>0.99999999034962495</v>
      </c>
    </row>
    <row r="4353" spans="1:40" x14ac:dyDescent="0.25">
      <c r="A4353" t="str">
        <f>"20190312173017711"</f>
        <v>20190312173017711</v>
      </c>
      <c r="B4353" t="str">
        <f>"1552383017702234"</f>
        <v>1552383017702234</v>
      </c>
      <c r="C4353" t="s">
        <v>40</v>
      </c>
      <c r="D4353">
        <v>3.2845849999999999</v>
      </c>
      <c r="E4353">
        <v>0.52664270000000002</v>
      </c>
      <c r="F4353" t="s">
        <v>41</v>
      </c>
      <c r="G4353">
        <v>-342.7978</v>
      </c>
      <c r="H4353" s="1">
        <v>-3.9466550000000001E-6</v>
      </c>
      <c r="I4353">
        <v>143.12690000000001</v>
      </c>
      <c r="J4353">
        <v>-307.49149999999997</v>
      </c>
      <c r="K4353">
        <v>1.108938</v>
      </c>
      <c r="L4353">
        <v>141.5865</v>
      </c>
      <c r="M4353">
        <v>-0.99984890000000004</v>
      </c>
      <c r="N4353">
        <v>0</v>
      </c>
      <c r="O4353">
        <v>-1.490702E-2</v>
      </c>
      <c r="P4353">
        <v>-0.98686479999999999</v>
      </c>
      <c r="Q4353">
        <v>0.16004209999999999</v>
      </c>
      <c r="R4353">
        <v>-2.20196E-2</v>
      </c>
      <c r="S4353">
        <v>-3.0585330000000002</v>
      </c>
      <c r="T4353">
        <v>-9.5351930000000001E-2</v>
      </c>
      <c r="U4353">
        <v>0.13212589999999999</v>
      </c>
      <c r="V4353">
        <v>-7.21783199999999E-3</v>
      </c>
      <c r="W4353">
        <v>0.16888710000000001</v>
      </c>
      <c r="X4353">
        <v>0.98560899999999996</v>
      </c>
      <c r="Y4353">
        <v>5.8012399999999999E-2</v>
      </c>
      <c r="Z4353">
        <v>1.368099E-3</v>
      </c>
      <c r="AA4353">
        <v>0.99831490000000001</v>
      </c>
      <c r="AB4353">
        <v>40</v>
      </c>
      <c r="AC4353">
        <v>-35.3063</v>
      </c>
      <c r="AD4353">
        <v>-1.1089419466549999</v>
      </c>
      <c r="AE4353">
        <v>1.5404</v>
      </c>
      <c r="AF4353">
        <v>2.06452872288948</v>
      </c>
      <c r="AG4353">
        <v>-1.1089419466549999</v>
      </c>
      <c r="AH4353">
        <v>35.244708772080102</v>
      </c>
      <c r="AI4353">
        <v>91.799081920432002</v>
      </c>
      <c r="AJ4353">
        <v>86.647616871592405</v>
      </c>
      <c r="AK4353">
        <v>35.3225356892371</v>
      </c>
      <c r="AL4353">
        <v>80.276881237519504</v>
      </c>
      <c r="AM4353">
        <v>90.419582124569004</v>
      </c>
      <c r="AN4353">
        <v>1.0000000252630901</v>
      </c>
    </row>
    <row r="4354" spans="1:40" x14ac:dyDescent="0.25">
      <c r="A4354" t="str">
        <f>"20190312173017724"</f>
        <v>20190312173017724</v>
      </c>
      <c r="B4354" t="str">
        <f>"1552383017711994"</f>
        <v>1552383017711994</v>
      </c>
      <c r="C4354" t="s">
        <v>40</v>
      </c>
      <c r="D4354">
        <v>3.2742840000000002</v>
      </c>
      <c r="E4354">
        <v>0.5267001</v>
      </c>
      <c r="F4354" t="s">
        <v>41</v>
      </c>
      <c r="G4354">
        <v>-342.68970000000002</v>
      </c>
      <c r="H4354" s="1">
        <v>-3.9813929999999997E-6</v>
      </c>
      <c r="I4354">
        <v>143.11539999999999</v>
      </c>
      <c r="J4354">
        <v>-307.73</v>
      </c>
      <c r="K4354">
        <v>1.1089329999999999</v>
      </c>
      <c r="L4354">
        <v>141.583</v>
      </c>
      <c r="M4354">
        <v>-0.99985040000000003</v>
      </c>
      <c r="N4354">
        <v>0</v>
      </c>
      <c r="O4354">
        <v>-1.479341E-2</v>
      </c>
      <c r="P4354">
        <v>-0.98692069999999998</v>
      </c>
      <c r="Q4354">
        <v>0.15968370000000001</v>
      </c>
      <c r="R4354">
        <v>-2.2108200000000001E-2</v>
      </c>
      <c r="S4354">
        <v>-3.0585019999999998</v>
      </c>
      <c r="T4354">
        <v>-9.636045E-2</v>
      </c>
      <c r="U4354">
        <v>0.13285829999999901</v>
      </c>
      <c r="V4354">
        <v>-7.4180299999999999E-3</v>
      </c>
      <c r="W4354">
        <v>0.16852990000000001</v>
      </c>
      <c r="X4354">
        <v>0.98566860000000001</v>
      </c>
      <c r="Y4354">
        <v>5.8137269999999998E-2</v>
      </c>
      <c r="Z4354">
        <v>1.3809569999999999E-3</v>
      </c>
      <c r="AA4354">
        <v>0.99830759999999996</v>
      </c>
      <c r="AB4354">
        <v>40</v>
      </c>
      <c r="AC4354">
        <v>-34.959699999999998</v>
      </c>
      <c r="AD4354">
        <v>-1.1089369813929999</v>
      </c>
      <c r="AE4354">
        <v>1.53239999999999</v>
      </c>
      <c r="AF4354">
        <v>2.0473701630600698</v>
      </c>
      <c r="AG4354">
        <v>-1.1089369813929999</v>
      </c>
      <c r="AH4354">
        <v>34.8981570685417</v>
      </c>
      <c r="AI4354">
        <v>91.816917879849996</v>
      </c>
      <c r="AJ4354">
        <v>86.642476996324802</v>
      </c>
      <c r="AK4354">
        <v>34.975746347917998</v>
      </c>
      <c r="AL4354">
        <v>80.297644391583404</v>
      </c>
      <c r="AM4354">
        <v>90.431193392290794</v>
      </c>
      <c r="AN4354">
        <v>0.99999997169452504</v>
      </c>
    </row>
    <row r="4355" spans="1:40" x14ac:dyDescent="0.25">
      <c r="A4355" t="str">
        <f>"20190312173017740"</f>
        <v>20190312173017740</v>
      </c>
      <c r="B4355" t="str">
        <f>"1552383017732489"</f>
        <v>1552383017732489</v>
      </c>
      <c r="C4355" t="s">
        <v>40</v>
      </c>
      <c r="D4355">
        <v>3.2530999999999999</v>
      </c>
      <c r="E4355">
        <v>0.52680559999999998</v>
      </c>
      <c r="F4355" t="s">
        <v>41</v>
      </c>
      <c r="G4355">
        <v>-342.50889999999998</v>
      </c>
      <c r="H4355" s="1">
        <v>-4.0396740000000002E-6</v>
      </c>
      <c r="I4355">
        <v>143.09710000000001</v>
      </c>
      <c r="J4355">
        <v>-308.02030000000002</v>
      </c>
      <c r="K4355">
        <v>1.108935</v>
      </c>
      <c r="L4355">
        <v>141.5788</v>
      </c>
      <c r="M4355">
        <v>-0.99985250000000003</v>
      </c>
      <c r="N4355">
        <v>0</v>
      </c>
      <c r="O4355">
        <v>-1.4650689999999999E-2</v>
      </c>
      <c r="P4355">
        <v>-0.98693600000000004</v>
      </c>
      <c r="Q4355">
        <v>0.15960070000000001</v>
      </c>
      <c r="R4355">
        <v>-2.2025010000000001E-2</v>
      </c>
      <c r="S4355">
        <v>-3.0585629999999999</v>
      </c>
      <c r="T4355">
        <v>-9.7523689999999996E-2</v>
      </c>
      <c r="U4355">
        <v>0.13316349999999999</v>
      </c>
      <c r="V4355">
        <v>-7.4740680000000004E-3</v>
      </c>
      <c r="W4355">
        <v>0.16844909999999999</v>
      </c>
      <c r="X4355">
        <v>0.98568199999999995</v>
      </c>
      <c r="Y4355">
        <v>5.8092560000000001E-2</v>
      </c>
      <c r="Z4355">
        <v>1.3923290000000001E-3</v>
      </c>
      <c r="AA4355">
        <v>0.99831020000000004</v>
      </c>
      <c r="AB4355">
        <v>40</v>
      </c>
      <c r="AC4355">
        <v>-34.488599999999899</v>
      </c>
      <c r="AD4355">
        <v>-1.108939039674</v>
      </c>
      <c r="AE4355">
        <v>1.51830000000001</v>
      </c>
      <c r="AF4355">
        <v>2.0213533505304899</v>
      </c>
      <c r="AG4355">
        <v>-1.108939039674</v>
      </c>
      <c r="AH4355">
        <v>34.427128916933299</v>
      </c>
      <c r="AI4355">
        <v>91.841758103083507</v>
      </c>
      <c r="AJ4355">
        <v>86.639795128743302</v>
      </c>
      <c r="AK4355">
        <v>34.5042435161903</v>
      </c>
      <c r="AL4355">
        <v>80.302341147751605</v>
      </c>
      <c r="AM4355">
        <v>90.434444724773499</v>
      </c>
      <c r="AN4355">
        <v>0.99999998305363902</v>
      </c>
    </row>
    <row r="4356" spans="1:40" x14ac:dyDescent="0.25">
      <c r="A4356" t="str">
        <f>"20190312173017756"</f>
        <v>20190312173017756</v>
      </c>
      <c r="B4356" t="str">
        <f>"1552383017752011"</f>
        <v>1552383017752011</v>
      </c>
      <c r="C4356" t="s">
        <v>40</v>
      </c>
      <c r="D4356">
        <v>3.2678989999999999</v>
      </c>
      <c r="E4356">
        <v>0.52680059999999995</v>
      </c>
      <c r="F4356" t="s">
        <v>41</v>
      </c>
      <c r="G4356">
        <v>-342.73719999999997</v>
      </c>
      <c r="H4356" s="1">
        <v>-3.9635360000000004E-6</v>
      </c>
      <c r="I4356">
        <v>143.10579999999999</v>
      </c>
      <c r="J4356">
        <v>-308.2987</v>
      </c>
      <c r="K4356">
        <v>1.1089279999999999</v>
      </c>
      <c r="L4356">
        <v>141.57490000000001</v>
      </c>
      <c r="M4356">
        <v>-0.99985469999999999</v>
      </c>
      <c r="N4356">
        <v>0</v>
      </c>
      <c r="O4356">
        <v>-1.4507239999999999E-2</v>
      </c>
      <c r="P4356">
        <v>-0.98687760000000002</v>
      </c>
      <c r="Q4356">
        <v>0.15999449999999901</v>
      </c>
      <c r="R4356">
        <v>-2.1788950000000001E-2</v>
      </c>
      <c r="S4356">
        <v>-3.0585330000000002</v>
      </c>
      <c r="T4356">
        <v>-9.7696900000000003E-2</v>
      </c>
      <c r="U4356">
        <v>0.13453670000000001</v>
      </c>
      <c r="V4356">
        <v>-7.3781509999999899E-3</v>
      </c>
      <c r="W4356">
        <v>0.1688443</v>
      </c>
      <c r="X4356">
        <v>0.98561509999999997</v>
      </c>
      <c r="Y4356">
        <v>5.839693E-2</v>
      </c>
      <c r="Z4356">
        <v>1.395079E-3</v>
      </c>
      <c r="AA4356">
        <v>0.99829239999999997</v>
      </c>
      <c r="AB4356">
        <v>40</v>
      </c>
      <c r="AC4356">
        <v>-34.438499999999898</v>
      </c>
      <c r="AD4356">
        <v>-1.108931963536</v>
      </c>
      <c r="AE4356">
        <v>1.53089999999997</v>
      </c>
      <c r="AF4356">
        <v>2.02826759402932</v>
      </c>
      <c r="AG4356">
        <v>-1.108931963536</v>
      </c>
      <c r="AH4356">
        <v>34.3770914972106</v>
      </c>
      <c r="AI4356">
        <v>91.844394271681594</v>
      </c>
      <c r="AJ4356">
        <v>86.623431404390601</v>
      </c>
      <c r="AK4356">
        <v>34.454724194808598</v>
      </c>
      <c r="AL4356">
        <v>80.279368782905607</v>
      </c>
      <c r="AM4356">
        <v>90.428898681415106</v>
      </c>
      <c r="AN4356">
        <v>0.99999998005133905</v>
      </c>
    </row>
    <row r="4357" spans="1:40" x14ac:dyDescent="0.25">
      <c r="A4357" t="str">
        <f>"20190312173017774"</f>
        <v>20190312173017774</v>
      </c>
      <c r="B4357" t="str">
        <f>"1552383017761770"</f>
        <v>1552383017761770</v>
      </c>
      <c r="C4357" t="s">
        <v>40</v>
      </c>
      <c r="D4357">
        <v>3.2656399999999999</v>
      </c>
      <c r="E4357">
        <v>0.52680059999999995</v>
      </c>
      <c r="F4357" t="s">
        <v>41</v>
      </c>
      <c r="G4357">
        <v>-343.26799999999997</v>
      </c>
      <c r="H4357" s="1">
        <v>-3.7856300000000002E-6</v>
      </c>
      <c r="I4357">
        <v>143.12129999999999</v>
      </c>
      <c r="J4357">
        <v>-308.613</v>
      </c>
      <c r="K4357">
        <v>1.1089150000000001</v>
      </c>
      <c r="L4357">
        <v>141.57040000000001</v>
      </c>
      <c r="M4357">
        <v>-0.9998572</v>
      </c>
      <c r="N4357">
        <v>0</v>
      </c>
      <c r="O4357">
        <v>-1.4332859999999999E-2</v>
      </c>
      <c r="P4357">
        <v>-0.98682729999999996</v>
      </c>
      <c r="Q4357">
        <v>0.16034660000000001</v>
      </c>
      <c r="R4357">
        <v>-2.147661E-2</v>
      </c>
      <c r="S4357">
        <v>-3.0585629999999999</v>
      </c>
      <c r="T4357">
        <v>-9.6991900000000006E-2</v>
      </c>
      <c r="U4357">
        <v>0.13526920000000001</v>
      </c>
      <c r="V4357">
        <v>-7.2343599999999996E-3</v>
      </c>
      <c r="W4357">
        <v>0.16919819999999999</v>
      </c>
      <c r="X4357">
        <v>0.98555550000000003</v>
      </c>
      <c r="Y4357">
        <v>5.8461569999999997E-2</v>
      </c>
      <c r="Z4357">
        <v>1.3804939999999999E-3</v>
      </c>
      <c r="AA4357">
        <v>0.99828870000000003</v>
      </c>
      <c r="AB4357">
        <v>40</v>
      </c>
      <c r="AC4357">
        <v>-34.655000000000001</v>
      </c>
      <c r="AD4357">
        <v>-1.10891878562999</v>
      </c>
      <c r="AE4357">
        <v>1.55089999999998</v>
      </c>
      <c r="AF4357">
        <v>2.0453757243376902</v>
      </c>
      <c r="AG4357">
        <v>-1.10891878562999</v>
      </c>
      <c r="AH4357">
        <v>34.593859525794002</v>
      </c>
      <c r="AI4357">
        <v>91.832809826274001</v>
      </c>
      <c r="AJ4357">
        <v>86.616303467682101</v>
      </c>
      <c r="AK4357">
        <v>34.672011473481099</v>
      </c>
      <c r="AL4357">
        <v>80.258796057953106</v>
      </c>
      <c r="AM4357">
        <v>90.4205657125854</v>
      </c>
      <c r="AN4357">
        <v>1.0000000052140401</v>
      </c>
    </row>
    <row r="4358" spans="1:40" x14ac:dyDescent="0.25">
      <c r="A4358" t="str">
        <f>"20190312173017789"</f>
        <v>20190312173017789</v>
      </c>
      <c r="B4358" t="str">
        <f>"1552383017782266"</f>
        <v>1552383017782266</v>
      </c>
      <c r="C4358" t="s">
        <v>40</v>
      </c>
      <c r="D4358">
        <v>3.2352180000000001</v>
      </c>
      <c r="E4358">
        <v>0.51461769999999996</v>
      </c>
      <c r="F4358" t="s">
        <v>41</v>
      </c>
      <c r="G4358">
        <v>-344.00119999999998</v>
      </c>
      <c r="H4358" s="1">
        <v>-3.4955950000000001E-6</v>
      </c>
      <c r="I4358">
        <v>143.14850000000001</v>
      </c>
      <c r="J4358">
        <v>-308.88040000000001</v>
      </c>
      <c r="K4358">
        <v>1.1089009999999999</v>
      </c>
      <c r="L4358">
        <v>141.5667</v>
      </c>
      <c r="M4358">
        <v>-0.99985930000000001</v>
      </c>
      <c r="N4358">
        <v>0</v>
      </c>
      <c r="O4358">
        <v>-1.417146E-2</v>
      </c>
      <c r="P4358">
        <v>-0.98680029999999996</v>
      </c>
      <c r="Q4358">
        <v>0.1605422</v>
      </c>
      <c r="R4358">
        <v>-2.1256000000000001E-2</v>
      </c>
      <c r="S4358">
        <v>-3.0585939999999998</v>
      </c>
      <c r="T4358">
        <v>-9.5843789999999998E-2</v>
      </c>
      <c r="U4358">
        <v>0.1363983</v>
      </c>
      <c r="V4358">
        <v>-7.1678499999999999E-3</v>
      </c>
      <c r="W4358">
        <v>0.16939560000000001</v>
      </c>
      <c r="X4358">
        <v>0.98552209999999996</v>
      </c>
      <c r="Y4358">
        <v>5.8668629999999999E-2</v>
      </c>
      <c r="Z4358">
        <v>1.362324E-3</v>
      </c>
      <c r="AA4358">
        <v>0.99827659999999996</v>
      </c>
      <c r="AB4358">
        <v>40</v>
      </c>
      <c r="AC4358">
        <v>-35.120799999999903</v>
      </c>
      <c r="AD4358">
        <v>-1.10890449559499</v>
      </c>
      <c r="AE4358">
        <v>1.5818000000000101</v>
      </c>
      <c r="AF4358">
        <v>2.0773074883643199</v>
      </c>
      <c r="AG4358">
        <v>-1.10890449559499</v>
      </c>
      <c r="AH4358">
        <v>35.059974393159003</v>
      </c>
      <c r="AI4358">
        <v>91.808422717808796</v>
      </c>
      <c r="AJ4358">
        <v>86.609182717405503</v>
      </c>
      <c r="AK4358">
        <v>35.138962421086603</v>
      </c>
      <c r="AL4358">
        <v>80.247320447612594</v>
      </c>
      <c r="AM4358">
        <v>90.416713447419099</v>
      </c>
      <c r="AN4358">
        <v>1.00000002848069</v>
      </c>
    </row>
    <row r="4359" spans="1:40" x14ac:dyDescent="0.25">
      <c r="A4359" t="str">
        <f>"20190312173017803"</f>
        <v>20190312173017803</v>
      </c>
      <c r="B4359" t="str">
        <f>"1552383017792025"</f>
        <v>1552383017792025</v>
      </c>
      <c r="C4359" t="s">
        <v>40</v>
      </c>
      <c r="D4359">
        <v>3.2601100000000001</v>
      </c>
      <c r="E4359">
        <v>0.5145438</v>
      </c>
      <c r="F4359" t="s">
        <v>41</v>
      </c>
      <c r="G4359">
        <v>-353.13479999999998</v>
      </c>
      <c r="H4359" s="1">
        <v>-3.6030960000000002E-6</v>
      </c>
      <c r="I4359">
        <v>142.15559999999999</v>
      </c>
      <c r="J4359">
        <v>-309.14370000000002</v>
      </c>
      <c r="K4359">
        <v>1.108884</v>
      </c>
      <c r="L4359">
        <v>141.56309999999999</v>
      </c>
      <c r="M4359">
        <v>-0.99986180000000002</v>
      </c>
      <c r="N4359">
        <v>0</v>
      </c>
      <c r="O4359">
        <v>-1.4000250000000001E-2</v>
      </c>
      <c r="P4359">
        <v>-0.98678469999999996</v>
      </c>
      <c r="Q4359">
        <v>0.16066140000000001</v>
      </c>
      <c r="R4359">
        <v>-2.107589E-2</v>
      </c>
      <c r="S4359">
        <v>-3.0534059999999998</v>
      </c>
      <c r="T4359">
        <v>-7.6510670000000003E-2</v>
      </c>
      <c r="U4359">
        <v>4.0634160000000002E-2</v>
      </c>
      <c r="V4359">
        <v>-7.1512499999999996E-3</v>
      </c>
      <c r="W4359">
        <v>0.16951729999999901</v>
      </c>
      <c r="X4359">
        <v>0.98550130000000002</v>
      </c>
      <c r="Y4359">
        <v>2.7291940000000001E-2</v>
      </c>
      <c r="Z4359">
        <v>6.9261899999999903E-4</v>
      </c>
      <c r="AA4359">
        <v>0.9996273</v>
      </c>
      <c r="AB4359">
        <v>40</v>
      </c>
      <c r="AC4359">
        <v>-43.991099999999904</v>
      </c>
      <c r="AD4359">
        <v>-1.108887603096</v>
      </c>
      <c r="AE4359">
        <v>0.59250000000000103</v>
      </c>
      <c r="AF4359">
        <v>1.2075859175247801</v>
      </c>
      <c r="AG4359">
        <v>-1.108887603096</v>
      </c>
      <c r="AH4359">
        <v>43.950571666189802</v>
      </c>
      <c r="AI4359">
        <v>91.444740026524101</v>
      </c>
      <c r="AJ4359">
        <v>88.426137121219</v>
      </c>
      <c r="AK4359">
        <v>43.981139653826503</v>
      </c>
      <c r="AL4359">
        <v>80.240245280125194</v>
      </c>
      <c r="AM4359">
        <v>90.415757190526904</v>
      </c>
      <c r="AN4359">
        <v>1.00000003383877</v>
      </c>
    </row>
    <row r="4360" spans="1:40" x14ac:dyDescent="0.25">
      <c r="A4360" t="str">
        <f>"20190312173017819"</f>
        <v>20190312173017819</v>
      </c>
      <c r="B4360" t="str">
        <f>"1552383017812522"</f>
        <v>1552383017812522</v>
      </c>
      <c r="C4360" t="s">
        <v>40</v>
      </c>
      <c r="D4360">
        <v>3.237428</v>
      </c>
      <c r="E4360">
        <v>0.51434780000000002</v>
      </c>
      <c r="F4360" t="s">
        <v>41</v>
      </c>
      <c r="G4360">
        <v>-355.87240000000003</v>
      </c>
      <c r="H4360" s="1">
        <v>-2.4373060000000001E-6</v>
      </c>
      <c r="I4360">
        <v>142.18799999999999</v>
      </c>
      <c r="J4360">
        <v>-309.42619999999999</v>
      </c>
      <c r="K4360">
        <v>1.10887</v>
      </c>
      <c r="L4360">
        <v>141.55930000000001</v>
      </c>
      <c r="M4360">
        <v>-0.99986459999999999</v>
      </c>
      <c r="N4360">
        <v>0</v>
      </c>
      <c r="O4360">
        <v>-1.379358E-2</v>
      </c>
      <c r="P4360">
        <v>-0.9867918</v>
      </c>
      <c r="Q4360">
        <v>0.1606371</v>
      </c>
      <c r="R4360">
        <v>-2.0921439999999999E-2</v>
      </c>
      <c r="S4360">
        <v>-3.0528559999999998</v>
      </c>
      <c r="T4360">
        <v>-7.2445270000000006E-2</v>
      </c>
      <c r="U4360">
        <v>4.0832519999999997E-2</v>
      </c>
      <c r="V4360">
        <v>-7.1921609999999999E-3</v>
      </c>
      <c r="W4360">
        <v>0.1694967</v>
      </c>
      <c r="X4360">
        <v>0.98550450000000001</v>
      </c>
      <c r="Y4360">
        <v>2.71541E-2</v>
      </c>
      <c r="Z4360">
        <v>6.4940629999999896E-4</v>
      </c>
      <c r="AA4360">
        <v>0.99963100000000005</v>
      </c>
      <c r="AB4360">
        <v>40</v>
      </c>
      <c r="AC4360">
        <v>-46.446199999999997</v>
      </c>
      <c r="AD4360">
        <v>-1.1088724373059999</v>
      </c>
      <c r="AE4360">
        <v>0.62869999999998005</v>
      </c>
      <c r="AF4360">
        <v>1.2686024018975399</v>
      </c>
      <c r="AG4360">
        <v>-1.1088724373059999</v>
      </c>
      <c r="AH4360">
        <v>46.406662350189301</v>
      </c>
      <c r="AI4360">
        <v>91.3682929920802</v>
      </c>
      <c r="AJ4360">
        <v>88.434115660118593</v>
      </c>
      <c r="AK4360">
        <v>46.437240019415398</v>
      </c>
      <c r="AL4360">
        <v>80.241442462188502</v>
      </c>
      <c r="AM4360">
        <v>90.418134219887705</v>
      </c>
      <c r="AN4360">
        <v>0.99999998900549403</v>
      </c>
    </row>
    <row r="4361" spans="1:40" x14ac:dyDescent="0.25">
      <c r="A4361" t="str">
        <f>"20190312173017841"</f>
        <v>20190312173017841</v>
      </c>
      <c r="B4361" t="str">
        <f>"1552383017832042"</f>
        <v>1552383017832042</v>
      </c>
      <c r="C4361" t="s">
        <v>40</v>
      </c>
      <c r="D4361">
        <v>3.2320739999999999</v>
      </c>
      <c r="E4361">
        <v>0.51493900000000004</v>
      </c>
      <c r="F4361" t="s">
        <v>41</v>
      </c>
      <c r="G4361">
        <v>-352.48250000000002</v>
      </c>
      <c r="H4361" s="1">
        <v>-3.8735530000000002E-6</v>
      </c>
      <c r="I4361">
        <v>142.12029999999999</v>
      </c>
      <c r="J4361">
        <v>-309.82089999999999</v>
      </c>
      <c r="K4361">
        <v>1.1088359999999999</v>
      </c>
      <c r="L4361">
        <v>141.55410000000001</v>
      </c>
      <c r="M4361">
        <v>-0.99986889999999995</v>
      </c>
      <c r="N4361">
        <v>0</v>
      </c>
      <c r="O4361">
        <v>-1.347654E-2</v>
      </c>
      <c r="P4361">
        <v>-0.98684669999999997</v>
      </c>
      <c r="Q4361">
        <v>0.16032759999999999</v>
      </c>
      <c r="R4361">
        <v>-2.0702269999999998E-2</v>
      </c>
      <c r="S4361">
        <v>-3.0538020000000001</v>
      </c>
      <c r="T4361">
        <v>-7.8647850000000005E-2</v>
      </c>
      <c r="U4361">
        <v>3.9794919999999998E-2</v>
      </c>
      <c r="V4361">
        <v>-7.2714939999999999E-3</v>
      </c>
      <c r="W4361">
        <v>0.1691917</v>
      </c>
      <c r="X4361">
        <v>0.9855564</v>
      </c>
      <c r="Y4361">
        <v>2.6491669999999998E-2</v>
      </c>
      <c r="Z4361">
        <v>6.8808059999999997E-4</v>
      </c>
      <c r="AA4361">
        <v>0.9996488</v>
      </c>
      <c r="AB4361">
        <v>40</v>
      </c>
      <c r="AC4361">
        <v>-42.6616</v>
      </c>
      <c r="AD4361">
        <v>-1.1088398735529901</v>
      </c>
      <c r="AE4361">
        <v>0.56619999999998005</v>
      </c>
      <c r="AF4361">
        <v>1.1403322715728601</v>
      </c>
      <c r="AG4361">
        <v>-1.1088398735529901</v>
      </c>
      <c r="AH4361">
        <v>42.6213066054029</v>
      </c>
      <c r="AI4361">
        <v>91.489743295389601</v>
      </c>
      <c r="AJ4361">
        <v>88.467418095723602</v>
      </c>
      <c r="AK4361">
        <v>42.650974904526301</v>
      </c>
      <c r="AL4361">
        <v>80.259174484770597</v>
      </c>
      <c r="AM4361">
        <v>90.422724013986397</v>
      </c>
      <c r="AN4361">
        <v>1.0000000617774101</v>
      </c>
    </row>
    <row r="4362" spans="1:40" x14ac:dyDescent="0.25">
      <c r="A4362" t="str">
        <f>"20190312173017864"</f>
        <v>20190312173017864</v>
      </c>
      <c r="B4362" t="str">
        <f>"1552383017852541"</f>
        <v>1552383017852541</v>
      </c>
      <c r="C4362" t="s">
        <v>40</v>
      </c>
      <c r="D4362">
        <v>3.246686</v>
      </c>
      <c r="E4362">
        <v>0.51518009999999903</v>
      </c>
      <c r="F4362" t="s">
        <v>41</v>
      </c>
      <c r="G4362">
        <v>-348.31920000000002</v>
      </c>
      <c r="H4362" s="1">
        <v>-1.3700279999999999E-6</v>
      </c>
      <c r="I4362">
        <v>142.12180000000001</v>
      </c>
      <c r="J4362">
        <v>-310.2208</v>
      </c>
      <c r="K4362">
        <v>1.108798</v>
      </c>
      <c r="L4362">
        <v>141.54900000000001</v>
      </c>
      <c r="M4362">
        <v>-0.99987369999999998</v>
      </c>
      <c r="N4362">
        <v>0</v>
      </c>
      <c r="O4362">
        <v>-1.3109869999999999E-2</v>
      </c>
      <c r="P4362">
        <v>-0.98689490000000002</v>
      </c>
      <c r="Q4362">
        <v>0.16007060000000001</v>
      </c>
      <c r="R4362">
        <v>-2.0390100000000001E-2</v>
      </c>
      <c r="S4362">
        <v>-3.0552670000000002</v>
      </c>
      <c r="T4362">
        <v>-8.7998750000000001E-2</v>
      </c>
      <c r="U4362">
        <v>4.5059200000000001E-2</v>
      </c>
      <c r="V4362">
        <v>-7.306122E-3</v>
      </c>
      <c r="W4362">
        <v>0.1689398</v>
      </c>
      <c r="X4362">
        <v>0.98559929999999996</v>
      </c>
      <c r="Y4362">
        <v>2.7837170000000001E-2</v>
      </c>
      <c r="Z4362">
        <v>7.782946E-4</v>
      </c>
      <c r="AA4362">
        <v>0.99961219999999995</v>
      </c>
      <c r="AB4362">
        <v>40</v>
      </c>
      <c r="AC4362">
        <v>-38.098399999999998</v>
      </c>
      <c r="AD4362">
        <v>-1.1087993700280001</v>
      </c>
      <c r="AE4362">
        <v>0.57279999999999998</v>
      </c>
      <c r="AF4362">
        <v>1.0713287710789401</v>
      </c>
      <c r="AG4362">
        <v>-1.1087993700280001</v>
      </c>
      <c r="AH4362">
        <v>38.055389694648603</v>
      </c>
      <c r="AI4362">
        <v>91.668263506202294</v>
      </c>
      <c r="AJ4362">
        <v>88.387444998156298</v>
      </c>
      <c r="AK4362">
        <v>38.086610064303201</v>
      </c>
      <c r="AL4362">
        <v>80.273817558651004</v>
      </c>
      <c r="AM4362">
        <v>90.424718531990194</v>
      </c>
      <c r="AN4362">
        <v>1.0000000078016</v>
      </c>
    </row>
    <row r="4363" spans="1:40" x14ac:dyDescent="0.25">
      <c r="A4363" t="str">
        <f>"20190312173017876"</f>
        <v>20190312173017876</v>
      </c>
      <c r="B4363" t="str">
        <f>"1552383017872058"</f>
        <v>1552383017872058</v>
      </c>
      <c r="C4363" t="s">
        <v>40</v>
      </c>
      <c r="D4363">
        <v>3.2211289999999999</v>
      </c>
      <c r="E4363">
        <v>0.51534709999999995</v>
      </c>
      <c r="F4363" t="s">
        <v>41</v>
      </c>
      <c r="G4363">
        <v>-346.70749999999998</v>
      </c>
      <c r="H4363" s="1">
        <v>-2.0618619999999999E-6</v>
      </c>
      <c r="I4363">
        <v>142.1234</v>
      </c>
      <c r="J4363">
        <v>-310.4597</v>
      </c>
      <c r="K4363">
        <v>1.108773</v>
      </c>
      <c r="L4363">
        <v>141.5461</v>
      </c>
      <c r="M4363">
        <v>-0.99987700000000002</v>
      </c>
      <c r="N4363">
        <v>0</v>
      </c>
      <c r="O4363">
        <v>-1.286253E-2</v>
      </c>
      <c r="P4363">
        <v>-0.98689839999999995</v>
      </c>
      <c r="Q4363">
        <v>0.16010869999999999</v>
      </c>
      <c r="R4363">
        <v>-1.9916090000000001E-2</v>
      </c>
      <c r="S4363">
        <v>-3.0559080000000001</v>
      </c>
      <c r="T4363">
        <v>-9.2866539999999997E-2</v>
      </c>
      <c r="U4363">
        <v>4.8110960000000001E-2</v>
      </c>
      <c r="V4363">
        <v>-7.0659159999999898E-3</v>
      </c>
      <c r="W4363">
        <v>0.16898070000000001</v>
      </c>
      <c r="X4363">
        <v>0.98559399999999997</v>
      </c>
      <c r="Y4363">
        <v>2.8582659999999999E-2</v>
      </c>
      <c r="Z4363">
        <v>8.2495970000000002E-4</v>
      </c>
      <c r="AA4363">
        <v>0.99959109999999995</v>
      </c>
      <c r="AB4363">
        <v>40</v>
      </c>
      <c r="AC4363">
        <v>-36.247799999999899</v>
      </c>
      <c r="AD4363">
        <v>-1.108775061862</v>
      </c>
      <c r="AE4363">
        <v>0.57730000000000803</v>
      </c>
      <c r="AF4363">
        <v>1.0425342074975199</v>
      </c>
      <c r="AG4363">
        <v>-1.108775061862</v>
      </c>
      <c r="AH4363">
        <v>36.203509277450998</v>
      </c>
      <c r="AI4363">
        <v>91.753475909497794</v>
      </c>
      <c r="AJ4363">
        <v>88.350538150013605</v>
      </c>
      <c r="AK4363">
        <v>36.235484593338803</v>
      </c>
      <c r="AL4363">
        <v>80.271439592322807</v>
      </c>
      <c r="AM4363">
        <v>90.410757603417096</v>
      </c>
      <c r="AN4363">
        <v>0.99999996848870398</v>
      </c>
    </row>
    <row r="4364" spans="1:40" x14ac:dyDescent="0.25">
      <c r="A4364" t="str">
        <f>"20190312173017896"</f>
        <v>20190312173017896</v>
      </c>
      <c r="B4364" t="str">
        <f>"1552383017892554"</f>
        <v>1552383017892554</v>
      </c>
      <c r="C4364" t="s">
        <v>40</v>
      </c>
      <c r="D4364">
        <v>3.242448</v>
      </c>
      <c r="E4364">
        <v>0.51546729999999996</v>
      </c>
      <c r="F4364" t="s">
        <v>41</v>
      </c>
      <c r="G4364">
        <v>-346.4341</v>
      </c>
      <c r="H4364" s="1">
        <v>-2.184164E-6</v>
      </c>
      <c r="I4364">
        <v>142.1422</v>
      </c>
      <c r="J4364">
        <v>-310.80160000000001</v>
      </c>
      <c r="K4364">
        <v>1.1087370000000001</v>
      </c>
      <c r="L4364">
        <v>141.542</v>
      </c>
      <c r="M4364">
        <v>-0.99988169999999998</v>
      </c>
      <c r="N4364">
        <v>0</v>
      </c>
      <c r="O4364">
        <v>-1.248671E-2</v>
      </c>
      <c r="P4364">
        <v>-0.98692420000000003</v>
      </c>
      <c r="Q4364">
        <v>0.16006289999999901</v>
      </c>
      <c r="R4364">
        <v>-1.8993139999999999E-2</v>
      </c>
      <c r="S4364">
        <v>-3.0561219999999998</v>
      </c>
      <c r="T4364">
        <v>-9.4193579999999999E-2</v>
      </c>
      <c r="U4364">
        <v>5.0643920000000002E-2</v>
      </c>
      <c r="V4364">
        <v>-6.5001219999999997E-3</v>
      </c>
      <c r="W4364">
        <v>0.16893830000000001</v>
      </c>
      <c r="X4364">
        <v>0.98560519999999996</v>
      </c>
      <c r="Y4364">
        <v>2.903352E-2</v>
      </c>
      <c r="Z4364">
        <v>8.3204459999999998E-4</v>
      </c>
      <c r="AA4364">
        <v>0.99957810000000002</v>
      </c>
      <c r="AB4364">
        <v>40</v>
      </c>
      <c r="AC4364">
        <v>-35.632499999999901</v>
      </c>
      <c r="AD4364">
        <v>-1.108739184164</v>
      </c>
      <c r="AE4364">
        <v>0.60020000000000095</v>
      </c>
      <c r="AF4364">
        <v>1.0440932375651999</v>
      </c>
      <c r="AG4364">
        <v>-1.108739184164</v>
      </c>
      <c r="AH4364">
        <v>35.587780564004099</v>
      </c>
      <c r="AI4364">
        <v>91.783708826406595</v>
      </c>
      <c r="AJ4364">
        <v>88.319507991656494</v>
      </c>
      <c r="AK4364">
        <v>35.620353152922803</v>
      </c>
      <c r="AL4364">
        <v>80.273904733336806</v>
      </c>
      <c r="AM4364">
        <v>90.377863425925199</v>
      </c>
      <c r="AN4364">
        <v>1.00000000552997</v>
      </c>
    </row>
    <row r="4365" spans="1:40" x14ac:dyDescent="0.25">
      <c r="A4365" t="str">
        <f>"20190312173017919"</f>
        <v>20190312173017919</v>
      </c>
      <c r="B4365" t="str">
        <f>"1552383017912077"</f>
        <v>1552383017912077</v>
      </c>
      <c r="C4365" t="s">
        <v>40</v>
      </c>
      <c r="D4365">
        <v>3.25204</v>
      </c>
      <c r="E4365">
        <v>0.51554109999999997</v>
      </c>
      <c r="F4365" t="s">
        <v>41</v>
      </c>
      <c r="G4365">
        <v>-346.15690000000001</v>
      </c>
      <c r="H4365" s="1">
        <v>-2.3101780000000002E-6</v>
      </c>
      <c r="I4365">
        <v>142.16890000000001</v>
      </c>
      <c r="J4365">
        <v>-311.22030000000001</v>
      </c>
      <c r="K4365">
        <v>1.108697</v>
      </c>
      <c r="L4365">
        <v>141.53720000000001</v>
      </c>
      <c r="M4365">
        <v>-0.99988779999999999</v>
      </c>
      <c r="N4365">
        <v>0</v>
      </c>
      <c r="O4365">
        <v>-1.1987329999999999E-2</v>
      </c>
      <c r="P4365">
        <v>-0.98693699999999995</v>
      </c>
      <c r="Q4365">
        <v>0.16011049999999999</v>
      </c>
      <c r="R4365">
        <v>-1.7895910000000001E-2</v>
      </c>
      <c r="S4365">
        <v>-3.0563349999999998</v>
      </c>
      <c r="T4365">
        <v>-9.5846769999999998E-2</v>
      </c>
      <c r="U4365">
        <v>5.4199219999999999E-2</v>
      </c>
      <c r="V4365">
        <v>-5.8787619999999896E-3</v>
      </c>
      <c r="W4365">
        <v>0.168991</v>
      </c>
      <c r="X4365">
        <v>0.98560009999999998</v>
      </c>
      <c r="Y4365">
        <v>2.969478E-2</v>
      </c>
      <c r="Z4365">
        <v>8.412831E-4</v>
      </c>
      <c r="AA4365">
        <v>0.99955870000000002</v>
      </c>
      <c r="AB4365">
        <v>40</v>
      </c>
      <c r="AC4365">
        <v>-34.936599999999999</v>
      </c>
      <c r="AD4365">
        <v>-1.1086993101780001</v>
      </c>
      <c r="AE4365">
        <v>0.63169999999999504</v>
      </c>
      <c r="AF4365">
        <v>1.04941155762362</v>
      </c>
      <c r="AG4365">
        <v>-1.1086993101780001</v>
      </c>
      <c r="AH4365">
        <v>34.891389755807303</v>
      </c>
      <c r="AI4365">
        <v>91.819180645867505</v>
      </c>
      <c r="AJ4365">
        <v>88.277261717343407</v>
      </c>
      <c r="AK4365">
        <v>34.924769975897</v>
      </c>
      <c r="AL4365">
        <v>80.270841512893497</v>
      </c>
      <c r="AM4365">
        <v>90.341745355943104</v>
      </c>
      <c r="AN4365">
        <v>1.0000000375218301</v>
      </c>
    </row>
    <row r="4366" spans="1:40" x14ac:dyDescent="0.25">
      <c r="A4366" t="str">
        <f>"20190312173017933"</f>
        <v>20190312173017933</v>
      </c>
      <c r="B4366" t="str">
        <f>"1552383017921834"</f>
        <v>1552383017921834</v>
      </c>
      <c r="C4366" t="s">
        <v>40</v>
      </c>
      <c r="D4366">
        <v>3.2549990000000002</v>
      </c>
      <c r="E4366">
        <v>0.51557920000000002</v>
      </c>
      <c r="F4366" t="s">
        <v>41</v>
      </c>
      <c r="G4366">
        <v>-346.19909999999999</v>
      </c>
      <c r="H4366" s="1">
        <v>-2.300361E-6</v>
      </c>
      <c r="I4366">
        <v>142.20009999999999</v>
      </c>
      <c r="J4366">
        <v>-311.47210000000001</v>
      </c>
      <c r="K4366">
        <v>1.1086720000000001</v>
      </c>
      <c r="L4366">
        <v>141.53440000000001</v>
      </c>
      <c r="M4366">
        <v>-0.99989150000000004</v>
      </c>
      <c r="N4366">
        <v>0</v>
      </c>
      <c r="O4366">
        <v>-1.1666579999999999E-2</v>
      </c>
      <c r="P4366">
        <v>-0.98693719999999996</v>
      </c>
      <c r="Q4366">
        <v>0.16018979999999999</v>
      </c>
      <c r="R4366">
        <v>-1.7155940000000001E-2</v>
      </c>
      <c r="S4366">
        <v>-3.0564580000000001</v>
      </c>
      <c r="T4366">
        <v>-9.6878649999999997E-2</v>
      </c>
      <c r="U4366">
        <v>5.7937620000000002E-2</v>
      </c>
      <c r="V4366">
        <v>-5.4458409999999999E-3</v>
      </c>
      <c r="W4366">
        <v>0.1690728</v>
      </c>
      <c r="X4366">
        <v>0.98558860000000004</v>
      </c>
      <c r="Y4366">
        <v>3.059485E-2</v>
      </c>
      <c r="Z4366">
        <v>8.5438880000000004E-4</v>
      </c>
      <c r="AA4366">
        <v>0.99953150000000002</v>
      </c>
      <c r="AB4366">
        <v>40</v>
      </c>
      <c r="AC4366">
        <v>-34.726999999999897</v>
      </c>
      <c r="AD4366">
        <v>-1.10867430036099</v>
      </c>
      <c r="AE4366">
        <v>0.66569999999998597</v>
      </c>
      <c r="AF4366">
        <v>1.0697264995212401</v>
      </c>
      <c r="AG4366">
        <v>-1.10867430036099</v>
      </c>
      <c r="AH4366">
        <v>34.681534066656297</v>
      </c>
      <c r="AI4366">
        <v>91.830096938012801</v>
      </c>
      <c r="AJ4366">
        <v>88.233313788755197</v>
      </c>
      <c r="AK4366">
        <v>34.715735318507903</v>
      </c>
      <c r="AL4366">
        <v>80.266086697864296</v>
      </c>
      <c r="AM4366">
        <v>90.316582933092107</v>
      </c>
      <c r="AN4366">
        <v>1.00000007866699</v>
      </c>
    </row>
    <row r="4367" spans="1:40" x14ac:dyDescent="0.25">
      <c r="A4367" t="str">
        <f>"20190312173017952"</f>
        <v>20190312173017952</v>
      </c>
      <c r="B4367" t="str">
        <f>"1552383017942329"</f>
        <v>1552383017942329</v>
      </c>
      <c r="C4367" t="s">
        <v>40</v>
      </c>
      <c r="D4367">
        <v>3.2757160000000001</v>
      </c>
      <c r="E4367">
        <v>0.51558379999999904</v>
      </c>
      <c r="F4367" t="s">
        <v>41</v>
      </c>
      <c r="G4367">
        <v>-346.31400000000002</v>
      </c>
      <c r="H4367" s="1">
        <v>-2.2564370000000001E-6</v>
      </c>
      <c r="I4367">
        <v>142.22030000000001</v>
      </c>
      <c r="J4367">
        <v>-311.81360000000001</v>
      </c>
      <c r="K4367">
        <v>1.1086370000000001</v>
      </c>
      <c r="L4367">
        <v>141.5308</v>
      </c>
      <c r="M4367">
        <v>-0.99989649999999997</v>
      </c>
      <c r="N4367">
        <v>0</v>
      </c>
      <c r="O4367">
        <v>-1.121608E-2</v>
      </c>
      <c r="P4367">
        <v>-0.98704440000000004</v>
      </c>
      <c r="Q4367">
        <v>0.1596331</v>
      </c>
      <c r="R4367">
        <v>-1.6146049999999999E-2</v>
      </c>
      <c r="S4367">
        <v>-3.056549</v>
      </c>
      <c r="T4367">
        <v>-9.7259999999999999E-2</v>
      </c>
      <c r="U4367">
        <v>6.0180659999999997E-2</v>
      </c>
      <c r="V4367">
        <v>-4.8691890000000003E-3</v>
      </c>
      <c r="W4367">
        <v>0.16852049999999999</v>
      </c>
      <c r="X4367">
        <v>0.98568610000000001</v>
      </c>
      <c r="Y4367">
        <v>3.08770999999999E-2</v>
      </c>
      <c r="Z4367">
        <v>8.4787759999999904E-4</v>
      </c>
      <c r="AA4367">
        <v>0.99952280000000004</v>
      </c>
      <c r="AB4367">
        <v>40</v>
      </c>
      <c r="AC4367">
        <v>-34.500399999999999</v>
      </c>
      <c r="AD4367">
        <v>-1.108639256437</v>
      </c>
      <c r="AE4367">
        <v>0.68950000000000899</v>
      </c>
      <c r="AF4367">
        <v>1.0753216470534901</v>
      </c>
      <c r="AG4367">
        <v>-1.108639256437</v>
      </c>
      <c r="AH4367">
        <v>34.454931903291701</v>
      </c>
      <c r="AI4367">
        <v>91.8420457711143</v>
      </c>
      <c r="AJ4367">
        <v>88.212406862589305</v>
      </c>
      <c r="AK4367">
        <v>34.489530731890298</v>
      </c>
      <c r="AL4367">
        <v>80.298190846905101</v>
      </c>
      <c r="AM4367">
        <v>90.283033016366701</v>
      </c>
      <c r="AN4367">
        <v>0.99999997782748795</v>
      </c>
    </row>
    <row r="4368" spans="1:40" x14ac:dyDescent="0.25">
      <c r="A4368" t="str">
        <f>"20190312173017965"</f>
        <v>20190312173017965</v>
      </c>
      <c r="B4368" t="str">
        <f>"1552383017961850"</f>
        <v>1552383017961850</v>
      </c>
      <c r="C4368" t="s">
        <v>40</v>
      </c>
      <c r="D4368">
        <v>3.26396</v>
      </c>
      <c r="E4368">
        <v>0.51566489999999998</v>
      </c>
      <c r="F4368" t="s">
        <v>41</v>
      </c>
      <c r="G4368">
        <v>-345.71379999999999</v>
      </c>
      <c r="H4368" s="1">
        <v>-2.516831E-6</v>
      </c>
      <c r="I4368">
        <v>142.2311</v>
      </c>
      <c r="J4368">
        <v>-312.06229999999999</v>
      </c>
      <c r="K4368">
        <v>1.108617</v>
      </c>
      <c r="L4368">
        <v>141.5282</v>
      </c>
      <c r="M4368">
        <v>-0.99990029999999996</v>
      </c>
      <c r="N4368">
        <v>0</v>
      </c>
      <c r="O4368">
        <v>-1.087868E-2</v>
      </c>
      <c r="P4368">
        <v>-0.98710089999999995</v>
      </c>
      <c r="Q4368">
        <v>0.15932399999999999</v>
      </c>
      <c r="R4368">
        <v>-1.5743070000000001E-2</v>
      </c>
      <c r="S4368">
        <v>-3.0565799999999999</v>
      </c>
      <c r="T4368">
        <v>-9.9959729999999997E-2</v>
      </c>
      <c r="U4368">
        <v>6.3156130000000005E-2</v>
      </c>
      <c r="V4368">
        <v>-4.7909509999999999E-3</v>
      </c>
      <c r="W4368">
        <v>0.168215</v>
      </c>
      <c r="X4368">
        <v>0.98573869999999997</v>
      </c>
      <c r="Y4368">
        <v>3.1510870000000003E-2</v>
      </c>
      <c r="Z4368">
        <v>8.7071289999999895E-4</v>
      </c>
      <c r="AA4368">
        <v>0.99950300000000003</v>
      </c>
      <c r="AB4368">
        <v>40</v>
      </c>
      <c r="AC4368">
        <v>-33.651499999999999</v>
      </c>
      <c r="AD4368">
        <v>-1.108619516831</v>
      </c>
      <c r="AE4368">
        <v>0.70289999999999897</v>
      </c>
      <c r="AF4368">
        <v>1.06779874464439</v>
      </c>
      <c r="AG4368">
        <v>-1.108619516831</v>
      </c>
      <c r="AH4368">
        <v>33.605405014563097</v>
      </c>
      <c r="AI4368">
        <v>91.8885112557372</v>
      </c>
      <c r="AJ4368">
        <v>88.180061090984495</v>
      </c>
      <c r="AK4368">
        <v>33.640637294572599</v>
      </c>
      <c r="AL4368">
        <v>80.315948542304994</v>
      </c>
      <c r="AM4368">
        <v>90.278470461538902</v>
      </c>
      <c r="AN4368">
        <v>1.00000001205708</v>
      </c>
    </row>
    <row r="4369" spans="1:40" x14ac:dyDescent="0.25">
      <c r="A4369" t="str">
        <f>"20190312173017980"</f>
        <v>20190312173017980</v>
      </c>
      <c r="B4369" t="str">
        <f>"1552383017971610"</f>
        <v>1552383017971610</v>
      </c>
      <c r="C4369" t="s">
        <v>40</v>
      </c>
      <c r="D4369">
        <v>3.2594289999999999</v>
      </c>
      <c r="E4369">
        <v>0.51568409999999998</v>
      </c>
      <c r="F4369" t="s">
        <v>41</v>
      </c>
      <c r="G4369">
        <v>-345.04430000000002</v>
      </c>
      <c r="H4369" s="1">
        <v>-2.8034289999999999E-6</v>
      </c>
      <c r="I4369">
        <v>142.22899999999899</v>
      </c>
      <c r="J4369">
        <v>-312.31119999999999</v>
      </c>
      <c r="K4369">
        <v>1.1086009999999999</v>
      </c>
      <c r="L4369">
        <v>141.5257</v>
      </c>
      <c r="M4369">
        <v>-0.99990409999999996</v>
      </c>
      <c r="N4369">
        <v>0</v>
      </c>
      <c r="O4369">
        <v>-1.053344E-2</v>
      </c>
      <c r="P4369">
        <v>-0.98714020000000002</v>
      </c>
      <c r="Q4369">
        <v>0.1591177</v>
      </c>
      <c r="R4369">
        <v>-1.537386E-2</v>
      </c>
      <c r="S4369">
        <v>-3.0567929999999999</v>
      </c>
      <c r="T4369">
        <v>-0.102747699999999</v>
      </c>
      <c r="U4369">
        <v>6.4956669999999994E-2</v>
      </c>
      <c r="V4369">
        <v>-4.7558649999999997E-3</v>
      </c>
      <c r="W4369">
        <v>0.16801189999999999</v>
      </c>
      <c r="X4369">
        <v>0.98577349999999997</v>
      </c>
      <c r="Y4369">
        <v>3.1751580000000001E-2</v>
      </c>
      <c r="Z4369">
        <v>8.8735929999999902E-4</v>
      </c>
      <c r="AA4369">
        <v>0.99949540000000003</v>
      </c>
      <c r="AB4369">
        <v>40</v>
      </c>
      <c r="AC4369">
        <v>-32.7331</v>
      </c>
      <c r="AD4369">
        <v>-1.108603803429</v>
      </c>
      <c r="AE4369">
        <v>0.70329999999998405</v>
      </c>
      <c r="AF4369">
        <v>1.0468668170545801</v>
      </c>
      <c r="AG4369">
        <v>-1.108603803429</v>
      </c>
      <c r="AH4369">
        <v>32.686400112597497</v>
      </c>
      <c r="AI4369">
        <v>91.941525072785296</v>
      </c>
      <c r="AJ4369">
        <v>88.165580979326606</v>
      </c>
      <c r="AK4369">
        <v>32.721945004025002</v>
      </c>
      <c r="AL4369">
        <v>80.327753256302501</v>
      </c>
      <c r="AM4369">
        <v>90.2764213871789</v>
      </c>
      <c r="AN4369">
        <v>1.0000000050478699</v>
      </c>
    </row>
    <row r="4370" spans="1:40" x14ac:dyDescent="0.25">
      <c r="A4370" t="str">
        <f>"20190312173017996"</f>
        <v>20190312173017996</v>
      </c>
      <c r="B4370" t="str">
        <f>"1552383017982346"</f>
        <v>1552383017982346</v>
      </c>
      <c r="C4370" t="s">
        <v>40</v>
      </c>
      <c r="D4370">
        <v>3.2488809999999999</v>
      </c>
      <c r="E4370">
        <v>0.51569900000000002</v>
      </c>
      <c r="F4370" t="s">
        <v>41</v>
      </c>
      <c r="G4370">
        <v>-344.84699999999998</v>
      </c>
      <c r="H4370" s="1">
        <v>-2.8884970000000001E-6</v>
      </c>
      <c r="I4370">
        <v>142.23050000000001</v>
      </c>
      <c r="J4370">
        <v>-312.58620000000002</v>
      </c>
      <c r="K4370">
        <v>1.1085830000000001</v>
      </c>
      <c r="L4370">
        <v>141.5231</v>
      </c>
      <c r="M4370">
        <v>-0.99990800000000002</v>
      </c>
      <c r="N4370">
        <v>0</v>
      </c>
      <c r="O4370">
        <v>-1.0146479999999999E-2</v>
      </c>
      <c r="P4370">
        <v>-0.98715719999999996</v>
      </c>
      <c r="Q4370">
        <v>0.15904599999999999</v>
      </c>
      <c r="R4370">
        <v>-1.5015880000000001E-2</v>
      </c>
      <c r="S4370">
        <v>-3.056915</v>
      </c>
      <c r="T4370">
        <v>-0.1041595</v>
      </c>
      <c r="U4370">
        <v>6.622314E-2</v>
      </c>
      <c r="V4370">
        <v>-4.7737830000000002E-3</v>
      </c>
      <c r="W4370">
        <v>0.16794429999999999</v>
      </c>
      <c r="X4370">
        <v>0.98578489999999996</v>
      </c>
      <c r="Y4370">
        <v>3.1777390000000003E-2</v>
      </c>
      <c r="Z4370">
        <v>8.8676460000000005E-4</v>
      </c>
      <c r="AA4370">
        <v>0.99949460000000001</v>
      </c>
      <c r="AB4370">
        <v>40</v>
      </c>
      <c r="AC4370">
        <v>-32.260799999999897</v>
      </c>
      <c r="AD4370">
        <v>-1.1085858884969999</v>
      </c>
      <c r="AE4370">
        <v>0.70740000000000602</v>
      </c>
      <c r="AF4370">
        <v>1.03349061557544</v>
      </c>
      <c r="AG4370">
        <v>-1.1085858884969999</v>
      </c>
      <c r="AH4370">
        <v>32.213940272365697</v>
      </c>
      <c r="AI4370">
        <v>91.969942575034395</v>
      </c>
      <c r="AJ4370">
        <v>88.162461757081502</v>
      </c>
      <c r="AK4370">
        <v>32.249573848288399</v>
      </c>
      <c r="AL4370">
        <v>80.331681966593493</v>
      </c>
      <c r="AM4370">
        <v>90.277459596059799</v>
      </c>
      <c r="AN4370">
        <v>0.99999997298731502</v>
      </c>
    </row>
    <row r="4371" spans="1:40" x14ac:dyDescent="0.25">
      <c r="A4371" t="str">
        <f>"20190312173018010"</f>
        <v>20190312173018010</v>
      </c>
      <c r="B4371" t="str">
        <f>"1552383018001865"</f>
        <v>1552383018001865</v>
      </c>
      <c r="C4371" t="s">
        <v>40</v>
      </c>
      <c r="D4371">
        <v>3.2673450000000002</v>
      </c>
      <c r="E4371">
        <v>0.51568239999999999</v>
      </c>
      <c r="F4371" t="s">
        <v>41</v>
      </c>
      <c r="G4371">
        <v>-344.87630000000001</v>
      </c>
      <c r="H4371" s="1">
        <v>-2.8773450000000001E-6</v>
      </c>
      <c r="I4371">
        <v>142.23570000000001</v>
      </c>
      <c r="J4371">
        <v>-312.85050000000001</v>
      </c>
      <c r="K4371">
        <v>1.108571</v>
      </c>
      <c r="L4371">
        <v>141.52070000000001</v>
      </c>
      <c r="M4371">
        <v>-0.99991169999999996</v>
      </c>
      <c r="N4371">
        <v>0</v>
      </c>
      <c r="O4371">
        <v>-9.7715839999999998E-3</v>
      </c>
      <c r="P4371">
        <v>-0.98714729999999995</v>
      </c>
      <c r="Q4371">
        <v>0.15917600000000001</v>
      </c>
      <c r="R4371">
        <v>-1.424801E-2</v>
      </c>
      <c r="S4371">
        <v>-3.0569760000000001</v>
      </c>
      <c r="T4371">
        <v>-0.10495259999999999</v>
      </c>
      <c r="U4371">
        <v>6.7474370000000006E-2</v>
      </c>
      <c r="V4371">
        <v>-4.3713129999999999E-3</v>
      </c>
      <c r="W4371">
        <v>0.16807629999999901</v>
      </c>
      <c r="X4371">
        <v>0.98576430000000004</v>
      </c>
      <c r="Y4371">
        <v>3.1810949999999998E-2</v>
      </c>
      <c r="Z4371">
        <v>8.8120050000000001E-4</v>
      </c>
      <c r="AA4371">
        <v>0.99949350000000003</v>
      </c>
      <c r="AB4371">
        <v>40</v>
      </c>
      <c r="AC4371">
        <v>-32.025799999999997</v>
      </c>
      <c r="AD4371">
        <v>-1.108573877345</v>
      </c>
      <c r="AE4371">
        <v>0.71500000000000297</v>
      </c>
      <c r="AF4371">
        <v>1.0266917785145999</v>
      </c>
      <c r="AG4371">
        <v>-1.108573877345</v>
      </c>
      <c r="AH4371">
        <v>31.978985769433301</v>
      </c>
      <c r="AI4371">
        <v>91.984381563035399</v>
      </c>
      <c r="AJ4371">
        <v>88.1611390843794</v>
      </c>
      <c r="AK4371">
        <v>32.0146616863464</v>
      </c>
      <c r="AL4371">
        <v>80.324010160362405</v>
      </c>
      <c r="AM4371">
        <v>90.254073051905905</v>
      </c>
      <c r="AN4371">
        <v>1.00000000307676</v>
      </c>
    </row>
    <row r="4372" spans="1:40" x14ac:dyDescent="0.25">
      <c r="A4372" t="str">
        <f>"20190312173018033"</f>
        <v>20190312173018033</v>
      </c>
      <c r="B4372" t="str">
        <f>"1552383018022362"</f>
        <v>1552383018022362</v>
      </c>
      <c r="C4372" t="s">
        <v>40</v>
      </c>
      <c r="D4372">
        <v>3.3474590000000002</v>
      </c>
      <c r="E4372">
        <v>0.51571800000000001</v>
      </c>
      <c r="F4372" t="s">
        <v>41</v>
      </c>
      <c r="G4372">
        <v>-344.87430000000001</v>
      </c>
      <c r="H4372" s="1">
        <v>-2.8813939999999999E-6</v>
      </c>
      <c r="I4372">
        <v>142.24789999999999</v>
      </c>
      <c r="J4372">
        <v>-313.262</v>
      </c>
      <c r="K4372">
        <v>1.108555</v>
      </c>
      <c r="L4372">
        <v>141.5171</v>
      </c>
      <c r="M4372">
        <v>-0.9999171</v>
      </c>
      <c r="N4372">
        <v>0</v>
      </c>
      <c r="O4372">
        <v>-9.1830339999999996E-3</v>
      </c>
      <c r="P4372">
        <v>-0.98711289999999996</v>
      </c>
      <c r="Q4372">
        <v>0.15946589999999999</v>
      </c>
      <c r="R4372">
        <v>-1.337723E-2</v>
      </c>
      <c r="S4372">
        <v>-3.0570979999999999</v>
      </c>
      <c r="T4372">
        <v>-0.10582800000000001</v>
      </c>
      <c r="U4372">
        <v>6.9427489999999994E-2</v>
      </c>
      <c r="V4372">
        <v>-4.0735629999999997E-3</v>
      </c>
      <c r="W4372">
        <v>0.16837099999999999</v>
      </c>
      <c r="X4372">
        <v>0.98571529999999996</v>
      </c>
      <c r="Y4372">
        <v>3.185992E-2</v>
      </c>
      <c r="Z4372">
        <v>8.6898629999999997E-4</v>
      </c>
      <c r="AA4372">
        <v>0.99949200000000005</v>
      </c>
      <c r="AB4372">
        <v>41</v>
      </c>
      <c r="AC4372">
        <v>-31.612300000000001</v>
      </c>
      <c r="AD4372">
        <v>-1.108557881394</v>
      </c>
      <c r="AE4372">
        <v>0.73079999999998702</v>
      </c>
      <c r="AF4372">
        <v>1.0198244105346801</v>
      </c>
      <c r="AG4372">
        <v>-1.108557881394</v>
      </c>
      <c r="AH4372">
        <v>31.565459931808402</v>
      </c>
      <c r="AI4372">
        <v>92.010314813445405</v>
      </c>
      <c r="AJ4372">
        <v>88.149517964559394</v>
      </c>
      <c r="AK4372">
        <v>31.6013797659426</v>
      </c>
      <c r="AL4372">
        <v>80.3068811503842</v>
      </c>
      <c r="AM4372">
        <v>90.236778955150896</v>
      </c>
      <c r="AN4372">
        <v>1.0000000201053001</v>
      </c>
    </row>
    <row r="4373" spans="1:40" x14ac:dyDescent="0.25">
      <c r="A4373" t="str">
        <f>"20190312173018053"</f>
        <v>20190312173018053</v>
      </c>
      <c r="B4373" t="str">
        <f>"1552383018041882"</f>
        <v>1552383018041882</v>
      </c>
      <c r="C4373" t="s">
        <v>40</v>
      </c>
      <c r="D4373">
        <v>2.6097600000000001</v>
      </c>
      <c r="E4373">
        <v>0.51569370000000003</v>
      </c>
      <c r="F4373" t="s">
        <v>41</v>
      </c>
      <c r="G4373">
        <v>-345.27370000000002</v>
      </c>
      <c r="H4373" s="1">
        <v>-2.7168899999999999E-6</v>
      </c>
      <c r="I4373">
        <v>142.27340000000001</v>
      </c>
      <c r="J4373">
        <v>-313.649</v>
      </c>
      <c r="K4373">
        <v>1.108541</v>
      </c>
      <c r="L4373">
        <v>141.51400000000001</v>
      </c>
      <c r="M4373">
        <v>-0.99992210000000004</v>
      </c>
      <c r="N4373">
        <v>0</v>
      </c>
      <c r="O4373">
        <v>-8.6282600000000004E-3</v>
      </c>
      <c r="P4373">
        <v>-0.98710980000000004</v>
      </c>
      <c r="Q4373">
        <v>0.15952569999999999</v>
      </c>
      <c r="R4373">
        <v>-1.287547E-2</v>
      </c>
      <c r="S4373">
        <v>-3.0571899999999999</v>
      </c>
      <c r="T4373">
        <v>-0.1058702</v>
      </c>
      <c r="U4373">
        <v>7.2235110000000005E-2</v>
      </c>
      <c r="V4373">
        <v>-4.1139380000000001E-3</v>
      </c>
      <c r="W4373">
        <v>0.1684378</v>
      </c>
      <c r="X4373">
        <v>0.98570369999999996</v>
      </c>
      <c r="Y4373">
        <v>3.2222199999999999E-2</v>
      </c>
      <c r="Z4373">
        <v>8.5636299999999996E-4</v>
      </c>
      <c r="AA4373">
        <v>0.99948040000000005</v>
      </c>
      <c r="AB4373">
        <v>41</v>
      </c>
      <c r="AC4373">
        <v>-31.624700000000001</v>
      </c>
      <c r="AD4373">
        <v>-1.1085437168899901</v>
      </c>
      <c r="AE4373">
        <v>0.75939999999999896</v>
      </c>
      <c r="AF4373">
        <v>1.0309829038555101</v>
      </c>
      <c r="AG4373">
        <v>-1.1085437168899901</v>
      </c>
      <c r="AH4373">
        <v>31.578191749259801</v>
      </c>
      <c r="AI4373">
        <v>92.009457126251803</v>
      </c>
      <c r="AJ4373">
        <v>88.130038777070396</v>
      </c>
      <c r="AK4373">
        <v>31.614458544680399</v>
      </c>
      <c r="AL4373">
        <v>80.302998146808307</v>
      </c>
      <c r="AM4373">
        <v>90.239128569747805</v>
      </c>
      <c r="AN4373">
        <v>1.00000000057419</v>
      </c>
    </row>
    <row r="4374" spans="1:40" x14ac:dyDescent="0.25">
      <c r="A4374" t="str">
        <f>"20190312173018153"</f>
        <v>20190312173018153</v>
      </c>
      <c r="B4374" t="str">
        <f>"1552383018142410"</f>
        <v>1552383018142410</v>
      </c>
      <c r="C4374" t="s">
        <v>40</v>
      </c>
      <c r="D4374">
        <v>3.2111070000000002</v>
      </c>
      <c r="E4374">
        <v>0.51191960000000003</v>
      </c>
      <c r="F4374" t="s">
        <v>41</v>
      </c>
      <c r="G4374">
        <v>-345.9914</v>
      </c>
      <c r="H4374" s="1">
        <v>-2.414796E-6</v>
      </c>
      <c r="I4374">
        <v>142.29519999999999</v>
      </c>
      <c r="J4374">
        <v>-315.47140000000002</v>
      </c>
      <c r="K4374">
        <v>1.10849</v>
      </c>
      <c r="L4374">
        <v>141.50210000000001</v>
      </c>
      <c r="M4374">
        <v>-0.99994059999999996</v>
      </c>
      <c r="N4374">
        <v>0</v>
      </c>
      <c r="O4374">
        <v>-6.0190879999999997E-3</v>
      </c>
      <c r="P4374">
        <v>-0.98705520000000002</v>
      </c>
      <c r="Q4374">
        <v>0.15998119999999999</v>
      </c>
      <c r="R4374">
        <v>-1.1318480000000001E-2</v>
      </c>
      <c r="S4374">
        <v>-3.0570680000000001</v>
      </c>
      <c r="T4374">
        <v>-0.104782</v>
      </c>
      <c r="U4374">
        <v>7.3852539999999994E-2</v>
      </c>
      <c r="V4374">
        <v>-5.1136860000000001E-3</v>
      </c>
      <c r="W4374">
        <v>0.16894729999999999</v>
      </c>
      <c r="X4374">
        <v>0.98561189999999999</v>
      </c>
      <c r="Y4374">
        <v>3.0146840000000001E-2</v>
      </c>
      <c r="Z4374">
        <v>7.2264619999999895E-4</v>
      </c>
      <c r="AA4374">
        <v>0.99954520000000002</v>
      </c>
      <c r="AB4374">
        <v>41</v>
      </c>
      <c r="AC4374">
        <v>-30.5199999999999</v>
      </c>
      <c r="AD4374">
        <v>-1.108492414796</v>
      </c>
      <c r="AE4374">
        <v>0.79309999999998104</v>
      </c>
      <c r="AF4374">
        <v>0.97550980012579402</v>
      </c>
      <c r="AG4374">
        <v>-1.108492414796</v>
      </c>
      <c r="AH4374">
        <v>30.474499640298401</v>
      </c>
      <c r="AI4374">
        <v>92.0821170874557</v>
      </c>
      <c r="AJ4374">
        <v>88.166548555242898</v>
      </c>
      <c r="AK4374">
        <v>30.510252426526201</v>
      </c>
      <c r="AL4374">
        <v>80.273382269558795</v>
      </c>
      <c r="AM4374">
        <v>90.297267105430606</v>
      </c>
      <c r="AN4374">
        <v>1.0000000786917</v>
      </c>
    </row>
    <row r="4375" spans="1:40" x14ac:dyDescent="0.25">
      <c r="A4375" t="str">
        <f>"20190312173018165"</f>
        <v>20190312173018165</v>
      </c>
      <c r="B4375" t="str">
        <f>"1552383018161930"</f>
        <v>1552383018161930</v>
      </c>
      <c r="C4375" t="s">
        <v>40</v>
      </c>
      <c r="D4375">
        <v>3.373742</v>
      </c>
      <c r="E4375">
        <v>0.49654549999999997</v>
      </c>
      <c r="F4375" t="s">
        <v>42</v>
      </c>
      <c r="G4375">
        <v>-316.34010000000001</v>
      </c>
      <c r="H4375">
        <v>0.95461510000000005</v>
      </c>
      <c r="I4375">
        <v>141.5136</v>
      </c>
      <c r="J4375">
        <v>-315.69060000000002</v>
      </c>
      <c r="K4375">
        <v>1.1084849999999999</v>
      </c>
      <c r="L4375">
        <v>141.501</v>
      </c>
      <c r="M4375">
        <v>-0.99994260000000001</v>
      </c>
      <c r="N4375">
        <v>0</v>
      </c>
      <c r="O4375">
        <v>-5.7061619999999999E-3</v>
      </c>
      <c r="P4375">
        <v>-0.98705330000000002</v>
      </c>
      <c r="Q4375">
        <v>0.1599978</v>
      </c>
      <c r="R4375">
        <v>-1.124706E-2</v>
      </c>
      <c r="S4375">
        <v>-3.1296689999999998</v>
      </c>
      <c r="T4375">
        <v>-0.55433619999999995</v>
      </c>
      <c r="U4375">
        <v>4.1152950000000001E-2</v>
      </c>
      <c r="V4375">
        <v>-5.3505330000000002E-3</v>
      </c>
      <c r="W4375">
        <v>0.168969799999999</v>
      </c>
      <c r="X4375">
        <v>0.98560669999999995</v>
      </c>
      <c r="Y4375">
        <v>1.8477480000000001E-2</v>
      </c>
      <c r="Z4375">
        <v>2.626579E-3</v>
      </c>
      <c r="AA4375">
        <v>0.99982579999999999</v>
      </c>
      <c r="AB4375">
        <v>41</v>
      </c>
      <c r="AC4375">
        <v>-0.64949999999998898</v>
      </c>
      <c r="AD4375">
        <v>-0.153869899999999</v>
      </c>
      <c r="AE4375">
        <v>1.2599999999991901E-2</v>
      </c>
      <c r="AF4375">
        <v>1.54398769800987E-2</v>
      </c>
      <c r="AG4375">
        <v>-0.153869899999999</v>
      </c>
      <c r="AH4375">
        <v>0.61491877349999702</v>
      </c>
      <c r="AI4375">
        <v>104.044287094754</v>
      </c>
      <c r="AJ4375">
        <v>88.561673528492804</v>
      </c>
      <c r="AK4375">
        <v>0.63406579621511705</v>
      </c>
      <c r="AL4375">
        <v>80.2720734813646</v>
      </c>
      <c r="AM4375">
        <v>90.311036793461696</v>
      </c>
      <c r="AN4375">
        <v>0.99999999430015696</v>
      </c>
    </row>
    <row r="4376" spans="1:40" x14ac:dyDescent="0.25">
      <c r="A4376" t="str">
        <f>"20190312173018177"</f>
        <v>20190312173018177</v>
      </c>
      <c r="B4376" t="str">
        <f>"1552383018171690"</f>
        <v>1552383018171690</v>
      </c>
      <c r="C4376" t="s">
        <v>40</v>
      </c>
      <c r="D4376">
        <v>3.3058510000000001</v>
      </c>
      <c r="E4376">
        <v>0.49749399999999999</v>
      </c>
      <c r="F4376" t="s">
        <v>51</v>
      </c>
      <c r="G4376">
        <v>-412.39760000000001</v>
      </c>
      <c r="H4376" s="1">
        <v>-1.030046E-5</v>
      </c>
      <c r="I4376">
        <v>139.24459999999999</v>
      </c>
      <c r="J4376">
        <v>-315.91789999999997</v>
      </c>
      <c r="K4376">
        <v>1.1084879999999999</v>
      </c>
      <c r="L4376">
        <v>141.5</v>
      </c>
      <c r="M4376">
        <v>-0.99994430000000001</v>
      </c>
      <c r="N4376">
        <v>0</v>
      </c>
      <c r="O4376">
        <v>-5.3812010000000004E-3</v>
      </c>
      <c r="P4376">
        <v>-0.98705140000000002</v>
      </c>
      <c r="Q4376">
        <v>0.16002629999999901</v>
      </c>
      <c r="R4376">
        <v>-1.1025170000000001E-2</v>
      </c>
      <c r="S4376">
        <v>-3.0441889999999998</v>
      </c>
      <c r="T4376">
        <v>-3.4893750000000001E-2</v>
      </c>
      <c r="U4376">
        <v>-7.1029659999999994E-2</v>
      </c>
      <c r="V4376">
        <v>-5.4477839999999998E-3</v>
      </c>
      <c r="W4376">
        <v>0.1690046</v>
      </c>
      <c r="X4376">
        <v>0.98560020000000004</v>
      </c>
      <c r="Y4376">
        <v>-1.79454E-2</v>
      </c>
      <c r="Z4376" s="1">
        <v>-4.1158929999999999E-5</v>
      </c>
      <c r="AA4376">
        <v>0.99983889999999997</v>
      </c>
      <c r="AB4376">
        <v>41</v>
      </c>
      <c r="AC4376">
        <v>-96.479699999999994</v>
      </c>
      <c r="AD4376">
        <v>-1.10849830046</v>
      </c>
      <c r="AE4376">
        <v>-2.2553999999999998</v>
      </c>
      <c r="AF4376">
        <v>-1.73594025035955</v>
      </c>
      <c r="AG4376">
        <v>-1.10849830046</v>
      </c>
      <c r="AH4376">
        <v>96.4777114260133</v>
      </c>
      <c r="AI4376">
        <v>90.658174840087696</v>
      </c>
      <c r="AJ4376">
        <v>91.030821696444505</v>
      </c>
      <c r="AK4376">
        <v>96.499694605920993</v>
      </c>
      <c r="AL4376">
        <v>80.270050488281399</v>
      </c>
      <c r="AM4376">
        <v>90.316692155891005</v>
      </c>
      <c r="AN4376">
        <v>0.99999999370585502</v>
      </c>
    </row>
    <row r="4377" spans="1:40" x14ac:dyDescent="0.25">
      <c r="A4377" t="str">
        <f>"20190312173018191"</f>
        <v>20190312173018191</v>
      </c>
      <c r="B4377" t="str">
        <f>"1552383018182426"</f>
        <v>1552383018182426</v>
      </c>
      <c r="C4377" t="s">
        <v>40</v>
      </c>
      <c r="D4377">
        <v>3.3053539999999999</v>
      </c>
      <c r="E4377">
        <v>0.49808029999999998</v>
      </c>
      <c r="F4377" t="s">
        <v>41</v>
      </c>
      <c r="G4377">
        <v>-393.65179999999998</v>
      </c>
      <c r="H4377" s="1">
        <v>-2.7778950000000002E-6</v>
      </c>
      <c r="I4377">
        <v>139.88759999999999</v>
      </c>
      <c r="J4377">
        <v>-316.16239999999999</v>
      </c>
      <c r="K4377">
        <v>1.1084830000000001</v>
      </c>
      <c r="L4377">
        <v>141.49889999999999</v>
      </c>
      <c r="M4377">
        <v>-0.999946</v>
      </c>
      <c r="N4377">
        <v>0</v>
      </c>
      <c r="O4377">
        <v>-5.0316839999999998E-3</v>
      </c>
      <c r="P4377">
        <v>-0.98709950000000002</v>
      </c>
      <c r="Q4377">
        <v>0.15973879999999999</v>
      </c>
      <c r="R4377">
        <v>-1.087461E-2</v>
      </c>
      <c r="S4377">
        <v>-3.0456539999999999</v>
      </c>
      <c r="T4377">
        <v>-4.3431280000000003E-2</v>
      </c>
      <c r="U4377">
        <v>-6.3171389999999994E-2</v>
      </c>
      <c r="V4377">
        <v>-5.6412160000000001E-3</v>
      </c>
      <c r="W4377">
        <v>0.16872500000000001</v>
      </c>
      <c r="X4377">
        <v>0.98564700000000005</v>
      </c>
      <c r="Y4377">
        <v>-1.5704869999999999E-2</v>
      </c>
      <c r="Z4377" s="1">
        <v>-4.0215929999999998E-5</v>
      </c>
      <c r="AA4377">
        <v>0.99987669999999995</v>
      </c>
      <c r="AB4377">
        <v>41</v>
      </c>
      <c r="AC4377">
        <v>-77.489399999999904</v>
      </c>
      <c r="AD4377">
        <v>-1.1084857778949999</v>
      </c>
      <c r="AE4377">
        <v>-1.6113</v>
      </c>
      <c r="AF4377">
        <v>-1.2211115355961999</v>
      </c>
      <c r="AG4377">
        <v>-1.1084857778949999</v>
      </c>
      <c r="AH4377">
        <v>77.480678617440503</v>
      </c>
      <c r="AI4377">
        <v>90.819550637375301</v>
      </c>
      <c r="AJ4377">
        <v>90.902918594963296</v>
      </c>
      <c r="AK4377">
        <v>77.498228451502499</v>
      </c>
      <c r="AL4377">
        <v>80.286303652118306</v>
      </c>
      <c r="AM4377">
        <v>90.327920988941301</v>
      </c>
      <c r="AN4377">
        <v>0.99999997877597901</v>
      </c>
    </row>
    <row r="4378" spans="1:40" x14ac:dyDescent="0.25">
      <c r="A4378" t="str">
        <f>"20190312173018210"</f>
        <v>20190312173018210</v>
      </c>
      <c r="B4378" t="str">
        <f>"1552383018201946"</f>
        <v>1552383018201946</v>
      </c>
      <c r="C4378" t="s">
        <v>40</v>
      </c>
      <c r="D4378">
        <v>3.3277939999999999</v>
      </c>
      <c r="E4378">
        <v>0.4987338</v>
      </c>
      <c r="F4378" t="s">
        <v>41</v>
      </c>
      <c r="G4378">
        <v>-381.80599999999998</v>
      </c>
      <c r="H4378" s="1">
        <v>-3.6645459999999998E-6</v>
      </c>
      <c r="I4378">
        <v>140.244</v>
      </c>
      <c r="J4378">
        <v>-316.51100000000002</v>
      </c>
      <c r="K4378">
        <v>1.1084780000000001</v>
      </c>
      <c r="L4378">
        <v>141.4975</v>
      </c>
      <c r="M4378">
        <v>-0.99994830000000001</v>
      </c>
      <c r="N4378">
        <v>0</v>
      </c>
      <c r="O4378">
        <v>-4.5331629999999998E-3</v>
      </c>
      <c r="P4378">
        <v>-0.98706099999999997</v>
      </c>
      <c r="Q4378">
        <v>0.16000010000000001</v>
      </c>
      <c r="R4378">
        <v>-1.052195E-2</v>
      </c>
      <c r="S4378">
        <v>-3.0469059999999999</v>
      </c>
      <c r="T4378">
        <v>-5.1451440000000001E-2</v>
      </c>
      <c r="U4378">
        <v>-5.8242799999999997E-2</v>
      </c>
      <c r="V4378">
        <v>-5.7791229999999997E-3</v>
      </c>
      <c r="W4378">
        <v>0.1689947</v>
      </c>
      <c r="X4378">
        <v>0.98560000000000003</v>
      </c>
      <c r="Y4378">
        <v>-1.457775E-2</v>
      </c>
      <c r="Z4378" s="1">
        <v>-4.6524529999999899E-5</v>
      </c>
      <c r="AA4378">
        <v>0.9998937</v>
      </c>
      <c r="AB4378">
        <v>41</v>
      </c>
      <c r="AC4378">
        <v>-65.295000000000002</v>
      </c>
      <c r="AD4378">
        <v>-1.1084816645460001</v>
      </c>
      <c r="AE4378">
        <v>-1.2535000000000001</v>
      </c>
      <c r="AF4378">
        <v>-0.95720621217531698</v>
      </c>
      <c r="AG4378">
        <v>-1.1084816645460001</v>
      </c>
      <c r="AH4378">
        <v>65.281204353826794</v>
      </c>
      <c r="AI4378">
        <v>90.972690293411404</v>
      </c>
      <c r="AJ4378">
        <v>90.840057206164403</v>
      </c>
      <c r="AK4378">
        <v>65.297631023026796</v>
      </c>
      <c r="AL4378">
        <v>80.270625893721302</v>
      </c>
      <c r="AM4378">
        <v>90.335953289866296</v>
      </c>
      <c r="AN4378">
        <v>0.999999983445369</v>
      </c>
    </row>
    <row r="4379" spans="1:40" x14ac:dyDescent="0.25">
      <c r="A4379" t="str">
        <f>"20190312173018233"</f>
        <v>20190312173018233</v>
      </c>
      <c r="B4379" t="str">
        <f>"1552383018222441"</f>
        <v>1552383018222441</v>
      </c>
      <c r="C4379" t="s">
        <v>40</v>
      </c>
      <c r="D4379">
        <v>3.2742339999999999</v>
      </c>
      <c r="E4379">
        <v>0.49913380000000002</v>
      </c>
      <c r="F4379" t="s">
        <v>41</v>
      </c>
      <c r="G4379">
        <v>-374.61860000000001</v>
      </c>
      <c r="H4379" s="1">
        <v>-2.5277750000000001E-6</v>
      </c>
      <c r="I4379">
        <v>140.50640000000001</v>
      </c>
      <c r="J4379">
        <v>-316.93200000000002</v>
      </c>
      <c r="K4379">
        <v>1.108473</v>
      </c>
      <c r="L4379">
        <v>141.49610000000001</v>
      </c>
      <c r="M4379">
        <v>-0.99995080000000003</v>
      </c>
      <c r="N4379">
        <v>0</v>
      </c>
      <c r="O4379">
        <v>-3.9314140000000003E-3</v>
      </c>
      <c r="P4379">
        <v>-0.98706329999999998</v>
      </c>
      <c r="Q4379">
        <v>0.16000899999999901</v>
      </c>
      <c r="R4379">
        <v>-1.017242E-2</v>
      </c>
      <c r="S4379">
        <v>-3.0481569999999998</v>
      </c>
      <c r="T4379">
        <v>-5.8147789999999998E-2</v>
      </c>
      <c r="U4379">
        <v>-5.1986690000000002E-2</v>
      </c>
      <c r="V4379">
        <v>-6.0220780000000002E-3</v>
      </c>
      <c r="W4379">
        <v>0.169014</v>
      </c>
      <c r="X4379">
        <v>0.9855952</v>
      </c>
      <c r="Y4379">
        <v>-1.3119840000000001E-2</v>
      </c>
      <c r="Z4379" s="1">
        <v>-5.01318E-5</v>
      </c>
      <c r="AA4379">
        <v>0.99991390000000002</v>
      </c>
      <c r="AB4379">
        <v>41</v>
      </c>
      <c r="AC4379">
        <v>-57.686599999999999</v>
      </c>
      <c r="AD4379">
        <v>-1.108475527775</v>
      </c>
      <c r="AE4379">
        <v>-0.98969999999999902</v>
      </c>
      <c r="AF4379">
        <v>-0.76261153866319698</v>
      </c>
      <c r="AG4379">
        <v>-1.108475527775</v>
      </c>
      <c r="AH4379">
        <v>57.668758208282</v>
      </c>
      <c r="AI4379">
        <v>91.101074499524998</v>
      </c>
      <c r="AJ4379">
        <v>90.757635107641306</v>
      </c>
      <c r="AK4379">
        <v>57.684451697488299</v>
      </c>
      <c r="AL4379">
        <v>80.269503597453294</v>
      </c>
      <c r="AM4379">
        <v>90.350078165538505</v>
      </c>
      <c r="AN4379">
        <v>0.99999994794123703</v>
      </c>
    </row>
    <row r="4380" spans="1:40" x14ac:dyDescent="0.25">
      <c r="A4380" t="str">
        <f>"20190312173018253"</f>
        <v>20190312173018253</v>
      </c>
      <c r="B4380" t="str">
        <f>"1552383018241962"</f>
        <v>1552383018241962</v>
      </c>
      <c r="C4380" t="s">
        <v>40</v>
      </c>
      <c r="D4380">
        <v>3.330508</v>
      </c>
      <c r="E4380">
        <v>0.49902390000000002</v>
      </c>
      <c r="F4380" t="s">
        <v>41</v>
      </c>
      <c r="G4380">
        <v>-369.80529999999999</v>
      </c>
      <c r="H4380" s="1">
        <v>-3.4514449999999899E-7</v>
      </c>
      <c r="I4380">
        <v>140.666</v>
      </c>
      <c r="J4380">
        <v>-317.31509999999997</v>
      </c>
      <c r="K4380">
        <v>1.108468</v>
      </c>
      <c r="L4380">
        <v>141.495</v>
      </c>
      <c r="M4380">
        <v>-0.99995270000000003</v>
      </c>
      <c r="N4380">
        <v>0</v>
      </c>
      <c r="O4380">
        <v>-3.3837860000000002E-3</v>
      </c>
      <c r="P4380">
        <v>-0.98708090000000004</v>
      </c>
      <c r="Q4380">
        <v>0.1599409</v>
      </c>
      <c r="R4380">
        <v>-9.5067959999999996E-3</v>
      </c>
      <c r="S4380">
        <v>-3.0491640000000002</v>
      </c>
      <c r="T4380">
        <v>-6.3924910000000001E-2</v>
      </c>
      <c r="U4380">
        <v>-4.7866819999999997E-2</v>
      </c>
      <c r="V4380">
        <v>-5.8961869999999998E-3</v>
      </c>
      <c r="W4380">
        <v>0.16895479999999999</v>
      </c>
      <c r="X4380">
        <v>0.98560619999999999</v>
      </c>
      <c r="Y4380">
        <v>-1.231085E-2</v>
      </c>
      <c r="Z4380" s="1">
        <v>-5.8094350000000001E-5</v>
      </c>
      <c r="AA4380">
        <v>0.99992420000000004</v>
      </c>
      <c r="AB4380">
        <v>41</v>
      </c>
      <c r="AC4380">
        <v>-52.490200000000002</v>
      </c>
      <c r="AD4380">
        <v>-1.1084683451444901</v>
      </c>
      <c r="AE4380">
        <v>-0.82900000000000695</v>
      </c>
      <c r="AF4380">
        <v>-0.65108198477822499</v>
      </c>
      <c r="AG4380">
        <v>-1.1084683451444901</v>
      </c>
      <c r="AH4380">
        <v>52.469311674468102</v>
      </c>
      <c r="AI4380">
        <v>91.2101592924258</v>
      </c>
      <c r="AJ4380">
        <v>90.710936243390705</v>
      </c>
      <c r="AK4380">
        <v>52.485057658495201</v>
      </c>
      <c r="AL4380">
        <v>80.272945859214701</v>
      </c>
      <c r="AM4380">
        <v>90.342756164050598</v>
      </c>
      <c r="AN4380">
        <v>1.0000000354712999</v>
      </c>
    </row>
    <row r="4381" spans="1:40" x14ac:dyDescent="0.25">
      <c r="A4381" t="str">
        <f>"20190312173018276"</f>
        <v>20190312173018276</v>
      </c>
      <c r="B4381" t="str">
        <f>"1552383018272218"</f>
        <v>1552383018272218</v>
      </c>
      <c r="C4381" t="s">
        <v>40</v>
      </c>
      <c r="D4381">
        <v>3.3193489999999999</v>
      </c>
      <c r="E4381">
        <v>0.4990849</v>
      </c>
      <c r="F4381" t="s">
        <v>41</v>
      </c>
      <c r="G4381">
        <v>-365.57240000000002</v>
      </c>
      <c r="H4381" s="1">
        <v>-2.1851360000000002E-6</v>
      </c>
      <c r="I4381">
        <v>140.75640000000001</v>
      </c>
      <c r="J4381">
        <v>-317.71879999999999</v>
      </c>
      <c r="K4381">
        <v>1.108466</v>
      </c>
      <c r="L4381">
        <v>141.4941</v>
      </c>
      <c r="M4381">
        <v>-0.99995440000000002</v>
      </c>
      <c r="N4381">
        <v>0</v>
      </c>
      <c r="O4381">
        <v>-2.8068360000000001E-3</v>
      </c>
      <c r="P4381">
        <v>-0.98708110000000004</v>
      </c>
      <c r="Q4381">
        <v>0.15997910000000001</v>
      </c>
      <c r="R4381">
        <v>-8.8181249999999996E-3</v>
      </c>
      <c r="S4381">
        <v>-3.0501399999999999</v>
      </c>
      <c r="T4381">
        <v>-7.006192E-2</v>
      </c>
      <c r="U4381">
        <v>-4.6676639999999998E-2</v>
      </c>
      <c r="V4381">
        <v>-5.7758280000000002E-3</v>
      </c>
      <c r="W4381">
        <v>0.16900129999999999</v>
      </c>
      <c r="X4381">
        <v>0.98559890000000006</v>
      </c>
      <c r="Y4381">
        <v>-1.2492079999999999E-2</v>
      </c>
      <c r="Z4381" s="1">
        <v>-7.8981449999999999E-5</v>
      </c>
      <c r="AA4381">
        <v>0.99992199999999998</v>
      </c>
      <c r="AB4381">
        <v>41</v>
      </c>
      <c r="AC4381">
        <v>-47.8536</v>
      </c>
      <c r="AD4381">
        <v>-1.1084681851360001</v>
      </c>
      <c r="AE4381">
        <v>-0.73769999999998903</v>
      </c>
      <c r="AF4381">
        <v>-0.60305079537490103</v>
      </c>
      <c r="AG4381">
        <v>-1.1084681851360001</v>
      </c>
      <c r="AH4381">
        <v>47.829824759053899</v>
      </c>
      <c r="AI4381">
        <v>91.327500939153694</v>
      </c>
      <c r="AJ4381">
        <v>90.722361724134203</v>
      </c>
      <c r="AK4381">
        <v>47.846468087634896</v>
      </c>
      <c r="AL4381">
        <v>80.270242342766807</v>
      </c>
      <c r="AM4381">
        <v>90.335762123290905</v>
      </c>
      <c r="AN4381">
        <v>0.99999999563599196</v>
      </c>
    </row>
    <row r="4382" spans="1:40" x14ac:dyDescent="0.25">
      <c r="A4382" t="str">
        <f>"20190312173018289"</f>
        <v>20190312173018289</v>
      </c>
      <c r="B4382" t="str">
        <f>"1552383018281978"</f>
        <v>1552383018281978</v>
      </c>
      <c r="C4382" t="s">
        <v>40</v>
      </c>
      <c r="D4382">
        <v>3.5597340000000002</v>
      </c>
      <c r="E4382">
        <v>0.49926120000000002</v>
      </c>
      <c r="F4382" t="s">
        <v>41</v>
      </c>
      <c r="G4382">
        <v>-362.93560000000002</v>
      </c>
      <c r="H4382" s="1">
        <v>-3.3386269999999998E-6</v>
      </c>
      <c r="I4382">
        <v>140.84039999999999</v>
      </c>
      <c r="J4382">
        <v>-317.97500000000002</v>
      </c>
      <c r="K4382">
        <v>1.108465</v>
      </c>
      <c r="L4382">
        <v>141.49359999999999</v>
      </c>
      <c r="M4382">
        <v>-0.99995540000000005</v>
      </c>
      <c r="N4382">
        <v>0</v>
      </c>
      <c r="O4382">
        <v>-2.4407589999999998E-3</v>
      </c>
      <c r="P4382">
        <v>-0.9870816</v>
      </c>
      <c r="Q4382">
        <v>0.159995</v>
      </c>
      <c r="R4382">
        <v>-8.4695589999999998E-3</v>
      </c>
      <c r="S4382">
        <v>-3.0509949999999999</v>
      </c>
      <c r="T4382">
        <v>-7.4793700000000005E-2</v>
      </c>
      <c r="U4382">
        <v>-4.4097900000000002E-2</v>
      </c>
      <c r="V4382">
        <v>-5.7880249999999996E-3</v>
      </c>
      <c r="W4382">
        <v>0.1690229</v>
      </c>
      <c r="X4382">
        <v>0.98559509999999995</v>
      </c>
      <c r="Y4382">
        <v>-1.200858E-2</v>
      </c>
      <c r="Z4382" s="1">
        <v>-8.733844E-5</v>
      </c>
      <c r="AA4382">
        <v>0.99992789999999998</v>
      </c>
      <c r="AB4382">
        <v>41</v>
      </c>
      <c r="AC4382">
        <v>-44.960599999999999</v>
      </c>
      <c r="AD4382">
        <v>-1.108468338627</v>
      </c>
      <c r="AE4382">
        <v>-0.653199999999998</v>
      </c>
      <c r="AF4382">
        <v>-0.54312543899921295</v>
      </c>
      <c r="AG4382">
        <v>-1.108468338627</v>
      </c>
      <c r="AH4382">
        <v>44.934753493068101</v>
      </c>
      <c r="AI4382">
        <v>91.413005271943007</v>
      </c>
      <c r="AJ4382">
        <v>90.692499183383006</v>
      </c>
      <c r="AK4382">
        <v>44.9517047372291</v>
      </c>
      <c r="AL4382">
        <v>80.268986453422201</v>
      </c>
      <c r="AM4382">
        <v>90.336472443827105</v>
      </c>
      <c r="AN4382">
        <v>0.99999997155090903</v>
      </c>
    </row>
    <row r="4383" spans="1:40" x14ac:dyDescent="0.25">
      <c r="A4383" t="str">
        <f>"20190312173018303"</f>
        <v>20190312173018303</v>
      </c>
      <c r="B4383" t="str">
        <f>"1552383018291738"</f>
        <v>1552383018291738</v>
      </c>
      <c r="C4383" t="s">
        <v>40</v>
      </c>
      <c r="D4383">
        <v>3.36313</v>
      </c>
      <c r="E4383">
        <v>0.49920389999999998</v>
      </c>
      <c r="F4383" t="s">
        <v>41</v>
      </c>
      <c r="G4383">
        <v>-363.59539999999998</v>
      </c>
      <c r="H4383" s="1">
        <v>-3.0643660000000002E-6</v>
      </c>
      <c r="I4383">
        <v>140.8734</v>
      </c>
      <c r="J4383">
        <v>-318.23169999999999</v>
      </c>
      <c r="K4383">
        <v>1.1084620000000001</v>
      </c>
      <c r="L4383">
        <v>141.4932</v>
      </c>
      <c r="M4383">
        <v>-0.99995599999999996</v>
      </c>
      <c r="N4383">
        <v>0</v>
      </c>
      <c r="O4383">
        <v>-2.0740849999999998E-3</v>
      </c>
      <c r="P4383">
        <v>-0.98708439999999997</v>
      </c>
      <c r="Q4383">
        <v>0.1599921</v>
      </c>
      <c r="R4383">
        <v>-8.1856159999999997E-3</v>
      </c>
      <c r="S4383">
        <v>-3.0509029999999999</v>
      </c>
      <c r="T4383">
        <v>-7.4129940000000005E-2</v>
      </c>
      <c r="U4383">
        <v>-4.1473389999999999E-2</v>
      </c>
      <c r="V4383">
        <v>-5.8655670000000004E-3</v>
      </c>
      <c r="W4383">
        <v>0.169025799999999</v>
      </c>
      <c r="X4383">
        <v>0.98559419999999998</v>
      </c>
      <c r="Y4383">
        <v>-1.151576E-2</v>
      </c>
      <c r="Z4383" s="1">
        <v>-8.9488490000000001E-5</v>
      </c>
      <c r="AA4383">
        <v>0.99993370000000004</v>
      </c>
      <c r="AB4383">
        <v>41</v>
      </c>
      <c r="AC4383">
        <v>-45.363700000000001</v>
      </c>
      <c r="AD4383">
        <v>-1.1084650643659999</v>
      </c>
      <c r="AE4383">
        <v>-0.61979999999999702</v>
      </c>
      <c r="AF4383">
        <v>-0.52539292025162898</v>
      </c>
      <c r="AG4383">
        <v>-1.1084650643659999</v>
      </c>
      <c r="AH4383">
        <v>45.337823074231103</v>
      </c>
      <c r="AI4383">
        <v>91.400452297100301</v>
      </c>
      <c r="AJ4383">
        <v>90.663936807542996</v>
      </c>
      <c r="AK4383">
        <v>45.3544147093737</v>
      </c>
      <c r="AL4383">
        <v>80.268818410055601</v>
      </c>
      <c r="AM4383">
        <v>90.340980360851901</v>
      </c>
      <c r="AN4383">
        <v>1.00000002650775</v>
      </c>
    </row>
    <row r="4384" spans="1:40" x14ac:dyDescent="0.25">
      <c r="A4384" t="str">
        <f>"20190312173018318"</f>
        <v>20190312173018318</v>
      </c>
      <c r="B4384" t="str">
        <f>"1552383018312234"</f>
        <v>1552383018312234</v>
      </c>
      <c r="C4384" t="s">
        <v>40</v>
      </c>
      <c r="D4384">
        <v>3.3369279999999999</v>
      </c>
      <c r="E4384">
        <v>0.49913459999999898</v>
      </c>
      <c r="F4384" t="s">
        <v>41</v>
      </c>
      <c r="G4384">
        <v>-363.89519999999999</v>
      </c>
      <c r="H4384" s="1">
        <v>-2.9371319999999998E-6</v>
      </c>
      <c r="I4384">
        <v>140.87860000000001</v>
      </c>
      <c r="J4384">
        <v>-318.50599999999997</v>
      </c>
      <c r="K4384">
        <v>1.10846</v>
      </c>
      <c r="L4384">
        <v>141.49299999999999</v>
      </c>
      <c r="M4384">
        <v>-0.99995679999999998</v>
      </c>
      <c r="N4384">
        <v>0</v>
      </c>
      <c r="O4384">
        <v>-1.6836959999999999E-3</v>
      </c>
      <c r="P4384">
        <v>-0.98709170000000002</v>
      </c>
      <c r="Q4384">
        <v>0.15996779999999999</v>
      </c>
      <c r="R4384">
        <v>-7.7831879999999999E-3</v>
      </c>
      <c r="S4384">
        <v>-3.0509029999999999</v>
      </c>
      <c r="T4384">
        <v>-7.4059719999999996E-2</v>
      </c>
      <c r="U4384">
        <v>-4.1061399999999998E-2</v>
      </c>
      <c r="V4384">
        <v>-5.8481969999999899E-3</v>
      </c>
      <c r="W4384">
        <v>0.16900689999999999</v>
      </c>
      <c r="X4384">
        <v>0.98559750000000002</v>
      </c>
      <c r="Y4384">
        <v>-1.1770950000000001E-2</v>
      </c>
      <c r="Z4384">
        <v>-1.019756E-4</v>
      </c>
      <c r="AA4384">
        <v>0.99993069999999895</v>
      </c>
      <c r="AB4384">
        <v>41</v>
      </c>
      <c r="AC4384">
        <v>-45.389200000000002</v>
      </c>
      <c r="AD4384">
        <v>-1.1084629371320001</v>
      </c>
      <c r="AE4384">
        <v>-0.61439999999998895</v>
      </c>
      <c r="AF4384">
        <v>-0.53765372367373898</v>
      </c>
      <c r="AG4384">
        <v>-1.1084629371320001</v>
      </c>
      <c r="AH4384">
        <v>45.363120577502997</v>
      </c>
      <c r="AI4384">
        <v>91.3996646116818</v>
      </c>
      <c r="AJ4384">
        <v>90.679050437366598</v>
      </c>
      <c r="AK4384">
        <v>45.3798465195581</v>
      </c>
      <c r="AL4384">
        <v>80.269916677827695</v>
      </c>
      <c r="AM4384">
        <v>90.339969483941601</v>
      </c>
      <c r="AN4384">
        <v>0.999999982831005</v>
      </c>
    </row>
    <row r="4385" spans="1:40" x14ac:dyDescent="0.25">
      <c r="A4385" t="str">
        <f>"20190312173018332"</f>
        <v>20190312173018332</v>
      </c>
      <c r="B4385" t="str">
        <f>"1552383018321994"</f>
        <v>1552383018321994</v>
      </c>
      <c r="C4385" t="s">
        <v>40</v>
      </c>
      <c r="D4385">
        <v>3.3484120000000002</v>
      </c>
      <c r="E4385">
        <v>0.49908380000000002</v>
      </c>
      <c r="F4385" t="s">
        <v>41</v>
      </c>
      <c r="G4385">
        <v>-363.80079999999998</v>
      </c>
      <c r="H4385" s="1">
        <v>-2.9808919999999999E-6</v>
      </c>
      <c r="I4385">
        <v>140.89080000000001</v>
      </c>
      <c r="J4385">
        <v>-318.77120000000002</v>
      </c>
      <c r="K4385">
        <v>1.108457</v>
      </c>
      <c r="L4385">
        <v>141.49279999999999</v>
      </c>
      <c r="M4385">
        <v>-0.99995730000000005</v>
      </c>
      <c r="N4385">
        <v>0</v>
      </c>
      <c r="O4385">
        <v>-1.307264E-3</v>
      </c>
      <c r="P4385">
        <v>-0.98708269999999998</v>
      </c>
      <c r="Q4385">
        <v>0.1600425</v>
      </c>
      <c r="R4385">
        <v>-7.3729819999999897E-3</v>
      </c>
      <c r="S4385">
        <v>-3.051056</v>
      </c>
      <c r="T4385">
        <v>-7.4666259999999998E-2</v>
      </c>
      <c r="U4385">
        <v>-4.0557860000000001E-2</v>
      </c>
      <c r="V4385">
        <v>-5.8091069999999896E-3</v>
      </c>
      <c r="W4385">
        <v>0.169088299999999</v>
      </c>
      <c r="X4385">
        <v>0.98558380000000001</v>
      </c>
      <c r="Y4385">
        <v>-1.1981479999999999E-2</v>
      </c>
      <c r="Z4385">
        <v>-1.145918E-4</v>
      </c>
      <c r="AA4385">
        <v>0.99992820000000004</v>
      </c>
      <c r="AB4385">
        <v>41</v>
      </c>
      <c r="AC4385">
        <v>-45.029599999999903</v>
      </c>
      <c r="AD4385">
        <v>-1.1084599808919999</v>
      </c>
      <c r="AE4385">
        <v>-0.601999999999975</v>
      </c>
      <c r="AF4385">
        <v>-0.54280258938377401</v>
      </c>
      <c r="AG4385">
        <v>-1.1084599808919999</v>
      </c>
      <c r="AH4385">
        <v>45.003083337116202</v>
      </c>
      <c r="AI4385">
        <v>91.410850522790994</v>
      </c>
      <c r="AJ4385">
        <v>90.691036861540496</v>
      </c>
      <c r="AK4385">
        <v>45.0200047537503</v>
      </c>
      <c r="AL4385">
        <v>80.265184993397298</v>
      </c>
      <c r="AM4385">
        <v>90.337701836868604</v>
      </c>
      <c r="AN4385">
        <v>1.0000000128717299</v>
      </c>
    </row>
    <row r="4386" spans="1:40" x14ac:dyDescent="0.25">
      <c r="A4386" t="str">
        <f>"20190312173018356"</f>
        <v>20190312173018356</v>
      </c>
      <c r="B4386" t="str">
        <f>"1552383018352250"</f>
        <v>1552383018352250</v>
      </c>
      <c r="C4386" t="s">
        <v>40</v>
      </c>
      <c r="D4386">
        <v>3.3651710000000001</v>
      </c>
      <c r="E4386">
        <v>0.49905660000000002</v>
      </c>
      <c r="F4386" t="s">
        <v>41</v>
      </c>
      <c r="G4386">
        <v>-363.9366</v>
      </c>
      <c r="H4386" s="1">
        <v>-2.926805E-6</v>
      </c>
      <c r="I4386">
        <v>140.90649999999999</v>
      </c>
      <c r="J4386">
        <v>-319.19229999999999</v>
      </c>
      <c r="K4386">
        <v>1.1084609999999999</v>
      </c>
      <c r="L4386">
        <v>141.49270000000001</v>
      </c>
      <c r="M4386">
        <v>-0.99995780000000001</v>
      </c>
      <c r="N4386">
        <v>0</v>
      </c>
      <c r="O4386">
        <v>-7.1175850000000001E-4</v>
      </c>
      <c r="P4386">
        <v>-0.98712999999999995</v>
      </c>
      <c r="Q4386">
        <v>0.15976850000000001</v>
      </c>
      <c r="R4386">
        <v>-6.9606449999999997E-3</v>
      </c>
      <c r="S4386">
        <v>-3.0511170000000001</v>
      </c>
      <c r="T4386">
        <v>-7.4881320000000001E-2</v>
      </c>
      <c r="U4386">
        <v>-3.9596560000000003E-2</v>
      </c>
      <c r="V4386">
        <v>-5.9846739999999997E-3</v>
      </c>
      <c r="W4386">
        <v>0.168828799999999</v>
      </c>
      <c r="X4386">
        <v>0.98562720000000004</v>
      </c>
      <c r="Y4386">
        <v>-1.226142E-2</v>
      </c>
      <c r="Z4386">
        <v>-1.32967E-4</v>
      </c>
      <c r="AA4386">
        <v>0.99992479999999995</v>
      </c>
      <c r="AB4386">
        <v>41</v>
      </c>
      <c r="AC4386">
        <v>-44.744300000000003</v>
      </c>
      <c r="AD4386">
        <v>-1.1084639268050001</v>
      </c>
      <c r="AE4386">
        <v>-0.58620000000001904</v>
      </c>
      <c r="AF4386">
        <v>-0.55401143218880999</v>
      </c>
      <c r="AG4386">
        <v>-1.1084639268050001</v>
      </c>
      <c r="AH4386">
        <v>44.717266907507401</v>
      </c>
      <c r="AI4386">
        <v>91.419863850372494</v>
      </c>
      <c r="AJ4386">
        <v>90.709812900752297</v>
      </c>
      <c r="AK4386">
        <v>44.734433947701604</v>
      </c>
      <c r="AL4386">
        <v>80.280269789284006</v>
      </c>
      <c r="AM4386">
        <v>90.347892537894595</v>
      </c>
      <c r="AN4386">
        <v>0.99999997870608204</v>
      </c>
    </row>
    <row r="4387" spans="1:40" x14ac:dyDescent="0.25">
      <c r="A4387" t="str">
        <f>"20190312173018376"</f>
        <v>20190312173018376</v>
      </c>
      <c r="B4387" t="str">
        <f>"1552383018371770"</f>
        <v>1552383018371770</v>
      </c>
      <c r="C4387" t="s">
        <v>40</v>
      </c>
      <c r="D4387">
        <v>3.347426</v>
      </c>
      <c r="E4387">
        <v>0.49894529999999898</v>
      </c>
      <c r="F4387" t="s">
        <v>41</v>
      </c>
      <c r="G4387">
        <v>-362.12819999999999</v>
      </c>
      <c r="H4387" s="1">
        <v>-3.7136290000000001E-6</v>
      </c>
      <c r="I4387">
        <v>140.94799999999901</v>
      </c>
      <c r="J4387">
        <v>-319.58229999999998</v>
      </c>
      <c r="K4387">
        <v>1.10846</v>
      </c>
      <c r="L4387">
        <v>141.49279999999999</v>
      </c>
      <c r="M4387">
        <v>-0.99995789999999996</v>
      </c>
      <c r="N4387">
        <v>0</v>
      </c>
      <c r="O4387">
        <v>-1.625067E-4</v>
      </c>
      <c r="P4387">
        <v>-0.98711709999999997</v>
      </c>
      <c r="Q4387">
        <v>0.1598591</v>
      </c>
      <c r="R4387">
        <v>-6.7169899999999999E-3</v>
      </c>
      <c r="S4387">
        <v>-3.0516049999999999</v>
      </c>
      <c r="T4387">
        <v>-7.8782679999999994E-2</v>
      </c>
      <c r="U4387">
        <v>-3.8711549999999997E-2</v>
      </c>
      <c r="V4387">
        <v>-6.2834680000000004E-3</v>
      </c>
      <c r="W4387">
        <v>0.16893359999999999</v>
      </c>
      <c r="X4387">
        <v>0.98560740000000002</v>
      </c>
      <c r="Y4387">
        <v>-1.2518E-2</v>
      </c>
      <c r="Z4387">
        <v>-1.573592E-4</v>
      </c>
      <c r="AA4387">
        <v>0.99992159999999997</v>
      </c>
      <c r="AB4387">
        <v>41</v>
      </c>
      <c r="AC4387">
        <v>-42.545900000000003</v>
      </c>
      <c r="AD4387">
        <v>-1.1084637136290001</v>
      </c>
      <c r="AE4387">
        <v>-0.54480000000000905</v>
      </c>
      <c r="AF4387">
        <v>-0.53752091063469098</v>
      </c>
      <c r="AG4387">
        <v>-1.1084637136290001</v>
      </c>
      <c r="AH4387">
        <v>42.517133027350397</v>
      </c>
      <c r="AI4387">
        <v>91.493300070252502</v>
      </c>
      <c r="AJ4387">
        <v>90.724320685081693</v>
      </c>
      <c r="AK4387">
        <v>42.534976447615598</v>
      </c>
      <c r="AL4387">
        <v>80.274177847591005</v>
      </c>
      <c r="AM4387">
        <v>90.365268482955003</v>
      </c>
      <c r="AN4387">
        <v>0.99999999505691295</v>
      </c>
    </row>
    <row r="4388" spans="1:40" x14ac:dyDescent="0.25">
      <c r="A4388" t="str">
        <f>"20190312173018390"</f>
        <v>20190312173018390</v>
      </c>
      <c r="B4388" t="str">
        <f>"1552383018382506"</f>
        <v>1552383018382506</v>
      </c>
      <c r="C4388" t="s">
        <v>40</v>
      </c>
      <c r="D4388">
        <v>3.3923760000000001</v>
      </c>
      <c r="E4388">
        <v>0.49894529999999898</v>
      </c>
      <c r="F4388" t="s">
        <v>41</v>
      </c>
      <c r="G4388">
        <v>-361.9409</v>
      </c>
      <c r="H4388" s="1">
        <v>-3.7953349999999998E-6</v>
      </c>
      <c r="I4388">
        <v>140.95310000000001</v>
      </c>
      <c r="J4388">
        <v>-319.84230000000002</v>
      </c>
      <c r="K4388">
        <v>1.10846</v>
      </c>
      <c r="L4388">
        <v>141.4931</v>
      </c>
      <c r="M4388">
        <v>-0.99995780000000001</v>
      </c>
      <c r="N4388">
        <v>0</v>
      </c>
      <c r="O4388">
        <v>2.0294780000000001E-4</v>
      </c>
      <c r="P4388">
        <v>-0.98714539999999995</v>
      </c>
      <c r="Q4388">
        <v>0.1597016</v>
      </c>
      <c r="R4388">
        <v>-6.3141259999999998E-3</v>
      </c>
      <c r="S4388">
        <v>-3.0518489999999998</v>
      </c>
      <c r="T4388">
        <v>-7.9862589999999997E-2</v>
      </c>
      <c r="U4388">
        <v>-3.887939E-2</v>
      </c>
      <c r="V4388">
        <v>-6.2408610000000003E-3</v>
      </c>
      <c r="W4388">
        <v>0.16878509999999999</v>
      </c>
      <c r="X4388">
        <v>0.98563310000000004</v>
      </c>
      <c r="Y4388">
        <v>-1.293703E-2</v>
      </c>
      <c r="Z4388">
        <v>-1.74545999999999E-4</v>
      </c>
      <c r="AA4388">
        <v>0.99991629999999998</v>
      </c>
      <c r="AB4388">
        <v>41</v>
      </c>
      <c r="AC4388">
        <v>-42.098599999999898</v>
      </c>
      <c r="AD4388">
        <v>-1.1084637953350001</v>
      </c>
      <c r="AE4388">
        <v>-0.53999999999999204</v>
      </c>
      <c r="AF4388">
        <v>-0.54816419959474405</v>
      </c>
      <c r="AG4388">
        <v>-1.1084637953350001</v>
      </c>
      <c r="AH4388">
        <v>42.069328574348503</v>
      </c>
      <c r="AI4388">
        <v>91.509180708912297</v>
      </c>
      <c r="AJ4388">
        <v>90.746522915684807</v>
      </c>
      <c r="AK4388">
        <v>42.087499125889799</v>
      </c>
      <c r="AL4388">
        <v>80.282810112970296</v>
      </c>
      <c r="AM4388">
        <v>90.362782273953997</v>
      </c>
      <c r="AN4388">
        <v>0.99999998307182003</v>
      </c>
    </row>
    <row r="4389" spans="1:40" x14ac:dyDescent="0.25">
      <c r="A4389" t="str">
        <f>"20190312173018403"</f>
        <v>20190312173018403</v>
      </c>
      <c r="B4389" t="str">
        <f>"1552383018392268"</f>
        <v>1552383018392268</v>
      </c>
      <c r="C4389" t="s">
        <v>40</v>
      </c>
      <c r="D4389">
        <v>3.295455</v>
      </c>
      <c r="E4389">
        <v>0.47530559999999999</v>
      </c>
      <c r="F4389" t="s">
        <v>41</v>
      </c>
      <c r="G4389">
        <v>-361.94069999999999</v>
      </c>
      <c r="H4389" s="1">
        <v>-3.8013520000000001E-6</v>
      </c>
      <c r="I4389">
        <v>140.97540000000001</v>
      </c>
      <c r="J4389">
        <v>-320.09300000000002</v>
      </c>
      <c r="K4389">
        <v>1.1084620000000001</v>
      </c>
      <c r="L4389">
        <v>141.4933</v>
      </c>
      <c r="M4389">
        <v>-0.99995750000000005</v>
      </c>
      <c r="N4389">
        <v>0</v>
      </c>
      <c r="O4389">
        <v>5.5505379999999996E-4</v>
      </c>
      <c r="P4389">
        <v>-0.98713640000000002</v>
      </c>
      <c r="Q4389">
        <v>0.1597693</v>
      </c>
      <c r="R4389">
        <v>-5.9768209999999898E-3</v>
      </c>
      <c r="S4389">
        <v>-3.0518190000000001</v>
      </c>
      <c r="T4389">
        <v>-8.0355410000000002E-2</v>
      </c>
      <c r="U4389">
        <v>-3.7521359999999997E-2</v>
      </c>
      <c r="V4389">
        <v>-6.2515879999999998E-3</v>
      </c>
      <c r="W4389">
        <v>0.1688617</v>
      </c>
      <c r="X4389">
        <v>0.98561989999999999</v>
      </c>
      <c r="Y4389">
        <v>-1.284422E-2</v>
      </c>
      <c r="Z4389">
        <v>-1.8367279999999999E-4</v>
      </c>
      <c r="AA4389">
        <v>0.99991750000000001</v>
      </c>
      <c r="AB4389">
        <v>42</v>
      </c>
      <c r="AC4389">
        <v>-41.847699999999897</v>
      </c>
      <c r="AD4389">
        <v>-1.1084658013519999</v>
      </c>
      <c r="AE4389">
        <v>-0.51789999999999703</v>
      </c>
      <c r="AF4389">
        <v>-0.54074928682916401</v>
      </c>
      <c r="AG4389">
        <v>-1.1084658013519999</v>
      </c>
      <c r="AH4389">
        <v>41.818070214458302</v>
      </c>
      <c r="AI4389">
        <v>91.518248887371598</v>
      </c>
      <c r="AJ4389">
        <v>90.740850188636401</v>
      </c>
      <c r="AK4389">
        <v>41.8362534494347</v>
      </c>
      <c r="AL4389">
        <v>80.278357230675695</v>
      </c>
      <c r="AM4389">
        <v>90.363410686328507</v>
      </c>
      <c r="AN4389">
        <v>0.99999997167771004</v>
      </c>
    </row>
    <row r="4390" spans="1:40" x14ac:dyDescent="0.25">
      <c r="A4390" t="str">
        <f>"20190312173018421"</f>
        <v>20190312173018421</v>
      </c>
      <c r="B4390" t="str">
        <f>"1552383018411786"</f>
        <v>1552383018411786</v>
      </c>
      <c r="C4390" t="s">
        <v>40</v>
      </c>
      <c r="D4390">
        <v>3.3145760000000002</v>
      </c>
      <c r="E4390">
        <v>0.4718696</v>
      </c>
      <c r="F4390" t="s">
        <v>41</v>
      </c>
      <c r="G4390">
        <v>-355.17770000000002</v>
      </c>
      <c r="H4390" s="1">
        <v>-2.1771829999999998E-6</v>
      </c>
      <c r="I4390">
        <v>138.90520000000001</v>
      </c>
      <c r="J4390">
        <v>-320.4307</v>
      </c>
      <c r="K4390">
        <v>1.1084609999999999</v>
      </c>
      <c r="L4390">
        <v>141.4939</v>
      </c>
      <c r="M4390">
        <v>-0.99995699999999998</v>
      </c>
      <c r="N4390">
        <v>0</v>
      </c>
      <c r="O4390">
        <v>1.0280269999999999E-3</v>
      </c>
      <c r="P4390">
        <v>-0.98714080000000004</v>
      </c>
      <c r="Q4390">
        <v>0.15974340000000001</v>
      </c>
      <c r="R4390">
        <v>-5.9290509999999899E-3</v>
      </c>
      <c r="S4390">
        <v>-3.0533450000000002</v>
      </c>
      <c r="T4390">
        <v>-9.6467020000000001E-2</v>
      </c>
      <c r="U4390">
        <v>-0.22523499999999999</v>
      </c>
      <c r="V4390">
        <v>-6.6703569999999896E-3</v>
      </c>
      <c r="W4390">
        <v>0.1688472</v>
      </c>
      <c r="X4390">
        <v>0.98561969999999999</v>
      </c>
      <c r="Y4390">
        <v>-7.4554490000000001E-2</v>
      </c>
      <c r="Z4390">
        <v>-1.208272E-3</v>
      </c>
      <c r="AA4390">
        <v>0.9972162</v>
      </c>
      <c r="AB4390">
        <v>42</v>
      </c>
      <c r="AC4390">
        <v>-34.747</v>
      </c>
      <c r="AD4390">
        <v>-1.108463177183</v>
      </c>
      <c r="AE4390">
        <v>-2.5886999999999798</v>
      </c>
      <c r="AF4390">
        <v>-2.6217676307073798</v>
      </c>
      <c r="AG4390">
        <v>-1.108463177183</v>
      </c>
      <c r="AH4390">
        <v>34.709192664616403</v>
      </c>
      <c r="AI4390">
        <v>91.823968022285698</v>
      </c>
      <c r="AJ4390">
        <v>94.319648274766806</v>
      </c>
      <c r="AK4390">
        <v>34.825714803203297</v>
      </c>
      <c r="AL4390">
        <v>80.279200712888695</v>
      </c>
      <c r="AM4390">
        <v>90.387753480631105</v>
      </c>
      <c r="AN4390">
        <v>1.0000000318192099</v>
      </c>
    </row>
    <row r="4391" spans="1:40" x14ac:dyDescent="0.25">
      <c r="A4391" t="str">
        <f>"20190312173018444"</f>
        <v>20190312173018444</v>
      </c>
      <c r="B4391" t="str">
        <f>"1552383018442042"</f>
        <v>1552383018442042</v>
      </c>
      <c r="C4391" t="s">
        <v>40</v>
      </c>
      <c r="D4391">
        <v>3.2975769999999902</v>
      </c>
      <c r="E4391">
        <v>0.47002640000000001</v>
      </c>
      <c r="F4391" t="s">
        <v>41</v>
      </c>
      <c r="G4391">
        <v>-358.4699</v>
      </c>
      <c r="H4391" s="1">
        <v>-8.6375159999999997E-7</v>
      </c>
      <c r="I4391">
        <v>138.3477</v>
      </c>
      <c r="J4391">
        <v>-320.8553</v>
      </c>
      <c r="K4391">
        <v>1.1084590000000001</v>
      </c>
      <c r="L4391">
        <v>141.4948</v>
      </c>
      <c r="M4391">
        <v>-0.99995599999999996</v>
      </c>
      <c r="N4391">
        <v>0</v>
      </c>
      <c r="O4391">
        <v>1.6213179999999901E-3</v>
      </c>
      <c r="P4391">
        <v>-0.98715489999999995</v>
      </c>
      <c r="Q4391">
        <v>0.15967089999999901</v>
      </c>
      <c r="R4391">
        <v>-5.5047059999999998E-3</v>
      </c>
      <c r="S4391">
        <v>-3.0520019999999999</v>
      </c>
      <c r="T4391">
        <v>-8.8935379999999994E-2</v>
      </c>
      <c r="U4391">
        <v>-0.25242609999999999</v>
      </c>
      <c r="V4391">
        <v>-6.831625E-3</v>
      </c>
      <c r="W4391">
        <v>0.1687931</v>
      </c>
      <c r="X4391">
        <v>0.98562780000000005</v>
      </c>
      <c r="Y4391">
        <v>-8.4006579999999997E-2</v>
      </c>
      <c r="Z4391">
        <v>-1.2687899999999999E-3</v>
      </c>
      <c r="AA4391">
        <v>0.99646440000000003</v>
      </c>
      <c r="AB4391">
        <v>42</v>
      </c>
      <c r="AC4391">
        <v>-37.614600000000003</v>
      </c>
      <c r="AD4391">
        <v>-1.1084598637516001</v>
      </c>
      <c r="AE4391">
        <v>-3.1470999999999898</v>
      </c>
      <c r="AF4391">
        <v>-3.2053194986474498</v>
      </c>
      <c r="AG4391">
        <v>-1.1084598637516001</v>
      </c>
      <c r="AH4391">
        <v>37.577042287258898</v>
      </c>
      <c r="AI4391">
        <v>91.683529536715298</v>
      </c>
      <c r="AJ4391">
        <v>94.875524579542201</v>
      </c>
      <c r="AK4391">
        <v>37.7297874817286</v>
      </c>
      <c r="AL4391">
        <v>80.282344955211997</v>
      </c>
      <c r="AM4391">
        <v>90.397124565306399</v>
      </c>
      <c r="AN4391">
        <v>0.99999997092029402</v>
      </c>
    </row>
    <row r="4392" spans="1:40" x14ac:dyDescent="0.25">
      <c r="A4392" t="str">
        <f>"20190312173018466"</f>
        <v>20190312173018466</v>
      </c>
      <c r="B4392" t="str">
        <f>"1552383018462539"</f>
        <v>1552383018462539</v>
      </c>
      <c r="C4392" t="s">
        <v>40</v>
      </c>
      <c r="D4392">
        <v>3.2998159999999999</v>
      </c>
      <c r="E4392">
        <v>0.46918870000000001</v>
      </c>
      <c r="F4392" t="s">
        <v>41</v>
      </c>
      <c r="G4392">
        <v>-360.2371</v>
      </c>
      <c r="H4392" s="1">
        <v>-4.4462439999999901E-6</v>
      </c>
      <c r="I4392">
        <v>138.06200000000001</v>
      </c>
      <c r="J4392">
        <v>-321.24860000000001</v>
      </c>
      <c r="K4392">
        <v>1.1084620000000001</v>
      </c>
      <c r="L4392">
        <v>141.4958</v>
      </c>
      <c r="M4392">
        <v>-0.99995480000000003</v>
      </c>
      <c r="N4392">
        <v>0</v>
      </c>
      <c r="O4392">
        <v>2.1697819999999999E-3</v>
      </c>
      <c r="P4392">
        <v>-0.98718629999999996</v>
      </c>
      <c r="Q4392">
        <v>0.159483399999999</v>
      </c>
      <c r="R4392">
        <v>-5.3274869999999997E-3</v>
      </c>
      <c r="S4392">
        <v>-3.051453</v>
      </c>
      <c r="T4392">
        <v>-8.5888030000000004E-2</v>
      </c>
      <c r="U4392">
        <v>-0.26597599999999999</v>
      </c>
      <c r="V4392">
        <v>-7.1956030000000001E-3</v>
      </c>
      <c r="W4392">
        <v>0.16862530000000001</v>
      </c>
      <c r="X4392">
        <v>0.98565389999999997</v>
      </c>
      <c r="Y4392">
        <v>-8.8960129999999998E-2</v>
      </c>
      <c r="Z4392">
        <v>-1.3102960000000001E-3</v>
      </c>
      <c r="AA4392">
        <v>0.99603430000000004</v>
      </c>
      <c r="AB4392">
        <v>42</v>
      </c>
      <c r="AC4392">
        <v>-38.988499999999902</v>
      </c>
      <c r="AD4392">
        <v>-1.1084664462439999</v>
      </c>
      <c r="AE4392">
        <v>-3.43379999999999</v>
      </c>
      <c r="AF4392">
        <v>-3.5155723248900901</v>
      </c>
      <c r="AG4392">
        <v>-1.1084664462439999</v>
      </c>
      <c r="AH4392">
        <v>38.949716604460399</v>
      </c>
      <c r="AI4392">
        <v>91.623539090264003</v>
      </c>
      <c r="AJ4392">
        <v>95.157498967198805</v>
      </c>
      <c r="AK4392">
        <v>39.123757107437498</v>
      </c>
      <c r="AL4392">
        <v>80.292098695565002</v>
      </c>
      <c r="AM4392">
        <v>90.418270915469506</v>
      </c>
      <c r="AN4392">
        <v>0.99999993954391497</v>
      </c>
    </row>
    <row r="4393" spans="1:40" x14ac:dyDescent="0.25">
      <c r="A4393" t="str">
        <f>"20190312173018479"</f>
        <v>20190312173018479</v>
      </c>
      <c r="B4393" t="str">
        <f>"1552383018472299"</f>
        <v>1552383018472299</v>
      </c>
      <c r="C4393" t="s">
        <v>40</v>
      </c>
      <c r="D4393">
        <v>3.2979599999999998</v>
      </c>
      <c r="E4393">
        <v>0.46890340000000003</v>
      </c>
      <c r="F4393" t="s">
        <v>41</v>
      </c>
      <c r="G4393">
        <v>-359.39589999999998</v>
      </c>
      <c r="H4393" s="1">
        <v>-5.9716689999999997E-7</v>
      </c>
      <c r="I4393">
        <v>138.09209999999999</v>
      </c>
      <c r="J4393">
        <v>-321.50130000000001</v>
      </c>
      <c r="K4393">
        <v>1.1084620000000001</v>
      </c>
      <c r="L4393">
        <v>141.4966</v>
      </c>
      <c r="M4393">
        <v>-0.99995389999999995</v>
      </c>
      <c r="N4393">
        <v>0</v>
      </c>
      <c r="O4393">
        <v>2.5218770000000001E-3</v>
      </c>
      <c r="P4393">
        <v>-0.9872185</v>
      </c>
      <c r="Q4393">
        <v>0.15929589999999999</v>
      </c>
      <c r="R4393">
        <v>-4.9450759999999996E-3</v>
      </c>
      <c r="S4393">
        <v>-3.0517880000000002</v>
      </c>
      <c r="T4393">
        <v>-8.8677049999999993E-2</v>
      </c>
      <c r="U4393">
        <v>-0.27229309999999901</v>
      </c>
      <c r="V4393">
        <v>-7.1610409999999999E-3</v>
      </c>
      <c r="W4393">
        <v>0.1684496</v>
      </c>
      <c r="X4393">
        <v>0.98568429999999996</v>
      </c>
      <c r="Y4393">
        <v>-9.1343480000000005E-2</v>
      </c>
      <c r="Z4393">
        <v>-1.3973179999999901E-3</v>
      </c>
      <c r="AA4393">
        <v>0.99581839999999999</v>
      </c>
      <c r="AB4393">
        <v>42</v>
      </c>
      <c r="AC4393">
        <v>-37.894599999999897</v>
      </c>
      <c r="AD4393">
        <v>-1.1084625971669</v>
      </c>
      <c r="AE4393">
        <v>-3.4045000000000099</v>
      </c>
      <c r="AF4393">
        <v>-3.4970905278133801</v>
      </c>
      <c r="AG4393">
        <v>-1.1084625971669</v>
      </c>
      <c r="AH4393">
        <v>37.853763798629899</v>
      </c>
      <c r="AI4393">
        <v>91.670190914819898</v>
      </c>
      <c r="AJ4393">
        <v>95.278243723339799</v>
      </c>
      <c r="AK4393">
        <v>38.031115750284101</v>
      </c>
      <c r="AL4393">
        <v>80.302312678930406</v>
      </c>
      <c r="AM4393">
        <v>90.416249105143194</v>
      </c>
      <c r="AN4393">
        <v>1.0000000437574199</v>
      </c>
    </row>
    <row r="4394" spans="1:40" x14ac:dyDescent="0.25">
      <c r="A4394" t="str">
        <f>"20190312173018491"</f>
        <v>20190312173018491</v>
      </c>
      <c r="B4394" t="str">
        <f>"1552383018482058"</f>
        <v>1552383018482058</v>
      </c>
      <c r="C4394" t="s">
        <v>40</v>
      </c>
      <c r="D4394">
        <v>3.3049949999999999</v>
      </c>
      <c r="E4394">
        <v>0.46874569999999999</v>
      </c>
      <c r="F4394" t="s">
        <v>41</v>
      </c>
      <c r="G4394">
        <v>-359.5342</v>
      </c>
      <c r="H4394" s="1">
        <v>-5.5173099999999995E-7</v>
      </c>
      <c r="I4394">
        <v>138.08600000000001</v>
      </c>
      <c r="J4394">
        <v>-321.74009999999998</v>
      </c>
      <c r="K4394">
        <v>1.1084620000000001</v>
      </c>
      <c r="L4394">
        <v>141.4975</v>
      </c>
      <c r="M4394">
        <v>-0.99995299999999998</v>
      </c>
      <c r="N4394">
        <v>0</v>
      </c>
      <c r="O4394">
        <v>2.852991E-3</v>
      </c>
      <c r="P4394">
        <v>-0.98721429999999999</v>
      </c>
      <c r="Q4394">
        <v>0.1593328</v>
      </c>
      <c r="R4394">
        <v>-4.6221559999999997E-3</v>
      </c>
      <c r="S4394">
        <v>-3.0517880000000002</v>
      </c>
      <c r="T4394">
        <v>-8.8943960000000002E-2</v>
      </c>
      <c r="U4394">
        <v>-0.27366639999999998</v>
      </c>
      <c r="V4394">
        <v>-7.1647409999999996E-3</v>
      </c>
      <c r="W4394">
        <v>0.16849749999999999</v>
      </c>
      <c r="X4394">
        <v>0.98567610000000005</v>
      </c>
      <c r="Y4394">
        <v>-9.2117039999999997E-2</v>
      </c>
      <c r="Z4394">
        <v>-1.422371E-3</v>
      </c>
      <c r="AA4394">
        <v>0.9957471</v>
      </c>
      <c r="AB4394">
        <v>42</v>
      </c>
      <c r="AC4394">
        <v>-37.7941</v>
      </c>
      <c r="AD4394">
        <v>-1.1084625517310001</v>
      </c>
      <c r="AE4394">
        <v>-3.4114999999999802</v>
      </c>
      <c r="AF4394">
        <v>-3.5163167186433402</v>
      </c>
      <c r="AG4394">
        <v>-1.1084625517310001</v>
      </c>
      <c r="AH4394">
        <v>37.752001362220199</v>
      </c>
      <c r="AI4394">
        <v>91.674573643744907</v>
      </c>
      <c r="AJ4394">
        <v>95.321320572027204</v>
      </c>
      <c r="AK4394">
        <v>37.931606601190502</v>
      </c>
      <c r="AL4394">
        <v>80.299528548650002</v>
      </c>
      <c r="AM4394">
        <v>90.416467631606494</v>
      </c>
      <c r="AN4394">
        <v>1.0000000575655199</v>
      </c>
    </row>
    <row r="4395" spans="1:40" x14ac:dyDescent="0.25">
      <c r="A4395" t="str">
        <f>"20190312173018511"</f>
        <v>20190312173018511</v>
      </c>
      <c r="B4395" t="str">
        <f>"1552383018502558"</f>
        <v>1552383018502558</v>
      </c>
      <c r="C4395" t="s">
        <v>40</v>
      </c>
      <c r="D4395">
        <v>3.3216399999999999</v>
      </c>
      <c r="E4395">
        <v>0.46850829999999999</v>
      </c>
      <c r="F4395" t="s">
        <v>41</v>
      </c>
      <c r="G4395">
        <v>-359.70659999999998</v>
      </c>
      <c r="H4395" s="1">
        <v>-4.9239839999999996E-7</v>
      </c>
      <c r="I4395">
        <v>138.08850000000001</v>
      </c>
      <c r="J4395">
        <v>-322.09350000000001</v>
      </c>
      <c r="K4395">
        <v>1.108468</v>
      </c>
      <c r="L4395">
        <v>141.49889999999999</v>
      </c>
      <c r="M4395">
        <v>-0.99995140000000005</v>
      </c>
      <c r="N4395">
        <v>0</v>
      </c>
      <c r="O4395">
        <v>3.3386840000000002E-3</v>
      </c>
      <c r="P4395">
        <v>-0.98723910000000004</v>
      </c>
      <c r="Q4395">
        <v>0.15918589999999999</v>
      </c>
      <c r="R4395">
        <v>-4.3647199999999999E-3</v>
      </c>
      <c r="S4395">
        <v>-3.0520019999999999</v>
      </c>
      <c r="T4395">
        <v>-8.9105729999999994E-2</v>
      </c>
      <c r="U4395">
        <v>-0.27403260000000002</v>
      </c>
      <c r="V4395">
        <v>-7.3881609999999999E-3</v>
      </c>
      <c r="W4395">
        <v>0.168366299999999</v>
      </c>
      <c r="X4395">
        <v>0.98569680000000004</v>
      </c>
      <c r="Y4395">
        <v>-9.2712420000000004E-2</v>
      </c>
      <c r="Z4395">
        <v>-1.4476720000000001E-3</v>
      </c>
      <c r="AA4395">
        <v>0.99569189999999996</v>
      </c>
      <c r="AB4395">
        <v>42</v>
      </c>
      <c r="AC4395">
        <v>-37.613099999999903</v>
      </c>
      <c r="AD4395">
        <v>-1.1084684923983901</v>
      </c>
      <c r="AE4395">
        <v>-3.4103999999999801</v>
      </c>
      <c r="AF4395">
        <v>-3.53292133638252</v>
      </c>
      <c r="AG4395">
        <v>-1.1084684923983901</v>
      </c>
      <c r="AH4395">
        <v>37.569140972748102</v>
      </c>
      <c r="AI4395">
        <v>91.682588947506602</v>
      </c>
      <c r="AJ4395">
        <v>95.372173644243404</v>
      </c>
      <c r="AK4395">
        <v>37.751166723664603</v>
      </c>
      <c r="AL4395">
        <v>80.307154033375795</v>
      </c>
      <c r="AM4395">
        <v>90.429444953720804</v>
      </c>
      <c r="AN4395">
        <v>0.99999998871444495</v>
      </c>
    </row>
    <row r="4396" spans="1:40" x14ac:dyDescent="0.25">
      <c r="A4396" t="str">
        <f>"20190312173018525"</f>
        <v>20190312173018525</v>
      </c>
      <c r="B4396" t="str">
        <f>"1552383018522075"</f>
        <v>1552383018522075</v>
      </c>
      <c r="C4396" t="s">
        <v>40</v>
      </c>
      <c r="D4396">
        <v>3.3141949999999998</v>
      </c>
      <c r="E4396">
        <v>0.46842780000000001</v>
      </c>
      <c r="F4396" t="s">
        <v>41</v>
      </c>
      <c r="G4396">
        <v>-359.80439999999999</v>
      </c>
      <c r="H4396" s="1">
        <v>-4.564153E-7</v>
      </c>
      <c r="I4396">
        <v>138.09870000000001</v>
      </c>
      <c r="J4396">
        <v>-322.35849999999999</v>
      </c>
      <c r="K4396">
        <v>1.1084719999999999</v>
      </c>
      <c r="L4396">
        <v>141.5</v>
      </c>
      <c r="M4396">
        <v>-0.99994989999999995</v>
      </c>
      <c r="N4396">
        <v>0</v>
      </c>
      <c r="O4396">
        <v>3.6980210000000001E-3</v>
      </c>
      <c r="P4396">
        <v>-0.98726170000000002</v>
      </c>
      <c r="Q4396">
        <v>0.1590541</v>
      </c>
      <c r="R4396">
        <v>-4.009126E-3</v>
      </c>
      <c r="S4396">
        <v>-3.0520320000000001</v>
      </c>
      <c r="T4396">
        <v>-8.9711070000000004E-2</v>
      </c>
      <c r="U4396">
        <v>-0.275177</v>
      </c>
      <c r="V4396">
        <v>-7.3887859999999996E-3</v>
      </c>
      <c r="W4396">
        <v>0.16824549999999999</v>
      </c>
      <c r="X4396">
        <v>0.98571739999999997</v>
      </c>
      <c r="Y4396">
        <v>-9.3438660000000007E-2</v>
      </c>
      <c r="Z4396">
        <v>-1.478654E-3</v>
      </c>
      <c r="AA4396">
        <v>0.99562390000000001</v>
      </c>
      <c r="AB4396">
        <v>42</v>
      </c>
      <c r="AC4396">
        <v>-37.445900000000002</v>
      </c>
      <c r="AD4396">
        <v>-1.1084724564152999</v>
      </c>
      <c r="AE4396">
        <v>-3.4012999999999902</v>
      </c>
      <c r="AF4396">
        <v>-3.5366847021275101</v>
      </c>
      <c r="AG4396">
        <v>-1.1084724564152999</v>
      </c>
      <c r="AH4396">
        <v>37.400560254859201</v>
      </c>
      <c r="AI4396">
        <v>91.690091956258897</v>
      </c>
      <c r="AJ4396">
        <v>95.401960007016498</v>
      </c>
      <c r="AK4396">
        <v>37.583756561129498</v>
      </c>
      <c r="AL4396">
        <v>80.314175319518398</v>
      </c>
      <c r="AM4396">
        <v>90.429472305998104</v>
      </c>
      <c r="AN4396">
        <v>0.99999996754578102</v>
      </c>
    </row>
    <row r="4397" spans="1:40" x14ac:dyDescent="0.25">
      <c r="A4397" t="str">
        <f>"20190312173018544"</f>
        <v>20190312173018544</v>
      </c>
      <c r="B4397" t="str">
        <f>"1552383018531834"</f>
        <v>1552383018531834</v>
      </c>
      <c r="C4397" t="s">
        <v>40</v>
      </c>
      <c r="D4397">
        <v>3.301358</v>
      </c>
      <c r="E4397">
        <v>0.4683853</v>
      </c>
      <c r="F4397" t="s">
        <v>41</v>
      </c>
      <c r="G4397">
        <v>-360.21570000000003</v>
      </c>
      <c r="H4397" s="1">
        <v>-4.4500900000000001E-6</v>
      </c>
      <c r="I4397">
        <v>138.09209999999999</v>
      </c>
      <c r="J4397">
        <v>-322.71910000000003</v>
      </c>
      <c r="K4397">
        <v>1.1084750000000001</v>
      </c>
      <c r="L4397">
        <v>141.5017</v>
      </c>
      <c r="M4397">
        <v>-0.9999479</v>
      </c>
      <c r="N4397">
        <v>0</v>
      </c>
      <c r="O4397">
        <v>4.1762730000000003E-3</v>
      </c>
      <c r="P4397">
        <v>-0.9872609</v>
      </c>
      <c r="Q4397">
        <v>0.159079</v>
      </c>
      <c r="R4397">
        <v>-3.1508399999999998E-3</v>
      </c>
      <c r="S4397">
        <v>-3.0520019999999999</v>
      </c>
      <c r="T4397">
        <v>-8.9364170000000007E-2</v>
      </c>
      <c r="U4397">
        <v>-0.27473449999999999</v>
      </c>
      <c r="V4397">
        <v>-7.0061380000000003E-3</v>
      </c>
      <c r="W4397">
        <v>0.16828309999999999</v>
      </c>
      <c r="X4397">
        <v>0.98571379999999997</v>
      </c>
      <c r="Y4397">
        <v>-9.3772480000000005E-2</v>
      </c>
      <c r="Z4397">
        <v>-1.4918129999999901E-3</v>
      </c>
      <c r="AA4397">
        <v>0.99559249999999999</v>
      </c>
      <c r="AB4397">
        <v>42</v>
      </c>
      <c r="AC4397">
        <v>-37.496600000000001</v>
      </c>
      <c r="AD4397">
        <v>-1.1084794500899999</v>
      </c>
      <c r="AE4397">
        <v>-3.40960000000001</v>
      </c>
      <c r="AF4397">
        <v>-3.5630847805266299</v>
      </c>
      <c r="AG4397">
        <v>-1.1084794500899999</v>
      </c>
      <c r="AH4397">
        <v>37.449573408830901</v>
      </c>
      <c r="AI4397">
        <v>91.6877997620348</v>
      </c>
      <c r="AJ4397">
        <v>95.434962753760303</v>
      </c>
      <c r="AK4397">
        <v>37.635021566991398</v>
      </c>
      <c r="AL4397">
        <v>80.311990072758604</v>
      </c>
      <c r="AM4397">
        <v>90.407233193307405</v>
      </c>
      <c r="AN4397">
        <v>0.99999999161286202</v>
      </c>
    </row>
    <row r="4398" spans="1:40" x14ac:dyDescent="0.25">
      <c r="A4398" t="str">
        <f>"20190312173018565"</f>
        <v>20190312173018565</v>
      </c>
      <c r="B4398" t="str">
        <f>"1552383018562090"</f>
        <v>1552383018562090</v>
      </c>
      <c r="C4398" t="s">
        <v>40</v>
      </c>
      <c r="D4398">
        <v>3.305612</v>
      </c>
      <c r="E4398">
        <v>0.46828330000000001</v>
      </c>
      <c r="F4398" t="s">
        <v>41</v>
      </c>
      <c r="G4398">
        <v>-360.67869999999999</v>
      </c>
      <c r="H4398" s="1">
        <v>-4.2484519999999996E-6</v>
      </c>
      <c r="I4398">
        <v>138.10910000000001</v>
      </c>
      <c r="J4398">
        <v>-323.12619999999998</v>
      </c>
      <c r="K4398">
        <v>1.108482</v>
      </c>
      <c r="L4398">
        <v>141.50380000000001</v>
      </c>
      <c r="M4398">
        <v>-0.99994550000000004</v>
      </c>
      <c r="N4398">
        <v>0</v>
      </c>
      <c r="O4398">
        <v>4.6993549999999997E-3</v>
      </c>
      <c r="P4398">
        <v>-0.98731800000000003</v>
      </c>
      <c r="Q4398">
        <v>0.15873329999999999</v>
      </c>
      <c r="R4398">
        <v>-2.6665809999999999E-3</v>
      </c>
      <c r="S4398">
        <v>-3.052216</v>
      </c>
      <c r="T4398">
        <v>-8.9129689999999998E-2</v>
      </c>
      <c r="U4398">
        <v>-0.27278140000000001</v>
      </c>
      <c r="V4398">
        <v>-7.0436730000000003E-3</v>
      </c>
      <c r="W4398">
        <v>0.1679532</v>
      </c>
      <c r="X4398">
        <v>0.98576980000000003</v>
      </c>
      <c r="Y4398">
        <v>-9.3655119999999994E-2</v>
      </c>
      <c r="Z4398">
        <v>-1.5013719999999999E-3</v>
      </c>
      <c r="AA4398">
        <v>0.99560360000000003</v>
      </c>
      <c r="AB4398">
        <v>42</v>
      </c>
      <c r="AC4398">
        <v>-37.552500000000002</v>
      </c>
      <c r="AD4398">
        <v>-1.1084862484519999</v>
      </c>
      <c r="AE4398">
        <v>-3.3946999999999998</v>
      </c>
      <c r="AF4398">
        <v>-3.5680589521255901</v>
      </c>
      <c r="AG4398">
        <v>-1.1084862484519999</v>
      </c>
      <c r="AH4398">
        <v>37.503718460259897</v>
      </c>
      <c r="AI4398">
        <v>91.685375531505102</v>
      </c>
      <c r="AJ4398">
        <v>95.434694194951106</v>
      </c>
      <c r="AK4398">
        <v>37.6893709790345</v>
      </c>
      <c r="AL4398">
        <v>80.331164898075997</v>
      </c>
      <c r="AM4398">
        <v>90.409391591324706</v>
      </c>
      <c r="AN4398">
        <v>0.99999999465580502</v>
      </c>
    </row>
    <row r="4399" spans="1:40" x14ac:dyDescent="0.25">
      <c r="A4399" t="str">
        <f>"20190312173018579"</f>
        <v>20190312173018579</v>
      </c>
      <c r="B4399" t="str">
        <f>"1552383018571850"</f>
        <v>1552383018571850</v>
      </c>
      <c r="C4399" t="s">
        <v>40</v>
      </c>
      <c r="D4399">
        <v>3.3060089999999902</v>
      </c>
      <c r="E4399">
        <v>0.46821560000000001</v>
      </c>
      <c r="F4399" t="s">
        <v>41</v>
      </c>
      <c r="G4399">
        <v>-360.47989999999999</v>
      </c>
      <c r="H4399" s="1">
        <v>-4.3220369999999998E-6</v>
      </c>
      <c r="I4399">
        <v>138.17500000000001</v>
      </c>
      <c r="J4399">
        <v>-323.38240000000002</v>
      </c>
      <c r="K4399">
        <v>1.10849</v>
      </c>
      <c r="L4399">
        <v>141.5052</v>
      </c>
      <c r="M4399">
        <v>-0.99994369999999999</v>
      </c>
      <c r="N4399">
        <v>0</v>
      </c>
      <c r="O4399">
        <v>5.0187620000000004E-3</v>
      </c>
      <c r="P4399">
        <v>-0.98739449999999995</v>
      </c>
      <c r="Q4399">
        <v>0.15825989999999901</v>
      </c>
      <c r="R4399">
        <v>-2.3785019999999998E-3</v>
      </c>
      <c r="S4399">
        <v>-3.0523069999999999</v>
      </c>
      <c r="T4399">
        <v>-9.0578320000000004E-2</v>
      </c>
      <c r="U4399">
        <v>-0.2720032</v>
      </c>
      <c r="V4399">
        <v>-7.0762029999999997E-3</v>
      </c>
      <c r="W4399">
        <v>0.16748879999999999</v>
      </c>
      <c r="X4399">
        <v>0.98584859999999996</v>
      </c>
      <c r="Y4399">
        <v>-9.3717140000000004E-2</v>
      </c>
      <c r="Z4399">
        <v>-1.5361120000000001E-3</v>
      </c>
      <c r="AA4399">
        <v>0.99559770000000003</v>
      </c>
      <c r="AB4399">
        <v>42</v>
      </c>
      <c r="AC4399">
        <v>-37.097499999999897</v>
      </c>
      <c r="AD4399">
        <v>-1.108494322037</v>
      </c>
      <c r="AE4399">
        <v>-3.3301999999999898</v>
      </c>
      <c r="AF4399">
        <v>-3.5132380035689801</v>
      </c>
      <c r="AG4399">
        <v>-1.108494322037</v>
      </c>
      <c r="AH4399">
        <v>37.047505163262201</v>
      </c>
      <c r="AI4399">
        <v>91.706179410260006</v>
      </c>
      <c r="AJ4399">
        <v>95.417194571350393</v>
      </c>
      <c r="AK4399">
        <v>37.230219442727602</v>
      </c>
      <c r="AL4399">
        <v>80.358155604400395</v>
      </c>
      <c r="AM4399">
        <v>90.411249358499205</v>
      </c>
      <c r="AN4399">
        <v>1.00000001644814</v>
      </c>
    </row>
    <row r="4400" spans="1:40" x14ac:dyDescent="0.25">
      <c r="A4400" t="str">
        <f>"20190312173018592"</f>
        <v>20190312173018592</v>
      </c>
      <c r="B4400" t="str">
        <f>"1552383018582587"</f>
        <v>1552383018582587</v>
      </c>
      <c r="C4400" t="s">
        <v>40</v>
      </c>
      <c r="D4400">
        <v>3.2968350000000002</v>
      </c>
      <c r="E4400">
        <v>0.46813450000000001</v>
      </c>
      <c r="F4400" t="s">
        <v>41</v>
      </c>
      <c r="G4400">
        <v>-359.96789999999999</v>
      </c>
      <c r="H4400" s="1">
        <v>-4.5285349999999998E-6</v>
      </c>
      <c r="I4400">
        <v>138.24930000000001</v>
      </c>
      <c r="J4400">
        <v>-323.6173</v>
      </c>
      <c r="K4400">
        <v>1.108498</v>
      </c>
      <c r="L4400">
        <v>141.50659999999999</v>
      </c>
      <c r="M4400">
        <v>-0.99994240000000001</v>
      </c>
      <c r="N4400">
        <v>0</v>
      </c>
      <c r="O4400">
        <v>5.3019900000000003E-3</v>
      </c>
      <c r="P4400">
        <v>-0.98742810000000003</v>
      </c>
      <c r="Q4400">
        <v>0.15805459999999999</v>
      </c>
      <c r="R4400">
        <v>-2.2382550000000002E-3</v>
      </c>
      <c r="S4400">
        <v>-3.0524900000000001</v>
      </c>
      <c r="T4400">
        <v>-9.2486860000000004E-2</v>
      </c>
      <c r="U4400">
        <v>-0.27165220000000001</v>
      </c>
      <c r="V4400">
        <v>-7.2202960000000002E-3</v>
      </c>
      <c r="W4400">
        <v>0.167291299999999</v>
      </c>
      <c r="X4400">
        <v>0.98588109999999995</v>
      </c>
      <c r="Y4400">
        <v>-9.3878240000000002E-2</v>
      </c>
      <c r="Z4400">
        <v>-1.579378E-3</v>
      </c>
      <c r="AA4400">
        <v>0.99558250000000004</v>
      </c>
      <c r="AB4400">
        <v>42</v>
      </c>
      <c r="AC4400">
        <v>-36.350599999999901</v>
      </c>
      <c r="AD4400">
        <v>-1.1085025285349901</v>
      </c>
      <c r="AE4400">
        <v>-3.2572999999999799</v>
      </c>
      <c r="AF4400">
        <v>-3.4468133601671598</v>
      </c>
      <c r="AG4400">
        <v>-1.1085025285349901</v>
      </c>
      <c r="AH4400">
        <v>36.299331152872099</v>
      </c>
      <c r="AI4400">
        <v>91.741316921958401</v>
      </c>
      <c r="AJ4400">
        <v>95.424273461650699</v>
      </c>
      <c r="AK4400">
        <v>36.4794564425166</v>
      </c>
      <c r="AL4400">
        <v>80.369633572456095</v>
      </c>
      <c r="AM4400">
        <v>90.419609516325806</v>
      </c>
      <c r="AN4400">
        <v>1.0000000275336101</v>
      </c>
    </row>
    <row r="4401" spans="1:40" x14ac:dyDescent="0.25">
      <c r="A4401" t="str">
        <f>"20190312173018605"</f>
        <v>20190312173018605</v>
      </c>
      <c r="B4401" t="str">
        <f>"1552383018592346"</f>
        <v>1552383018592346</v>
      </c>
      <c r="C4401" t="s">
        <v>40</v>
      </c>
      <c r="D4401">
        <v>3.3449689999999999</v>
      </c>
      <c r="E4401">
        <v>0.46807460000000001</v>
      </c>
      <c r="F4401" t="s">
        <v>41</v>
      </c>
      <c r="G4401">
        <v>-359.95209999999997</v>
      </c>
      <c r="H4401" s="1">
        <v>-3.5957510000000001E-7</v>
      </c>
      <c r="I4401">
        <v>138.27369999999999</v>
      </c>
      <c r="J4401">
        <v>-323.85750000000002</v>
      </c>
      <c r="K4401">
        <v>1.108511</v>
      </c>
      <c r="L4401">
        <v>141.50799999999899</v>
      </c>
      <c r="M4401">
        <v>-0.99994059999999996</v>
      </c>
      <c r="N4401">
        <v>0</v>
      </c>
      <c r="O4401">
        <v>5.5862809999999898E-3</v>
      </c>
      <c r="P4401">
        <v>-0.98745780000000005</v>
      </c>
      <c r="Q4401">
        <v>0.15786739999999999</v>
      </c>
      <c r="R4401">
        <v>-2.2987289999999998E-3</v>
      </c>
      <c r="S4401">
        <v>-3.052521</v>
      </c>
      <c r="T4401">
        <v>-9.3126059999999997E-2</v>
      </c>
      <c r="U4401">
        <v>-0.27159119999999998</v>
      </c>
      <c r="V4401">
        <v>-7.5660550000000003E-3</v>
      </c>
      <c r="W4401">
        <v>0.16711219999999999</v>
      </c>
      <c r="X4401">
        <v>0.98590889999999998</v>
      </c>
      <c r="Y4401">
        <v>-9.4139790000000001E-2</v>
      </c>
      <c r="Z4401">
        <v>-1.6029099999999999E-3</v>
      </c>
      <c r="AA4401">
        <v>0.99555769999999999</v>
      </c>
      <c r="AB4401">
        <v>42</v>
      </c>
      <c r="AC4401">
        <v>-36.0945999999999</v>
      </c>
      <c r="AD4401">
        <v>-1.1085113595750999</v>
      </c>
      <c r="AE4401">
        <v>-3.23429999999999</v>
      </c>
      <c r="AF4401">
        <v>-3.4326810823137301</v>
      </c>
      <c r="AG4401">
        <v>-1.1085113595750999</v>
      </c>
      <c r="AH4401">
        <v>36.042244607084697</v>
      </c>
      <c r="AI4401">
        <v>91.753696725348604</v>
      </c>
      <c r="AJ4401">
        <v>95.440468078641899</v>
      </c>
      <c r="AK4401">
        <v>36.222306568799603</v>
      </c>
      <c r="AL4401">
        <v>80.380041943286997</v>
      </c>
      <c r="AM4401">
        <v>90.439690228207397</v>
      </c>
      <c r="AN4401">
        <v>1.0000000458381499</v>
      </c>
    </row>
    <row r="4402" spans="1:40" x14ac:dyDescent="0.25">
      <c r="A4402" t="str">
        <f>"20190312173018623"</f>
        <v>20190312173018623</v>
      </c>
      <c r="B4402" t="str">
        <f>"1552383018611867"</f>
        <v>1552383018611867</v>
      </c>
      <c r="C4402" t="s">
        <v>40</v>
      </c>
      <c r="D4402">
        <v>3.3456389999999998</v>
      </c>
      <c r="E4402">
        <v>0.46795350000000002</v>
      </c>
      <c r="F4402" t="s">
        <v>41</v>
      </c>
      <c r="G4402">
        <v>-359.89580000000001</v>
      </c>
      <c r="H4402" s="1">
        <v>-3.7320809999999898E-7</v>
      </c>
      <c r="I4402">
        <v>138.2945</v>
      </c>
      <c r="J4402">
        <v>-324.20319999999998</v>
      </c>
      <c r="K4402">
        <v>1.1085290000000001</v>
      </c>
      <c r="L4402">
        <v>141.5103</v>
      </c>
      <c r="M4402">
        <v>-0.99993829999999995</v>
      </c>
      <c r="N4402">
        <v>0</v>
      </c>
      <c r="O4402">
        <v>5.9770550000000002E-3</v>
      </c>
      <c r="P4402">
        <v>-0.9874484</v>
      </c>
      <c r="Q4402">
        <v>0.15792999999999999</v>
      </c>
      <c r="R4402">
        <v>-2.0094430000000001E-3</v>
      </c>
      <c r="S4402">
        <v>-3.0524900000000001</v>
      </c>
      <c r="T4402">
        <v>-9.3892340000000005E-2</v>
      </c>
      <c r="U4402">
        <v>-0.27218629999999999</v>
      </c>
      <c r="V4402">
        <v>-7.6703209999999999E-3</v>
      </c>
      <c r="W4402">
        <v>0.1671888</v>
      </c>
      <c r="X4402">
        <v>0.98589499999999997</v>
      </c>
      <c r="Y4402">
        <v>-9.4721070000000004E-2</v>
      </c>
      <c r="Z4402">
        <v>-1.6370110000000001E-3</v>
      </c>
      <c r="AA4402">
        <v>0.99550249999999996</v>
      </c>
      <c r="AB4402">
        <v>42</v>
      </c>
      <c r="AC4402">
        <v>-35.692599999999999</v>
      </c>
      <c r="AD4402">
        <v>-1.1085293732081001</v>
      </c>
      <c r="AE4402">
        <v>-3.2158000000000002</v>
      </c>
      <c r="AF4402">
        <v>-3.4258106786816902</v>
      </c>
      <c r="AG4402">
        <v>-1.1085293732081001</v>
      </c>
      <c r="AH4402">
        <v>35.638641018675401</v>
      </c>
      <c r="AI4402">
        <v>91.773424474323505</v>
      </c>
      <c r="AJ4402">
        <v>95.490760702043204</v>
      </c>
      <c r="AK4402">
        <v>35.820074676575501</v>
      </c>
      <c r="AL4402">
        <v>80.375589430815594</v>
      </c>
      <c r="AM4402">
        <v>90.445755535885397</v>
      </c>
      <c r="AN4402">
        <v>0.99999993984733904</v>
      </c>
    </row>
    <row r="4403" spans="1:40" x14ac:dyDescent="0.25">
      <c r="A4403" t="str">
        <f>"20190312173018646"</f>
        <v>20190312173018646</v>
      </c>
      <c r="B4403" t="str">
        <f>"1552383018632362"</f>
        <v>1552383018632362</v>
      </c>
      <c r="C4403" t="s">
        <v>40</v>
      </c>
      <c r="D4403">
        <v>3.3011149999999998</v>
      </c>
      <c r="E4403">
        <v>0.4677848</v>
      </c>
      <c r="F4403" t="s">
        <v>41</v>
      </c>
      <c r="G4403">
        <v>-360.09899999999999</v>
      </c>
      <c r="H4403" s="1">
        <v>-4.4610680000000003E-6</v>
      </c>
      <c r="I4403">
        <v>138.3125</v>
      </c>
      <c r="J4403">
        <v>-324.61869999999999</v>
      </c>
      <c r="K4403">
        <v>1.108557</v>
      </c>
      <c r="L4403">
        <v>141.51310000000001</v>
      </c>
      <c r="M4403">
        <v>-0.99993540000000003</v>
      </c>
      <c r="N4403">
        <v>0</v>
      </c>
      <c r="O4403">
        <v>6.4211119999999997E-3</v>
      </c>
      <c r="P4403">
        <v>-0.98731570000000002</v>
      </c>
      <c r="Q4403">
        <v>0.15876019999999999</v>
      </c>
      <c r="R4403">
        <v>-1.7964890000000001E-3</v>
      </c>
      <c r="S4403">
        <v>-3.052673</v>
      </c>
      <c r="T4403">
        <v>-9.4272729999999999E-2</v>
      </c>
      <c r="U4403">
        <v>-0.27194210000000002</v>
      </c>
      <c r="V4403">
        <v>-7.9018690000000006E-3</v>
      </c>
      <c r="W4403">
        <v>0.1680364</v>
      </c>
      <c r="X4403">
        <v>0.98574910000000004</v>
      </c>
      <c r="Y4403">
        <v>-9.5078129999999997E-2</v>
      </c>
      <c r="Z4403">
        <v>-1.6627339999999999E-3</v>
      </c>
      <c r="AA4403">
        <v>0.99546840000000003</v>
      </c>
      <c r="AB4403">
        <v>42</v>
      </c>
      <c r="AC4403">
        <v>-35.4803</v>
      </c>
      <c r="AD4403">
        <v>-1.1085614610679999</v>
      </c>
      <c r="AE4403">
        <v>-3.2006000000000001</v>
      </c>
      <c r="AF4403">
        <v>-3.42505041984026</v>
      </c>
      <c r="AG4403">
        <v>-1.1085614610679999</v>
      </c>
      <c r="AH4403">
        <v>35.424713215834302</v>
      </c>
      <c r="AI4403">
        <v>91.784083584135004</v>
      </c>
      <c r="AJ4403">
        <v>95.522496375859205</v>
      </c>
      <c r="AK4403">
        <v>35.607164803105597</v>
      </c>
      <c r="AL4403">
        <v>80.326329017132807</v>
      </c>
      <c r="AM4403">
        <v>90.459279188667097</v>
      </c>
      <c r="AN4403">
        <v>0.99999997970473098</v>
      </c>
    </row>
    <row r="4404" spans="1:40" x14ac:dyDescent="0.25">
      <c r="A4404" t="str">
        <f>"20190312173018666"</f>
        <v>20190312173018666</v>
      </c>
      <c r="B4404" t="str">
        <f>"1552383018661642"</f>
        <v>1552383018661642</v>
      </c>
      <c r="C4404" t="s">
        <v>40</v>
      </c>
      <c r="D4404">
        <v>3.3199320000000001</v>
      </c>
      <c r="E4404">
        <v>0.46765879999999999</v>
      </c>
      <c r="F4404" t="s">
        <v>41</v>
      </c>
      <c r="G4404">
        <v>-361.33969999999999</v>
      </c>
      <c r="H4404" s="1">
        <v>-3.9431450000000002E-6</v>
      </c>
      <c r="I4404">
        <v>138.23169999999999</v>
      </c>
      <c r="J4404">
        <v>-325.02409999999998</v>
      </c>
      <c r="K4404">
        <v>1.108581</v>
      </c>
      <c r="L4404">
        <v>141.51599999999999</v>
      </c>
      <c r="M4404">
        <v>-0.99993240000000005</v>
      </c>
      <c r="N4404">
        <v>0</v>
      </c>
      <c r="O4404">
        <v>6.8347369999999996E-3</v>
      </c>
      <c r="P4404">
        <v>-0.98719279999999998</v>
      </c>
      <c r="Q4404">
        <v>0.15952339999999901</v>
      </c>
      <c r="R4404">
        <v>-1.6402159999999999E-3</v>
      </c>
      <c r="S4404">
        <v>-3.0528559999999998</v>
      </c>
      <c r="T4404">
        <v>-9.2162010000000003E-2</v>
      </c>
      <c r="U4404">
        <v>-0.2727966</v>
      </c>
      <c r="V4404">
        <v>-8.1602299999999992E-3</v>
      </c>
      <c r="W4404">
        <v>0.1688161</v>
      </c>
      <c r="X4404">
        <v>0.98561379999999998</v>
      </c>
      <c r="Y4404">
        <v>-9.5762659999999999E-2</v>
      </c>
      <c r="Z4404">
        <v>-1.648177E-3</v>
      </c>
      <c r="AA4404">
        <v>0.99540280000000003</v>
      </c>
      <c r="AB4404">
        <v>42</v>
      </c>
      <c r="AC4404">
        <v>-36.315600000000003</v>
      </c>
      <c r="AD4404">
        <v>-1.1085849431449999</v>
      </c>
      <c r="AE4404">
        <v>-3.2843</v>
      </c>
      <c r="AF4404">
        <v>-3.5291798104338001</v>
      </c>
      <c r="AG4404">
        <v>-1.1085849431449999</v>
      </c>
      <c r="AH4404">
        <v>36.258789309080598</v>
      </c>
      <c r="AI4404">
        <v>91.7429976378003</v>
      </c>
      <c r="AJ4404">
        <v>95.5592634396356</v>
      </c>
      <c r="AK4404">
        <v>36.447000876215299</v>
      </c>
      <c r="AL4404">
        <v>80.281008387221306</v>
      </c>
      <c r="AM4404">
        <v>90.474360298375601</v>
      </c>
      <c r="AN4404">
        <v>1.0000000138616501</v>
      </c>
    </row>
    <row r="4405" spans="1:40" x14ac:dyDescent="0.25">
      <c r="A4405" t="str">
        <f>"20190312173018681"</f>
        <v>20190312173018681</v>
      </c>
      <c r="B4405" t="str">
        <f>"1552383018672379"</f>
        <v>1552383018672379</v>
      </c>
      <c r="C4405" t="s">
        <v>40</v>
      </c>
      <c r="D4405">
        <v>3.3082829999999999</v>
      </c>
      <c r="E4405">
        <v>0.46761530000000001</v>
      </c>
      <c r="F4405" t="s">
        <v>41</v>
      </c>
      <c r="G4405">
        <v>-362.4282</v>
      </c>
      <c r="H4405" s="1">
        <v>-3.4872919999999998E-6</v>
      </c>
      <c r="I4405">
        <v>138.16909999999999</v>
      </c>
      <c r="J4405">
        <v>-325.29419999999999</v>
      </c>
      <c r="K4405">
        <v>1.108589</v>
      </c>
      <c r="L4405">
        <v>141.518</v>
      </c>
      <c r="M4405">
        <v>-0.9999304</v>
      </c>
      <c r="N4405">
        <v>0</v>
      </c>
      <c r="O4405">
        <v>7.102021E-3</v>
      </c>
      <c r="P4405">
        <v>-0.98712610000000001</v>
      </c>
      <c r="Q4405">
        <v>0.1599372</v>
      </c>
      <c r="R4405">
        <v>-1.5125620000000001E-3</v>
      </c>
      <c r="S4405">
        <v>-3.05307</v>
      </c>
      <c r="T4405">
        <v>-9.0487360000000003E-2</v>
      </c>
      <c r="U4405">
        <v>-0.27317809999999998</v>
      </c>
      <c r="V4405">
        <v>-8.3001389999999998E-3</v>
      </c>
      <c r="W4405">
        <v>0.16924049999999999</v>
      </c>
      <c r="X4405">
        <v>0.98553990000000002</v>
      </c>
      <c r="Y4405">
        <v>-9.6147339999999998E-2</v>
      </c>
      <c r="Z4405">
        <v>-1.631714E-3</v>
      </c>
      <c r="AA4405">
        <v>0.99536579999999997</v>
      </c>
      <c r="AB4405">
        <v>42</v>
      </c>
      <c r="AC4405">
        <v>-37.134</v>
      </c>
      <c r="AD4405">
        <v>-1.1085924872920001</v>
      </c>
      <c r="AE4405">
        <v>-3.3489000000000102</v>
      </c>
      <c r="AF4405">
        <v>-3.60936278793735</v>
      </c>
      <c r="AG4405">
        <v>-1.1085924872920001</v>
      </c>
      <c r="AH4405">
        <v>37.076500488935402</v>
      </c>
      <c r="AI4405">
        <v>91.704588245509996</v>
      </c>
      <c r="AJ4405">
        <v>95.5601706518665</v>
      </c>
      <c r="AK4405">
        <v>37.268262174990802</v>
      </c>
      <c r="AL4405">
        <v>80.256337588849803</v>
      </c>
      <c r="AM4405">
        <v>90.482529110039593</v>
      </c>
      <c r="AN4405">
        <v>1.0000000668198299</v>
      </c>
    </row>
    <row r="4406" spans="1:40" x14ac:dyDescent="0.25">
      <c r="A4406" t="str">
        <f>"20190312173018694"</f>
        <v>20190312173018694</v>
      </c>
      <c r="B4406" t="str">
        <f>"1552383018682138"</f>
        <v>1552383018682138</v>
      </c>
      <c r="C4406" t="s">
        <v>40</v>
      </c>
      <c r="D4406">
        <v>3.3385389999999999</v>
      </c>
      <c r="E4406">
        <v>0.46755570000000002</v>
      </c>
      <c r="F4406" t="s">
        <v>41</v>
      </c>
      <c r="G4406">
        <v>-362.9717</v>
      </c>
      <c r="H4406" s="1">
        <v>-3.2573940000000002E-6</v>
      </c>
      <c r="I4406">
        <v>138.1506</v>
      </c>
      <c r="J4406">
        <v>-325.53989999999999</v>
      </c>
      <c r="K4406">
        <v>1.108598</v>
      </c>
      <c r="L4406">
        <v>141.51990000000001</v>
      </c>
      <c r="M4406">
        <v>-0.9999287</v>
      </c>
      <c r="N4406">
        <v>0</v>
      </c>
      <c r="O4406">
        <v>7.3394159999999996E-3</v>
      </c>
      <c r="P4406">
        <v>-0.98709760000000002</v>
      </c>
      <c r="Q4406">
        <v>0.1601148</v>
      </c>
      <c r="R4406">
        <v>-1.362898E-3</v>
      </c>
      <c r="S4406">
        <v>-3.053223</v>
      </c>
      <c r="T4406">
        <v>-8.9835639999999994E-2</v>
      </c>
      <c r="U4406">
        <v>-0.27287289999999997</v>
      </c>
      <c r="V4406">
        <v>-8.3877459999999997E-3</v>
      </c>
      <c r="W4406">
        <v>0.1694271</v>
      </c>
      <c r="X4406">
        <v>0.98550700000000002</v>
      </c>
      <c r="Y4406">
        <v>-9.6281019999999995E-2</v>
      </c>
      <c r="Z4406">
        <v>-1.628827E-3</v>
      </c>
      <c r="AA4406">
        <v>0.99535289999999998</v>
      </c>
      <c r="AB4406">
        <v>42</v>
      </c>
      <c r="AC4406">
        <v>-37.431800000000003</v>
      </c>
      <c r="AD4406">
        <v>-1.1086012573940001</v>
      </c>
      <c r="AE4406">
        <v>-3.3693</v>
      </c>
      <c r="AF4406">
        <v>-3.6407811725303998</v>
      </c>
      <c r="AG4406">
        <v>-1.1086012573940001</v>
      </c>
      <c r="AH4406">
        <v>37.373543543369799</v>
      </c>
      <c r="AI4406">
        <v>91.691050618837295</v>
      </c>
      <c r="AJ4406">
        <v>95.563969598191093</v>
      </c>
      <c r="AK4406">
        <v>37.566821016454199</v>
      </c>
      <c r="AL4406">
        <v>80.245488601576696</v>
      </c>
      <c r="AM4406">
        <v>90.487638181833006</v>
      </c>
      <c r="AN4406">
        <v>0.999999971773184</v>
      </c>
    </row>
    <row r="4407" spans="1:40" x14ac:dyDescent="0.25">
      <c r="A4407" t="str">
        <f>"20190312173018711"</f>
        <v>20190312173018711</v>
      </c>
      <c r="B4407" t="str">
        <f>"1552383018701662"</f>
        <v>1552383018701662</v>
      </c>
      <c r="C4407" t="s">
        <v>40</v>
      </c>
      <c r="D4407">
        <v>3.3072629999999998</v>
      </c>
      <c r="E4407">
        <v>0.46745399999999998</v>
      </c>
      <c r="F4407" t="s">
        <v>41</v>
      </c>
      <c r="G4407">
        <v>-363.24919999999997</v>
      </c>
      <c r="H4407" s="1">
        <v>-3.1381099999999999E-6</v>
      </c>
      <c r="I4407">
        <v>138.15199999999999</v>
      </c>
      <c r="J4407">
        <v>-325.86040000000003</v>
      </c>
      <c r="K4407">
        <v>1.108614</v>
      </c>
      <c r="L4407">
        <v>141.52250000000001</v>
      </c>
      <c r="M4407">
        <v>-0.99992619999999999</v>
      </c>
      <c r="N4407">
        <v>0</v>
      </c>
      <c r="O4407">
        <v>7.6447279999999999E-3</v>
      </c>
      <c r="P4407">
        <v>-0.98708260000000003</v>
      </c>
      <c r="Q4407">
        <v>0.16020719999999999</v>
      </c>
      <c r="R4407">
        <v>-1.3028899999999999E-3</v>
      </c>
      <c r="S4407">
        <v>-3.053436</v>
      </c>
      <c r="T4407">
        <v>-8.9766979999999996E-2</v>
      </c>
      <c r="U4407">
        <v>-0.27270509999999998</v>
      </c>
      <c r="V4407">
        <v>-8.632888E-3</v>
      </c>
      <c r="W4407">
        <v>0.1695333</v>
      </c>
      <c r="X4407">
        <v>0.98548659999999999</v>
      </c>
      <c r="Y4407">
        <v>-9.6524310000000002E-2</v>
      </c>
      <c r="Z4407">
        <v>-1.6399989999999901E-3</v>
      </c>
      <c r="AA4407">
        <v>0.99532929999999997</v>
      </c>
      <c r="AB4407">
        <v>42</v>
      </c>
      <c r="AC4407">
        <v>-37.388799999999897</v>
      </c>
      <c r="AD4407">
        <v>-1.1086171381100001</v>
      </c>
      <c r="AE4407">
        <v>-3.3704999999999901</v>
      </c>
      <c r="AF4407">
        <v>-3.6530556279264199</v>
      </c>
      <c r="AG4407">
        <v>-1.1086171381100001</v>
      </c>
      <c r="AH4407">
        <v>37.329384780945503</v>
      </c>
      <c r="AI4407">
        <v>91.693001452277898</v>
      </c>
      <c r="AJ4407">
        <v>95.589171704490397</v>
      </c>
      <c r="AK4407">
        <v>37.524083140078403</v>
      </c>
      <c r="AL4407">
        <v>80.239314283872503</v>
      </c>
      <c r="AM4407">
        <v>90.501899666344997</v>
      </c>
      <c r="AN4407">
        <v>0.99999995267183395</v>
      </c>
    </row>
    <row r="4408" spans="1:40" x14ac:dyDescent="0.25">
      <c r="A4408" t="str">
        <f>"20190312173018733"</f>
        <v>20190312173018733</v>
      </c>
      <c r="B4408" t="str">
        <f>"1552383018722154"</f>
        <v>1552383018722154</v>
      </c>
      <c r="C4408" t="s">
        <v>40</v>
      </c>
      <c r="D4408">
        <v>3.3360989999999999</v>
      </c>
      <c r="E4408">
        <v>0.46729680000000001</v>
      </c>
      <c r="F4408" t="s">
        <v>41</v>
      </c>
      <c r="G4408">
        <v>-363.44409999999999</v>
      </c>
      <c r="H4408" s="1">
        <v>-3.0536279999999998E-6</v>
      </c>
      <c r="I4408">
        <v>138.15690000000001</v>
      </c>
      <c r="J4408">
        <v>-326.29809999999998</v>
      </c>
      <c r="K4408">
        <v>1.10863</v>
      </c>
      <c r="L4408">
        <v>141.52619999999999</v>
      </c>
      <c r="M4408">
        <v>-0.9999228</v>
      </c>
      <c r="N4408">
        <v>0</v>
      </c>
      <c r="O4408">
        <v>8.0549569999999997E-3</v>
      </c>
      <c r="P4408">
        <v>-0.98707690000000003</v>
      </c>
      <c r="Q4408">
        <v>0.16024379999999999</v>
      </c>
      <c r="R4408">
        <v>-1.016903E-3</v>
      </c>
      <c r="S4408">
        <v>-3.053528</v>
      </c>
      <c r="T4408">
        <v>-9.0070960000000005E-2</v>
      </c>
      <c r="U4408">
        <v>-0.2734375</v>
      </c>
      <c r="V4408">
        <v>-8.7563880000000004E-3</v>
      </c>
      <c r="W4408">
        <v>0.16959160000000001</v>
      </c>
      <c r="X4408">
        <v>0.98547549999999995</v>
      </c>
      <c r="Y4408">
        <v>-9.7166100000000005E-2</v>
      </c>
      <c r="Z4408">
        <v>-1.667005E-3</v>
      </c>
      <c r="AA4408">
        <v>0.99526680000000001</v>
      </c>
      <c r="AB4408">
        <v>42</v>
      </c>
      <c r="AC4408">
        <v>-37.146000000000001</v>
      </c>
      <c r="AD4408">
        <v>-1.108633053628</v>
      </c>
      <c r="AE4408">
        <v>-3.36929999999998</v>
      </c>
      <c r="AF4408">
        <v>-3.6651754272302499</v>
      </c>
      <c r="AG4408">
        <v>-1.108633053628</v>
      </c>
      <c r="AH4408">
        <v>37.084890545763102</v>
      </c>
      <c r="AI4408">
        <v>91.704019765998893</v>
      </c>
      <c r="AJ4408">
        <v>95.644328955122205</v>
      </c>
      <c r="AK4408">
        <v>37.282055803713398</v>
      </c>
      <c r="AL4408">
        <v>80.235925060531102</v>
      </c>
      <c r="AM4408">
        <v>90.509085079676794</v>
      </c>
      <c r="AN4408">
        <v>0.99999997311080702</v>
      </c>
    </row>
    <row r="4409" spans="1:40" x14ac:dyDescent="0.25">
      <c r="A4409" t="str">
        <f>"20190312173018748"</f>
        <v>20190312173018748</v>
      </c>
      <c r="B4409" t="str">
        <f>"1552383018741674"</f>
        <v>1552383018741674</v>
      </c>
      <c r="C4409" t="s">
        <v>40</v>
      </c>
      <c r="D4409">
        <v>3.3027850000000001</v>
      </c>
      <c r="E4409">
        <v>0.46713890000000002</v>
      </c>
      <c r="F4409" t="s">
        <v>41</v>
      </c>
      <c r="G4409">
        <v>-363.73779999999999</v>
      </c>
      <c r="H4409" s="1">
        <v>-2.9252529999999999E-6</v>
      </c>
      <c r="I4409">
        <v>138.1704</v>
      </c>
      <c r="J4409">
        <v>-326.57380000000001</v>
      </c>
      <c r="K4409">
        <v>1.1086389999999999</v>
      </c>
      <c r="L4409">
        <v>141.52860000000001</v>
      </c>
      <c r="M4409">
        <v>-0.9999207</v>
      </c>
      <c r="N4409">
        <v>0</v>
      </c>
      <c r="O4409">
        <v>8.3108339999999996E-3</v>
      </c>
      <c r="P4409">
        <v>-0.98710299999999995</v>
      </c>
      <c r="Q4409">
        <v>0.16008539999999999</v>
      </c>
      <c r="R4409">
        <v>-7.1629279999999896E-4</v>
      </c>
      <c r="S4409">
        <v>-3.0536799999999999</v>
      </c>
      <c r="T4409">
        <v>-9.042335E-2</v>
      </c>
      <c r="U4409">
        <v>-0.27369690000000002</v>
      </c>
      <c r="V4409">
        <v>-8.7110239999999995E-3</v>
      </c>
      <c r="W4409">
        <v>0.1694473</v>
      </c>
      <c r="X4409">
        <v>0.98550079999999995</v>
      </c>
      <c r="Y4409">
        <v>-9.7499619999999995E-2</v>
      </c>
      <c r="Z4409">
        <v>-1.685923E-3</v>
      </c>
      <c r="AA4409">
        <v>0.99523410000000001</v>
      </c>
      <c r="AB4409">
        <v>42</v>
      </c>
      <c r="AC4409">
        <v>-37.163999999999902</v>
      </c>
      <c r="AD4409">
        <v>-1.108641925253</v>
      </c>
      <c r="AE4409">
        <v>-3.3582000000000098</v>
      </c>
      <c r="AF4409">
        <v>-3.6637277539973598</v>
      </c>
      <c r="AG4409">
        <v>-1.108641925253</v>
      </c>
      <c r="AH4409">
        <v>37.102056266640602</v>
      </c>
      <c r="AI4409">
        <v>91.703259579921493</v>
      </c>
      <c r="AJ4409">
        <v>95.639520379800203</v>
      </c>
      <c r="AK4409">
        <v>37.298988822578103</v>
      </c>
      <c r="AL4409">
        <v>80.244314998769298</v>
      </c>
      <c r="AM4409">
        <v>90.506434812120204</v>
      </c>
      <c r="AN4409">
        <v>1.0000000481085201</v>
      </c>
    </row>
    <row r="4410" spans="1:40" x14ac:dyDescent="0.25">
      <c r="A4410" t="str">
        <f>"20190312173018767"</f>
        <v>20190312173018767</v>
      </c>
      <c r="B4410" t="str">
        <f>"1552383018762170"</f>
        <v>1552383018762170</v>
      </c>
      <c r="C4410" t="s">
        <v>40</v>
      </c>
      <c r="D4410">
        <v>3.3389199999999999</v>
      </c>
      <c r="E4410">
        <v>0.46701530000000002</v>
      </c>
      <c r="F4410" t="s">
        <v>41</v>
      </c>
      <c r="G4410">
        <v>-363.608</v>
      </c>
      <c r="H4410" s="1">
        <v>-2.9751959999999998E-6</v>
      </c>
      <c r="I4410">
        <v>138.20269999999999</v>
      </c>
      <c r="J4410">
        <v>-326.928</v>
      </c>
      <c r="K4410">
        <v>1.108641</v>
      </c>
      <c r="L4410">
        <v>141.5318</v>
      </c>
      <c r="M4410">
        <v>-0.99991759999999996</v>
      </c>
      <c r="N4410">
        <v>0</v>
      </c>
      <c r="O4410">
        <v>8.6382109999999998E-3</v>
      </c>
      <c r="P4410">
        <v>-0.987151</v>
      </c>
      <c r="Q4410">
        <v>0.1597896</v>
      </c>
      <c r="R4410">
        <v>-1.4470100000000001E-4</v>
      </c>
      <c r="S4410">
        <v>-3.0538639999999999</v>
      </c>
      <c r="T4410">
        <v>-9.1419459999999994E-2</v>
      </c>
      <c r="U4410">
        <v>-0.2742462</v>
      </c>
      <c r="V4410">
        <v>-8.4666040000000008E-3</v>
      </c>
      <c r="W4410">
        <v>0.16917009999999999</v>
      </c>
      <c r="X4410">
        <v>0.9855505</v>
      </c>
      <c r="Y4410">
        <v>-9.7996349999999996E-2</v>
      </c>
      <c r="Z4410">
        <v>-1.72157E-3</v>
      </c>
      <c r="AA4410">
        <v>0.99518530000000005</v>
      </c>
      <c r="AB4410">
        <v>42</v>
      </c>
      <c r="AC4410">
        <v>-36.68</v>
      </c>
      <c r="AD4410">
        <v>-1.108643975196</v>
      </c>
      <c r="AE4410">
        <v>-3.3291000000000102</v>
      </c>
      <c r="AF4410">
        <v>-3.6425392434841601</v>
      </c>
      <c r="AG4410">
        <v>-1.108643975196</v>
      </c>
      <c r="AH4410">
        <v>36.6166952174366</v>
      </c>
      <c r="AI4410">
        <v>91.7257026081313</v>
      </c>
      <c r="AJ4410">
        <v>95.6809539818574</v>
      </c>
      <c r="AK4410">
        <v>36.814121641711097</v>
      </c>
      <c r="AL4410">
        <v>80.260429538045798</v>
      </c>
      <c r="AM4410">
        <v>90.492200798376402</v>
      </c>
      <c r="AN4410">
        <v>0.99999999708377596</v>
      </c>
    </row>
    <row r="4411" spans="1:40" x14ac:dyDescent="0.25">
      <c r="A4411" t="str">
        <f>"20190312173018780"</f>
        <v>20190312173018780</v>
      </c>
      <c r="B4411" t="str">
        <f>"1552383018771931"</f>
        <v>1552383018771931</v>
      </c>
      <c r="C4411" t="s">
        <v>40</v>
      </c>
      <c r="D4411">
        <v>3.329081</v>
      </c>
      <c r="E4411">
        <v>0.46693220000000002</v>
      </c>
      <c r="F4411" t="s">
        <v>41</v>
      </c>
      <c r="G4411">
        <v>-363.46050000000002</v>
      </c>
      <c r="H4411" s="1">
        <v>-3.0288620000000001E-6</v>
      </c>
      <c r="I4411">
        <v>138.2568</v>
      </c>
      <c r="J4411">
        <v>-327.18599999999998</v>
      </c>
      <c r="K4411">
        <v>1.1086450000000001</v>
      </c>
      <c r="L4411">
        <v>141.5342</v>
      </c>
      <c r="M4411">
        <v>-0.99991540000000001</v>
      </c>
      <c r="N4411">
        <v>0</v>
      </c>
      <c r="O4411">
        <v>8.8759219999999996E-3</v>
      </c>
      <c r="P4411">
        <v>-0.98713830000000002</v>
      </c>
      <c r="Q4411">
        <v>0.1598687</v>
      </c>
      <c r="R4411">
        <v>3.4677839999999998E-4</v>
      </c>
      <c r="S4411">
        <v>-3.0540159999999998</v>
      </c>
      <c r="T4411">
        <v>-9.2679620000000004E-2</v>
      </c>
      <c r="U4411">
        <v>-0.27377319999999999</v>
      </c>
      <c r="V4411">
        <v>-8.2108179999999999E-3</v>
      </c>
      <c r="W4411">
        <v>0.16926359999999999</v>
      </c>
      <c r="X4411">
        <v>0.98553659999999998</v>
      </c>
      <c r="Y4411">
        <v>-9.8074149999999999E-2</v>
      </c>
      <c r="Z4411">
        <v>-1.7535929999999999E-3</v>
      </c>
      <c r="AA4411">
        <v>0.9951776</v>
      </c>
      <c r="AB4411">
        <v>42</v>
      </c>
      <c r="AC4411">
        <v>-36.274500000000003</v>
      </c>
      <c r="AD4411">
        <v>-1.108648028862</v>
      </c>
      <c r="AE4411">
        <v>-3.2774000000000001</v>
      </c>
      <c r="AF4411">
        <v>-3.5959233875486198</v>
      </c>
      <c r="AG4411">
        <v>-1.108648028862</v>
      </c>
      <c r="AH4411">
        <v>36.210430089014302</v>
      </c>
      <c r="AI4411">
        <v>91.745088102075798</v>
      </c>
      <c r="AJ4411">
        <v>95.671237185148996</v>
      </c>
      <c r="AK4411">
        <v>36.405425594166701</v>
      </c>
      <c r="AL4411">
        <v>80.254993895418906</v>
      </c>
      <c r="AM4411">
        <v>90.4773382678395</v>
      </c>
      <c r="AN4411">
        <v>0.99999998687837399</v>
      </c>
    </row>
    <row r="4412" spans="1:40" x14ac:dyDescent="0.25">
      <c r="A4412" t="str">
        <f>"20190312173018792"</f>
        <v>20190312173018792</v>
      </c>
      <c r="B4412" t="str">
        <f>"1552383018781691"</f>
        <v>1552383018781691</v>
      </c>
      <c r="C4412" t="s">
        <v>40</v>
      </c>
      <c r="D4412">
        <v>3.3079900000000002</v>
      </c>
      <c r="E4412">
        <v>0.46684680000000001</v>
      </c>
      <c r="F4412" t="s">
        <v>41</v>
      </c>
      <c r="G4412">
        <v>-363.8066</v>
      </c>
      <c r="H4412" s="1">
        <v>-2.8796310000000001E-6</v>
      </c>
      <c r="I4412">
        <v>138.2611</v>
      </c>
      <c r="J4412">
        <v>-327.4144</v>
      </c>
      <c r="K4412">
        <v>1.108649</v>
      </c>
      <c r="L4412">
        <v>141.53630000000001</v>
      </c>
      <c r="M4412">
        <v>-0.99991350000000001</v>
      </c>
      <c r="N4412">
        <v>0</v>
      </c>
      <c r="O4412">
        <v>9.0864670000000008E-3</v>
      </c>
      <c r="P4412">
        <v>-0.98718170000000005</v>
      </c>
      <c r="Q4412">
        <v>0.1595994</v>
      </c>
      <c r="R4412">
        <v>6.9082569999999997E-4</v>
      </c>
      <c r="S4412">
        <v>-3.0541689999999999</v>
      </c>
      <c r="T4412">
        <v>-9.246182E-2</v>
      </c>
      <c r="U4412">
        <v>-0.2729645</v>
      </c>
      <c r="V4412">
        <v>-8.0772429999999996E-3</v>
      </c>
      <c r="W4412">
        <v>0.169008399999999</v>
      </c>
      <c r="X4412">
        <v>0.9855815</v>
      </c>
      <c r="Y4412">
        <v>-9.8018010000000003E-2</v>
      </c>
      <c r="Z4412">
        <v>-1.7549200000000001E-3</v>
      </c>
      <c r="AA4412">
        <v>0.99518309999999999</v>
      </c>
      <c r="AB4412">
        <v>42</v>
      </c>
      <c r="AC4412">
        <v>-36.392200000000003</v>
      </c>
      <c r="AD4412">
        <v>-1.1086518796310001</v>
      </c>
      <c r="AE4412">
        <v>-3.2752000000000101</v>
      </c>
      <c r="AF4412">
        <v>-3.6024398535222599</v>
      </c>
      <c r="AG4412">
        <v>-1.1086518796310001</v>
      </c>
      <c r="AH4412">
        <v>36.3274931062953</v>
      </c>
      <c r="AI4412">
        <v>91.739498189532995</v>
      </c>
      <c r="AJ4412">
        <v>95.663258422574202</v>
      </c>
      <c r="AK4412">
        <v>36.522505900833103</v>
      </c>
      <c r="AL4412">
        <v>80.269829522062906</v>
      </c>
      <c r="AM4412">
        <v>90.469551806037501</v>
      </c>
      <c r="AN4412">
        <v>0.99999998713364502</v>
      </c>
    </row>
    <row r="4413" spans="1:40" x14ac:dyDescent="0.25">
      <c r="A4413" t="str">
        <f>"20190312173018812"</f>
        <v>20190312173018812</v>
      </c>
      <c r="B4413" t="str">
        <f>"1552383018802187"</f>
        <v>1552383018802187</v>
      </c>
      <c r="C4413" t="s">
        <v>40</v>
      </c>
      <c r="D4413">
        <v>3.3292269999999902</v>
      </c>
      <c r="E4413">
        <v>0.46667019999999998</v>
      </c>
      <c r="F4413" t="s">
        <v>41</v>
      </c>
      <c r="G4413">
        <v>-363.69380000000001</v>
      </c>
      <c r="H4413" s="1">
        <v>-2.9218320000000002E-6</v>
      </c>
      <c r="I4413">
        <v>138.2961</v>
      </c>
      <c r="J4413">
        <v>-327.78300000000002</v>
      </c>
      <c r="K4413">
        <v>1.108654</v>
      </c>
      <c r="L4413">
        <v>141.53989999999999</v>
      </c>
      <c r="M4413">
        <v>-0.99990999999999997</v>
      </c>
      <c r="N4413">
        <v>0</v>
      </c>
      <c r="O4413">
        <v>9.4264699999999993E-3</v>
      </c>
      <c r="P4413">
        <v>-0.98720160000000001</v>
      </c>
      <c r="Q4413">
        <v>0.1594719</v>
      </c>
      <c r="R4413">
        <v>1.2751939999999999E-3</v>
      </c>
      <c r="S4413">
        <v>-3.05423</v>
      </c>
      <c r="T4413">
        <v>-9.3333600000000003E-2</v>
      </c>
      <c r="U4413">
        <v>-0.27278140000000001</v>
      </c>
      <c r="V4413">
        <v>-7.8306529999999999E-3</v>
      </c>
      <c r="W4413">
        <v>0.168905</v>
      </c>
      <c r="X4413">
        <v>0.98560119999999896</v>
      </c>
      <c r="Y4413">
        <v>-9.8294240000000005E-2</v>
      </c>
      <c r="Z4413">
        <v>-1.7860090000000001E-3</v>
      </c>
      <c r="AA4413">
        <v>0.99515580000000003</v>
      </c>
      <c r="AB4413">
        <v>42</v>
      </c>
      <c r="AC4413">
        <v>-35.910799999999902</v>
      </c>
      <c r="AD4413">
        <v>-1.1086569218319999</v>
      </c>
      <c r="AE4413">
        <v>-3.24379999999999</v>
      </c>
      <c r="AF4413">
        <v>-3.5787999764521299</v>
      </c>
      <c r="AG4413">
        <v>-1.1086569218319999</v>
      </c>
      <c r="AH4413">
        <v>35.844737788195999</v>
      </c>
      <c r="AI4413">
        <v>91.762801650556995</v>
      </c>
      <c r="AJ4413">
        <v>95.701613540258606</v>
      </c>
      <c r="AK4413">
        <v>36.040007721229799</v>
      </c>
      <c r="AL4413">
        <v>80.275840169547394</v>
      </c>
      <c r="AM4413">
        <v>90.455208382087207</v>
      </c>
      <c r="AN4413">
        <v>0.99999997179642197</v>
      </c>
    </row>
    <row r="4414" spans="1:40" x14ac:dyDescent="0.25">
      <c r="A4414" t="str">
        <f>"20190312173018836"</f>
        <v>20190312173018836</v>
      </c>
      <c r="B4414" t="str">
        <f>"1552383018821706"</f>
        <v>1552383018821706</v>
      </c>
      <c r="C4414" t="s">
        <v>40</v>
      </c>
      <c r="D4414">
        <v>3.272084</v>
      </c>
      <c r="E4414">
        <v>0.46652130000000003</v>
      </c>
      <c r="F4414" t="s">
        <v>41</v>
      </c>
      <c r="G4414">
        <v>-363.86590000000001</v>
      </c>
      <c r="H4414" s="1">
        <v>-2.8437049999999999E-6</v>
      </c>
      <c r="I4414">
        <v>138.3203</v>
      </c>
      <c r="J4414">
        <v>-328.23090000000002</v>
      </c>
      <c r="K4414">
        <v>1.1086640000000001</v>
      </c>
      <c r="L4414">
        <v>141.5445</v>
      </c>
      <c r="M4414">
        <v>-0.99990570000000001</v>
      </c>
      <c r="N4414">
        <v>0</v>
      </c>
      <c r="O4414">
        <v>9.8396290000000008E-3</v>
      </c>
      <c r="P4414">
        <v>-0.98722790000000005</v>
      </c>
      <c r="Q4414">
        <v>0.15930339999999901</v>
      </c>
      <c r="R4414">
        <v>1.940979E-3</v>
      </c>
      <c r="S4414">
        <v>-3.0544129999999998</v>
      </c>
      <c r="T4414">
        <v>-9.3847749999999994E-2</v>
      </c>
      <c r="U4414">
        <v>-0.27253719999999998</v>
      </c>
      <c r="V4414">
        <v>-7.57517E-3</v>
      </c>
      <c r="W4414">
        <v>0.16876820000000001</v>
      </c>
      <c r="X4414">
        <v>0.98562660000000002</v>
      </c>
      <c r="Y4414">
        <v>-9.8620330000000006E-2</v>
      </c>
      <c r="Z4414">
        <v>-1.8134099999999999E-3</v>
      </c>
      <c r="AA4414">
        <v>0.99512350000000005</v>
      </c>
      <c r="AB4414">
        <v>43</v>
      </c>
      <c r="AC4414">
        <v>-35.634999999999899</v>
      </c>
      <c r="AD4414">
        <v>-1.10866684370499</v>
      </c>
      <c r="AE4414">
        <v>-3.22419999999999</v>
      </c>
      <c r="AF4414">
        <v>-3.57126646670693</v>
      </c>
      <c r="AG4414">
        <v>-1.10866684370499</v>
      </c>
      <c r="AH4414">
        <v>35.5674007740798</v>
      </c>
      <c r="AI4414">
        <v>91.776454484166905</v>
      </c>
      <c r="AJ4414">
        <v>95.733761173735203</v>
      </c>
      <c r="AK4414">
        <v>35.763432220224203</v>
      </c>
      <c r="AL4414">
        <v>80.283792097681101</v>
      </c>
      <c r="AM4414">
        <v>90.440345993683394</v>
      </c>
      <c r="AN4414">
        <v>0.99999994157966199</v>
      </c>
    </row>
    <row r="4415" spans="1:40" x14ac:dyDescent="0.25">
      <c r="A4415" t="str">
        <f>"20190312173018856"</f>
        <v>20190312173018856</v>
      </c>
      <c r="B4415" t="str">
        <f>"1552383018851798"</f>
        <v>1552383018851798</v>
      </c>
      <c r="C4415" t="s">
        <v>40</v>
      </c>
      <c r="D4415">
        <v>3.270486</v>
      </c>
      <c r="E4415">
        <v>0.46628209999999998</v>
      </c>
      <c r="F4415" t="s">
        <v>41</v>
      </c>
      <c r="G4415">
        <v>-364.21929999999998</v>
      </c>
      <c r="H4415" s="1">
        <v>-2.6886E-6</v>
      </c>
      <c r="I4415">
        <v>138.34010000000001</v>
      </c>
      <c r="J4415">
        <v>-328.63040000000001</v>
      </c>
      <c r="K4415">
        <v>1.10867</v>
      </c>
      <c r="L4415">
        <v>141.5487</v>
      </c>
      <c r="M4415">
        <v>-0.9999017</v>
      </c>
      <c r="N4415">
        <v>0</v>
      </c>
      <c r="O4415">
        <v>1.020798E-2</v>
      </c>
      <c r="P4415">
        <v>-0.98724590000000001</v>
      </c>
      <c r="Q4415">
        <v>0.159181399999999</v>
      </c>
      <c r="R4415">
        <v>2.682009E-3</v>
      </c>
      <c r="S4415">
        <v>-3.0545650000000002</v>
      </c>
      <c r="T4415">
        <v>-9.4099879999999997E-2</v>
      </c>
      <c r="U4415">
        <v>-0.27197270000000001</v>
      </c>
      <c r="V4415">
        <v>-7.1992970000000003E-3</v>
      </c>
      <c r="W4415">
        <v>0.16867699999999999</v>
      </c>
      <c r="X4415">
        <v>0.98564510000000005</v>
      </c>
      <c r="Y4415">
        <v>-9.8799529999999997E-2</v>
      </c>
      <c r="Z4415">
        <v>-1.8322830000000001E-3</v>
      </c>
      <c r="AA4415">
        <v>0.99510569999999998</v>
      </c>
      <c r="AB4415">
        <v>43</v>
      </c>
      <c r="AC4415">
        <v>-35.588899999999903</v>
      </c>
      <c r="AD4415">
        <v>-1.1086726886</v>
      </c>
      <c r="AE4415">
        <v>-3.2085999999999899</v>
      </c>
      <c r="AF4415">
        <v>-3.5683053934819799</v>
      </c>
      <c r="AG4415">
        <v>-1.1086726886</v>
      </c>
      <c r="AH4415">
        <v>35.520097813229398</v>
      </c>
      <c r="AI4415">
        <v>91.778819183792393</v>
      </c>
      <c r="AJ4415">
        <v>95.736617375915799</v>
      </c>
      <c r="AK4415">
        <v>35.716093111831</v>
      </c>
      <c r="AL4415">
        <v>80.289094163230303</v>
      </c>
      <c r="AM4415">
        <v>90.418489371359499</v>
      </c>
      <c r="AN4415">
        <v>1.00000001168015</v>
      </c>
    </row>
    <row r="4416" spans="1:40" x14ac:dyDescent="0.25">
      <c r="A4416" t="str">
        <f>"20190312173018871"</f>
        <v>20190312173018871</v>
      </c>
      <c r="B4416" t="str">
        <f>"1552383018862534"</f>
        <v>1552383018862534</v>
      </c>
      <c r="C4416" t="s">
        <v>40</v>
      </c>
      <c r="D4416">
        <v>3.3050320000000002</v>
      </c>
      <c r="E4416">
        <v>0.46621679999999999</v>
      </c>
      <c r="F4416" t="s">
        <v>41</v>
      </c>
      <c r="G4416">
        <v>-364.44080000000002</v>
      </c>
      <c r="H4416" s="1">
        <v>-2.5895099999999998E-6</v>
      </c>
      <c r="I4416">
        <v>138.363</v>
      </c>
      <c r="J4416">
        <v>-328.90390000000002</v>
      </c>
      <c r="K4416">
        <v>1.108681</v>
      </c>
      <c r="L4416">
        <v>141.55170000000001</v>
      </c>
      <c r="M4416">
        <v>-0.99989890000000003</v>
      </c>
      <c r="N4416">
        <v>0</v>
      </c>
      <c r="O4416">
        <v>1.0458250000000001E-2</v>
      </c>
      <c r="P4416">
        <v>-0.9872341</v>
      </c>
      <c r="Q4416">
        <v>0.15924539999999901</v>
      </c>
      <c r="R4416">
        <v>3.1294790000000001E-3</v>
      </c>
      <c r="S4416">
        <v>-3.0547490000000002</v>
      </c>
      <c r="T4416">
        <v>-9.4573740000000003E-2</v>
      </c>
      <c r="U4416">
        <v>-0.27174379999999998</v>
      </c>
      <c r="V4416">
        <v>-7.0003849999999996E-3</v>
      </c>
      <c r="W4416">
        <v>0.168763</v>
      </c>
      <c r="X4416">
        <v>0.98563179999999995</v>
      </c>
      <c r="Y4416">
        <v>-9.8968650000000005E-2</v>
      </c>
      <c r="Z4416">
        <v>-1.8517469999999999E-3</v>
      </c>
      <c r="AA4416">
        <v>0.9950888</v>
      </c>
      <c r="AB4416">
        <v>43</v>
      </c>
      <c r="AC4416">
        <v>-35.536900000000003</v>
      </c>
      <c r="AD4416">
        <v>-1.10868358951</v>
      </c>
      <c r="AE4416">
        <v>-3.1887000000000101</v>
      </c>
      <c r="AF4416">
        <v>-3.5567624081684301</v>
      </c>
      <c r="AG4416">
        <v>-1.10868358951</v>
      </c>
      <c r="AH4416">
        <v>35.467361161808697</v>
      </c>
      <c r="AI4416">
        <v>91.781511074312505</v>
      </c>
      <c r="AJ4416">
        <v>95.726629304215294</v>
      </c>
      <c r="AK4416">
        <v>35.662493545908802</v>
      </c>
      <c r="AL4416">
        <v>80.284094948196497</v>
      </c>
      <c r="AM4416">
        <v>90.406932661220395</v>
      </c>
      <c r="AN4416">
        <v>1.0000000003651901</v>
      </c>
    </row>
    <row r="4417" spans="1:40" x14ac:dyDescent="0.25">
      <c r="A4417" t="str">
        <f>"20190312173018884"</f>
        <v>20190312173018884</v>
      </c>
      <c r="B4417" t="str">
        <f>"1552383018872294"</f>
        <v>1552383018872294</v>
      </c>
      <c r="C4417" t="s">
        <v>40</v>
      </c>
      <c r="D4417">
        <v>3.3201320000000001</v>
      </c>
      <c r="E4417">
        <v>0.46621679999999999</v>
      </c>
      <c r="F4417" t="s">
        <v>41</v>
      </c>
      <c r="G4417">
        <v>-364.82139999999998</v>
      </c>
      <c r="H4417" s="1">
        <v>-2.4260480000000002E-6</v>
      </c>
      <c r="I4417">
        <v>138.364</v>
      </c>
      <c r="J4417">
        <v>-329.16309999999999</v>
      </c>
      <c r="K4417">
        <v>1.108687</v>
      </c>
      <c r="L4417">
        <v>141.55459999999999</v>
      </c>
      <c r="M4417">
        <v>-0.99989620000000001</v>
      </c>
      <c r="N4417">
        <v>0</v>
      </c>
      <c r="O4417">
        <v>1.0693380000000001E-2</v>
      </c>
      <c r="P4417">
        <v>-0.98721930000000002</v>
      </c>
      <c r="Q4417">
        <v>0.1593301</v>
      </c>
      <c r="R4417">
        <v>3.4561589999999999E-3</v>
      </c>
      <c r="S4417">
        <v>-3.0548709999999999</v>
      </c>
      <c r="T4417">
        <v>-9.4296459999999999E-2</v>
      </c>
      <c r="U4417">
        <v>-0.27111819999999998</v>
      </c>
      <c r="V4417">
        <v>-6.9067310000000002E-3</v>
      </c>
      <c r="W4417">
        <v>0.1688693</v>
      </c>
      <c r="X4417">
        <v>0.9856142</v>
      </c>
      <c r="Y4417">
        <v>-9.8997119999999994E-2</v>
      </c>
      <c r="Z4417">
        <v>-1.853946E-3</v>
      </c>
      <c r="AA4417">
        <v>0.99508600000000003</v>
      </c>
      <c r="AB4417">
        <v>43</v>
      </c>
      <c r="AC4417">
        <v>-35.658299999999997</v>
      </c>
      <c r="AD4417">
        <v>-1.108689426048</v>
      </c>
      <c r="AE4417">
        <v>-3.1905999999999799</v>
      </c>
      <c r="AF4417">
        <v>-3.5683209360324701</v>
      </c>
      <c r="AG4417">
        <v>-1.108689426048</v>
      </c>
      <c r="AH4417">
        <v>35.588010909101598</v>
      </c>
      <c r="AI4417">
        <v>91.775487320486803</v>
      </c>
      <c r="AJ4417">
        <v>95.725767690754196</v>
      </c>
      <c r="AK4417">
        <v>35.783636302258301</v>
      </c>
      <c r="AL4417">
        <v>80.277915199180498</v>
      </c>
      <c r="AM4417">
        <v>90.401495898960903</v>
      </c>
      <c r="AN4417">
        <v>0.99999994732861597</v>
      </c>
    </row>
    <row r="4418" spans="1:40" x14ac:dyDescent="0.25">
      <c r="A4418" t="str">
        <f>"20190312173018901"</f>
        <v>20190312173018901</v>
      </c>
      <c r="B4418" t="str">
        <f>"1552383018891814"</f>
        <v>1552383018891814</v>
      </c>
      <c r="C4418" t="s">
        <v>40</v>
      </c>
      <c r="D4418">
        <v>3.334266</v>
      </c>
      <c r="E4418">
        <v>0.45916630000000003</v>
      </c>
      <c r="F4418" t="s">
        <v>41</v>
      </c>
      <c r="G4418">
        <v>-365.23289999999997</v>
      </c>
      <c r="H4418" s="1">
        <v>-2.2499330000000001E-6</v>
      </c>
      <c r="I4418">
        <v>138.36150000000001</v>
      </c>
      <c r="J4418">
        <v>-329.48349999999999</v>
      </c>
      <c r="K4418">
        <v>1.1087</v>
      </c>
      <c r="L4418">
        <v>141.5582</v>
      </c>
      <c r="M4418">
        <v>-0.99989289999999997</v>
      </c>
      <c r="N4418">
        <v>0</v>
      </c>
      <c r="O4418">
        <v>1.097858E-2</v>
      </c>
      <c r="P4418">
        <v>-0.98720390000000002</v>
      </c>
      <c r="Q4418">
        <v>0.15941739999999999</v>
      </c>
      <c r="R4418">
        <v>3.874639E-3</v>
      </c>
      <c r="S4418">
        <v>-3.0549620000000002</v>
      </c>
      <c r="T4418">
        <v>-9.3901520000000002E-2</v>
      </c>
      <c r="U4418">
        <v>-0.27043149999999999</v>
      </c>
      <c r="V4418">
        <v>-6.7717109999999997E-3</v>
      </c>
      <c r="W4418">
        <v>0.16898489999999999</v>
      </c>
      <c r="X4418">
        <v>0.98559540000000001</v>
      </c>
      <c r="Y4418">
        <v>-9.9056679999999994E-2</v>
      </c>
      <c r="Z4418">
        <v>-1.8558100000000001E-3</v>
      </c>
      <c r="AA4418">
        <v>0.99508010000000002</v>
      </c>
      <c r="AB4418">
        <v>43</v>
      </c>
      <c r="AC4418">
        <v>-35.749399999999902</v>
      </c>
      <c r="AD4418">
        <v>-1.1087022499329999</v>
      </c>
      <c r="AE4418">
        <v>-3.1966999999999901</v>
      </c>
      <c r="AF4418">
        <v>-3.5855820405200198</v>
      </c>
      <c r="AG4418">
        <v>-1.1087022499329999</v>
      </c>
      <c r="AH4418">
        <v>35.678104848369401</v>
      </c>
      <c r="AI4418">
        <v>91.770986648708202</v>
      </c>
      <c r="AJ4418">
        <v>95.738848668595693</v>
      </c>
      <c r="AK4418">
        <v>35.874960415581597</v>
      </c>
      <c r="AL4418">
        <v>80.271195969439802</v>
      </c>
      <c r="AM4418">
        <v>90.393654795227107</v>
      </c>
      <c r="AN4418">
        <v>1.00000002249951</v>
      </c>
    </row>
    <row r="4419" spans="1:40" x14ac:dyDescent="0.25">
      <c r="A4419" t="str">
        <f>"20190312173018916"</f>
        <v>20190312173018916</v>
      </c>
      <c r="B4419" t="str">
        <f>"1552383018912311"</f>
        <v>1552383018912311</v>
      </c>
      <c r="C4419" t="s">
        <v>40</v>
      </c>
      <c r="D4419">
        <v>3.3666800000000001</v>
      </c>
      <c r="E4419">
        <v>0.4565709</v>
      </c>
      <c r="F4419" t="s">
        <v>41</v>
      </c>
      <c r="G4419">
        <v>-354.2996</v>
      </c>
      <c r="H4419" s="1">
        <v>-2.5526100000000002E-6</v>
      </c>
      <c r="I4419">
        <v>138.91239999999999</v>
      </c>
      <c r="J4419">
        <v>-329.76229999999998</v>
      </c>
      <c r="K4419">
        <v>1.1087100000000001</v>
      </c>
      <c r="L4419">
        <v>141.56139999999999</v>
      </c>
      <c r="M4419">
        <v>-0.99988999999999995</v>
      </c>
      <c r="N4419">
        <v>0</v>
      </c>
      <c r="O4419">
        <v>1.122045E-2</v>
      </c>
      <c r="P4419">
        <v>-0.987205</v>
      </c>
      <c r="Q4419">
        <v>0.1593977</v>
      </c>
      <c r="R4419">
        <v>4.3381560000000001E-3</v>
      </c>
      <c r="S4419">
        <v>-3.0622859999999998</v>
      </c>
      <c r="T4419">
        <v>-0.13681299999999999</v>
      </c>
      <c r="U4419">
        <v>-0.32647710000000002</v>
      </c>
      <c r="V4419">
        <v>-6.5494100000000003E-3</v>
      </c>
      <c r="W4419">
        <v>0.1689901</v>
      </c>
      <c r="X4419">
        <v>0.98559600000000003</v>
      </c>
      <c r="Y4419">
        <v>-0.117036</v>
      </c>
      <c r="Z4419">
        <v>-3.1054390000000002E-3</v>
      </c>
      <c r="AA4419">
        <v>0.99312279999999997</v>
      </c>
      <c r="AB4419">
        <v>43</v>
      </c>
      <c r="AC4419">
        <v>-24.537299999999998</v>
      </c>
      <c r="AD4419">
        <v>-1.1087125526099999</v>
      </c>
      <c r="AE4419">
        <v>-2.649</v>
      </c>
      <c r="AF4419">
        <v>-2.9182762282744599</v>
      </c>
      <c r="AG4419">
        <v>-1.1087125526099999</v>
      </c>
      <c r="AH4419">
        <v>24.456673761760499</v>
      </c>
      <c r="AI4419">
        <v>92.577395850128696</v>
      </c>
      <c r="AJ4419">
        <v>96.804606923198406</v>
      </c>
      <c r="AK4419">
        <v>24.655110447085999</v>
      </c>
      <c r="AL4419">
        <v>80.270893580275299</v>
      </c>
      <c r="AM4419">
        <v>90.380732093070506</v>
      </c>
      <c r="AN4419">
        <v>1.00000001194267</v>
      </c>
    </row>
    <row r="4420" spans="1:40" x14ac:dyDescent="0.25">
      <c r="A4420" t="str">
        <f>"20190312173018934"</f>
        <v>20190312173018934</v>
      </c>
      <c r="B4420" t="str">
        <f>"1552383018922071"</f>
        <v>1552383018922071</v>
      </c>
      <c r="C4420" t="s">
        <v>40</v>
      </c>
      <c r="D4420">
        <v>3.325898</v>
      </c>
      <c r="E4420">
        <v>0.45567770000000002</v>
      </c>
      <c r="F4420" t="s">
        <v>41</v>
      </c>
      <c r="G4420">
        <v>-354.34530000000001</v>
      </c>
      <c r="H4420" s="1">
        <v>-2.555649E-6</v>
      </c>
      <c r="I4420">
        <v>138.78489999999999</v>
      </c>
      <c r="J4420">
        <v>-330.11329999999998</v>
      </c>
      <c r="K4420">
        <v>1.108725</v>
      </c>
      <c r="L4420">
        <v>141.56559999999999</v>
      </c>
      <c r="M4420">
        <v>-0.99988619999999995</v>
      </c>
      <c r="N4420">
        <v>0</v>
      </c>
      <c r="O4420">
        <v>1.151573E-2</v>
      </c>
      <c r="P4420">
        <v>-0.98722500000000002</v>
      </c>
      <c r="Q4420">
        <v>0.15927069999999999</v>
      </c>
      <c r="R4420">
        <v>4.4206540000000004E-3</v>
      </c>
      <c r="S4420">
        <v>-3.0627140000000002</v>
      </c>
      <c r="T4420">
        <v>-0.13813129999999901</v>
      </c>
      <c r="U4420">
        <v>-0.34591670000000002</v>
      </c>
      <c r="V4420">
        <v>-6.7628890000000002E-3</v>
      </c>
      <c r="W4420">
        <v>0.16889370000000001</v>
      </c>
      <c r="X4420">
        <v>0.98561109999999996</v>
      </c>
      <c r="Y4420">
        <v>-0.1235315</v>
      </c>
      <c r="Z4420">
        <v>-3.2930310000000001E-3</v>
      </c>
      <c r="AA4420">
        <v>0.99233519999999997</v>
      </c>
      <c r="AB4420">
        <v>43</v>
      </c>
      <c r="AC4420">
        <v>-24.231999999999999</v>
      </c>
      <c r="AD4420">
        <v>-1.1087275556489999</v>
      </c>
      <c r="AE4420">
        <v>-2.7806999999999902</v>
      </c>
      <c r="AF4420">
        <v>-3.0532691062336301</v>
      </c>
      <c r="AG4420">
        <v>-1.1087275556489999</v>
      </c>
      <c r="AH4420">
        <v>24.148472204823101</v>
      </c>
      <c r="AI4420">
        <v>92.608037147303705</v>
      </c>
      <c r="AJ4420">
        <v>97.206089695477999</v>
      </c>
      <c r="AK4420">
        <v>24.365968867558902</v>
      </c>
      <c r="AL4420">
        <v>80.276497615644999</v>
      </c>
      <c r="AM4420">
        <v>90.393135706384996</v>
      </c>
      <c r="AN4420">
        <v>1.00000002950526</v>
      </c>
    </row>
    <row r="4421" spans="1:40" x14ac:dyDescent="0.25">
      <c r="A4421" t="str">
        <f>"20190312173018949"</f>
        <v>20190312173018949</v>
      </c>
      <c r="B4421" t="str">
        <f>"1552383018942097"</f>
        <v>1552383018942097</v>
      </c>
      <c r="C4421" t="s">
        <v>40</v>
      </c>
      <c r="D4421">
        <v>3.3113980000000001</v>
      </c>
      <c r="E4421">
        <v>0.45439740000000001</v>
      </c>
      <c r="F4421" t="s">
        <v>41</v>
      </c>
      <c r="G4421">
        <v>-354.4973</v>
      </c>
      <c r="H4421" s="1">
        <v>-2.4952089999999999E-6</v>
      </c>
      <c r="I4421">
        <v>138.75799999999899</v>
      </c>
      <c r="J4421">
        <v>-330.40789999999998</v>
      </c>
      <c r="K4421">
        <v>1.1087370000000001</v>
      </c>
      <c r="L4421">
        <v>141.56909999999999</v>
      </c>
      <c r="M4421">
        <v>-0.99988330000000003</v>
      </c>
      <c r="N4421">
        <v>0</v>
      </c>
      <c r="O4421">
        <v>1.175321E-2</v>
      </c>
      <c r="P4421">
        <v>-0.98720300000000005</v>
      </c>
      <c r="Q4421">
        <v>0.15941029999999901</v>
      </c>
      <c r="R4421">
        <v>4.355706E-3</v>
      </c>
      <c r="S4421">
        <v>-3.0628660000000001</v>
      </c>
      <c r="T4421">
        <v>-0.13926759999999999</v>
      </c>
      <c r="U4421">
        <v>-0.35264590000000001</v>
      </c>
      <c r="V4421">
        <v>-7.0658209999999999E-3</v>
      </c>
      <c r="W4421">
        <v>0.16905819999999999</v>
      </c>
      <c r="X4421">
        <v>0.98558069999999998</v>
      </c>
      <c r="Y4421">
        <v>-0.12590860000000001</v>
      </c>
      <c r="Z4421">
        <v>-3.3841180000000002E-3</v>
      </c>
      <c r="AA4421">
        <v>0.99203609999999998</v>
      </c>
      <c r="AB4421">
        <v>43</v>
      </c>
      <c r="AC4421">
        <v>-24.089400000000001</v>
      </c>
      <c r="AD4421">
        <v>-1.1087394952089999</v>
      </c>
      <c r="AE4421">
        <v>-2.8111000000000099</v>
      </c>
      <c r="AF4421">
        <v>-3.0875942033028498</v>
      </c>
      <c r="AG4421">
        <v>-1.1087394952089999</v>
      </c>
      <c r="AH4421">
        <v>24.004527013504401</v>
      </c>
      <c r="AI4421">
        <v>92.622963558880897</v>
      </c>
      <c r="AJ4421">
        <v>97.3294541217805</v>
      </c>
      <c r="AK4421">
        <v>24.227667208680401</v>
      </c>
      <c r="AL4421">
        <v>80.266934253040603</v>
      </c>
      <c r="AM4421">
        <v>90.410757623780299</v>
      </c>
      <c r="AN4421">
        <v>0.999999958513066</v>
      </c>
    </row>
    <row r="4422" spans="1:40" x14ac:dyDescent="0.25">
      <c r="A4422" t="str">
        <f>"20190312173018962"</f>
        <v>20190312173018962</v>
      </c>
      <c r="B4422" t="str">
        <f>"1552383018952833"</f>
        <v>1552383018952833</v>
      </c>
      <c r="C4422" t="s">
        <v>40</v>
      </c>
      <c r="D4422">
        <v>3.3551869999999999</v>
      </c>
      <c r="E4422">
        <v>0.45404529999999899</v>
      </c>
      <c r="F4422" t="s">
        <v>41</v>
      </c>
      <c r="G4422">
        <v>-354.47230000000002</v>
      </c>
      <c r="H4422" s="1">
        <v>-2.512981E-6</v>
      </c>
      <c r="I4422">
        <v>138.7182</v>
      </c>
      <c r="J4422">
        <v>-330.66320000000002</v>
      </c>
      <c r="K4422">
        <v>1.1087480000000001</v>
      </c>
      <c r="L4422">
        <v>141.57230000000001</v>
      </c>
      <c r="M4422">
        <v>-0.99988060000000001</v>
      </c>
      <c r="N4422">
        <v>0</v>
      </c>
      <c r="O4422">
        <v>1.1952920000000001E-2</v>
      </c>
      <c r="P4422">
        <v>-0.98721329999999996</v>
      </c>
      <c r="Q4422">
        <v>0.15934039999999999</v>
      </c>
      <c r="R4422">
        <v>4.5495179999999998E-3</v>
      </c>
      <c r="S4422">
        <v>-3.0632929999999998</v>
      </c>
      <c r="T4422">
        <v>-0.14113800000000001</v>
      </c>
      <c r="U4422">
        <v>-0.36289979999999999</v>
      </c>
      <c r="V4422">
        <v>-7.0733999999999997E-3</v>
      </c>
      <c r="W4422">
        <v>0.16900889999999999</v>
      </c>
      <c r="X4422">
        <v>0.9855891</v>
      </c>
      <c r="Y4422">
        <v>-0.12935869999999999</v>
      </c>
      <c r="Z4422">
        <v>-3.516716E-3</v>
      </c>
      <c r="AA4422">
        <v>0.99159160000000002</v>
      </c>
      <c r="AB4422">
        <v>43</v>
      </c>
      <c r="AC4422">
        <v>-23.809100000000001</v>
      </c>
      <c r="AD4422">
        <v>-1.108750512981</v>
      </c>
      <c r="AE4422">
        <v>-2.8541000000000101</v>
      </c>
      <c r="AF4422">
        <v>-3.1318025540713101</v>
      </c>
      <c r="AG4422">
        <v>-1.108750512981</v>
      </c>
      <c r="AH4422">
        <v>23.722566241234201</v>
      </c>
      <c r="AI4422">
        <v>92.652969610911697</v>
      </c>
      <c r="AJ4422">
        <v>97.520576398003399</v>
      </c>
      <c r="AK4422">
        <v>23.954074058653699</v>
      </c>
      <c r="AL4422">
        <v>80.269800166401097</v>
      </c>
      <c r="AM4422">
        <v>90.411194694488202</v>
      </c>
      <c r="AN4422">
        <v>0.99999995765278904</v>
      </c>
    </row>
    <row r="4423" spans="1:40" x14ac:dyDescent="0.25">
      <c r="A4423" t="str">
        <f>"20190312173018976"</f>
        <v>20190312173018976</v>
      </c>
      <c r="B4423" t="str">
        <f>"1552383018972353"</f>
        <v>1552383018972353</v>
      </c>
      <c r="C4423" t="s">
        <v>40</v>
      </c>
      <c r="D4423">
        <v>3.3468089999999902</v>
      </c>
      <c r="E4423">
        <v>0.45337749999999999</v>
      </c>
      <c r="F4423" t="s">
        <v>41</v>
      </c>
      <c r="G4423">
        <v>-354.42970000000003</v>
      </c>
      <c r="H4423" s="1">
        <v>-2.527373E-6</v>
      </c>
      <c r="I4423">
        <v>138.74019999999999</v>
      </c>
      <c r="J4423">
        <v>-330.90660000000003</v>
      </c>
      <c r="K4423">
        <v>1.108751</v>
      </c>
      <c r="L4423">
        <v>141.5753</v>
      </c>
      <c r="M4423">
        <v>-0.99987839999999995</v>
      </c>
      <c r="N4423">
        <v>0</v>
      </c>
      <c r="O4423">
        <v>1.213117E-2</v>
      </c>
      <c r="P4423">
        <v>-0.98720909999999995</v>
      </c>
      <c r="Q4423">
        <v>0.15936529999999999</v>
      </c>
      <c r="R4423">
        <v>4.5671569999999996E-3</v>
      </c>
      <c r="S4423">
        <v>-3.0635680000000001</v>
      </c>
      <c r="T4423">
        <v>-0.14292160000000001</v>
      </c>
      <c r="U4423">
        <v>-0.36505130000000002</v>
      </c>
      <c r="V4423">
        <v>-7.2364259999999998E-3</v>
      </c>
      <c r="W4423">
        <v>0.1690516</v>
      </c>
      <c r="X4423">
        <v>0.98558060000000003</v>
      </c>
      <c r="Y4423">
        <v>-0.13020689999999999</v>
      </c>
      <c r="Z4423">
        <v>-3.588637E-3</v>
      </c>
      <c r="AA4423">
        <v>0.99148040000000004</v>
      </c>
      <c r="AB4423">
        <v>43</v>
      </c>
      <c r="AC4423">
        <v>-23.523099999999999</v>
      </c>
      <c r="AD4423">
        <v>-1.108753527373</v>
      </c>
      <c r="AE4423">
        <v>-2.8351000000000099</v>
      </c>
      <c r="AF4423">
        <v>-3.1134497439387401</v>
      </c>
      <c r="AG4423">
        <v>-1.108753527373</v>
      </c>
      <c r="AH4423">
        <v>23.435653186164799</v>
      </c>
      <c r="AI4423">
        <v>92.685118114592001</v>
      </c>
      <c r="AJ4423">
        <v>97.567488186974998</v>
      </c>
      <c r="AK4423">
        <v>23.667546217440702</v>
      </c>
      <c r="AL4423">
        <v>80.2673179835555</v>
      </c>
      <c r="AM4423">
        <v>90.420675100778496</v>
      </c>
      <c r="AN4423">
        <v>0.99999996421008597</v>
      </c>
    </row>
    <row r="4424" spans="1:40" x14ac:dyDescent="0.25">
      <c r="A4424" t="str">
        <f>"20190312173018992"</f>
        <v>20190312173018992</v>
      </c>
      <c r="B4424" t="str">
        <f>"1552383018982114"</f>
        <v>1552383018982114</v>
      </c>
      <c r="C4424" t="s">
        <v>40</v>
      </c>
      <c r="D4424">
        <v>3.3375620000000001</v>
      </c>
      <c r="E4424">
        <v>0.45303260000000001</v>
      </c>
      <c r="F4424" t="s">
        <v>41</v>
      </c>
      <c r="G4424">
        <v>-354.3562</v>
      </c>
      <c r="H4424" s="1">
        <v>-2.558618E-6</v>
      </c>
      <c r="I4424">
        <v>138.74170000000001</v>
      </c>
      <c r="J4424">
        <v>-331.22129999999999</v>
      </c>
      <c r="K4424">
        <v>1.1087659999999999</v>
      </c>
      <c r="L4424">
        <v>141.57929999999999</v>
      </c>
      <c r="M4424">
        <v>-0.99987539999999997</v>
      </c>
      <c r="N4424">
        <v>0</v>
      </c>
      <c r="O4424">
        <v>1.235204E-2</v>
      </c>
      <c r="P4424">
        <v>-0.98718600000000001</v>
      </c>
      <c r="Q4424">
        <v>0.15952339999999901</v>
      </c>
      <c r="R4424">
        <v>4.0206549999999997E-3</v>
      </c>
      <c r="S4424">
        <v>-3.0639949999999998</v>
      </c>
      <c r="T4424">
        <v>-0.14487349999999999</v>
      </c>
      <c r="U4424">
        <v>-0.37023929999999999</v>
      </c>
      <c r="V4424">
        <v>-8.0064369999999999E-3</v>
      </c>
      <c r="W4424">
        <v>0.1692321</v>
      </c>
      <c r="X4424">
        <v>0.98554370000000002</v>
      </c>
      <c r="Y4424">
        <v>-0.13205799999999901</v>
      </c>
      <c r="Z4424">
        <v>-3.6907110000000002E-3</v>
      </c>
      <c r="AA4424">
        <v>0.99123510000000004</v>
      </c>
      <c r="AB4424">
        <v>43</v>
      </c>
      <c r="AC4424">
        <v>-23.134899999999998</v>
      </c>
      <c r="AD4424">
        <v>-1.1087685586179901</v>
      </c>
      <c r="AE4424">
        <v>-2.8375999999999801</v>
      </c>
      <c r="AF4424">
        <v>-3.1161091329179298</v>
      </c>
      <c r="AG4424">
        <v>-1.1087685586179901</v>
      </c>
      <c r="AH4424">
        <v>23.045932848029899</v>
      </c>
      <c r="AI4424">
        <v>92.729646111251299</v>
      </c>
      <c r="AJ4424">
        <v>97.700431566461603</v>
      </c>
      <c r="AK4424">
        <v>23.282064441985</v>
      </c>
      <c r="AL4424">
        <v>80.256825217139905</v>
      </c>
      <c r="AM4424">
        <v>90.465453695928304</v>
      </c>
      <c r="AN4424">
        <v>0.999999995656767</v>
      </c>
    </row>
    <row r="4425" spans="1:40" x14ac:dyDescent="0.25">
      <c r="A4425" t="str">
        <f>"20190312173019014"</f>
        <v>20190312173019014</v>
      </c>
      <c r="B4425" t="str">
        <f>"1552383019002612"</f>
        <v>1552383019002612</v>
      </c>
      <c r="C4425" t="s">
        <v>40</v>
      </c>
      <c r="D4425">
        <v>3.3295170000000001</v>
      </c>
      <c r="E4425">
        <v>0.4524513</v>
      </c>
      <c r="F4425" t="s">
        <v>41</v>
      </c>
      <c r="G4425">
        <v>-354.66890000000001</v>
      </c>
      <c r="H4425" s="1">
        <v>-2.4297639999999999E-6</v>
      </c>
      <c r="I4425">
        <v>138.71190000000001</v>
      </c>
      <c r="J4425">
        <v>-331.63400000000001</v>
      </c>
      <c r="K4425">
        <v>1.1087899999999999</v>
      </c>
      <c r="L4425">
        <v>141.58449999999999</v>
      </c>
      <c r="M4425">
        <v>-0.99987170000000003</v>
      </c>
      <c r="N4425">
        <v>0</v>
      </c>
      <c r="O4425">
        <v>1.262072E-2</v>
      </c>
      <c r="P4425">
        <v>-0.98713949999999995</v>
      </c>
      <c r="Q4425">
        <v>0.1598214</v>
      </c>
      <c r="R4425">
        <v>3.591941E-3</v>
      </c>
      <c r="S4425">
        <v>-3.0638730000000001</v>
      </c>
      <c r="T4425">
        <v>-0.14488180000000001</v>
      </c>
      <c r="U4425">
        <v>-0.37466430000000001</v>
      </c>
      <c r="V4425">
        <v>-8.7085050000000001E-3</v>
      </c>
      <c r="W4425">
        <v>0.16955919999999999</v>
      </c>
      <c r="X4425">
        <v>0.98548159999999896</v>
      </c>
      <c r="Y4425">
        <v>-0.13373750000000001</v>
      </c>
      <c r="Z4425">
        <v>-3.7429469999999999E-3</v>
      </c>
      <c r="AA4425">
        <v>0.99100969999999999</v>
      </c>
      <c r="AB4425">
        <v>43</v>
      </c>
      <c r="AC4425">
        <v>-23.0349</v>
      </c>
      <c r="AD4425">
        <v>-1.1087924297639999</v>
      </c>
      <c r="AE4425">
        <v>-2.8725999999999701</v>
      </c>
      <c r="AF4425">
        <v>-3.1559020797101001</v>
      </c>
      <c r="AG4425">
        <v>-1.1087924297639999</v>
      </c>
      <c r="AH4425">
        <v>22.944460744941001</v>
      </c>
      <c r="AI4425">
        <v>92.740903831232004</v>
      </c>
      <c r="AJ4425">
        <v>97.831622223031104</v>
      </c>
      <c r="AK4425">
        <v>23.187009670614302</v>
      </c>
      <c r="AL4425">
        <v>80.237809700854797</v>
      </c>
      <c r="AM4425">
        <v>90.506298235492295</v>
      </c>
      <c r="AN4425">
        <v>1.0000000721512601</v>
      </c>
    </row>
    <row r="4426" spans="1:40" x14ac:dyDescent="0.25">
      <c r="A4426" t="str">
        <f>"20190312173019035"</f>
        <v>20190312173019035</v>
      </c>
      <c r="B4426" t="str">
        <f>"1552383019022129"</f>
        <v>1552383019022129</v>
      </c>
      <c r="C4426" t="s">
        <v>40</v>
      </c>
      <c r="D4426">
        <v>3.3288000000000002</v>
      </c>
      <c r="E4426">
        <v>0.45208939999999997</v>
      </c>
      <c r="F4426" t="s">
        <v>41</v>
      </c>
      <c r="G4426">
        <v>-355.13979999999998</v>
      </c>
      <c r="H4426" s="1">
        <v>-2.2357250000000001E-6</v>
      </c>
      <c r="I4426">
        <v>138.667</v>
      </c>
      <c r="J4426">
        <v>-332.05259999999998</v>
      </c>
      <c r="K4426">
        <v>1.1088129999999901</v>
      </c>
      <c r="L4426">
        <v>141.59</v>
      </c>
      <c r="M4426">
        <v>-0.99986830000000004</v>
      </c>
      <c r="N4426">
        <v>0</v>
      </c>
      <c r="O4426">
        <v>1.2869780000000001E-2</v>
      </c>
      <c r="P4426">
        <v>-0.98716660000000001</v>
      </c>
      <c r="Q4426">
        <v>0.15966140000000001</v>
      </c>
      <c r="R4426">
        <v>3.3245340000000001E-3</v>
      </c>
      <c r="S4426">
        <v>-3.0638429999999999</v>
      </c>
      <c r="T4426">
        <v>-0.14452479999999901</v>
      </c>
      <c r="U4426">
        <v>-0.38027949999999999</v>
      </c>
      <c r="V4426">
        <v>-9.2307870000000007E-3</v>
      </c>
      <c r="W4426">
        <v>0.16942989999999999</v>
      </c>
      <c r="X4426">
        <v>0.98549900000000001</v>
      </c>
      <c r="Y4426">
        <v>-0.1357727</v>
      </c>
      <c r="Z4426">
        <v>-3.792849E-3</v>
      </c>
      <c r="AA4426">
        <v>0.99073270000000002</v>
      </c>
      <c r="AB4426">
        <v>43</v>
      </c>
      <c r="AC4426">
        <v>-23.087199999999999</v>
      </c>
      <c r="AD4426">
        <v>-1.1088152357249901</v>
      </c>
      <c r="AE4426">
        <v>-2.923</v>
      </c>
      <c r="AF4426">
        <v>-3.2126062537086102</v>
      </c>
      <c r="AG4426">
        <v>-1.1088152357249901</v>
      </c>
      <c r="AH4426">
        <v>22.995462589656999</v>
      </c>
      <c r="AI4426">
        <v>92.734087721591706</v>
      </c>
      <c r="AJ4426">
        <v>97.953093854979699</v>
      </c>
      <c r="AK4426">
        <v>23.245249189472201</v>
      </c>
      <c r="AL4426">
        <v>80.245325986915901</v>
      </c>
      <c r="AM4426">
        <v>90.536651656196696</v>
      </c>
      <c r="AN4426">
        <v>0.99999998872182405</v>
      </c>
    </row>
    <row r="4427" spans="1:40" x14ac:dyDescent="0.25">
      <c r="A4427" t="str">
        <f>"20190312173019057"</f>
        <v>20190312173019057</v>
      </c>
      <c r="B4427" t="str">
        <f>"1552383019052690"</f>
        <v>1552383019052690</v>
      </c>
      <c r="C4427" t="s">
        <v>40</v>
      </c>
      <c r="D4427">
        <v>3.3469579999999999</v>
      </c>
      <c r="E4427">
        <v>0.45169520000000002</v>
      </c>
      <c r="F4427" t="s">
        <v>41</v>
      </c>
      <c r="G4427">
        <v>-355.25369999999998</v>
      </c>
      <c r="H4427" s="1">
        <v>-2.1838429999999999E-6</v>
      </c>
      <c r="I4427">
        <v>138.68389999999999</v>
      </c>
      <c r="J4427">
        <v>-332.47910000000002</v>
      </c>
      <c r="K4427">
        <v>1.108835</v>
      </c>
      <c r="L4427">
        <v>141.59569999999999</v>
      </c>
      <c r="M4427">
        <v>-0.99986509999999995</v>
      </c>
      <c r="N4427">
        <v>0</v>
      </c>
      <c r="O4427">
        <v>1.310306E-2</v>
      </c>
      <c r="P4427">
        <v>-0.98715529999999996</v>
      </c>
      <c r="Q4427">
        <v>0.15973019999999999</v>
      </c>
      <c r="R4427">
        <v>3.3282849999999998E-3</v>
      </c>
      <c r="S4427">
        <v>-3.0639949999999998</v>
      </c>
      <c r="T4427">
        <v>-0.14643320000000001</v>
      </c>
      <c r="U4427">
        <v>-0.3837738</v>
      </c>
      <c r="V4427">
        <v>-9.4665240000000005E-3</v>
      </c>
      <c r="W4427">
        <v>0.16952909999999999</v>
      </c>
      <c r="X4427">
        <v>0.98547969999999896</v>
      </c>
      <c r="Y4427">
        <v>-0.13710420000000001</v>
      </c>
      <c r="Z4427">
        <v>-3.8851979999999999E-3</v>
      </c>
      <c r="AA4427">
        <v>0.99054900000000001</v>
      </c>
      <c r="AB4427">
        <v>43</v>
      </c>
      <c r="AC4427">
        <v>-22.7745999999999</v>
      </c>
      <c r="AD4427">
        <v>-1.108837183843</v>
      </c>
      <c r="AE4427">
        <v>-2.9117999999999902</v>
      </c>
      <c r="AF4427">
        <v>-3.2025122334891498</v>
      </c>
      <c r="AG4427">
        <v>-1.108837183843</v>
      </c>
      <c r="AH4427">
        <v>22.681588046302899</v>
      </c>
      <c r="AI4427">
        <v>92.771351762295893</v>
      </c>
      <c r="AJ4427">
        <v>98.036715481725807</v>
      </c>
      <c r="AK4427">
        <v>22.933382672604299</v>
      </c>
      <c r="AL4427">
        <v>80.2395587789686</v>
      </c>
      <c r="AM4427">
        <v>90.550366678937195</v>
      </c>
      <c r="AN4427">
        <v>0.99999998496777098</v>
      </c>
    </row>
    <row r="4428" spans="1:40" x14ac:dyDescent="0.25">
      <c r="A4428" t="str">
        <f>"20190312173019080"</f>
        <v>20190312173019080</v>
      </c>
      <c r="B4428" t="str">
        <f>"1552383019072214"</f>
        <v>1552383019072214</v>
      </c>
      <c r="C4428" t="s">
        <v>40</v>
      </c>
      <c r="D4428">
        <v>3.294279</v>
      </c>
      <c r="E4428">
        <v>0.45154119999999998</v>
      </c>
      <c r="F4428" t="s">
        <v>41</v>
      </c>
      <c r="G4428">
        <v>-355.40370000000001</v>
      </c>
      <c r="H4428" s="1">
        <v>-2.1160519999999999E-6</v>
      </c>
      <c r="I4428">
        <v>138.70320000000001</v>
      </c>
      <c r="J4428">
        <v>-332.91500000000002</v>
      </c>
      <c r="K4428">
        <v>1.1088659999999999</v>
      </c>
      <c r="L4428">
        <v>141.60159999999999</v>
      </c>
      <c r="M4428">
        <v>-0.99986180000000002</v>
      </c>
      <c r="N4428">
        <v>0</v>
      </c>
      <c r="O4428">
        <v>1.3324600000000001E-2</v>
      </c>
      <c r="P4428">
        <v>-0.98710350000000002</v>
      </c>
      <c r="Q4428">
        <v>0.1600541</v>
      </c>
      <c r="R4428">
        <v>3.1502230000000002E-3</v>
      </c>
      <c r="S4428">
        <v>-3.064362</v>
      </c>
      <c r="T4428">
        <v>-0.14821979999999901</v>
      </c>
      <c r="U4428">
        <v>-0.3866272</v>
      </c>
      <c r="V4428">
        <v>-9.8695669999999992E-3</v>
      </c>
      <c r="W4428">
        <v>0.1698839</v>
      </c>
      <c r="X4428">
        <v>0.98541469999999998</v>
      </c>
      <c r="Y4428">
        <v>-0.13821140000000001</v>
      </c>
      <c r="Z4428">
        <v>-3.9691819999999999E-3</v>
      </c>
      <c r="AA4428">
        <v>0.99039480000000002</v>
      </c>
      <c r="AB4428">
        <v>43</v>
      </c>
      <c r="AC4428">
        <v>-22.488699999999898</v>
      </c>
      <c r="AD4428">
        <v>-1.108868116052</v>
      </c>
      <c r="AE4428">
        <v>-2.8983999999999801</v>
      </c>
      <c r="AF4428">
        <v>-3.1901809826110701</v>
      </c>
      <c r="AG4428">
        <v>-1.108868116052</v>
      </c>
      <c r="AH4428">
        <v>22.3945241590304</v>
      </c>
      <c r="AI4428">
        <v>92.806407438955503</v>
      </c>
      <c r="AJ4428">
        <v>98.107443191292305</v>
      </c>
      <c r="AK4428">
        <v>22.6477715351866</v>
      </c>
      <c r="AL4428">
        <v>80.218931560809295</v>
      </c>
      <c r="AM4428">
        <v>90.573835185670205</v>
      </c>
      <c r="AN4428">
        <v>1.00000003940403</v>
      </c>
    </row>
    <row r="4429" spans="1:40" x14ac:dyDescent="0.25">
      <c r="A4429" t="str">
        <f>"20190312173019094"</f>
        <v>20190312173019094</v>
      </c>
      <c r="B4429" t="str">
        <f>"1552383019081972"</f>
        <v>1552383019081972</v>
      </c>
      <c r="C4429" t="s">
        <v>40</v>
      </c>
      <c r="D4429">
        <v>3.3259919999999998</v>
      </c>
      <c r="E4429">
        <v>0.4513741</v>
      </c>
      <c r="F4429" t="s">
        <v>41</v>
      </c>
      <c r="G4429">
        <v>-355.94909999999999</v>
      </c>
      <c r="H4429" s="1">
        <v>-1.8858809999999999E-6</v>
      </c>
      <c r="I4429">
        <v>138.68199999999999</v>
      </c>
      <c r="J4429">
        <v>-333.19670000000002</v>
      </c>
      <c r="K4429">
        <v>1.108878</v>
      </c>
      <c r="L4429">
        <v>141.6054</v>
      </c>
      <c r="M4429">
        <v>-0.99985970000000002</v>
      </c>
      <c r="N4429">
        <v>0</v>
      </c>
      <c r="O4429">
        <v>1.3460339999999999E-2</v>
      </c>
      <c r="P4429">
        <v>-0.98708300000000004</v>
      </c>
      <c r="Q4429">
        <v>0.16017410000000001</v>
      </c>
      <c r="R4429">
        <v>3.3747429999999999E-3</v>
      </c>
      <c r="S4429">
        <v>-3.0643310000000001</v>
      </c>
      <c r="T4429">
        <v>-0.14751839999999999</v>
      </c>
      <c r="U4429">
        <v>-0.3883972</v>
      </c>
      <c r="V4429">
        <v>-9.782865E-3</v>
      </c>
      <c r="W4429">
        <v>0.17002529999999999</v>
      </c>
      <c r="X4429">
        <v>0.98539109999999996</v>
      </c>
      <c r="Y4429">
        <v>-0.1389108</v>
      </c>
      <c r="Z4429">
        <v>-3.9735830000000001E-3</v>
      </c>
      <c r="AA4429">
        <v>0.99029690000000004</v>
      </c>
      <c r="AB4429">
        <v>43</v>
      </c>
      <c r="AC4429">
        <v>-22.752399999999898</v>
      </c>
      <c r="AD4429">
        <v>-1.1088798858810001</v>
      </c>
      <c r="AE4429">
        <v>-2.92339999999998</v>
      </c>
      <c r="AF4429">
        <v>-3.2218768254401602</v>
      </c>
      <c r="AG4429">
        <v>-1.1088798858810001</v>
      </c>
      <c r="AH4429">
        <v>22.6580415479892</v>
      </c>
      <c r="AI4429">
        <v>92.773948683733906</v>
      </c>
      <c r="AJ4429">
        <v>98.092960844641894</v>
      </c>
      <c r="AK4429">
        <v>22.912811954669099</v>
      </c>
      <c r="AL4429">
        <v>80.210709584500904</v>
      </c>
      <c r="AM4429">
        <v>90.568808122670504</v>
      </c>
      <c r="AN4429">
        <v>0.99999996352345299</v>
      </c>
    </row>
    <row r="4430" spans="1:40" x14ac:dyDescent="0.25">
      <c r="A4430" t="str">
        <f>"20190312173019107"</f>
        <v>20190312173019107</v>
      </c>
      <c r="B4430" t="str">
        <f>"1552383019102467"</f>
        <v>1552383019102467</v>
      </c>
      <c r="C4430" t="s">
        <v>40</v>
      </c>
      <c r="D4430">
        <v>3.3586580000000001</v>
      </c>
      <c r="E4430">
        <v>0.45116390000000001</v>
      </c>
      <c r="F4430" t="s">
        <v>41</v>
      </c>
      <c r="G4430">
        <v>-356.27019999999999</v>
      </c>
      <c r="H4430" s="1">
        <v>-1.7491009999999999E-6</v>
      </c>
      <c r="I4430">
        <v>138.6764</v>
      </c>
      <c r="J4430">
        <v>-333.44389999999999</v>
      </c>
      <c r="K4430">
        <v>1.1088910000000001</v>
      </c>
      <c r="L4430">
        <v>141.6088</v>
      </c>
      <c r="M4430">
        <v>-0.99985780000000002</v>
      </c>
      <c r="N4430">
        <v>0</v>
      </c>
      <c r="O4430">
        <v>1.3576680000000001E-2</v>
      </c>
      <c r="P4430">
        <v>-0.98707199999999995</v>
      </c>
      <c r="Q4430">
        <v>0.16024169999999999</v>
      </c>
      <c r="R4430">
        <v>3.368172E-3</v>
      </c>
      <c r="S4430">
        <v>-3.0644840000000002</v>
      </c>
      <c r="T4430">
        <v>-0.14727470000000001</v>
      </c>
      <c r="U4430">
        <v>-0.38900760000000001</v>
      </c>
      <c r="V4430">
        <v>-9.9072320000000002E-3</v>
      </c>
      <c r="W4430">
        <v>0.17011180000000001</v>
      </c>
      <c r="X4430">
        <v>0.985375</v>
      </c>
      <c r="Y4430">
        <v>-0.13921410000000001</v>
      </c>
      <c r="Z4430">
        <v>-3.9796040000000003E-3</v>
      </c>
      <c r="AA4430">
        <v>0.99025430000000003</v>
      </c>
      <c r="AB4430">
        <v>43</v>
      </c>
      <c r="AC4430">
        <v>-22.8263</v>
      </c>
      <c r="AD4430">
        <v>-1.1088927491009899</v>
      </c>
      <c r="AE4430">
        <v>-2.9323999999999999</v>
      </c>
      <c r="AF4430">
        <v>-3.2345410625005702</v>
      </c>
      <c r="AG4430">
        <v>-1.1088927491009899</v>
      </c>
      <c r="AH4430">
        <v>22.731606571530499</v>
      </c>
      <c r="AI4430">
        <v>92.764980174555106</v>
      </c>
      <c r="AJ4430">
        <v>98.098404951388204</v>
      </c>
      <c r="AK4430">
        <v>22.987340784372101</v>
      </c>
      <c r="AL4430">
        <v>80.205680931873601</v>
      </c>
      <c r="AM4430">
        <v>90.576048158361303</v>
      </c>
      <c r="AN4430">
        <v>1.0000000341850701</v>
      </c>
    </row>
    <row r="4431" spans="1:40" x14ac:dyDescent="0.25">
      <c r="A4431" t="str">
        <f>"20190312173019124"</f>
        <v>20190312173019124</v>
      </c>
      <c r="B4431" t="str">
        <f>"1552383019112227"</f>
        <v>1552383019112227</v>
      </c>
      <c r="C4431" t="s">
        <v>40</v>
      </c>
      <c r="D4431">
        <v>3.3313160000000002</v>
      </c>
      <c r="E4431">
        <v>0.45101980000000003</v>
      </c>
      <c r="F4431" t="s">
        <v>41</v>
      </c>
      <c r="G4431">
        <v>-356.41059999999999</v>
      </c>
      <c r="H4431" s="1">
        <v>-1.688009E-6</v>
      </c>
      <c r="I4431">
        <v>138.68119999999999</v>
      </c>
      <c r="J4431">
        <v>-333.76459999999997</v>
      </c>
      <c r="K4431">
        <v>1.1089039999999999</v>
      </c>
      <c r="L4431">
        <v>141.61330000000001</v>
      </c>
      <c r="M4431">
        <v>-0.99985559999999996</v>
      </c>
      <c r="N4431">
        <v>0</v>
      </c>
      <c r="O4431">
        <v>1.3724149999999999E-2</v>
      </c>
      <c r="P4431">
        <v>-0.98706559999999999</v>
      </c>
      <c r="Q4431">
        <v>0.16028049999999999</v>
      </c>
      <c r="R4431">
        <v>3.4810589999999999E-3</v>
      </c>
      <c r="S4431">
        <v>-3.0646360000000001</v>
      </c>
      <c r="T4431">
        <v>-0.14796860000000001</v>
      </c>
      <c r="U4431">
        <v>-0.3906403</v>
      </c>
      <c r="V4431">
        <v>-9.9432989999999992E-3</v>
      </c>
      <c r="W4431">
        <v>0.17017660000000001</v>
      </c>
      <c r="X4431">
        <v>0.9853634</v>
      </c>
      <c r="Y4431">
        <v>-0.13987060000000001</v>
      </c>
      <c r="Z4431">
        <v>-4.0208700000000002E-3</v>
      </c>
      <c r="AA4431">
        <v>0.99016159999999998</v>
      </c>
      <c r="AB4431">
        <v>43</v>
      </c>
      <c r="AC4431">
        <v>-22.646000000000001</v>
      </c>
      <c r="AD4431">
        <v>-1.108905688009</v>
      </c>
      <c r="AE4431">
        <v>-2.9321000000000201</v>
      </c>
      <c r="AF4431">
        <v>-3.2350076425088399</v>
      </c>
      <c r="AG4431">
        <v>-1.108905688009</v>
      </c>
      <c r="AH4431">
        <v>22.5504452413998</v>
      </c>
      <c r="AI4431">
        <v>92.786737084337602</v>
      </c>
      <c r="AJ4431">
        <v>98.163752588674399</v>
      </c>
      <c r="AK4431">
        <v>22.808277595148699</v>
      </c>
      <c r="AL4431">
        <v>80.201912764584307</v>
      </c>
      <c r="AM4431">
        <v>90.578151909063806</v>
      </c>
      <c r="AN4431">
        <v>0.99999998722106098</v>
      </c>
    </row>
    <row r="4432" spans="1:40" x14ac:dyDescent="0.25">
      <c r="A4432" t="str">
        <f>"20190312173019140"</f>
        <v>20190312173019140</v>
      </c>
      <c r="B4432" t="str">
        <f>"1552383019132723"</f>
        <v>1552383019132723</v>
      </c>
      <c r="C4432" t="s">
        <v>40</v>
      </c>
      <c r="D4432">
        <v>3.353291</v>
      </c>
      <c r="E4432">
        <v>0.45084940000000001</v>
      </c>
      <c r="F4432" t="s">
        <v>41</v>
      </c>
      <c r="G4432">
        <v>-356.68979999999999</v>
      </c>
      <c r="H4432" s="1">
        <v>-1.567293E-6</v>
      </c>
      <c r="I4432">
        <v>138.6866</v>
      </c>
      <c r="J4432">
        <v>-334.07850000000002</v>
      </c>
      <c r="K4432">
        <v>1.108916</v>
      </c>
      <c r="L4432">
        <v>141.61770000000001</v>
      </c>
      <c r="M4432">
        <v>-0.9998534</v>
      </c>
      <c r="N4432">
        <v>0</v>
      </c>
      <c r="O4432">
        <v>1.3865560000000001E-2</v>
      </c>
      <c r="P4432">
        <v>-0.98704460000000005</v>
      </c>
      <c r="Q4432">
        <v>0.16040570000000001</v>
      </c>
      <c r="R4432">
        <v>3.6469419999999998E-3</v>
      </c>
      <c r="S4432">
        <v>-3.0647890000000002</v>
      </c>
      <c r="T4432">
        <v>-0.14824619999999999</v>
      </c>
      <c r="U4432">
        <v>-0.3912506</v>
      </c>
      <c r="V4432">
        <v>-9.9200139999999996E-3</v>
      </c>
      <c r="W4432">
        <v>0.17032739999999999</v>
      </c>
      <c r="X4432">
        <v>0.98533760000000004</v>
      </c>
      <c r="Y4432">
        <v>-0.1401973</v>
      </c>
      <c r="Z4432">
        <v>-4.0428299999999999E-3</v>
      </c>
      <c r="AA4432">
        <v>0.99011530000000003</v>
      </c>
      <c r="AB4432">
        <v>43</v>
      </c>
      <c r="AC4432">
        <v>-22.6112999999999</v>
      </c>
      <c r="AD4432">
        <v>-1.1089175672930001</v>
      </c>
      <c r="AE4432">
        <v>-2.93110000000001</v>
      </c>
      <c r="AF4432">
        <v>-3.2366961784210502</v>
      </c>
      <c r="AG4432">
        <v>-1.1089175672930001</v>
      </c>
      <c r="AH4432">
        <v>22.515224521724999</v>
      </c>
      <c r="AI4432">
        <v>92.791001966019806</v>
      </c>
      <c r="AJ4432">
        <v>98.180560618617804</v>
      </c>
      <c r="AK4432">
        <v>22.7736961336131</v>
      </c>
      <c r="AL4432">
        <v>80.193144754862701</v>
      </c>
      <c r="AM4432">
        <v>90.576813198969404</v>
      </c>
      <c r="AN4432">
        <v>1.00000000792114</v>
      </c>
    </row>
    <row r="4433" spans="1:40" x14ac:dyDescent="0.25">
      <c r="A4433" t="str">
        <f>"20190312173019159"</f>
        <v>20190312173019159</v>
      </c>
      <c r="B4433" t="str">
        <f>"1552383019152242"</f>
        <v>1552383019152242</v>
      </c>
      <c r="C4433" t="s">
        <v>40</v>
      </c>
      <c r="D4433">
        <v>3.3596249999999999</v>
      </c>
      <c r="E4433">
        <v>0.45066430000000002</v>
      </c>
      <c r="F4433" t="s">
        <v>41</v>
      </c>
      <c r="G4433">
        <v>-356.98579999999998</v>
      </c>
      <c r="H4433" s="1">
        <v>-1.4403940000000001E-6</v>
      </c>
      <c r="I4433">
        <v>138.68600000000001</v>
      </c>
      <c r="J4433">
        <v>-334.43329999999997</v>
      </c>
      <c r="K4433">
        <v>1.1089290000000001</v>
      </c>
      <c r="L4433">
        <v>141.62270000000001</v>
      </c>
      <c r="M4433">
        <v>-0.99985080000000004</v>
      </c>
      <c r="N4433">
        <v>0</v>
      </c>
      <c r="O4433">
        <v>1.4024160000000001E-2</v>
      </c>
      <c r="P4433">
        <v>-0.98705540000000003</v>
      </c>
      <c r="Q4433">
        <v>0.16033420000000001</v>
      </c>
      <c r="R4433">
        <v>3.7987059999999998E-3</v>
      </c>
      <c r="S4433">
        <v>-3.0649410000000001</v>
      </c>
      <c r="T4433">
        <v>-0.14837049999999999</v>
      </c>
      <c r="U4433">
        <v>-0.39224239999999999</v>
      </c>
      <c r="V4433">
        <v>-9.9285399999999996E-3</v>
      </c>
      <c r="W4433">
        <v>0.17028750000000001</v>
      </c>
      <c r="X4433">
        <v>0.98534440000000001</v>
      </c>
      <c r="Y4433">
        <v>-0.1406625</v>
      </c>
      <c r="Z4433">
        <v>-4.0647870000000003E-3</v>
      </c>
      <c r="AA4433">
        <v>0.99004919999999996</v>
      </c>
      <c r="AB4433">
        <v>43</v>
      </c>
      <c r="AC4433">
        <v>-22.552499999999998</v>
      </c>
      <c r="AD4433">
        <v>-1.1089304403939999</v>
      </c>
      <c r="AE4433">
        <v>-2.9367000000000001</v>
      </c>
      <c r="AF4433">
        <v>-3.2449922126124502</v>
      </c>
      <c r="AG4433">
        <v>-1.1089304403939999</v>
      </c>
      <c r="AH4433">
        <v>22.455707035613599</v>
      </c>
      <c r="AI4433">
        <v>92.798123996589595</v>
      </c>
      <c r="AJ4433">
        <v>98.222683534809306</v>
      </c>
      <c r="AK4433">
        <v>22.716040140192899</v>
      </c>
      <c r="AL4433">
        <v>80.195464646983496</v>
      </c>
      <c r="AM4433">
        <v>90.577304937899598</v>
      </c>
      <c r="AN4433">
        <v>0.99999999758707003</v>
      </c>
    </row>
    <row r="4434" spans="1:40" x14ac:dyDescent="0.25">
      <c r="A4434" t="str">
        <f>"20190312173019181"</f>
        <v>20190312173019181</v>
      </c>
      <c r="B4434" t="str">
        <f>"1552383019171763"</f>
        <v>1552383019171763</v>
      </c>
      <c r="C4434" t="s">
        <v>40</v>
      </c>
      <c r="D4434">
        <v>3.3422000000000001</v>
      </c>
      <c r="E4434">
        <v>0.45047559999999898</v>
      </c>
      <c r="F4434" t="s">
        <v>41</v>
      </c>
      <c r="G4434">
        <v>-357.22969999999998</v>
      </c>
      <c r="H4434" s="1">
        <v>-1.3338569999999999E-6</v>
      </c>
      <c r="I4434">
        <v>138.6968</v>
      </c>
      <c r="J4434">
        <v>-334.86399999999998</v>
      </c>
      <c r="K4434">
        <v>1.108938</v>
      </c>
      <c r="L4434">
        <v>141.62889999999999</v>
      </c>
      <c r="M4434">
        <v>-0.99984779999999995</v>
      </c>
      <c r="N4434">
        <v>0</v>
      </c>
      <c r="O4434">
        <v>1.421556E-2</v>
      </c>
      <c r="P4434">
        <v>-0.98709029999999998</v>
      </c>
      <c r="Q4434">
        <v>0.16011249999999999</v>
      </c>
      <c r="R4434">
        <v>4.1397669999999999E-3</v>
      </c>
      <c r="S4434">
        <v>-3.0650629999999999</v>
      </c>
      <c r="T4434">
        <v>-0.14910029999999999</v>
      </c>
      <c r="U4434">
        <v>-0.39338679999999998</v>
      </c>
      <c r="V4434">
        <v>-9.7803830000000001E-3</v>
      </c>
      <c r="W4434">
        <v>0.17010430000000001</v>
      </c>
      <c r="X4434">
        <v>0.98537759999999996</v>
      </c>
      <c r="Y4434">
        <v>-0.1412081</v>
      </c>
      <c r="Z4434">
        <v>-4.1069799999999997E-3</v>
      </c>
      <c r="AA4434">
        <v>0.98997139999999995</v>
      </c>
      <c r="AB4434">
        <v>43</v>
      </c>
      <c r="AC4434">
        <v>-22.365699999999901</v>
      </c>
      <c r="AD4434">
        <v>-1.1089393338569999</v>
      </c>
      <c r="AE4434">
        <v>-2.9320999999999899</v>
      </c>
      <c r="AF4434">
        <v>-3.2419256536789298</v>
      </c>
      <c r="AG4434">
        <v>-1.1089393338569999</v>
      </c>
      <c r="AH4434">
        <v>22.267937932374501</v>
      </c>
      <c r="AI4434">
        <v>92.821270631973803</v>
      </c>
      <c r="AJ4434">
        <v>98.283333038370202</v>
      </c>
      <c r="AK4434">
        <v>22.5299997370226</v>
      </c>
      <c r="AL4434">
        <v>80.206117376600403</v>
      </c>
      <c r="AM4434">
        <v>90.568671610832098</v>
      </c>
      <c r="AN4434">
        <v>1.0000000716759301</v>
      </c>
    </row>
    <row r="4435" spans="1:40" x14ac:dyDescent="0.25">
      <c r="A4435" t="str">
        <f>"20190312173019203"</f>
        <v>20190312173019203</v>
      </c>
      <c r="B4435" t="str">
        <f>"1552383019192259"</f>
        <v>1552383019192259</v>
      </c>
      <c r="C4435" t="s">
        <v>40</v>
      </c>
      <c r="D4435">
        <v>3.3438240000000001</v>
      </c>
      <c r="E4435">
        <v>0.45027640000000002</v>
      </c>
      <c r="F4435" t="s">
        <v>41</v>
      </c>
      <c r="G4435">
        <v>-357.5052</v>
      </c>
      <c r="H4435" s="1">
        <v>-1.2120190000000001E-6</v>
      </c>
      <c r="I4435">
        <v>138.7175</v>
      </c>
      <c r="J4435">
        <v>-335.29509999999999</v>
      </c>
      <c r="K4435">
        <v>1.108948</v>
      </c>
      <c r="L4435">
        <v>141.6352</v>
      </c>
      <c r="M4435">
        <v>-0.99984459999999997</v>
      </c>
      <c r="N4435">
        <v>0</v>
      </c>
      <c r="O4435">
        <v>1.440726E-2</v>
      </c>
      <c r="P4435">
        <v>-0.98711130000000002</v>
      </c>
      <c r="Q4435">
        <v>0.15997420000000001</v>
      </c>
      <c r="R4435">
        <v>4.4240369999999996E-3</v>
      </c>
      <c r="S4435">
        <v>-3.0652469999999998</v>
      </c>
      <c r="T4435">
        <v>-0.1501323</v>
      </c>
      <c r="U4435">
        <v>-0.39414979999999999</v>
      </c>
      <c r="V4435">
        <v>-9.6884520000000002E-3</v>
      </c>
      <c r="W4435">
        <v>0.170007399999999</v>
      </c>
      <c r="X4435">
        <v>0.98539509999999997</v>
      </c>
      <c r="Y4435">
        <v>-0.14162959999999999</v>
      </c>
      <c r="Z4435">
        <v>-4.1546880000000001E-3</v>
      </c>
      <c r="AA4435">
        <v>0.98991099999999999</v>
      </c>
      <c r="AB4435">
        <v>43</v>
      </c>
      <c r="AC4435">
        <v>-22.210100000000001</v>
      </c>
      <c r="AD4435">
        <v>-1.1089492120190001</v>
      </c>
      <c r="AE4435">
        <v>-2.9176999999999902</v>
      </c>
      <c r="AF4435">
        <v>-3.2294858171226002</v>
      </c>
      <c r="AG4435">
        <v>-1.1089492120190001</v>
      </c>
      <c r="AH4435">
        <v>22.111567377700101</v>
      </c>
      <c r="AI4435">
        <v>92.841025906439995</v>
      </c>
      <c r="AJ4435">
        <v>98.309532056719505</v>
      </c>
      <c r="AK4435">
        <v>22.3736621699802</v>
      </c>
      <c r="AL4435">
        <v>80.211750124450205</v>
      </c>
      <c r="AM4435">
        <v>90.563316707577599</v>
      </c>
      <c r="AN4435">
        <v>0.99999994263046099</v>
      </c>
    </row>
    <row r="4436" spans="1:40" x14ac:dyDescent="0.25">
      <c r="A4436" t="str">
        <f>"20190312173019226"</f>
        <v>20190312173019226</v>
      </c>
      <c r="B4436" t="str">
        <f>"1552383019211779"</f>
        <v>1552383019211779</v>
      </c>
      <c r="C4436" t="s">
        <v>40</v>
      </c>
      <c r="D4436">
        <v>3.3843749999999999</v>
      </c>
      <c r="E4436">
        <v>0.45023869999999999</v>
      </c>
      <c r="F4436" t="s">
        <v>41</v>
      </c>
      <c r="G4436">
        <v>-357.89609999999999</v>
      </c>
      <c r="H4436" s="1">
        <v>-1.0432429999999999E-6</v>
      </c>
      <c r="I4436">
        <v>138.7234</v>
      </c>
      <c r="J4436">
        <v>-335.73579999999998</v>
      </c>
      <c r="K4436">
        <v>1.1089599999999999</v>
      </c>
      <c r="L4436">
        <v>141.64169999999999</v>
      </c>
      <c r="M4436">
        <v>-0.99984130000000004</v>
      </c>
      <c r="N4436">
        <v>0</v>
      </c>
      <c r="O4436">
        <v>1.460324E-2</v>
      </c>
      <c r="P4436">
        <v>-0.98714449999999998</v>
      </c>
      <c r="Q4436">
        <v>0.1597664</v>
      </c>
      <c r="R4436">
        <v>4.5289470000000002E-3</v>
      </c>
      <c r="S4436">
        <v>-3.0653380000000001</v>
      </c>
      <c r="T4436">
        <v>-0.15040529999999999</v>
      </c>
      <c r="U4436">
        <v>-0.39491270000000001</v>
      </c>
      <c r="V4436">
        <v>-9.7803530000000003E-3</v>
      </c>
      <c r="W4436">
        <v>0.16984630000000001</v>
      </c>
      <c r="X4436">
        <v>0.98542200000000002</v>
      </c>
      <c r="Y4436">
        <v>-0.14206089999999999</v>
      </c>
      <c r="Z4436">
        <v>-4.1821519999999997E-3</v>
      </c>
      <c r="AA4436">
        <v>0.98984910000000004</v>
      </c>
      <c r="AB4436">
        <v>43</v>
      </c>
      <c r="AC4436">
        <v>-22.160299999999999</v>
      </c>
      <c r="AD4436">
        <v>-1.1089610432429999</v>
      </c>
      <c r="AE4436">
        <v>-2.9182999999999799</v>
      </c>
      <c r="AF4436">
        <v>-3.2336578968629501</v>
      </c>
      <c r="AG4436">
        <v>-1.1089610432429999</v>
      </c>
      <c r="AH4436">
        <v>22.061012905063802</v>
      </c>
      <c r="AI4436">
        <v>92.847342650591401</v>
      </c>
      <c r="AJ4436">
        <v>98.338915089879904</v>
      </c>
      <c r="AK4436">
        <v>22.324305776143799</v>
      </c>
      <c r="AL4436">
        <v>80.221116961544894</v>
      </c>
      <c r="AM4436">
        <v>90.568644245839593</v>
      </c>
      <c r="AN4436">
        <v>0.99999996950624603</v>
      </c>
    </row>
    <row r="4437" spans="1:40" x14ac:dyDescent="0.25">
      <c r="A4437" t="str">
        <f>"20190312173019249"</f>
        <v>20190312173019249</v>
      </c>
      <c r="B4437" t="str">
        <f>"1552383019242541"</f>
        <v>1552383019242541</v>
      </c>
      <c r="C4437" t="s">
        <v>40</v>
      </c>
      <c r="D4437">
        <v>3.3564669999999999</v>
      </c>
      <c r="E4437">
        <v>0.4500632</v>
      </c>
      <c r="F4437" t="s">
        <v>41</v>
      </c>
      <c r="G4437">
        <v>-358.12610000000001</v>
      </c>
      <c r="H4437" s="1">
        <v>-9.387333E-7</v>
      </c>
      <c r="I4437">
        <v>138.75640000000001</v>
      </c>
      <c r="J4437">
        <v>-336.17779999999999</v>
      </c>
      <c r="K4437">
        <v>1.1089659999999999</v>
      </c>
      <c r="L4437">
        <v>141.64840000000001</v>
      </c>
      <c r="M4437">
        <v>-0.99983789999999995</v>
      </c>
      <c r="N4437">
        <v>0</v>
      </c>
      <c r="O4437">
        <v>1.479958E-2</v>
      </c>
      <c r="P4437">
        <v>-0.9871839</v>
      </c>
      <c r="Q4437">
        <v>0.1595066</v>
      </c>
      <c r="R4437">
        <v>5.0465060000000001E-3</v>
      </c>
      <c r="S4437">
        <v>-3.0654599999999999</v>
      </c>
      <c r="T4437">
        <v>-0.15182850000000001</v>
      </c>
      <c r="U4437">
        <v>-0.39501950000000002</v>
      </c>
      <c r="V4437">
        <v>-9.4593000000000003E-3</v>
      </c>
      <c r="W4437">
        <v>0.1696348</v>
      </c>
      <c r="X4437">
        <v>0.98546160000000005</v>
      </c>
      <c r="Y4437">
        <v>-0.1422802</v>
      </c>
      <c r="Z4437">
        <v>-4.2365889999999998E-3</v>
      </c>
      <c r="AA4437">
        <v>0.98981739999999996</v>
      </c>
      <c r="AB4437">
        <v>43</v>
      </c>
      <c r="AC4437">
        <v>-21.9483</v>
      </c>
      <c r="AD4437">
        <v>-1.1089669387333001</v>
      </c>
      <c r="AE4437">
        <v>-2.8919999999999901</v>
      </c>
      <c r="AF4437">
        <v>-3.2084747725462699</v>
      </c>
      <c r="AG4437">
        <v>-1.1089669387333001</v>
      </c>
      <c r="AH4437">
        <v>21.8482685430691</v>
      </c>
      <c r="AI4437">
        <v>92.874923989807399</v>
      </c>
      <c r="AJ4437">
        <v>98.354319475179494</v>
      </c>
      <c r="AK4437">
        <v>22.110426417582602</v>
      </c>
      <c r="AL4437">
        <v>80.233413800538898</v>
      </c>
      <c r="AM4437">
        <v>90.549956814641007</v>
      </c>
      <c r="AN4437">
        <v>1.00000000440104</v>
      </c>
    </row>
    <row r="4438" spans="1:40" x14ac:dyDescent="0.25">
      <c r="A4438" t="str">
        <f>"20190312173019271"</f>
        <v>20190312173019271</v>
      </c>
      <c r="B4438" t="str">
        <f>"1552383019262061"</f>
        <v>1552383019262061</v>
      </c>
      <c r="C4438" t="s">
        <v>40</v>
      </c>
      <c r="D4438">
        <v>3.347842</v>
      </c>
      <c r="E4438">
        <v>0.4499185</v>
      </c>
      <c r="F4438" t="s">
        <v>41</v>
      </c>
      <c r="G4438">
        <v>-358.43680000000001</v>
      </c>
      <c r="H4438" s="1">
        <v>-8.0096710000000002E-7</v>
      </c>
      <c r="I4438">
        <v>138.7818</v>
      </c>
      <c r="J4438">
        <v>-336.61099999999999</v>
      </c>
      <c r="K4438">
        <v>1.1089709999999999</v>
      </c>
      <c r="L4438">
        <v>141.6549</v>
      </c>
      <c r="M4438">
        <v>-0.99983449999999996</v>
      </c>
      <c r="N4438">
        <v>0</v>
      </c>
      <c r="O4438">
        <v>1.499203E-2</v>
      </c>
      <c r="P4438">
        <v>-0.98719760000000001</v>
      </c>
      <c r="Q4438">
        <v>0.1594139</v>
      </c>
      <c r="R4438">
        <v>5.3194760000000001E-3</v>
      </c>
      <c r="S4438">
        <v>-3.0657040000000002</v>
      </c>
      <c r="T4438">
        <v>-0.15273680000000001</v>
      </c>
      <c r="U4438">
        <v>-0.39480589999999999</v>
      </c>
      <c r="V4438">
        <v>-9.3780749999999996E-3</v>
      </c>
      <c r="W4438">
        <v>0.16959299999999999</v>
      </c>
      <c r="X4438">
        <v>0.98546959999999995</v>
      </c>
      <c r="Y4438">
        <v>-0.142390299999999</v>
      </c>
      <c r="Z4438">
        <v>-4.2738619999999998E-3</v>
      </c>
      <c r="AA4438">
        <v>0.9898013</v>
      </c>
      <c r="AB4438">
        <v>43</v>
      </c>
      <c r="AC4438">
        <v>-21.825800000000001</v>
      </c>
      <c r="AD4438">
        <v>-1.1089718009670999</v>
      </c>
      <c r="AE4438">
        <v>-2.8730999999999902</v>
      </c>
      <c r="AF4438">
        <v>-3.19190740593036</v>
      </c>
      <c r="AG4438">
        <v>-1.1089718009670999</v>
      </c>
      <c r="AH4438">
        <v>21.725139138446</v>
      </c>
      <c r="AI4438">
        <v>92.891174066192605</v>
      </c>
      <c r="AJ4438">
        <v>98.358229325674003</v>
      </c>
      <c r="AK4438">
        <v>21.9863539935163</v>
      </c>
      <c r="AL4438">
        <v>80.235844260183399</v>
      </c>
      <c r="AM4438">
        <v>90.545230312680701</v>
      </c>
      <c r="AN4438">
        <v>1.0000000332319301</v>
      </c>
    </row>
    <row r="4439" spans="1:40" x14ac:dyDescent="0.25">
      <c r="A4439" t="str">
        <f>"20190312173019292"</f>
        <v>20190312173019292</v>
      </c>
      <c r="B4439" t="str">
        <f>"1552383019282561"</f>
        <v>1552383019282561</v>
      </c>
      <c r="C4439" t="s">
        <v>40</v>
      </c>
      <c r="D4439">
        <v>3.3607870000000002</v>
      </c>
      <c r="E4439">
        <v>0.44983869999999998</v>
      </c>
      <c r="F4439" t="s">
        <v>41</v>
      </c>
      <c r="G4439">
        <v>-358.7869</v>
      </c>
      <c r="H4439" s="1">
        <v>-6.4814400000000004E-7</v>
      </c>
      <c r="I4439">
        <v>138.79650000000001</v>
      </c>
      <c r="J4439">
        <v>-337.02019999999999</v>
      </c>
      <c r="K4439">
        <v>1.1089819999999999</v>
      </c>
      <c r="L4439">
        <v>141.66120000000001</v>
      </c>
      <c r="M4439">
        <v>-0.99983109999999997</v>
      </c>
      <c r="N4439">
        <v>0</v>
      </c>
      <c r="O4439">
        <v>1.5173259999999999E-2</v>
      </c>
      <c r="P4439">
        <v>-0.98721829999999999</v>
      </c>
      <c r="Q4439">
        <v>0.15927939999999999</v>
      </c>
      <c r="R4439">
        <v>5.5106349999999998E-3</v>
      </c>
      <c r="S4439">
        <v>-3.0657649999999999</v>
      </c>
      <c r="T4439">
        <v>-0.1533129</v>
      </c>
      <c r="U4439">
        <v>-0.39515689999999998</v>
      </c>
      <c r="V4439">
        <v>-9.3673909999999992E-3</v>
      </c>
      <c r="W4439">
        <v>0.1695168</v>
      </c>
      <c r="X4439">
        <v>0.98548279999999999</v>
      </c>
      <c r="Y4439">
        <v>-0.14267659999999999</v>
      </c>
      <c r="Z4439">
        <v>-4.3059989999999996E-3</v>
      </c>
      <c r="AA4439">
        <v>0.98975999999999997</v>
      </c>
      <c r="AB4439">
        <v>43</v>
      </c>
      <c r="AC4439">
        <v>-21.7667</v>
      </c>
      <c r="AD4439">
        <v>-1.1089826481439999</v>
      </c>
      <c r="AE4439">
        <v>-2.8646999999999898</v>
      </c>
      <c r="AF4439">
        <v>-3.18652910795022</v>
      </c>
      <c r="AG4439">
        <v>-1.1089826481439999</v>
      </c>
      <c r="AH4439">
        <v>21.665444014213499</v>
      </c>
      <c r="AI4439">
        <v>92.899089694306994</v>
      </c>
      <c r="AJ4439">
        <v>98.367010603463399</v>
      </c>
      <c r="AK4439">
        <v>21.926588302850899</v>
      </c>
      <c r="AL4439">
        <v>80.240274225105495</v>
      </c>
      <c r="AM4439">
        <v>90.544601900549196</v>
      </c>
      <c r="AN4439">
        <v>1.00000002129611</v>
      </c>
    </row>
    <row r="4440" spans="1:40" x14ac:dyDescent="0.25">
      <c r="A4440" t="str">
        <f>"20190312173019308"</f>
        <v>20190312173019308</v>
      </c>
      <c r="B4440" t="str">
        <f>"1552383019302077"</f>
        <v>1552383019302077</v>
      </c>
      <c r="C4440" t="s">
        <v>40</v>
      </c>
      <c r="D4440">
        <v>3.4508679999999998</v>
      </c>
      <c r="E4440">
        <v>0.44981349999999998</v>
      </c>
      <c r="F4440" t="s">
        <v>41</v>
      </c>
      <c r="G4440">
        <v>-359.06259999999997</v>
      </c>
      <c r="H4440" s="1">
        <v>-5.25819E-7</v>
      </c>
      <c r="I4440">
        <v>138.8193</v>
      </c>
      <c r="J4440">
        <v>-337.32639999999998</v>
      </c>
      <c r="K4440">
        <v>1.108994</v>
      </c>
      <c r="L4440">
        <v>141.666</v>
      </c>
      <c r="M4440">
        <v>-0.99982859999999996</v>
      </c>
      <c r="N4440">
        <v>0</v>
      </c>
      <c r="O4440">
        <v>1.5308459999999999E-2</v>
      </c>
      <c r="P4440">
        <v>-0.98723669999999997</v>
      </c>
      <c r="Q4440">
        <v>0.15915950000000001</v>
      </c>
      <c r="R4440">
        <v>5.6818440000000001E-3</v>
      </c>
      <c r="S4440">
        <v>-3.065979</v>
      </c>
      <c r="T4440">
        <v>-0.15425369999999999</v>
      </c>
      <c r="U4440">
        <v>-0.39527889999999999</v>
      </c>
      <c r="V4440">
        <v>-9.3303789999999998E-3</v>
      </c>
      <c r="W4440">
        <v>0.16944919999999999</v>
      </c>
      <c r="X4440">
        <v>0.98549469999999995</v>
      </c>
      <c r="Y4440">
        <v>-0.14283770000000001</v>
      </c>
      <c r="Z4440">
        <v>-4.3428870000000001E-3</v>
      </c>
      <c r="AA4440">
        <v>0.98973659999999997</v>
      </c>
      <c r="AB4440">
        <v>43</v>
      </c>
      <c r="AC4440">
        <v>-21.7362</v>
      </c>
      <c r="AD4440">
        <v>-1.1089945258189999</v>
      </c>
      <c r="AE4440">
        <v>-2.84669999999999</v>
      </c>
      <c r="AF4440">
        <v>-3.1710168783967698</v>
      </c>
      <c r="AG4440">
        <v>-1.1089945258189999</v>
      </c>
      <c r="AH4440">
        <v>21.634703971293401</v>
      </c>
      <c r="AI4440">
        <v>92.903444545453993</v>
      </c>
      <c r="AJ4440">
        <v>98.338517039200894</v>
      </c>
      <c r="AK4440">
        <v>21.893963387812502</v>
      </c>
      <c r="AL4440">
        <v>80.244203529034607</v>
      </c>
      <c r="AM4440">
        <v>90.542443673886496</v>
      </c>
      <c r="AN4440">
        <v>0.99999994554050498</v>
      </c>
    </row>
    <row r="4441" spans="1:40" x14ac:dyDescent="0.25">
      <c r="A4441" t="str">
        <f>"20190312173019326"</f>
        <v>20190312173019326</v>
      </c>
      <c r="B4441" t="str">
        <f>"1552383019322573"</f>
        <v>1552383019322573</v>
      </c>
      <c r="C4441" t="s">
        <v>40</v>
      </c>
      <c r="D4441">
        <v>3.4190879999999999</v>
      </c>
      <c r="E4441">
        <v>0.44761909999999999</v>
      </c>
      <c r="F4441" t="s">
        <v>41</v>
      </c>
      <c r="G4441">
        <v>-359.2183</v>
      </c>
      <c r="H4441" s="1">
        <v>-4.5735E-7</v>
      </c>
      <c r="I4441">
        <v>138.84479999999999</v>
      </c>
      <c r="J4441">
        <v>-337.67520000000002</v>
      </c>
      <c r="K4441">
        <v>1.1090040000000001</v>
      </c>
      <c r="L4441">
        <v>141.67140000000001</v>
      </c>
      <c r="M4441">
        <v>-0.99982530000000003</v>
      </c>
      <c r="N4441">
        <v>0</v>
      </c>
      <c r="O4441">
        <v>1.546264E-2</v>
      </c>
      <c r="P4441">
        <v>-0.98724409999999896</v>
      </c>
      <c r="Q4441">
        <v>0.15911169999999999</v>
      </c>
      <c r="R4441">
        <v>5.6968590000000003E-3</v>
      </c>
      <c r="S4441">
        <v>-3.0661010000000002</v>
      </c>
      <c r="T4441">
        <v>-0.15532179999999901</v>
      </c>
      <c r="U4441">
        <v>-0.39511109999999999</v>
      </c>
      <c r="V4441">
        <v>-9.4680279999999999E-3</v>
      </c>
      <c r="W4441">
        <v>0.16947219999999999</v>
      </c>
      <c r="X4441">
        <v>0.98548950000000002</v>
      </c>
      <c r="Y4441">
        <v>-0.142929</v>
      </c>
      <c r="Z4441">
        <v>-4.3828419999999996E-3</v>
      </c>
      <c r="AA4441">
        <v>0.98972320000000003</v>
      </c>
      <c r="AB4441">
        <v>43</v>
      </c>
      <c r="AC4441">
        <v>-21.5430999999999</v>
      </c>
      <c r="AD4441">
        <v>-1.10900445735</v>
      </c>
      <c r="AE4441">
        <v>-2.8266000000000102</v>
      </c>
      <c r="AF4441">
        <v>-3.1511842059378399</v>
      </c>
      <c r="AG4441">
        <v>-1.10900445735</v>
      </c>
      <c r="AH4441">
        <v>21.440957545541199</v>
      </c>
      <c r="AI4441">
        <v>92.929493717806494</v>
      </c>
      <c r="AJ4441">
        <v>98.360922039424494</v>
      </c>
      <c r="AK4441">
        <v>21.699643159643699</v>
      </c>
      <c r="AL4441">
        <v>80.242867045300301</v>
      </c>
      <c r="AM4441">
        <v>90.550448639869998</v>
      </c>
      <c r="AN4441">
        <v>1.0000000123686399</v>
      </c>
    </row>
    <row r="4442" spans="1:40" x14ac:dyDescent="0.25">
      <c r="A4442" t="str">
        <f>"20190312173019451"</f>
        <v>20190312173019451</v>
      </c>
      <c r="B4442" t="str">
        <f>"1552383019442466"</f>
        <v>1552383019442466</v>
      </c>
      <c r="C4442" t="s">
        <v>40</v>
      </c>
      <c r="D4442">
        <v>3.5719650000000001</v>
      </c>
      <c r="E4442">
        <v>0.50077970000000005</v>
      </c>
      <c r="F4442" t="s">
        <v>41</v>
      </c>
      <c r="G4442">
        <v>-356.71949999999998</v>
      </c>
      <c r="H4442" s="1">
        <v>-1.479761E-6</v>
      </c>
      <c r="I4442">
        <v>139.10820000000001</v>
      </c>
      <c r="J4442">
        <v>-340.07240000000002</v>
      </c>
      <c r="K4442">
        <v>1.1091230000000001</v>
      </c>
      <c r="L4442">
        <v>141.71039999999999</v>
      </c>
      <c r="M4442">
        <v>-0.99980000000000002</v>
      </c>
      <c r="N4442">
        <v>0</v>
      </c>
      <c r="O4442">
        <v>1.6521129999999998E-2</v>
      </c>
      <c r="P4442">
        <v>-0.98738060000000005</v>
      </c>
      <c r="Q4442">
        <v>0.158188</v>
      </c>
      <c r="R4442">
        <v>7.4947159999999898E-3</v>
      </c>
      <c r="S4442">
        <v>-3.0699770000000002</v>
      </c>
      <c r="T4442">
        <v>-0.17877390000000001</v>
      </c>
      <c r="U4442">
        <v>-0.41317749999999998</v>
      </c>
      <c r="V4442">
        <v>-8.7145179999999992E-3</v>
      </c>
      <c r="W4442">
        <v>0.1693124</v>
      </c>
      <c r="X4442">
        <v>0.98552390000000001</v>
      </c>
      <c r="Y4442">
        <v>-0.14946389999999901</v>
      </c>
      <c r="Z4442">
        <v>-5.2859659999999996E-3</v>
      </c>
      <c r="AA4442">
        <v>0.98875310000000005</v>
      </c>
      <c r="AB4442">
        <v>43</v>
      </c>
      <c r="AC4442">
        <v>-16.647099999999899</v>
      </c>
      <c r="AD4442">
        <v>-1.10912447976099</v>
      </c>
      <c r="AE4442">
        <v>-2.6021999999999799</v>
      </c>
      <c r="AF4442">
        <v>-2.8644790812227998</v>
      </c>
      <c r="AG4442">
        <v>-1.10912447976099</v>
      </c>
      <c r="AH4442">
        <v>16.530206530111801</v>
      </c>
      <c r="AI4442">
        <v>93.782408864350998</v>
      </c>
      <c r="AJ4442">
        <v>99.831017571311705</v>
      </c>
      <c r="AK4442">
        <v>16.813183084904399</v>
      </c>
      <c r="AL4442">
        <v>80.252156989584094</v>
      </c>
      <c r="AM4442">
        <v>90.506626058393607</v>
      </c>
      <c r="AN4442">
        <v>0.99999999454447097</v>
      </c>
    </row>
    <row r="4443" spans="1:40" x14ac:dyDescent="0.25">
      <c r="A4443" t="str">
        <f>"20190312173019470"</f>
        <v>20190312173019470</v>
      </c>
      <c r="B4443" t="str">
        <f>"1552383019461987"</f>
        <v>1552383019461987</v>
      </c>
      <c r="C4443" t="s">
        <v>40</v>
      </c>
      <c r="D4443">
        <v>3.524613</v>
      </c>
      <c r="E4443">
        <v>0.50256709999999905</v>
      </c>
      <c r="F4443" t="s">
        <v>42</v>
      </c>
      <c r="G4443">
        <v>-341.0018</v>
      </c>
      <c r="H4443">
        <v>0.89541360000000003</v>
      </c>
      <c r="I4443">
        <v>141.7124</v>
      </c>
      <c r="J4443">
        <v>-340.47629999999998</v>
      </c>
      <c r="K4443">
        <v>1.109143</v>
      </c>
      <c r="L4443">
        <v>141.71729999999999</v>
      </c>
      <c r="M4443">
        <v>-0.99979530000000005</v>
      </c>
      <c r="N4443">
        <v>0</v>
      </c>
      <c r="O4443">
        <v>1.6697670000000001E-2</v>
      </c>
      <c r="P4443">
        <v>-0.98738559999999997</v>
      </c>
      <c r="Q4443">
        <v>0.15815889999999999</v>
      </c>
      <c r="R4443">
        <v>7.4730380000000004E-3</v>
      </c>
      <c r="S4443">
        <v>-3.1545100000000001</v>
      </c>
      <c r="T4443">
        <v>-0.72543329999999995</v>
      </c>
      <c r="U4443">
        <v>5.7983399999999999E-3</v>
      </c>
      <c r="V4443">
        <v>-8.9083949999999995E-3</v>
      </c>
      <c r="W4443">
        <v>0.1694455</v>
      </c>
      <c r="X4443">
        <v>0.98549929999999997</v>
      </c>
      <c r="Y4443">
        <v>-1.405811E-2</v>
      </c>
      <c r="Z4443">
        <v>-5.3861660000000004E-3</v>
      </c>
      <c r="AA4443">
        <v>0.99988670000000002</v>
      </c>
      <c r="AB4443">
        <v>43</v>
      </c>
      <c r="AC4443">
        <v>-0.52550000000002195</v>
      </c>
      <c r="AD4443">
        <v>-0.21372940000000001</v>
      </c>
      <c r="AE4443">
        <v>-4.8999999999921303E-3</v>
      </c>
      <c r="AF4443">
        <v>-1.1733714807465901E-2</v>
      </c>
      <c r="AG4443">
        <v>-0.21372940000000001</v>
      </c>
      <c r="AH4443">
        <v>0.45078360739249801</v>
      </c>
      <c r="AI4443">
        <v>115.359457447385</v>
      </c>
      <c r="AJ4443">
        <v>91.491049257794998</v>
      </c>
      <c r="AK4443">
        <v>0.49902284234425298</v>
      </c>
      <c r="AL4443">
        <v>80.244419206309502</v>
      </c>
      <c r="AM4443">
        <v>90.517909585629994</v>
      </c>
      <c r="AN4443">
        <v>1.0000000036361001</v>
      </c>
    </row>
    <row r="4444" spans="1:40" x14ac:dyDescent="0.25">
      <c r="A4444" t="str">
        <f>"20190312173019493"</f>
        <v>20190312173019493</v>
      </c>
      <c r="B4444" t="str">
        <f>"1552383019482480"</f>
        <v>1552383019482480</v>
      </c>
      <c r="C4444" t="s">
        <v>40</v>
      </c>
      <c r="D4444">
        <v>3.5316670000000001</v>
      </c>
      <c r="E4444">
        <v>0.50456540000000005</v>
      </c>
      <c r="F4444" t="s">
        <v>42</v>
      </c>
      <c r="G4444">
        <v>-341.47129999999999</v>
      </c>
      <c r="H4444">
        <v>1.0396780000000001</v>
      </c>
      <c r="I4444">
        <v>141.727</v>
      </c>
      <c r="J4444">
        <v>-340.91759999999999</v>
      </c>
      <c r="K4444">
        <v>1.1091629999999999</v>
      </c>
      <c r="L4444">
        <v>141.72489999999999</v>
      </c>
      <c r="M4444">
        <v>-0.99979010000000001</v>
      </c>
      <c r="N4444">
        <v>0</v>
      </c>
      <c r="O4444">
        <v>1.688423E-2</v>
      </c>
      <c r="P4444">
        <v>-0.98732830000000005</v>
      </c>
      <c r="Q4444">
        <v>0.15852669999999999</v>
      </c>
      <c r="R4444">
        <v>7.2554719999999998E-3</v>
      </c>
      <c r="S4444">
        <v>-3.0724179999999999</v>
      </c>
      <c r="T4444">
        <v>-0.21451329999999999</v>
      </c>
      <c r="U4444">
        <v>2.9937740000000001E-2</v>
      </c>
      <c r="V4444">
        <v>-9.3083560000000003E-3</v>
      </c>
      <c r="W4444">
        <v>0.16998769999999999</v>
      </c>
      <c r="X4444">
        <v>0.98540220000000001</v>
      </c>
      <c r="Y4444">
        <v>-7.0840469999999996E-3</v>
      </c>
      <c r="Z4444">
        <v>-1.424387E-3</v>
      </c>
      <c r="AA4444">
        <v>0.99997389999999997</v>
      </c>
      <c r="AB4444">
        <v>43</v>
      </c>
      <c r="AC4444">
        <v>-0.55369999999999198</v>
      </c>
      <c r="AD4444">
        <v>-6.9484999999999797E-2</v>
      </c>
      <c r="AE4444">
        <v>2.1000000000128598E-3</v>
      </c>
      <c r="AF4444">
        <v>-7.1373281374686598E-3</v>
      </c>
      <c r="AG4444">
        <v>-6.9484999999999797E-2</v>
      </c>
      <c r="AH4444">
        <v>0.54507268657874797</v>
      </c>
      <c r="AI4444">
        <v>97.264175197518</v>
      </c>
      <c r="AJ4444">
        <v>90.750203449105499</v>
      </c>
      <c r="AK4444">
        <v>0.54953010866750096</v>
      </c>
      <c r="AL4444">
        <v>80.212895889653794</v>
      </c>
      <c r="AM4444">
        <v>90.5412141870233</v>
      </c>
      <c r="AN4444">
        <v>0.99999997970377597</v>
      </c>
    </row>
    <row r="4445" spans="1:40" x14ac:dyDescent="0.25">
      <c r="A4445" t="str">
        <f>"20190312173019515"</f>
        <v>20190312173019515</v>
      </c>
      <c r="B4445" t="str">
        <f>"1552383019511761"</f>
        <v>1552383019511761</v>
      </c>
      <c r="C4445" t="s">
        <v>40</v>
      </c>
      <c r="D4445">
        <v>3.5309810000000001</v>
      </c>
      <c r="E4445">
        <v>0.50499700000000003</v>
      </c>
      <c r="F4445" t="s">
        <v>42</v>
      </c>
      <c r="G4445">
        <v>-341.84809999999999</v>
      </c>
      <c r="H4445">
        <v>1.0394429999999999</v>
      </c>
      <c r="I4445">
        <v>141.73859999999999</v>
      </c>
      <c r="J4445">
        <v>-341.34589999999997</v>
      </c>
      <c r="K4445">
        <v>1.109183</v>
      </c>
      <c r="L4445">
        <v>141.73230000000001</v>
      </c>
      <c r="M4445">
        <v>-0.99978509999999998</v>
      </c>
      <c r="N4445">
        <v>0</v>
      </c>
      <c r="O4445">
        <v>1.706212E-2</v>
      </c>
      <c r="P4445">
        <v>-0.98741299999999999</v>
      </c>
      <c r="Q4445">
        <v>0.1580037</v>
      </c>
      <c r="R4445">
        <v>7.0887659999999998E-3</v>
      </c>
      <c r="S4445">
        <v>-3.0751650000000001</v>
      </c>
      <c r="T4445">
        <v>-0.23049339999999999</v>
      </c>
      <c r="U4445">
        <v>4.4662479999999997E-2</v>
      </c>
      <c r="V4445">
        <v>-9.6529029999999991E-3</v>
      </c>
      <c r="W4445">
        <v>0.16963339999999999</v>
      </c>
      <c r="X4445">
        <v>0.98546</v>
      </c>
      <c r="Y4445">
        <v>-2.4867240000000001E-3</v>
      </c>
      <c r="Z4445">
        <v>-1.3700629999999999E-3</v>
      </c>
      <c r="AA4445">
        <v>0.99999590000000005</v>
      </c>
      <c r="AB4445">
        <v>43</v>
      </c>
      <c r="AC4445">
        <v>-0.50220000000001597</v>
      </c>
      <c r="AD4445">
        <v>-6.9739999999999899E-2</v>
      </c>
      <c r="AE4445">
        <v>6.2999999999817603E-3</v>
      </c>
      <c r="AF4445">
        <v>-2.2271646951300302E-3</v>
      </c>
      <c r="AG4445">
        <v>-6.9739999999999899E-2</v>
      </c>
      <c r="AH4445">
        <v>0.49273371039587299</v>
      </c>
      <c r="AI4445">
        <v>98.055875805915704</v>
      </c>
      <c r="AJ4445">
        <v>90.258976127676505</v>
      </c>
      <c r="AK4445">
        <v>0.49764961290356102</v>
      </c>
      <c r="AL4445">
        <v>80.233495547966896</v>
      </c>
      <c r="AM4445">
        <v>90.561212950515497</v>
      </c>
      <c r="AN4445">
        <v>1.0000000402659399</v>
      </c>
    </row>
    <row r="4446" spans="1:40" x14ac:dyDescent="0.25">
      <c r="A4446" t="str">
        <f>"20190312173019537"</f>
        <v>20190312173019537</v>
      </c>
      <c r="B4446" t="str">
        <f>"1552383019532259"</f>
        <v>1552383019532259</v>
      </c>
      <c r="C4446" t="s">
        <v>40</v>
      </c>
      <c r="D4446">
        <v>3.537093</v>
      </c>
      <c r="E4446">
        <v>0.50510069999999996</v>
      </c>
      <c r="F4446" t="s">
        <v>42</v>
      </c>
      <c r="G4446">
        <v>-342.2364</v>
      </c>
      <c r="H4446">
        <v>1.039466</v>
      </c>
      <c r="I4446">
        <v>141.74600000000001</v>
      </c>
      <c r="J4446">
        <v>-341.77969999999999</v>
      </c>
      <c r="K4446">
        <v>1.10921</v>
      </c>
      <c r="L4446">
        <v>141.73990000000001</v>
      </c>
      <c r="M4446">
        <v>-0.99977990000000005</v>
      </c>
      <c r="N4446">
        <v>0</v>
      </c>
      <c r="O4446">
        <v>1.724591E-2</v>
      </c>
      <c r="P4446">
        <v>-0.98737189999999997</v>
      </c>
      <c r="Q4446">
        <v>0.15824759999999999</v>
      </c>
      <c r="R4446">
        <v>7.3845050000000004E-3</v>
      </c>
      <c r="S4446">
        <v>-3.0764469999999999</v>
      </c>
      <c r="T4446">
        <v>-0.2409143</v>
      </c>
      <c r="U4446">
        <v>4.6600339999999997E-2</v>
      </c>
      <c r="V4446">
        <v>-9.5403889999999998E-3</v>
      </c>
      <c r="W4446">
        <v>0.170039</v>
      </c>
      <c r="X4446">
        <v>0.98539109999999996</v>
      </c>
      <c r="Y4446">
        <v>-2.042664E-3</v>
      </c>
      <c r="Z4446">
        <v>-1.428229E-3</v>
      </c>
      <c r="AA4446">
        <v>0.99999689999999997</v>
      </c>
      <c r="AB4446">
        <v>43</v>
      </c>
      <c r="AC4446">
        <v>-0.45670000000001199</v>
      </c>
      <c r="AD4446">
        <v>-6.9744E-2</v>
      </c>
      <c r="AE4446">
        <v>6.1000000000035401E-3</v>
      </c>
      <c r="AF4446">
        <v>-1.73717082029242E-3</v>
      </c>
      <c r="AG4446">
        <v>-6.9744E-2</v>
      </c>
      <c r="AH4446">
        <v>0.44633015950330501</v>
      </c>
      <c r="AI4446">
        <v>98.881208555525902</v>
      </c>
      <c r="AJ4446">
        <v>90.223000959241205</v>
      </c>
      <c r="AK4446">
        <v>0.45174976987343901</v>
      </c>
      <c r="AL4446">
        <v>80.209912902108897</v>
      </c>
      <c r="AM4446">
        <v>90.554710658326698</v>
      </c>
      <c r="AN4446">
        <v>0.999999950251239</v>
      </c>
    </row>
    <row r="4447" spans="1:40" x14ac:dyDescent="0.25">
      <c r="A4447" t="str">
        <f>"20190312173019560"</f>
        <v>20190312173019560</v>
      </c>
      <c r="B4447" t="str">
        <f>"1552383019552283"</f>
        <v>1552383019552283</v>
      </c>
      <c r="C4447" t="s">
        <v>40</v>
      </c>
      <c r="D4447">
        <v>3.5504259999999999</v>
      </c>
      <c r="E4447">
        <v>0.50492919999999997</v>
      </c>
      <c r="F4447" t="s">
        <v>42</v>
      </c>
      <c r="G4447">
        <v>-342.6302</v>
      </c>
      <c r="H4447">
        <v>1.0414490000000001</v>
      </c>
      <c r="I4447">
        <v>141.7535</v>
      </c>
      <c r="J4447">
        <v>-342.20749999999998</v>
      </c>
      <c r="K4447">
        <v>1.1092340000000001</v>
      </c>
      <c r="L4447">
        <v>141.7475</v>
      </c>
      <c r="M4447">
        <v>-0.99977490000000002</v>
      </c>
      <c r="N4447">
        <v>0</v>
      </c>
      <c r="O4447">
        <v>1.7432619999999999E-2</v>
      </c>
      <c r="P4447">
        <v>-0.98748230000000004</v>
      </c>
      <c r="Q4447">
        <v>0.15754660000000001</v>
      </c>
      <c r="R4447">
        <v>7.6131539999999996E-3</v>
      </c>
      <c r="S4447">
        <v>-3.0773009999999998</v>
      </c>
      <c r="T4447">
        <v>-0.24524779999999999</v>
      </c>
      <c r="U4447">
        <v>4.8126219999999997E-2</v>
      </c>
      <c r="V4447">
        <v>-9.5023099999999999E-3</v>
      </c>
      <c r="W4447">
        <v>0.16948540000000001</v>
      </c>
      <c r="X4447">
        <v>0.98548690000000005</v>
      </c>
      <c r="Y4447">
        <v>-1.736186E-3</v>
      </c>
      <c r="Z4447">
        <v>-1.4560930000000001E-3</v>
      </c>
      <c r="AA4447">
        <v>0.99999740000000004</v>
      </c>
      <c r="AB4447">
        <v>43</v>
      </c>
      <c r="AC4447">
        <v>-0.42270000000002</v>
      </c>
      <c r="AD4447">
        <v>-6.7784999999999901E-2</v>
      </c>
      <c r="AE4447">
        <v>6.0000000000002196E-3</v>
      </c>
      <c r="AF4447">
        <v>-1.33587294492752E-3</v>
      </c>
      <c r="AG4447">
        <v>-6.7784999999999901E-2</v>
      </c>
      <c r="AH4447">
        <v>0.41214382247909898</v>
      </c>
      <c r="AI4447">
        <v>99.339732585933206</v>
      </c>
      <c r="AJ4447">
        <v>90.185710932682596</v>
      </c>
      <c r="AK4447">
        <v>0.41768303914476601</v>
      </c>
      <c r="AL4447">
        <v>80.242099639812395</v>
      </c>
      <c r="AM4447">
        <v>90.552443047961901</v>
      </c>
      <c r="AN4447">
        <v>1.0000000123900501</v>
      </c>
    </row>
    <row r="4448" spans="1:40" x14ac:dyDescent="0.25">
      <c r="A4448" t="str">
        <f>"20190312173019582"</f>
        <v>20190312173019582</v>
      </c>
      <c r="B4448" t="str">
        <f>"1552383019571803"</f>
        <v>1552383019571803</v>
      </c>
      <c r="C4448" t="s">
        <v>40</v>
      </c>
      <c r="D4448">
        <v>3.5469490000000001</v>
      </c>
      <c r="E4448">
        <v>0.50483520000000004</v>
      </c>
      <c r="F4448" t="s">
        <v>41</v>
      </c>
      <c r="G4448">
        <v>-355.71100000000001</v>
      </c>
      <c r="H4448" s="1">
        <v>-2.4445289999999998E-6</v>
      </c>
      <c r="I4448">
        <v>141.95490000000001</v>
      </c>
      <c r="J4448">
        <v>-342.6472</v>
      </c>
      <c r="K4448">
        <v>1.109243</v>
      </c>
      <c r="L4448">
        <v>141.75540000000001</v>
      </c>
      <c r="M4448">
        <v>-0.99976989999999999</v>
      </c>
      <c r="N4448">
        <v>0</v>
      </c>
      <c r="O4448">
        <v>1.7626010000000001E-2</v>
      </c>
      <c r="P4448">
        <v>-0.98740430000000001</v>
      </c>
      <c r="Q4448">
        <v>0.158025</v>
      </c>
      <c r="R4448">
        <v>7.8081380000000001E-3</v>
      </c>
      <c r="S4448">
        <v>-3.0779719999999999</v>
      </c>
      <c r="T4448">
        <v>-0.25283850000000002</v>
      </c>
      <c r="U4448">
        <v>4.7302249999999997E-2</v>
      </c>
      <c r="V4448">
        <v>-9.4994090000000003E-3</v>
      </c>
      <c r="W4448">
        <v>0.1700991</v>
      </c>
      <c r="X4448">
        <v>0.98538119999999996</v>
      </c>
      <c r="Y4448">
        <v>-2.1947199999999998E-3</v>
      </c>
      <c r="Z4448">
        <v>-1.5353490000000001E-3</v>
      </c>
      <c r="AA4448">
        <v>0.99999640000000001</v>
      </c>
      <c r="AB4448">
        <v>43</v>
      </c>
      <c r="AC4448">
        <v>-13.063800000000001</v>
      </c>
      <c r="AD4448">
        <v>-1.1092454445290001</v>
      </c>
      <c r="AE4448">
        <v>0.19950000000000001</v>
      </c>
      <c r="AF4448">
        <v>-3.0590381558820701E-2</v>
      </c>
      <c r="AG4448">
        <v>-1.1092454445290001</v>
      </c>
      <c r="AH4448">
        <v>12.9717862037157</v>
      </c>
      <c r="AI4448">
        <v>94.887582189059202</v>
      </c>
      <c r="AJ4448">
        <v>90.135116049590195</v>
      </c>
      <c r="AK4448">
        <v>13.0191627435316</v>
      </c>
      <c r="AL4448">
        <v>80.206419268635997</v>
      </c>
      <c r="AM4448">
        <v>90.552333638532204</v>
      </c>
      <c r="AN4448">
        <v>1.0000000259527899</v>
      </c>
    </row>
    <row r="4449" spans="1:40" x14ac:dyDescent="0.25">
      <c r="A4449" t="str">
        <f>"20190312173019604"</f>
        <v>20190312173019604</v>
      </c>
      <c r="B4449" t="str">
        <f>"1552383019592302"</f>
        <v>1552383019592302</v>
      </c>
      <c r="C4449" t="s">
        <v>40</v>
      </c>
      <c r="D4449">
        <v>3.5622929999999999</v>
      </c>
      <c r="E4449">
        <v>0.50469649999999999</v>
      </c>
      <c r="F4449" t="s">
        <v>41</v>
      </c>
      <c r="G4449">
        <v>-356.08330000000001</v>
      </c>
      <c r="H4449" s="1">
        <v>-2.2867839999999998E-6</v>
      </c>
      <c r="I4449">
        <v>141.9622</v>
      </c>
      <c r="J4449">
        <v>-343.06900000000002</v>
      </c>
      <c r="K4449">
        <v>1.109256</v>
      </c>
      <c r="L4449">
        <v>141.76300000000001</v>
      </c>
      <c r="M4449">
        <v>-0.99976520000000002</v>
      </c>
      <c r="N4449">
        <v>0</v>
      </c>
      <c r="O4449">
        <v>1.7808069999999999E-2</v>
      </c>
      <c r="P4449">
        <v>-0.98745850000000002</v>
      </c>
      <c r="Q4449">
        <v>0.15767220000000001</v>
      </c>
      <c r="R4449">
        <v>8.0838679999999993E-3</v>
      </c>
      <c r="S4449">
        <v>-3.0785520000000002</v>
      </c>
      <c r="T4449">
        <v>-0.254158</v>
      </c>
      <c r="U4449">
        <v>4.7409060000000003E-2</v>
      </c>
      <c r="V4449">
        <v>-9.4058270000000003E-3</v>
      </c>
      <c r="W4449">
        <v>0.16986270000000001</v>
      </c>
      <c r="X4449">
        <v>0.98542280000000004</v>
      </c>
      <c r="Y4449">
        <v>-2.3432560000000002E-3</v>
      </c>
      <c r="Z4449">
        <v>-1.564169E-3</v>
      </c>
      <c r="AA4449">
        <v>0.999996</v>
      </c>
      <c r="AB4449">
        <v>43</v>
      </c>
      <c r="AC4449">
        <v>-13.014299999999899</v>
      </c>
      <c r="AD4449">
        <v>-1.109258286784</v>
      </c>
      <c r="AE4449">
        <v>0.19919999999999</v>
      </c>
      <c r="AF4449">
        <v>-3.23736894021531E-2</v>
      </c>
      <c r="AG4449">
        <v>-1.109258286784</v>
      </c>
      <c r="AH4449">
        <v>12.9219302972749</v>
      </c>
      <c r="AI4449">
        <v>94.906402557627004</v>
      </c>
      <c r="AJ4449">
        <v>90.143544489603002</v>
      </c>
      <c r="AK4449">
        <v>12.969494385294899</v>
      </c>
      <c r="AL4449">
        <v>80.220163268726296</v>
      </c>
      <c r="AM4449">
        <v>90.546869652957298</v>
      </c>
      <c r="AN4449">
        <v>0.99999995059633995</v>
      </c>
    </row>
    <row r="4450" spans="1:40" x14ac:dyDescent="0.25">
      <c r="A4450" t="str">
        <f>"20190312173019627"</f>
        <v>20190312173019627</v>
      </c>
      <c r="B4450" t="str">
        <f>"1552383019622558"</f>
        <v>1552383019622558</v>
      </c>
      <c r="C4450" t="s">
        <v>40</v>
      </c>
      <c r="D4450">
        <v>3.5379230000000002</v>
      </c>
      <c r="E4450">
        <v>0.50455019999999995</v>
      </c>
      <c r="F4450" t="s">
        <v>42</v>
      </c>
      <c r="G4450">
        <v>-344.1628</v>
      </c>
      <c r="H4450">
        <v>1.0179800000000001</v>
      </c>
      <c r="I4450">
        <v>141.78020000000001</v>
      </c>
      <c r="J4450">
        <v>-343.5095</v>
      </c>
      <c r="K4450">
        <v>1.1092630000000001</v>
      </c>
      <c r="L4450">
        <v>141.77109999999999</v>
      </c>
      <c r="M4450">
        <v>-0.99976039999999999</v>
      </c>
      <c r="N4450">
        <v>0</v>
      </c>
      <c r="O4450">
        <v>1.7991989999999999E-2</v>
      </c>
      <c r="P4450">
        <v>-0.98740209999999995</v>
      </c>
      <c r="Q4450">
        <v>0.15799179999999999</v>
      </c>
      <c r="R4450">
        <v>8.7075360000000001E-3</v>
      </c>
      <c r="S4450">
        <v>-3.078735</v>
      </c>
      <c r="T4450">
        <v>-0.25695299999999999</v>
      </c>
      <c r="U4450">
        <v>4.7378539999999997E-2</v>
      </c>
      <c r="V4450">
        <v>-8.9629949999999996E-3</v>
      </c>
      <c r="W4450">
        <v>0.17028889999999999</v>
      </c>
      <c r="X4450">
        <v>0.98535340000000005</v>
      </c>
      <c r="Y4450">
        <v>-2.535266E-3</v>
      </c>
      <c r="Z4450">
        <v>-1.6045390000000001E-3</v>
      </c>
      <c r="AA4450">
        <v>0.99999550000000004</v>
      </c>
      <c r="AB4450">
        <v>43</v>
      </c>
      <c r="AC4450">
        <v>-0.65330000000000099</v>
      </c>
      <c r="AD4450">
        <v>-9.1283000000000003E-2</v>
      </c>
      <c r="AE4450">
        <v>9.1000000000178698E-3</v>
      </c>
      <c r="AF4450">
        <v>-2.6056919057846802E-3</v>
      </c>
      <c r="AG4450">
        <v>-9.1283000000000003E-2</v>
      </c>
      <c r="AH4450">
        <v>0.64084888009544605</v>
      </c>
      <c r="AI4450">
        <v>98.106654897955593</v>
      </c>
      <c r="AJ4450">
        <v>90.232963387819296</v>
      </c>
      <c r="AK4450">
        <v>0.64732268833935902</v>
      </c>
      <c r="AL4450">
        <v>80.195383107600705</v>
      </c>
      <c r="AM4450">
        <v>90.521160856904004</v>
      </c>
      <c r="AN4450">
        <v>0.999999983817069</v>
      </c>
    </row>
    <row r="4451" spans="1:40" x14ac:dyDescent="0.25">
      <c r="A4451" t="str">
        <f>"20190312173019650"</f>
        <v>20190312173019650</v>
      </c>
      <c r="B4451" t="str">
        <f>"1552383019642075"</f>
        <v>1552383019642075</v>
      </c>
      <c r="C4451" t="s">
        <v>40</v>
      </c>
      <c r="D4451">
        <v>3.5649449999999998</v>
      </c>
      <c r="E4451">
        <v>0.50445660000000003</v>
      </c>
      <c r="F4451" t="s">
        <v>42</v>
      </c>
      <c r="G4451">
        <v>-344.5523</v>
      </c>
      <c r="H4451">
        <v>1.022017</v>
      </c>
      <c r="I4451">
        <v>141.7877</v>
      </c>
      <c r="J4451">
        <v>-343.96159999999998</v>
      </c>
      <c r="K4451">
        <v>1.109272</v>
      </c>
      <c r="L4451">
        <v>141.77940000000001</v>
      </c>
      <c r="M4451">
        <v>-0.99975590000000003</v>
      </c>
      <c r="N4451">
        <v>0</v>
      </c>
      <c r="O4451">
        <v>1.8177180000000001E-2</v>
      </c>
      <c r="P4451">
        <v>-0.98740819999999996</v>
      </c>
      <c r="Q4451">
        <v>0.15791469999999999</v>
      </c>
      <c r="R4451">
        <v>9.3846729999999996E-3</v>
      </c>
      <c r="S4451">
        <v>-3.0790709999999999</v>
      </c>
      <c r="T4451">
        <v>-0.25767230000000002</v>
      </c>
      <c r="U4451">
        <v>4.7927860000000003E-2</v>
      </c>
      <c r="V4451">
        <v>-8.4691479999999993E-3</v>
      </c>
      <c r="W4451">
        <v>0.17030909999999999</v>
      </c>
      <c r="X4451">
        <v>0.98535430000000002</v>
      </c>
      <c r="Y4451">
        <v>-2.5427800000000001E-3</v>
      </c>
      <c r="Z4451">
        <v>-1.6246209999999999E-3</v>
      </c>
      <c r="AA4451">
        <v>0.99999550000000004</v>
      </c>
      <c r="AB4451">
        <v>43</v>
      </c>
      <c r="AC4451">
        <v>-0.59070000000002598</v>
      </c>
      <c r="AD4451">
        <v>-8.7254999999999999E-2</v>
      </c>
      <c r="AE4451">
        <v>8.2999999999913109E-3</v>
      </c>
      <c r="AF4451">
        <v>-2.3873969007323901E-3</v>
      </c>
      <c r="AG4451">
        <v>-8.7254999999999999E-2</v>
      </c>
      <c r="AH4451">
        <v>0.57814096042574503</v>
      </c>
      <c r="AI4451">
        <v>98.582429270113494</v>
      </c>
      <c r="AJ4451">
        <v>90.236597989577803</v>
      </c>
      <c r="AK4451">
        <v>0.58469317151046296</v>
      </c>
      <c r="AL4451">
        <v>80.194208798124706</v>
      </c>
      <c r="AM4451">
        <v>90.492446714737</v>
      </c>
      <c r="AN4451">
        <v>1.00000000626957</v>
      </c>
    </row>
    <row r="4452" spans="1:40" x14ac:dyDescent="0.25">
      <c r="A4452" t="str">
        <f>"20190312173019672"</f>
        <v>20190312173019672</v>
      </c>
      <c r="B4452" t="str">
        <f>"1552383019662574"</f>
        <v>1552383019662574</v>
      </c>
      <c r="C4452" t="s">
        <v>40</v>
      </c>
      <c r="D4452">
        <v>3.562093</v>
      </c>
      <c r="E4452">
        <v>0.50418629999999998</v>
      </c>
      <c r="F4452" t="s">
        <v>42</v>
      </c>
      <c r="G4452">
        <v>-344.94220000000001</v>
      </c>
      <c r="H4452">
        <v>1.0269549999999901</v>
      </c>
      <c r="I4452">
        <v>141.7955</v>
      </c>
      <c r="J4452">
        <v>-344.3877</v>
      </c>
      <c r="K4452">
        <v>1.1092850000000001</v>
      </c>
      <c r="L4452">
        <v>141.78739999999999</v>
      </c>
      <c r="M4452">
        <v>-0.99975170000000002</v>
      </c>
      <c r="N4452">
        <v>0</v>
      </c>
      <c r="O4452">
        <v>1.8351739999999998E-2</v>
      </c>
      <c r="P4452">
        <v>-0.98737229999999998</v>
      </c>
      <c r="Q4452">
        <v>0.15814129999999901</v>
      </c>
      <c r="R4452">
        <v>9.3398279999999997E-3</v>
      </c>
      <c r="S4452">
        <v>-3.079132</v>
      </c>
      <c r="T4452">
        <v>-0.25851849999999998</v>
      </c>
      <c r="U4452">
        <v>4.9392699999999998E-2</v>
      </c>
      <c r="V4452">
        <v>-8.6852849999999992E-3</v>
      </c>
      <c r="W4452">
        <v>0.1706136</v>
      </c>
      <c r="X4452">
        <v>0.98529979999999995</v>
      </c>
      <c r="Y4452">
        <v>-2.2420700000000001E-3</v>
      </c>
      <c r="Z4452">
        <v>-1.6319259999999999E-3</v>
      </c>
      <c r="AA4452">
        <v>0.99999610000000005</v>
      </c>
      <c r="AB4452">
        <v>43</v>
      </c>
      <c r="AC4452">
        <v>-0.55450000000001798</v>
      </c>
      <c r="AD4452">
        <v>-8.2330000000000195E-2</v>
      </c>
      <c r="AE4452">
        <v>8.1000000000130898E-3</v>
      </c>
      <c r="AF4452">
        <v>-2.0334000139114799E-3</v>
      </c>
      <c r="AG4452">
        <v>-8.2330000000000195E-2</v>
      </c>
      <c r="AH4452">
        <v>0.54259619948812898</v>
      </c>
      <c r="AI4452">
        <v>98.627815697971201</v>
      </c>
      <c r="AJ4452">
        <v>90.214717120340893</v>
      </c>
      <c r="AK4452">
        <v>0.54881053134445101</v>
      </c>
      <c r="AL4452">
        <v>80.176503684558199</v>
      </c>
      <c r="AM4452">
        <v>90.505041497055799</v>
      </c>
      <c r="AN4452">
        <v>1.0000000652802601</v>
      </c>
    </row>
    <row r="4453" spans="1:40" x14ac:dyDescent="0.25">
      <c r="A4453" t="str">
        <f>"20190312173019693"</f>
        <v>20190312173019693</v>
      </c>
      <c r="B4453" t="str">
        <f>"1552383019682095"</f>
        <v>1552383019682095</v>
      </c>
      <c r="C4453" t="s">
        <v>40</v>
      </c>
      <c r="D4453">
        <v>3.4878040000000001</v>
      </c>
      <c r="E4453">
        <v>0.49802099999999999</v>
      </c>
      <c r="F4453" t="s">
        <v>42</v>
      </c>
      <c r="G4453">
        <v>-345.33179999999999</v>
      </c>
      <c r="H4453">
        <v>1.0305139999999999</v>
      </c>
      <c r="I4453">
        <v>141.8021</v>
      </c>
      <c r="J4453">
        <v>-344.80540000000002</v>
      </c>
      <c r="K4453">
        <v>1.1092919999999999</v>
      </c>
      <c r="L4453">
        <v>141.7953</v>
      </c>
      <c r="M4453">
        <v>-0.99974779999999996</v>
      </c>
      <c r="N4453">
        <v>0</v>
      </c>
      <c r="O4453">
        <v>1.852552E-2</v>
      </c>
      <c r="P4453">
        <v>-0.98735609999999996</v>
      </c>
      <c r="Q4453">
        <v>0.15827260000000001</v>
      </c>
      <c r="R4453">
        <v>8.8110640000000004E-3</v>
      </c>
      <c r="S4453">
        <v>-3.0790709999999999</v>
      </c>
      <c r="T4453">
        <v>-0.25695099999999998</v>
      </c>
      <c r="U4453">
        <v>4.7515870000000002E-2</v>
      </c>
      <c r="V4453">
        <v>-9.3850070000000008E-3</v>
      </c>
      <c r="W4453">
        <v>0.17080619999999999</v>
      </c>
      <c r="X4453">
        <v>0.98526000000000002</v>
      </c>
      <c r="Y4453">
        <v>-3.0225299999999998E-3</v>
      </c>
      <c r="Z4453">
        <v>-1.6690889999999999E-3</v>
      </c>
      <c r="AA4453">
        <v>0.99999400000000005</v>
      </c>
      <c r="AB4453">
        <v>43</v>
      </c>
      <c r="AC4453">
        <v>-0.52639999999996601</v>
      </c>
      <c r="AD4453">
        <v>-7.8778000000000001E-2</v>
      </c>
      <c r="AE4453">
        <v>6.7999999999983603E-3</v>
      </c>
      <c r="AF4453">
        <v>-2.8890922281492098E-3</v>
      </c>
      <c r="AG4453">
        <v>-7.8778000000000001E-2</v>
      </c>
      <c r="AH4453">
        <v>0.51490552835734305</v>
      </c>
      <c r="AI4453">
        <v>98.698384520042495</v>
      </c>
      <c r="AJ4453">
        <v>90.321478494773999</v>
      </c>
      <c r="AK4453">
        <v>0.52090500407546203</v>
      </c>
      <c r="AL4453">
        <v>80.165303991195898</v>
      </c>
      <c r="AM4453">
        <v>90.545749375373603</v>
      </c>
      <c r="AN4453">
        <v>1.0000000519574099</v>
      </c>
    </row>
    <row r="4454" spans="1:40" x14ac:dyDescent="0.25">
      <c r="A4454" t="str">
        <f>"20190312173019716"</f>
        <v>20190312173019716</v>
      </c>
      <c r="B4454" t="str">
        <f>"1552383019712348"</f>
        <v>1552383019712348</v>
      </c>
      <c r="C4454" t="s">
        <v>40</v>
      </c>
      <c r="D4454">
        <v>3.4944470000000001</v>
      </c>
      <c r="E4454">
        <v>0.49752649999999998</v>
      </c>
      <c r="F4454" t="s">
        <v>41</v>
      </c>
      <c r="G4454">
        <v>-361.91559999999998</v>
      </c>
      <c r="H4454" s="1">
        <v>-4.0094309999999999E-6</v>
      </c>
      <c r="I4454">
        <v>141.7885</v>
      </c>
      <c r="J4454">
        <v>-345.23739999999998</v>
      </c>
      <c r="K4454">
        <v>1.1092850000000001</v>
      </c>
      <c r="L4454">
        <v>141.80350000000001</v>
      </c>
      <c r="M4454">
        <v>-0.99974379999999996</v>
      </c>
      <c r="N4454">
        <v>0</v>
      </c>
      <c r="O4454">
        <v>1.8709659999999999E-2</v>
      </c>
      <c r="P4454">
        <v>-0.98736310000000005</v>
      </c>
      <c r="Q4454">
        <v>0.158225</v>
      </c>
      <c r="R4454">
        <v>8.8939450000000003E-3</v>
      </c>
      <c r="S4454">
        <v>-3.0703429999999998</v>
      </c>
      <c r="T4454">
        <v>-0.19905780000000001</v>
      </c>
      <c r="U4454">
        <v>-1.205444E-3</v>
      </c>
      <c r="V4454">
        <v>-9.4836699999999996E-3</v>
      </c>
      <c r="W4454">
        <v>0.17080479999999901</v>
      </c>
      <c r="X4454">
        <v>0.9852592</v>
      </c>
      <c r="Y4454">
        <v>-1.90245E-2</v>
      </c>
      <c r="Z4454">
        <v>-1.8278229999999999E-3</v>
      </c>
      <c r="AA4454">
        <v>0.99981739999999997</v>
      </c>
      <c r="AB4454">
        <v>43</v>
      </c>
      <c r="AC4454">
        <v>-16.6782</v>
      </c>
      <c r="AD4454">
        <v>-1.109289009431</v>
      </c>
      <c r="AE4454">
        <v>-1.5000000000014699E-2</v>
      </c>
      <c r="AF4454">
        <v>-0.32562566114656499</v>
      </c>
      <c r="AG4454">
        <v>-1.109289009431</v>
      </c>
      <c r="AH4454">
        <v>16.601558322466602</v>
      </c>
      <c r="AI4454">
        <v>93.821995111501707</v>
      </c>
      <c r="AJ4454">
        <v>91.123664642368297</v>
      </c>
      <c r="AK4454">
        <v>16.641763515682499</v>
      </c>
      <c r="AL4454">
        <v>80.165384443005095</v>
      </c>
      <c r="AM4454">
        <v>90.551486842010704</v>
      </c>
      <c r="AN4454">
        <v>0.99999995544217302</v>
      </c>
    </row>
    <row r="4455" spans="1:40" x14ac:dyDescent="0.25">
      <c r="A4455" t="str">
        <f>"20190312173019738"</f>
        <v>20190312173019738</v>
      </c>
      <c r="B4455" t="str">
        <f>"1552383019731867"</f>
        <v>1552383019731867</v>
      </c>
      <c r="C4455" t="s">
        <v>40</v>
      </c>
      <c r="D4455">
        <v>3.5550009999999999</v>
      </c>
      <c r="E4455">
        <v>0.49753639999999999</v>
      </c>
      <c r="F4455" t="s">
        <v>41</v>
      </c>
      <c r="G4455">
        <v>-363.28989999999999</v>
      </c>
      <c r="H4455" s="1">
        <v>-3.435624E-6</v>
      </c>
      <c r="I4455">
        <v>141.77629999999999</v>
      </c>
      <c r="J4455">
        <v>-345.68180000000001</v>
      </c>
      <c r="K4455">
        <v>1.109289</v>
      </c>
      <c r="L4455">
        <v>141.81200000000001</v>
      </c>
      <c r="M4455">
        <v>-0.99973959999999995</v>
      </c>
      <c r="N4455">
        <v>0</v>
      </c>
      <c r="O4455">
        <v>1.8905660000000001E-2</v>
      </c>
      <c r="P4455">
        <v>-0.98740830000000002</v>
      </c>
      <c r="Q4455">
        <v>0.15795490000000001</v>
      </c>
      <c r="R4455">
        <v>8.6741819999999904E-3</v>
      </c>
      <c r="S4455">
        <v>-3.0686650000000002</v>
      </c>
      <c r="T4455">
        <v>-0.1885628</v>
      </c>
      <c r="U4455">
        <v>-4.6081539999999997E-3</v>
      </c>
      <c r="V4455">
        <v>-9.8979789999999995E-3</v>
      </c>
      <c r="W4455">
        <v>0.1705689</v>
      </c>
      <c r="X4455">
        <v>0.98529599999999995</v>
      </c>
      <c r="Y4455">
        <v>-2.0334580000000001E-2</v>
      </c>
      <c r="Z4455">
        <v>-1.7848320000000001E-3</v>
      </c>
      <c r="AA4455">
        <v>0.9997916</v>
      </c>
      <c r="AB4455">
        <v>43</v>
      </c>
      <c r="AC4455">
        <v>-17.608099999999901</v>
      </c>
      <c r="AD4455">
        <v>-1.1092924356239999</v>
      </c>
      <c r="AE4455">
        <v>-3.5700000000019799E-2</v>
      </c>
      <c r="AF4455">
        <v>-0.36715636491756498</v>
      </c>
      <c r="AG4455">
        <v>-1.1092924356239999</v>
      </c>
      <c r="AH4455">
        <v>17.534684802523099</v>
      </c>
      <c r="AI4455">
        <v>93.619073614979598</v>
      </c>
      <c r="AJ4455">
        <v>91.199533198846495</v>
      </c>
      <c r="AK4455">
        <v>17.5735740425181</v>
      </c>
      <c r="AL4455">
        <v>80.179101897183102</v>
      </c>
      <c r="AM4455">
        <v>90.575556326907304</v>
      </c>
      <c r="AN4455">
        <v>0.99999996362574595</v>
      </c>
    </row>
    <row r="4456" spans="1:40" x14ac:dyDescent="0.25">
      <c r="A4456" t="str">
        <f>"20190312173019761"</f>
        <v>20190312173019761</v>
      </c>
      <c r="B4456" t="str">
        <f>"1552383019752363"</f>
        <v>1552383019752363</v>
      </c>
      <c r="C4456" t="s">
        <v>40</v>
      </c>
      <c r="D4456">
        <v>3.5552600000000001</v>
      </c>
      <c r="E4456">
        <v>0.49733559999999999</v>
      </c>
      <c r="F4456" t="s">
        <v>41</v>
      </c>
      <c r="G4456">
        <v>-363.63720000000001</v>
      </c>
      <c r="H4456" s="1">
        <v>-3.2885310000000002E-6</v>
      </c>
      <c r="I4456">
        <v>141.7833</v>
      </c>
      <c r="J4456">
        <v>-346.10860000000002</v>
      </c>
      <c r="K4456">
        <v>1.1092900000000001</v>
      </c>
      <c r="L4456">
        <v>141.8203</v>
      </c>
      <c r="M4456">
        <v>-0.9997357</v>
      </c>
      <c r="N4456">
        <v>0</v>
      </c>
      <c r="O4456">
        <v>1.9101E-2</v>
      </c>
      <c r="P4456">
        <v>-0.98742779999999997</v>
      </c>
      <c r="Q4456">
        <v>0.1578666</v>
      </c>
      <c r="R4456">
        <v>8.0367990000000007E-3</v>
      </c>
      <c r="S4456">
        <v>-3.0686339999999999</v>
      </c>
      <c r="T4456">
        <v>-0.18958220000000001</v>
      </c>
      <c r="U4456">
        <v>-4.8828129999999997E-3</v>
      </c>
      <c r="V4456">
        <v>-1.0729219999999999E-2</v>
      </c>
      <c r="W4456">
        <v>0.17050179999999901</v>
      </c>
      <c r="X4456">
        <v>0.98529889999999998</v>
      </c>
      <c r="Y4456">
        <v>-2.0617719999999999E-2</v>
      </c>
      <c r="Z4456">
        <v>-1.815276E-3</v>
      </c>
      <c r="AA4456">
        <v>0.99978579999999995</v>
      </c>
      <c r="AB4456">
        <v>43</v>
      </c>
      <c r="AC4456">
        <v>-17.528599999999901</v>
      </c>
      <c r="AD4456">
        <v>-1.1092932885309901</v>
      </c>
      <c r="AE4456">
        <v>-3.7000000000006097E-2</v>
      </c>
      <c r="AF4456">
        <v>-0.37035120644573</v>
      </c>
      <c r="AG4456">
        <v>-1.1092932885309901</v>
      </c>
      <c r="AH4456">
        <v>17.454789308852099</v>
      </c>
      <c r="AI4456">
        <v>93.635576290704904</v>
      </c>
      <c r="AJ4456">
        <v>91.215504653493198</v>
      </c>
      <c r="AK4456">
        <v>17.493923557410199</v>
      </c>
      <c r="AL4456">
        <v>80.183003474311803</v>
      </c>
      <c r="AM4456">
        <v>90.623886545732205</v>
      </c>
      <c r="AN4456">
        <v>0.99999995115312801</v>
      </c>
    </row>
    <row r="4457" spans="1:40" x14ac:dyDescent="0.25">
      <c r="A4457" t="str">
        <f>"20190312173019782"</f>
        <v>20190312173019782</v>
      </c>
      <c r="B4457" t="str">
        <f>"1552383019771886"</f>
        <v>1552383019771886</v>
      </c>
      <c r="C4457" t="s">
        <v>40</v>
      </c>
      <c r="D4457">
        <v>3.547412</v>
      </c>
      <c r="E4457">
        <v>0.49712440000000002</v>
      </c>
      <c r="F4457" t="s">
        <v>41</v>
      </c>
      <c r="G4457">
        <v>-364.4221</v>
      </c>
      <c r="H4457" s="1">
        <v>-2.9488340000000001E-6</v>
      </c>
      <c r="I4457">
        <v>141.7722</v>
      </c>
      <c r="J4457">
        <v>-346.53730000000002</v>
      </c>
      <c r="K4457">
        <v>1.1092879999999901</v>
      </c>
      <c r="L4457">
        <v>141.8287</v>
      </c>
      <c r="M4457">
        <v>-0.9997317</v>
      </c>
      <c r="N4457">
        <v>0</v>
      </c>
      <c r="O4457">
        <v>1.930194E-2</v>
      </c>
      <c r="P4457">
        <v>-0.98739809999999995</v>
      </c>
      <c r="Q4457">
        <v>0.15805620000000001</v>
      </c>
      <c r="R4457">
        <v>7.9796620000000002E-3</v>
      </c>
      <c r="S4457">
        <v>-3.067993</v>
      </c>
      <c r="T4457">
        <v>-0.18583559999999999</v>
      </c>
      <c r="U4457">
        <v>-8.0413819999999997E-3</v>
      </c>
      <c r="V4457">
        <v>-1.098442E-2</v>
      </c>
      <c r="W4457">
        <v>0.17070379999999999</v>
      </c>
      <c r="X4457">
        <v>0.9852611</v>
      </c>
      <c r="Y4457">
        <v>-2.1848599999999999E-2</v>
      </c>
      <c r="Z4457">
        <v>-1.8292440000000001E-3</v>
      </c>
      <c r="AA4457">
        <v>0.99975959999999997</v>
      </c>
      <c r="AB4457">
        <v>43</v>
      </c>
      <c r="AC4457">
        <v>-17.884799999999899</v>
      </c>
      <c r="AD4457">
        <v>-1.1092909488339999</v>
      </c>
      <c r="AE4457">
        <v>-5.6499999999999703E-2</v>
      </c>
      <c r="AF4457">
        <v>-0.40018959723258202</v>
      </c>
      <c r="AG4457">
        <v>-1.1092909488339999</v>
      </c>
      <c r="AH4457">
        <v>17.811855255588299</v>
      </c>
      <c r="AI4457">
        <v>93.5627807721106</v>
      </c>
      <c r="AJ4457">
        <v>91.287081980159897</v>
      </c>
      <c r="AK4457">
        <v>17.850850561497801</v>
      </c>
      <c r="AL4457">
        <v>80.171257418558397</v>
      </c>
      <c r="AM4457">
        <v>90.6387492949803</v>
      </c>
      <c r="AN4457">
        <v>0.99999993999519099</v>
      </c>
    </row>
    <row r="4458" spans="1:40" x14ac:dyDescent="0.25">
      <c r="A4458" t="str">
        <f>"20190312173019806"</f>
        <v>20190312173019806</v>
      </c>
      <c r="B4458" t="str">
        <f>"1552383019802139"</f>
        <v>1552383019802139</v>
      </c>
      <c r="C4458" t="s">
        <v>40</v>
      </c>
      <c r="D4458">
        <v>3.5789279999999999</v>
      </c>
      <c r="E4458">
        <v>0.49683939999999999</v>
      </c>
      <c r="F4458" t="s">
        <v>41</v>
      </c>
      <c r="G4458">
        <v>-365.21190000000001</v>
      </c>
      <c r="H4458" s="1">
        <v>-2.610322E-6</v>
      </c>
      <c r="I4458">
        <v>141.7732</v>
      </c>
      <c r="J4458">
        <v>-346.97089999999997</v>
      </c>
      <c r="K4458">
        <v>1.109291</v>
      </c>
      <c r="L4458">
        <v>141.8372</v>
      </c>
      <c r="M4458">
        <v>-0.99972740000000004</v>
      </c>
      <c r="N4458">
        <v>0</v>
      </c>
      <c r="O4458">
        <v>1.9507340000000001E-2</v>
      </c>
      <c r="P4458">
        <v>-0.98731329999999995</v>
      </c>
      <c r="Q4458">
        <v>0.1585694</v>
      </c>
      <c r="R4458">
        <v>8.253926E-3</v>
      </c>
      <c r="S4458">
        <v>-3.0675349999999999</v>
      </c>
      <c r="T4458">
        <v>-0.1822155</v>
      </c>
      <c r="U4458">
        <v>-9.0942379999999993E-3</v>
      </c>
      <c r="V4458">
        <v>-1.091107E-2</v>
      </c>
      <c r="W4458">
        <v>0.17122390000000001</v>
      </c>
      <c r="X4458">
        <v>0.98517169999999998</v>
      </c>
      <c r="Y4458">
        <v>-2.239909E-2</v>
      </c>
      <c r="Z4458">
        <v>-1.822466E-3</v>
      </c>
      <c r="AA4458">
        <v>0.99974750000000001</v>
      </c>
      <c r="AB4458">
        <v>43</v>
      </c>
      <c r="AC4458">
        <v>-18.241</v>
      </c>
      <c r="AD4458">
        <v>-1.1092936103219999</v>
      </c>
      <c r="AE4458">
        <v>-6.3999999999992896E-2</v>
      </c>
      <c r="AF4458">
        <v>-0.41830352534521198</v>
      </c>
      <c r="AG4458">
        <v>-1.1092936103219999</v>
      </c>
      <c r="AH4458">
        <v>18.1690869277456</v>
      </c>
      <c r="AI4458">
        <v>93.492870666861506</v>
      </c>
      <c r="AJ4458">
        <v>91.318877135930805</v>
      </c>
      <c r="AK4458">
        <v>18.207724458075301</v>
      </c>
      <c r="AL4458">
        <v>80.141012963808706</v>
      </c>
      <c r="AM4458">
        <v>90.634541879098094</v>
      </c>
      <c r="AN4458">
        <v>0.99999997693032205</v>
      </c>
    </row>
    <row r="4459" spans="1:40" x14ac:dyDescent="0.25">
      <c r="A4459" t="str">
        <f>"20190312173019828"</f>
        <v>20190312173019828</v>
      </c>
      <c r="B4459" t="str">
        <f>"1552383019822639"</f>
        <v>1552383019822639</v>
      </c>
      <c r="C4459" t="s">
        <v>40</v>
      </c>
      <c r="D4459">
        <v>3.5690729999999999</v>
      </c>
      <c r="E4459">
        <v>0.49672169999999999</v>
      </c>
      <c r="F4459" t="s">
        <v>41</v>
      </c>
      <c r="G4459">
        <v>-366.11529999999999</v>
      </c>
      <c r="H4459" s="1">
        <v>-2.2230359999999999E-6</v>
      </c>
      <c r="I4459">
        <v>141.77420000000001</v>
      </c>
      <c r="J4459">
        <v>-347.40429999999998</v>
      </c>
      <c r="K4459">
        <v>1.1092879999999901</v>
      </c>
      <c r="L4459">
        <v>141.8459</v>
      </c>
      <c r="M4459">
        <v>-0.99972349999999999</v>
      </c>
      <c r="N4459">
        <v>0</v>
      </c>
      <c r="O4459">
        <v>1.9710330000000002E-2</v>
      </c>
      <c r="P4459">
        <v>-0.98738029999999999</v>
      </c>
      <c r="Q4459">
        <v>0.15814039999999999</v>
      </c>
      <c r="R4459">
        <v>8.4798330000000009E-3</v>
      </c>
      <c r="S4459">
        <v>-3.0671689999999998</v>
      </c>
      <c r="T4459">
        <v>-0.1777234</v>
      </c>
      <c r="U4459">
        <v>-1.0086060000000001E-2</v>
      </c>
      <c r="V4459">
        <v>-1.0886979999999999E-2</v>
      </c>
      <c r="W4459">
        <v>0.17080149999999999</v>
      </c>
      <c r="X4459">
        <v>0.98524529999999999</v>
      </c>
      <c r="Y4459">
        <v>-2.292806E-2</v>
      </c>
      <c r="Z4459">
        <v>-1.80489E-3</v>
      </c>
      <c r="AA4459">
        <v>0.9997355</v>
      </c>
      <c r="AB4459">
        <v>43</v>
      </c>
      <c r="AC4459">
        <v>-18.710999999999999</v>
      </c>
      <c r="AD4459">
        <v>-1.10929022303599</v>
      </c>
      <c r="AE4459">
        <v>-7.16999999999927E-2</v>
      </c>
      <c r="AF4459">
        <v>-0.43897351097765702</v>
      </c>
      <c r="AG4459">
        <v>-1.10929022303599</v>
      </c>
      <c r="AH4459">
        <v>18.640435317862799</v>
      </c>
      <c r="AI4459">
        <v>93.404707201647497</v>
      </c>
      <c r="AJ4459">
        <v>91.349039394010802</v>
      </c>
      <c r="AK4459">
        <v>18.6785719845413</v>
      </c>
      <c r="AL4459">
        <v>80.165576681740205</v>
      </c>
      <c r="AM4459">
        <v>90.633093727143702</v>
      </c>
      <c r="AN4459">
        <v>0.99999998995393002</v>
      </c>
    </row>
    <row r="4460" spans="1:40" x14ac:dyDescent="0.25">
      <c r="A4460" t="str">
        <f>"20190312173019850"</f>
        <v>20190312173019850</v>
      </c>
      <c r="B4460" t="str">
        <f>"1552383019842155"</f>
        <v>1552383019842155</v>
      </c>
      <c r="C4460" t="s">
        <v>40</v>
      </c>
      <c r="D4460">
        <v>3.568794</v>
      </c>
      <c r="E4460">
        <v>0.49668250000000003</v>
      </c>
      <c r="F4460" t="s">
        <v>41</v>
      </c>
      <c r="G4460">
        <v>-366.43169999999998</v>
      </c>
      <c r="H4460" s="1">
        <v>-2.089675E-6</v>
      </c>
      <c r="I4460">
        <v>141.78319999999999</v>
      </c>
      <c r="J4460">
        <v>-347.85149999999999</v>
      </c>
      <c r="K4460">
        <v>1.1092930000000001</v>
      </c>
      <c r="L4460">
        <v>141.85489999999999</v>
      </c>
      <c r="M4460">
        <v>-0.99971929999999998</v>
      </c>
      <c r="N4460">
        <v>0</v>
      </c>
      <c r="O4460">
        <v>1.991712E-2</v>
      </c>
      <c r="P4460">
        <v>-0.9875178</v>
      </c>
      <c r="Q4460">
        <v>0.15727449999999901</v>
      </c>
      <c r="R4460">
        <v>8.574244E-3</v>
      </c>
      <c r="S4460">
        <v>-3.0671080000000002</v>
      </c>
      <c r="T4460">
        <v>-0.17881129999999901</v>
      </c>
      <c r="U4460">
        <v>-1.0086060000000001E-2</v>
      </c>
      <c r="V4460">
        <v>-1.0998580000000001E-2</v>
      </c>
      <c r="W4460">
        <v>0.1699407</v>
      </c>
      <c r="X4460">
        <v>0.98539290000000002</v>
      </c>
      <c r="Y4460">
        <v>-2.3133339999999999E-2</v>
      </c>
      <c r="Z4460">
        <v>-1.8339789999999999E-3</v>
      </c>
      <c r="AA4460">
        <v>0.99973069999999997</v>
      </c>
      <c r="AB4460">
        <v>43</v>
      </c>
      <c r="AC4460">
        <v>-18.580199999999898</v>
      </c>
      <c r="AD4460">
        <v>-1.109295089675</v>
      </c>
      <c r="AE4460">
        <v>-7.16999999999927E-2</v>
      </c>
      <c r="AF4460">
        <v>-0.44021122265093598</v>
      </c>
      <c r="AG4460">
        <v>-1.109295089675</v>
      </c>
      <c r="AH4460">
        <v>18.509111592345999</v>
      </c>
      <c r="AI4460">
        <v>93.428802535960003</v>
      </c>
      <c r="AJ4460">
        <v>91.362436600455695</v>
      </c>
      <c r="AK4460">
        <v>18.547547909479601</v>
      </c>
      <c r="AL4460">
        <v>80.215628641037597</v>
      </c>
      <c r="AM4460">
        <v>90.639487099284693</v>
      </c>
      <c r="AN4460">
        <v>0.99999998882445795</v>
      </c>
    </row>
    <row r="4461" spans="1:40" x14ac:dyDescent="0.25">
      <c r="A4461" t="str">
        <f>"20190312173019872"</f>
        <v>20190312173019872</v>
      </c>
      <c r="B4461" t="str">
        <f>"1552383019862651"</f>
        <v>1552383019862651</v>
      </c>
      <c r="C4461" t="s">
        <v>40</v>
      </c>
      <c r="D4461">
        <v>3.5759080000000001</v>
      </c>
      <c r="E4461">
        <v>0.49664900000000001</v>
      </c>
      <c r="F4461" t="s">
        <v>41</v>
      </c>
      <c r="G4461">
        <v>-366.6626</v>
      </c>
      <c r="H4461" s="1">
        <v>-1.9940509999999998E-6</v>
      </c>
      <c r="I4461">
        <v>141.7961</v>
      </c>
      <c r="J4461">
        <v>-348.2713</v>
      </c>
      <c r="K4461">
        <v>1.1092869999999999</v>
      </c>
      <c r="L4461">
        <v>141.86349999999999</v>
      </c>
      <c r="M4461">
        <v>-0.99971549999999998</v>
      </c>
      <c r="N4461">
        <v>0</v>
      </c>
      <c r="O4461">
        <v>2.0109249999999999E-2</v>
      </c>
      <c r="P4461">
        <v>-0.98756060000000001</v>
      </c>
      <c r="Q4461">
        <v>0.157023</v>
      </c>
      <c r="R4461">
        <v>8.2655599999999999E-3</v>
      </c>
      <c r="S4461">
        <v>-3.0668030000000002</v>
      </c>
      <c r="T4461">
        <v>-0.18085000000000001</v>
      </c>
      <c r="U4461">
        <v>-9.5672610000000005E-3</v>
      </c>
      <c r="V4461">
        <v>-1.14962E-2</v>
      </c>
      <c r="W4461">
        <v>0.1696917</v>
      </c>
      <c r="X4461">
        <v>0.98543009999999998</v>
      </c>
      <c r="Y4461">
        <v>-2.3154629999999999E-2</v>
      </c>
      <c r="Z4461">
        <v>-1.8669839999999999E-3</v>
      </c>
      <c r="AA4461">
        <v>0.99973020000000001</v>
      </c>
      <c r="AB4461">
        <v>43</v>
      </c>
      <c r="AC4461">
        <v>-18.391300000000001</v>
      </c>
      <c r="AD4461">
        <v>-1.109288994051</v>
      </c>
      <c r="AE4461">
        <v>-6.7399999999992105E-2</v>
      </c>
      <c r="AF4461">
        <v>-0.43566710538549103</v>
      </c>
      <c r="AG4461">
        <v>-1.109288994051</v>
      </c>
      <c r="AH4461">
        <v>18.3195789642024</v>
      </c>
      <c r="AI4461">
        <v>93.464171826866405</v>
      </c>
      <c r="AJ4461">
        <v>91.362322913792696</v>
      </c>
      <c r="AK4461">
        <v>18.358303334586399</v>
      </c>
      <c r="AL4461">
        <v>80.230105260682393</v>
      </c>
      <c r="AM4461">
        <v>90.668392269194698</v>
      </c>
      <c r="AN4461">
        <v>0.99999995882466897</v>
      </c>
    </row>
    <row r="4462" spans="1:40" x14ac:dyDescent="0.25">
      <c r="A4462" t="str">
        <f>"20190312173019894"</f>
        <v>20190312173019894</v>
      </c>
      <c r="B4462" t="str">
        <f>"1552383019882175"</f>
        <v>1552383019882175</v>
      </c>
      <c r="C4462" t="s">
        <v>40</v>
      </c>
      <c r="D4462">
        <v>3.5919189999999999</v>
      </c>
      <c r="E4462">
        <v>0.49668590000000001</v>
      </c>
      <c r="F4462" t="s">
        <v>41</v>
      </c>
      <c r="G4462">
        <v>-367.05250000000001</v>
      </c>
      <c r="H4462" s="1">
        <v>-1.8283290000000001E-6</v>
      </c>
      <c r="I4462">
        <v>141.80179999999999</v>
      </c>
      <c r="J4462">
        <v>-348.69389999999999</v>
      </c>
      <c r="K4462">
        <v>1.109283</v>
      </c>
      <c r="L4462">
        <v>141.87219999999999</v>
      </c>
      <c r="M4462">
        <v>-0.99971149999999998</v>
      </c>
      <c r="N4462">
        <v>0</v>
      </c>
      <c r="O4462">
        <v>2.030233E-2</v>
      </c>
      <c r="P4462">
        <v>-0.98768959999999995</v>
      </c>
      <c r="Q4462">
        <v>0.15621409999999999</v>
      </c>
      <c r="R4462">
        <v>8.1434290000000006E-3</v>
      </c>
      <c r="S4462">
        <v>-3.0666500000000001</v>
      </c>
      <c r="T4462">
        <v>-0.18112909999999999</v>
      </c>
      <c r="U4462">
        <v>-1.005554E-2</v>
      </c>
      <c r="V4462">
        <v>-1.1811749999999999E-2</v>
      </c>
      <c r="W4462">
        <v>0.16888619999999999</v>
      </c>
      <c r="X4462">
        <v>0.98556480000000002</v>
      </c>
      <c r="Y4462">
        <v>-2.350586E-2</v>
      </c>
      <c r="Z4462">
        <v>-1.89171E-3</v>
      </c>
      <c r="AA4462">
        <v>0.99972190000000005</v>
      </c>
      <c r="AB4462">
        <v>43</v>
      </c>
      <c r="AC4462">
        <v>-18.358599999999999</v>
      </c>
      <c r="AD4462">
        <v>-1.109284828329</v>
      </c>
      <c r="AE4462">
        <v>-7.0400000000006402E-2</v>
      </c>
      <c r="AF4462">
        <v>-0.44152657424568797</v>
      </c>
      <c r="AG4462">
        <v>-1.109284828329</v>
      </c>
      <c r="AH4462">
        <v>18.286623277541999</v>
      </c>
      <c r="AI4462">
        <v>93.470356504323902</v>
      </c>
      <c r="AJ4462">
        <v>91.383125504429003</v>
      </c>
      <c r="AK4462">
        <v>18.325557275042598</v>
      </c>
      <c r="AL4462">
        <v>80.276933508415794</v>
      </c>
      <c r="AM4462">
        <v>90.686642851197306</v>
      </c>
      <c r="AN4462">
        <v>1.00000002049377</v>
      </c>
    </row>
    <row r="4463" spans="1:40" x14ac:dyDescent="0.25">
      <c r="A4463" t="str">
        <f>"20190312173019918"</f>
        <v>20190312173019918</v>
      </c>
      <c r="B4463" t="str">
        <f>"1552383019912427"</f>
        <v>1552383019912427</v>
      </c>
      <c r="C4463" t="s">
        <v>40</v>
      </c>
      <c r="D4463">
        <v>3.5738569999999998</v>
      </c>
      <c r="E4463">
        <v>0.4967493</v>
      </c>
      <c r="F4463" t="s">
        <v>41</v>
      </c>
      <c r="G4463">
        <v>-367.26310000000001</v>
      </c>
      <c r="H4463" s="1">
        <v>-1.74025E-6</v>
      </c>
      <c r="I4463">
        <v>141.81049999999999</v>
      </c>
      <c r="J4463">
        <v>-349.14670000000001</v>
      </c>
      <c r="K4463">
        <v>1.1092789999999999</v>
      </c>
      <c r="L4463">
        <v>141.88149999999999</v>
      </c>
      <c r="M4463">
        <v>-0.99970740000000002</v>
      </c>
      <c r="N4463">
        <v>0</v>
      </c>
      <c r="O4463">
        <v>2.050942E-2</v>
      </c>
      <c r="P4463">
        <v>-0.9878323</v>
      </c>
      <c r="Q4463">
        <v>0.15534010000000001</v>
      </c>
      <c r="R4463">
        <v>7.5341399999999999E-3</v>
      </c>
      <c r="S4463">
        <v>-3.0664060000000002</v>
      </c>
      <c r="T4463">
        <v>-0.18318139999999999</v>
      </c>
      <c r="U4463">
        <v>-1.017761E-2</v>
      </c>
      <c r="V4463">
        <v>-1.2628550000000001E-2</v>
      </c>
      <c r="W4463">
        <v>0.16801379999999999</v>
      </c>
      <c r="X4463">
        <v>0.98570380000000002</v>
      </c>
      <c r="Y4463">
        <v>-2.3750440000000001E-2</v>
      </c>
      <c r="Z4463">
        <v>-1.9329169999999999E-3</v>
      </c>
      <c r="AA4463">
        <v>0.99971600000000005</v>
      </c>
      <c r="AB4463">
        <v>43</v>
      </c>
      <c r="AC4463">
        <v>-18.116399999999999</v>
      </c>
      <c r="AD4463">
        <v>-1.10928074025</v>
      </c>
      <c r="AE4463">
        <v>-7.0999999999997898E-2</v>
      </c>
      <c r="AF4463">
        <v>-0.440919408428257</v>
      </c>
      <c r="AG4463">
        <v>-1.10928074025</v>
      </c>
      <c r="AH4463">
        <v>18.0434847984219</v>
      </c>
      <c r="AI4463">
        <v>93.516965670005703</v>
      </c>
      <c r="AJ4463">
        <v>91.399829068190002</v>
      </c>
      <c r="AK4463">
        <v>18.082927234170299</v>
      </c>
      <c r="AL4463">
        <v>80.327643256647704</v>
      </c>
      <c r="AM4463">
        <v>90.734016681049894</v>
      </c>
      <c r="AN4463">
        <v>1.0000000492999901</v>
      </c>
    </row>
    <row r="4464" spans="1:40" x14ac:dyDescent="0.25">
      <c r="A4464" t="str">
        <f>"20190312173019939"</f>
        <v>20190312173019939</v>
      </c>
      <c r="B4464" t="str">
        <f>"1552383019931950"</f>
        <v>1552383019931950</v>
      </c>
      <c r="C4464" t="s">
        <v>40</v>
      </c>
      <c r="D4464">
        <v>3.577134</v>
      </c>
      <c r="E4464">
        <v>0.49681389999999997</v>
      </c>
      <c r="F4464" t="s">
        <v>41</v>
      </c>
      <c r="G4464">
        <v>-367.4821</v>
      </c>
      <c r="H4464" s="1">
        <v>-1.647174E-6</v>
      </c>
      <c r="I4464">
        <v>141.81379999999999</v>
      </c>
      <c r="J4464">
        <v>-349.5634</v>
      </c>
      <c r="K4464">
        <v>1.1092709999999999</v>
      </c>
      <c r="L4464">
        <v>141.8903</v>
      </c>
      <c r="M4464">
        <v>-0.99970340000000002</v>
      </c>
      <c r="N4464">
        <v>0</v>
      </c>
      <c r="O4464">
        <v>2.0701649999999999E-2</v>
      </c>
      <c r="P4464">
        <v>-0.98788450000000005</v>
      </c>
      <c r="Q4464">
        <v>0.15500039999999901</v>
      </c>
      <c r="R4464">
        <v>7.7164199999999999E-3</v>
      </c>
      <c r="S4464">
        <v>-3.0661930000000002</v>
      </c>
      <c r="T4464">
        <v>-0.1855028</v>
      </c>
      <c r="U4464">
        <v>-1.132202E-2</v>
      </c>
      <c r="V4464">
        <v>-1.2636339999999999E-2</v>
      </c>
      <c r="W4464">
        <v>0.16767489999999999</v>
      </c>
      <c r="X4464">
        <v>0.98576129999999995</v>
      </c>
      <c r="Y4464">
        <v>-2.431262E-2</v>
      </c>
      <c r="Z4464">
        <v>-1.9861119999999999E-3</v>
      </c>
      <c r="AA4464">
        <v>0.99970250000000005</v>
      </c>
      <c r="AB4464">
        <v>43</v>
      </c>
      <c r="AC4464">
        <v>-17.918700000000001</v>
      </c>
      <c r="AD4464">
        <v>-1.109272647174</v>
      </c>
      <c r="AE4464">
        <v>-7.6500000000009893E-2</v>
      </c>
      <c r="AF4464">
        <v>-0.445752540636079</v>
      </c>
      <c r="AG4464">
        <v>-1.109272647174</v>
      </c>
      <c r="AH4464">
        <v>17.8448891761496</v>
      </c>
      <c r="AI4464">
        <v>93.555932652720301</v>
      </c>
      <c r="AJ4464">
        <v>91.430909940493905</v>
      </c>
      <c r="AK4464">
        <v>17.884888896560501</v>
      </c>
      <c r="AL4464">
        <v>80.347339208736102</v>
      </c>
      <c r="AM4464">
        <v>90.734426576929195</v>
      </c>
      <c r="AN4464">
        <v>0.99999994487814603</v>
      </c>
    </row>
    <row r="4465" spans="1:40" x14ac:dyDescent="0.25">
      <c r="A4465" t="str">
        <f>"20190312173019962"</f>
        <v>20190312173019962</v>
      </c>
      <c r="B4465" t="str">
        <f>"1552383019952444"</f>
        <v>1552383019952444</v>
      </c>
      <c r="C4465" t="s">
        <v>40</v>
      </c>
      <c r="D4465">
        <v>3.5471689999999998</v>
      </c>
      <c r="E4465">
        <v>0.49691960000000002</v>
      </c>
      <c r="F4465" t="s">
        <v>41</v>
      </c>
      <c r="G4465">
        <v>-367.79360000000003</v>
      </c>
      <c r="H4465" s="1">
        <v>-1.5176389999999999E-6</v>
      </c>
      <c r="I4465">
        <v>141.82910000000001</v>
      </c>
      <c r="J4465">
        <v>-350.00670000000002</v>
      </c>
      <c r="K4465">
        <v>1.10927</v>
      </c>
      <c r="L4465">
        <v>141.8997</v>
      </c>
      <c r="M4465">
        <v>-0.999699</v>
      </c>
      <c r="N4465">
        <v>0</v>
      </c>
      <c r="O4465">
        <v>2.0907160000000001E-2</v>
      </c>
      <c r="P4465">
        <v>-0.98793549999999997</v>
      </c>
      <c r="Q4465">
        <v>0.1546997</v>
      </c>
      <c r="R4465">
        <v>7.1717760000000004E-3</v>
      </c>
      <c r="S4465">
        <v>-3.0661010000000002</v>
      </c>
      <c r="T4465">
        <v>-0.18656739999999999</v>
      </c>
      <c r="U4465">
        <v>-1.0284420000000001E-2</v>
      </c>
      <c r="V4465">
        <v>-1.3385350000000001E-2</v>
      </c>
      <c r="W4465">
        <v>0.16737449999999901</v>
      </c>
      <c r="X4465">
        <v>0.98580250000000003</v>
      </c>
      <c r="Y4465">
        <v>-2.417886E-2</v>
      </c>
      <c r="Z4465">
        <v>-2.005976E-3</v>
      </c>
      <c r="AA4465">
        <v>0.99970559999999997</v>
      </c>
      <c r="AB4465">
        <v>43</v>
      </c>
      <c r="AC4465">
        <v>-17.786899999999999</v>
      </c>
      <c r="AD4465">
        <v>-1.109271517639</v>
      </c>
      <c r="AE4465">
        <v>-7.0599999999984606E-2</v>
      </c>
      <c r="AF4465">
        <v>-0.44077448418555398</v>
      </c>
      <c r="AG4465">
        <v>-1.109271517639</v>
      </c>
      <c r="AH4465">
        <v>17.7126460526747</v>
      </c>
      <c r="AI4465">
        <v>93.582417244050902</v>
      </c>
      <c r="AJ4465">
        <v>91.4254960308363</v>
      </c>
      <c r="AK4465">
        <v>17.752819371386799</v>
      </c>
      <c r="AL4465">
        <v>80.364797926756395</v>
      </c>
      <c r="AM4465">
        <v>90.777921476233601</v>
      </c>
      <c r="AN4465">
        <v>0.999999979925561</v>
      </c>
    </row>
    <row r="4466" spans="1:40" x14ac:dyDescent="0.25">
      <c r="A4466" t="str">
        <f>"20190312173019975"</f>
        <v>20190312173019975</v>
      </c>
      <c r="B4466" t="str">
        <f>"1552383019971964"</f>
        <v>1552383019971964</v>
      </c>
      <c r="C4466" t="s">
        <v>40</v>
      </c>
      <c r="D4466">
        <v>3.540057</v>
      </c>
      <c r="E4466">
        <v>0.49701810000000002</v>
      </c>
      <c r="F4466" t="s">
        <v>41</v>
      </c>
      <c r="G4466">
        <v>-368.07490000000001</v>
      </c>
      <c r="H4466" s="1">
        <v>-1.3974740000000001E-6</v>
      </c>
      <c r="I4466">
        <v>141.83099999999999</v>
      </c>
      <c r="J4466">
        <v>-350.25420000000003</v>
      </c>
      <c r="K4466">
        <v>1.10927</v>
      </c>
      <c r="L4466">
        <v>141.905</v>
      </c>
      <c r="M4466">
        <v>-0.99969669999999999</v>
      </c>
      <c r="N4466">
        <v>0</v>
      </c>
      <c r="O4466">
        <v>2.1021720000000001E-2</v>
      </c>
      <c r="P4466">
        <v>-0.98800030000000005</v>
      </c>
      <c r="Q4466">
        <v>0.15430199999999999</v>
      </c>
      <c r="R4466">
        <v>6.8098880000000001E-3</v>
      </c>
      <c r="S4466">
        <v>-3.0662229999999999</v>
      </c>
      <c r="T4466">
        <v>-0.1882471</v>
      </c>
      <c r="U4466">
        <v>-1.164246E-2</v>
      </c>
      <c r="V4466">
        <v>-1.3861999999999999E-2</v>
      </c>
      <c r="W4466">
        <v>0.16697719999999999</v>
      </c>
      <c r="X4466">
        <v>0.9858633</v>
      </c>
      <c r="Y4466">
        <v>-2.4733290000000002E-2</v>
      </c>
      <c r="Z4466">
        <v>-2.0479510000000001E-3</v>
      </c>
      <c r="AA4466">
        <v>0.99969200000000003</v>
      </c>
      <c r="AB4466">
        <v>43</v>
      </c>
      <c r="AC4466">
        <v>-17.820699999999899</v>
      </c>
      <c r="AD4466">
        <v>-1.1092713974740001</v>
      </c>
      <c r="AE4466">
        <v>-7.3999999999983801E-2</v>
      </c>
      <c r="AF4466">
        <v>-0.446904700576986</v>
      </c>
      <c r="AG4466">
        <v>-1.1092713974740001</v>
      </c>
      <c r="AH4466">
        <v>17.746446509017101</v>
      </c>
      <c r="AI4466">
        <v>93.575584796723007</v>
      </c>
      <c r="AJ4466">
        <v>91.442561608960204</v>
      </c>
      <c r="AK4466">
        <v>17.7866964482462</v>
      </c>
      <c r="AL4466">
        <v>80.387886593416894</v>
      </c>
      <c r="AM4466">
        <v>90.805569859816202</v>
      </c>
      <c r="AN4466">
        <v>0.99999999332536404</v>
      </c>
    </row>
    <row r="4467" spans="1:40" x14ac:dyDescent="0.25">
      <c r="A4467" t="str">
        <f>"20190312173019989"</f>
        <v>20190312173019989</v>
      </c>
      <c r="B4467" t="str">
        <f>"1552383019982700"</f>
        <v>1552383019982700</v>
      </c>
      <c r="C4467" t="s">
        <v>40</v>
      </c>
      <c r="D4467">
        <v>3.5476420000000002</v>
      </c>
      <c r="E4467">
        <v>0.49708459999999899</v>
      </c>
      <c r="F4467" t="s">
        <v>41</v>
      </c>
      <c r="G4467">
        <v>-368.1001</v>
      </c>
      <c r="H4467" s="1">
        <v>-1.3886050000000001E-6</v>
      </c>
      <c r="I4467">
        <v>141.8383</v>
      </c>
      <c r="J4467">
        <v>-350.52010000000001</v>
      </c>
      <c r="K4467">
        <v>1.1092690000000001</v>
      </c>
      <c r="L4467">
        <v>141.91069999999999</v>
      </c>
      <c r="M4467">
        <v>-0.99969399999999997</v>
      </c>
      <c r="N4467">
        <v>0</v>
      </c>
      <c r="O4467">
        <v>2.1145339999999999E-2</v>
      </c>
      <c r="P4467">
        <v>-0.98807049999999996</v>
      </c>
      <c r="Q4467">
        <v>0.15386729999999901</v>
      </c>
      <c r="R4467">
        <v>6.4597040000000001E-3</v>
      </c>
      <c r="S4467">
        <v>-3.0662539999999998</v>
      </c>
      <c r="T4467">
        <v>-0.1905935</v>
      </c>
      <c r="U4467">
        <v>-1.1428829999999999E-2</v>
      </c>
      <c r="V4467">
        <v>-1.4336450000000001E-2</v>
      </c>
      <c r="W4467">
        <v>0.16654330000000001</v>
      </c>
      <c r="X4467">
        <v>0.98592990000000003</v>
      </c>
      <c r="Y4467">
        <v>-2.4784730000000001E-2</v>
      </c>
      <c r="Z4467">
        <v>-2.0826820000000002E-3</v>
      </c>
      <c r="AA4467">
        <v>0.99969070000000004</v>
      </c>
      <c r="AB4467">
        <v>43</v>
      </c>
      <c r="AC4467">
        <v>-17.579999999999899</v>
      </c>
      <c r="AD4467">
        <v>-1.1092703886049999</v>
      </c>
      <c r="AE4467">
        <v>-7.2399999999987502E-2</v>
      </c>
      <c r="AF4467">
        <v>-0.44238821820406998</v>
      </c>
      <c r="AG4467">
        <v>-1.1092703886049999</v>
      </c>
      <c r="AH4467">
        <v>17.504844818101301</v>
      </c>
      <c r="AI4467">
        <v>93.624792848037799</v>
      </c>
      <c r="AJ4467">
        <v>91.447689702305695</v>
      </c>
      <c r="AK4467">
        <v>17.545534481355901</v>
      </c>
      <c r="AL4467">
        <v>80.413100218446402</v>
      </c>
      <c r="AM4467">
        <v>90.833081734777906</v>
      </c>
      <c r="AN4467">
        <v>0.99999998614375096</v>
      </c>
    </row>
    <row r="4468" spans="1:40" x14ac:dyDescent="0.25">
      <c r="A4468" t="str">
        <f>"20190312173020006"</f>
        <v>20190312173020006</v>
      </c>
      <c r="B4468" t="str">
        <f>"1552383020002220"</f>
        <v>1552383020002220</v>
      </c>
      <c r="C4468" t="s">
        <v>40</v>
      </c>
      <c r="D4468">
        <v>3.5587770000000001</v>
      </c>
      <c r="E4468">
        <v>0.49717060000000002</v>
      </c>
      <c r="F4468" t="s">
        <v>41</v>
      </c>
      <c r="G4468">
        <v>-368.18119999999999</v>
      </c>
      <c r="H4468" s="1">
        <v>-1.3551880000000001E-6</v>
      </c>
      <c r="I4468">
        <v>141.84350000000001</v>
      </c>
      <c r="J4468">
        <v>-350.85599999999999</v>
      </c>
      <c r="K4468">
        <v>1.1092660000000001</v>
      </c>
      <c r="L4468">
        <v>141.9179</v>
      </c>
      <c r="M4468">
        <v>-0.99969079999999999</v>
      </c>
      <c r="N4468">
        <v>0</v>
      </c>
      <c r="O4468">
        <v>2.1301150000000001E-2</v>
      </c>
      <c r="P4468">
        <v>-0.98813410000000002</v>
      </c>
      <c r="Q4468">
        <v>0.1535106</v>
      </c>
      <c r="R4468">
        <v>5.0509159999999999E-3</v>
      </c>
      <c r="S4468">
        <v>-3.0662539999999998</v>
      </c>
      <c r="T4468">
        <v>-0.1925877</v>
      </c>
      <c r="U4468">
        <v>-1.164246E-2</v>
      </c>
      <c r="V4468">
        <v>-1.5900109999999999E-2</v>
      </c>
      <c r="W4468">
        <v>0.16618729999999901</v>
      </c>
      <c r="X4468">
        <v>0.98596600000000001</v>
      </c>
      <c r="Y4468">
        <v>-2.500757E-2</v>
      </c>
      <c r="Z4468">
        <v>-2.1211979999999999E-3</v>
      </c>
      <c r="AA4468">
        <v>0.99968500000000005</v>
      </c>
      <c r="AB4468">
        <v>43</v>
      </c>
      <c r="AC4468">
        <v>-17.325199999999899</v>
      </c>
      <c r="AD4468">
        <v>-1.1092673551879999</v>
      </c>
      <c r="AE4468">
        <v>-7.4399999999997093E-2</v>
      </c>
      <c r="AF4468">
        <v>-0.44164972273256298</v>
      </c>
      <c r="AG4468">
        <v>-1.1092673551879999</v>
      </c>
      <c r="AH4468">
        <v>17.248974975084199</v>
      </c>
      <c r="AI4468">
        <v>93.678375168263997</v>
      </c>
      <c r="AJ4468">
        <v>91.466703821870695</v>
      </c>
      <c r="AK4468">
        <v>17.290247720433499</v>
      </c>
      <c r="AL4468">
        <v>80.433785849504105</v>
      </c>
      <c r="AM4468">
        <v>90.923896195457502</v>
      </c>
      <c r="AN4468">
        <v>0.99999999266765105</v>
      </c>
    </row>
    <row r="4469" spans="1:40" x14ac:dyDescent="0.25">
      <c r="A4469" t="str">
        <f>"20190312173020020"</f>
        <v>20190312173020020</v>
      </c>
      <c r="B4469" t="str">
        <f>"1552383020011980"</f>
        <v>1552383020011980</v>
      </c>
      <c r="C4469" t="s">
        <v>40</v>
      </c>
      <c r="D4469">
        <v>3.5446719999999998</v>
      </c>
      <c r="E4469">
        <v>0.49722559999999899</v>
      </c>
      <c r="F4469" t="s">
        <v>41</v>
      </c>
      <c r="G4469">
        <v>-368.32510000000002</v>
      </c>
      <c r="H4469" s="1">
        <v>-1.2917419999999999E-6</v>
      </c>
      <c r="I4469">
        <v>141.83709999999999</v>
      </c>
      <c r="J4469">
        <v>-351.13499999999999</v>
      </c>
      <c r="K4469">
        <v>1.109267</v>
      </c>
      <c r="L4469">
        <v>141.92400000000001</v>
      </c>
      <c r="M4469">
        <v>-0.99968800000000002</v>
      </c>
      <c r="N4469">
        <v>0</v>
      </c>
      <c r="O4469">
        <v>2.1430189999999998E-2</v>
      </c>
      <c r="P4469">
        <v>-0.98807719999999999</v>
      </c>
      <c r="Q4469">
        <v>0.15389420000000001</v>
      </c>
      <c r="R4469">
        <v>4.4663860000000001E-3</v>
      </c>
      <c r="S4469">
        <v>-3.0663149999999999</v>
      </c>
      <c r="T4469">
        <v>-0.1947081</v>
      </c>
      <c r="U4469">
        <v>-1.4175419999999999E-2</v>
      </c>
      <c r="V4469">
        <v>-1.6610340000000001E-2</v>
      </c>
      <c r="W4469">
        <v>0.1665701</v>
      </c>
      <c r="X4469">
        <v>0.98588969999999998</v>
      </c>
      <c r="Y4469">
        <v>-2.5958120000000001E-2</v>
      </c>
      <c r="Z4469">
        <v>-2.1827959999999999E-3</v>
      </c>
      <c r="AA4469">
        <v>0.99966069999999996</v>
      </c>
      <c r="AB4469">
        <v>43</v>
      </c>
      <c r="AC4469">
        <v>-17.190100000000001</v>
      </c>
      <c r="AD4469">
        <v>-1.109268291742</v>
      </c>
      <c r="AE4469">
        <v>-8.6900000000014105E-2</v>
      </c>
      <c r="AF4469">
        <v>-0.4534095065489</v>
      </c>
      <c r="AG4469">
        <v>-1.109268291742</v>
      </c>
      <c r="AH4469">
        <v>17.113031384673899</v>
      </c>
      <c r="AI4469">
        <v>93.707431908678402</v>
      </c>
      <c r="AJ4469">
        <v>91.517695741373203</v>
      </c>
      <c r="AK4469">
        <v>17.154938049918101</v>
      </c>
      <c r="AL4469">
        <v>80.411543083909393</v>
      </c>
      <c r="AM4469">
        <v>90.965232058233696</v>
      </c>
      <c r="AN4469">
        <v>1.0000000010875001</v>
      </c>
    </row>
    <row r="4470" spans="1:40" x14ac:dyDescent="0.25">
      <c r="A4470" t="str">
        <f>"20190312173020033"</f>
        <v>20190312173020033</v>
      </c>
      <c r="B4470" t="str">
        <f>"1552383020022716"</f>
        <v>1552383020022716</v>
      </c>
      <c r="C4470" t="s">
        <v>40</v>
      </c>
      <c r="D4470">
        <v>3.5612840000000001</v>
      </c>
      <c r="E4470">
        <v>0.49728549999999999</v>
      </c>
      <c r="F4470" t="s">
        <v>41</v>
      </c>
      <c r="G4470">
        <v>-368.67849999999999</v>
      </c>
      <c r="H4470" s="1">
        <v>-1.140043E-6</v>
      </c>
      <c r="I4470">
        <v>141.83670000000001</v>
      </c>
      <c r="J4470">
        <v>-351.37549999999999</v>
      </c>
      <c r="K4470">
        <v>1.1092709999999999</v>
      </c>
      <c r="L4470">
        <v>141.92930000000001</v>
      </c>
      <c r="M4470">
        <v>-0.99968570000000001</v>
      </c>
      <c r="N4470">
        <v>0</v>
      </c>
      <c r="O4470">
        <v>2.1541290000000001E-2</v>
      </c>
      <c r="P4470">
        <v>-0.9880698</v>
      </c>
      <c r="Q4470">
        <v>0.15395400000000001</v>
      </c>
      <c r="R4470">
        <v>4.0592340000000001E-3</v>
      </c>
      <c r="S4470">
        <v>-3.0664669999999998</v>
      </c>
      <c r="T4470">
        <v>-0.1938926</v>
      </c>
      <c r="U4470">
        <v>-1.524353E-2</v>
      </c>
      <c r="V4470">
        <v>-1.712729E-2</v>
      </c>
      <c r="W4470">
        <v>0.16662929999999901</v>
      </c>
      <c r="X4470">
        <v>0.98587080000000005</v>
      </c>
      <c r="Y4470">
        <v>-2.6416849999999999E-2</v>
      </c>
      <c r="Z4470">
        <v>-2.195069E-3</v>
      </c>
      <c r="AA4470">
        <v>0.9996486</v>
      </c>
      <c r="AB4470">
        <v>43</v>
      </c>
      <c r="AC4470">
        <v>-17.302999999999901</v>
      </c>
      <c r="AD4470">
        <v>-1.1092721400429999</v>
      </c>
      <c r="AE4470">
        <v>-9.2600000000004401E-2</v>
      </c>
      <c r="AF4470">
        <v>-0.46343348615913399</v>
      </c>
      <c r="AG4470">
        <v>-1.1092721400429999</v>
      </c>
      <c r="AH4470">
        <v>17.2261932022396</v>
      </c>
      <c r="AI4470">
        <v>93.683117186838601</v>
      </c>
      <c r="AJ4470">
        <v>91.541047365454702</v>
      </c>
      <c r="AK4470">
        <v>17.268091600337701</v>
      </c>
      <c r="AL4470">
        <v>80.4081026135446</v>
      </c>
      <c r="AM4470">
        <v>90.995285309524604</v>
      </c>
      <c r="AN4470">
        <v>0.99999995098693495</v>
      </c>
    </row>
    <row r="4471" spans="1:40" x14ac:dyDescent="0.25">
      <c r="A4471" t="str">
        <f>"20190312173020047"</f>
        <v>20190312173020047</v>
      </c>
      <c r="B4471" t="str">
        <f>"1552383020042235"</f>
        <v>1552383020042235</v>
      </c>
      <c r="C4471" t="s">
        <v>40</v>
      </c>
      <c r="D4471">
        <v>3.538332</v>
      </c>
      <c r="E4471">
        <v>0.49735950000000001</v>
      </c>
      <c r="F4471" t="s">
        <v>41</v>
      </c>
      <c r="G4471">
        <v>-368.90620000000001</v>
      </c>
      <c r="H4471" s="1">
        <v>-1.042937E-6</v>
      </c>
      <c r="I4471">
        <v>141.8389</v>
      </c>
      <c r="J4471">
        <v>-351.64319999999998</v>
      </c>
      <c r="K4471">
        <v>1.1092759999999999</v>
      </c>
      <c r="L4471">
        <v>141.93510000000001</v>
      </c>
      <c r="M4471">
        <v>-0.99968299999999999</v>
      </c>
      <c r="N4471">
        <v>0</v>
      </c>
      <c r="O4471">
        <v>2.166498E-2</v>
      </c>
      <c r="P4471">
        <v>-0.98800639999999995</v>
      </c>
      <c r="Q4471">
        <v>0.15437390000000001</v>
      </c>
      <c r="R4471">
        <v>3.5048789999999998E-3</v>
      </c>
      <c r="S4471">
        <v>-3.0665279999999999</v>
      </c>
      <c r="T4471">
        <v>-0.19403860000000001</v>
      </c>
      <c r="U4471">
        <v>-1.5792850000000001E-2</v>
      </c>
      <c r="V4471">
        <v>-1.7801540000000001E-2</v>
      </c>
      <c r="W4471">
        <v>0.1670478</v>
      </c>
      <c r="X4471">
        <v>0.98578809999999994</v>
      </c>
      <c r="Y4471">
        <v>-2.6718499999999999E-2</v>
      </c>
      <c r="Z4471">
        <v>-2.2140269999999999E-3</v>
      </c>
      <c r="AA4471">
        <v>0.99964050000000004</v>
      </c>
      <c r="AB4471">
        <v>43</v>
      </c>
      <c r="AC4471">
        <v>-17.263000000000002</v>
      </c>
      <c r="AD4471">
        <v>-1.109277042937</v>
      </c>
      <c r="AE4471">
        <v>-9.6200000000010194E-2</v>
      </c>
      <c r="AF4471">
        <v>-0.468277268889217</v>
      </c>
      <c r="AG4471">
        <v>-1.109277042937</v>
      </c>
      <c r="AH4471">
        <v>17.1859043117555</v>
      </c>
      <c r="AI4471">
        <v>93.691709580055402</v>
      </c>
      <c r="AJ4471">
        <v>91.560795036058494</v>
      </c>
      <c r="AK4471">
        <v>17.2280319877624</v>
      </c>
      <c r="AL4471">
        <v>80.383784148895302</v>
      </c>
      <c r="AM4471">
        <v>91.034545116065303</v>
      </c>
      <c r="AN4471">
        <v>1.0000000202064101</v>
      </c>
    </row>
    <row r="4472" spans="1:40" x14ac:dyDescent="0.25">
      <c r="A4472" t="str">
        <f>"20190312173020064"</f>
        <v>20190312173020064</v>
      </c>
      <c r="B4472" t="str">
        <f>"1552383020051996"</f>
        <v>1552383020051996</v>
      </c>
      <c r="C4472" t="s">
        <v>40</v>
      </c>
      <c r="D4472">
        <v>3.5161229999999999</v>
      </c>
      <c r="E4472">
        <v>0.49741049999999998</v>
      </c>
      <c r="F4472" t="s">
        <v>41</v>
      </c>
      <c r="G4472">
        <v>-369.22379999999998</v>
      </c>
      <c r="H4472" s="1">
        <v>-9.0667510000000003E-7</v>
      </c>
      <c r="I4472">
        <v>141.8389</v>
      </c>
      <c r="J4472">
        <v>-351.97289999999998</v>
      </c>
      <c r="K4472">
        <v>1.1092789999999999</v>
      </c>
      <c r="L4472">
        <v>141.94239999999999</v>
      </c>
      <c r="M4472">
        <v>-0.99967969999999895</v>
      </c>
      <c r="N4472">
        <v>0</v>
      </c>
      <c r="O4472">
        <v>2.1817090000000001E-2</v>
      </c>
      <c r="P4472">
        <v>-0.98789300000000002</v>
      </c>
      <c r="Q4472">
        <v>0.15511639999999999</v>
      </c>
      <c r="R4472">
        <v>2.566371E-3</v>
      </c>
      <c r="S4472">
        <v>-3.066681</v>
      </c>
      <c r="T4472">
        <v>-0.19349730000000001</v>
      </c>
      <c r="U4472">
        <v>-1.6769409999999998E-2</v>
      </c>
      <c r="V4472">
        <v>-1.8887310000000001E-2</v>
      </c>
      <c r="W4472">
        <v>0.16778860000000001</v>
      </c>
      <c r="X4472">
        <v>0.98564209999999997</v>
      </c>
      <c r="Y4472">
        <v>-2.718798E-2</v>
      </c>
      <c r="Z4472">
        <v>-2.232136E-3</v>
      </c>
      <c r="AA4472">
        <v>0.99962779999999996</v>
      </c>
      <c r="AB4472">
        <v>43</v>
      </c>
      <c r="AC4472">
        <v>-17.250900000000001</v>
      </c>
      <c r="AD4472">
        <v>-1.1092799066751</v>
      </c>
      <c r="AE4472">
        <v>-0.103499999999996</v>
      </c>
      <c r="AF4472">
        <v>-0.477894812929194</v>
      </c>
      <c r="AG4472">
        <v>-1.1092799066751</v>
      </c>
      <c r="AH4472">
        <v>17.173527747999699</v>
      </c>
      <c r="AI4472">
        <v>93.694313492695201</v>
      </c>
      <c r="AJ4472">
        <v>91.593981842074399</v>
      </c>
      <c r="AK4472">
        <v>17.2159501821681</v>
      </c>
      <c r="AL4472">
        <v>80.340732054582901</v>
      </c>
      <c r="AM4472">
        <v>91.097792720146003</v>
      </c>
      <c r="AN4472">
        <v>1.0000000470307</v>
      </c>
    </row>
    <row r="4473" spans="1:40" x14ac:dyDescent="0.25">
      <c r="A4473" t="str">
        <f>"20190312173020085"</f>
        <v>20190312173020085</v>
      </c>
      <c r="B4473" t="str">
        <f>"1552383020082252"</f>
        <v>1552383020082252</v>
      </c>
      <c r="C4473" t="s">
        <v>40</v>
      </c>
      <c r="D4473">
        <v>3.5501309999999999</v>
      </c>
      <c r="E4473">
        <v>0.49745289999999998</v>
      </c>
      <c r="F4473" t="s">
        <v>41</v>
      </c>
      <c r="G4473">
        <v>-369.73540000000003</v>
      </c>
      <c r="H4473" s="1">
        <v>-6.8551760000000004E-7</v>
      </c>
      <c r="I4473">
        <v>141.83240000000001</v>
      </c>
      <c r="J4473">
        <v>-352.37540000000001</v>
      </c>
      <c r="K4473">
        <v>1.1092900000000001</v>
      </c>
      <c r="L4473">
        <v>141.95140000000001</v>
      </c>
      <c r="M4473">
        <v>-0.9996756</v>
      </c>
      <c r="N4473">
        <v>0</v>
      </c>
      <c r="O4473">
        <v>2.2003470000000001E-2</v>
      </c>
      <c r="P4473">
        <v>-0.98793500000000001</v>
      </c>
      <c r="Q4473">
        <v>0.1548505</v>
      </c>
      <c r="R4473">
        <v>2.3633410000000001E-3</v>
      </c>
      <c r="S4473">
        <v>-3.0668950000000001</v>
      </c>
      <c r="T4473">
        <v>-0.1915309</v>
      </c>
      <c r="U4473">
        <v>-1.8981930000000001E-2</v>
      </c>
      <c r="V4473">
        <v>-1.927593E-2</v>
      </c>
      <c r="W4473">
        <v>0.16752259999999999</v>
      </c>
      <c r="X4473">
        <v>0.98567979999999999</v>
      </c>
      <c r="Y4473">
        <v>-2.8094939999999999E-2</v>
      </c>
      <c r="Z4473">
        <v>-2.2492620000000001E-3</v>
      </c>
      <c r="AA4473">
        <v>0.99960269999999996</v>
      </c>
      <c r="AB4473">
        <v>43</v>
      </c>
      <c r="AC4473">
        <v>-17.36</v>
      </c>
      <c r="AD4473">
        <v>-1.1092906855175999</v>
      </c>
      <c r="AE4473">
        <v>-0.118999999999999</v>
      </c>
      <c r="AF4473">
        <v>-0.49894569823846802</v>
      </c>
      <c r="AG4473">
        <v>-1.1092906855175999</v>
      </c>
      <c r="AH4473">
        <v>17.282614192313101</v>
      </c>
      <c r="AI4473">
        <v>93.670986732491798</v>
      </c>
      <c r="AJ4473">
        <v>91.653658650163706</v>
      </c>
      <c r="AK4473">
        <v>17.3253636601114</v>
      </c>
      <c r="AL4473">
        <v>80.356191341668904</v>
      </c>
      <c r="AM4473">
        <v>91.120332055328703</v>
      </c>
      <c r="AN4473">
        <v>1.0000000255580801</v>
      </c>
    </row>
    <row r="4474" spans="1:40" x14ac:dyDescent="0.25">
      <c r="A4474" t="str">
        <f>"20190312173020099"</f>
        <v>20190312173020099</v>
      </c>
      <c r="B4474" t="str">
        <f>"1552383020092012"</f>
        <v>1552383020092012</v>
      </c>
      <c r="C4474" t="s">
        <v>40</v>
      </c>
      <c r="D4474">
        <v>3.5656029999999999</v>
      </c>
      <c r="E4474">
        <v>0.4974498</v>
      </c>
      <c r="F4474" t="s">
        <v>41</v>
      </c>
      <c r="G4474">
        <v>-369.9957</v>
      </c>
      <c r="H4474" s="1">
        <v>-4.6721989999999997E-6</v>
      </c>
      <c r="I4474">
        <v>141.84139999999999</v>
      </c>
      <c r="J4474">
        <v>-352.67200000000003</v>
      </c>
      <c r="K4474">
        <v>1.1092900000000001</v>
      </c>
      <c r="L4474">
        <v>141.958</v>
      </c>
      <c r="M4474">
        <v>-0.99967260000000002</v>
      </c>
      <c r="N4474">
        <v>0</v>
      </c>
      <c r="O4474">
        <v>2.21405E-2</v>
      </c>
      <c r="P4474">
        <v>-0.98795259999999996</v>
      </c>
      <c r="Q4474">
        <v>0.15474009999999999</v>
      </c>
      <c r="R4474">
        <v>2.288984E-3</v>
      </c>
      <c r="S4474">
        <v>-3.0669249999999999</v>
      </c>
      <c r="T4474">
        <v>-0.19308049999999999</v>
      </c>
      <c r="U4474">
        <v>-1.9134519999999999E-2</v>
      </c>
      <c r="V4474">
        <v>-1.9485929999999999E-2</v>
      </c>
      <c r="W4474">
        <v>0.16741159999999999</v>
      </c>
      <c r="X4474">
        <v>0.98569450000000003</v>
      </c>
      <c r="Y4474">
        <v>-2.8279410000000001E-2</v>
      </c>
      <c r="Z4474">
        <v>-2.281819E-3</v>
      </c>
      <c r="AA4474">
        <v>0.99959739999999997</v>
      </c>
      <c r="AB4474">
        <v>43</v>
      </c>
      <c r="AC4474">
        <v>-17.323699999999999</v>
      </c>
      <c r="AD4474">
        <v>-1.10929467219899</v>
      </c>
      <c r="AE4474">
        <v>-0.11660000000000501</v>
      </c>
      <c r="AF4474">
        <v>-0.498116024398156</v>
      </c>
      <c r="AG4474">
        <v>-1.10929467219899</v>
      </c>
      <c r="AH4474">
        <v>17.246160207557399</v>
      </c>
      <c r="AI4474">
        <v>93.678736794608994</v>
      </c>
      <c r="AJ4474">
        <v>91.654398046574897</v>
      </c>
      <c r="AK4474">
        <v>17.288976145170299</v>
      </c>
      <c r="AL4474">
        <v>80.362641990678398</v>
      </c>
      <c r="AM4474">
        <v>91.132517371491005</v>
      </c>
      <c r="AN4474">
        <v>0.99999999630638703</v>
      </c>
    </row>
    <row r="4475" spans="1:40" x14ac:dyDescent="0.25">
      <c r="A4475" t="str">
        <f>"20190312173020119"</f>
        <v>20190312173020119</v>
      </c>
      <c r="B4475" t="str">
        <f>"1552383020112508"</f>
        <v>1552383020112508</v>
      </c>
      <c r="C4475" t="s">
        <v>40</v>
      </c>
      <c r="D4475">
        <v>3.5898050000000001</v>
      </c>
      <c r="E4475">
        <v>0.49742809999999998</v>
      </c>
      <c r="F4475" t="s">
        <v>41</v>
      </c>
      <c r="G4475">
        <v>-370.23869999999999</v>
      </c>
      <c r="H4475" s="1">
        <v>-4.5907120000000003E-6</v>
      </c>
      <c r="I4475">
        <v>141.84829999999999</v>
      </c>
      <c r="J4475">
        <v>-353.02859999999998</v>
      </c>
      <c r="K4475">
        <v>1.1092900000000001</v>
      </c>
      <c r="L4475">
        <v>141.96610000000001</v>
      </c>
      <c r="M4475">
        <v>-0.99966900000000003</v>
      </c>
      <c r="N4475">
        <v>0</v>
      </c>
      <c r="O4475">
        <v>2.2305040000000002E-2</v>
      </c>
      <c r="P4475">
        <v>-0.98806419999999995</v>
      </c>
      <c r="Q4475">
        <v>0.15402779999999999</v>
      </c>
      <c r="R4475">
        <v>2.1702570000000001E-3</v>
      </c>
      <c r="S4475">
        <v>-3.0669249999999999</v>
      </c>
      <c r="T4475">
        <v>-0.19366929999999999</v>
      </c>
      <c r="U4475">
        <v>-1.9149780000000002E-2</v>
      </c>
      <c r="V4475">
        <v>-1.977081E-2</v>
      </c>
      <c r="W4475">
        <v>0.16670360000000001</v>
      </c>
      <c r="X4475">
        <v>0.98580880000000004</v>
      </c>
      <c r="Y4475">
        <v>-2.844764E-2</v>
      </c>
      <c r="Z4475">
        <v>-2.3044490000000001E-3</v>
      </c>
      <c r="AA4475">
        <v>0.99959260000000005</v>
      </c>
      <c r="AB4475">
        <v>43</v>
      </c>
      <c r="AC4475">
        <v>-17.210100000000001</v>
      </c>
      <c r="AD4475">
        <v>-1.109294590712</v>
      </c>
      <c r="AE4475">
        <v>-0.117800000000016</v>
      </c>
      <c r="AF4475">
        <v>-0.49959868542980101</v>
      </c>
      <c r="AG4475">
        <v>-1.109294590712</v>
      </c>
      <c r="AH4475">
        <v>17.132016893898701</v>
      </c>
      <c r="AI4475">
        <v>93.703148525461998</v>
      </c>
      <c r="AJ4475">
        <v>91.670368771689695</v>
      </c>
      <c r="AK4475">
        <v>17.1751604414135</v>
      </c>
      <c r="AL4475">
        <v>80.403785456894695</v>
      </c>
      <c r="AM4475">
        <v>91.148936924802598</v>
      </c>
      <c r="AN4475">
        <v>0.99999998266922696</v>
      </c>
    </row>
    <row r="4476" spans="1:40" x14ac:dyDescent="0.25">
      <c r="A4476" t="str">
        <f>"20190312173020133"</f>
        <v>20190312173020133</v>
      </c>
      <c r="B4476" t="str">
        <f>"1552383020122268"</f>
        <v>1552383020122268</v>
      </c>
      <c r="C4476" t="s">
        <v>40</v>
      </c>
      <c r="D4476">
        <v>3.5662240000000001</v>
      </c>
      <c r="E4476">
        <v>0.49697809999999998</v>
      </c>
      <c r="F4476" t="s">
        <v>41</v>
      </c>
      <c r="G4476">
        <v>-370.37849999999997</v>
      </c>
      <c r="H4476" s="1">
        <v>-4.5442609999999998E-6</v>
      </c>
      <c r="I4476">
        <v>141.8546</v>
      </c>
      <c r="J4476">
        <v>-353.3168</v>
      </c>
      <c r="K4476">
        <v>1.109289</v>
      </c>
      <c r="L4476">
        <v>141.9727</v>
      </c>
      <c r="M4476">
        <v>-0.9996659</v>
      </c>
      <c r="N4476">
        <v>0</v>
      </c>
      <c r="O4476">
        <v>2.2437149999999999E-2</v>
      </c>
      <c r="P4476">
        <v>-0.98813430000000002</v>
      </c>
      <c r="Q4476">
        <v>0.15357939999999901</v>
      </c>
      <c r="R4476">
        <v>2.009439E-3</v>
      </c>
      <c r="S4476">
        <v>-3.0668950000000001</v>
      </c>
      <c r="T4476">
        <v>-0.19608700000000001</v>
      </c>
      <c r="U4476">
        <v>-1.9699100000000001E-2</v>
      </c>
      <c r="V4476">
        <v>-2.006378E-2</v>
      </c>
      <c r="W4476">
        <v>0.16625980000000001</v>
      </c>
      <c r="X4476">
        <v>0.98587789999999997</v>
      </c>
      <c r="Y4476">
        <v>-2.87554E-2</v>
      </c>
      <c r="Z4476">
        <v>-2.351447E-3</v>
      </c>
      <c r="AA4476">
        <v>0.99958369999999996</v>
      </c>
      <c r="AB4476">
        <v>43</v>
      </c>
      <c r="AC4476">
        <v>-17.061699999999899</v>
      </c>
      <c r="AD4476">
        <v>-1.1092935442609999</v>
      </c>
      <c r="AE4476">
        <v>-0.118099999999998</v>
      </c>
      <c r="AF4476">
        <v>-0.49880926386699698</v>
      </c>
      <c r="AG4476">
        <v>-1.1092935442609999</v>
      </c>
      <c r="AH4476">
        <v>16.982967826959499</v>
      </c>
      <c r="AI4476">
        <v>93.735530831695499</v>
      </c>
      <c r="AJ4476">
        <v>91.682359168571693</v>
      </c>
      <c r="AK4476">
        <v>17.0264658417594</v>
      </c>
      <c r="AL4476">
        <v>80.4295739033887</v>
      </c>
      <c r="AM4476">
        <v>91.165875864030696</v>
      </c>
      <c r="AN4476">
        <v>1.0000000550361601</v>
      </c>
    </row>
    <row r="4477" spans="1:40" x14ac:dyDescent="0.25">
      <c r="A4477" t="str">
        <f>"20190312173020147"</f>
        <v>20190312173020147</v>
      </c>
      <c r="B4477" t="str">
        <f>"1552383020141788"</f>
        <v>1552383020141788</v>
      </c>
      <c r="C4477" t="s">
        <v>40</v>
      </c>
      <c r="D4477">
        <v>3.5266510000000002</v>
      </c>
      <c r="E4477">
        <v>0.49648930000000002</v>
      </c>
      <c r="F4477" t="s">
        <v>41</v>
      </c>
      <c r="G4477">
        <v>-370.7527</v>
      </c>
      <c r="H4477" s="1">
        <v>-4.4135890000000003E-6</v>
      </c>
      <c r="I4477">
        <v>141.8357</v>
      </c>
      <c r="J4477">
        <v>-353.58120000000002</v>
      </c>
      <c r="K4477">
        <v>1.109294</v>
      </c>
      <c r="L4477">
        <v>141.9787</v>
      </c>
      <c r="M4477">
        <v>-0.99966310000000003</v>
      </c>
      <c r="N4477">
        <v>0</v>
      </c>
      <c r="O4477">
        <v>2.255679E-2</v>
      </c>
      <c r="P4477">
        <v>-0.98822739999999998</v>
      </c>
      <c r="Q4477">
        <v>0.15298039999999999</v>
      </c>
      <c r="R4477">
        <v>1.9338859999999999E-3</v>
      </c>
      <c r="S4477">
        <v>-3.0664370000000001</v>
      </c>
      <c r="T4477">
        <v>-0.1950916</v>
      </c>
      <c r="U4477">
        <v>-2.4063109999999999E-2</v>
      </c>
      <c r="V4477">
        <v>-2.025998E-2</v>
      </c>
      <c r="W4477">
        <v>0.1656677</v>
      </c>
      <c r="X4477">
        <v>0.98597349999999995</v>
      </c>
      <c r="Y4477">
        <v>-3.0296119999999999E-2</v>
      </c>
      <c r="Z4477">
        <v>-2.3964419999999999E-3</v>
      </c>
      <c r="AA4477">
        <v>0.99953809999999998</v>
      </c>
      <c r="AB4477">
        <v>43</v>
      </c>
      <c r="AC4477">
        <v>-17.171499999999899</v>
      </c>
      <c r="AD4477">
        <v>-1.1092984135890001</v>
      </c>
      <c r="AE4477">
        <v>-0.14299999999999999</v>
      </c>
      <c r="AF4477">
        <v>-0.52812558707056501</v>
      </c>
      <c r="AG4477">
        <v>-1.1092984135890001</v>
      </c>
      <c r="AH4477">
        <v>17.092576711399101</v>
      </c>
      <c r="AI4477">
        <v>93.711489429601997</v>
      </c>
      <c r="AJ4477">
        <v>91.769759109090799</v>
      </c>
      <c r="AK4477">
        <v>17.136675238831302</v>
      </c>
      <c r="AL4477">
        <v>80.463975276464296</v>
      </c>
      <c r="AM4477">
        <v>91.177159439396704</v>
      </c>
      <c r="AN4477">
        <v>0.99999999815757001</v>
      </c>
    </row>
    <row r="4478" spans="1:40" x14ac:dyDescent="0.25">
      <c r="A4478" t="str">
        <f>"20190312173020162"</f>
        <v>20190312173020162</v>
      </c>
      <c r="B4478" t="str">
        <f>"1552383020152524"</f>
        <v>1552383020152524</v>
      </c>
      <c r="C4478" t="s">
        <v>40</v>
      </c>
      <c r="D4478">
        <v>3.5202520000000002</v>
      </c>
      <c r="E4478">
        <v>0.49625979999999997</v>
      </c>
      <c r="F4478" t="s">
        <v>41</v>
      </c>
      <c r="G4478">
        <v>-371.08339999999998</v>
      </c>
      <c r="H4478" s="1">
        <v>-4.2975820000000001E-6</v>
      </c>
      <c r="I4478">
        <v>141.81630000000001</v>
      </c>
      <c r="J4478">
        <v>-353.88569999999999</v>
      </c>
      <c r="K4478">
        <v>1.1092900000000001</v>
      </c>
      <c r="L4478">
        <v>141.98570000000001</v>
      </c>
      <c r="M4478">
        <v>-0.99966010000000005</v>
      </c>
      <c r="N4478">
        <v>0</v>
      </c>
      <c r="O4478">
        <v>2.2692090000000002E-2</v>
      </c>
      <c r="P4478">
        <v>-0.98838559999999998</v>
      </c>
      <c r="Q4478">
        <v>0.1519626</v>
      </c>
      <c r="R4478">
        <v>1.1838899999999999E-3</v>
      </c>
      <c r="S4478">
        <v>-3.065887</v>
      </c>
      <c r="T4478">
        <v>-0.19431780000000001</v>
      </c>
      <c r="U4478">
        <v>-2.844238E-2</v>
      </c>
      <c r="V4478">
        <v>-2.1147470000000002E-2</v>
      </c>
      <c r="W4478">
        <v>0.16466040000000001</v>
      </c>
      <c r="X4478">
        <v>0.98612359999999999</v>
      </c>
      <c r="Y4478">
        <v>-3.1857799999999999E-2</v>
      </c>
      <c r="Z4478">
        <v>-2.44538E-3</v>
      </c>
      <c r="AA4478">
        <v>0.99948939999999997</v>
      </c>
      <c r="AB4478">
        <v>43</v>
      </c>
      <c r="AC4478">
        <v>-17.197699999999902</v>
      </c>
      <c r="AD4478">
        <v>-1.1092942975819999</v>
      </c>
      <c r="AE4478">
        <v>-0.169399999999996</v>
      </c>
      <c r="AF4478">
        <v>-0.55732172932867596</v>
      </c>
      <c r="AG4478">
        <v>-1.1092942975819999</v>
      </c>
      <c r="AH4478">
        <v>17.118211921584599</v>
      </c>
      <c r="AI4478">
        <v>93.705738757957704</v>
      </c>
      <c r="AJ4478">
        <v>91.864733759070205</v>
      </c>
      <c r="AK4478">
        <v>17.163167561406301</v>
      </c>
      <c r="AL4478">
        <v>80.5224930943087</v>
      </c>
      <c r="AM4478">
        <v>91.228522556388597</v>
      </c>
      <c r="AN4478">
        <v>1.0000000086462599</v>
      </c>
    </row>
    <row r="4479" spans="1:40" x14ac:dyDescent="0.25">
      <c r="A4479" t="str">
        <f>"20190312173020185"</f>
        <v>20190312173020185</v>
      </c>
      <c r="B4479" t="str">
        <f>"1552383020181804"</f>
        <v>1552383020181804</v>
      </c>
      <c r="C4479" t="s">
        <v>40</v>
      </c>
      <c r="D4479">
        <v>3.556972</v>
      </c>
      <c r="E4479">
        <v>0.49562010000000001</v>
      </c>
      <c r="F4479" t="s">
        <v>41</v>
      </c>
      <c r="G4479">
        <v>-371.22739999999999</v>
      </c>
      <c r="H4479" s="1">
        <v>-4.2452730000000001E-6</v>
      </c>
      <c r="I4479">
        <v>141.79759999999999</v>
      </c>
      <c r="J4479">
        <v>-354.30540000000002</v>
      </c>
      <c r="K4479">
        <v>1.1092930000000001</v>
      </c>
      <c r="L4479">
        <v>141.99549999999999</v>
      </c>
      <c r="M4479">
        <v>-0.99965570000000004</v>
      </c>
      <c r="N4479">
        <v>0</v>
      </c>
      <c r="O4479">
        <v>2.2873959999999999E-2</v>
      </c>
      <c r="P4479">
        <v>-0.98841509999999999</v>
      </c>
      <c r="Q4479">
        <v>0.1517753</v>
      </c>
      <c r="R4479">
        <v>4.398432E-4</v>
      </c>
      <c r="S4479">
        <v>-3.0653990000000002</v>
      </c>
      <c r="T4479">
        <v>-0.1960837</v>
      </c>
      <c r="U4479">
        <v>-3.3233640000000002E-2</v>
      </c>
      <c r="V4479">
        <v>-2.2072089999999999E-2</v>
      </c>
      <c r="W4479">
        <v>0.1644882</v>
      </c>
      <c r="X4479">
        <v>0.98613209999999996</v>
      </c>
      <c r="Y4479">
        <v>-3.3597170000000003E-2</v>
      </c>
      <c r="Z4479">
        <v>-2.53513E-3</v>
      </c>
      <c r="AA4479">
        <v>0.99943230000000005</v>
      </c>
      <c r="AB4479">
        <v>43</v>
      </c>
      <c r="AC4479">
        <v>-16.921999999999901</v>
      </c>
      <c r="AD4479">
        <v>-1.1092972452730001</v>
      </c>
      <c r="AE4479">
        <v>-0.19790000000000399</v>
      </c>
      <c r="AF4479">
        <v>-0.58245074688575404</v>
      </c>
      <c r="AG4479">
        <v>-1.1092972452730001</v>
      </c>
      <c r="AH4479">
        <v>16.840685559491799</v>
      </c>
      <c r="AI4479">
        <v>93.766387646316602</v>
      </c>
      <c r="AJ4479">
        <v>91.980838168908704</v>
      </c>
      <c r="AK4479">
        <v>16.887228291362501</v>
      </c>
      <c r="AL4479">
        <v>80.532496039636499</v>
      </c>
      <c r="AM4479">
        <v>91.282208013735698</v>
      </c>
      <c r="AN4479">
        <v>1.0000000318733</v>
      </c>
    </row>
    <row r="4480" spans="1:40" x14ac:dyDescent="0.25">
      <c r="A4480" t="str">
        <f>"20190312173020208"</f>
        <v>20190312173020208</v>
      </c>
      <c r="B4480" t="str">
        <f>"1552383020202303"</f>
        <v>1552383020202303</v>
      </c>
      <c r="C4480" t="s">
        <v>40</v>
      </c>
      <c r="D4480">
        <v>3.5170119999999998</v>
      </c>
      <c r="E4480">
        <v>0.49521969999999998</v>
      </c>
      <c r="F4480" t="s">
        <v>41</v>
      </c>
      <c r="G4480">
        <v>-371.92430000000002</v>
      </c>
      <c r="H4480" s="1">
        <v>-4.0011060000000003E-6</v>
      </c>
      <c r="I4480">
        <v>141.75810000000001</v>
      </c>
      <c r="J4480">
        <v>-354.75139999999999</v>
      </c>
      <c r="K4480">
        <v>1.1092959999999901</v>
      </c>
      <c r="L4480">
        <v>142.0059</v>
      </c>
      <c r="M4480">
        <v>-0.99965110000000001</v>
      </c>
      <c r="N4480">
        <v>0</v>
      </c>
      <c r="O4480">
        <v>2.306192E-2</v>
      </c>
      <c r="P4480">
        <v>-0.98842569999999996</v>
      </c>
      <c r="Q4480">
        <v>0.15170610000000001</v>
      </c>
      <c r="R4480">
        <v>-3.6155760000000002E-4</v>
      </c>
      <c r="S4480">
        <v>-3.064819</v>
      </c>
      <c r="T4480">
        <v>-0.1929632</v>
      </c>
      <c r="U4480">
        <v>-4.1275020000000003E-2</v>
      </c>
      <c r="V4480">
        <v>-2.3060199999999999E-2</v>
      </c>
      <c r="W4480">
        <v>0.1644388</v>
      </c>
      <c r="X4480">
        <v>0.98611769999999999</v>
      </c>
      <c r="Y4480">
        <v>-3.6406569999999999E-2</v>
      </c>
      <c r="Z4480">
        <v>-2.5954799999999998E-3</v>
      </c>
      <c r="AA4480">
        <v>0.99933369999999999</v>
      </c>
      <c r="AB4480">
        <v>43</v>
      </c>
      <c r="AC4480">
        <v>-17.172899999999998</v>
      </c>
      <c r="AD4480">
        <v>-1.1093000011059999</v>
      </c>
      <c r="AE4480">
        <v>-0.24779999999998301</v>
      </c>
      <c r="AF4480">
        <v>-0.64113231439307605</v>
      </c>
      <c r="AG4480">
        <v>-1.1093000011059999</v>
      </c>
      <c r="AH4480">
        <v>17.091315662368601</v>
      </c>
      <c r="AI4480">
        <v>93.710931485701906</v>
      </c>
      <c r="AJ4480">
        <v>92.148281657226704</v>
      </c>
      <c r="AK4480">
        <v>17.139272686078002</v>
      </c>
      <c r="AL4480">
        <v>80.535365267762401</v>
      </c>
      <c r="AM4480">
        <v>91.339608214360595</v>
      </c>
      <c r="AN4480">
        <v>1.00000000501138</v>
      </c>
    </row>
    <row r="4481" spans="1:40" x14ac:dyDescent="0.25">
      <c r="A4481" t="str">
        <f>"20190312173020222"</f>
        <v>20190312173020222</v>
      </c>
      <c r="B4481" t="str">
        <f>"1552383020212060"</f>
        <v>1552383020212060</v>
      </c>
      <c r="C4481" t="s">
        <v>40</v>
      </c>
      <c r="D4481">
        <v>3.5477029999999998</v>
      </c>
      <c r="E4481">
        <v>0.49504730000000002</v>
      </c>
      <c r="F4481" t="s">
        <v>41</v>
      </c>
      <c r="G4481">
        <v>-372.57510000000002</v>
      </c>
      <c r="H4481" s="1">
        <v>-3.7315869999999998E-6</v>
      </c>
      <c r="I4481">
        <v>141.73609999999999</v>
      </c>
      <c r="J4481">
        <v>-355.03820000000002</v>
      </c>
      <c r="K4481">
        <v>1.109302</v>
      </c>
      <c r="L4481">
        <v>142.01259999999999</v>
      </c>
      <c r="M4481">
        <v>-0.99964819999999999</v>
      </c>
      <c r="N4481">
        <v>0</v>
      </c>
      <c r="O4481">
        <v>2.3181130000000001E-2</v>
      </c>
      <c r="P4481">
        <v>-0.9883826</v>
      </c>
      <c r="Q4481">
        <v>0.15198680000000001</v>
      </c>
      <c r="R4481">
        <v>-6.9432289999999904E-4</v>
      </c>
      <c r="S4481">
        <v>-3.0643919999999998</v>
      </c>
      <c r="T4481">
        <v>-0.19071959999999999</v>
      </c>
      <c r="U4481">
        <v>-4.6371460000000003E-2</v>
      </c>
      <c r="V4481">
        <v>-2.3509510000000001E-2</v>
      </c>
      <c r="W4481">
        <v>0.16473279999999901</v>
      </c>
      <c r="X4481">
        <v>0.98605799999999999</v>
      </c>
      <c r="Y4481">
        <v>-3.8188239999999998E-2</v>
      </c>
      <c r="Z4481">
        <v>-2.6284920000000001E-3</v>
      </c>
      <c r="AA4481">
        <v>0.99926709999999996</v>
      </c>
      <c r="AB4481">
        <v>43</v>
      </c>
      <c r="AC4481">
        <v>-17.536899999999999</v>
      </c>
      <c r="AD4481">
        <v>-1.1093057315870001</v>
      </c>
      <c r="AE4481">
        <v>-0.27649999999999803</v>
      </c>
      <c r="AF4481">
        <v>-0.68026337939299497</v>
      </c>
      <c r="AG4481">
        <v>-1.1093057315870001</v>
      </c>
      <c r="AH4481">
        <v>17.455948169665099</v>
      </c>
      <c r="AI4481">
        <v>93.633441690730606</v>
      </c>
      <c r="AJ4481">
        <v>92.231703905661703</v>
      </c>
      <c r="AK4481">
        <v>17.504383564510601</v>
      </c>
      <c r="AL4481">
        <v>80.518287231204198</v>
      </c>
      <c r="AM4481">
        <v>91.365782297894597</v>
      </c>
      <c r="AN4481">
        <v>0.99999998591013906</v>
      </c>
    </row>
    <row r="4482" spans="1:40" x14ac:dyDescent="0.25">
      <c r="A4482" t="str">
        <f>"20190312173020235"</f>
        <v>20190312173020235</v>
      </c>
      <c r="B4482" t="str">
        <f>"1552383020232557"</f>
        <v>1552383020232557</v>
      </c>
      <c r="C4482" t="s">
        <v>40</v>
      </c>
      <c r="D4482">
        <v>3.5652460000000001</v>
      </c>
      <c r="E4482">
        <v>0.49470649999999999</v>
      </c>
      <c r="F4482" t="s">
        <v>41</v>
      </c>
      <c r="G4482">
        <v>-373.0419</v>
      </c>
      <c r="H4482" s="1">
        <v>-3.5289639999999999E-6</v>
      </c>
      <c r="I4482">
        <v>141.727</v>
      </c>
      <c r="J4482">
        <v>-355.27769999999998</v>
      </c>
      <c r="K4482">
        <v>1.10931</v>
      </c>
      <c r="L4482">
        <v>142.01820000000001</v>
      </c>
      <c r="M4482">
        <v>-0.99964569999999997</v>
      </c>
      <c r="N4482">
        <v>0</v>
      </c>
      <c r="O4482">
        <v>2.3279959999999999E-2</v>
      </c>
      <c r="P4482">
        <v>-0.98832059999999999</v>
      </c>
      <c r="Q4482">
        <v>0.152386299999999</v>
      </c>
      <c r="R4482">
        <v>-1.0886769999999999E-3</v>
      </c>
      <c r="S4482">
        <v>-3.0642399999999999</v>
      </c>
      <c r="T4482">
        <v>-0.18880559999999999</v>
      </c>
      <c r="U4482">
        <v>-4.8583979999999999E-2</v>
      </c>
      <c r="V4482">
        <v>-2.4001049999999999E-2</v>
      </c>
      <c r="W4482">
        <v>0.16514529999999999</v>
      </c>
      <c r="X4482">
        <v>0.9859772</v>
      </c>
      <c r="Y4482">
        <v>-3.9009729999999999E-2</v>
      </c>
      <c r="Z4482">
        <v>-2.6336480000000002E-3</v>
      </c>
      <c r="AA4482">
        <v>0.99923530000000005</v>
      </c>
      <c r="AB4482">
        <v>43</v>
      </c>
      <c r="AC4482">
        <v>-17.764199999999999</v>
      </c>
      <c r="AD4482">
        <v>-1.1093135289639999</v>
      </c>
      <c r="AE4482">
        <v>-0.29120000000000301</v>
      </c>
      <c r="AF4482">
        <v>-0.70196872423316103</v>
      </c>
      <c r="AG4482">
        <v>-1.1093135289639999</v>
      </c>
      <c r="AH4482">
        <v>17.683664887122301</v>
      </c>
      <c r="AI4482">
        <v>93.586699149270203</v>
      </c>
      <c r="AJ4482">
        <v>92.273213149235403</v>
      </c>
      <c r="AK4482">
        <v>17.732324732966799</v>
      </c>
      <c r="AL4482">
        <v>80.494324942924806</v>
      </c>
      <c r="AM4482">
        <v>91.394441319260196</v>
      </c>
      <c r="AN4482">
        <v>1.0000000297165099</v>
      </c>
    </row>
    <row r="4483" spans="1:40" x14ac:dyDescent="0.25">
      <c r="A4483" t="str">
        <f>"20190312173020255"</f>
        <v>20190312173020255</v>
      </c>
      <c r="B4483" t="str">
        <f>"1552383020242316"</f>
        <v>1552383020242316</v>
      </c>
      <c r="C4483" t="s">
        <v>40</v>
      </c>
      <c r="D4483">
        <v>3.5268869999999999</v>
      </c>
      <c r="E4483">
        <v>0.49455310000000002</v>
      </c>
      <c r="F4483" t="s">
        <v>41</v>
      </c>
      <c r="G4483">
        <v>-373.58870000000002</v>
      </c>
      <c r="H4483" s="1">
        <v>-3.2889610000000002E-6</v>
      </c>
      <c r="I4483">
        <v>141.70660000000001</v>
      </c>
      <c r="J4483">
        <v>-355.6386</v>
      </c>
      <c r="K4483">
        <v>1.109326</v>
      </c>
      <c r="L4483">
        <v>142.02680000000001</v>
      </c>
      <c r="M4483">
        <v>-0.99964189999999997</v>
      </c>
      <c r="N4483">
        <v>0</v>
      </c>
      <c r="O4483">
        <v>2.3428859999999999E-2</v>
      </c>
      <c r="P4483">
        <v>-0.98809709999999995</v>
      </c>
      <c r="Q4483">
        <v>0.15382560000000001</v>
      </c>
      <c r="R4483">
        <v>-1.4340030000000001E-3</v>
      </c>
      <c r="S4483">
        <v>-3.0640260000000001</v>
      </c>
      <c r="T4483">
        <v>-0.1856246</v>
      </c>
      <c r="U4483">
        <v>-5.212402E-2</v>
      </c>
      <c r="V4483">
        <v>-2.4488599999999999E-2</v>
      </c>
      <c r="W4483">
        <v>0.1666077</v>
      </c>
      <c r="X4483">
        <v>0.98571909999999896</v>
      </c>
      <c r="Y4483">
        <v>-4.0315080000000003E-2</v>
      </c>
      <c r="Z4483">
        <v>-2.6380319999999998E-3</v>
      </c>
      <c r="AA4483">
        <v>0.9991835</v>
      </c>
      <c r="AB4483">
        <v>43</v>
      </c>
      <c r="AC4483">
        <v>-17.950099999999999</v>
      </c>
      <c r="AD4483">
        <v>-1.109329288961</v>
      </c>
      <c r="AE4483">
        <v>-0.32019999999999899</v>
      </c>
      <c r="AF4483">
        <v>-0.73788031433574297</v>
      </c>
      <c r="AG4483">
        <v>-1.109329288961</v>
      </c>
      <c r="AH4483">
        <v>17.869441854182998</v>
      </c>
      <c r="AI4483">
        <v>93.549328125772405</v>
      </c>
      <c r="AJ4483">
        <v>92.364563124778996</v>
      </c>
      <c r="AK4483">
        <v>17.9190410181365</v>
      </c>
      <c r="AL4483">
        <v>80.409358034751406</v>
      </c>
      <c r="AM4483">
        <v>91.423128427595302</v>
      </c>
      <c r="AN4483">
        <v>0.999999980667029</v>
      </c>
    </row>
    <row r="4484" spans="1:40" x14ac:dyDescent="0.25">
      <c r="A4484" t="str">
        <f>"20190312173020276"</f>
        <v>20190312173020276</v>
      </c>
      <c r="B4484" t="str">
        <f>"1552383020272572"</f>
        <v>1552383020272572</v>
      </c>
      <c r="C4484" t="s">
        <v>40</v>
      </c>
      <c r="D4484">
        <v>3.5765310000000001</v>
      </c>
      <c r="E4484">
        <v>0.49412600000000001</v>
      </c>
      <c r="F4484" t="s">
        <v>41</v>
      </c>
      <c r="G4484">
        <v>-374.50049999999999</v>
      </c>
      <c r="H4484" s="1">
        <v>-2.895024E-6</v>
      </c>
      <c r="I4484">
        <v>141.69630000000001</v>
      </c>
      <c r="J4484">
        <v>-356.05509999999998</v>
      </c>
      <c r="K4484">
        <v>1.1093569999999999</v>
      </c>
      <c r="L4484">
        <v>142.0368</v>
      </c>
      <c r="M4484">
        <v>-0.99963709999999995</v>
      </c>
      <c r="N4484">
        <v>0</v>
      </c>
      <c r="O4484">
        <v>2.3603249999999999E-2</v>
      </c>
      <c r="P4484">
        <v>-0.98775950000000001</v>
      </c>
      <c r="Q4484">
        <v>0.155974799999999</v>
      </c>
      <c r="R4484">
        <v>-1.7762629999999999E-3</v>
      </c>
      <c r="S4484">
        <v>-3.064117</v>
      </c>
      <c r="T4484">
        <v>-0.1802107</v>
      </c>
      <c r="U4484">
        <v>-5.368042E-2</v>
      </c>
      <c r="V4484">
        <v>-2.499666E-2</v>
      </c>
      <c r="W4484">
        <v>0.1687941</v>
      </c>
      <c r="X4484">
        <v>0.9853343</v>
      </c>
      <c r="Y4484">
        <v>-4.100148E-2</v>
      </c>
      <c r="Z4484">
        <v>-2.5915529999999999E-3</v>
      </c>
      <c r="AA4484">
        <v>0.99915569999999998</v>
      </c>
      <c r="AB4484">
        <v>43</v>
      </c>
      <c r="AC4484">
        <v>-18.445399999999999</v>
      </c>
      <c r="AD4484">
        <v>-1.109359895024</v>
      </c>
      <c r="AE4484">
        <v>-0.34049999999999098</v>
      </c>
      <c r="AF4484">
        <v>-0.77301802230167405</v>
      </c>
      <c r="AG4484">
        <v>-1.109359895024</v>
      </c>
      <c r="AH4484">
        <v>18.365813129141198</v>
      </c>
      <c r="AI4484">
        <v>93.453616881170703</v>
      </c>
      <c r="AJ4484">
        <v>92.410159730460606</v>
      </c>
      <c r="AK4484">
        <v>18.415518676758101</v>
      </c>
      <c r="AL4484">
        <v>80.282286933879405</v>
      </c>
      <c r="AM4484">
        <v>91.453208314003405</v>
      </c>
      <c r="AN4484">
        <v>0.99999998198122697</v>
      </c>
    </row>
    <row r="4485" spans="1:40" x14ac:dyDescent="0.25">
      <c r="A4485" t="str">
        <f>"20190312173020297"</f>
        <v>20190312173020297</v>
      </c>
      <c r="B4485" t="str">
        <f>"1552383020292093"</f>
        <v>1552383020292093</v>
      </c>
      <c r="C4485" t="s">
        <v>40</v>
      </c>
      <c r="D4485">
        <v>3.5606339999999999</v>
      </c>
      <c r="E4485">
        <v>0.49388549999999998</v>
      </c>
      <c r="F4485" t="s">
        <v>41</v>
      </c>
      <c r="G4485">
        <v>-375.92469999999997</v>
      </c>
      <c r="H4485" s="1">
        <v>-2.2755169999999999E-6</v>
      </c>
      <c r="I4485">
        <v>141.66419999999999</v>
      </c>
      <c r="J4485">
        <v>-356.47359999999998</v>
      </c>
      <c r="K4485">
        <v>1.1093930000000001</v>
      </c>
      <c r="L4485">
        <v>142.04689999999999</v>
      </c>
      <c r="M4485">
        <v>-0.99963210000000002</v>
      </c>
      <c r="N4485">
        <v>0</v>
      </c>
      <c r="O4485">
        <v>2.3783269999999999E-2</v>
      </c>
      <c r="P4485">
        <v>-0.98743349999999996</v>
      </c>
      <c r="Q4485">
        <v>0.15801960000000001</v>
      </c>
      <c r="R4485">
        <v>-2.243119E-3</v>
      </c>
      <c r="S4485">
        <v>-3.0640869999999998</v>
      </c>
      <c r="T4485">
        <v>-0.17107459999999999</v>
      </c>
      <c r="U4485">
        <v>-5.7449340000000002E-2</v>
      </c>
      <c r="V4485">
        <v>-2.563563E-2</v>
      </c>
      <c r="W4485">
        <v>0.17089360000000001</v>
      </c>
      <c r="X4485">
        <v>0.9849559</v>
      </c>
      <c r="Y4485">
        <v>-4.2418699999999997E-2</v>
      </c>
      <c r="Z4485">
        <v>-2.509954E-3</v>
      </c>
      <c r="AA4485">
        <v>0.99909680000000001</v>
      </c>
      <c r="AB4485">
        <v>43</v>
      </c>
      <c r="AC4485">
        <v>-19.4511</v>
      </c>
      <c r="AD4485">
        <v>-1.109395275517</v>
      </c>
      <c r="AE4485">
        <v>-0.38269999999999899</v>
      </c>
      <c r="AF4485">
        <v>-0.84250222447238399</v>
      </c>
      <c r="AG4485">
        <v>-1.109395275517</v>
      </c>
      <c r="AH4485">
        <v>19.373496824973301</v>
      </c>
      <c r="AI4485">
        <v>93.274292885788697</v>
      </c>
      <c r="AJ4485">
        <v>92.490073260967705</v>
      </c>
      <c r="AK4485">
        <v>19.423515312703501</v>
      </c>
      <c r="AL4485">
        <v>80.160220765201302</v>
      </c>
      <c r="AM4485">
        <v>91.490911292360195</v>
      </c>
      <c r="AN4485">
        <v>0.99999996649563205</v>
      </c>
    </row>
    <row r="4486" spans="1:40" x14ac:dyDescent="0.25">
      <c r="A4486" t="str">
        <f>"20190312173020320"</f>
        <v>20190312173020320</v>
      </c>
      <c r="B4486" t="str">
        <f>"1552383020312588"</f>
        <v>1552383020312588</v>
      </c>
      <c r="C4486" t="s">
        <v>40</v>
      </c>
      <c r="D4486">
        <v>3.5387849999999998</v>
      </c>
      <c r="E4486">
        <v>0.49365490000000001</v>
      </c>
      <c r="F4486" t="s">
        <v>41</v>
      </c>
      <c r="G4486">
        <v>-377.26060000000001</v>
      </c>
      <c r="H4486" s="1">
        <v>-1.6956360000000001E-6</v>
      </c>
      <c r="I4486">
        <v>141.6386</v>
      </c>
      <c r="J4486">
        <v>-356.90890000000002</v>
      </c>
      <c r="K4486">
        <v>1.109432</v>
      </c>
      <c r="L4486">
        <v>142.0574</v>
      </c>
      <c r="M4486">
        <v>-0.99962649999999997</v>
      </c>
      <c r="N4486">
        <v>0</v>
      </c>
      <c r="O4486">
        <v>2.3973399999999999E-2</v>
      </c>
      <c r="P4486">
        <v>-0.98712739999999999</v>
      </c>
      <c r="Q4486">
        <v>0.15991259999999999</v>
      </c>
      <c r="R4486">
        <v>-2.8373719999999999E-3</v>
      </c>
      <c r="S4486">
        <v>-3.064209</v>
      </c>
      <c r="T4486">
        <v>-0.16353609999999999</v>
      </c>
      <c r="U4486">
        <v>-6.0165410000000002E-2</v>
      </c>
      <c r="V4486">
        <v>-2.6412100000000001E-2</v>
      </c>
      <c r="W4486">
        <v>0.17287359999999999</v>
      </c>
      <c r="X4486">
        <v>0.98458979999999996</v>
      </c>
      <c r="Y4486">
        <v>-4.350031E-2</v>
      </c>
      <c r="Z4486">
        <v>-2.4383780000000002E-3</v>
      </c>
      <c r="AA4486">
        <v>0.99905040000000001</v>
      </c>
      <c r="AB4486">
        <v>43</v>
      </c>
      <c r="AC4486">
        <v>-20.351699999999902</v>
      </c>
      <c r="AD4486">
        <v>-1.109433695636</v>
      </c>
      <c r="AE4486">
        <v>-0.418800000000004</v>
      </c>
      <c r="AF4486">
        <v>-0.90393599064255703</v>
      </c>
      <c r="AG4486">
        <v>-1.109433695636</v>
      </c>
      <c r="AH4486">
        <v>20.275581986161299</v>
      </c>
      <c r="AI4486">
        <v>93.128869653093403</v>
      </c>
      <c r="AJ4486">
        <v>92.552698334186402</v>
      </c>
      <c r="AK4486">
        <v>20.326021949160101</v>
      </c>
      <c r="AL4486">
        <v>80.045061317964596</v>
      </c>
      <c r="AM4486">
        <v>91.536618620942605</v>
      </c>
      <c r="AN4486">
        <v>0.99999997743370395</v>
      </c>
    </row>
    <row r="4487" spans="1:40" x14ac:dyDescent="0.25">
      <c r="A4487" t="str">
        <f>"20190312173020336"</f>
        <v>20190312173020336</v>
      </c>
      <c r="B4487" t="str">
        <f>"1552383020332108"</f>
        <v>1552383020332108</v>
      </c>
      <c r="C4487" t="s">
        <v>40</v>
      </c>
      <c r="D4487">
        <v>3.565099</v>
      </c>
      <c r="E4487">
        <v>0.49339690000000003</v>
      </c>
      <c r="F4487" t="s">
        <v>41</v>
      </c>
      <c r="G4487">
        <v>-378.64069999999998</v>
      </c>
      <c r="H4487" s="1">
        <v>-1.095036E-6</v>
      </c>
      <c r="I4487">
        <v>141.60659999999999</v>
      </c>
      <c r="J4487">
        <v>-357.2244</v>
      </c>
      <c r="K4487">
        <v>1.1094569999999999</v>
      </c>
      <c r="L4487">
        <v>142.0651</v>
      </c>
      <c r="M4487">
        <v>-0.99962200000000001</v>
      </c>
      <c r="N4487">
        <v>0</v>
      </c>
      <c r="O4487">
        <v>2.4110530000000002E-2</v>
      </c>
      <c r="P4487">
        <v>-0.98704270000000005</v>
      </c>
      <c r="Q4487">
        <v>0.16043070000000001</v>
      </c>
      <c r="R4487">
        <v>-2.979083E-3</v>
      </c>
      <c r="S4487">
        <v>-3.06427</v>
      </c>
      <c r="T4487">
        <v>-0.1564345</v>
      </c>
      <c r="U4487">
        <v>-6.3552860000000003E-2</v>
      </c>
      <c r="V4487">
        <v>-2.6689540000000001E-2</v>
      </c>
      <c r="W4487">
        <v>0.17347190000000001</v>
      </c>
      <c r="X4487">
        <v>0.98447709999999999</v>
      </c>
      <c r="Y4487">
        <v>-4.4747290000000002E-2</v>
      </c>
      <c r="Z4487">
        <v>-2.3713670000000001E-3</v>
      </c>
      <c r="AA4487">
        <v>0.99899550000000004</v>
      </c>
      <c r="AB4487">
        <v>43</v>
      </c>
      <c r="AC4487">
        <v>-21.4162999999999</v>
      </c>
      <c r="AD4487">
        <v>-1.109458095036</v>
      </c>
      <c r="AE4487">
        <v>-0.45850000000001501</v>
      </c>
      <c r="AF4487">
        <v>-0.97216231180586798</v>
      </c>
      <c r="AG4487">
        <v>-1.109458095036</v>
      </c>
      <c r="AH4487">
        <v>21.3417690000955</v>
      </c>
      <c r="AI4487">
        <v>92.972781923205801</v>
      </c>
      <c r="AJ4487">
        <v>92.6081398921784</v>
      </c>
      <c r="AK4487">
        <v>21.3926880236817</v>
      </c>
      <c r="AL4487">
        <v>80.010255572742693</v>
      </c>
      <c r="AM4487">
        <v>91.552929494149893</v>
      </c>
      <c r="AN4487">
        <v>0.99999999602971501</v>
      </c>
    </row>
    <row r="4488" spans="1:40" x14ac:dyDescent="0.25">
      <c r="A4488" t="str">
        <f>"20190312173020354"</f>
        <v>20190312173020354</v>
      </c>
      <c r="B4488" t="str">
        <f>"1552383020341869"</f>
        <v>1552383020341869</v>
      </c>
      <c r="C4488" t="s">
        <v>40</v>
      </c>
      <c r="D4488">
        <v>3.5451730000000001</v>
      </c>
      <c r="E4488">
        <v>0.49326560000000003</v>
      </c>
      <c r="F4488" t="s">
        <v>41</v>
      </c>
      <c r="G4488">
        <v>-379.36700000000002</v>
      </c>
      <c r="H4488" s="1">
        <v>-7.783889E-7</v>
      </c>
      <c r="I4488">
        <v>141.58760000000001</v>
      </c>
      <c r="J4488">
        <v>-357.55590000000001</v>
      </c>
      <c r="K4488">
        <v>1.1094759999999999</v>
      </c>
      <c r="L4488">
        <v>142.07320000000001</v>
      </c>
      <c r="M4488">
        <v>-0.99961739999999999</v>
      </c>
      <c r="N4488">
        <v>0</v>
      </c>
      <c r="O4488">
        <v>2.4250219999999999E-2</v>
      </c>
      <c r="P4488">
        <v>-0.98693430000000004</v>
      </c>
      <c r="Q4488">
        <v>0.16109209999999999</v>
      </c>
      <c r="R4488">
        <v>-3.2388669999999999E-3</v>
      </c>
      <c r="S4488">
        <v>-3.0641780000000001</v>
      </c>
      <c r="T4488">
        <v>-0.1535308</v>
      </c>
      <c r="U4488">
        <v>-6.607056E-2</v>
      </c>
      <c r="V4488">
        <v>-2.7085379999999999E-2</v>
      </c>
      <c r="W4488">
        <v>0.17422319999999999</v>
      </c>
      <c r="X4488">
        <v>0.98433360000000003</v>
      </c>
      <c r="Y4488">
        <v>-4.5709890000000003E-2</v>
      </c>
      <c r="Z4488">
        <v>-2.3585519999999999E-3</v>
      </c>
      <c r="AA4488">
        <v>0.99895199999999995</v>
      </c>
      <c r="AB4488">
        <v>43</v>
      </c>
      <c r="AC4488">
        <v>-21.8110999999999</v>
      </c>
      <c r="AD4488">
        <v>-1.1094767783888999</v>
      </c>
      <c r="AE4488">
        <v>-0.48560000000000503</v>
      </c>
      <c r="AF4488">
        <v>-1.01181118380544</v>
      </c>
      <c r="AG4488">
        <v>-1.1094767783888999</v>
      </c>
      <c r="AH4488">
        <v>21.7366917647688</v>
      </c>
      <c r="AI4488">
        <v>92.918780888623104</v>
      </c>
      <c r="AJ4488">
        <v>92.665110887826401</v>
      </c>
      <c r="AK4488">
        <v>21.788493969754398</v>
      </c>
      <c r="AL4488">
        <v>79.966543557362797</v>
      </c>
      <c r="AM4488">
        <v>91.576179526147598</v>
      </c>
      <c r="AN4488">
        <v>0.99999998865847195</v>
      </c>
    </row>
    <row r="4489" spans="1:40" x14ac:dyDescent="0.25">
      <c r="A4489" t="str">
        <f>"20190312173020375"</f>
        <v>20190312173020375</v>
      </c>
      <c r="B4489" t="str">
        <f>"1552383020362365"</f>
        <v>1552383020362365</v>
      </c>
      <c r="C4489" t="s">
        <v>40</v>
      </c>
      <c r="D4489">
        <v>3.5400510000000001</v>
      </c>
      <c r="E4489">
        <v>0.49304170000000003</v>
      </c>
      <c r="F4489" t="s">
        <v>41</v>
      </c>
      <c r="G4489">
        <v>-380.06849999999997</v>
      </c>
      <c r="H4489" s="1">
        <v>-4.6003249999999999E-6</v>
      </c>
      <c r="I4489">
        <v>141.57589999999999</v>
      </c>
      <c r="J4489">
        <v>-357.96929999999998</v>
      </c>
      <c r="K4489">
        <v>1.1095029999999999</v>
      </c>
      <c r="L4489">
        <v>142.08340000000001</v>
      </c>
      <c r="M4489">
        <v>-0.99961180000000005</v>
      </c>
      <c r="N4489">
        <v>0</v>
      </c>
      <c r="O4489">
        <v>2.441256E-2</v>
      </c>
      <c r="P4489">
        <v>-0.98690739999999999</v>
      </c>
      <c r="Q4489">
        <v>0.16126270000000001</v>
      </c>
      <c r="R4489">
        <v>-2.9173160000000001E-3</v>
      </c>
      <c r="S4489">
        <v>-3.0641479999999999</v>
      </c>
      <c r="T4489">
        <v>-0.1510099</v>
      </c>
      <c r="U4489">
        <v>-6.767273E-2</v>
      </c>
      <c r="V4489">
        <v>-2.6925830000000001E-2</v>
      </c>
      <c r="W4489">
        <v>0.174507299999999</v>
      </c>
      <c r="X4489">
        <v>0.98428769999999999</v>
      </c>
      <c r="Y4489">
        <v>-4.6396270000000003E-2</v>
      </c>
      <c r="Z4489">
        <v>-2.3447820000000001E-3</v>
      </c>
      <c r="AA4489">
        <v>0.99892040000000004</v>
      </c>
      <c r="AB4489">
        <v>43</v>
      </c>
      <c r="AC4489">
        <v>-22.0992</v>
      </c>
      <c r="AD4489">
        <v>-1.109507600325</v>
      </c>
      <c r="AE4489">
        <v>-0.50750000000002105</v>
      </c>
      <c r="AF4489">
        <v>-1.0442645965800501</v>
      </c>
      <c r="AG4489">
        <v>-1.109507600325</v>
      </c>
      <c r="AH4489">
        <v>22.024735339084501</v>
      </c>
      <c r="AI4489">
        <v>92.880636567372406</v>
      </c>
      <c r="AJ4489">
        <v>92.714547035666698</v>
      </c>
      <c r="AK4489">
        <v>22.077374445788799</v>
      </c>
      <c r="AL4489">
        <v>79.950013082123206</v>
      </c>
      <c r="AM4489">
        <v>91.566972507575699</v>
      </c>
      <c r="AN4489">
        <v>1.0000000372228799</v>
      </c>
    </row>
    <row r="4490" spans="1:40" x14ac:dyDescent="0.25">
      <c r="A4490" t="str">
        <f>"20190312173020390"</f>
        <v>20190312173020390</v>
      </c>
      <c r="B4490" t="str">
        <f>"1552383020381885"</f>
        <v>1552383020381885</v>
      </c>
      <c r="C4490" t="s">
        <v>40</v>
      </c>
      <c r="D4490">
        <v>3.5420579999999999</v>
      </c>
      <c r="E4490">
        <v>0.49282219999999999</v>
      </c>
      <c r="F4490" t="s">
        <v>41</v>
      </c>
      <c r="G4490">
        <v>-380.71570000000003</v>
      </c>
      <c r="H4490" s="1">
        <v>-4.3790830000000003E-6</v>
      </c>
      <c r="I4490">
        <v>141.5703</v>
      </c>
      <c r="J4490">
        <v>-358.26069999999999</v>
      </c>
      <c r="K4490">
        <v>1.109518</v>
      </c>
      <c r="L4490">
        <v>142.09059999999999</v>
      </c>
      <c r="M4490">
        <v>-0.99960839999999995</v>
      </c>
      <c r="N4490">
        <v>0</v>
      </c>
      <c r="O4490">
        <v>2.45147E-2</v>
      </c>
      <c r="P4490">
        <v>-0.98697449999999998</v>
      </c>
      <c r="Q4490">
        <v>0.16084389999999901</v>
      </c>
      <c r="R4490">
        <v>-3.300463E-3</v>
      </c>
      <c r="S4490">
        <v>-3.0640260000000001</v>
      </c>
      <c r="T4490">
        <v>-0.14945520000000001</v>
      </c>
      <c r="U4490">
        <v>-6.9107059999999998E-2</v>
      </c>
      <c r="V4490">
        <v>-2.7413739999999999E-2</v>
      </c>
      <c r="W4490">
        <v>0.17416589999999901</v>
      </c>
      <c r="X4490">
        <v>0.98433459999999995</v>
      </c>
      <c r="Y4490">
        <v>-4.6967559999999998E-2</v>
      </c>
      <c r="Z4490">
        <v>-2.339654E-3</v>
      </c>
      <c r="AA4490">
        <v>0.9988937</v>
      </c>
      <c r="AB4490">
        <v>43</v>
      </c>
      <c r="AC4490">
        <v>-22.454999999999998</v>
      </c>
      <c r="AD4490">
        <v>-1.109522379083</v>
      </c>
      <c r="AE4490">
        <v>-0.52029999999999099</v>
      </c>
      <c r="AF4490">
        <v>-1.0680650979413799</v>
      </c>
      <c r="AG4490">
        <v>-1.109522379083</v>
      </c>
      <c r="AH4490">
        <v>22.380881945935101</v>
      </c>
      <c r="AI4490">
        <v>92.834868623469603</v>
      </c>
      <c r="AJ4490">
        <v>92.732208232838005</v>
      </c>
      <c r="AK4490">
        <v>22.433806623955</v>
      </c>
      <c r="AL4490">
        <v>79.969877078476202</v>
      </c>
      <c r="AM4490">
        <v>91.595276345053705</v>
      </c>
      <c r="AN4490">
        <v>0.99999993931037601</v>
      </c>
    </row>
    <row r="4491" spans="1:40" x14ac:dyDescent="0.25">
      <c r="A4491" t="str">
        <f>"20190312173020404"</f>
        <v>20190312173020404</v>
      </c>
      <c r="B4491" t="str">
        <f>"1552383020392620"</f>
        <v>1552383020392620</v>
      </c>
      <c r="C4491" t="s">
        <v>40</v>
      </c>
      <c r="D4491">
        <v>3.5781890000000001</v>
      </c>
      <c r="E4491">
        <v>0.4927202</v>
      </c>
      <c r="F4491" t="s">
        <v>41</v>
      </c>
      <c r="G4491">
        <v>-380.94290000000001</v>
      </c>
      <c r="H4491" s="1">
        <v>-4.2988070000000002E-6</v>
      </c>
      <c r="I4491">
        <v>141.55359999999999</v>
      </c>
      <c r="J4491">
        <v>-358.5258</v>
      </c>
      <c r="K4491">
        <v>1.1095330000000001</v>
      </c>
      <c r="L4491">
        <v>142.09710000000001</v>
      </c>
      <c r="M4491">
        <v>-0.99960530000000003</v>
      </c>
      <c r="N4491">
        <v>0</v>
      </c>
      <c r="O4491">
        <v>2.4598890000000002E-2</v>
      </c>
      <c r="P4491">
        <v>-0.98712489999999997</v>
      </c>
      <c r="Q4491">
        <v>0.1599236</v>
      </c>
      <c r="R4491">
        <v>-2.9540759999999999E-3</v>
      </c>
      <c r="S4491">
        <v>-3.0637819999999998</v>
      </c>
      <c r="T4491">
        <v>-0.1498681</v>
      </c>
      <c r="U4491">
        <v>-7.2509770000000001E-2</v>
      </c>
      <c r="V4491">
        <v>-2.7157850000000001E-2</v>
      </c>
      <c r="W4491">
        <v>0.17331450000000001</v>
      </c>
      <c r="X4491">
        <v>0.98449200000000003</v>
      </c>
      <c r="Y4491">
        <v>-4.816028E-2</v>
      </c>
      <c r="Z4491">
        <v>-2.3795380000000001E-3</v>
      </c>
      <c r="AA4491">
        <v>0.99883679999999997</v>
      </c>
      <c r="AB4491">
        <v>43</v>
      </c>
      <c r="AC4491">
        <v>-22.417100000000001</v>
      </c>
      <c r="AD4491">
        <v>-1.109537298807</v>
      </c>
      <c r="AE4491">
        <v>-0.54350000000002296</v>
      </c>
      <c r="AF4491">
        <v>-1.09214812410517</v>
      </c>
      <c r="AG4491">
        <v>-1.109537298807</v>
      </c>
      <c r="AH4491">
        <v>22.342243483748099</v>
      </c>
      <c r="AI4491">
        <v>92.839642781412707</v>
      </c>
      <c r="AJ4491">
        <v>92.798542046240996</v>
      </c>
      <c r="AK4491">
        <v>22.3964216880625</v>
      </c>
      <c r="AL4491">
        <v>80.019412485874199</v>
      </c>
      <c r="AM4491">
        <v>91.580140488064401</v>
      </c>
      <c r="AN4491">
        <v>0.999999981395436</v>
      </c>
    </row>
    <row r="4492" spans="1:40" x14ac:dyDescent="0.25">
      <c r="A4492" t="str">
        <f>"20190312173020418"</f>
        <v>20190312173020418</v>
      </c>
      <c r="B4492" t="str">
        <f>"1552383020412140"</f>
        <v>1552383020412140</v>
      </c>
      <c r="C4492" t="s">
        <v>40</v>
      </c>
      <c r="D4492">
        <v>3.575796</v>
      </c>
      <c r="E4492">
        <v>0.4925464</v>
      </c>
      <c r="F4492" t="s">
        <v>41</v>
      </c>
      <c r="G4492">
        <v>-380.83150000000001</v>
      </c>
      <c r="H4492" s="1">
        <v>-4.3394349999999901E-6</v>
      </c>
      <c r="I4492">
        <v>141.56890000000001</v>
      </c>
      <c r="J4492">
        <v>-358.82220000000001</v>
      </c>
      <c r="K4492">
        <v>1.109548</v>
      </c>
      <c r="L4492">
        <v>142.1045</v>
      </c>
      <c r="M4492">
        <v>-0.99960260000000001</v>
      </c>
      <c r="N4492">
        <v>0</v>
      </c>
      <c r="O4492">
        <v>2.467192E-2</v>
      </c>
      <c r="P4492">
        <v>-0.98738380000000003</v>
      </c>
      <c r="Q4492">
        <v>0.1583175</v>
      </c>
      <c r="R4492">
        <v>-2.9814989999999999E-3</v>
      </c>
      <c r="S4492">
        <v>-3.063599</v>
      </c>
      <c r="T4492">
        <v>-0.15239129999999901</v>
      </c>
      <c r="U4492">
        <v>-7.2540279999999999E-2</v>
      </c>
      <c r="V4492">
        <v>-2.7269970000000001E-2</v>
      </c>
      <c r="W4492">
        <v>0.17178060000000001</v>
      </c>
      <c r="X4492">
        <v>0.98475769999999996</v>
      </c>
      <c r="Y4492">
        <v>-4.8241480000000003E-2</v>
      </c>
      <c r="Z4492">
        <v>-2.4253450000000002E-3</v>
      </c>
      <c r="AA4492">
        <v>0.99883279999999997</v>
      </c>
      <c r="AB4492">
        <v>43</v>
      </c>
      <c r="AC4492">
        <v>-22.0093</v>
      </c>
      <c r="AD4492">
        <v>-1.109552339435</v>
      </c>
      <c r="AE4492">
        <v>-0.53559999999998797</v>
      </c>
      <c r="AF4492">
        <v>-1.07576671430865</v>
      </c>
      <c r="AG4492">
        <v>-1.109552339435</v>
      </c>
      <c r="AH4492">
        <v>21.933673113139999</v>
      </c>
      <c r="AI4492">
        <v>92.892465388147698</v>
      </c>
      <c r="AJ4492">
        <v>92.807899065823904</v>
      </c>
      <c r="AK4492">
        <v>21.988051224509199</v>
      </c>
      <c r="AL4492">
        <v>80.108636704952204</v>
      </c>
      <c r="AM4492">
        <v>91.586232819161395</v>
      </c>
      <c r="AN4492">
        <v>0.99999997675472496</v>
      </c>
    </row>
    <row r="4493" spans="1:40" x14ac:dyDescent="0.25">
      <c r="A4493" t="str">
        <f>"20190312173020435"</f>
        <v>20190312173020435</v>
      </c>
      <c r="B4493" t="str">
        <f>"1552383020432367"</f>
        <v>1552383020432367</v>
      </c>
      <c r="C4493" t="s">
        <v>40</v>
      </c>
      <c r="D4493">
        <v>3.5823369999999999</v>
      </c>
      <c r="E4493">
        <v>0.4923766</v>
      </c>
      <c r="F4493" t="s">
        <v>41</v>
      </c>
      <c r="G4493">
        <v>-380.49680000000001</v>
      </c>
      <c r="H4493" s="1">
        <v>-4.4551279999999998E-6</v>
      </c>
      <c r="I4493">
        <v>141.57900000000001</v>
      </c>
      <c r="J4493">
        <v>-359.12279999999998</v>
      </c>
      <c r="K4493">
        <v>1.109567</v>
      </c>
      <c r="L4493">
        <v>142.11199999999999</v>
      </c>
      <c r="M4493">
        <v>-0.99960020000000005</v>
      </c>
      <c r="N4493">
        <v>0</v>
      </c>
      <c r="O4493">
        <v>2.4730970000000001E-2</v>
      </c>
      <c r="P4493">
        <v>-0.98755590000000004</v>
      </c>
      <c r="Q4493">
        <v>0.15724250000000001</v>
      </c>
      <c r="R4493">
        <v>-2.9547559999999998E-3</v>
      </c>
      <c r="S4493">
        <v>-3.0632630000000001</v>
      </c>
      <c r="T4493">
        <v>-0.1568128</v>
      </c>
      <c r="U4493">
        <v>-7.4249270000000006E-2</v>
      </c>
      <c r="V4493">
        <v>-2.7313339999999998E-2</v>
      </c>
      <c r="W4493">
        <v>0.17077290000000001</v>
      </c>
      <c r="X4493">
        <v>0.98493180000000002</v>
      </c>
      <c r="Y4493">
        <v>-4.8853809999999998E-2</v>
      </c>
      <c r="Z4493">
        <v>-2.514563E-3</v>
      </c>
      <c r="AA4493">
        <v>0.99880279999999999</v>
      </c>
      <c r="AB4493">
        <v>43</v>
      </c>
      <c r="AC4493">
        <v>-21.373999999999999</v>
      </c>
      <c r="AD4493">
        <v>-1.109571455128</v>
      </c>
      <c r="AE4493">
        <v>-0.53299999999998704</v>
      </c>
      <c r="AF4493">
        <v>-1.05863522913476</v>
      </c>
      <c r="AG4493">
        <v>-1.109571455128</v>
      </c>
      <c r="AH4493">
        <v>21.296921618434901</v>
      </c>
      <c r="AI4493">
        <v>92.978747279384905</v>
      </c>
      <c r="AJ4493">
        <v>92.845737402768606</v>
      </c>
      <c r="AK4493">
        <v>21.352066124479801</v>
      </c>
      <c r="AL4493">
        <v>80.167240136097305</v>
      </c>
      <c r="AM4493">
        <v>91.588473572706704</v>
      </c>
      <c r="AN4493">
        <v>1.0000000262838</v>
      </c>
    </row>
    <row r="4494" spans="1:40" x14ac:dyDescent="0.25">
      <c r="A4494" t="str">
        <f>"20190312173020454"</f>
        <v>20190312173020454</v>
      </c>
      <c r="B4494" t="str">
        <f>"1552383020442126"</f>
        <v>1552383020442126</v>
      </c>
      <c r="C4494" t="s">
        <v>40</v>
      </c>
      <c r="D4494">
        <v>3.5568430000000002</v>
      </c>
      <c r="E4494">
        <v>0.49228690000000003</v>
      </c>
      <c r="F4494" t="s">
        <v>41</v>
      </c>
      <c r="G4494">
        <v>-380.45069999999998</v>
      </c>
      <c r="H4494" s="1">
        <v>-4.4721430000000001E-6</v>
      </c>
      <c r="I4494">
        <v>141.5866</v>
      </c>
      <c r="J4494">
        <v>-359.48110000000003</v>
      </c>
      <c r="K4494">
        <v>1.10959599999999</v>
      </c>
      <c r="L4494">
        <v>142.12090000000001</v>
      </c>
      <c r="M4494">
        <v>-0.99959810000000004</v>
      </c>
      <c r="N4494">
        <v>0</v>
      </c>
      <c r="O4494">
        <v>2.4774150000000002E-2</v>
      </c>
      <c r="P4494">
        <v>-0.98782769999999998</v>
      </c>
      <c r="Q4494">
        <v>0.1555327</v>
      </c>
      <c r="R4494">
        <v>-2.4966020000000001E-3</v>
      </c>
      <c r="S4494">
        <v>-3.0629580000000001</v>
      </c>
      <c r="T4494">
        <v>-0.15934870000000001</v>
      </c>
      <c r="U4494">
        <v>-7.5439450000000005E-2</v>
      </c>
      <c r="V4494">
        <v>-2.691619E-2</v>
      </c>
      <c r="W4494">
        <v>0.16913900000000001</v>
      </c>
      <c r="X4494">
        <v>0.98522460000000001</v>
      </c>
      <c r="Y4494">
        <v>-4.9283460000000001E-2</v>
      </c>
      <c r="Z4494">
        <v>-2.5688299999999998E-3</v>
      </c>
      <c r="AA4494">
        <v>0.99878149999999999</v>
      </c>
      <c r="AB4494">
        <v>43</v>
      </c>
      <c r="AC4494">
        <v>-20.9695999999999</v>
      </c>
      <c r="AD4494">
        <v>-1.10960047214299</v>
      </c>
      <c r="AE4494">
        <v>-0.534300000000001</v>
      </c>
      <c r="AF4494">
        <v>-1.0507491680613199</v>
      </c>
      <c r="AG4494">
        <v>-1.10960047214299</v>
      </c>
      <c r="AH4494">
        <v>20.891467094376299</v>
      </c>
      <c r="AI4494">
        <v>93.036441128866798</v>
      </c>
      <c r="AJ4494">
        <v>92.8793001818227</v>
      </c>
      <c r="AK4494">
        <v>20.947283460567601</v>
      </c>
      <c r="AL4494">
        <v>80.262237494559201</v>
      </c>
      <c r="AM4494">
        <v>91.564922939514403</v>
      </c>
      <c r="AN4494">
        <v>0.99999999752513802</v>
      </c>
    </row>
    <row r="4495" spans="1:40" x14ac:dyDescent="0.25">
      <c r="A4495" t="str">
        <f>"20190312173020477"</f>
        <v>20190312173020477</v>
      </c>
      <c r="B4495" t="str">
        <f>"1552383020472383"</f>
        <v>1552383020472383</v>
      </c>
      <c r="C4495" t="s">
        <v>40</v>
      </c>
      <c r="D4495">
        <v>3.5545140000000002</v>
      </c>
      <c r="E4495">
        <v>0.49202790000000002</v>
      </c>
      <c r="F4495" t="s">
        <v>41</v>
      </c>
      <c r="G4495">
        <v>-380.154</v>
      </c>
      <c r="H4495" s="1">
        <v>-4.5781189999999997E-6</v>
      </c>
      <c r="I4495">
        <v>141.6148</v>
      </c>
      <c r="J4495">
        <v>-359.90289999999999</v>
      </c>
      <c r="K4495">
        <v>1.109645</v>
      </c>
      <c r="L4495">
        <v>142.13130000000001</v>
      </c>
      <c r="M4495">
        <v>-0.99959699999999996</v>
      </c>
      <c r="N4495">
        <v>0</v>
      </c>
      <c r="O4495">
        <v>2.4771580000000001E-2</v>
      </c>
      <c r="P4495">
        <v>-0.98789530000000003</v>
      </c>
      <c r="Q4495">
        <v>0.1551014</v>
      </c>
      <c r="R4495">
        <v>-2.5335510000000002E-3</v>
      </c>
      <c r="S4495">
        <v>-3.0626829999999998</v>
      </c>
      <c r="T4495">
        <v>-0.16438759999999999</v>
      </c>
      <c r="U4495">
        <v>-7.4966430000000001E-2</v>
      </c>
      <c r="V4495">
        <v>-2.6969529999999999E-2</v>
      </c>
      <c r="W4495">
        <v>0.1687842</v>
      </c>
      <c r="X4495">
        <v>0.98528400000000005</v>
      </c>
      <c r="Y4495">
        <v>-4.9122770000000003E-2</v>
      </c>
      <c r="Z4495">
        <v>-2.6457429999999999E-3</v>
      </c>
      <c r="AA4495">
        <v>0.99878929999999999</v>
      </c>
      <c r="AB4495">
        <v>43</v>
      </c>
      <c r="AC4495">
        <v>-20.251100000000001</v>
      </c>
      <c r="AD4495">
        <v>-1.1096495781189999</v>
      </c>
      <c r="AE4495">
        <v>-0.51650000000000695</v>
      </c>
      <c r="AF4495">
        <v>-1.0149959516926499</v>
      </c>
      <c r="AG4495">
        <v>-1.1096495781189999</v>
      </c>
      <c r="AH4495">
        <v>20.171564189117301</v>
      </c>
      <c r="AI4495">
        <v>93.144730255058406</v>
      </c>
      <c r="AJ4495">
        <v>92.880588581986203</v>
      </c>
      <c r="AK4495">
        <v>20.227544112023399</v>
      </c>
      <c r="AL4495">
        <v>80.282862705613496</v>
      </c>
      <c r="AM4495">
        <v>91.5679281269516</v>
      </c>
      <c r="AN4495">
        <v>1.00000001118703</v>
      </c>
    </row>
    <row r="4496" spans="1:40" x14ac:dyDescent="0.25">
      <c r="A4496" t="str">
        <f>"20190312173020499"</f>
        <v>20190312173020499</v>
      </c>
      <c r="B4496" t="str">
        <f>"1552383020491902"</f>
        <v>1552383020491902</v>
      </c>
      <c r="C4496" t="s">
        <v>40</v>
      </c>
      <c r="D4496">
        <v>3.59152</v>
      </c>
      <c r="E4496">
        <v>0.49185699999999999</v>
      </c>
      <c r="F4496" t="s">
        <v>41</v>
      </c>
      <c r="G4496">
        <v>-380.52069999999998</v>
      </c>
      <c r="H4496" s="1">
        <v>-4.4524900000000003E-6</v>
      </c>
      <c r="I4496">
        <v>141.61000000000001</v>
      </c>
      <c r="J4496">
        <v>-360.3408</v>
      </c>
      <c r="K4496">
        <v>1.10971</v>
      </c>
      <c r="L4496">
        <v>142.1421</v>
      </c>
      <c r="M4496">
        <v>-0.99959810000000004</v>
      </c>
      <c r="N4496">
        <v>0</v>
      </c>
      <c r="O4496">
        <v>2.4688990000000001E-2</v>
      </c>
      <c r="P4496">
        <v>-0.98791779999999996</v>
      </c>
      <c r="Q4496">
        <v>0.15495499999999901</v>
      </c>
      <c r="R4496">
        <v>-2.7574029999999999E-3</v>
      </c>
      <c r="S4496">
        <v>-3.0624690000000001</v>
      </c>
      <c r="T4496">
        <v>-0.1648223</v>
      </c>
      <c r="U4496">
        <v>-7.7423099999999995E-2</v>
      </c>
      <c r="V4496">
        <v>-2.7137620000000001E-2</v>
      </c>
      <c r="W4496">
        <v>0.16870660000000001</v>
      </c>
      <c r="X4496">
        <v>0.98529270000000002</v>
      </c>
      <c r="Y4496">
        <v>-4.9841169999999997E-2</v>
      </c>
      <c r="Z4496">
        <v>-2.6677659999999998E-3</v>
      </c>
      <c r="AA4496">
        <v>0.99875360000000002</v>
      </c>
      <c r="AB4496">
        <v>43</v>
      </c>
      <c r="AC4496">
        <v>-20.1798999999999</v>
      </c>
      <c r="AD4496">
        <v>-1.10971445249</v>
      </c>
      <c r="AE4496">
        <v>-0.53209999999998503</v>
      </c>
      <c r="AF4496">
        <v>-1.0271036581622099</v>
      </c>
      <c r="AG4496">
        <v>-1.10971445249</v>
      </c>
      <c r="AH4496">
        <v>20.099869141801801</v>
      </c>
      <c r="AI4496">
        <v>93.1559842670503</v>
      </c>
      <c r="AJ4496">
        <v>92.925270919870002</v>
      </c>
      <c r="AK4496">
        <v>20.156665091434</v>
      </c>
      <c r="AL4496">
        <v>80.287373788184695</v>
      </c>
      <c r="AM4496">
        <v>91.577681531273896</v>
      </c>
      <c r="AN4496">
        <v>1.0000000359880501</v>
      </c>
    </row>
    <row r="4497" spans="1:40" x14ac:dyDescent="0.25">
      <c r="A4497" t="str">
        <f>"20190312173020520"</f>
        <v>20190312173020520</v>
      </c>
      <c r="B4497" t="str">
        <f>"1552383020512398"</f>
        <v>1552383020512398</v>
      </c>
      <c r="C4497" t="s">
        <v>40</v>
      </c>
      <c r="D4497">
        <v>3.580908</v>
      </c>
      <c r="E4497">
        <v>0.49169940000000001</v>
      </c>
      <c r="F4497" t="s">
        <v>41</v>
      </c>
      <c r="G4497">
        <v>-380.9948</v>
      </c>
      <c r="H4497" s="1">
        <v>-4.2899999999999996E-6</v>
      </c>
      <c r="I4497">
        <v>141.6036</v>
      </c>
      <c r="J4497">
        <v>-360.74529999999999</v>
      </c>
      <c r="K4497">
        <v>1.1097969999999999</v>
      </c>
      <c r="L4497">
        <v>142.15199999999999</v>
      </c>
      <c r="M4497">
        <v>-0.99960139999999997</v>
      </c>
      <c r="N4497">
        <v>0</v>
      </c>
      <c r="O4497">
        <v>2.4518620000000001E-2</v>
      </c>
      <c r="P4497">
        <v>-0.98795679999999997</v>
      </c>
      <c r="Q4497">
        <v>0.1546941</v>
      </c>
      <c r="R4497">
        <v>-3.3425439999999998E-3</v>
      </c>
      <c r="S4497">
        <v>-3.0622560000000001</v>
      </c>
      <c r="T4497">
        <v>-0.16453139999999999</v>
      </c>
      <c r="U4497">
        <v>-7.9833979999999999E-2</v>
      </c>
      <c r="V4497">
        <v>-2.7585410000000001E-2</v>
      </c>
      <c r="W4497">
        <v>0.16850079999999901</v>
      </c>
      <c r="X4497">
        <v>0.98531539999999995</v>
      </c>
      <c r="Y4497">
        <v>-5.0458240000000001E-2</v>
      </c>
      <c r="Z4497">
        <v>-2.670642E-3</v>
      </c>
      <c r="AA4497">
        <v>0.99872260000000002</v>
      </c>
      <c r="AB4497">
        <v>43</v>
      </c>
      <c r="AC4497">
        <v>-20.249500000000001</v>
      </c>
      <c r="AD4497">
        <v>-1.1098012899999901</v>
      </c>
      <c r="AE4497">
        <v>-0.54840000000001499</v>
      </c>
      <c r="AF4497">
        <v>-1.0416469927117</v>
      </c>
      <c r="AG4497">
        <v>-1.1098012899999901</v>
      </c>
      <c r="AH4497">
        <v>20.169424704963099</v>
      </c>
      <c r="AI4497">
        <v>93.145280529228899</v>
      </c>
      <c r="AJ4497">
        <v>92.956405597807006</v>
      </c>
      <c r="AK4497">
        <v>20.2267738477961</v>
      </c>
      <c r="AL4497">
        <v>80.299335734771006</v>
      </c>
      <c r="AM4497">
        <v>91.603663985283504</v>
      </c>
      <c r="AN4497">
        <v>0.99999995596133295</v>
      </c>
    </row>
    <row r="4498" spans="1:40" x14ac:dyDescent="0.25">
      <c r="A4498" t="str">
        <f>"20190312173020535"</f>
        <v>20190312173020535</v>
      </c>
      <c r="B4498" t="str">
        <f>"1552383020531919"</f>
        <v>1552383020531919</v>
      </c>
      <c r="C4498" t="s">
        <v>40</v>
      </c>
      <c r="D4498">
        <v>3.5778310000000002</v>
      </c>
      <c r="E4498">
        <v>0.49155860000000001</v>
      </c>
      <c r="F4498" t="s">
        <v>41</v>
      </c>
      <c r="G4498">
        <v>-381.3759</v>
      </c>
      <c r="H4498" s="1">
        <v>-4.1581939999999997E-6</v>
      </c>
      <c r="I4498">
        <v>141.5915</v>
      </c>
      <c r="J4498">
        <v>-361.04759999999999</v>
      </c>
      <c r="K4498">
        <v>1.109874</v>
      </c>
      <c r="L4498">
        <v>142.1592</v>
      </c>
      <c r="M4498">
        <v>-0.99960590000000005</v>
      </c>
      <c r="N4498">
        <v>0</v>
      </c>
      <c r="O4498">
        <v>2.4313350000000001E-2</v>
      </c>
      <c r="P4498">
        <v>-0.98794870000000001</v>
      </c>
      <c r="Q4498">
        <v>0.15473429999999999</v>
      </c>
      <c r="R4498">
        <v>-3.8294739999999998E-3</v>
      </c>
      <c r="S4498">
        <v>-3.0620729999999998</v>
      </c>
      <c r="T4498">
        <v>-0.164721799999999</v>
      </c>
      <c r="U4498">
        <v>-8.3175659999999998E-2</v>
      </c>
      <c r="V4498">
        <v>-2.789749E-2</v>
      </c>
      <c r="W4498">
        <v>0.168575</v>
      </c>
      <c r="X4498">
        <v>0.985294</v>
      </c>
      <c r="Y4498">
        <v>-5.1342619999999999E-2</v>
      </c>
      <c r="Z4498">
        <v>-2.68659E-3</v>
      </c>
      <c r="AA4498">
        <v>0.9986775</v>
      </c>
      <c r="AB4498">
        <v>43</v>
      </c>
      <c r="AC4498">
        <v>-20.328299999999999</v>
      </c>
      <c r="AD4498">
        <v>-1.109878158194</v>
      </c>
      <c r="AE4498">
        <v>-0.56770000000000198</v>
      </c>
      <c r="AF4498">
        <v>-1.0586765301275101</v>
      </c>
      <c r="AG4498">
        <v>-1.109878158194</v>
      </c>
      <c r="AH4498">
        <v>20.248174557337698</v>
      </c>
      <c r="AI4498">
        <v>93.133185049141602</v>
      </c>
      <c r="AJ4498">
        <v>92.992986530192297</v>
      </c>
      <c r="AK4498">
        <v>20.306186210756</v>
      </c>
      <c r="AL4498">
        <v>80.295023450225202</v>
      </c>
      <c r="AM4498">
        <v>91.621832170306803</v>
      </c>
      <c r="AN4498">
        <v>1.00000003350464</v>
      </c>
    </row>
    <row r="4499" spans="1:40" x14ac:dyDescent="0.25">
      <c r="A4499" t="str">
        <f>"20190312173020550"</f>
        <v>20190312173020550</v>
      </c>
      <c r="B4499" t="str">
        <f>"1552383020542655"</f>
        <v>1552383020542655</v>
      </c>
      <c r="C4499" t="s">
        <v>40</v>
      </c>
      <c r="D4499">
        <v>3.576705</v>
      </c>
      <c r="E4499">
        <v>0.49148500000000001</v>
      </c>
      <c r="F4499" t="s">
        <v>41</v>
      </c>
      <c r="G4499">
        <v>-381.76080000000002</v>
      </c>
      <c r="H4499" s="1">
        <v>-4.0254090000000001E-6</v>
      </c>
      <c r="I4499">
        <v>141.5814</v>
      </c>
      <c r="J4499">
        <v>-361.3098</v>
      </c>
      <c r="K4499">
        <v>1.109955</v>
      </c>
      <c r="L4499">
        <v>142.16550000000001</v>
      </c>
      <c r="M4499">
        <v>-0.99961100000000003</v>
      </c>
      <c r="N4499">
        <v>0</v>
      </c>
      <c r="O4499">
        <v>2.4084419999999999E-2</v>
      </c>
      <c r="P4499">
        <v>-0.98787990000000003</v>
      </c>
      <c r="Q4499">
        <v>0.15515190000000001</v>
      </c>
      <c r="R4499">
        <v>-4.595689E-3</v>
      </c>
      <c r="S4499">
        <v>-3.0620120000000002</v>
      </c>
      <c r="T4499">
        <v>-0.16407289999999999</v>
      </c>
      <c r="U4499">
        <v>-8.5403439999999997E-2</v>
      </c>
      <c r="V4499">
        <v>-2.846425E-2</v>
      </c>
      <c r="W4499">
        <v>0.16901830000000001</v>
      </c>
      <c r="X4499">
        <v>0.98520180000000002</v>
      </c>
      <c r="Y4499">
        <v>-5.1840949999999997E-2</v>
      </c>
      <c r="Z4499">
        <v>-2.6771329999999999E-3</v>
      </c>
      <c r="AA4499">
        <v>0.99865170000000003</v>
      </c>
      <c r="AB4499">
        <v>43</v>
      </c>
      <c r="AC4499">
        <v>-20.451000000000001</v>
      </c>
      <c r="AD4499">
        <v>-1.1099590254089999</v>
      </c>
      <c r="AE4499">
        <v>-0.58410000000000595</v>
      </c>
      <c r="AF4499">
        <v>-1.0733705035102501</v>
      </c>
      <c r="AG4499">
        <v>-1.1099590254089999</v>
      </c>
      <c r="AH4499">
        <v>20.3710399190042</v>
      </c>
      <c r="AI4499">
        <v>93.114485364645702</v>
      </c>
      <c r="AJ4499">
        <v>93.016182773990906</v>
      </c>
      <c r="AK4499">
        <v>20.429473822337101</v>
      </c>
      <c r="AL4499">
        <v>80.269254072020104</v>
      </c>
      <c r="AM4499">
        <v>91.654917636221001</v>
      </c>
      <c r="AN4499">
        <v>0.99999999299309605</v>
      </c>
    </row>
    <row r="4500" spans="1:40" x14ac:dyDescent="0.25">
      <c r="A4500" t="str">
        <f>"20190312173020566"</f>
        <v>20190312173020566</v>
      </c>
      <c r="B4500" t="str">
        <f>"1552383020562175"</f>
        <v>1552383020562175</v>
      </c>
      <c r="C4500" t="s">
        <v>40</v>
      </c>
      <c r="D4500">
        <v>3.5969720000000001</v>
      </c>
      <c r="E4500">
        <v>0.4913479</v>
      </c>
      <c r="F4500" t="s">
        <v>41</v>
      </c>
      <c r="G4500">
        <v>-382.22699999999998</v>
      </c>
      <c r="H4500" s="1">
        <v>-3.8348229999999997E-6</v>
      </c>
      <c r="I4500">
        <v>141.56280000000001</v>
      </c>
      <c r="J4500">
        <v>-361.60250000000002</v>
      </c>
      <c r="K4500">
        <v>1.110055</v>
      </c>
      <c r="L4500">
        <v>142.1722</v>
      </c>
      <c r="M4500">
        <v>-0.99961800000000001</v>
      </c>
      <c r="N4500">
        <v>0</v>
      </c>
      <c r="O4500">
        <v>2.3771259999999999E-2</v>
      </c>
      <c r="P4500">
        <v>-0.98770579999999997</v>
      </c>
      <c r="Q4500">
        <v>0.15620390000000001</v>
      </c>
      <c r="R4500">
        <v>-6.1424069999999999E-3</v>
      </c>
      <c r="S4500">
        <v>-3.0619200000000002</v>
      </c>
      <c r="T4500">
        <v>-0.16247890000000001</v>
      </c>
      <c r="U4500">
        <v>-8.8211059999999994E-2</v>
      </c>
      <c r="V4500">
        <v>-2.973222E-2</v>
      </c>
      <c r="W4500">
        <v>0.17009340000000001</v>
      </c>
      <c r="X4500">
        <v>0.9849793</v>
      </c>
      <c r="Y4500">
        <v>-5.2445600000000002E-2</v>
      </c>
      <c r="Z4500">
        <v>-2.6506350000000001E-3</v>
      </c>
      <c r="AA4500">
        <v>0.99862030000000002</v>
      </c>
      <c r="AB4500">
        <v>43</v>
      </c>
      <c r="AC4500">
        <v>-20.624499999999902</v>
      </c>
      <c r="AD4500">
        <v>-1.1100588348230001</v>
      </c>
      <c r="AE4500">
        <v>-0.60939999999999295</v>
      </c>
      <c r="AF4500">
        <v>-1.0963735980699501</v>
      </c>
      <c r="AG4500">
        <v>-1.1100588348230001</v>
      </c>
      <c r="AH4500">
        <v>20.544720260156499</v>
      </c>
      <c r="AI4500">
        <v>93.088374664089102</v>
      </c>
      <c r="AJ4500">
        <v>93.054704527924798</v>
      </c>
      <c r="AK4500">
        <v>20.603878184734999</v>
      </c>
      <c r="AL4500">
        <v>80.206750383255596</v>
      </c>
      <c r="AM4500">
        <v>91.728984153219798</v>
      </c>
      <c r="AN4500">
        <v>0.99999999552908903</v>
      </c>
    </row>
    <row r="4501" spans="1:40" x14ac:dyDescent="0.25">
      <c r="A4501" t="str">
        <f>"20190312173020588"</f>
        <v>20190312173020588</v>
      </c>
      <c r="B4501" t="str">
        <f>"1552383020582671"</f>
        <v>1552383020582671</v>
      </c>
      <c r="C4501" t="s">
        <v>40</v>
      </c>
      <c r="D4501">
        <v>3.6055760000000001</v>
      </c>
      <c r="E4501">
        <v>0.49121110000000001</v>
      </c>
      <c r="F4501" t="s">
        <v>41</v>
      </c>
      <c r="G4501">
        <v>-383.02839999999998</v>
      </c>
      <c r="H4501" s="1">
        <v>-3.4793930000000001E-6</v>
      </c>
      <c r="I4501">
        <v>141.5189</v>
      </c>
      <c r="J4501">
        <v>-362.04309999999998</v>
      </c>
      <c r="K4501">
        <v>1.110215</v>
      </c>
      <c r="L4501">
        <v>142.18219999999999</v>
      </c>
      <c r="M4501">
        <v>-0.99963199999999997</v>
      </c>
      <c r="N4501">
        <v>0</v>
      </c>
      <c r="O4501">
        <v>2.3152989999999998E-2</v>
      </c>
      <c r="P4501">
        <v>-0.98747180000000001</v>
      </c>
      <c r="Q4501">
        <v>0.157609</v>
      </c>
      <c r="R4501">
        <v>-7.6927609999999898E-3</v>
      </c>
      <c r="S4501">
        <v>-3.0618289999999999</v>
      </c>
      <c r="T4501">
        <v>-0.158632</v>
      </c>
      <c r="U4501">
        <v>-9.3353270000000002E-2</v>
      </c>
      <c r="V4501">
        <v>-3.0725329999999999E-2</v>
      </c>
      <c r="W4501">
        <v>0.1715264</v>
      </c>
      <c r="X4501">
        <v>0.98470029999999997</v>
      </c>
      <c r="Y4501">
        <v>-5.3508880000000002E-2</v>
      </c>
      <c r="Z4501">
        <v>-2.5834970000000001E-3</v>
      </c>
      <c r="AA4501">
        <v>0.99856400000000001</v>
      </c>
      <c r="AB4501">
        <v>43</v>
      </c>
      <c r="AC4501">
        <v>-20.985299999999899</v>
      </c>
      <c r="AD4501">
        <v>-1.1102184793929999</v>
      </c>
      <c r="AE4501">
        <v>-0.66329999999999201</v>
      </c>
      <c r="AF4501">
        <v>-1.1458392614484301</v>
      </c>
      <c r="AG4501">
        <v>-1.1102184793929999</v>
      </c>
      <c r="AH4501">
        <v>20.905859611802299</v>
      </c>
      <c r="AI4501">
        <v>93.035324701496407</v>
      </c>
      <c r="AJ4501">
        <v>93.137212825673501</v>
      </c>
      <c r="AK4501">
        <v>20.966652064491601</v>
      </c>
      <c r="AL4501">
        <v>80.123421120599801</v>
      </c>
      <c r="AM4501">
        <v>91.787204433763193</v>
      </c>
      <c r="AN4501">
        <v>1.00000001631032</v>
      </c>
    </row>
    <row r="4502" spans="1:40" x14ac:dyDescent="0.25">
      <c r="A4502" t="str">
        <f>"20190312173020610"</f>
        <v>20190312173020610</v>
      </c>
      <c r="B4502" t="str">
        <f>"1552383020602190"</f>
        <v>1552383020602190</v>
      </c>
      <c r="C4502" t="s">
        <v>40</v>
      </c>
      <c r="D4502">
        <v>3.621934</v>
      </c>
      <c r="E4502">
        <v>0.49107299999999998</v>
      </c>
      <c r="F4502" t="s">
        <v>41</v>
      </c>
      <c r="G4502">
        <v>-384.14429999999999</v>
      </c>
      <c r="H4502" s="1">
        <v>-2.9872969999999999E-6</v>
      </c>
      <c r="I4502">
        <v>141.46870000000001</v>
      </c>
      <c r="J4502">
        <v>-362.46660000000003</v>
      </c>
      <c r="K4502">
        <v>1.1103639999999999</v>
      </c>
      <c r="L4502">
        <v>142.19139999999999</v>
      </c>
      <c r="M4502">
        <v>-0.99964819999999999</v>
      </c>
      <c r="N4502">
        <v>0</v>
      </c>
      <c r="O4502">
        <v>2.2416700000000001E-2</v>
      </c>
      <c r="P4502">
        <v>-0.98726590000000003</v>
      </c>
      <c r="Q4502">
        <v>0.15878610000000001</v>
      </c>
      <c r="R4502">
        <v>-9.6563059999999999E-3</v>
      </c>
      <c r="S4502">
        <v>-3.0618289999999999</v>
      </c>
      <c r="T4502">
        <v>-0.15380629999999901</v>
      </c>
      <c r="U4502">
        <v>-9.8831180000000005E-2</v>
      </c>
      <c r="V4502">
        <v>-3.2017249999999997E-2</v>
      </c>
      <c r="W4502">
        <v>0.1727252</v>
      </c>
      <c r="X4502">
        <v>0.98444960000000004</v>
      </c>
      <c r="Y4502">
        <v>-5.456387E-2</v>
      </c>
      <c r="Z4502">
        <v>-2.4944590000000001E-3</v>
      </c>
      <c r="AA4502">
        <v>0.99850709999999998</v>
      </c>
      <c r="AB4502">
        <v>43</v>
      </c>
      <c r="AC4502">
        <v>-21.677699999999898</v>
      </c>
      <c r="AD4502">
        <v>-1.1103669872969999</v>
      </c>
      <c r="AE4502">
        <v>-0.72269999999997403</v>
      </c>
      <c r="AF4502">
        <v>-1.2053507803158101</v>
      </c>
      <c r="AG4502">
        <v>-1.1103669872969999</v>
      </c>
      <c r="AH4502">
        <v>21.599442864961599</v>
      </c>
      <c r="AI4502">
        <v>92.938261839820399</v>
      </c>
      <c r="AJ4502">
        <v>93.194061853886794</v>
      </c>
      <c r="AK4502">
        <v>21.661526202620799</v>
      </c>
      <c r="AL4502">
        <v>80.053694670215606</v>
      </c>
      <c r="AM4502">
        <v>91.862773789580402</v>
      </c>
      <c r="AN4502">
        <v>1.0000000569763701</v>
      </c>
    </row>
    <row r="4503" spans="1:40" x14ac:dyDescent="0.25">
      <c r="A4503" t="str">
        <f>"20190312173020632"</f>
        <v>20190312173020632</v>
      </c>
      <c r="B4503" t="str">
        <f>"1552383020621711"</f>
        <v>1552383020621711</v>
      </c>
      <c r="C4503" t="s">
        <v>40</v>
      </c>
      <c r="D4503">
        <v>3.5664769999999999</v>
      </c>
      <c r="E4503">
        <v>0.49096390000000001</v>
      </c>
      <c r="F4503" t="s">
        <v>41</v>
      </c>
      <c r="G4503">
        <v>-385.16370000000001</v>
      </c>
      <c r="H4503" s="1">
        <v>-2.5332090000000002E-6</v>
      </c>
      <c r="I4503">
        <v>141.40559999999999</v>
      </c>
      <c r="J4503">
        <v>-362.87880000000001</v>
      </c>
      <c r="K4503">
        <v>1.1105130000000001</v>
      </c>
      <c r="L4503">
        <v>142.19990000000001</v>
      </c>
      <c r="M4503">
        <v>-0.99966650000000001</v>
      </c>
      <c r="N4503">
        <v>0</v>
      </c>
      <c r="O4503">
        <v>2.156129E-2</v>
      </c>
      <c r="P4503">
        <v>-0.98709519999999995</v>
      </c>
      <c r="Q4503">
        <v>0.159654399999999</v>
      </c>
      <c r="R4503">
        <v>-1.239755E-2</v>
      </c>
      <c r="S4503">
        <v>-3.0617369999999999</v>
      </c>
      <c r="T4503">
        <v>-0.14978440000000001</v>
      </c>
      <c r="U4503">
        <v>-0.1059875</v>
      </c>
      <c r="V4503">
        <v>-3.3968400000000003E-2</v>
      </c>
      <c r="W4503">
        <v>0.17360709999999999</v>
      </c>
      <c r="X4503">
        <v>0.98422900000000002</v>
      </c>
      <c r="Y4503">
        <v>-5.6045890000000001E-2</v>
      </c>
      <c r="Z4503">
        <v>-2.4237E-3</v>
      </c>
      <c r="AA4503">
        <v>0.99842520000000001</v>
      </c>
      <c r="AB4503">
        <v>43</v>
      </c>
      <c r="AC4503">
        <v>-22.2849</v>
      </c>
      <c r="AD4503">
        <v>-1.11051553320899</v>
      </c>
      <c r="AE4503">
        <v>-0.79430000000002099</v>
      </c>
      <c r="AF4503">
        <v>-1.27150153476095</v>
      </c>
      <c r="AG4503">
        <v>-1.11051553320899</v>
      </c>
      <c r="AH4503">
        <v>22.207512703230201</v>
      </c>
      <c r="AI4503">
        <v>92.8580921958972</v>
      </c>
      <c r="AJ4503">
        <v>93.276919013834501</v>
      </c>
      <c r="AK4503">
        <v>22.2715868623349</v>
      </c>
      <c r="AL4503">
        <v>80.002389885018204</v>
      </c>
      <c r="AM4503">
        <v>91.976647474241801</v>
      </c>
      <c r="AN4503">
        <v>1.0000000009049801</v>
      </c>
    </row>
    <row r="4504" spans="1:40" x14ac:dyDescent="0.25">
      <c r="A4504" t="str">
        <f>"20190312173020654"</f>
        <v>20190312173020654</v>
      </c>
      <c r="B4504" t="str">
        <f>"1552383020642206"</f>
        <v>1552383020642206</v>
      </c>
      <c r="C4504" t="s">
        <v>40</v>
      </c>
      <c r="D4504">
        <v>3.5726589999999998</v>
      </c>
      <c r="E4504">
        <v>0.49084630000000001</v>
      </c>
      <c r="F4504" t="s">
        <v>41</v>
      </c>
      <c r="G4504">
        <v>-385.93790000000001</v>
      </c>
      <c r="H4504" s="1">
        <v>-2.1833010000000002E-6</v>
      </c>
      <c r="I4504">
        <v>141.33879999999999</v>
      </c>
      <c r="J4504">
        <v>-363.2944</v>
      </c>
      <c r="K4504">
        <v>1.1106689999999999</v>
      </c>
      <c r="L4504">
        <v>142.208</v>
      </c>
      <c r="M4504">
        <v>-0.99968729999999995</v>
      </c>
      <c r="N4504">
        <v>0</v>
      </c>
      <c r="O4504">
        <v>2.0551590000000002E-2</v>
      </c>
      <c r="P4504">
        <v>-0.98702869999999998</v>
      </c>
      <c r="Q4504">
        <v>0.159778</v>
      </c>
      <c r="R4504">
        <v>-1.5666679999999999E-2</v>
      </c>
      <c r="S4504">
        <v>-3.0616460000000001</v>
      </c>
      <c r="T4504">
        <v>-0.1474483</v>
      </c>
      <c r="U4504">
        <v>-0.1143188</v>
      </c>
      <c r="V4504">
        <v>-3.6298999999999998E-2</v>
      </c>
      <c r="W4504">
        <v>0.17374000000000001</v>
      </c>
      <c r="X4504">
        <v>0.98412230000000001</v>
      </c>
      <c r="Y4504">
        <v>-5.7753859999999997E-2</v>
      </c>
      <c r="Z4504">
        <v>-2.378406E-3</v>
      </c>
      <c r="AA4504">
        <v>0.99832799999999999</v>
      </c>
      <c r="AB4504">
        <v>43</v>
      </c>
      <c r="AC4504">
        <v>-22.6435</v>
      </c>
      <c r="AD4504">
        <v>-1.1106711833009999</v>
      </c>
      <c r="AE4504">
        <v>-0.86920000000000597</v>
      </c>
      <c r="AF4504">
        <v>-1.33122540702226</v>
      </c>
      <c r="AG4504">
        <v>-1.1106711833009999</v>
      </c>
      <c r="AH4504">
        <v>22.566637347477101</v>
      </c>
      <c r="AI4504">
        <v>92.812793519471498</v>
      </c>
      <c r="AJ4504">
        <v>93.376015004685698</v>
      </c>
      <c r="AK4504">
        <v>22.633136608394899</v>
      </c>
      <c r="AL4504">
        <v>79.994657290747</v>
      </c>
      <c r="AM4504">
        <v>92.112376790661699</v>
      </c>
      <c r="AN4504">
        <v>0.99999995317914303</v>
      </c>
    </row>
    <row r="4505" spans="1:40" x14ac:dyDescent="0.25">
      <c r="A4505" t="str">
        <f>"20190312173020678"</f>
        <v>20190312173020678</v>
      </c>
      <c r="B4505" t="str">
        <f>"1552383020672462"</f>
        <v>1552383020672462</v>
      </c>
      <c r="C4505" t="s">
        <v>40</v>
      </c>
      <c r="D4505">
        <v>3.6056279999999998</v>
      </c>
      <c r="E4505">
        <v>0.4600532</v>
      </c>
      <c r="F4505" t="s">
        <v>41</v>
      </c>
      <c r="G4505">
        <v>-386.34829999999999</v>
      </c>
      <c r="H4505" s="1">
        <v>-1.9898209999999999E-6</v>
      </c>
      <c r="I4505">
        <v>141.27340000000001</v>
      </c>
      <c r="J4505">
        <v>-363.73480000000001</v>
      </c>
      <c r="K4505">
        <v>1.110838</v>
      </c>
      <c r="L4505">
        <v>142.21600000000001</v>
      </c>
      <c r="M4505">
        <v>-0.99971180000000004</v>
      </c>
      <c r="N4505">
        <v>0</v>
      </c>
      <c r="O4505">
        <v>1.931517E-2</v>
      </c>
      <c r="P4505">
        <v>-0.98682360000000002</v>
      </c>
      <c r="Q4505">
        <v>0.16066320000000001</v>
      </c>
      <c r="R4505">
        <v>-1.915449E-2</v>
      </c>
      <c r="S4505">
        <v>-3.06134</v>
      </c>
      <c r="T4505">
        <v>-0.1474869</v>
      </c>
      <c r="U4505">
        <v>-0.12409969999999999</v>
      </c>
      <c r="V4505">
        <v>-3.8629669999999998E-2</v>
      </c>
      <c r="W4505">
        <v>0.1746279</v>
      </c>
      <c r="X4505">
        <v>0.98387639999999998</v>
      </c>
      <c r="Y4505">
        <v>-5.9706660000000002E-2</v>
      </c>
      <c r="Z4505">
        <v>-2.3666009999999999E-3</v>
      </c>
      <c r="AA4505">
        <v>0.99821320000000002</v>
      </c>
      <c r="AB4505">
        <v>43</v>
      </c>
      <c r="AC4505">
        <v>-22.613499999999899</v>
      </c>
      <c r="AD4505">
        <v>-1.110839989821</v>
      </c>
      <c r="AE4505">
        <v>-0.942599999999998</v>
      </c>
      <c r="AF4505">
        <v>-1.3759376508724801</v>
      </c>
      <c r="AG4505">
        <v>-1.110839989821</v>
      </c>
      <c r="AH4505">
        <v>22.5367839422643</v>
      </c>
      <c r="AI4505">
        <v>92.816594053930302</v>
      </c>
      <c r="AJ4505">
        <v>93.493741025970806</v>
      </c>
      <c r="AK4505">
        <v>22.606056718551599</v>
      </c>
      <c r="AL4505">
        <v>79.942994699508802</v>
      </c>
      <c r="AM4505">
        <v>92.248433628637002</v>
      </c>
      <c r="AN4505">
        <v>0.99999996266983804</v>
      </c>
    </row>
    <row r="4506" spans="1:40" x14ac:dyDescent="0.25">
      <c r="A4506" t="str">
        <f>"20190312173020699"</f>
        <v>20190312173020699</v>
      </c>
      <c r="B4506" t="str">
        <f>"1552383020691986"</f>
        <v>1552383020691986</v>
      </c>
      <c r="C4506" t="s">
        <v>40</v>
      </c>
      <c r="D4506">
        <v>3.6375280000000001</v>
      </c>
      <c r="E4506">
        <v>0.45878400000000003</v>
      </c>
      <c r="F4506" t="s">
        <v>41</v>
      </c>
      <c r="G4506">
        <v>-389.10930000000002</v>
      </c>
      <c r="H4506" s="1">
        <v>-4.630657E-7</v>
      </c>
      <c r="I4506">
        <v>139.06</v>
      </c>
      <c r="J4506">
        <v>-364.14909999999998</v>
      </c>
      <c r="K4506">
        <v>1.1110009999999999</v>
      </c>
      <c r="L4506">
        <v>142.22299999999899</v>
      </c>
      <c r="M4506">
        <v>-0.99973610000000002</v>
      </c>
      <c r="N4506">
        <v>0</v>
      </c>
      <c r="O4506">
        <v>1.7991509999999999E-2</v>
      </c>
      <c r="P4506">
        <v>-0.98665420000000004</v>
      </c>
      <c r="Q4506">
        <v>0.1613502</v>
      </c>
      <c r="R4506">
        <v>-2.1903740000000001E-2</v>
      </c>
      <c r="S4506">
        <v>-3.054443</v>
      </c>
      <c r="T4506">
        <v>-0.13371659999999999</v>
      </c>
      <c r="U4506">
        <v>-0.37989810000000002</v>
      </c>
      <c r="V4506">
        <v>-4.0137659999999999E-2</v>
      </c>
      <c r="W4506">
        <v>0.17531429999999901</v>
      </c>
      <c r="X4506">
        <v>0.98369399999999996</v>
      </c>
      <c r="Y4506">
        <v>-0.14111019999999999</v>
      </c>
      <c r="Z4506">
        <v>-3.8599319999999999E-3</v>
      </c>
      <c r="AA4506">
        <v>0.98998640000000004</v>
      </c>
      <c r="AB4506">
        <v>42</v>
      </c>
      <c r="AC4506">
        <v>-24.9602</v>
      </c>
      <c r="AD4506">
        <v>-1.1110014630656999</v>
      </c>
      <c r="AE4506">
        <v>-3.1629999999999798</v>
      </c>
      <c r="AF4506">
        <v>-3.6045768407701302</v>
      </c>
      <c r="AG4506">
        <v>-1.1110014630656999</v>
      </c>
      <c r="AH4506">
        <v>24.850789365177501</v>
      </c>
      <c r="AI4506">
        <v>92.533335665618793</v>
      </c>
      <c r="AJ4506">
        <v>98.253124909844402</v>
      </c>
      <c r="AK4506">
        <v>25.135413872152</v>
      </c>
      <c r="AL4506">
        <v>79.903051169310899</v>
      </c>
      <c r="AM4506">
        <v>92.336543209404198</v>
      </c>
      <c r="AN4506">
        <v>1.0000000105853799</v>
      </c>
    </row>
    <row r="4507" spans="1:40" x14ac:dyDescent="0.25">
      <c r="A4507" t="str">
        <f>"20190312173020715"</f>
        <v>20190312173020715</v>
      </c>
      <c r="B4507" t="str">
        <f>"1552383020712479"</f>
        <v>1552383020712479</v>
      </c>
      <c r="C4507" t="s">
        <v>40</v>
      </c>
      <c r="D4507">
        <v>3.6252770000000001</v>
      </c>
      <c r="E4507">
        <v>0.45787739999999999</v>
      </c>
      <c r="F4507" t="s">
        <v>41</v>
      </c>
      <c r="G4507">
        <v>-388.81119999999999</v>
      </c>
      <c r="H4507" s="1">
        <v>-6.0114010000000004E-7</v>
      </c>
      <c r="I4507">
        <v>139.0025</v>
      </c>
      <c r="J4507">
        <v>-364.45549999999997</v>
      </c>
      <c r="K4507">
        <v>1.11113</v>
      </c>
      <c r="L4507">
        <v>142.2276</v>
      </c>
      <c r="M4507">
        <v>-0.99975480000000005</v>
      </c>
      <c r="N4507">
        <v>0</v>
      </c>
      <c r="O4507">
        <v>1.6902440000000001E-2</v>
      </c>
      <c r="P4507">
        <v>-0.98653880000000005</v>
      </c>
      <c r="Q4507">
        <v>0.1618105</v>
      </c>
      <c r="R4507">
        <v>-2.3635989999999999E-2</v>
      </c>
      <c r="S4507">
        <v>-3.05423</v>
      </c>
      <c r="T4507">
        <v>-0.13758989999999999</v>
      </c>
      <c r="U4507">
        <v>-0.39881899999999998</v>
      </c>
      <c r="V4507">
        <v>-4.0846760000000003E-2</v>
      </c>
      <c r="W4507">
        <v>0.17577300000000001</v>
      </c>
      <c r="X4507">
        <v>0.98358299999999999</v>
      </c>
      <c r="Y4507">
        <v>-0.14606079999999999</v>
      </c>
      <c r="Z4507">
        <v>-4.0324979999999998E-3</v>
      </c>
      <c r="AA4507">
        <v>0.98926740000000002</v>
      </c>
      <c r="AB4507">
        <v>42</v>
      </c>
      <c r="AC4507">
        <v>-24.355699999999999</v>
      </c>
      <c r="AD4507">
        <v>-1.1111306011401001</v>
      </c>
      <c r="AE4507">
        <v>-3.2250999999999901</v>
      </c>
      <c r="AF4507">
        <v>-3.6289294255685198</v>
      </c>
      <c r="AG4507">
        <v>-1.1111306011401001</v>
      </c>
      <c r="AH4507">
        <v>24.2481050092982</v>
      </c>
      <c r="AI4507">
        <v>92.594794538563306</v>
      </c>
      <c r="AJ4507">
        <v>98.511615764465702</v>
      </c>
      <c r="AK4507">
        <v>24.5433155162562</v>
      </c>
      <c r="AL4507">
        <v>79.876355570532198</v>
      </c>
      <c r="AM4507">
        <v>92.378043279395499</v>
      </c>
      <c r="AN4507">
        <v>1.00000006161024</v>
      </c>
    </row>
    <row r="4508" spans="1:40" x14ac:dyDescent="0.25">
      <c r="A4508" t="str">
        <f>"20190312173020732"</f>
        <v>20190312173020732</v>
      </c>
      <c r="B4508" t="str">
        <f>"1552383020722238"</f>
        <v>1552383020722238</v>
      </c>
      <c r="C4508" t="s">
        <v>40</v>
      </c>
      <c r="D4508">
        <v>3.7351169999999998</v>
      </c>
      <c r="E4508">
        <v>0.4574085</v>
      </c>
      <c r="F4508" t="s">
        <v>41</v>
      </c>
      <c r="G4508">
        <v>-388.80939999999998</v>
      </c>
      <c r="H4508" s="1">
        <v>-6.1200669999999998E-7</v>
      </c>
      <c r="I4508">
        <v>138.94560000000001</v>
      </c>
      <c r="J4508">
        <v>-364.78809999999999</v>
      </c>
      <c r="K4508">
        <v>1.1112839999999999</v>
      </c>
      <c r="L4508">
        <v>142.23230000000001</v>
      </c>
      <c r="M4508">
        <v>-0.99977550000000004</v>
      </c>
      <c r="N4508">
        <v>0</v>
      </c>
      <c r="O4508">
        <v>1.562556E-2</v>
      </c>
      <c r="P4508">
        <v>-0.98634949999999999</v>
      </c>
      <c r="Q4508">
        <v>0.16245760000000001</v>
      </c>
      <c r="R4508">
        <v>-2.687699E-2</v>
      </c>
      <c r="S4508">
        <v>-3.0539860000000001</v>
      </c>
      <c r="T4508">
        <v>-0.13933599999999999</v>
      </c>
      <c r="U4508">
        <v>-0.41156009999999998</v>
      </c>
      <c r="V4508">
        <v>-4.2885640000000003E-2</v>
      </c>
      <c r="W4508">
        <v>0.17641039999999999</v>
      </c>
      <c r="X4508">
        <v>0.98338199999999998</v>
      </c>
      <c r="Y4508">
        <v>-0.14885709999999999</v>
      </c>
      <c r="Z4508">
        <v>-4.088309E-3</v>
      </c>
      <c r="AA4508">
        <v>0.98885029999999996</v>
      </c>
      <c r="AB4508">
        <v>42</v>
      </c>
      <c r="AC4508">
        <v>-24.0213</v>
      </c>
      <c r="AD4508">
        <v>-1.1112846120066999</v>
      </c>
      <c r="AE4508">
        <v>-3.28669999999999</v>
      </c>
      <c r="AF4508">
        <v>-3.65400671087927</v>
      </c>
      <c r="AG4508">
        <v>-1.1112846120066999</v>
      </c>
      <c r="AH4508">
        <v>23.916758565920201</v>
      </c>
      <c r="AI4508">
        <v>92.629844836451895</v>
      </c>
      <c r="AJ4508">
        <v>98.686489154351193</v>
      </c>
      <c r="AK4508">
        <v>24.219786515007801</v>
      </c>
      <c r="AL4508">
        <v>79.839254697108998</v>
      </c>
      <c r="AM4508">
        <v>92.497107144049295</v>
      </c>
      <c r="AN4508">
        <v>0.99999998263518397</v>
      </c>
    </row>
    <row r="4509" spans="1:40" x14ac:dyDescent="0.25">
      <c r="A4509" t="str">
        <f>"20190312173020749"</f>
        <v>20190312173020749</v>
      </c>
      <c r="B4509" t="str">
        <f>"1552383020742735"</f>
        <v>1552383020742735</v>
      </c>
      <c r="C4509" t="s">
        <v>40</v>
      </c>
      <c r="D4509">
        <v>3.4951810000000001</v>
      </c>
      <c r="E4509">
        <v>0.45692519999999998</v>
      </c>
      <c r="F4509" t="s">
        <v>41</v>
      </c>
      <c r="G4509">
        <v>-388.69799999999998</v>
      </c>
      <c r="H4509" s="1">
        <v>-6.6728420000000002E-7</v>
      </c>
      <c r="I4509">
        <v>138.90350000000001</v>
      </c>
      <c r="J4509">
        <v>-365.09160000000003</v>
      </c>
      <c r="K4509">
        <v>1.1114170000000001</v>
      </c>
      <c r="L4509">
        <v>142.23609999999999</v>
      </c>
      <c r="M4509">
        <v>-0.99979410000000002</v>
      </c>
      <c r="N4509">
        <v>0</v>
      </c>
      <c r="O4509">
        <v>1.4376460000000001E-2</v>
      </c>
      <c r="P4509">
        <v>-0.98627069999999994</v>
      </c>
      <c r="Q4509">
        <v>0.16253190000000001</v>
      </c>
      <c r="R4509">
        <v>-2.9219740000000001E-2</v>
      </c>
      <c r="S4509">
        <v>-3.0533139999999999</v>
      </c>
      <c r="T4509">
        <v>-0.14191219999999999</v>
      </c>
      <c r="U4509">
        <v>-0.42507929999999999</v>
      </c>
      <c r="V4509">
        <v>-4.4049379999999999E-2</v>
      </c>
      <c r="W4509">
        <v>0.176478</v>
      </c>
      <c r="X4509">
        <v>0.98331840000000004</v>
      </c>
      <c r="Y4509">
        <v>-0.151939299999999</v>
      </c>
      <c r="Z4509">
        <v>-4.1769570000000002E-3</v>
      </c>
      <c r="AA4509">
        <v>0.98838099999999995</v>
      </c>
      <c r="AB4509">
        <v>42</v>
      </c>
      <c r="AC4509">
        <v>-23.606400000000001</v>
      </c>
      <c r="AD4509">
        <v>-1.1114176672842</v>
      </c>
      <c r="AE4509">
        <v>-3.3325999999999798</v>
      </c>
      <c r="AF4509">
        <v>-3.66370436490954</v>
      </c>
      <c r="AG4509">
        <v>-1.1114176672842</v>
      </c>
      <c r="AH4509">
        <v>23.504960031963801</v>
      </c>
      <c r="AI4509">
        <v>92.674928237457394</v>
      </c>
      <c r="AJ4509">
        <v>98.859371673312495</v>
      </c>
      <c r="AK4509">
        <v>23.8147249618555</v>
      </c>
      <c r="AL4509">
        <v>79.835319472370301</v>
      </c>
      <c r="AM4509">
        <v>92.564944742953699</v>
      </c>
      <c r="AN4509">
        <v>0.99999995407047104</v>
      </c>
    </row>
    <row r="4510" spans="1:40" x14ac:dyDescent="0.25">
      <c r="A4510" t="str">
        <f>"20190312173020761"</f>
        <v>20190312173020761</v>
      </c>
      <c r="B4510" t="str">
        <f>"1552383020752101"</f>
        <v>1552383020752101</v>
      </c>
      <c r="C4510" t="s">
        <v>40</v>
      </c>
      <c r="D4510">
        <v>3.6844649999999999</v>
      </c>
      <c r="E4510">
        <v>0.45695180000000002</v>
      </c>
      <c r="F4510" t="s">
        <v>41</v>
      </c>
      <c r="G4510">
        <v>-387.87909999999999</v>
      </c>
      <c r="H4510" s="1">
        <v>-1.0044319999999999E-6</v>
      </c>
      <c r="I4510">
        <v>138.98339999999999</v>
      </c>
      <c r="J4510">
        <v>-365.334</v>
      </c>
      <c r="K4510">
        <v>1.1115250000000001</v>
      </c>
      <c r="L4510">
        <v>142.2388</v>
      </c>
      <c r="M4510">
        <v>-0.99980840000000004</v>
      </c>
      <c r="N4510">
        <v>0</v>
      </c>
      <c r="O4510">
        <v>1.3327810000000001E-2</v>
      </c>
      <c r="P4510">
        <v>-0.98624679999999998</v>
      </c>
      <c r="Q4510">
        <v>0.16229080000000001</v>
      </c>
      <c r="R4510">
        <v>-3.1290850000000002E-2</v>
      </c>
      <c r="S4510">
        <v>-3.0534059999999998</v>
      </c>
      <c r="T4510">
        <v>-0.148924799999999</v>
      </c>
      <c r="U4510">
        <v>-0.43583680000000002</v>
      </c>
      <c r="V4510">
        <v>-4.5128420000000002E-2</v>
      </c>
      <c r="W4510">
        <v>0.1762301</v>
      </c>
      <c r="X4510">
        <v>0.98331400000000002</v>
      </c>
      <c r="Y4510">
        <v>-0.15429319999999999</v>
      </c>
      <c r="Z4510">
        <v>-4.388126E-3</v>
      </c>
      <c r="AA4510">
        <v>0.98801539999999999</v>
      </c>
      <c r="AB4510">
        <v>42</v>
      </c>
      <c r="AC4510">
        <v>-22.545099999999898</v>
      </c>
      <c r="AD4510">
        <v>-1.1115260044319999</v>
      </c>
      <c r="AE4510">
        <v>-3.2553999999999998</v>
      </c>
      <c r="AF4510">
        <v>-3.5471724088743501</v>
      </c>
      <c r="AG4510">
        <v>-1.1115260044319999</v>
      </c>
      <c r="AH4510">
        <v>22.446259118207799</v>
      </c>
      <c r="AI4510">
        <v>92.800244946763996</v>
      </c>
      <c r="AJ4510">
        <v>98.980163248112902</v>
      </c>
      <c r="AK4510">
        <v>22.751977288986001</v>
      </c>
      <c r="AL4510">
        <v>79.8497499598475</v>
      </c>
      <c r="AM4510">
        <v>92.627700728167397</v>
      </c>
      <c r="AN4510">
        <v>1.0000000225168499</v>
      </c>
    </row>
    <row r="4511" spans="1:40" x14ac:dyDescent="0.25">
      <c r="A4511" t="str">
        <f>"20190312173020778"</f>
        <v>20190312173020778</v>
      </c>
      <c r="B4511" t="str">
        <f>"1552383020772597"</f>
        <v>1552383020772597</v>
      </c>
      <c r="C4511" t="s">
        <v>40</v>
      </c>
      <c r="D4511">
        <v>3.6945250000000001</v>
      </c>
      <c r="E4511">
        <v>0.45632529999999999</v>
      </c>
      <c r="F4511" t="s">
        <v>41</v>
      </c>
      <c r="G4511">
        <v>-387.85939999999999</v>
      </c>
      <c r="H4511" s="1">
        <v>-1.0130789999999999E-6</v>
      </c>
      <c r="I4511">
        <v>138.98230000000001</v>
      </c>
      <c r="J4511">
        <v>-365.63569999999999</v>
      </c>
      <c r="K4511">
        <v>1.111661</v>
      </c>
      <c r="L4511">
        <v>142.24180000000001</v>
      </c>
      <c r="M4511">
        <v>-0.99982579999999999</v>
      </c>
      <c r="N4511">
        <v>0</v>
      </c>
      <c r="O4511">
        <v>1.193468E-2</v>
      </c>
      <c r="P4511">
        <v>-0.98605600000000004</v>
      </c>
      <c r="Q4511">
        <v>0.16271050000000001</v>
      </c>
      <c r="R4511">
        <v>-3.4914239999999999E-2</v>
      </c>
      <c r="S4511">
        <v>-3.0526119999999999</v>
      </c>
      <c r="T4511">
        <v>-0.15063289999999999</v>
      </c>
      <c r="U4511">
        <v>-0.4413147</v>
      </c>
      <c r="V4511">
        <v>-4.7429819999999998E-2</v>
      </c>
      <c r="W4511">
        <v>0.17663380000000001</v>
      </c>
      <c r="X4511">
        <v>0.98313320000000004</v>
      </c>
      <c r="Y4511">
        <v>-0.154686299999999</v>
      </c>
      <c r="Z4511">
        <v>-4.3802349999999997E-3</v>
      </c>
      <c r="AA4511">
        <v>0.98795390000000005</v>
      </c>
      <c r="AB4511">
        <v>42</v>
      </c>
      <c r="AC4511">
        <v>-22.223700000000001</v>
      </c>
      <c r="AD4511">
        <v>-1.111662013079</v>
      </c>
      <c r="AE4511">
        <v>-3.2595000000000001</v>
      </c>
      <c r="AF4511">
        <v>-3.5159157905343199</v>
      </c>
      <c r="AG4511">
        <v>-1.111662013079</v>
      </c>
      <c r="AH4511">
        <v>22.1290077662694</v>
      </c>
      <c r="AI4511">
        <v>92.840298254170307</v>
      </c>
      <c r="AJ4511">
        <v>99.027845609544499</v>
      </c>
      <c r="AK4511">
        <v>22.434135619565598</v>
      </c>
      <c r="AL4511">
        <v>79.826250667882903</v>
      </c>
      <c r="AM4511">
        <v>92.762009415175896</v>
      </c>
      <c r="AN4511">
        <v>0.99999998803495604</v>
      </c>
    </row>
    <row r="4512" spans="1:40" x14ac:dyDescent="0.25">
      <c r="A4512" t="str">
        <f>"20190312173020793"</f>
        <v>20190312173020793</v>
      </c>
      <c r="B4512" t="str">
        <f>"1552383020782357"</f>
        <v>1552383020782357</v>
      </c>
      <c r="C4512" t="s">
        <v>40</v>
      </c>
      <c r="D4512">
        <v>3.5493709999999998</v>
      </c>
      <c r="E4512">
        <v>0.45626139999999998</v>
      </c>
      <c r="F4512" t="s">
        <v>41</v>
      </c>
      <c r="G4512">
        <v>-387.26409999999998</v>
      </c>
      <c r="H4512" s="1">
        <v>-1.2649289999999999E-6</v>
      </c>
      <c r="I4512">
        <v>139.00210000000001</v>
      </c>
      <c r="J4512">
        <v>-365.92829999999998</v>
      </c>
      <c r="K4512">
        <v>1.111782</v>
      </c>
      <c r="L4512">
        <v>142.24420000000001</v>
      </c>
      <c r="M4512">
        <v>-0.99984170000000006</v>
      </c>
      <c r="N4512">
        <v>0</v>
      </c>
      <c r="O4512">
        <v>1.0514890000000001E-2</v>
      </c>
      <c r="P4512">
        <v>-0.98590739999999999</v>
      </c>
      <c r="Q4512">
        <v>0.1630713</v>
      </c>
      <c r="R4512">
        <v>-3.734316E-2</v>
      </c>
      <c r="S4512">
        <v>-3.0520939999999999</v>
      </c>
      <c r="T4512">
        <v>-0.1568725</v>
      </c>
      <c r="U4512">
        <v>-0.45715329999999899</v>
      </c>
      <c r="V4512">
        <v>-4.8508200000000001E-2</v>
      </c>
      <c r="W4512">
        <v>0.17698340000000001</v>
      </c>
      <c r="X4512">
        <v>0.98301769999999999</v>
      </c>
      <c r="Y4512">
        <v>-0.158304799999999</v>
      </c>
      <c r="Z4512">
        <v>-4.5803659999999998E-3</v>
      </c>
      <c r="AA4512">
        <v>0.98737969999999997</v>
      </c>
      <c r="AB4512">
        <v>42</v>
      </c>
      <c r="AC4512">
        <v>-21.335799999999999</v>
      </c>
      <c r="AD4512">
        <v>-1.111783264929</v>
      </c>
      <c r="AE4512">
        <v>-3.24209999999999</v>
      </c>
      <c r="AF4512">
        <v>-3.45711210073183</v>
      </c>
      <c r="AG4512">
        <v>-1.111783264929</v>
      </c>
      <c r="AH4512">
        <v>21.244143496459699</v>
      </c>
      <c r="AI4512">
        <v>92.956937130181203</v>
      </c>
      <c r="AJ4512">
        <v>99.242863056306405</v>
      </c>
      <c r="AK4512">
        <v>21.552292662345099</v>
      </c>
      <c r="AL4512">
        <v>79.805899392164505</v>
      </c>
      <c r="AM4512">
        <v>92.825038144783605</v>
      </c>
      <c r="AN4512">
        <v>0.99999998392804401</v>
      </c>
    </row>
    <row r="4513" spans="1:40" x14ac:dyDescent="0.25">
      <c r="A4513" t="str">
        <f>"20190312173020810"</f>
        <v>20190312173020810</v>
      </c>
      <c r="B4513" t="str">
        <f>"1552383020801877"</f>
        <v>1552383020801877</v>
      </c>
      <c r="C4513" t="s">
        <v>40</v>
      </c>
      <c r="D4513">
        <v>3.6472560000000001</v>
      </c>
      <c r="E4513">
        <v>0.45627790000000001</v>
      </c>
      <c r="F4513" t="s">
        <v>41</v>
      </c>
      <c r="G4513">
        <v>-387.51249999999999</v>
      </c>
      <c r="H4513" s="1">
        <v>-1.1670630000000001E-6</v>
      </c>
      <c r="I4513">
        <v>138.95320000000001</v>
      </c>
      <c r="J4513">
        <v>-366.24529999999999</v>
      </c>
      <c r="K4513">
        <v>1.111907</v>
      </c>
      <c r="L4513">
        <v>142.24629999999999</v>
      </c>
      <c r="M4513">
        <v>-0.9998572</v>
      </c>
      <c r="N4513">
        <v>0</v>
      </c>
      <c r="O4513">
        <v>8.9038299999999997E-3</v>
      </c>
      <c r="P4513">
        <v>-0.9856608</v>
      </c>
      <c r="Q4513">
        <v>0.1637594</v>
      </c>
      <c r="R4513">
        <v>-4.0691049999999999E-2</v>
      </c>
      <c r="S4513">
        <v>-3.0512999999999999</v>
      </c>
      <c r="T4513">
        <v>-0.15717100000000001</v>
      </c>
      <c r="U4513">
        <v>-0.46522520000000001</v>
      </c>
      <c r="V4513">
        <v>-5.0321589999999999E-2</v>
      </c>
      <c r="W4513">
        <v>0.17765359999999999</v>
      </c>
      <c r="X4513">
        <v>0.9828057</v>
      </c>
      <c r="Y4513">
        <v>-0.15930510000000001</v>
      </c>
      <c r="Z4513">
        <v>-4.5324570000000002E-3</v>
      </c>
      <c r="AA4513">
        <v>0.98721899999999996</v>
      </c>
      <c r="AB4513">
        <v>42</v>
      </c>
      <c r="AC4513">
        <v>-21.267199999999999</v>
      </c>
      <c r="AD4513">
        <v>-1.111908167063</v>
      </c>
      <c r="AE4513">
        <v>-3.2930999999999799</v>
      </c>
      <c r="AF4513">
        <v>-3.47307718386176</v>
      </c>
      <c r="AG4513">
        <v>-1.111908167063</v>
      </c>
      <c r="AH4513">
        <v>21.180491609508099</v>
      </c>
      <c r="AI4513">
        <v>92.965554687698898</v>
      </c>
      <c r="AJ4513">
        <v>99.312220021799305</v>
      </c>
      <c r="AK4513">
        <v>21.4921341359458</v>
      </c>
      <c r="AL4513">
        <v>79.7668821870122</v>
      </c>
      <c r="AM4513">
        <v>92.931097261340298</v>
      </c>
      <c r="AN4513">
        <v>1.00000005398278</v>
      </c>
    </row>
    <row r="4514" spans="1:40" x14ac:dyDescent="0.25">
      <c r="A4514" t="str">
        <f>"20190312173020827"</f>
        <v>20190312173020827</v>
      </c>
      <c r="B4514" t="str">
        <f>"1552383020822374"</f>
        <v>1552383020822374</v>
      </c>
      <c r="C4514" t="s">
        <v>40</v>
      </c>
      <c r="D4514">
        <v>3.5040010000000001</v>
      </c>
      <c r="E4514">
        <v>0.4564433</v>
      </c>
      <c r="F4514" t="s">
        <v>41</v>
      </c>
      <c r="G4514">
        <v>-387.87079999999997</v>
      </c>
      <c r="H4514" s="1">
        <v>-1.027582E-6</v>
      </c>
      <c r="I4514">
        <v>138.87289999999999</v>
      </c>
      <c r="J4514">
        <v>-366.54840000000002</v>
      </c>
      <c r="K4514">
        <v>1.112025</v>
      </c>
      <c r="L4514">
        <v>142.24780000000001</v>
      </c>
      <c r="M4514">
        <v>-0.99987020000000004</v>
      </c>
      <c r="N4514">
        <v>0</v>
      </c>
      <c r="O4514">
        <v>7.2949080000000001E-3</v>
      </c>
      <c r="P4514">
        <v>-0.98556630000000001</v>
      </c>
      <c r="Q4514">
        <v>0.16366649999999999</v>
      </c>
      <c r="R4514">
        <v>-4.3273489999999998E-2</v>
      </c>
      <c r="S4514">
        <v>-3.050049</v>
      </c>
      <c r="T4514">
        <v>-0.1568234</v>
      </c>
      <c r="U4514">
        <v>-0.475769</v>
      </c>
      <c r="V4514">
        <v>-5.136574E-2</v>
      </c>
      <c r="W4514">
        <v>0.1775485</v>
      </c>
      <c r="X4514">
        <v>0.98277060000000005</v>
      </c>
      <c r="Y4514">
        <v>-0.1611107</v>
      </c>
      <c r="Z4514">
        <v>-4.4869999999999997E-3</v>
      </c>
      <c r="AA4514">
        <v>0.98692610000000003</v>
      </c>
      <c r="AB4514">
        <v>42</v>
      </c>
      <c r="AC4514">
        <v>-21.322399999999899</v>
      </c>
      <c r="AD4514">
        <v>-1.112026027582</v>
      </c>
      <c r="AE4514">
        <v>-3.3749000000000202</v>
      </c>
      <c r="AF4514">
        <v>-3.5210282913615898</v>
      </c>
      <c r="AG4514">
        <v>-1.112026027582</v>
      </c>
      <c r="AH4514">
        <v>21.2408487791465</v>
      </c>
      <c r="AI4514">
        <v>92.956606948564101</v>
      </c>
      <c r="AJ4514">
        <v>99.412151807117098</v>
      </c>
      <c r="AK4514">
        <v>21.559403956815601</v>
      </c>
      <c r="AL4514">
        <v>79.773000492567306</v>
      </c>
      <c r="AM4514">
        <v>92.9919134769751</v>
      </c>
      <c r="AN4514">
        <v>0.99999998066117801</v>
      </c>
    </row>
    <row r="4515" spans="1:40" x14ac:dyDescent="0.25">
      <c r="A4515" t="str">
        <f>"20190312173020839"</f>
        <v>20190312173020839</v>
      </c>
      <c r="B4515" t="str">
        <f>"1552383020832133"</f>
        <v>1552383020832133</v>
      </c>
      <c r="C4515" t="s">
        <v>40</v>
      </c>
      <c r="D4515">
        <v>3.5194109999999998</v>
      </c>
      <c r="E4515">
        <v>0.45648650000000002</v>
      </c>
      <c r="F4515" t="s">
        <v>41</v>
      </c>
      <c r="G4515">
        <v>-387.87900000000002</v>
      </c>
      <c r="H4515" s="1">
        <v>-1.024603E-6</v>
      </c>
      <c r="I4515">
        <v>138.8699</v>
      </c>
      <c r="J4515">
        <v>-366.80149999999998</v>
      </c>
      <c r="K4515">
        <v>1.1121179999999999</v>
      </c>
      <c r="L4515">
        <v>142.24860000000001</v>
      </c>
      <c r="M4515">
        <v>-0.99987939999999997</v>
      </c>
      <c r="N4515">
        <v>0</v>
      </c>
      <c r="O4515">
        <v>5.8971919999999999E-3</v>
      </c>
      <c r="P4515">
        <v>-0.98547910000000005</v>
      </c>
      <c r="Q4515">
        <v>0.16354679999999999</v>
      </c>
      <c r="R4515">
        <v>-4.5645980000000003E-2</v>
      </c>
      <c r="S4515">
        <v>-3.0491030000000001</v>
      </c>
      <c r="T4515">
        <v>-0.1589594</v>
      </c>
      <c r="U4515">
        <v>-0.48284909999999998</v>
      </c>
      <c r="V4515">
        <v>-5.2398880000000002E-2</v>
      </c>
      <c r="W4515">
        <v>0.17741750000000001</v>
      </c>
      <c r="X4515">
        <v>0.98273969999999999</v>
      </c>
      <c r="Y4515">
        <v>-0.16200880000000001</v>
      </c>
      <c r="Z4515">
        <v>-4.4994700000000002E-3</v>
      </c>
      <c r="AA4515">
        <v>0.98677899999999996</v>
      </c>
      <c r="AB4515">
        <v>42</v>
      </c>
      <c r="AC4515">
        <v>-21.077500000000001</v>
      </c>
      <c r="AD4515">
        <v>-1.1121190246029999</v>
      </c>
      <c r="AE4515">
        <v>-3.3786999999999998</v>
      </c>
      <c r="AF4515">
        <v>-3.4934700688522402</v>
      </c>
      <c r="AG4515">
        <v>-1.1121190246029999</v>
      </c>
      <c r="AH4515">
        <v>21.0002072364878</v>
      </c>
      <c r="AI4515">
        <v>92.990391927562399</v>
      </c>
      <c r="AJ4515">
        <v>99.444895251994694</v>
      </c>
      <c r="AK4515">
        <v>21.3178292943321</v>
      </c>
      <c r="AL4515">
        <v>79.780627162093097</v>
      </c>
      <c r="AM4515">
        <v>93.052074181167995</v>
      </c>
      <c r="AN4515">
        <v>0.99999996494379595</v>
      </c>
    </row>
    <row r="4516" spans="1:40" x14ac:dyDescent="0.25">
      <c r="A4516" t="str">
        <f>"20190312173020855"</f>
        <v>20190312173020855</v>
      </c>
      <c r="B4516" t="str">
        <f>"1552383020852015"</f>
        <v>1552383020852015</v>
      </c>
      <c r="C4516" t="s">
        <v>40</v>
      </c>
      <c r="D4516">
        <v>3.7411379999999999</v>
      </c>
      <c r="E4516">
        <v>0.4566962</v>
      </c>
      <c r="F4516" t="s">
        <v>41</v>
      </c>
      <c r="G4516">
        <v>-387.87869999999998</v>
      </c>
      <c r="H4516" s="1">
        <v>-1.0262739999999999E-6</v>
      </c>
      <c r="I4516">
        <v>138.86109999999999</v>
      </c>
      <c r="J4516">
        <v>-367.09859999999998</v>
      </c>
      <c r="K4516">
        <v>1.1122179999999999</v>
      </c>
      <c r="L4516">
        <v>142.2491</v>
      </c>
      <c r="M4516">
        <v>-0.99988779999999999</v>
      </c>
      <c r="N4516">
        <v>0</v>
      </c>
      <c r="O4516">
        <v>4.2012969999999997E-3</v>
      </c>
      <c r="P4516">
        <v>-0.98532330000000001</v>
      </c>
      <c r="Q4516">
        <v>0.1634823</v>
      </c>
      <c r="R4516">
        <v>-4.9109699999999999E-2</v>
      </c>
      <c r="S4516">
        <v>-3.0482179999999999</v>
      </c>
      <c r="T4516">
        <v>-0.1608368</v>
      </c>
      <c r="U4516">
        <v>-0.48989870000000002</v>
      </c>
      <c r="V4516">
        <v>-5.4234209999999998E-2</v>
      </c>
      <c r="W4516">
        <v>0.17733450000000001</v>
      </c>
      <c r="X4516">
        <v>0.98265519999999995</v>
      </c>
      <c r="Y4516">
        <v>-0.162601</v>
      </c>
      <c r="Z4516">
        <v>-4.4796569999999997E-3</v>
      </c>
      <c r="AA4516">
        <v>0.98668180000000005</v>
      </c>
      <c r="AB4516">
        <v>42</v>
      </c>
      <c r="AC4516">
        <v>-20.780100000000001</v>
      </c>
      <c r="AD4516">
        <v>-1.1122190262739999</v>
      </c>
      <c r="AE4516">
        <v>-3.3879999999999999</v>
      </c>
      <c r="AF4516">
        <v>-3.4656114879929301</v>
      </c>
      <c r="AG4516">
        <v>-1.1122190262739999</v>
      </c>
      <c r="AH4516">
        <v>20.707894444789702</v>
      </c>
      <c r="AI4516">
        <v>93.0323054352573</v>
      </c>
      <c r="AJ4516">
        <v>99.5008031455734</v>
      </c>
      <c r="AK4516">
        <v>21.025327262248901</v>
      </c>
      <c r="AL4516">
        <v>79.785460298337298</v>
      </c>
      <c r="AM4516">
        <v>93.159034775822207</v>
      </c>
      <c r="AN4516">
        <v>1.0000000582558</v>
      </c>
    </row>
    <row r="4517" spans="1:40" x14ac:dyDescent="0.25">
      <c r="A4517" t="str">
        <f>"20190312173020879"</f>
        <v>20190312173020879</v>
      </c>
      <c r="B4517" t="str">
        <f>"1552383020872511"</f>
        <v>1552383020872511</v>
      </c>
      <c r="C4517" t="s">
        <v>40</v>
      </c>
      <c r="D4517">
        <v>3.7474090000000002</v>
      </c>
      <c r="E4517">
        <v>0.45686359999999898</v>
      </c>
      <c r="F4517" t="s">
        <v>41</v>
      </c>
      <c r="G4517">
        <v>-388.29390000000001</v>
      </c>
      <c r="H4517" s="1">
        <v>-8.6396779999999999E-7</v>
      </c>
      <c r="I4517">
        <v>138.77209999999999</v>
      </c>
      <c r="J4517">
        <v>-367.53460000000001</v>
      </c>
      <c r="K4517">
        <v>1.1123620000000001</v>
      </c>
      <c r="L4517">
        <v>142.24879999999999</v>
      </c>
      <c r="M4517">
        <v>-0.99989519999999998</v>
      </c>
      <c r="N4517">
        <v>0</v>
      </c>
      <c r="O4517">
        <v>1.623081E-3</v>
      </c>
      <c r="P4517">
        <v>-0.98506470000000002</v>
      </c>
      <c r="Q4517">
        <v>0.16383039999999999</v>
      </c>
      <c r="R4517">
        <v>-5.2981599999999997E-2</v>
      </c>
      <c r="S4517">
        <v>-3.0462950000000002</v>
      </c>
      <c r="T4517">
        <v>-0.15985439999999901</v>
      </c>
      <c r="U4517">
        <v>-0.49971009999999999</v>
      </c>
      <c r="V4517">
        <v>-5.5628080000000003E-2</v>
      </c>
      <c r="W4517">
        <v>0.1776616</v>
      </c>
      <c r="X4517">
        <v>0.98251809999999995</v>
      </c>
      <c r="Y4517">
        <v>-0.16325590000000001</v>
      </c>
      <c r="Z4517">
        <v>-4.3366869999999997E-3</v>
      </c>
      <c r="AA4517">
        <v>0.98657419999999996</v>
      </c>
      <c r="AB4517">
        <v>42</v>
      </c>
      <c r="AC4517">
        <v>-20.7593</v>
      </c>
      <c r="AD4517">
        <v>-1.1123628639678</v>
      </c>
      <c r="AE4517">
        <v>-3.4766999999999899</v>
      </c>
      <c r="AF4517">
        <v>-3.5006160933450801</v>
      </c>
      <c r="AG4517">
        <v>-1.1123628639678</v>
      </c>
      <c r="AH4517">
        <v>20.6958279117469</v>
      </c>
      <c r="AI4517">
        <v>93.033575316482498</v>
      </c>
      <c r="AJ4517">
        <v>99.600481278949104</v>
      </c>
      <c r="AK4517">
        <v>21.019252059166199</v>
      </c>
      <c r="AL4517">
        <v>79.766415564569698</v>
      </c>
      <c r="AM4517">
        <v>93.240505261413603</v>
      </c>
      <c r="AN4517">
        <v>0.99999997211332703</v>
      </c>
    </row>
    <row r="4518" spans="1:40" x14ac:dyDescent="0.25">
      <c r="A4518" t="str">
        <f>"20190312173020900"</f>
        <v>20190312173020900</v>
      </c>
      <c r="B4518" t="str">
        <f>"1552383020892032"</f>
        <v>1552383020892032</v>
      </c>
      <c r="C4518" t="s">
        <v>40</v>
      </c>
      <c r="D4518">
        <v>3.60575</v>
      </c>
      <c r="E4518">
        <v>0.45725310000000002</v>
      </c>
      <c r="F4518" t="s">
        <v>41</v>
      </c>
      <c r="G4518">
        <v>-389.2921</v>
      </c>
      <c r="H4518" s="1">
        <v>-4.9962060000000003E-7</v>
      </c>
      <c r="I4518">
        <v>138.5915</v>
      </c>
      <c r="J4518">
        <v>-367.93209999999999</v>
      </c>
      <c r="K4518">
        <v>1.1124810000000001</v>
      </c>
      <c r="L4518">
        <v>142.2475</v>
      </c>
      <c r="M4518">
        <v>-0.99989609999999995</v>
      </c>
      <c r="N4518">
        <v>0</v>
      </c>
      <c r="O4518">
        <v>-8.203959E-4</v>
      </c>
      <c r="P4518">
        <v>-0.984877</v>
      </c>
      <c r="Q4518">
        <v>0.1637961</v>
      </c>
      <c r="R4518">
        <v>-5.6467499999999997E-2</v>
      </c>
      <c r="S4518">
        <v>-3.0438230000000002</v>
      </c>
      <c r="T4518">
        <v>-0.15561739999999999</v>
      </c>
      <c r="U4518">
        <v>-0.5116425</v>
      </c>
      <c r="V4518">
        <v>-5.6759089999999998E-2</v>
      </c>
      <c r="W4518">
        <v>0.17760899999999999</v>
      </c>
      <c r="X4518">
        <v>0.98246290000000003</v>
      </c>
      <c r="Y4518">
        <v>-0.16474910000000001</v>
      </c>
      <c r="Z4518">
        <v>-4.1378129999999997E-3</v>
      </c>
      <c r="AA4518">
        <v>0.98632679999999995</v>
      </c>
      <c r="AB4518">
        <v>42</v>
      </c>
      <c r="AC4518">
        <v>-21.36</v>
      </c>
      <c r="AD4518">
        <v>-1.1124814996206001</v>
      </c>
      <c r="AE4518">
        <v>-3.6560000000000001</v>
      </c>
      <c r="AF4518">
        <v>-3.6289097523024498</v>
      </c>
      <c r="AG4518">
        <v>-1.1124814996206001</v>
      </c>
      <c r="AH4518">
        <v>21.306840927597801</v>
      </c>
      <c r="AI4518">
        <v>92.946483119527002</v>
      </c>
      <c r="AJ4518">
        <v>99.665677461408805</v>
      </c>
      <c r="AK4518">
        <v>21.642275097394698</v>
      </c>
      <c r="AL4518">
        <v>79.769477803661204</v>
      </c>
      <c r="AM4518">
        <v>93.306430683373605</v>
      </c>
      <c r="AN4518">
        <v>0.999999950527517</v>
      </c>
    </row>
    <row r="4519" spans="1:40" x14ac:dyDescent="0.25">
      <c r="A4519" t="str">
        <f>"20190312173020915"</f>
        <v>20190312173020915</v>
      </c>
      <c r="B4519" t="str">
        <f>"1552383020912527"</f>
        <v>1552383020912527</v>
      </c>
      <c r="C4519" t="s">
        <v>40</v>
      </c>
      <c r="D4519">
        <v>3.7323719999999998</v>
      </c>
      <c r="E4519">
        <v>0.45759490000000003</v>
      </c>
      <c r="F4519" t="s">
        <v>41</v>
      </c>
      <c r="G4519">
        <v>-389.70760000000001</v>
      </c>
      <c r="H4519" s="1">
        <v>-3.76229E-7</v>
      </c>
      <c r="I4519">
        <v>138.52379999999999</v>
      </c>
      <c r="J4519">
        <v>-368.22019999999998</v>
      </c>
      <c r="K4519">
        <v>1.1125590000000001</v>
      </c>
      <c r="L4519">
        <v>142.24590000000001</v>
      </c>
      <c r="M4519">
        <v>-0.99989300000000003</v>
      </c>
      <c r="N4519">
        <v>0</v>
      </c>
      <c r="O4519">
        <v>-2.6441780000000001E-3</v>
      </c>
      <c r="P4519">
        <v>-0.98470659999999999</v>
      </c>
      <c r="Q4519">
        <v>0.16396050000000001</v>
      </c>
      <c r="R4519">
        <v>-5.8906739999999999E-2</v>
      </c>
      <c r="S4519">
        <v>-3.042084</v>
      </c>
      <c r="T4519">
        <v>-0.15541669999999999</v>
      </c>
      <c r="U4519">
        <v>-0.52020259999999996</v>
      </c>
      <c r="V4519">
        <v>-5.7438629999999997E-2</v>
      </c>
      <c r="W4519">
        <v>0.177761</v>
      </c>
      <c r="X4519">
        <v>0.98239589999999999</v>
      </c>
      <c r="Y4519">
        <v>-0.16574159999999999</v>
      </c>
      <c r="Z4519">
        <v>-4.0665550000000003E-3</v>
      </c>
      <c r="AA4519">
        <v>0.98616079999999995</v>
      </c>
      <c r="AB4519">
        <v>42</v>
      </c>
      <c r="AC4519">
        <v>-21.487400000000001</v>
      </c>
      <c r="AD4519">
        <v>-1.112559376229</v>
      </c>
      <c r="AE4519">
        <v>-3.72210000000001</v>
      </c>
      <c r="AF4519">
        <v>-3.65574945069327</v>
      </c>
      <c r="AG4519">
        <v>-1.112559376229</v>
      </c>
      <c r="AH4519">
        <v>21.4413604527331</v>
      </c>
      <c r="AI4519">
        <v>92.928145560690197</v>
      </c>
      <c r="AJ4519">
        <v>99.675879725902703</v>
      </c>
      <c r="AK4519">
        <v>21.779215561537299</v>
      </c>
      <c r="AL4519">
        <v>79.760627880123295</v>
      </c>
      <c r="AM4519">
        <v>93.346154715452897</v>
      </c>
      <c r="AN4519">
        <v>0.99999993683704103</v>
      </c>
    </row>
    <row r="4520" spans="1:40" x14ac:dyDescent="0.25">
      <c r="A4520" t="str">
        <f>"20190312173020929"</f>
        <v>20190312173020929</v>
      </c>
      <c r="B4520" t="str">
        <f>"1552383020922287"</f>
        <v>1552383020922287</v>
      </c>
      <c r="C4520" t="s">
        <v>40</v>
      </c>
      <c r="D4520">
        <v>3.790203</v>
      </c>
      <c r="E4520">
        <v>0.45770480000000002</v>
      </c>
      <c r="F4520" t="s">
        <v>41</v>
      </c>
      <c r="G4520">
        <v>-389.76010000000002</v>
      </c>
      <c r="H4520" s="1">
        <v>-3.581164E-7</v>
      </c>
      <c r="I4520">
        <v>138.5247</v>
      </c>
      <c r="J4520">
        <v>-368.47070000000002</v>
      </c>
      <c r="K4520">
        <v>1.1126210000000001</v>
      </c>
      <c r="L4520">
        <v>142.2441</v>
      </c>
      <c r="M4520">
        <v>-0.99988739999999998</v>
      </c>
      <c r="N4520">
        <v>0</v>
      </c>
      <c r="O4520">
        <v>-4.2561470000000001E-3</v>
      </c>
      <c r="P4520">
        <v>-0.98458060000000003</v>
      </c>
      <c r="Q4520">
        <v>0.16390950000000001</v>
      </c>
      <c r="R4520">
        <v>-6.1114599999999998E-2</v>
      </c>
      <c r="S4520">
        <v>-3.0413209999999999</v>
      </c>
      <c r="T4520">
        <v>-0.15708739999999999</v>
      </c>
      <c r="U4520">
        <v>-0.52540589999999998</v>
      </c>
      <c r="V4520">
        <v>-5.8088059999999997E-2</v>
      </c>
      <c r="W4520">
        <v>0.17769960000000001</v>
      </c>
      <c r="X4520">
        <v>0.98236889999999999</v>
      </c>
      <c r="Y4520">
        <v>-0.16582910000000001</v>
      </c>
      <c r="Z4520">
        <v>-4.0302920000000004E-3</v>
      </c>
      <c r="AA4520">
        <v>0.98614630000000003</v>
      </c>
      <c r="AB4520">
        <v>42</v>
      </c>
      <c r="AC4520">
        <v>-21.289400000000001</v>
      </c>
      <c r="AD4520">
        <v>-1.1126213581163999</v>
      </c>
      <c r="AE4520">
        <v>-3.7193999999999998</v>
      </c>
      <c r="AF4520">
        <v>-3.61915392078126</v>
      </c>
      <c r="AG4520">
        <v>-1.1126213581163999</v>
      </c>
      <c r="AH4520">
        <v>21.2487215934114</v>
      </c>
      <c r="AI4520">
        <v>92.954895552555499</v>
      </c>
      <c r="AJ4520">
        <v>99.666051811104893</v>
      </c>
      <c r="AK4520">
        <v>21.583428150855799</v>
      </c>
      <c r="AL4520">
        <v>79.764203545215295</v>
      </c>
      <c r="AM4520">
        <v>93.383993383510202</v>
      </c>
      <c r="AN4520">
        <v>1.0000000131209601</v>
      </c>
    </row>
    <row r="4521" spans="1:40" x14ac:dyDescent="0.25">
      <c r="A4521" t="str">
        <f>"20190312173020944"</f>
        <v>20190312173020944</v>
      </c>
      <c r="B4521" t="str">
        <f>"1552383020932047"</f>
        <v>1552383020932047</v>
      </c>
      <c r="C4521" t="s">
        <v>40</v>
      </c>
      <c r="D4521">
        <v>3.7647179999999998</v>
      </c>
      <c r="E4521">
        <v>0.45782539999999999</v>
      </c>
      <c r="F4521" t="s">
        <v>41</v>
      </c>
      <c r="G4521">
        <v>-389.74079999999998</v>
      </c>
      <c r="H4521" s="1">
        <v>-3.6461980000000001E-7</v>
      </c>
      <c r="I4521">
        <v>138.52500000000001</v>
      </c>
      <c r="J4521">
        <v>-368.76220000000001</v>
      </c>
      <c r="K4521">
        <v>1.1126929999999999</v>
      </c>
      <c r="L4521">
        <v>142.2415</v>
      </c>
      <c r="M4521">
        <v>-0.99987740000000003</v>
      </c>
      <c r="N4521">
        <v>0</v>
      </c>
      <c r="O4521">
        <v>-6.1603539999999998E-3</v>
      </c>
      <c r="P4521">
        <v>-0.98438539999999997</v>
      </c>
      <c r="Q4521">
        <v>0.1640189</v>
      </c>
      <c r="R4521">
        <v>-6.3902269999999997E-2</v>
      </c>
      <c r="S4521">
        <v>-3.0404659999999999</v>
      </c>
      <c r="T4521">
        <v>-0.15904550000000001</v>
      </c>
      <c r="U4521">
        <v>-0.53161619999999998</v>
      </c>
      <c r="V4521">
        <v>-5.9034179999999999E-2</v>
      </c>
      <c r="W4521">
        <v>0.17779389999999901</v>
      </c>
      <c r="X4521">
        <v>0.98229549999999999</v>
      </c>
      <c r="Y4521">
        <v>-0.16594990000000001</v>
      </c>
      <c r="Z4521">
        <v>-3.985237E-3</v>
      </c>
      <c r="AA4521">
        <v>0.98612610000000001</v>
      </c>
      <c r="AB4521">
        <v>42</v>
      </c>
      <c r="AC4521">
        <v>-20.978599999999901</v>
      </c>
      <c r="AD4521">
        <v>-1.1126933646197901</v>
      </c>
      <c r="AE4521">
        <v>-3.7164999999999901</v>
      </c>
      <c r="AF4521">
        <v>-3.5774227642559402</v>
      </c>
      <c r="AG4521">
        <v>-1.1126933646197901</v>
      </c>
      <c r="AH4521">
        <v>20.943972826265501</v>
      </c>
      <c r="AI4521">
        <v>92.997766098198795</v>
      </c>
      <c r="AJ4521">
        <v>99.693099477950398</v>
      </c>
      <c r="AK4521">
        <v>21.276419762385601</v>
      </c>
      <c r="AL4521">
        <v>79.758713789675198</v>
      </c>
      <c r="AM4521">
        <v>93.439235928917199</v>
      </c>
      <c r="AN4521">
        <v>1.0000000773028599</v>
      </c>
    </row>
    <row r="4522" spans="1:40" x14ac:dyDescent="0.25">
      <c r="A4522" t="str">
        <f>"20190312173020960"</f>
        <v>20190312173020960</v>
      </c>
      <c r="B4522" t="str">
        <f>"1552383020952543"</f>
        <v>1552383020952543</v>
      </c>
      <c r="C4522" t="s">
        <v>40</v>
      </c>
      <c r="D4522">
        <v>3.6663610000000002</v>
      </c>
      <c r="E4522">
        <v>0.45809179999999999</v>
      </c>
      <c r="F4522" t="s">
        <v>41</v>
      </c>
      <c r="G4522">
        <v>-389.83690000000001</v>
      </c>
      <c r="H4522" s="1">
        <v>-3.3803800000000003E-7</v>
      </c>
      <c r="I4522">
        <v>138.50190000000001</v>
      </c>
      <c r="J4522">
        <v>-369.07089999999999</v>
      </c>
      <c r="K4522">
        <v>1.1127629999999999</v>
      </c>
      <c r="L4522">
        <v>142.238</v>
      </c>
      <c r="M4522">
        <v>-0.99986249999999999</v>
      </c>
      <c r="N4522">
        <v>0</v>
      </c>
      <c r="O4522">
        <v>-8.2140870000000001E-3</v>
      </c>
      <c r="P4522">
        <v>-0.98421159999999996</v>
      </c>
      <c r="Q4522">
        <v>0.16418929999999901</v>
      </c>
      <c r="R4522">
        <v>-6.610278E-2</v>
      </c>
      <c r="S4522">
        <v>-3.039307</v>
      </c>
      <c r="T4522">
        <v>-0.16046830000000001</v>
      </c>
      <c r="U4522">
        <v>-0.53929139999999998</v>
      </c>
      <c r="V4522">
        <v>-5.9245539999999999E-2</v>
      </c>
      <c r="W4522">
        <v>0.17795529999999901</v>
      </c>
      <c r="X4522">
        <v>0.9822535</v>
      </c>
      <c r="Y4522">
        <v>-0.16640189999999999</v>
      </c>
      <c r="Z4522">
        <v>-3.9258169999999998E-3</v>
      </c>
      <c r="AA4522">
        <v>0.98605019999999999</v>
      </c>
      <c r="AB4522">
        <v>42</v>
      </c>
      <c r="AC4522">
        <v>-20.765999999999998</v>
      </c>
      <c r="AD4522">
        <v>-1.112763338038</v>
      </c>
      <c r="AE4522">
        <v>-3.7360999999999902</v>
      </c>
      <c r="AF4522">
        <v>-3.5554932189769102</v>
      </c>
      <c r="AG4522">
        <v>-1.112763338038</v>
      </c>
      <c r="AH4522">
        <v>20.738309397771999</v>
      </c>
      <c r="AI4522">
        <v>93.027310400987801</v>
      </c>
      <c r="AJ4522">
        <v>99.728529906166401</v>
      </c>
      <c r="AK4522">
        <v>21.070293091326299</v>
      </c>
      <c r="AL4522">
        <v>79.749315908245805</v>
      </c>
      <c r="AM4522">
        <v>93.451666931921693</v>
      </c>
      <c r="AN4522">
        <v>1.00000003053511</v>
      </c>
    </row>
    <row r="4523" spans="1:40" x14ac:dyDescent="0.25">
      <c r="A4523" t="str">
        <f>"20190312173020973"</f>
        <v>20190312173020973</v>
      </c>
      <c r="B4523" t="str">
        <f>"1552383020962303"</f>
        <v>1552383020962303</v>
      </c>
      <c r="C4523" t="s">
        <v>40</v>
      </c>
      <c r="D4523">
        <v>3.6868759999999998</v>
      </c>
      <c r="E4523">
        <v>0.45824150000000002</v>
      </c>
      <c r="F4523" t="s">
        <v>41</v>
      </c>
      <c r="G4523">
        <v>-390.08800000000002</v>
      </c>
      <c r="H4523" s="1">
        <v>-4.437113E-6</v>
      </c>
      <c r="I4523">
        <v>138.47409999999999</v>
      </c>
      <c r="J4523">
        <v>-369.30619999999999</v>
      </c>
      <c r="K4523">
        <v>1.1128100000000001</v>
      </c>
      <c r="L4523">
        <v>142.23490000000001</v>
      </c>
      <c r="M4523">
        <v>-0.99984819999999996</v>
      </c>
      <c r="N4523">
        <v>0</v>
      </c>
      <c r="O4523">
        <v>-9.7993579999999993E-3</v>
      </c>
      <c r="P4523">
        <v>-0.98400860000000001</v>
      </c>
      <c r="Q4523">
        <v>0.16461519999999999</v>
      </c>
      <c r="R4523">
        <v>-6.8037029999999998E-2</v>
      </c>
      <c r="S4523">
        <v>-3.0384220000000002</v>
      </c>
      <c r="T4523">
        <v>-0.16087190000000001</v>
      </c>
      <c r="U4523">
        <v>-0.54412839999999996</v>
      </c>
      <c r="V4523">
        <v>-5.9644240000000001E-2</v>
      </c>
      <c r="W4523">
        <v>0.178372</v>
      </c>
      <c r="X4523">
        <v>0.98215379999999997</v>
      </c>
      <c r="Y4523">
        <v>-0.16641040000000001</v>
      </c>
      <c r="Z4523">
        <v>-3.8532940000000002E-3</v>
      </c>
      <c r="AA4523">
        <v>0.98604910000000001</v>
      </c>
      <c r="AB4523">
        <v>42</v>
      </c>
      <c r="AC4523">
        <v>-20.7818</v>
      </c>
      <c r="AD4523">
        <v>-1.112814437113</v>
      </c>
      <c r="AE4523">
        <v>-3.7608000000000099</v>
      </c>
      <c r="AF4523">
        <v>-3.5471017237104201</v>
      </c>
      <c r="AG4523">
        <v>-1.112814437113</v>
      </c>
      <c r="AH4523">
        <v>20.7600207567579</v>
      </c>
      <c r="AI4523">
        <v>93.024581768815295</v>
      </c>
      <c r="AJ4523">
        <v>99.696048379877297</v>
      </c>
      <c r="AK4523">
        <v>21.090252450618401</v>
      </c>
      <c r="AL4523">
        <v>79.725052728880399</v>
      </c>
      <c r="AM4523">
        <v>93.475190486126493</v>
      </c>
      <c r="AN4523">
        <v>1.0000000463017999</v>
      </c>
    </row>
    <row r="4524" spans="1:40" x14ac:dyDescent="0.25">
      <c r="A4524" t="str">
        <f>"20190312173020990"</f>
        <v>20190312173020990</v>
      </c>
      <c r="B4524" t="str">
        <f>"1552383020981824"</f>
        <v>1552383020981824</v>
      </c>
      <c r="C4524" t="s">
        <v>40</v>
      </c>
      <c r="D4524">
        <v>3.8231950000000001</v>
      </c>
      <c r="E4524">
        <v>0.45857179999999997</v>
      </c>
      <c r="F4524" t="s">
        <v>41</v>
      </c>
      <c r="G4524">
        <v>-390.55529999999999</v>
      </c>
      <c r="H4524" s="1">
        <v>-4.2507559999999997E-6</v>
      </c>
      <c r="I4524">
        <v>138.39439999999999</v>
      </c>
      <c r="J4524">
        <v>-369.62099999999998</v>
      </c>
      <c r="K4524">
        <v>1.1128739999999999</v>
      </c>
      <c r="L4524">
        <v>142.2302</v>
      </c>
      <c r="M4524">
        <v>-0.99982499999999996</v>
      </c>
      <c r="N4524">
        <v>0</v>
      </c>
      <c r="O4524">
        <v>-1.1937069999999999E-2</v>
      </c>
      <c r="P4524">
        <v>-0.9838365</v>
      </c>
      <c r="Q4524">
        <v>0.16457859999999999</v>
      </c>
      <c r="R4524">
        <v>-7.0568850000000002E-2</v>
      </c>
      <c r="S4524">
        <v>-3.0374150000000002</v>
      </c>
      <c r="T4524">
        <v>-0.15906919999999999</v>
      </c>
      <c r="U4524">
        <v>-0.54895019999999894</v>
      </c>
      <c r="V4524">
        <v>-6.0097610000000003E-2</v>
      </c>
      <c r="W4524">
        <v>0.1783255</v>
      </c>
      <c r="X4524">
        <v>0.98213459999999997</v>
      </c>
      <c r="Y4524">
        <v>-0.16588339999999999</v>
      </c>
      <c r="Z4524">
        <v>-3.686276E-3</v>
      </c>
      <c r="AA4524">
        <v>0.98613850000000003</v>
      </c>
      <c r="AB4524">
        <v>42</v>
      </c>
      <c r="AC4524">
        <v>-20.9343</v>
      </c>
      <c r="AD4524">
        <v>-1.112878250756</v>
      </c>
      <c r="AE4524">
        <v>-3.8357999999999999</v>
      </c>
      <c r="AF4524">
        <v>-3.5758293266638099</v>
      </c>
      <c r="AG4524">
        <v>-1.112878250756</v>
      </c>
      <c r="AH4524">
        <v>20.9213969157829</v>
      </c>
      <c r="AI4524">
        <v>93.001438967355597</v>
      </c>
      <c r="AJ4524">
        <v>99.699120473623594</v>
      </c>
      <c r="AK4524">
        <v>21.253938512242001</v>
      </c>
      <c r="AL4524">
        <v>79.727760323956701</v>
      </c>
      <c r="AM4524">
        <v>93.501609038080701</v>
      </c>
      <c r="AN4524">
        <v>1.0000000395975599</v>
      </c>
    </row>
    <row r="4525" spans="1:40" x14ac:dyDescent="0.25">
      <c r="A4525" t="str">
        <f>"20190312173021012"</f>
        <v>20190312173021012</v>
      </c>
      <c r="B4525" t="str">
        <f>"1552383021002319"</f>
        <v>1552383021002319</v>
      </c>
      <c r="C4525" t="s">
        <v>40</v>
      </c>
      <c r="D4525">
        <v>3.7842009999999999</v>
      </c>
      <c r="E4525">
        <v>0.45887630000000001</v>
      </c>
      <c r="F4525" t="s">
        <v>41</v>
      </c>
      <c r="G4525">
        <v>-391.01100000000002</v>
      </c>
      <c r="H4525" s="1">
        <v>-4.0675639999999997E-6</v>
      </c>
      <c r="I4525">
        <v>138.32499999999999</v>
      </c>
      <c r="J4525">
        <v>-370.02780000000001</v>
      </c>
      <c r="K4525">
        <v>1.1129370000000001</v>
      </c>
      <c r="L4525">
        <v>142.22309999999999</v>
      </c>
      <c r="M4525">
        <v>-0.99978769999999995</v>
      </c>
      <c r="N4525">
        <v>0</v>
      </c>
      <c r="O4525">
        <v>-1.472686E-2</v>
      </c>
      <c r="P4525">
        <v>-0.98367309999999997</v>
      </c>
      <c r="Q4525">
        <v>0.1643637</v>
      </c>
      <c r="R4525">
        <v>-7.3296200000000006E-2</v>
      </c>
      <c r="S4525">
        <v>-3.0359500000000001</v>
      </c>
      <c r="T4525">
        <v>-0.15795429999999999</v>
      </c>
      <c r="U4525">
        <v>-0.55426030000000004</v>
      </c>
      <c r="V4525">
        <v>-6.0105690000000003E-2</v>
      </c>
      <c r="W4525">
        <v>0.1781045</v>
      </c>
      <c r="X4525">
        <v>0.9821742</v>
      </c>
      <c r="Y4525">
        <v>-0.16489239999999999</v>
      </c>
      <c r="Z4525">
        <v>-3.4923129999999999E-3</v>
      </c>
      <c r="AA4525">
        <v>0.9863054</v>
      </c>
      <c r="AB4525">
        <v>42</v>
      </c>
      <c r="AC4525">
        <v>-20.983199999999901</v>
      </c>
      <c r="AD4525">
        <v>-1.1129410675639999</v>
      </c>
      <c r="AE4525">
        <v>-3.8980999999999999</v>
      </c>
      <c r="AF4525">
        <v>-3.57889615464049</v>
      </c>
      <c r="AG4525">
        <v>-1.1129410675639999</v>
      </c>
      <c r="AH4525">
        <v>20.981281202335801</v>
      </c>
      <c r="AI4525">
        <v>92.993225910054093</v>
      </c>
      <c r="AJ4525">
        <v>99.6800994264851</v>
      </c>
      <c r="AK4525">
        <v>21.313406494435899</v>
      </c>
      <c r="AL4525">
        <v>79.7406286248698</v>
      </c>
      <c r="AM4525">
        <v>93.501937802690406</v>
      </c>
      <c r="AN4525">
        <v>1.00000003301813</v>
      </c>
    </row>
    <row r="4526" spans="1:40" x14ac:dyDescent="0.25">
      <c r="A4526" t="str">
        <f>"20190312173021033"</f>
        <v>20190312173021033</v>
      </c>
      <c r="B4526" t="str">
        <f>"1552383021021842"</f>
        <v>1552383021021842</v>
      </c>
      <c r="C4526" t="s">
        <v>40</v>
      </c>
      <c r="D4526">
        <v>3.6849910000000001</v>
      </c>
      <c r="E4526">
        <v>0.45918429999999999</v>
      </c>
      <c r="F4526" t="s">
        <v>41</v>
      </c>
      <c r="G4526">
        <v>-391.12740000000002</v>
      </c>
      <c r="H4526" s="1">
        <v>-4.0170870000000003E-6</v>
      </c>
      <c r="I4526">
        <v>138.32830000000001</v>
      </c>
      <c r="J4526">
        <v>-370.43180000000001</v>
      </c>
      <c r="K4526">
        <v>1.1129960000000001</v>
      </c>
      <c r="L4526">
        <v>142.2149</v>
      </c>
      <c r="M4526">
        <v>-0.99974269999999998</v>
      </c>
      <c r="N4526">
        <v>0</v>
      </c>
      <c r="O4526">
        <v>-1.7519079999999999E-2</v>
      </c>
      <c r="P4526">
        <v>-0.98352629999999996</v>
      </c>
      <c r="Q4526">
        <v>0.1640539</v>
      </c>
      <c r="R4526">
        <v>-7.591175E-2</v>
      </c>
      <c r="S4526">
        <v>-3.0347900000000001</v>
      </c>
      <c r="T4526">
        <v>-0.16007689999999999</v>
      </c>
      <c r="U4526">
        <v>-0.56018069999999998</v>
      </c>
      <c r="V4526">
        <v>-5.9993459999999998E-2</v>
      </c>
      <c r="W4526">
        <v>0.17779110000000001</v>
      </c>
      <c r="X4526">
        <v>0.98223780000000005</v>
      </c>
      <c r="Y4526">
        <v>-0.164065299999999</v>
      </c>
      <c r="Z4526">
        <v>-3.372431E-3</v>
      </c>
      <c r="AA4526">
        <v>0.98644370000000003</v>
      </c>
      <c r="AB4526">
        <v>42</v>
      </c>
      <c r="AC4526">
        <v>-20.695599999999999</v>
      </c>
      <c r="AD4526">
        <v>-1.11300001708699</v>
      </c>
      <c r="AE4526">
        <v>-3.8865999999999801</v>
      </c>
      <c r="AF4526">
        <v>-3.5135819499395899</v>
      </c>
      <c r="AG4526">
        <v>-1.11300001708699</v>
      </c>
      <c r="AH4526">
        <v>20.7026825912153</v>
      </c>
      <c r="AI4526">
        <v>93.034022102549997</v>
      </c>
      <c r="AJ4526">
        <v>99.632244343169205</v>
      </c>
      <c r="AK4526">
        <v>21.0281975839487</v>
      </c>
      <c r="AL4526">
        <v>79.758875943692601</v>
      </c>
      <c r="AM4526">
        <v>93.495189406035806</v>
      </c>
      <c r="AN4526">
        <v>0.99999999311540999</v>
      </c>
    </row>
    <row r="4527" spans="1:40" x14ac:dyDescent="0.25">
      <c r="A4527" t="str">
        <f>"20190312173021048"</f>
        <v>20190312173021048</v>
      </c>
      <c r="B4527" t="str">
        <f>"1552383021042335"</f>
        <v>1552383021042335</v>
      </c>
      <c r="C4527" t="s">
        <v>40</v>
      </c>
      <c r="D4527">
        <v>3.6720730000000001</v>
      </c>
      <c r="E4527">
        <v>0.45952460000000001</v>
      </c>
      <c r="F4527" t="s">
        <v>41</v>
      </c>
      <c r="G4527">
        <v>-391.48469999999998</v>
      </c>
      <c r="H4527" s="1">
        <v>-3.8714470000000001E-6</v>
      </c>
      <c r="I4527">
        <v>138.2852</v>
      </c>
      <c r="J4527">
        <v>-370.69200000000001</v>
      </c>
      <c r="K4527">
        <v>1.11303</v>
      </c>
      <c r="L4527">
        <v>142.209</v>
      </c>
      <c r="M4527">
        <v>-0.99970939999999997</v>
      </c>
      <c r="N4527">
        <v>0</v>
      </c>
      <c r="O4527">
        <v>-1.932555E-2</v>
      </c>
      <c r="P4527">
        <v>-0.98340899999999998</v>
      </c>
      <c r="Q4527">
        <v>0.16398199999999999</v>
      </c>
      <c r="R4527">
        <v>-7.7566040000000003E-2</v>
      </c>
      <c r="S4527">
        <v>-3.033325</v>
      </c>
      <c r="T4527">
        <v>-0.1603627</v>
      </c>
      <c r="U4527">
        <v>-0.56617740000000005</v>
      </c>
      <c r="V4527">
        <v>-5.988185E-2</v>
      </c>
      <c r="W4527">
        <v>0.1777174</v>
      </c>
      <c r="X4527">
        <v>0.98225799999999996</v>
      </c>
      <c r="Y4527">
        <v>-0.1642545</v>
      </c>
      <c r="Z4527">
        <v>-3.2898659999999998E-3</v>
      </c>
      <c r="AA4527">
        <v>0.98641250000000003</v>
      </c>
      <c r="AB4527">
        <v>42</v>
      </c>
      <c r="AC4527">
        <v>-20.7927</v>
      </c>
      <c r="AD4527">
        <v>-1.1130338714470001</v>
      </c>
      <c r="AE4527">
        <v>-3.9238</v>
      </c>
      <c r="AF4527">
        <v>-3.5114789532855002</v>
      </c>
      <c r="AG4527">
        <v>-1.1130338714470001</v>
      </c>
      <c r="AH4527">
        <v>20.807081776890598</v>
      </c>
      <c r="AI4527">
        <v>93.019391153777605</v>
      </c>
      <c r="AJ4527">
        <v>99.579183047467495</v>
      </c>
      <c r="AK4527">
        <v>21.1306408068608</v>
      </c>
      <c r="AL4527">
        <v>79.763167508360695</v>
      </c>
      <c r="AM4527">
        <v>93.488631569628097</v>
      </c>
      <c r="AN4527">
        <v>1.0000000443930901</v>
      </c>
    </row>
    <row r="4528" spans="1:40" x14ac:dyDescent="0.25">
      <c r="A4528" t="str">
        <f>"20190312173021062"</f>
        <v>20190312173021062</v>
      </c>
      <c r="B4528" t="str">
        <f>"1552383021052602"</f>
        <v>1552383021052602</v>
      </c>
      <c r="C4528" t="s">
        <v>40</v>
      </c>
      <c r="D4528">
        <v>3.719398</v>
      </c>
      <c r="E4528">
        <v>0.45952460000000001</v>
      </c>
      <c r="F4528" t="s">
        <v>41</v>
      </c>
      <c r="G4528">
        <v>-391.73680000000002</v>
      </c>
      <c r="H4528" s="1">
        <v>-3.7672940000000002E-6</v>
      </c>
      <c r="I4528">
        <v>138.26259999999999</v>
      </c>
      <c r="J4528">
        <v>-370.96809999999999</v>
      </c>
      <c r="K4528">
        <v>1.113059</v>
      </c>
      <c r="L4528">
        <v>142.20230000000001</v>
      </c>
      <c r="M4528">
        <v>-0.99967050000000002</v>
      </c>
      <c r="N4528">
        <v>0</v>
      </c>
      <c r="O4528">
        <v>-2.1246749999999998E-2</v>
      </c>
      <c r="P4528">
        <v>-0.98323240000000001</v>
      </c>
      <c r="Q4528">
        <v>0.16414679999999901</v>
      </c>
      <c r="R4528">
        <v>-7.9436560000000003E-2</v>
      </c>
      <c r="S4528">
        <v>-3.0324710000000001</v>
      </c>
      <c r="T4528">
        <v>-0.1603841</v>
      </c>
      <c r="U4528">
        <v>-0.56864930000000002</v>
      </c>
      <c r="V4528">
        <v>-5.9875869999999998E-2</v>
      </c>
      <c r="W4528">
        <v>0.177878799999999</v>
      </c>
      <c r="X4528">
        <v>0.98222909999999997</v>
      </c>
      <c r="Y4528">
        <v>-0.16318959999999999</v>
      </c>
      <c r="Z4528">
        <v>-3.1625109999999998E-3</v>
      </c>
      <c r="AA4528">
        <v>0.98658970000000001</v>
      </c>
      <c r="AB4528">
        <v>42</v>
      </c>
      <c r="AC4528">
        <v>-20.768699999999999</v>
      </c>
      <c r="AD4528">
        <v>-1.1130627672939899</v>
      </c>
      <c r="AE4528">
        <v>-3.93970000000001</v>
      </c>
      <c r="AF4528">
        <v>-3.4878274030616998</v>
      </c>
      <c r="AG4528">
        <v>-1.1130627672939899</v>
      </c>
      <c r="AH4528">
        <v>20.7900852549928</v>
      </c>
      <c r="AI4528">
        <v>93.022426770846394</v>
      </c>
      <c r="AJ4528">
        <v>99.523483379192896</v>
      </c>
      <c r="AK4528">
        <v>21.109985637781801</v>
      </c>
      <c r="AL4528">
        <v>79.753769742970107</v>
      </c>
      <c r="AM4528">
        <v>93.488386425501105</v>
      </c>
      <c r="AN4528">
        <v>0.99999999609225299</v>
      </c>
    </row>
    <row r="4529" spans="1:40" x14ac:dyDescent="0.25">
      <c r="A4529" t="str">
        <f>"20190312173021079"</f>
        <v>20190312173021079</v>
      </c>
      <c r="B4529" t="str">
        <f>"1552383021072122"</f>
        <v>1552383021072122</v>
      </c>
      <c r="C4529" t="s">
        <v>40</v>
      </c>
      <c r="D4529">
        <v>3.727004</v>
      </c>
      <c r="E4529">
        <v>0.46707340000000003</v>
      </c>
      <c r="F4529" t="s">
        <v>41</v>
      </c>
      <c r="G4529">
        <v>-392.07749999999999</v>
      </c>
      <c r="H4529" s="1">
        <v>-3.6318870000000002E-6</v>
      </c>
      <c r="I4529">
        <v>138.2021</v>
      </c>
      <c r="J4529">
        <v>-371.28699999999998</v>
      </c>
      <c r="K4529">
        <v>1.113081</v>
      </c>
      <c r="L4529">
        <v>142.19380000000001</v>
      </c>
      <c r="M4529">
        <v>-0.99962059999999997</v>
      </c>
      <c r="N4529">
        <v>0</v>
      </c>
      <c r="O4529">
        <v>-2.347059E-2</v>
      </c>
      <c r="P4529">
        <v>-0.98307080000000002</v>
      </c>
      <c r="Q4529">
        <v>0.16408729999999999</v>
      </c>
      <c r="R4529">
        <v>-8.1529290000000004E-2</v>
      </c>
      <c r="S4529">
        <v>-3.0314640000000002</v>
      </c>
      <c r="T4529">
        <v>-0.1598444</v>
      </c>
      <c r="U4529">
        <v>-0.57444759999999995</v>
      </c>
      <c r="V4529">
        <v>-5.9791299999999999E-2</v>
      </c>
      <c r="W4529">
        <v>0.1778169</v>
      </c>
      <c r="X4529">
        <v>0.98224540000000005</v>
      </c>
      <c r="Y4529">
        <v>-0.1628812</v>
      </c>
      <c r="Z4529">
        <v>-3.0282949999999999E-3</v>
      </c>
      <c r="AA4529">
        <v>0.98664099999999999</v>
      </c>
      <c r="AB4529">
        <v>42</v>
      </c>
      <c r="AC4529">
        <v>-20.790500000000002</v>
      </c>
      <c r="AD4529">
        <v>-1.113084631887</v>
      </c>
      <c r="AE4529">
        <v>-3.9916999999999998</v>
      </c>
      <c r="AF4529">
        <v>-3.4929282141968598</v>
      </c>
      <c r="AG4529">
        <v>-1.113084631887</v>
      </c>
      <c r="AH4529">
        <v>20.820910981956398</v>
      </c>
      <c r="AI4529">
        <v>93.018021134488805</v>
      </c>
      <c r="AJ4529">
        <v>99.523294322721796</v>
      </c>
      <c r="AK4529">
        <v>21.141188212251102</v>
      </c>
      <c r="AL4529">
        <v>79.757373202698204</v>
      </c>
      <c r="AM4529">
        <v>93.483413828164302</v>
      </c>
      <c r="AN4529">
        <v>0.99999993765122797</v>
      </c>
    </row>
    <row r="4530" spans="1:40" x14ac:dyDescent="0.25">
      <c r="A4530" t="str">
        <f>"20190312173021101"</f>
        <v>20190312173021101</v>
      </c>
      <c r="B4530" t="str">
        <f>"1552383021092617"</f>
        <v>1552383021092617</v>
      </c>
      <c r="C4530" t="s">
        <v>40</v>
      </c>
      <c r="D4530">
        <v>3.7220759999999999</v>
      </c>
      <c r="E4530">
        <v>0.46721240000000003</v>
      </c>
      <c r="F4530" t="s">
        <v>41</v>
      </c>
      <c r="G4530">
        <v>-394.87790000000001</v>
      </c>
      <c r="H4530" s="1">
        <v>-2.440915E-6</v>
      </c>
      <c r="I4530">
        <v>138.14340000000001</v>
      </c>
      <c r="J4530">
        <v>-371.69069999999999</v>
      </c>
      <c r="K4530">
        <v>1.1130930000000001</v>
      </c>
      <c r="L4530">
        <v>142.18209999999999</v>
      </c>
      <c r="M4530">
        <v>-0.99955050000000001</v>
      </c>
      <c r="N4530">
        <v>0</v>
      </c>
      <c r="O4530">
        <v>-2.6289779999999999E-2</v>
      </c>
      <c r="P4530">
        <v>-0.9829407</v>
      </c>
      <c r="Q4530">
        <v>0.1632344</v>
      </c>
      <c r="R4530">
        <v>-8.4749599999999994E-2</v>
      </c>
      <c r="S4530">
        <v>-3.0323790000000002</v>
      </c>
      <c r="T4530">
        <v>-0.143075799999999</v>
      </c>
      <c r="U4530">
        <v>-0.52062989999999998</v>
      </c>
      <c r="V4530">
        <v>-6.024057E-2</v>
      </c>
      <c r="W4530">
        <v>0.17695859999999999</v>
      </c>
      <c r="X4530">
        <v>0.98237300000000005</v>
      </c>
      <c r="Y4530">
        <v>-0.1431164</v>
      </c>
      <c r="Z4530">
        <v>-2.1198860000000001E-3</v>
      </c>
      <c r="AA4530">
        <v>0.98970360000000002</v>
      </c>
      <c r="AB4530">
        <v>42</v>
      </c>
      <c r="AC4530">
        <v>-23.187200000000001</v>
      </c>
      <c r="AD4530">
        <v>-1.113095440915</v>
      </c>
      <c r="AE4530">
        <v>-4.0386999999999702</v>
      </c>
      <c r="AF4530">
        <v>-3.4200049184374701</v>
      </c>
      <c r="AG4530">
        <v>-1.113095440915</v>
      </c>
      <c r="AH4530">
        <v>23.233407704539101</v>
      </c>
      <c r="AI4530">
        <v>92.713702401758198</v>
      </c>
      <c r="AJ4530">
        <v>98.373917733725307</v>
      </c>
      <c r="AK4530">
        <v>23.5101392736848</v>
      </c>
      <c r="AL4530">
        <v>79.807343195813203</v>
      </c>
      <c r="AM4530">
        <v>93.509068205211406</v>
      </c>
      <c r="AN4530">
        <v>0.99999999175844201</v>
      </c>
    </row>
    <row r="4531" spans="1:40" x14ac:dyDescent="0.25">
      <c r="A4531" t="str">
        <f>"20190312173021123"</f>
        <v>20190312173021123</v>
      </c>
      <c r="B4531" t="str">
        <f>"1552383021112138"</f>
        <v>1552383021112138</v>
      </c>
      <c r="C4531" t="s">
        <v>40</v>
      </c>
      <c r="D4531">
        <v>3.7447689999999998</v>
      </c>
      <c r="E4531">
        <v>0.4675723</v>
      </c>
      <c r="F4531" t="s">
        <v>41</v>
      </c>
      <c r="G4531">
        <v>-393.9126</v>
      </c>
      <c r="H4531" s="1">
        <v>-2.8274319999999999E-6</v>
      </c>
      <c r="I4531">
        <v>138.29900000000001</v>
      </c>
      <c r="J4531">
        <v>-372.10270000000003</v>
      </c>
      <c r="K4531">
        <v>1.1130949999999999</v>
      </c>
      <c r="L4531">
        <v>142.16890000000001</v>
      </c>
      <c r="M4531">
        <v>-0.99947050000000004</v>
      </c>
      <c r="N4531">
        <v>0</v>
      </c>
      <c r="O4531">
        <v>-2.916879E-2</v>
      </c>
      <c r="P4531">
        <v>-0.98289260000000001</v>
      </c>
      <c r="Q4531">
        <v>0.16160070000000001</v>
      </c>
      <c r="R4531">
        <v>-8.8359519999999997E-2</v>
      </c>
      <c r="S4531">
        <v>-3.031647</v>
      </c>
      <c r="T4531">
        <v>-0.1518555</v>
      </c>
      <c r="U4531">
        <v>-0.52973939999999997</v>
      </c>
      <c r="V4531">
        <v>-6.1010090000000003E-2</v>
      </c>
      <c r="W4531">
        <v>0.175319</v>
      </c>
      <c r="X4531">
        <v>0.98261949999999998</v>
      </c>
      <c r="Y4531">
        <v>-0.14318029999999901</v>
      </c>
      <c r="Z4531">
        <v>-2.1085399999999999E-3</v>
      </c>
      <c r="AA4531">
        <v>0.98969439999999997</v>
      </c>
      <c r="AB4531">
        <v>42</v>
      </c>
      <c r="AC4531">
        <v>-21.809899999999899</v>
      </c>
      <c r="AD4531">
        <v>-1.113097827432</v>
      </c>
      <c r="AE4531">
        <v>-3.8698999999999999</v>
      </c>
      <c r="AF4531">
        <v>-3.22387752899688</v>
      </c>
      <c r="AG4531">
        <v>-1.113097827432</v>
      </c>
      <c r="AH4531">
        <v>21.8583132637795</v>
      </c>
      <c r="AI4531">
        <v>92.884026892412095</v>
      </c>
      <c r="AJ4531">
        <v>98.390053185628005</v>
      </c>
      <c r="AK4531">
        <v>22.122798914986401</v>
      </c>
      <c r="AL4531">
        <v>79.902777864471801</v>
      </c>
      <c r="AM4531">
        <v>93.552890074944301</v>
      </c>
      <c r="AN4531">
        <v>1.0000000323115199</v>
      </c>
    </row>
    <row r="4532" spans="1:40" x14ac:dyDescent="0.25">
      <c r="A4532" t="str">
        <f>"20190312173021146"</f>
        <v>20190312173021146</v>
      </c>
      <c r="B4532" t="str">
        <f>"1552383021142394"</f>
        <v>1552383021142394</v>
      </c>
      <c r="C4532" t="s">
        <v>40</v>
      </c>
      <c r="D4532">
        <v>3.7772589999999999</v>
      </c>
      <c r="E4532">
        <v>0.46885199999999999</v>
      </c>
      <c r="F4532" t="s">
        <v>41</v>
      </c>
      <c r="G4532">
        <v>-393.38420000000002</v>
      </c>
      <c r="H4532" s="1">
        <v>-3.0380360000000001E-6</v>
      </c>
      <c r="I4532">
        <v>138.3896</v>
      </c>
      <c r="J4532">
        <v>-372.51299999999998</v>
      </c>
      <c r="K4532">
        <v>1.113097</v>
      </c>
      <c r="L4532">
        <v>142.15450000000001</v>
      </c>
      <c r="M4532">
        <v>-0.99938269999999996</v>
      </c>
      <c r="N4532">
        <v>0</v>
      </c>
      <c r="O4532">
        <v>-3.2037900000000001E-2</v>
      </c>
      <c r="P4532">
        <v>-0.98276180000000002</v>
      </c>
      <c r="Q4532">
        <v>0.16030739999999999</v>
      </c>
      <c r="R4532">
        <v>-9.2091679999999995E-2</v>
      </c>
      <c r="S4532">
        <v>-3.029938</v>
      </c>
      <c r="T4532">
        <v>-0.1584766</v>
      </c>
      <c r="U4532">
        <v>-0.53805539999999996</v>
      </c>
      <c r="V4532">
        <v>-6.1913419999999997E-2</v>
      </c>
      <c r="W4532">
        <v>0.17401849999999999</v>
      </c>
      <c r="X4532">
        <v>0.9827941</v>
      </c>
      <c r="Y4532">
        <v>-0.14305989999999999</v>
      </c>
      <c r="Z4532">
        <v>-2.0493870000000002E-3</v>
      </c>
      <c r="AA4532">
        <v>0.98971189999999998</v>
      </c>
      <c r="AB4532">
        <v>42</v>
      </c>
      <c r="AC4532">
        <v>-20.871199999999899</v>
      </c>
      <c r="AD4532">
        <v>-1.1131000380359899</v>
      </c>
      <c r="AE4532">
        <v>-3.7649000000000101</v>
      </c>
      <c r="AF4532">
        <v>-3.0857278946943199</v>
      </c>
      <c r="AG4532">
        <v>-1.1131000380359899</v>
      </c>
      <c r="AH4532">
        <v>20.923478748010599</v>
      </c>
      <c r="AI4532">
        <v>93.012660849866606</v>
      </c>
      <c r="AJ4532">
        <v>98.389326597699807</v>
      </c>
      <c r="AK4532">
        <v>21.179062095693101</v>
      </c>
      <c r="AL4532">
        <v>79.978453819631</v>
      </c>
      <c r="AM4532">
        <v>93.604718443932597</v>
      </c>
      <c r="AN4532">
        <v>0.99999997645657701</v>
      </c>
    </row>
    <row r="4533" spans="1:40" x14ac:dyDescent="0.25">
      <c r="A4533" t="str">
        <f>"20190312173021158"</f>
        <v>20190312173021158</v>
      </c>
      <c r="B4533" t="str">
        <f>"1552383021152154"</f>
        <v>1552383021152154</v>
      </c>
      <c r="C4533" t="s">
        <v>40</v>
      </c>
      <c r="D4533">
        <v>3.762858</v>
      </c>
      <c r="E4533">
        <v>0.46885199999999999</v>
      </c>
      <c r="F4533" t="s">
        <v>41</v>
      </c>
      <c r="G4533">
        <v>-393.10160000000002</v>
      </c>
      <c r="H4533" s="1">
        <v>-3.1417529999999999E-6</v>
      </c>
      <c r="I4533">
        <v>138.48830000000001</v>
      </c>
      <c r="J4533">
        <v>-372.75700000000001</v>
      </c>
      <c r="K4533">
        <v>1.1131009999999999</v>
      </c>
      <c r="L4533">
        <v>142.1454</v>
      </c>
      <c r="M4533">
        <v>-0.99932650000000001</v>
      </c>
      <c r="N4533">
        <v>0</v>
      </c>
      <c r="O4533">
        <v>-3.3744280000000001E-2</v>
      </c>
      <c r="P4533">
        <v>-0.98262910000000003</v>
      </c>
      <c r="Q4533">
        <v>0.15993070000000001</v>
      </c>
      <c r="R4533">
        <v>-9.414119E-2</v>
      </c>
      <c r="S4533">
        <v>-3.0288089999999999</v>
      </c>
      <c r="T4533">
        <v>-0.1637496</v>
      </c>
      <c r="U4533">
        <v>-0.53932190000000002</v>
      </c>
      <c r="V4533">
        <v>-6.228413E-2</v>
      </c>
      <c r="W4533">
        <v>0.17363809999999999</v>
      </c>
      <c r="X4533">
        <v>0.98283799999999999</v>
      </c>
      <c r="Y4533">
        <v>-0.1418287</v>
      </c>
      <c r="Z4533">
        <v>-1.9938769999999998E-3</v>
      </c>
      <c r="AA4533">
        <v>0.98988920000000002</v>
      </c>
      <c r="AB4533">
        <v>42</v>
      </c>
      <c r="AC4533">
        <v>-20.3446</v>
      </c>
      <c r="AD4533">
        <v>-1.1131041417530001</v>
      </c>
      <c r="AE4533">
        <v>-3.6570999999999798</v>
      </c>
      <c r="AF4533">
        <v>-2.9598487552275099</v>
      </c>
      <c r="AG4533">
        <v>-1.1131041417530001</v>
      </c>
      <c r="AH4533">
        <v>20.3972831559844</v>
      </c>
      <c r="AI4533">
        <v>93.091287843041002</v>
      </c>
      <c r="AJ4533">
        <v>98.256557125263498</v>
      </c>
      <c r="AK4533">
        <v>20.640951180350601</v>
      </c>
      <c r="AL4533">
        <v>80.000586500910103</v>
      </c>
      <c r="AM4533">
        <v>93.626082933899099</v>
      </c>
      <c r="AN4533">
        <v>1.00000001843273</v>
      </c>
    </row>
    <row r="4534" spans="1:40" x14ac:dyDescent="0.25">
      <c r="A4534" t="str">
        <f>"20190312173021171"</f>
        <v>20190312173021171</v>
      </c>
      <c r="B4534" t="str">
        <f>"1552383021161914"</f>
        <v>1552383021161914</v>
      </c>
      <c r="C4534" t="s">
        <v>40</v>
      </c>
      <c r="D4534">
        <v>3.7491150000000002</v>
      </c>
      <c r="E4534">
        <v>0.45889360000000001</v>
      </c>
      <c r="F4534" t="s">
        <v>41</v>
      </c>
      <c r="G4534">
        <v>-393.19130000000001</v>
      </c>
      <c r="H4534" s="1">
        <v>-3.1078320000000002E-6</v>
      </c>
      <c r="I4534">
        <v>138.46260000000001</v>
      </c>
      <c r="J4534">
        <v>-373.00659999999999</v>
      </c>
      <c r="K4534">
        <v>1.113102</v>
      </c>
      <c r="L4534">
        <v>142.13560000000001</v>
      </c>
      <c r="M4534">
        <v>-0.99926610000000005</v>
      </c>
      <c r="N4534">
        <v>0</v>
      </c>
      <c r="O4534">
        <v>-3.5490800000000003E-2</v>
      </c>
      <c r="P4534">
        <v>-0.98237799999999997</v>
      </c>
      <c r="Q4534">
        <v>0.16032199999999999</v>
      </c>
      <c r="R4534">
        <v>-9.6075090000000002E-2</v>
      </c>
      <c r="S4534">
        <v>-3.0276179999999999</v>
      </c>
      <c r="T4534">
        <v>-0.16492129999999999</v>
      </c>
      <c r="U4534">
        <v>-0.54563899999999999</v>
      </c>
      <c r="V4534">
        <v>-6.2509419999999996E-2</v>
      </c>
      <c r="W4534">
        <v>0.1740256</v>
      </c>
      <c r="X4534">
        <v>0.98275509999999999</v>
      </c>
      <c r="Y4534">
        <v>-0.14216679999999901</v>
      </c>
      <c r="Z4534">
        <v>-1.9235470000000001E-3</v>
      </c>
      <c r="AA4534">
        <v>0.98984090000000002</v>
      </c>
      <c r="AB4534">
        <v>42</v>
      </c>
      <c r="AC4534">
        <v>-20.184699999999999</v>
      </c>
      <c r="AD4534">
        <v>-1.113105107832</v>
      </c>
      <c r="AE4534">
        <v>-3.673</v>
      </c>
      <c r="AF4534">
        <v>-2.94556939436676</v>
      </c>
      <c r="AG4534">
        <v>-1.113105107832</v>
      </c>
      <c r="AH4534">
        <v>20.242765539875101</v>
      </c>
      <c r="AI4534">
        <v>93.114662805859297</v>
      </c>
      <c r="AJ4534">
        <v>98.2791278504248</v>
      </c>
      <c r="AK4534">
        <v>20.4862133821862</v>
      </c>
      <c r="AL4534">
        <v>79.978040568053601</v>
      </c>
      <c r="AM4534">
        <v>93.639469931200907</v>
      </c>
      <c r="AN4534">
        <v>0.99999996181005202</v>
      </c>
    </row>
    <row r="4535" spans="1:40" x14ac:dyDescent="0.25">
      <c r="A4535" t="str">
        <f>"20190312173021185"</f>
        <v>20190312173021185</v>
      </c>
      <c r="B4535" t="str">
        <f>"1552383021182410"</f>
        <v>1552383021182410</v>
      </c>
      <c r="C4535" t="s">
        <v>40</v>
      </c>
      <c r="D4535">
        <v>3.803909</v>
      </c>
      <c r="E4535">
        <v>0.45567039999999998</v>
      </c>
      <c r="F4535" t="s">
        <v>41</v>
      </c>
      <c r="G4535">
        <v>-388.37650000000002</v>
      </c>
      <c r="H4535" s="1">
        <v>-8.0100399999999898E-7</v>
      </c>
      <c r="I4535">
        <v>138.9272</v>
      </c>
      <c r="J4535">
        <v>-373.25380000000001</v>
      </c>
      <c r="K4535">
        <v>1.113108</v>
      </c>
      <c r="L4535">
        <v>142.12559999999999</v>
      </c>
      <c r="M4535">
        <v>-0.99920310000000001</v>
      </c>
      <c r="N4535">
        <v>0</v>
      </c>
      <c r="O4535">
        <v>-3.7220490000000002E-2</v>
      </c>
      <c r="P4535">
        <v>-0.98205169999999997</v>
      </c>
      <c r="Q4535">
        <v>0.1611466</v>
      </c>
      <c r="R4535">
        <v>-9.8011329999999994E-2</v>
      </c>
      <c r="S4535">
        <v>-3.027771</v>
      </c>
      <c r="T4535">
        <v>-0.21927550000000001</v>
      </c>
      <c r="U4535">
        <v>-0.632019</v>
      </c>
      <c r="V4535">
        <v>-6.2759789999999996E-2</v>
      </c>
      <c r="W4535">
        <v>0.17484439999999901</v>
      </c>
      <c r="X4535">
        <v>0.98259379999999996</v>
      </c>
      <c r="Y4535">
        <v>-0.16742969999999999</v>
      </c>
      <c r="Z4535">
        <v>-3.3298030000000001E-3</v>
      </c>
      <c r="AA4535">
        <v>0.98587840000000004</v>
      </c>
      <c r="AB4535">
        <v>42</v>
      </c>
      <c r="AC4535">
        <v>-15.1227</v>
      </c>
      <c r="AD4535">
        <v>-1.113108801004</v>
      </c>
      <c r="AE4535">
        <v>-3.1983999999999901</v>
      </c>
      <c r="AF4535">
        <v>-2.6196655513101601</v>
      </c>
      <c r="AG4535">
        <v>-1.113108801004</v>
      </c>
      <c r="AH4535">
        <v>15.1526991343587</v>
      </c>
      <c r="AI4535">
        <v>94.14017053117</v>
      </c>
      <c r="AJ4535">
        <v>99.808591284633096</v>
      </c>
      <c r="AK4535">
        <v>15.4177154552803</v>
      </c>
      <c r="AL4535">
        <v>79.930396370768193</v>
      </c>
      <c r="AM4535">
        <v>93.654605951339093</v>
      </c>
      <c r="AN4535">
        <v>0.99999996562532101</v>
      </c>
    </row>
    <row r="4536" spans="1:40" x14ac:dyDescent="0.25">
      <c r="A4536" t="str">
        <f>"20190312173021199"</f>
        <v>20190312173021199</v>
      </c>
      <c r="B4536" t="str">
        <f>"1552383021192170"</f>
        <v>1552383021192170</v>
      </c>
      <c r="C4536" t="s">
        <v>40</v>
      </c>
      <c r="D4536">
        <v>3.9431600000000002</v>
      </c>
      <c r="E4536">
        <v>0.4547274</v>
      </c>
      <c r="F4536" t="s">
        <v>41</v>
      </c>
      <c r="G4536">
        <v>-388.50490000000002</v>
      </c>
      <c r="H4536" s="1">
        <v>-7.7219929999999999E-7</v>
      </c>
      <c r="I4536">
        <v>138.779</v>
      </c>
      <c r="J4536">
        <v>-373.50439999999998</v>
      </c>
      <c r="K4536">
        <v>1.1131139999999999</v>
      </c>
      <c r="L4536">
        <v>142.11490000000001</v>
      </c>
      <c r="M4536">
        <v>-0.99913609999999997</v>
      </c>
      <c r="N4536">
        <v>0</v>
      </c>
      <c r="O4536">
        <v>-3.8974580000000002E-2</v>
      </c>
      <c r="P4536">
        <v>-0.98165420000000003</v>
      </c>
      <c r="Q4536">
        <v>0.16234899999999999</v>
      </c>
      <c r="R4536">
        <v>-9.9989250000000002E-2</v>
      </c>
      <c r="S4536">
        <v>-3.0248110000000001</v>
      </c>
      <c r="T4536">
        <v>-0.22076799999999999</v>
      </c>
      <c r="U4536">
        <v>-0.663742099999999</v>
      </c>
      <c r="V4536">
        <v>-6.3033350000000002E-2</v>
      </c>
      <c r="W4536">
        <v>0.17604049999999999</v>
      </c>
      <c r="X4536">
        <v>0.98236270000000003</v>
      </c>
      <c r="Y4536">
        <v>-0.17575099999999999</v>
      </c>
      <c r="Z4536">
        <v>-3.5257880000000002E-3</v>
      </c>
      <c r="AA4536">
        <v>0.98442830000000003</v>
      </c>
      <c r="AB4536">
        <v>42</v>
      </c>
      <c r="AC4536">
        <v>-15.000500000000001</v>
      </c>
      <c r="AD4536">
        <v>-1.1131147721993</v>
      </c>
      <c r="AE4536">
        <v>-3.3359000000000001</v>
      </c>
      <c r="AF4536">
        <v>-2.7343191019928699</v>
      </c>
      <c r="AG4536">
        <v>-1.1131147721993</v>
      </c>
      <c r="AH4536">
        <v>15.0402143185689</v>
      </c>
      <c r="AI4536">
        <v>94.164681345254294</v>
      </c>
      <c r="AJ4536">
        <v>100.303868072942</v>
      </c>
      <c r="AK4536">
        <v>15.3272167139405</v>
      </c>
      <c r="AL4536">
        <v>79.860785211011404</v>
      </c>
      <c r="AM4536">
        <v>93.671353465819493</v>
      </c>
      <c r="AN4536">
        <v>0.99999996760188004</v>
      </c>
    </row>
    <row r="4537" spans="1:40" x14ac:dyDescent="0.25">
      <c r="A4537" t="str">
        <f>"20190312173021213"</f>
        <v>20190312173021213</v>
      </c>
      <c r="B4537" t="str">
        <f>"1552383021201930"</f>
        <v>1552383021201930</v>
      </c>
      <c r="C4537" t="s">
        <v>40</v>
      </c>
      <c r="D4537">
        <v>3.7705489999999999</v>
      </c>
      <c r="E4537">
        <v>0.4546462</v>
      </c>
      <c r="F4537" t="s">
        <v>41</v>
      </c>
      <c r="G4537">
        <v>-388.64370000000002</v>
      </c>
      <c r="H4537" s="1">
        <v>-7.2268559999999899E-7</v>
      </c>
      <c r="I4537">
        <v>138.7226</v>
      </c>
      <c r="J4537">
        <v>-373.77019999999999</v>
      </c>
      <c r="K4537">
        <v>1.11313</v>
      </c>
      <c r="L4537">
        <v>142.10310000000001</v>
      </c>
      <c r="M4537">
        <v>-0.99906200000000001</v>
      </c>
      <c r="N4537">
        <v>0</v>
      </c>
      <c r="O4537">
        <v>-4.0836400000000002E-2</v>
      </c>
      <c r="P4537">
        <v>-0.98102549999999999</v>
      </c>
      <c r="Q4537">
        <v>0.1646465</v>
      </c>
      <c r="R4537">
        <v>-0.1023758</v>
      </c>
      <c r="S4537">
        <v>-3.0238040000000002</v>
      </c>
      <c r="T4537">
        <v>-0.22232560000000001</v>
      </c>
      <c r="U4537">
        <v>-0.67755129999999997</v>
      </c>
      <c r="V4537">
        <v>-6.3627859999999994E-2</v>
      </c>
      <c r="W4537">
        <v>0.1783264</v>
      </c>
      <c r="X4537">
        <v>0.98191200000000001</v>
      </c>
      <c r="Y4537">
        <v>-0.17826339999999999</v>
      </c>
      <c r="Z4537">
        <v>-3.5065199999999999E-3</v>
      </c>
      <c r="AA4537">
        <v>0.98397650000000003</v>
      </c>
      <c r="AB4537">
        <v>42</v>
      </c>
      <c r="AC4537">
        <v>-14.8735</v>
      </c>
      <c r="AD4537">
        <v>-1.1131307226856</v>
      </c>
      <c r="AE4537">
        <v>-3.3805000000000098</v>
      </c>
      <c r="AF4537">
        <v>-2.7555605436260602</v>
      </c>
      <c r="AG4537">
        <v>-1.1131307226856</v>
      </c>
      <c r="AH4537">
        <v>14.9196918931922</v>
      </c>
      <c r="AI4537">
        <v>94.196119524353605</v>
      </c>
      <c r="AJ4537">
        <v>100.46420165516599</v>
      </c>
      <c r="AK4537">
        <v>15.212803163886701</v>
      </c>
      <c r="AL4537">
        <v>79.727707430005594</v>
      </c>
      <c r="AM4537">
        <v>93.707580696095107</v>
      </c>
      <c r="AN4537">
        <v>0.99999999262456896</v>
      </c>
    </row>
    <row r="4538" spans="1:40" x14ac:dyDescent="0.25">
      <c r="A4538" t="str">
        <f>"20190312173021235"</f>
        <v>20190312173021235</v>
      </c>
      <c r="B4538" t="str">
        <f>"1552383021232186"</f>
        <v>1552383021232186</v>
      </c>
      <c r="C4538" t="s">
        <v>40</v>
      </c>
      <c r="D4538">
        <v>3.7794590000000001</v>
      </c>
      <c r="E4538">
        <v>0.45403640000000001</v>
      </c>
      <c r="F4538" t="s">
        <v>41</v>
      </c>
      <c r="G4538">
        <v>-389.44709999999998</v>
      </c>
      <c r="H4538" s="1">
        <v>-4.5803620000000002E-7</v>
      </c>
      <c r="I4538">
        <v>138.54949999999999</v>
      </c>
      <c r="J4538">
        <v>-374.17340000000002</v>
      </c>
      <c r="K4538">
        <v>1.11314</v>
      </c>
      <c r="L4538">
        <v>142.08430000000001</v>
      </c>
      <c r="M4538">
        <v>-0.99894240000000001</v>
      </c>
      <c r="N4538">
        <v>0</v>
      </c>
      <c r="O4538">
        <v>-4.366068E-2</v>
      </c>
      <c r="P4538">
        <v>-0.98018470000000002</v>
      </c>
      <c r="Q4538">
        <v>0.1671628</v>
      </c>
      <c r="R4538">
        <v>-0.1062768</v>
      </c>
      <c r="S4538">
        <v>-3.0225520000000001</v>
      </c>
      <c r="T4538">
        <v>-0.2146158</v>
      </c>
      <c r="U4538">
        <v>-0.68513489999999999</v>
      </c>
      <c r="V4538">
        <v>-6.4799670000000004E-2</v>
      </c>
      <c r="W4538">
        <v>0.18082519999999999</v>
      </c>
      <c r="X4538">
        <v>0.98137830000000004</v>
      </c>
      <c r="Y4538">
        <v>-0.17794949999999901</v>
      </c>
      <c r="Z4538">
        <v>-3.1775060000000001E-3</v>
      </c>
      <c r="AA4538">
        <v>0.98403450000000003</v>
      </c>
      <c r="AB4538">
        <v>42</v>
      </c>
      <c r="AC4538">
        <v>-15.2736999999999</v>
      </c>
      <c r="AD4538">
        <v>-1.1131404580361901</v>
      </c>
      <c r="AE4538">
        <v>-3.5348000000000099</v>
      </c>
      <c r="AF4538">
        <v>-2.85013046276041</v>
      </c>
      <c r="AG4538">
        <v>-1.1131404580361901</v>
      </c>
      <c r="AH4538">
        <v>15.336164145481501</v>
      </c>
      <c r="AI4538">
        <v>94.081756319678504</v>
      </c>
      <c r="AJ4538">
        <v>100.52795534579499</v>
      </c>
      <c r="AK4538">
        <v>15.638422427828999</v>
      </c>
      <c r="AL4538">
        <v>79.582171569402007</v>
      </c>
      <c r="AM4538">
        <v>93.777713433583202</v>
      </c>
      <c r="AN4538">
        <v>1.0000000589490099</v>
      </c>
    </row>
    <row r="4539" spans="1:40" x14ac:dyDescent="0.25">
      <c r="A4539" t="str">
        <f>"20190312173021248"</f>
        <v>20190312173021248</v>
      </c>
      <c r="B4539" t="str">
        <f>"1552383021241946"</f>
        <v>1552383021241946</v>
      </c>
      <c r="C4539" t="s">
        <v>40</v>
      </c>
      <c r="D4539">
        <v>3.7790849999999998</v>
      </c>
      <c r="E4539">
        <v>0.45390599999999998</v>
      </c>
      <c r="F4539" t="s">
        <v>41</v>
      </c>
      <c r="G4539">
        <v>-390.33010000000002</v>
      </c>
      <c r="H4539" s="1">
        <v>-4.3584999999999999E-6</v>
      </c>
      <c r="I4539">
        <v>138.33160000000001</v>
      </c>
      <c r="J4539">
        <v>-374.43290000000002</v>
      </c>
      <c r="K4539">
        <v>1.1131450000000001</v>
      </c>
      <c r="L4539">
        <v>142.07159999999999</v>
      </c>
      <c r="M4539">
        <v>-0.99886140000000001</v>
      </c>
      <c r="N4539">
        <v>0</v>
      </c>
      <c r="O4539">
        <v>-4.5479890000000002E-2</v>
      </c>
      <c r="P4539">
        <v>-0.97975080000000003</v>
      </c>
      <c r="Q4539">
        <v>0.16810629999999999</v>
      </c>
      <c r="R4539">
        <v>-0.1087617</v>
      </c>
      <c r="S4539">
        <v>-3.0200809999999998</v>
      </c>
      <c r="T4539">
        <v>-0.20807410000000001</v>
      </c>
      <c r="U4539">
        <v>-0.70144649999999997</v>
      </c>
      <c r="V4539">
        <v>-6.5517729999999996E-2</v>
      </c>
      <c r="W4539">
        <v>0.1817589</v>
      </c>
      <c r="X4539">
        <v>0.98115810000000003</v>
      </c>
      <c r="Y4539">
        <v>-0.18139440000000001</v>
      </c>
      <c r="Z4539">
        <v>-3.0754049999999998E-3</v>
      </c>
      <c r="AA4539">
        <v>0.98340559999999999</v>
      </c>
      <c r="AB4539">
        <v>42</v>
      </c>
      <c r="AC4539">
        <v>-15.8971999999999</v>
      </c>
      <c r="AD4539">
        <v>-1.1131493584999901</v>
      </c>
      <c r="AE4539">
        <v>-3.7399999999999798</v>
      </c>
      <c r="AF4539">
        <v>-2.9991177208586901</v>
      </c>
      <c r="AG4539">
        <v>-1.1131493584999901</v>
      </c>
      <c r="AH4539">
        <v>15.976633613239899</v>
      </c>
      <c r="AI4539">
        <v>93.917357020605493</v>
      </c>
      <c r="AJ4539">
        <v>100.631776543369</v>
      </c>
      <c r="AK4539">
        <v>16.2937604686458</v>
      </c>
      <c r="AL4539">
        <v>79.527772921187704</v>
      </c>
      <c r="AM4539">
        <v>93.820306567295503</v>
      </c>
      <c r="AN4539">
        <v>1.00000004393458</v>
      </c>
    </row>
    <row r="4540" spans="1:40" x14ac:dyDescent="0.25">
      <c r="A4540" t="str">
        <f>"20190312173021264"</f>
        <v>20190312173021264</v>
      </c>
      <c r="B4540" t="str">
        <f>"1552383021252682"</f>
        <v>1552383021252682</v>
      </c>
      <c r="C4540" t="s">
        <v>40</v>
      </c>
      <c r="D4540">
        <v>3.8590300000000002</v>
      </c>
      <c r="E4540">
        <v>0.45376709999999898</v>
      </c>
      <c r="F4540" t="s">
        <v>41</v>
      </c>
      <c r="G4540">
        <v>-390.76580000000001</v>
      </c>
      <c r="H4540" s="1">
        <v>-4.1895689999999999E-6</v>
      </c>
      <c r="I4540">
        <v>138.2304</v>
      </c>
      <c r="J4540">
        <v>-374.71230000000003</v>
      </c>
      <c r="K4540">
        <v>1.1131500000000001</v>
      </c>
      <c r="L4540">
        <v>142.0574</v>
      </c>
      <c r="M4540">
        <v>-0.99877009999999999</v>
      </c>
      <c r="N4540">
        <v>0</v>
      </c>
      <c r="O4540">
        <v>-4.7438670000000002E-2</v>
      </c>
      <c r="P4540">
        <v>-0.97935970000000006</v>
      </c>
      <c r="Q4540">
        <v>0.1685922</v>
      </c>
      <c r="R4540">
        <v>-0.11149489999999899</v>
      </c>
      <c r="S4540">
        <v>-3.018494</v>
      </c>
      <c r="T4540">
        <v>-0.20572260000000001</v>
      </c>
      <c r="U4540">
        <v>-0.70988459999999998</v>
      </c>
      <c r="V4540">
        <v>-6.6341250000000004E-2</v>
      </c>
      <c r="W4540">
        <v>0.1822358</v>
      </c>
      <c r="X4540">
        <v>0.98101430000000001</v>
      </c>
      <c r="Y4540">
        <v>-0.18219579999999999</v>
      </c>
      <c r="Z4540">
        <v>-2.9371779999999999E-3</v>
      </c>
      <c r="AA4540">
        <v>0.98325790000000002</v>
      </c>
      <c r="AB4540">
        <v>42</v>
      </c>
      <c r="AC4540">
        <v>-16.0534999999999</v>
      </c>
      <c r="AD4540">
        <v>-1.113154189569</v>
      </c>
      <c r="AE4540">
        <v>-3.8269999999999902</v>
      </c>
      <c r="AF4540">
        <v>-3.0471913621804898</v>
      </c>
      <c r="AG4540">
        <v>-1.113154189569</v>
      </c>
      <c r="AH4540">
        <v>16.1435436525034</v>
      </c>
      <c r="AI4540">
        <v>93.876267300657901</v>
      </c>
      <c r="AJ4540">
        <v>100.689161066899</v>
      </c>
      <c r="AK4540">
        <v>16.466283402996101</v>
      </c>
      <c r="AL4540">
        <v>79.499984561816007</v>
      </c>
      <c r="AM4540">
        <v>93.868746022205798</v>
      </c>
      <c r="AN4540">
        <v>1.0000000525288399</v>
      </c>
    </row>
    <row r="4541" spans="1:40" x14ac:dyDescent="0.25">
      <c r="A4541" t="str">
        <f>"20190312173021280"</f>
        <v>20190312173021280</v>
      </c>
      <c r="B4541" t="str">
        <f>"1552383021272203"</f>
        <v>1552383021272203</v>
      </c>
      <c r="C4541" t="s">
        <v>40</v>
      </c>
      <c r="D4541">
        <v>3.7941419999999999</v>
      </c>
      <c r="E4541">
        <v>0.4536036</v>
      </c>
      <c r="F4541" t="s">
        <v>41</v>
      </c>
      <c r="G4541">
        <v>-391.03789999999998</v>
      </c>
      <c r="H4541" s="1">
        <v>-4.084668E-6</v>
      </c>
      <c r="I4541">
        <v>138.1636</v>
      </c>
      <c r="J4541">
        <v>-375.02120000000002</v>
      </c>
      <c r="K4541">
        <v>1.113156</v>
      </c>
      <c r="L4541">
        <v>142.041</v>
      </c>
      <c r="M4541">
        <v>-0.99866489999999997</v>
      </c>
      <c r="N4541">
        <v>0</v>
      </c>
      <c r="O4541">
        <v>-4.9605679999999999E-2</v>
      </c>
      <c r="P4541">
        <v>-0.97889720000000002</v>
      </c>
      <c r="Q4541">
        <v>0.16910359999999999</v>
      </c>
      <c r="R4541">
        <v>-0.11473510000000001</v>
      </c>
      <c r="S4541">
        <v>-3.016724</v>
      </c>
      <c r="T4541">
        <v>-0.20569370000000001</v>
      </c>
      <c r="U4541">
        <v>-0.71951290000000001</v>
      </c>
      <c r="V4541">
        <v>-6.7470160000000001E-2</v>
      </c>
      <c r="W4541">
        <v>0.1827346</v>
      </c>
      <c r="X4541">
        <v>0.98084439999999995</v>
      </c>
      <c r="Y4541">
        <v>-0.18316499999999999</v>
      </c>
      <c r="Z4541">
        <v>-2.8249640000000001E-3</v>
      </c>
      <c r="AA4541">
        <v>0.98307809999999995</v>
      </c>
      <c r="AB4541">
        <v>42</v>
      </c>
      <c r="AC4541">
        <v>-16.016699999999901</v>
      </c>
      <c r="AD4541">
        <v>-1.1131600846680001</v>
      </c>
      <c r="AE4541">
        <v>-3.87739999999999</v>
      </c>
      <c r="AF4541">
        <v>-3.0640429122299802</v>
      </c>
      <c r="AG4541">
        <v>-1.1131600846680001</v>
      </c>
      <c r="AH4541">
        <v>16.115804637629001</v>
      </c>
      <c r="AI4541">
        <v>93.881969225015197</v>
      </c>
      <c r="AJ4541">
        <v>100.764967050113</v>
      </c>
      <c r="AK4541">
        <v>16.4422213663577</v>
      </c>
      <c r="AL4541">
        <v>79.470916222766704</v>
      </c>
      <c r="AM4541">
        <v>93.935053694727301</v>
      </c>
      <c r="AN4541">
        <v>0.99999994676947102</v>
      </c>
    </row>
    <row r="4542" spans="1:40" x14ac:dyDescent="0.25">
      <c r="A4542" t="str">
        <f>"20190312173021304"</f>
        <v>20190312173021304</v>
      </c>
      <c r="B4542" t="str">
        <f>"1552383021292698"</f>
        <v>1552383021292698</v>
      </c>
      <c r="C4542" t="s">
        <v>40</v>
      </c>
      <c r="D4542">
        <v>4.0252990000000004</v>
      </c>
      <c r="E4542">
        <v>0.4539282</v>
      </c>
      <c r="F4542" t="s">
        <v>41</v>
      </c>
      <c r="G4542">
        <v>-391.32139999999998</v>
      </c>
      <c r="H4542" s="1">
        <v>-3.9770570000000003E-6</v>
      </c>
      <c r="I4542">
        <v>138.0848</v>
      </c>
      <c r="J4542">
        <v>-375.44049999999999</v>
      </c>
      <c r="K4542">
        <v>1.113146</v>
      </c>
      <c r="L4542">
        <v>142.01779999999999</v>
      </c>
      <c r="M4542">
        <v>-0.99851449999999997</v>
      </c>
      <c r="N4542">
        <v>0</v>
      </c>
      <c r="O4542">
        <v>-5.2546889999999999E-2</v>
      </c>
      <c r="P4542">
        <v>-0.97861509999999996</v>
      </c>
      <c r="Q4542">
        <v>0.16815959999999999</v>
      </c>
      <c r="R4542">
        <v>-0.11847050000000001</v>
      </c>
      <c r="S4542">
        <v>-3.0144350000000002</v>
      </c>
      <c r="T4542">
        <v>-0.20586070000000001</v>
      </c>
      <c r="U4542">
        <v>-0.73162839999999996</v>
      </c>
      <c r="V4542">
        <v>-6.8310670000000004E-2</v>
      </c>
      <c r="W4542">
        <v>0.18178469999999999</v>
      </c>
      <c r="X4542">
        <v>0.98096280000000002</v>
      </c>
      <c r="Y4542">
        <v>-0.18417649999999999</v>
      </c>
      <c r="Z4542">
        <v>-2.6651270000000002E-3</v>
      </c>
      <c r="AA4542">
        <v>0.98288960000000003</v>
      </c>
      <c r="AB4542">
        <v>42</v>
      </c>
      <c r="AC4542">
        <v>-15.880899999999899</v>
      </c>
      <c r="AD4542">
        <v>-1.1131499770569999</v>
      </c>
      <c r="AE4542">
        <v>-3.9329999999999901</v>
      </c>
      <c r="AF4542">
        <v>-3.0787346625970802</v>
      </c>
      <c r="AG4542">
        <v>-1.1131499770569999</v>
      </c>
      <c r="AH4542">
        <v>15.991615411867199</v>
      </c>
      <c r="AI4542">
        <v>93.910263870502206</v>
      </c>
      <c r="AJ4542">
        <v>100.897356824626</v>
      </c>
      <c r="AK4542">
        <v>16.3232801077224</v>
      </c>
      <c r="AL4542">
        <v>79.526269391991704</v>
      </c>
      <c r="AM4542">
        <v>93.983438468056505</v>
      </c>
      <c r="AN4542">
        <v>1.0000000198868799</v>
      </c>
    </row>
    <row r="4543" spans="1:40" x14ac:dyDescent="0.25">
      <c r="A4543" t="str">
        <f>"20190312173021324"</f>
        <v>20190312173021324</v>
      </c>
      <c r="B4543" t="str">
        <f>"1552383021312218"</f>
        <v>1552383021312218</v>
      </c>
      <c r="C4543" t="s">
        <v>40</v>
      </c>
      <c r="D4543">
        <v>3.7811949999999999</v>
      </c>
      <c r="E4543">
        <v>0.45407049999999999</v>
      </c>
      <c r="F4543" t="s">
        <v>41</v>
      </c>
      <c r="G4543">
        <v>-391.5231</v>
      </c>
      <c r="H4543" s="1">
        <v>-3.8952079999999998E-6</v>
      </c>
      <c r="I4543">
        <v>138.0583</v>
      </c>
      <c r="J4543">
        <v>-375.82709999999997</v>
      </c>
      <c r="K4543">
        <v>1.113137</v>
      </c>
      <c r="L4543">
        <v>141.99520000000001</v>
      </c>
      <c r="M4543">
        <v>-0.99836789999999997</v>
      </c>
      <c r="N4543">
        <v>0</v>
      </c>
      <c r="O4543">
        <v>-5.5260869999999997E-2</v>
      </c>
      <c r="P4543">
        <v>-0.97842399999999996</v>
      </c>
      <c r="Q4543">
        <v>0.1669088</v>
      </c>
      <c r="R4543">
        <v>-0.1217703</v>
      </c>
      <c r="S4543">
        <v>-3.0116580000000002</v>
      </c>
      <c r="T4543">
        <v>-0.20845060000000001</v>
      </c>
      <c r="U4543">
        <v>-0.74143979999999998</v>
      </c>
      <c r="V4543">
        <v>-6.8931649999999997E-2</v>
      </c>
      <c r="W4543">
        <v>0.18053069999999999</v>
      </c>
      <c r="X4543">
        <v>0.98115090000000005</v>
      </c>
      <c r="Y4543">
        <v>-0.18473129999999999</v>
      </c>
      <c r="Z4543">
        <v>-2.53485E-3</v>
      </c>
      <c r="AA4543">
        <v>0.98278580000000004</v>
      </c>
      <c r="AB4543">
        <v>41</v>
      </c>
      <c r="AC4543">
        <v>-15.696</v>
      </c>
      <c r="AD4543">
        <v>-1.113140895208</v>
      </c>
      <c r="AE4543">
        <v>-3.9369000000000001</v>
      </c>
      <c r="AF4543">
        <v>-3.04899105862668</v>
      </c>
      <c r="AG4543">
        <v>-1.113140895208</v>
      </c>
      <c r="AH4543">
        <v>15.8147578146038</v>
      </c>
      <c r="AI4543">
        <v>93.953623240470193</v>
      </c>
      <c r="AJ4543">
        <v>100.91239654427601</v>
      </c>
      <c r="AK4543">
        <v>16.1444106074747</v>
      </c>
      <c r="AL4543">
        <v>79.599326874441701</v>
      </c>
      <c r="AM4543">
        <v>94.018763786119806</v>
      </c>
      <c r="AN4543">
        <v>0.99999999729251099</v>
      </c>
    </row>
    <row r="4544" spans="1:40" x14ac:dyDescent="0.25">
      <c r="A4544" t="str">
        <f>"20190312173021348"</f>
        <v>20190312173021348</v>
      </c>
      <c r="B4544" t="str">
        <f>"1552383021342474"</f>
        <v>1552383021342474</v>
      </c>
      <c r="C4544" t="s">
        <v>40</v>
      </c>
      <c r="D4544">
        <v>3.7666050000000002</v>
      </c>
      <c r="E4544">
        <v>0.45437230000000001</v>
      </c>
      <c r="F4544" t="s">
        <v>41</v>
      </c>
      <c r="G4544">
        <v>-391.66579999999999</v>
      </c>
      <c r="H4544" s="1">
        <v>-3.8368409999999999E-6</v>
      </c>
      <c r="I4544">
        <v>138.04220000000001</v>
      </c>
      <c r="J4544">
        <v>-376.25049999999999</v>
      </c>
      <c r="K4544">
        <v>1.1131310000000001</v>
      </c>
      <c r="L4544">
        <v>141.9692</v>
      </c>
      <c r="M4544">
        <v>-0.99819899999999995</v>
      </c>
      <c r="N4544">
        <v>0</v>
      </c>
      <c r="O4544">
        <v>-5.8233979999999998E-2</v>
      </c>
      <c r="P4544">
        <v>-0.97810730000000001</v>
      </c>
      <c r="Q4544">
        <v>0.16587249999999901</v>
      </c>
      <c r="R4544">
        <v>-0.12566730000000001</v>
      </c>
      <c r="S4544">
        <v>-3.008759</v>
      </c>
      <c r="T4544">
        <v>-0.21145549999999999</v>
      </c>
      <c r="U4544">
        <v>-0.75090029999999997</v>
      </c>
      <c r="V4544">
        <v>-6.9901019999999994E-2</v>
      </c>
      <c r="W4544">
        <v>0.1794866</v>
      </c>
      <c r="X4544">
        <v>0.98127390000000003</v>
      </c>
      <c r="Y4544">
        <v>-0.18493319999999999</v>
      </c>
      <c r="Z4544">
        <v>-2.375205E-3</v>
      </c>
      <c r="AA4544">
        <v>0.98274819999999996</v>
      </c>
      <c r="AB4544">
        <v>41</v>
      </c>
      <c r="AC4544">
        <v>-15.4153</v>
      </c>
      <c r="AD4544">
        <v>-1.1131348368409999</v>
      </c>
      <c r="AE4544">
        <v>-3.9269999999999898</v>
      </c>
      <c r="AF4544">
        <v>-3.0078191569394699</v>
      </c>
      <c r="AG4544">
        <v>-1.1131348368409999</v>
      </c>
      <c r="AH4544">
        <v>15.541742882384099</v>
      </c>
      <c r="AI4544">
        <v>94.0222762030767</v>
      </c>
      <c r="AJ4544">
        <v>100.95313834844799</v>
      </c>
      <c r="AK4544">
        <v>15.869209717814501</v>
      </c>
      <c r="AL4544">
        <v>79.6601431647033</v>
      </c>
      <c r="AM4544">
        <v>94.074580575095396</v>
      </c>
      <c r="AN4544">
        <v>1.0000000294989</v>
      </c>
    </row>
    <row r="4545" spans="1:40" x14ac:dyDescent="0.25">
      <c r="A4545" t="str">
        <f>"20190312173021370"</f>
        <v>20190312173021370</v>
      </c>
      <c r="B4545" t="str">
        <f>"1552383021361994"</f>
        <v>1552383021361994</v>
      </c>
      <c r="C4545" t="s">
        <v>40</v>
      </c>
      <c r="D4545">
        <v>3.767649</v>
      </c>
      <c r="E4545">
        <v>0.45475500000000002</v>
      </c>
      <c r="F4545" t="s">
        <v>41</v>
      </c>
      <c r="G4545">
        <v>-391.6893</v>
      </c>
      <c r="H4545" s="1">
        <v>-3.8228159999999997E-6</v>
      </c>
      <c r="I4545">
        <v>138.06450000000001</v>
      </c>
      <c r="J4545">
        <v>-376.66739999999999</v>
      </c>
      <c r="K4545">
        <v>1.113127</v>
      </c>
      <c r="L4545">
        <v>141.94229999999999</v>
      </c>
      <c r="M4545">
        <v>-0.99802389999999996</v>
      </c>
      <c r="N4545">
        <v>0</v>
      </c>
      <c r="O4545">
        <v>-6.1163809999999999E-2</v>
      </c>
      <c r="P4545">
        <v>-0.97769810000000001</v>
      </c>
      <c r="Q4545">
        <v>0.16540850000000001</v>
      </c>
      <c r="R4545">
        <v>-0.1294093</v>
      </c>
      <c r="S4545">
        <v>-3.006256</v>
      </c>
      <c r="T4545">
        <v>-0.2167511</v>
      </c>
      <c r="U4545">
        <v>-0.76031490000000002</v>
      </c>
      <c r="V4545">
        <v>-7.0768600000000001E-2</v>
      </c>
      <c r="W4545">
        <v>0.1790147</v>
      </c>
      <c r="X4545">
        <v>0.98129789999999995</v>
      </c>
      <c r="Y4545">
        <v>-0.18512729999999999</v>
      </c>
      <c r="Z4545">
        <v>-2.2358790000000001E-3</v>
      </c>
      <c r="AA4545">
        <v>0.98271200000000003</v>
      </c>
      <c r="AB4545">
        <v>41</v>
      </c>
      <c r="AC4545">
        <v>-15.0219</v>
      </c>
      <c r="AD4545">
        <v>-1.113130822816</v>
      </c>
      <c r="AE4545">
        <v>-3.8777999999999699</v>
      </c>
      <c r="AF4545">
        <v>-2.9365295645785001</v>
      </c>
      <c r="AG4545">
        <v>-1.113130822816</v>
      </c>
      <c r="AH4545">
        <v>15.1529697118022</v>
      </c>
      <c r="AI4545">
        <v>94.124907316834495</v>
      </c>
      <c r="AJ4545">
        <v>100.967535185619</v>
      </c>
      <c r="AK4545">
        <v>15.474971961174701</v>
      </c>
      <c r="AL4545">
        <v>79.687626001313205</v>
      </c>
      <c r="AM4545">
        <v>94.124878393117697</v>
      </c>
      <c r="AN4545">
        <v>1.0000000130532201</v>
      </c>
    </row>
    <row r="4546" spans="1:40" x14ac:dyDescent="0.25">
      <c r="A4546" t="str">
        <f>"20190312173021392"</f>
        <v>20190312173021392</v>
      </c>
      <c r="B4546" t="str">
        <f>"1552383021382489"</f>
        <v>1552383021382489</v>
      </c>
      <c r="C4546" t="s">
        <v>40</v>
      </c>
      <c r="D4546">
        <v>3.6731980000000002</v>
      </c>
      <c r="E4546">
        <v>0.4548548</v>
      </c>
      <c r="F4546" t="s">
        <v>41</v>
      </c>
      <c r="G4546">
        <v>-391.93619999999999</v>
      </c>
      <c r="H4546" s="1">
        <v>-3.721727E-6</v>
      </c>
      <c r="I4546">
        <v>138.03720000000001</v>
      </c>
      <c r="J4546">
        <v>-377.06209999999999</v>
      </c>
      <c r="K4546">
        <v>1.1131249999999999</v>
      </c>
      <c r="L4546">
        <v>141.91579999999999</v>
      </c>
      <c r="M4546">
        <v>-0.99784980000000001</v>
      </c>
      <c r="N4546">
        <v>0</v>
      </c>
      <c r="O4546">
        <v>-6.3940730000000001E-2</v>
      </c>
      <c r="P4546">
        <v>-0.97725479999999998</v>
      </c>
      <c r="Q4546">
        <v>0.1652344</v>
      </c>
      <c r="R4546">
        <v>-0.13293139999999901</v>
      </c>
      <c r="S4546">
        <v>-3.0038149999999999</v>
      </c>
      <c r="T4546">
        <v>-0.21898590000000001</v>
      </c>
      <c r="U4546">
        <v>-0.76823430000000004</v>
      </c>
      <c r="V4546">
        <v>-7.1571590000000004E-2</v>
      </c>
      <c r="W4546">
        <v>0.17883170000000001</v>
      </c>
      <c r="X4546">
        <v>0.98127299999999995</v>
      </c>
      <c r="Y4546">
        <v>-0.18501670000000001</v>
      </c>
      <c r="Z4546">
        <v>-2.058126E-3</v>
      </c>
      <c r="AA4546">
        <v>0.98273319999999997</v>
      </c>
      <c r="AB4546">
        <v>41</v>
      </c>
      <c r="AC4546">
        <v>-14.8741</v>
      </c>
      <c r="AD4546">
        <v>-1.1131287217269901</v>
      </c>
      <c r="AE4546">
        <v>-3.8785999999999698</v>
      </c>
      <c r="AF4546">
        <v>-2.9042722420240201</v>
      </c>
      <c r="AG4546">
        <v>-1.1131287217269901</v>
      </c>
      <c r="AH4546">
        <v>15.012955661150301</v>
      </c>
      <c r="AI4546">
        <v>94.1634988549025</v>
      </c>
      <c r="AJ4546">
        <v>100.948687674243</v>
      </c>
      <c r="AK4546">
        <v>15.3317543187526</v>
      </c>
      <c r="AL4546">
        <v>79.698282809592101</v>
      </c>
      <c r="AM4546">
        <v>94.171623324042898</v>
      </c>
      <c r="AN4546">
        <v>0.99999998497450804</v>
      </c>
    </row>
    <row r="4547" spans="1:40" x14ac:dyDescent="0.25">
      <c r="A4547" t="str">
        <f>"20190312173021413"</f>
        <v>20190312173021413</v>
      </c>
      <c r="B4547" t="str">
        <f>"1552383021402013"</f>
        <v>1552383021402013</v>
      </c>
      <c r="C4547" t="s">
        <v>40</v>
      </c>
      <c r="D4547">
        <v>3.759172</v>
      </c>
      <c r="E4547">
        <v>0.45491399999999999</v>
      </c>
      <c r="F4547" t="s">
        <v>41</v>
      </c>
      <c r="G4547">
        <v>-392.11599999999999</v>
      </c>
      <c r="H4547" s="1">
        <v>-3.6485950000000002E-6</v>
      </c>
      <c r="I4547">
        <v>138.0146</v>
      </c>
      <c r="J4547">
        <v>-377.46749999999997</v>
      </c>
      <c r="K4547">
        <v>1.1131260000000001</v>
      </c>
      <c r="L4547">
        <v>141.88740000000001</v>
      </c>
      <c r="M4547">
        <v>-0.9976623</v>
      </c>
      <c r="N4547">
        <v>0</v>
      </c>
      <c r="O4547">
        <v>-6.6802840000000002E-2</v>
      </c>
      <c r="P4547">
        <v>-0.97664770000000001</v>
      </c>
      <c r="Q4547">
        <v>0.16582160000000001</v>
      </c>
      <c r="R4547">
        <v>-0.13661180000000001</v>
      </c>
      <c r="S4547">
        <v>-3.0015260000000001</v>
      </c>
      <c r="T4547">
        <v>-0.22194120000000001</v>
      </c>
      <c r="U4547">
        <v>-0.77781679999999997</v>
      </c>
      <c r="V4547">
        <v>-7.2467370000000003E-2</v>
      </c>
      <c r="W4547">
        <v>0.17940780000000001</v>
      </c>
      <c r="X4547">
        <v>0.98110209999999998</v>
      </c>
      <c r="Y4547">
        <v>-0.18531829999999999</v>
      </c>
      <c r="Z4547">
        <v>-1.8908729999999999E-3</v>
      </c>
      <c r="AA4547">
        <v>0.98267669999999996</v>
      </c>
      <c r="AB4547">
        <v>41</v>
      </c>
      <c r="AC4547">
        <v>-14.6485</v>
      </c>
      <c r="AD4547">
        <v>-1.113129648595</v>
      </c>
      <c r="AE4547">
        <v>-3.87280000000001</v>
      </c>
      <c r="AF4547">
        <v>-2.86999453886679</v>
      </c>
      <c r="AG4547">
        <v>-1.113129648595</v>
      </c>
      <c r="AH4547">
        <v>14.7946634591733</v>
      </c>
      <c r="AI4547">
        <v>94.224290734903803</v>
      </c>
      <c r="AJ4547">
        <v>100.978366603303</v>
      </c>
      <c r="AK4547">
        <v>15.111518558302</v>
      </c>
      <c r="AL4547">
        <v>79.664732308011295</v>
      </c>
      <c r="AM4547">
        <v>94.224380056679493</v>
      </c>
      <c r="AN4547">
        <v>1.0000000045199799</v>
      </c>
    </row>
    <row r="4548" spans="1:40" x14ac:dyDescent="0.25">
      <c r="A4548" t="str">
        <f>"20190312173021427"</f>
        <v>20190312173021427</v>
      </c>
      <c r="B4548" t="str">
        <f>"1552383021422506"</f>
        <v>1552383021422506</v>
      </c>
      <c r="C4548" t="s">
        <v>40</v>
      </c>
      <c r="D4548">
        <v>3.7503039999999999</v>
      </c>
      <c r="E4548">
        <v>0.45494410000000002</v>
      </c>
      <c r="F4548" t="s">
        <v>41</v>
      </c>
      <c r="G4548">
        <v>-392.61950000000002</v>
      </c>
      <c r="H4548" s="1">
        <v>-3.452525E-6</v>
      </c>
      <c r="I4548">
        <v>137.9024</v>
      </c>
      <c r="J4548">
        <v>-377.71879999999999</v>
      </c>
      <c r="K4548">
        <v>1.113129</v>
      </c>
      <c r="L4548">
        <v>141.86930000000001</v>
      </c>
      <c r="M4548">
        <v>-0.99754140000000002</v>
      </c>
      <c r="N4548">
        <v>0</v>
      </c>
      <c r="O4548">
        <v>-6.8585259999999995E-2</v>
      </c>
      <c r="P4548">
        <v>-0.97633780000000003</v>
      </c>
      <c r="Q4548">
        <v>0.16606879999999999</v>
      </c>
      <c r="R4548">
        <v>-0.13851379999999999</v>
      </c>
      <c r="S4548">
        <v>-2.9988100000000002</v>
      </c>
      <c r="T4548">
        <v>-0.22030559999999999</v>
      </c>
      <c r="U4548">
        <v>-0.78868099999999997</v>
      </c>
      <c r="V4548">
        <v>-7.2631580000000001E-2</v>
      </c>
      <c r="W4548">
        <v>0.17965130000000001</v>
      </c>
      <c r="X4548">
        <v>0.98104539999999996</v>
      </c>
      <c r="Y4548">
        <v>-0.18711549999999999</v>
      </c>
      <c r="Z4548">
        <v>-1.8149220000000001E-3</v>
      </c>
      <c r="AA4548">
        <v>0.98233619999999999</v>
      </c>
      <c r="AB4548">
        <v>41</v>
      </c>
      <c r="AC4548">
        <v>-14.900700000000001</v>
      </c>
      <c r="AD4548">
        <v>-1.1131324525249999</v>
      </c>
      <c r="AE4548">
        <v>-3.9668999999999999</v>
      </c>
      <c r="AF4548">
        <v>-2.9202645276536798</v>
      </c>
      <c r="AG4548">
        <v>-1.1131324525249999</v>
      </c>
      <c r="AH4548">
        <v>15.0592271036535</v>
      </c>
      <c r="AI4548">
        <v>94.150403591289006</v>
      </c>
      <c r="AJ4548">
        <v>100.974508016394</v>
      </c>
      <c r="AK4548">
        <v>15.3800952444304</v>
      </c>
      <c r="AL4548">
        <v>79.650550385785905</v>
      </c>
      <c r="AM4548">
        <v>94.234161481426099</v>
      </c>
      <c r="AN4548">
        <v>1.0000000064330701</v>
      </c>
    </row>
    <row r="4549" spans="1:40" x14ac:dyDescent="0.25">
      <c r="A4549" t="str">
        <f>"20190312173021441"</f>
        <v>20190312173021441</v>
      </c>
      <c r="B4549" t="str">
        <f>"1552383021432266"</f>
        <v>1552383021432266</v>
      </c>
      <c r="C4549" t="s">
        <v>40</v>
      </c>
      <c r="D4549">
        <v>3.7337210000000001</v>
      </c>
      <c r="E4549">
        <v>0.45500669999999999</v>
      </c>
      <c r="F4549" t="s">
        <v>41</v>
      </c>
      <c r="G4549">
        <v>-392.80380000000002</v>
      </c>
      <c r="H4549" s="1">
        <v>-3.3788409999999998E-6</v>
      </c>
      <c r="I4549">
        <v>137.87200000000001</v>
      </c>
      <c r="J4549">
        <v>-377.96949999999998</v>
      </c>
      <c r="K4549">
        <v>1.113138</v>
      </c>
      <c r="L4549">
        <v>141.85069999999999</v>
      </c>
      <c r="M4549">
        <v>-0.99741690000000005</v>
      </c>
      <c r="N4549">
        <v>0</v>
      </c>
      <c r="O4549">
        <v>-7.0372889999999994E-2</v>
      </c>
      <c r="P4549">
        <v>-0.97598419999999997</v>
      </c>
      <c r="Q4549">
        <v>0.16640089999999999</v>
      </c>
      <c r="R4549">
        <v>-0.14058960000000001</v>
      </c>
      <c r="S4549">
        <v>-2.997681</v>
      </c>
      <c r="T4549">
        <v>-0.22120190000000001</v>
      </c>
      <c r="U4549">
        <v>-0.79431149999999995</v>
      </c>
      <c r="V4549">
        <v>-7.2970060000000003E-2</v>
      </c>
      <c r="W4549">
        <v>0.17997729999999901</v>
      </c>
      <c r="X4549">
        <v>0.98096050000000001</v>
      </c>
      <c r="Y4549">
        <v>-0.1871729</v>
      </c>
      <c r="Z4549">
        <v>-1.6959810000000001E-3</v>
      </c>
      <c r="AA4549">
        <v>0.98232549999999996</v>
      </c>
      <c r="AB4549">
        <v>41</v>
      </c>
      <c r="AC4549">
        <v>-14.834300000000001</v>
      </c>
      <c r="AD4549">
        <v>-1.1131413788410001</v>
      </c>
      <c r="AE4549">
        <v>-3.9786999999999701</v>
      </c>
      <c r="AF4549">
        <v>-2.90950975066617</v>
      </c>
      <c r="AG4549">
        <v>-1.1131413788410001</v>
      </c>
      <c r="AH4549">
        <v>14.998749485978401</v>
      </c>
      <c r="AI4549">
        <v>94.1670628694512</v>
      </c>
      <c r="AJ4549">
        <v>100.97809001238601</v>
      </c>
      <c r="AK4549">
        <v>15.318838626398801</v>
      </c>
      <c r="AL4549">
        <v>79.6315621962774</v>
      </c>
      <c r="AM4549">
        <v>94.254188199984497</v>
      </c>
      <c r="AN4549">
        <v>0.99999998036597104</v>
      </c>
    </row>
    <row r="4550" spans="1:40" x14ac:dyDescent="0.25">
      <c r="A4550" t="str">
        <f>"20190312173021459"</f>
        <v>20190312173021459</v>
      </c>
      <c r="B4550" t="str">
        <f>"1552383021452765"</f>
        <v>1552383021452765</v>
      </c>
      <c r="C4550" t="s">
        <v>40</v>
      </c>
      <c r="D4550">
        <v>3.737161</v>
      </c>
      <c r="E4550">
        <v>0.45516600000000002</v>
      </c>
      <c r="F4550" t="s">
        <v>41</v>
      </c>
      <c r="G4550">
        <v>-393.09019999999998</v>
      </c>
      <c r="H4550" s="1">
        <v>-3.266486E-6</v>
      </c>
      <c r="I4550">
        <v>137.81270000000001</v>
      </c>
      <c r="J4550">
        <v>-378.2971</v>
      </c>
      <c r="K4550">
        <v>1.1131610000000001</v>
      </c>
      <c r="L4550">
        <v>141.82560000000001</v>
      </c>
      <c r="M4550">
        <v>-0.99724760000000001</v>
      </c>
      <c r="N4550">
        <v>0</v>
      </c>
      <c r="O4550">
        <v>-7.2732340000000006E-2</v>
      </c>
      <c r="P4550">
        <v>-0.97540720000000003</v>
      </c>
      <c r="Q4550">
        <v>0.16724420000000001</v>
      </c>
      <c r="R4550">
        <v>-0.1435622</v>
      </c>
      <c r="S4550">
        <v>-2.9961549999999999</v>
      </c>
      <c r="T4550">
        <v>-0.22056890000000001</v>
      </c>
      <c r="U4550">
        <v>-0.80010990000000004</v>
      </c>
      <c r="V4550">
        <v>-7.3663039999999999E-2</v>
      </c>
      <c r="W4550">
        <v>0.18080879999999999</v>
      </c>
      <c r="X4550">
        <v>0.98075579999999996</v>
      </c>
      <c r="Y4550">
        <v>-0.1867568</v>
      </c>
      <c r="Z4550">
        <v>-1.5072309999999999E-3</v>
      </c>
      <c r="AA4550">
        <v>0.98240499999999997</v>
      </c>
      <c r="AB4550">
        <v>41</v>
      </c>
      <c r="AC4550">
        <v>-14.7930999999999</v>
      </c>
      <c r="AD4550">
        <v>-1.113164266486</v>
      </c>
      <c r="AE4550">
        <v>-4.0129000000000001</v>
      </c>
      <c r="AF4550">
        <v>-2.9108686005069502</v>
      </c>
      <c r="AG4550">
        <v>-1.113164266486</v>
      </c>
      <c r="AH4550">
        <v>14.966870691280601</v>
      </c>
      <c r="AI4550">
        <v>94.175600221291205</v>
      </c>
      <c r="AJ4550">
        <v>101.00591541612999</v>
      </c>
      <c r="AK4550">
        <v>15.2878876560208</v>
      </c>
      <c r="AL4550">
        <v>79.5831263728371</v>
      </c>
      <c r="AM4550">
        <v>94.295331786604095</v>
      </c>
      <c r="AN4550">
        <v>1.0000000024265601</v>
      </c>
    </row>
    <row r="4551" spans="1:40" x14ac:dyDescent="0.25">
      <c r="A4551" t="str">
        <f>"20190312173021482"</f>
        <v>20190312173021482</v>
      </c>
      <c r="B4551" t="str">
        <f>"1552383021472281"</f>
        <v>1552383021472281</v>
      </c>
      <c r="C4551" t="s">
        <v>40</v>
      </c>
      <c r="D4551">
        <v>3.7430469999999998</v>
      </c>
      <c r="E4551">
        <v>0.45552870000000001</v>
      </c>
      <c r="F4551" t="s">
        <v>41</v>
      </c>
      <c r="G4551">
        <v>-393.5754</v>
      </c>
      <c r="H4551" s="1">
        <v>-3.0779300000000002E-6</v>
      </c>
      <c r="I4551">
        <v>137.70240000000001</v>
      </c>
      <c r="J4551">
        <v>-378.71019999999999</v>
      </c>
      <c r="K4551">
        <v>1.113202</v>
      </c>
      <c r="L4551">
        <v>141.79300000000001</v>
      </c>
      <c r="M4551">
        <v>-0.99702270000000004</v>
      </c>
      <c r="N4551">
        <v>0</v>
      </c>
      <c r="O4551">
        <v>-7.5753239999999999E-2</v>
      </c>
      <c r="P4551">
        <v>-0.97471680000000005</v>
      </c>
      <c r="Q4551">
        <v>0.1679919</v>
      </c>
      <c r="R4551">
        <v>-0.14733060000000001</v>
      </c>
      <c r="S4551">
        <v>-2.99411</v>
      </c>
      <c r="T4551">
        <v>-0.21814939999999999</v>
      </c>
      <c r="U4551">
        <v>-0.808029199999999</v>
      </c>
      <c r="V4551">
        <v>-7.4512819999999994E-2</v>
      </c>
      <c r="W4551">
        <v>0.18154039999999999</v>
      </c>
      <c r="X4551">
        <v>0.98055639999999999</v>
      </c>
      <c r="Y4551">
        <v>-0.1863861</v>
      </c>
      <c r="Z4551">
        <v>-1.2636139999999999E-3</v>
      </c>
      <c r="AA4551">
        <v>0.98247580000000001</v>
      </c>
      <c r="AB4551">
        <v>41</v>
      </c>
      <c r="AC4551">
        <v>-14.8652</v>
      </c>
      <c r="AD4551">
        <v>-1.11320507793</v>
      </c>
      <c r="AE4551">
        <v>-4.0905999999999896</v>
      </c>
      <c r="AF4551">
        <v>-2.9373268746602998</v>
      </c>
      <c r="AG4551">
        <v>-1.11320507793</v>
      </c>
      <c r="AH4551">
        <v>15.053906019709</v>
      </c>
      <c r="AI4551">
        <v>94.151203416597795</v>
      </c>
      <c r="AJ4551">
        <v>101.040864499723</v>
      </c>
      <c r="AK4551">
        <v>15.378140367559499</v>
      </c>
      <c r="AL4551">
        <v>79.540503018030293</v>
      </c>
      <c r="AM4551">
        <v>94.345574390992596</v>
      </c>
      <c r="AN4551">
        <v>0.99999996537873503</v>
      </c>
    </row>
    <row r="4552" spans="1:40" x14ac:dyDescent="0.25">
      <c r="A4552" t="str">
        <f>"20190312173021504"</f>
        <v>20190312173021504</v>
      </c>
      <c r="B4552" t="str">
        <f>"1552383021492779"</f>
        <v>1552383021492779</v>
      </c>
      <c r="C4552" t="s">
        <v>40</v>
      </c>
      <c r="D4552">
        <v>3.730105</v>
      </c>
      <c r="E4552">
        <v>0.45587359999999999</v>
      </c>
      <c r="F4552" t="s">
        <v>41</v>
      </c>
      <c r="G4552">
        <v>-394.10849999999999</v>
      </c>
      <c r="H4552" s="1">
        <v>-2.8693849999999998E-6</v>
      </c>
      <c r="I4552">
        <v>137.58869999999999</v>
      </c>
      <c r="J4552">
        <v>-379.1139</v>
      </c>
      <c r="K4552">
        <v>1.113253</v>
      </c>
      <c r="L4552">
        <v>141.75980000000001</v>
      </c>
      <c r="M4552">
        <v>-0.99678869999999997</v>
      </c>
      <c r="N4552">
        <v>0</v>
      </c>
      <c r="O4552">
        <v>-7.8773460000000003E-2</v>
      </c>
      <c r="P4552">
        <v>-0.97403399999999996</v>
      </c>
      <c r="Q4552">
        <v>0.16823940000000001</v>
      </c>
      <c r="R4552">
        <v>-0.15150640000000001</v>
      </c>
      <c r="S4552">
        <v>-2.991638</v>
      </c>
      <c r="T4552">
        <v>-0.21627769999999999</v>
      </c>
      <c r="U4552">
        <v>-0.81680299999999995</v>
      </c>
      <c r="V4552">
        <v>-7.5772430000000002E-2</v>
      </c>
      <c r="W4552">
        <v>0.1817674</v>
      </c>
      <c r="X4552">
        <v>0.98041780000000001</v>
      </c>
      <c r="Y4552">
        <v>-0.18630949999999999</v>
      </c>
      <c r="Z4552">
        <v>-1.0381639999999901E-3</v>
      </c>
      <c r="AA4552">
        <v>0.98249050000000004</v>
      </c>
      <c r="AB4552">
        <v>41</v>
      </c>
      <c r="AC4552">
        <v>-14.994599999999901</v>
      </c>
      <c r="AD4552">
        <v>-1.1132558693850001</v>
      </c>
      <c r="AE4552">
        <v>-4.1711000000000196</v>
      </c>
      <c r="AF4552">
        <v>-2.9616842910395902</v>
      </c>
      <c r="AG4552">
        <v>-1.1132558693850001</v>
      </c>
      <c r="AH4552">
        <v>15.198840304469799</v>
      </c>
      <c r="AI4552">
        <v>94.112140083632198</v>
      </c>
      <c r="AJ4552">
        <v>101.026620219817</v>
      </c>
      <c r="AK4552">
        <v>15.524679032794401</v>
      </c>
      <c r="AL4552">
        <v>79.527276722698005</v>
      </c>
      <c r="AM4552">
        <v>94.4193682852774</v>
      </c>
      <c r="AN4552">
        <v>0.99999995570385103</v>
      </c>
    </row>
    <row r="4553" spans="1:40" x14ac:dyDescent="0.25">
      <c r="A4553" t="str">
        <f>"20190312173021524"</f>
        <v>20190312173021524</v>
      </c>
      <c r="B4553" t="str">
        <f>"1552383021512298"</f>
        <v>1552383021512298</v>
      </c>
      <c r="C4553" t="s">
        <v>40</v>
      </c>
      <c r="D4553">
        <v>3.7418439999999999</v>
      </c>
      <c r="E4553">
        <v>0.4561945</v>
      </c>
      <c r="F4553" t="s">
        <v>41</v>
      </c>
      <c r="G4553">
        <v>-394.5335</v>
      </c>
      <c r="H4553" s="1">
        <v>-2.7037469999999999E-6</v>
      </c>
      <c r="I4553">
        <v>137.49459999999999</v>
      </c>
      <c r="J4553">
        <v>-379.50850000000003</v>
      </c>
      <c r="K4553">
        <v>1.1133150000000001</v>
      </c>
      <c r="L4553">
        <v>141.726</v>
      </c>
      <c r="M4553">
        <v>-0.99654399999999999</v>
      </c>
      <c r="N4553">
        <v>0</v>
      </c>
      <c r="O4553">
        <v>-8.1809950000000006E-2</v>
      </c>
      <c r="P4553">
        <v>-0.97332099999999999</v>
      </c>
      <c r="Q4553">
        <v>0.1684059</v>
      </c>
      <c r="R4553">
        <v>-0.15583929999999999</v>
      </c>
      <c r="S4553">
        <v>-2.9886780000000002</v>
      </c>
      <c r="T4553">
        <v>-0.21577550000000001</v>
      </c>
      <c r="U4553">
        <v>-0.82667539999999995</v>
      </c>
      <c r="V4553">
        <v>-7.718121E-2</v>
      </c>
      <c r="W4553">
        <v>0.1819104</v>
      </c>
      <c r="X4553">
        <v>0.98028139999999997</v>
      </c>
      <c r="Y4553">
        <v>-0.18658859999999999</v>
      </c>
      <c r="Z4553">
        <v>-8.3310060000000002E-4</v>
      </c>
      <c r="AA4553">
        <v>0.98243780000000003</v>
      </c>
      <c r="AB4553">
        <v>41</v>
      </c>
      <c r="AC4553">
        <v>-15.024999999999901</v>
      </c>
      <c r="AD4553">
        <v>-1.1133177037469999</v>
      </c>
      <c r="AE4553">
        <v>-4.2313999999999998</v>
      </c>
      <c r="AF4553">
        <v>-2.9727688341185101</v>
      </c>
      <c r="AG4553">
        <v>-1.1133177037469999</v>
      </c>
      <c r="AH4553">
        <v>15.2432887521647</v>
      </c>
      <c r="AI4553">
        <v>94.100295266736595</v>
      </c>
      <c r="AJ4553">
        <v>101.03539499614899</v>
      </c>
      <c r="AK4553">
        <v>15.5703141533</v>
      </c>
      <c r="AL4553">
        <v>79.518944750335706</v>
      </c>
      <c r="AM4553">
        <v>94.501823431307301</v>
      </c>
      <c r="AN4553">
        <v>0.99999997799559104</v>
      </c>
    </row>
    <row r="4554" spans="1:40" x14ac:dyDescent="0.25">
      <c r="A4554" t="str">
        <f>"20190312173021548"</f>
        <v>20190312173021548</v>
      </c>
      <c r="B4554" t="str">
        <f>"1552383021542557"</f>
        <v>1552383021542557</v>
      </c>
      <c r="C4554" t="s">
        <v>40</v>
      </c>
      <c r="D4554">
        <v>3.7116929999999999</v>
      </c>
      <c r="E4554">
        <v>0.45653300000000002</v>
      </c>
      <c r="F4554" t="s">
        <v>41</v>
      </c>
      <c r="G4554">
        <v>-394.91550000000001</v>
      </c>
      <c r="H4554" s="1">
        <v>-2.555686E-6</v>
      </c>
      <c r="I4554">
        <v>137.40539999999999</v>
      </c>
      <c r="J4554">
        <v>-379.9203</v>
      </c>
      <c r="K4554">
        <v>1.11338</v>
      </c>
      <c r="L4554">
        <v>141.6893</v>
      </c>
      <c r="M4554">
        <v>-0.99627169999999998</v>
      </c>
      <c r="N4554">
        <v>0</v>
      </c>
      <c r="O4554">
        <v>-8.5060650000000002E-2</v>
      </c>
      <c r="P4554">
        <v>-0.97263630000000001</v>
      </c>
      <c r="Q4554">
        <v>0.16835700000000001</v>
      </c>
      <c r="R4554">
        <v>-0.160109</v>
      </c>
      <c r="S4554">
        <v>-2.9855040000000002</v>
      </c>
      <c r="T4554">
        <v>-0.21573500000000001</v>
      </c>
      <c r="U4554">
        <v>-0.83720399999999995</v>
      </c>
      <c r="V4554">
        <v>-7.831573E-2</v>
      </c>
      <c r="W4554">
        <v>0.1818391</v>
      </c>
      <c r="X4554">
        <v>0.98020469999999904</v>
      </c>
      <c r="Y4554">
        <v>-0.18687400000000001</v>
      </c>
      <c r="Z4554">
        <v>-6.1544589999999895E-4</v>
      </c>
      <c r="AA4554">
        <v>0.98238369999999997</v>
      </c>
      <c r="AB4554">
        <v>41</v>
      </c>
      <c r="AC4554">
        <v>-14.995200000000001</v>
      </c>
      <c r="AD4554">
        <v>-1.113382555686</v>
      </c>
      <c r="AE4554">
        <v>-4.2839000000000098</v>
      </c>
      <c r="AF4554">
        <v>-2.97756070819106</v>
      </c>
      <c r="AG4554">
        <v>-1.113382555686</v>
      </c>
      <c r="AH4554">
        <v>15.2276570732972</v>
      </c>
      <c r="AI4554">
        <v>94.104332075728706</v>
      </c>
      <c r="AJ4554">
        <v>101.063811699829</v>
      </c>
      <c r="AK4554">
        <v>15.555932258408999</v>
      </c>
      <c r="AL4554">
        <v>79.523099810627102</v>
      </c>
      <c r="AM4554">
        <v>94.568075576557106</v>
      </c>
      <c r="AN4554">
        <v>1.00000003287816</v>
      </c>
    </row>
    <row r="4555" spans="1:40" x14ac:dyDescent="0.25">
      <c r="A4555" t="str">
        <f>"20190312173021562"</f>
        <v>20190312173021562</v>
      </c>
      <c r="B4555" t="str">
        <f>"1552383021552315"</f>
        <v>1552383021552315</v>
      </c>
      <c r="C4555" t="s">
        <v>40</v>
      </c>
      <c r="D4555">
        <v>3.6805330000000001</v>
      </c>
      <c r="E4555">
        <v>0.45661829999999998</v>
      </c>
      <c r="F4555" t="s">
        <v>41</v>
      </c>
      <c r="G4555">
        <v>-395.19330000000002</v>
      </c>
      <c r="H4555" s="1">
        <v>-2.4468699999999998E-6</v>
      </c>
      <c r="I4555">
        <v>137.34710000000001</v>
      </c>
      <c r="J4555">
        <v>-380.1807</v>
      </c>
      <c r="K4555">
        <v>1.113424</v>
      </c>
      <c r="L4555">
        <v>141.66550000000001</v>
      </c>
      <c r="M4555">
        <v>-0.99609040000000004</v>
      </c>
      <c r="N4555">
        <v>0</v>
      </c>
      <c r="O4555">
        <v>-8.7157789999999999E-2</v>
      </c>
      <c r="P4555">
        <v>-0.97221270000000004</v>
      </c>
      <c r="Q4555">
        <v>0.16829249999999901</v>
      </c>
      <c r="R4555">
        <v>-0.1627275</v>
      </c>
      <c r="S4555">
        <v>-2.9824519999999999</v>
      </c>
      <c r="T4555">
        <v>-0.21741869999999999</v>
      </c>
      <c r="U4555">
        <v>-0.84791559999999899</v>
      </c>
      <c r="V4555">
        <v>-7.891186E-2</v>
      </c>
      <c r="W4555">
        <v>0.1817617</v>
      </c>
      <c r="X4555">
        <v>0.98017120000000002</v>
      </c>
      <c r="Y4555">
        <v>-0.1883321</v>
      </c>
      <c r="Z4555">
        <v>-5.244049E-4</v>
      </c>
      <c r="AA4555">
        <v>0.98210529999999996</v>
      </c>
      <c r="AB4555">
        <v>41</v>
      </c>
      <c r="AC4555">
        <v>-15.012600000000001</v>
      </c>
      <c r="AD4555">
        <v>-1.1134264468699999</v>
      </c>
      <c r="AE4555">
        <v>-4.3183999999999898</v>
      </c>
      <c r="AF4555">
        <v>-2.9782320417553998</v>
      </c>
      <c r="AG4555">
        <v>-1.1134264468699999</v>
      </c>
      <c r="AH4555">
        <v>15.2543830228621</v>
      </c>
      <c r="AI4555">
        <v>94.097556149948005</v>
      </c>
      <c r="AJ4555">
        <v>101.047333737006</v>
      </c>
      <c r="AK4555">
        <v>15.5822266045424</v>
      </c>
      <c r="AL4555">
        <v>79.527609196568605</v>
      </c>
      <c r="AM4555">
        <v>94.602855016529205</v>
      </c>
      <c r="AN4555">
        <v>0.99999998927249401</v>
      </c>
    </row>
    <row r="4556" spans="1:40" x14ac:dyDescent="0.25">
      <c r="A4556" t="str">
        <f>"20190312173021581"</f>
        <v>20190312173021581</v>
      </c>
      <c r="B4556" t="str">
        <f>"1552383021572814"</f>
        <v>1552383021572814</v>
      </c>
      <c r="C4556" t="s">
        <v>40</v>
      </c>
      <c r="D4556">
        <v>3.7497479999999999</v>
      </c>
      <c r="E4556">
        <v>0.45679589999999998</v>
      </c>
      <c r="F4556" t="s">
        <v>41</v>
      </c>
      <c r="G4556">
        <v>-395.41860000000003</v>
      </c>
      <c r="H4556" s="1">
        <v>-2.3599029999999999E-6</v>
      </c>
      <c r="I4556">
        <v>137.29239999999999</v>
      </c>
      <c r="J4556">
        <v>-380.53120000000001</v>
      </c>
      <c r="K4556">
        <v>1.1134759999999999</v>
      </c>
      <c r="L4556">
        <v>141.63239999999999</v>
      </c>
      <c r="M4556">
        <v>-0.9958323</v>
      </c>
      <c r="N4556">
        <v>0</v>
      </c>
      <c r="O4556">
        <v>-9.0059509999999995E-2</v>
      </c>
      <c r="P4556">
        <v>-0.97164649999999997</v>
      </c>
      <c r="Q4556">
        <v>0.16766539999999999</v>
      </c>
      <c r="R4556">
        <v>-0.166708299999999</v>
      </c>
      <c r="S4556">
        <v>-2.9803470000000001</v>
      </c>
      <c r="T4556">
        <v>-0.2177731</v>
      </c>
      <c r="U4556">
        <v>-0.85531619999999997</v>
      </c>
      <c r="V4556">
        <v>-8.0088129999999993E-2</v>
      </c>
      <c r="W4556">
        <v>0.18111269999999999</v>
      </c>
      <c r="X4556">
        <v>0.98019590000000001</v>
      </c>
      <c r="Y4556">
        <v>-0.1879152</v>
      </c>
      <c r="Z4556">
        <v>-3.0500120000000002E-4</v>
      </c>
      <c r="AA4556">
        <v>0.98218519999999998</v>
      </c>
      <c r="AB4556">
        <v>41</v>
      </c>
      <c r="AC4556">
        <v>-14.8874</v>
      </c>
      <c r="AD4556">
        <v>-1.113478359903</v>
      </c>
      <c r="AE4556">
        <v>-4.34</v>
      </c>
      <c r="AF4556">
        <v>-2.9661760752319002</v>
      </c>
      <c r="AG4556">
        <v>-1.113478359903</v>
      </c>
      <c r="AH4556">
        <v>15.1397310551883</v>
      </c>
      <c r="AI4556">
        <v>94.128142836553494</v>
      </c>
      <c r="AJ4556">
        <v>101.084981257835</v>
      </c>
      <c r="AK4556">
        <v>15.4676918443148</v>
      </c>
      <c r="AL4556">
        <v>79.565421447891495</v>
      </c>
      <c r="AM4556">
        <v>94.671047153338506</v>
      </c>
      <c r="AN4556">
        <v>0.99999996052249696</v>
      </c>
    </row>
    <row r="4557" spans="1:40" x14ac:dyDescent="0.25">
      <c r="A4557" t="str">
        <f>"20190312173021604"</f>
        <v>20190312173021604</v>
      </c>
      <c r="B4557" t="str">
        <f>"1552383021592330"</f>
        <v>1552383021592330</v>
      </c>
      <c r="C4557" t="s">
        <v>40</v>
      </c>
      <c r="D4557">
        <v>3.7314379999999998</v>
      </c>
      <c r="E4557">
        <v>0.45697749999999998</v>
      </c>
      <c r="F4557" t="s">
        <v>41</v>
      </c>
      <c r="G4557">
        <v>-395.59100000000001</v>
      </c>
      <c r="H4557" s="1">
        <v>-2.293795E-6</v>
      </c>
      <c r="I4557">
        <v>137.2482</v>
      </c>
      <c r="J4557">
        <v>-380.93279999999999</v>
      </c>
      <c r="K4557">
        <v>1.1135759999999999</v>
      </c>
      <c r="L4557">
        <v>141.5932</v>
      </c>
      <c r="M4557">
        <v>-0.99551449999999997</v>
      </c>
      <c r="N4557">
        <v>0</v>
      </c>
      <c r="O4557">
        <v>-9.3507439999999997E-2</v>
      </c>
      <c r="P4557">
        <v>-0.97099880000000005</v>
      </c>
      <c r="Q4557">
        <v>0.16673959999999999</v>
      </c>
      <c r="R4557">
        <v>-0.17134630000000001</v>
      </c>
      <c r="S4557">
        <v>-2.976807</v>
      </c>
      <c r="T4557">
        <v>-0.22009719999999999</v>
      </c>
      <c r="U4557">
        <v>-0.86660769999999998</v>
      </c>
      <c r="V4557">
        <v>-8.1396769999999993E-2</v>
      </c>
      <c r="W4557">
        <v>0.18015970000000001</v>
      </c>
      <c r="X4557">
        <v>0.98026380000000002</v>
      </c>
      <c r="Y4557">
        <v>-0.1882643</v>
      </c>
      <c r="Z4557" s="1">
        <v>-7.4302310000000002E-5</v>
      </c>
      <c r="AA4557">
        <v>0.98211839999999995</v>
      </c>
      <c r="AB4557">
        <v>41</v>
      </c>
      <c r="AC4557">
        <v>-14.658200000000001</v>
      </c>
      <c r="AD4557">
        <v>-1.1135782937950001</v>
      </c>
      <c r="AE4557">
        <v>-4.34499999999999</v>
      </c>
      <c r="AF4557">
        <v>-2.9395708453776499</v>
      </c>
      <c r="AG4557">
        <v>-1.1135782937950001</v>
      </c>
      <c r="AH4557">
        <v>14.9211346739283</v>
      </c>
      <c r="AI4557">
        <v>94.187923209063598</v>
      </c>
      <c r="AJ4557">
        <v>101.144957922215</v>
      </c>
      <c r="AK4557">
        <v>15.248652180731</v>
      </c>
      <c r="AL4557">
        <v>79.620938349388794</v>
      </c>
      <c r="AM4557">
        <v>94.746698734678205</v>
      </c>
      <c r="AN4557">
        <v>1.00000003463048</v>
      </c>
    </row>
    <row r="4558" spans="1:40" x14ac:dyDescent="0.25">
      <c r="A4558" t="str">
        <f>"20190312173021617"</f>
        <v>20190312173021617</v>
      </c>
      <c r="B4558" t="str">
        <f>"1552383021612826"</f>
        <v>1552383021612826</v>
      </c>
      <c r="C4558" t="s">
        <v>40</v>
      </c>
      <c r="D4558">
        <v>3.7141899999999999</v>
      </c>
      <c r="E4558">
        <v>0.45712399999999997</v>
      </c>
      <c r="F4558" t="s">
        <v>41</v>
      </c>
      <c r="G4558">
        <v>-395.7527</v>
      </c>
      <c r="H4558" s="1">
        <v>-2.2313760000000001E-6</v>
      </c>
      <c r="I4558">
        <v>137.2089</v>
      </c>
      <c r="J4558">
        <v>-381.18369999999999</v>
      </c>
      <c r="K4558">
        <v>1.1136459999999999</v>
      </c>
      <c r="L4558">
        <v>141.56790000000001</v>
      </c>
      <c r="M4558">
        <v>-0.99530099999999999</v>
      </c>
      <c r="N4558">
        <v>0</v>
      </c>
      <c r="O4558">
        <v>-9.5752799999999999E-2</v>
      </c>
      <c r="P4558">
        <v>-0.97053299999999998</v>
      </c>
      <c r="Q4558">
        <v>0.16630029999999901</v>
      </c>
      <c r="R4558">
        <v>-0.1743847</v>
      </c>
      <c r="S4558">
        <v>-2.9727779999999999</v>
      </c>
      <c r="T4558">
        <v>-0.2233764</v>
      </c>
      <c r="U4558">
        <v>-0.8794556</v>
      </c>
      <c r="V4558">
        <v>-8.2276920000000003E-2</v>
      </c>
      <c r="W4558">
        <v>0.17970050000000001</v>
      </c>
      <c r="X4558">
        <v>0.9802746</v>
      </c>
      <c r="Y4558">
        <v>-0.19030639999999999</v>
      </c>
      <c r="Z4558" s="1">
        <v>1.247553E-5</v>
      </c>
      <c r="AA4558">
        <v>0.98172470000000001</v>
      </c>
      <c r="AB4558">
        <v>41</v>
      </c>
      <c r="AC4558">
        <v>-14.569000000000001</v>
      </c>
      <c r="AD4558">
        <v>-1.1136482313760001</v>
      </c>
      <c r="AE4558">
        <v>-4.359</v>
      </c>
      <c r="AF4558">
        <v>-2.9280965203660299</v>
      </c>
      <c r="AG4558">
        <v>-1.1136482313760001</v>
      </c>
      <c r="AH4558">
        <v>14.8398881321963</v>
      </c>
      <c r="AI4558">
        <v>94.210789655286007</v>
      </c>
      <c r="AJ4558">
        <v>101.161800298885</v>
      </c>
      <c r="AK4558">
        <v>15.1669456843468</v>
      </c>
      <c r="AL4558">
        <v>79.647685006791505</v>
      </c>
      <c r="AM4558">
        <v>94.797734245513595</v>
      </c>
      <c r="AN4558">
        <v>1.0000000263350399</v>
      </c>
    </row>
    <row r="4559" spans="1:40" x14ac:dyDescent="0.25">
      <c r="A4559" t="str">
        <f>"20190312173021637"</f>
        <v>20190312173021637</v>
      </c>
      <c r="B4559" t="str">
        <f>"1552383021632346"</f>
        <v>1552383021632346</v>
      </c>
      <c r="C4559" t="s">
        <v>40</v>
      </c>
      <c r="D4559">
        <v>3.7219329999999999</v>
      </c>
      <c r="E4559">
        <v>0.45730280000000001</v>
      </c>
      <c r="F4559" t="s">
        <v>41</v>
      </c>
      <c r="G4559">
        <v>-395.93369999999999</v>
      </c>
      <c r="H4559" s="1">
        <v>-2.1621839999999998E-6</v>
      </c>
      <c r="I4559">
        <v>137.16120000000001</v>
      </c>
      <c r="J4559">
        <v>-381.54349999999999</v>
      </c>
      <c r="K4559">
        <v>1.1137539999999999</v>
      </c>
      <c r="L4559">
        <v>141.53049999999999</v>
      </c>
      <c r="M4559">
        <v>-0.99497840000000004</v>
      </c>
      <c r="N4559">
        <v>0</v>
      </c>
      <c r="O4559">
        <v>-9.9047410000000002E-2</v>
      </c>
      <c r="P4559">
        <v>-0.96979210000000005</v>
      </c>
      <c r="Q4559">
        <v>0.16573879999999999</v>
      </c>
      <c r="R4559">
        <v>-0.17898049999999999</v>
      </c>
      <c r="S4559">
        <v>-2.970062</v>
      </c>
      <c r="T4559">
        <v>-0.22424330000000001</v>
      </c>
      <c r="U4559">
        <v>-0.88729859999999905</v>
      </c>
      <c r="V4559">
        <v>-8.3711209999999994E-2</v>
      </c>
      <c r="W4559">
        <v>0.17910760000000001</v>
      </c>
      <c r="X4559">
        <v>0.98026159999999996</v>
      </c>
      <c r="Y4559">
        <v>-0.18969030000000001</v>
      </c>
      <c r="Z4559">
        <v>2.7558250000000003E-4</v>
      </c>
      <c r="AA4559">
        <v>0.98184389999999999</v>
      </c>
      <c r="AB4559">
        <v>41</v>
      </c>
      <c r="AC4559">
        <v>-14.390199999999901</v>
      </c>
      <c r="AD4559">
        <v>-1.113756162184</v>
      </c>
      <c r="AE4559">
        <v>-4.3692999999999804</v>
      </c>
      <c r="AF4559">
        <v>-2.90640982917005</v>
      </c>
      <c r="AG4559">
        <v>-1.113756162184</v>
      </c>
      <c r="AH4559">
        <v>14.671768022794399</v>
      </c>
      <c r="AI4559">
        <v>94.258642717436103</v>
      </c>
      <c r="AJ4559">
        <v>101.20496601790499</v>
      </c>
      <c r="AK4559">
        <v>14.998281494844401</v>
      </c>
      <c r="AL4559">
        <v>79.682215143748493</v>
      </c>
      <c r="AM4559">
        <v>94.881034405097296</v>
      </c>
      <c r="AN4559">
        <v>0.99999995174598999</v>
      </c>
    </row>
    <row r="4560" spans="1:40" x14ac:dyDescent="0.25">
      <c r="A4560" t="str">
        <f>"20190312173021659"</f>
        <v>20190312173021659</v>
      </c>
      <c r="B4560" t="str">
        <f>"1552383021651870"</f>
        <v>1552383021651870</v>
      </c>
      <c r="C4560" t="s">
        <v>40</v>
      </c>
      <c r="D4560">
        <v>3.8317709999999998</v>
      </c>
      <c r="E4560">
        <v>0.46553529999999999</v>
      </c>
      <c r="F4560" t="s">
        <v>41</v>
      </c>
      <c r="G4560">
        <v>-396.20400000000001</v>
      </c>
      <c r="H4560" s="1">
        <v>-2.0601770000000002E-6</v>
      </c>
      <c r="I4560">
        <v>137.08269999999999</v>
      </c>
      <c r="J4560">
        <v>-381.94240000000002</v>
      </c>
      <c r="K4560">
        <v>1.1138840000000001</v>
      </c>
      <c r="L4560">
        <v>141.48769999999999</v>
      </c>
      <c r="M4560">
        <v>-0.99459430000000004</v>
      </c>
      <c r="N4560">
        <v>0</v>
      </c>
      <c r="O4560">
        <v>-0.10283339999999901</v>
      </c>
      <c r="P4560">
        <v>-0.96873900000000002</v>
      </c>
      <c r="Q4560">
        <v>0.1655063</v>
      </c>
      <c r="R4560">
        <v>-0.18480450000000001</v>
      </c>
      <c r="S4560">
        <v>-2.965881</v>
      </c>
      <c r="T4560">
        <v>-0.22531870000000001</v>
      </c>
      <c r="U4560">
        <v>-0.89979549999999997</v>
      </c>
      <c r="V4560">
        <v>-8.5925879999999996E-2</v>
      </c>
      <c r="W4560">
        <v>0.17882979999999901</v>
      </c>
      <c r="X4560">
        <v>0.98012069999999996</v>
      </c>
      <c r="Y4560">
        <v>-0.19013250000000001</v>
      </c>
      <c r="Z4560">
        <v>5.3809490000000001E-4</v>
      </c>
      <c r="AA4560">
        <v>0.98175829999999997</v>
      </c>
      <c r="AB4560">
        <v>41</v>
      </c>
      <c r="AC4560">
        <v>-14.2615999999999</v>
      </c>
      <c r="AD4560">
        <v>-1.113886060177</v>
      </c>
      <c r="AE4560">
        <v>-4.4050000000000002</v>
      </c>
      <c r="AF4560">
        <v>-2.8987783780593999</v>
      </c>
      <c r="AG4560">
        <v>-1.113886060177</v>
      </c>
      <c r="AH4560">
        <v>14.557933752019601</v>
      </c>
      <c r="AI4560">
        <v>94.291480246978793</v>
      </c>
      <c r="AJ4560">
        <v>101.261453113537</v>
      </c>
      <c r="AK4560">
        <v>14.885465843175799</v>
      </c>
      <c r="AL4560">
        <v>79.698393303367993</v>
      </c>
      <c r="AM4560">
        <v>95.010235211642794</v>
      </c>
      <c r="AN4560">
        <v>0.99999997039515098</v>
      </c>
    </row>
    <row r="4561" spans="1:40" x14ac:dyDescent="0.25">
      <c r="A4561" t="str">
        <f>"20190312173021684"</f>
        <v>20190312173021684</v>
      </c>
      <c r="B4561" t="str">
        <f>"1552383021672362"</f>
        <v>1552383021672362</v>
      </c>
      <c r="C4561" t="s">
        <v>40</v>
      </c>
      <c r="D4561">
        <v>3.7794099999999999</v>
      </c>
      <c r="E4561">
        <v>0.46530949999999999</v>
      </c>
      <c r="F4561" t="s">
        <v>41</v>
      </c>
      <c r="G4561">
        <v>-398.46039999999999</v>
      </c>
      <c r="H4561" s="1">
        <v>-1.2747920000000001E-6</v>
      </c>
      <c r="I4561">
        <v>136.74180000000001</v>
      </c>
      <c r="J4561">
        <v>-382.37290000000002</v>
      </c>
      <c r="K4561">
        <v>1.114039</v>
      </c>
      <c r="L4561">
        <v>141.43960000000001</v>
      </c>
      <c r="M4561">
        <v>-0.9941449</v>
      </c>
      <c r="N4561">
        <v>0</v>
      </c>
      <c r="O4561">
        <v>-0.1070899</v>
      </c>
      <c r="P4561">
        <v>-0.96768410000000005</v>
      </c>
      <c r="Q4561">
        <v>0.1661156</v>
      </c>
      <c r="R4561">
        <v>-0.1897191</v>
      </c>
      <c r="S4561">
        <v>-2.9683229999999998</v>
      </c>
      <c r="T4561">
        <v>-0.2001687</v>
      </c>
      <c r="U4561">
        <v>-0.85282899999999995</v>
      </c>
      <c r="V4561">
        <v>-8.6789199999999997E-2</v>
      </c>
      <c r="W4561">
        <v>0.17940220000000001</v>
      </c>
      <c r="X4561">
        <v>0.97994009999999998</v>
      </c>
      <c r="Y4561">
        <v>-0.1714791</v>
      </c>
      <c r="Z4561">
        <v>1.373801E-3</v>
      </c>
      <c r="AA4561">
        <v>0.98518680000000003</v>
      </c>
      <c r="AB4561">
        <v>41</v>
      </c>
      <c r="AC4561">
        <v>-16.087499999999899</v>
      </c>
      <c r="AD4561">
        <v>-1.114040274792</v>
      </c>
      <c r="AE4561">
        <v>-4.6978</v>
      </c>
      <c r="AF4561">
        <v>-2.93482340744634</v>
      </c>
      <c r="AG4561">
        <v>-1.114040274792</v>
      </c>
      <c r="AH4561">
        <v>16.4255281929577</v>
      </c>
      <c r="AI4561">
        <v>93.819760374120804</v>
      </c>
      <c r="AJ4561">
        <v>100.130395867377</v>
      </c>
      <c r="AK4561">
        <v>16.722806301108701</v>
      </c>
      <c r="AL4561">
        <v>79.665059005355602</v>
      </c>
      <c r="AM4561">
        <v>95.0612420492605</v>
      </c>
      <c r="AN4561">
        <v>1.00000005709474</v>
      </c>
    </row>
    <row r="4562" spans="1:40" x14ac:dyDescent="0.25">
      <c r="A4562" t="str">
        <f>"20190312173021705"</f>
        <v>20190312173021705</v>
      </c>
      <c r="B4562" t="str">
        <f>"1552383021691883"</f>
        <v>1552383021691883</v>
      </c>
      <c r="C4562" t="s">
        <v>40</v>
      </c>
      <c r="D4562">
        <v>3.7647270000000002</v>
      </c>
      <c r="E4562">
        <v>0.4653776</v>
      </c>
      <c r="F4562" t="s">
        <v>41</v>
      </c>
      <c r="G4562">
        <v>-398.6139</v>
      </c>
      <c r="H4562" s="1">
        <v>-1.241372E-6</v>
      </c>
      <c r="I4562">
        <v>136.67099999999999</v>
      </c>
      <c r="J4562">
        <v>-382.76089999999999</v>
      </c>
      <c r="K4562">
        <v>1.114185</v>
      </c>
      <c r="L4562">
        <v>141.39439999999999</v>
      </c>
      <c r="M4562">
        <v>-0.99370429999999998</v>
      </c>
      <c r="N4562">
        <v>0</v>
      </c>
      <c r="O4562">
        <v>-0.11110250000000001</v>
      </c>
      <c r="P4562">
        <v>-0.96673089999999995</v>
      </c>
      <c r="Q4562">
        <v>0.16650179999999901</v>
      </c>
      <c r="R4562">
        <v>-0.194188</v>
      </c>
      <c r="S4562">
        <v>-2.9644469999999998</v>
      </c>
      <c r="T4562">
        <v>-0.2033442</v>
      </c>
      <c r="U4562">
        <v>-0.87039179999999905</v>
      </c>
      <c r="V4562">
        <v>-8.7435280000000004E-2</v>
      </c>
      <c r="W4562">
        <v>0.1797559</v>
      </c>
      <c r="X4562">
        <v>0.97981779999999996</v>
      </c>
      <c r="Y4562">
        <v>-0.17322599999999999</v>
      </c>
      <c r="Z4562">
        <v>1.6029760000000001E-3</v>
      </c>
      <c r="AA4562">
        <v>0.9848808</v>
      </c>
      <c r="AB4562">
        <v>41</v>
      </c>
      <c r="AC4562">
        <v>-15.853</v>
      </c>
      <c r="AD4562">
        <v>-1.1141862413720001</v>
      </c>
      <c r="AE4562">
        <v>-4.7233999999999901</v>
      </c>
      <c r="AF4562">
        <v>-2.91941500722896</v>
      </c>
      <c r="AG4562">
        <v>-1.1141862413720001</v>
      </c>
      <c r="AH4562">
        <v>16.206144059781799</v>
      </c>
      <c r="AI4562">
        <v>93.870833572777698</v>
      </c>
      <c r="AJ4562">
        <v>100.211880917031</v>
      </c>
      <c r="AK4562">
        <v>16.504650867294899</v>
      </c>
      <c r="AL4562">
        <v>79.644458174501494</v>
      </c>
      <c r="AM4562">
        <v>95.099354362964803</v>
      </c>
      <c r="AN4562">
        <v>1.0000000164851599</v>
      </c>
    </row>
    <row r="4563" spans="1:40" x14ac:dyDescent="0.25">
      <c r="A4563" t="str">
        <f>"20190312173021726"</f>
        <v>20190312173021726</v>
      </c>
      <c r="B4563" t="str">
        <f>"1552383021722138"</f>
        <v>1552383021722138</v>
      </c>
      <c r="C4563" t="s">
        <v>40</v>
      </c>
      <c r="D4563">
        <v>3.7820429999999998</v>
      </c>
      <c r="E4563">
        <v>0.46542709999999998</v>
      </c>
      <c r="F4563" t="s">
        <v>41</v>
      </c>
      <c r="G4563">
        <v>-399.00439999999998</v>
      </c>
      <c r="H4563" s="1">
        <v>-1.142006E-6</v>
      </c>
      <c r="I4563">
        <v>136.54499999999999</v>
      </c>
      <c r="J4563">
        <v>-383.14909999999998</v>
      </c>
      <c r="K4563">
        <v>1.1143339999999999</v>
      </c>
      <c r="L4563">
        <v>141.3475</v>
      </c>
      <c r="M4563">
        <v>-0.99322940000000004</v>
      </c>
      <c r="N4563">
        <v>0</v>
      </c>
      <c r="O4563">
        <v>-0.1152711</v>
      </c>
      <c r="P4563">
        <v>-0.96578120000000001</v>
      </c>
      <c r="Q4563">
        <v>0.16673199999999999</v>
      </c>
      <c r="R4563">
        <v>-0.1986638</v>
      </c>
      <c r="S4563">
        <v>-2.9607239999999999</v>
      </c>
      <c r="T4563">
        <v>-0.2030843</v>
      </c>
      <c r="U4563">
        <v>-0.88389589999999996</v>
      </c>
      <c r="V4563">
        <v>-8.7934750000000006E-2</v>
      </c>
      <c r="W4563">
        <v>0.179954799999999</v>
      </c>
      <c r="X4563">
        <v>0.97973659999999996</v>
      </c>
      <c r="Y4563">
        <v>-0.17356629999999901</v>
      </c>
      <c r="Z4563">
        <v>1.865886E-3</v>
      </c>
      <c r="AA4563">
        <v>0.98482040000000004</v>
      </c>
      <c r="AB4563">
        <v>41</v>
      </c>
      <c r="AC4563">
        <v>-15.8553</v>
      </c>
      <c r="AD4563">
        <v>-1.1143351420059999</v>
      </c>
      <c r="AE4563">
        <v>-4.8025000000000002</v>
      </c>
      <c r="AF4563">
        <v>-2.9293785843884801</v>
      </c>
      <c r="AG4563">
        <v>-1.1143351420059999</v>
      </c>
      <c r="AH4563">
        <v>16.229804470830999</v>
      </c>
      <c r="AI4563">
        <v>93.865486197320294</v>
      </c>
      <c r="AJ4563">
        <v>100.23137440076199</v>
      </c>
      <c r="AK4563">
        <v>16.529656828282501</v>
      </c>
      <c r="AL4563">
        <v>79.632873246582193</v>
      </c>
      <c r="AM4563">
        <v>95.128752062266599</v>
      </c>
      <c r="AN4563">
        <v>1.00000002784008</v>
      </c>
    </row>
    <row r="4564" spans="1:40" x14ac:dyDescent="0.25">
      <c r="A4564" t="str">
        <f>"20190312173021748"</f>
        <v>20190312173021748</v>
      </c>
      <c r="B4564" t="str">
        <f>"1552383021742634"</f>
        <v>1552383021742634</v>
      </c>
      <c r="C4564" t="s">
        <v>40</v>
      </c>
      <c r="D4564">
        <v>3.7513610000000002</v>
      </c>
      <c r="E4564">
        <v>0.46566200000000002</v>
      </c>
      <c r="F4564" t="s">
        <v>41</v>
      </c>
      <c r="G4564">
        <v>-399.416</v>
      </c>
      <c r="H4564" s="1">
        <v>-1.0372650000000001E-6</v>
      </c>
      <c r="I4564">
        <v>136.41220000000001</v>
      </c>
      <c r="J4564">
        <v>-383.55399999999997</v>
      </c>
      <c r="K4564">
        <v>1.1144780000000001</v>
      </c>
      <c r="L4564">
        <v>141.29679999999999</v>
      </c>
      <c r="M4564">
        <v>-0.99269819999999998</v>
      </c>
      <c r="N4564">
        <v>0</v>
      </c>
      <c r="O4564">
        <v>-0.1197574</v>
      </c>
      <c r="P4564">
        <v>-0.96484700000000001</v>
      </c>
      <c r="Q4564">
        <v>0.16741410000000001</v>
      </c>
      <c r="R4564">
        <v>-0.20259070000000001</v>
      </c>
      <c r="S4564">
        <v>-2.9567260000000002</v>
      </c>
      <c r="T4564">
        <v>-0.20254539999999999</v>
      </c>
      <c r="U4564">
        <v>-0.89704899999999999</v>
      </c>
      <c r="V4564">
        <v>-8.7577299999999997E-2</v>
      </c>
      <c r="W4564">
        <v>0.18061559999999999</v>
      </c>
      <c r="X4564">
        <v>0.97964700000000005</v>
      </c>
      <c r="Y4564">
        <v>-0.17350869999999999</v>
      </c>
      <c r="Z4564">
        <v>2.1597259999999998E-3</v>
      </c>
      <c r="AA4564">
        <v>0.98482999999999998</v>
      </c>
      <c r="AB4564">
        <v>41</v>
      </c>
      <c r="AC4564">
        <v>-15.861999999999901</v>
      </c>
      <c r="AD4564">
        <v>-1.114479037265</v>
      </c>
      <c r="AE4564">
        <v>-4.8845999999999696</v>
      </c>
      <c r="AF4564">
        <v>-2.93640888295042</v>
      </c>
      <c r="AG4564">
        <v>-1.114479037265</v>
      </c>
      <c r="AH4564">
        <v>16.2595337566197</v>
      </c>
      <c r="AI4564">
        <v>93.858867709702494</v>
      </c>
      <c r="AJ4564">
        <v>100.23705413437401</v>
      </c>
      <c r="AK4564">
        <v>16.560102615474001</v>
      </c>
      <c r="AL4564">
        <v>79.594381312687602</v>
      </c>
      <c r="AM4564">
        <v>95.108479192673897</v>
      </c>
      <c r="AN4564">
        <v>1.0000000115238199</v>
      </c>
    </row>
    <row r="4565" spans="1:40" x14ac:dyDescent="0.25">
      <c r="A4565" t="str">
        <f>"20190312173021770"</f>
        <v>20190312173021770</v>
      </c>
      <c r="B4565" t="str">
        <f>"1552383021762154"</f>
        <v>1552383021762154</v>
      </c>
      <c r="C4565" t="s">
        <v>40</v>
      </c>
      <c r="D4565">
        <v>3.7615789999999998</v>
      </c>
      <c r="E4565">
        <v>0.46598699999999998</v>
      </c>
      <c r="F4565" t="s">
        <v>51</v>
      </c>
      <c r="G4565">
        <v>-399.95780000000002</v>
      </c>
      <c r="H4565" s="1">
        <v>-3.5619909999999999E-6</v>
      </c>
      <c r="I4565">
        <v>136.2492</v>
      </c>
      <c r="J4565">
        <v>-383.9529</v>
      </c>
      <c r="K4565">
        <v>1.1146039999999999</v>
      </c>
      <c r="L4565">
        <v>141.2448</v>
      </c>
      <c r="M4565">
        <v>-0.99213870000000004</v>
      </c>
      <c r="N4565">
        <v>0</v>
      </c>
      <c r="O4565">
        <v>-0.1243078</v>
      </c>
      <c r="P4565">
        <v>-0.96394179999999996</v>
      </c>
      <c r="Q4565">
        <v>0.1678607</v>
      </c>
      <c r="R4565">
        <v>-0.2064936</v>
      </c>
      <c r="S4565">
        <v>-2.9532780000000001</v>
      </c>
      <c r="T4565">
        <v>-0.2006464</v>
      </c>
      <c r="U4565">
        <v>-0.90873720000000002</v>
      </c>
      <c r="V4565">
        <v>-8.7122820000000004E-2</v>
      </c>
      <c r="W4565">
        <v>0.1810438</v>
      </c>
      <c r="X4565">
        <v>0.97960849999999999</v>
      </c>
      <c r="Y4565">
        <v>-0.17288990000000001</v>
      </c>
      <c r="Z4565">
        <v>2.4581820000000002E-3</v>
      </c>
      <c r="AA4565">
        <v>0.98493810000000004</v>
      </c>
      <c r="AB4565">
        <v>41</v>
      </c>
      <c r="AC4565">
        <v>-16.004899999999999</v>
      </c>
      <c r="AD4565">
        <v>-1.1146075619910001</v>
      </c>
      <c r="AE4565">
        <v>-4.9955999999999898</v>
      </c>
      <c r="AF4565">
        <v>-2.9540482067085501</v>
      </c>
      <c r="AG4565">
        <v>-1.1146075619910001</v>
      </c>
      <c r="AH4565">
        <v>16.429184925837699</v>
      </c>
      <c r="AI4565">
        <v>93.820103842011093</v>
      </c>
      <c r="AJ4565">
        <v>100.193146619147</v>
      </c>
      <c r="AK4565">
        <v>16.729819728621599</v>
      </c>
      <c r="AL4565">
        <v>79.569436199177005</v>
      </c>
      <c r="AM4565">
        <v>95.082306756674697</v>
      </c>
      <c r="AN4565">
        <v>1.0000000282777199</v>
      </c>
    </row>
    <row r="4566" spans="1:40" x14ac:dyDescent="0.25">
      <c r="A4566" t="str">
        <f>"20190312173021793"</f>
        <v>20190312173021793</v>
      </c>
      <c r="B4566" t="str">
        <f>"1552383021782650"</f>
        <v>1552383021782650</v>
      </c>
      <c r="C4566" t="s">
        <v>40</v>
      </c>
      <c r="D4566">
        <v>3.7405810000000002</v>
      </c>
      <c r="E4566">
        <v>0.4663601</v>
      </c>
      <c r="F4566" t="s">
        <v>51</v>
      </c>
      <c r="G4566">
        <v>-400.5872</v>
      </c>
      <c r="H4566" s="1">
        <v>-3.8185220000000001E-6</v>
      </c>
      <c r="I4566">
        <v>136.05629999999999</v>
      </c>
      <c r="J4566">
        <v>-384.35599999999999</v>
      </c>
      <c r="K4566">
        <v>1.114733</v>
      </c>
      <c r="L4566">
        <v>141.19030000000001</v>
      </c>
      <c r="M4566">
        <v>-0.99153500000000006</v>
      </c>
      <c r="N4566">
        <v>0</v>
      </c>
      <c r="O4566">
        <v>-0.1290336</v>
      </c>
      <c r="P4566">
        <v>-0.96322890000000005</v>
      </c>
      <c r="Q4566">
        <v>0.16705809999999999</v>
      </c>
      <c r="R4566">
        <v>-0.21043239999999999</v>
      </c>
      <c r="S4566">
        <v>-2.9495239999999998</v>
      </c>
      <c r="T4566">
        <v>-0.19763790000000001</v>
      </c>
      <c r="U4566">
        <v>-0.91999819999999999</v>
      </c>
      <c r="V4566">
        <v>-8.6488540000000003E-2</v>
      </c>
      <c r="W4566">
        <v>0.18022869999999999</v>
      </c>
      <c r="X4566">
        <v>0.97981490000000004</v>
      </c>
      <c r="Y4566">
        <v>-0.17199429999999999</v>
      </c>
      <c r="Z4566">
        <v>2.7559989999999999E-3</v>
      </c>
      <c r="AA4566">
        <v>0.98509409999999997</v>
      </c>
      <c r="AB4566">
        <v>41</v>
      </c>
      <c r="AC4566">
        <v>-16.231200000000001</v>
      </c>
      <c r="AD4566">
        <v>-1.1147368185219999</v>
      </c>
      <c r="AE4566">
        <v>-5.1340000000000101</v>
      </c>
      <c r="AF4566">
        <v>-2.9836898024147001</v>
      </c>
      <c r="AG4566">
        <v>-1.1147368185219999</v>
      </c>
      <c r="AH4566">
        <v>16.686462231473001</v>
      </c>
      <c r="AI4566">
        <v>93.762458593612294</v>
      </c>
      <c r="AJ4566">
        <v>100.137862905042</v>
      </c>
      <c r="AK4566">
        <v>16.987732774386899</v>
      </c>
      <c r="AL4566">
        <v>79.616918210346995</v>
      </c>
      <c r="AM4566">
        <v>95.044440377714096</v>
      </c>
      <c r="AN4566">
        <v>0.99999994505851397</v>
      </c>
    </row>
    <row r="4567" spans="1:40" x14ac:dyDescent="0.25">
      <c r="A4567" t="str">
        <f>"20190312173021815"</f>
        <v>20190312173021815</v>
      </c>
      <c r="B4567" t="str">
        <f>"1552383021811931"</f>
        <v>1552383021811931</v>
      </c>
      <c r="C4567" t="s">
        <v>40</v>
      </c>
      <c r="D4567">
        <v>3.8477000000000001</v>
      </c>
      <c r="E4567">
        <v>0.46650540000000001</v>
      </c>
      <c r="F4567" t="s">
        <v>51</v>
      </c>
      <c r="G4567">
        <v>-400.8424</v>
      </c>
      <c r="H4567" s="1">
        <v>-3.9281760000000001E-6</v>
      </c>
      <c r="I4567">
        <v>135.98869999999999</v>
      </c>
      <c r="J4567">
        <v>-384.74799999999999</v>
      </c>
      <c r="K4567">
        <v>1.1148499999999999</v>
      </c>
      <c r="L4567">
        <v>141.1354</v>
      </c>
      <c r="M4567">
        <v>-0.99090990000000001</v>
      </c>
      <c r="N4567">
        <v>0</v>
      </c>
      <c r="O4567">
        <v>-0.13374920000000001</v>
      </c>
      <c r="P4567">
        <v>-0.96245270000000005</v>
      </c>
      <c r="Q4567">
        <v>0.16593269999999999</v>
      </c>
      <c r="R4567">
        <v>-0.21482879999999999</v>
      </c>
      <c r="S4567">
        <v>-2.9460449999999998</v>
      </c>
      <c r="T4567">
        <v>-0.19919880000000001</v>
      </c>
      <c r="U4567">
        <v>-0.92950440000000001</v>
      </c>
      <c r="V4567">
        <v>-8.6317119999999997E-2</v>
      </c>
      <c r="W4567">
        <v>0.17908789999999999</v>
      </c>
      <c r="X4567">
        <v>0.9800392</v>
      </c>
      <c r="Y4567">
        <v>-0.1705431</v>
      </c>
      <c r="Z4567">
        <v>3.1327759999999999E-3</v>
      </c>
      <c r="AA4567">
        <v>0.98534520000000003</v>
      </c>
      <c r="AB4567">
        <v>41</v>
      </c>
      <c r="AC4567">
        <v>-16.094399999999901</v>
      </c>
      <c r="AD4567">
        <v>-1.1148539281759999</v>
      </c>
      <c r="AE4567">
        <v>-5.1467000000000098</v>
      </c>
      <c r="AF4567">
        <v>-2.93483475828257</v>
      </c>
      <c r="AG4567">
        <v>-1.1148539281759999</v>
      </c>
      <c r="AH4567">
        <v>16.566089353010899</v>
      </c>
      <c r="AI4567">
        <v>93.791190821096293</v>
      </c>
      <c r="AJ4567">
        <v>100.046236984874</v>
      </c>
      <c r="AK4567">
        <v>16.8609451334003</v>
      </c>
      <c r="AL4567">
        <v>79.6833626875287</v>
      </c>
      <c r="AM4567">
        <v>95.033347430456004</v>
      </c>
      <c r="AN4567">
        <v>0.99999997733407198</v>
      </c>
    </row>
    <row r="4568" spans="1:40" x14ac:dyDescent="0.25">
      <c r="A4568" t="str">
        <f>"20190312173021839"</f>
        <v>20190312173021839</v>
      </c>
      <c r="B4568" t="str">
        <f>"1552383021832426"</f>
        <v>1552383021832426</v>
      </c>
      <c r="C4568" t="s">
        <v>40</v>
      </c>
      <c r="D4568">
        <v>3.671357</v>
      </c>
      <c r="E4568">
        <v>0.46703149999999899</v>
      </c>
      <c r="F4568" t="s">
        <v>51</v>
      </c>
      <c r="G4568">
        <v>-400.88220000000001</v>
      </c>
      <c r="H4568" s="1">
        <v>-3.941258E-6</v>
      </c>
      <c r="I4568">
        <v>135.97059999999999</v>
      </c>
      <c r="J4568">
        <v>-385.16629999999998</v>
      </c>
      <c r="K4568">
        <v>1.1149849999999999</v>
      </c>
      <c r="L4568">
        <v>141.07470000000001</v>
      </c>
      <c r="M4568">
        <v>-0.99020030000000003</v>
      </c>
      <c r="N4568">
        <v>0</v>
      </c>
      <c r="O4568">
        <v>-0.138904799999999</v>
      </c>
      <c r="P4568">
        <v>-0.96148290000000003</v>
      </c>
      <c r="Q4568">
        <v>0.164800799999999</v>
      </c>
      <c r="R4568">
        <v>-0.2199806</v>
      </c>
      <c r="S4568">
        <v>-2.9418329999999999</v>
      </c>
      <c r="T4568">
        <v>-0.20327770000000001</v>
      </c>
      <c r="U4568">
        <v>-0.94172670000000003</v>
      </c>
      <c r="V4568">
        <v>-8.6482719999999999E-2</v>
      </c>
      <c r="W4568">
        <v>0.1779346</v>
      </c>
      <c r="X4568">
        <v>0.98023470000000001</v>
      </c>
      <c r="Y4568">
        <v>-0.16954669999999999</v>
      </c>
      <c r="Z4568">
        <v>3.573218E-3</v>
      </c>
      <c r="AA4568">
        <v>0.98551569999999999</v>
      </c>
      <c r="AB4568">
        <v>41</v>
      </c>
      <c r="AC4568">
        <v>-15.7159</v>
      </c>
      <c r="AD4568">
        <v>-1.1149889412580001</v>
      </c>
      <c r="AE4568">
        <v>-5.1041000000000096</v>
      </c>
      <c r="AF4568">
        <v>-2.8583526927481802</v>
      </c>
      <c r="AG4568">
        <v>-1.1149889412580001</v>
      </c>
      <c r="AH4568">
        <v>16.198816246213699</v>
      </c>
      <c r="AI4568">
        <v>93.877823803100995</v>
      </c>
      <c r="AJ4568">
        <v>100.007081292932</v>
      </c>
      <c r="AK4568">
        <v>16.4868137683989</v>
      </c>
      <c r="AL4568">
        <v>79.7505211079487</v>
      </c>
      <c r="AM4568">
        <v>95.041953603415493</v>
      </c>
      <c r="AN4568">
        <v>1.0000000249099199</v>
      </c>
    </row>
    <row r="4569" spans="1:40" x14ac:dyDescent="0.25">
      <c r="A4569" t="str">
        <f>"20190312173021860"</f>
        <v>20190312173021860</v>
      </c>
      <c r="B4569" t="str">
        <f>"1552383021852922"</f>
        <v>1552383021852922</v>
      </c>
      <c r="C4569" t="s">
        <v>40</v>
      </c>
      <c r="D4569">
        <v>3.684857</v>
      </c>
      <c r="E4569">
        <v>0.46754899999999999</v>
      </c>
      <c r="F4569" t="s">
        <v>51</v>
      </c>
      <c r="G4569">
        <v>-400.92660000000001</v>
      </c>
      <c r="H4569" s="1">
        <v>-3.9604030000000001E-6</v>
      </c>
      <c r="I4569">
        <v>135.959</v>
      </c>
      <c r="J4569">
        <v>-385.5462</v>
      </c>
      <c r="K4569">
        <v>1.115097</v>
      </c>
      <c r="L4569">
        <v>141.01750000000001</v>
      </c>
      <c r="M4569">
        <v>-0.98951639999999996</v>
      </c>
      <c r="N4569">
        <v>0</v>
      </c>
      <c r="O4569">
        <v>-0.1436952</v>
      </c>
      <c r="P4569">
        <v>-0.96048800000000001</v>
      </c>
      <c r="Q4569">
        <v>0.16454569999999999</v>
      </c>
      <c r="R4569">
        <v>-0.2244727</v>
      </c>
      <c r="S4569">
        <v>-2.9376220000000002</v>
      </c>
      <c r="T4569">
        <v>-0.20782700000000001</v>
      </c>
      <c r="U4569">
        <v>-0.95353699999999997</v>
      </c>
      <c r="V4569">
        <v>-8.6363640000000005E-2</v>
      </c>
      <c r="W4569">
        <v>0.1776625</v>
      </c>
      <c r="X4569">
        <v>0.98029449999999996</v>
      </c>
      <c r="Y4569">
        <v>-0.1687854</v>
      </c>
      <c r="Z4569">
        <v>4.005265E-3</v>
      </c>
      <c r="AA4569">
        <v>0.98564470000000004</v>
      </c>
      <c r="AB4569">
        <v>41</v>
      </c>
      <c r="AC4569">
        <v>-15.3804</v>
      </c>
      <c r="AD4569">
        <v>-1.115100960403</v>
      </c>
      <c r="AE4569">
        <v>-5.0585000000000004</v>
      </c>
      <c r="AF4569">
        <v>-2.7824729093009402</v>
      </c>
      <c r="AG4569">
        <v>-1.115100960403</v>
      </c>
      <c r="AH4569">
        <v>15.8724180194003</v>
      </c>
      <c r="AI4569">
        <v>93.9584877687616</v>
      </c>
      <c r="AJ4569">
        <v>99.943055816053999</v>
      </c>
      <c r="AK4569">
        <v>16.152995370069</v>
      </c>
      <c r="AL4569">
        <v>79.766363189199197</v>
      </c>
      <c r="AM4569">
        <v>95.034741365882894</v>
      </c>
      <c r="AN4569">
        <v>0.999999974475274</v>
      </c>
    </row>
    <row r="4570" spans="1:40" x14ac:dyDescent="0.25">
      <c r="A4570" t="str">
        <f>"20190312173021883"</f>
        <v>20190312173021883</v>
      </c>
      <c r="B4570" t="str">
        <f>"1552383021872442"</f>
        <v>1552383021872442</v>
      </c>
      <c r="C4570" t="s">
        <v>40</v>
      </c>
      <c r="D4570">
        <v>3.6810710000000002</v>
      </c>
      <c r="E4570">
        <v>0.46779359999999998</v>
      </c>
      <c r="F4570" t="s">
        <v>51</v>
      </c>
      <c r="G4570">
        <v>-401.19959999999998</v>
      </c>
      <c r="H4570" s="1">
        <v>-4.0690810000000003E-6</v>
      </c>
      <c r="I4570">
        <v>135.87039999999999</v>
      </c>
      <c r="J4570">
        <v>-385.95710000000003</v>
      </c>
      <c r="K4570">
        <v>1.1152230000000001</v>
      </c>
      <c r="L4570">
        <v>140.95349999999999</v>
      </c>
      <c r="M4570">
        <v>-0.98873429999999995</v>
      </c>
      <c r="N4570">
        <v>0</v>
      </c>
      <c r="O4570">
        <v>-0.14897959999999999</v>
      </c>
      <c r="P4570">
        <v>-0.95941290000000001</v>
      </c>
      <c r="Q4570">
        <v>0.16398550000000001</v>
      </c>
      <c r="R4570">
        <v>-0.22942360000000001</v>
      </c>
      <c r="S4570">
        <v>-2.9337770000000001</v>
      </c>
      <c r="T4570">
        <v>-0.20899300000000001</v>
      </c>
      <c r="U4570">
        <v>-0.96467590000000003</v>
      </c>
      <c r="V4570">
        <v>-8.6215219999999995E-2</v>
      </c>
      <c r="W4570">
        <v>0.17708579999999999</v>
      </c>
      <c r="X4570">
        <v>0.9804119</v>
      </c>
      <c r="Y4570">
        <v>-0.1672941</v>
      </c>
      <c r="Z4570">
        <v>4.4405750000000004E-3</v>
      </c>
      <c r="AA4570">
        <v>0.98589700000000002</v>
      </c>
      <c r="AB4570">
        <v>41</v>
      </c>
      <c r="AC4570">
        <v>-15.2424999999999</v>
      </c>
      <c r="AD4570">
        <v>-1.11522706908099</v>
      </c>
      <c r="AE4570">
        <v>-5.0831</v>
      </c>
      <c r="AF4570">
        <v>-2.7420925707077699</v>
      </c>
      <c r="AG4570">
        <v>-1.11522706908099</v>
      </c>
      <c r="AH4570">
        <v>15.753826121556299</v>
      </c>
      <c r="AI4570">
        <v>93.989478464999806</v>
      </c>
      <c r="AJ4570">
        <v>99.873914570340801</v>
      </c>
      <c r="AK4570">
        <v>16.029530266048699</v>
      </c>
      <c r="AL4570">
        <v>79.799937992190905</v>
      </c>
      <c r="AM4570">
        <v>95.025534507798895</v>
      </c>
      <c r="AN4570">
        <v>0.99999996919144796</v>
      </c>
    </row>
    <row r="4571" spans="1:40" x14ac:dyDescent="0.25">
      <c r="A4571" t="str">
        <f>"20190312173021905"</f>
        <v>20190312173021905</v>
      </c>
      <c r="B4571" t="str">
        <f>"1552383021902698"</f>
        <v>1552383021902698</v>
      </c>
      <c r="C4571" t="s">
        <v>40</v>
      </c>
      <c r="D4571">
        <v>3.6990850000000002</v>
      </c>
      <c r="E4571">
        <v>0.47359790000000002</v>
      </c>
      <c r="F4571" t="s">
        <v>51</v>
      </c>
      <c r="G4571">
        <v>-401.44889999999998</v>
      </c>
      <c r="H4571" s="1">
        <v>-4.1608890000000002E-6</v>
      </c>
      <c r="I4571">
        <v>135.77549999999999</v>
      </c>
      <c r="J4571">
        <v>-386.34649999999999</v>
      </c>
      <c r="K4571">
        <v>1.115335</v>
      </c>
      <c r="L4571">
        <v>140.8905</v>
      </c>
      <c r="M4571">
        <v>-0.98795010000000005</v>
      </c>
      <c r="N4571">
        <v>0</v>
      </c>
      <c r="O4571">
        <v>-0.15409389999999901</v>
      </c>
      <c r="P4571">
        <v>-0.9582292</v>
      </c>
      <c r="Q4571">
        <v>0.16347349999999999</v>
      </c>
      <c r="R4571">
        <v>-0.23467689999999999</v>
      </c>
      <c r="S4571">
        <v>-2.928833</v>
      </c>
      <c r="T4571">
        <v>-0.21084059999999999</v>
      </c>
      <c r="U4571">
        <v>-0.97892760000000001</v>
      </c>
      <c r="V4571">
        <v>-8.6542930000000004E-2</v>
      </c>
      <c r="W4571">
        <v>0.1765526</v>
      </c>
      <c r="X4571">
        <v>0.9804792</v>
      </c>
      <c r="Y4571">
        <v>-0.16701930000000001</v>
      </c>
      <c r="Z4571">
        <v>4.8427959999999999E-3</v>
      </c>
      <c r="AA4571">
        <v>0.98594170000000003</v>
      </c>
      <c r="AB4571">
        <v>41</v>
      </c>
      <c r="AC4571">
        <v>-15.1023999999999</v>
      </c>
      <c r="AD4571">
        <v>-1.115339160889</v>
      </c>
      <c r="AE4571">
        <v>-5.1150000000000002</v>
      </c>
      <c r="AF4571">
        <v>-2.71318771914813</v>
      </c>
      <c r="AG4571">
        <v>-1.115339160889</v>
      </c>
      <c r="AH4571">
        <v>15.633761596294301</v>
      </c>
      <c r="AI4571">
        <v>94.020765851771202</v>
      </c>
      <c r="AJ4571">
        <v>99.845431915548303</v>
      </c>
      <c r="AK4571">
        <v>15.9065983382028</v>
      </c>
      <c r="AL4571">
        <v>79.830977292672898</v>
      </c>
      <c r="AM4571">
        <v>95.044194061468403</v>
      </c>
      <c r="AN4571">
        <v>0.99999998046619198</v>
      </c>
    </row>
    <row r="4572" spans="1:40" x14ac:dyDescent="0.25">
      <c r="A4572" t="str">
        <f>"20190312173021928"</f>
        <v>20190312173021928</v>
      </c>
      <c r="B4572" t="str">
        <f>"1552383021922219"</f>
        <v>1552383021922219</v>
      </c>
      <c r="C4572" t="s">
        <v>40</v>
      </c>
      <c r="D4572">
        <v>3.680037</v>
      </c>
      <c r="E4572">
        <v>0.47410720000000001</v>
      </c>
      <c r="F4572" t="s">
        <v>51</v>
      </c>
      <c r="G4572">
        <v>-401.9024</v>
      </c>
      <c r="H4572" s="1">
        <v>-4.452418E-6</v>
      </c>
      <c r="I4572">
        <v>135.8528</v>
      </c>
      <c r="J4572">
        <v>-386.74439999999998</v>
      </c>
      <c r="K4572">
        <v>1.1154409999999999</v>
      </c>
      <c r="L4572">
        <v>140.82390000000001</v>
      </c>
      <c r="M4572">
        <v>-0.98710529999999996</v>
      </c>
      <c r="N4572">
        <v>0</v>
      </c>
      <c r="O4572">
        <v>-0.1594169</v>
      </c>
      <c r="P4572">
        <v>-0.95701340000000001</v>
      </c>
      <c r="Q4572">
        <v>0.16256909999999999</v>
      </c>
      <c r="R4572">
        <v>-0.2402022</v>
      </c>
      <c r="S4572">
        <v>-2.9339599999999999</v>
      </c>
      <c r="T4572">
        <v>-0.21036150000000001</v>
      </c>
      <c r="U4572">
        <v>-0.95014949999999998</v>
      </c>
      <c r="V4572">
        <v>-8.6926879999999998E-2</v>
      </c>
      <c r="W4572">
        <v>0.17562739999999999</v>
      </c>
      <c r="X4572">
        <v>0.98061140000000002</v>
      </c>
      <c r="Y4572">
        <v>-0.15248699999999901</v>
      </c>
      <c r="Z4572">
        <v>5.7040540000000001E-3</v>
      </c>
      <c r="AA4572">
        <v>0.98828899999999997</v>
      </c>
      <c r="AB4572">
        <v>40</v>
      </c>
      <c r="AC4572">
        <v>-15.157999999999999</v>
      </c>
      <c r="AD4572">
        <v>-1.115445452418</v>
      </c>
      <c r="AE4572">
        <v>-4.9710999999999999</v>
      </c>
      <c r="AF4572">
        <v>-2.4786994073584698</v>
      </c>
      <c r="AG4572">
        <v>-1.115445452418</v>
      </c>
      <c r="AH4572">
        <v>15.680004567620299</v>
      </c>
      <c r="AI4572">
        <v>94.019313559301096</v>
      </c>
      <c r="AJ4572">
        <v>98.982998195530996</v>
      </c>
      <c r="AK4572">
        <v>15.9138528505812</v>
      </c>
      <c r="AL4572">
        <v>79.884828948819404</v>
      </c>
      <c r="AM4572">
        <v>95.0657770690772</v>
      </c>
      <c r="AN4572">
        <v>0.99999999195362699</v>
      </c>
    </row>
    <row r="4573" spans="1:40" x14ac:dyDescent="0.25">
      <c r="A4573" t="str">
        <f>"20190312173021950"</f>
        <v>20190312173021950</v>
      </c>
      <c r="B4573" t="str">
        <f>"1552383021942715"</f>
        <v>1552383021942715</v>
      </c>
      <c r="C4573" t="s">
        <v>40</v>
      </c>
      <c r="D4573">
        <v>3.7542499999999999</v>
      </c>
      <c r="E4573">
        <v>0.47429890000000002</v>
      </c>
      <c r="F4573" t="s">
        <v>51</v>
      </c>
      <c r="G4573">
        <v>-402.01990000000001</v>
      </c>
      <c r="H4573" s="1">
        <v>-4.4803979999999999E-6</v>
      </c>
      <c r="I4573">
        <v>135.80109999999999</v>
      </c>
      <c r="J4573">
        <v>-387.14479999999998</v>
      </c>
      <c r="K4573">
        <v>1.1155409999999999</v>
      </c>
      <c r="L4573">
        <v>140.75460000000001</v>
      </c>
      <c r="M4573">
        <v>-0.98621190000000003</v>
      </c>
      <c r="N4573">
        <v>0</v>
      </c>
      <c r="O4573">
        <v>-0.1648521</v>
      </c>
      <c r="P4573">
        <v>-0.95562150000000001</v>
      </c>
      <c r="Q4573">
        <v>0.1621889</v>
      </c>
      <c r="R4573">
        <v>-0.2459316</v>
      </c>
      <c r="S4573">
        <v>-2.9293209999999998</v>
      </c>
      <c r="T4573">
        <v>-0.2139047</v>
      </c>
      <c r="U4573">
        <v>-0.96321109999999999</v>
      </c>
      <c r="V4573">
        <v>-8.7427009999999999E-2</v>
      </c>
      <c r="W4573">
        <v>0.17522509999999999</v>
      </c>
      <c r="X4573">
        <v>0.98063889999999998</v>
      </c>
      <c r="Y4573">
        <v>-0.15149860000000001</v>
      </c>
      <c r="Z4573">
        <v>6.2162750000000003E-3</v>
      </c>
      <c r="AA4573">
        <v>0.98843800000000004</v>
      </c>
      <c r="AB4573">
        <v>40</v>
      </c>
      <c r="AC4573">
        <v>-14.8751</v>
      </c>
      <c r="AD4573">
        <v>-1.1155454803979901</v>
      </c>
      <c r="AE4573">
        <v>-4.9535000000000204</v>
      </c>
      <c r="AF4573">
        <v>-2.42100768179791</v>
      </c>
      <c r="AG4573">
        <v>-1.1155454803979901</v>
      </c>
      <c r="AH4573">
        <v>15.4102035860426</v>
      </c>
      <c r="AI4573">
        <v>94.090424070165597</v>
      </c>
      <c r="AJ4573">
        <v>98.928428484033802</v>
      </c>
      <c r="AK4573">
        <v>15.6390567003717</v>
      </c>
      <c r="AL4573">
        <v>79.908242048051093</v>
      </c>
      <c r="AM4573">
        <v>95.094627719096493</v>
      </c>
      <c r="AN4573">
        <v>0.99999998497037901</v>
      </c>
    </row>
    <row r="4574" spans="1:40" x14ac:dyDescent="0.25">
      <c r="A4574" t="str">
        <f>"20190312173021971"</f>
        <v>20190312173021971</v>
      </c>
      <c r="B4574" t="str">
        <f>"1552383021962235"</f>
        <v>1552383021962235</v>
      </c>
      <c r="C4574" t="s">
        <v>40</v>
      </c>
      <c r="D4574">
        <v>3.6254080000000002</v>
      </c>
      <c r="E4574">
        <v>0.47508270000000002</v>
      </c>
      <c r="F4574" t="s">
        <v>51</v>
      </c>
      <c r="G4574">
        <v>-402.2654</v>
      </c>
      <c r="H4574" s="1">
        <v>-4.5383630000000001E-6</v>
      </c>
      <c r="I4574">
        <v>135.69200000000001</v>
      </c>
      <c r="J4574">
        <v>-387.53640000000001</v>
      </c>
      <c r="K4574">
        <v>1.1156239999999999</v>
      </c>
      <c r="L4574">
        <v>140.68459999999999</v>
      </c>
      <c r="M4574">
        <v>-0.98529619999999996</v>
      </c>
      <c r="N4574">
        <v>0</v>
      </c>
      <c r="O4574">
        <v>-0.17024029999999901</v>
      </c>
      <c r="P4574">
        <v>-0.95425530000000003</v>
      </c>
      <c r="Q4574">
        <v>0.16217319999999999</v>
      </c>
      <c r="R4574">
        <v>-0.25119079999999999</v>
      </c>
      <c r="S4574">
        <v>-2.9239809999999999</v>
      </c>
      <c r="T4574">
        <v>-0.215721</v>
      </c>
      <c r="U4574">
        <v>-0.97898859999999999</v>
      </c>
      <c r="V4574">
        <v>-8.750513E-2</v>
      </c>
      <c r="W4574">
        <v>0.17519509999999999</v>
      </c>
      <c r="X4574">
        <v>0.98063730000000005</v>
      </c>
      <c r="Y4574">
        <v>-0.15144839999999901</v>
      </c>
      <c r="Z4574">
        <v>6.6522730000000002E-3</v>
      </c>
      <c r="AA4574">
        <v>0.98844279999999995</v>
      </c>
      <c r="AB4574">
        <v>40</v>
      </c>
      <c r="AC4574">
        <v>-14.7289999999999</v>
      </c>
      <c r="AD4574">
        <v>-1.115628538363</v>
      </c>
      <c r="AE4574">
        <v>-4.9925999999999799</v>
      </c>
      <c r="AF4574">
        <v>-2.3996251242995901</v>
      </c>
      <c r="AG4574">
        <v>-1.115628538363</v>
      </c>
      <c r="AH4574">
        <v>15.2853238107907</v>
      </c>
      <c r="AI4574">
        <v>94.1241063019488</v>
      </c>
      <c r="AJ4574">
        <v>98.921977550547794</v>
      </c>
      <c r="AK4574">
        <v>15.5127029164329</v>
      </c>
      <c r="AL4574">
        <v>79.909988005096295</v>
      </c>
      <c r="AM4574">
        <v>95.099164287167994</v>
      </c>
      <c r="AN4574">
        <v>0.99999999249580795</v>
      </c>
    </row>
    <row r="4575" spans="1:40" x14ac:dyDescent="0.25">
      <c r="A4575" t="str">
        <f>"20190312173021994"</f>
        <v>20190312173021994</v>
      </c>
      <c r="B4575" t="str">
        <f>"1552383021982731"</f>
        <v>1552383021982731</v>
      </c>
      <c r="C4575" t="s">
        <v>40</v>
      </c>
      <c r="D4575">
        <v>3.6304720000000001</v>
      </c>
      <c r="E4575">
        <v>0.47568630000000001</v>
      </c>
      <c r="F4575" t="s">
        <v>51</v>
      </c>
      <c r="G4575">
        <v>-402.16919999999999</v>
      </c>
      <c r="H4575" s="1">
        <v>-4.5108699999999999E-6</v>
      </c>
      <c r="I4575">
        <v>135.72450000000001</v>
      </c>
      <c r="J4575">
        <v>-387.92469999999997</v>
      </c>
      <c r="K4575">
        <v>1.1157079999999999</v>
      </c>
      <c r="L4575">
        <v>140.613</v>
      </c>
      <c r="M4575">
        <v>-0.9843459</v>
      </c>
      <c r="N4575">
        <v>0</v>
      </c>
      <c r="O4575">
        <v>-0.17565069999999999</v>
      </c>
      <c r="P4575">
        <v>-0.95269009999999998</v>
      </c>
      <c r="Q4575">
        <v>0.16227159999999999</v>
      </c>
      <c r="R4575">
        <v>-0.25700099999999998</v>
      </c>
      <c r="S4575">
        <v>-2.9210210000000001</v>
      </c>
      <c r="T4575">
        <v>-0.2227037</v>
      </c>
      <c r="U4575">
        <v>-0.99014279999999999</v>
      </c>
      <c r="V4575">
        <v>-8.813377E-2</v>
      </c>
      <c r="W4575">
        <v>0.17527019999999999</v>
      </c>
      <c r="X4575">
        <v>0.98056759999999998</v>
      </c>
      <c r="Y4575">
        <v>-0.14972939999999901</v>
      </c>
      <c r="Z4575">
        <v>7.3228109999999898E-3</v>
      </c>
      <c r="AA4575">
        <v>0.98869989999999996</v>
      </c>
      <c r="AB4575">
        <v>40</v>
      </c>
      <c r="AC4575">
        <v>-14.2445</v>
      </c>
      <c r="AD4575">
        <v>-1.1157125108699999</v>
      </c>
      <c r="AE4575">
        <v>-4.8884999999999899</v>
      </c>
      <c r="AF4575">
        <v>-2.2975509347011398</v>
      </c>
      <c r="AG4575">
        <v>-1.1157125108699999</v>
      </c>
      <c r="AH4575">
        <v>14.800513200222699</v>
      </c>
      <c r="AI4575">
        <v>94.260161725584595</v>
      </c>
      <c r="AJ4575">
        <v>98.823855683378198</v>
      </c>
      <c r="AK4575">
        <v>15.019279133647601</v>
      </c>
      <c r="AL4575">
        <v>79.905617658680995</v>
      </c>
      <c r="AM4575">
        <v>95.135964760717897</v>
      </c>
      <c r="AN4575">
        <v>1.0000000112961001</v>
      </c>
    </row>
    <row r="4576" spans="1:40" x14ac:dyDescent="0.25">
      <c r="A4576" t="str">
        <f>"20190312173022016"</f>
        <v>20190312173022016</v>
      </c>
      <c r="B4576" t="str">
        <f>"1552383022012014"</f>
        <v>1552383022012014</v>
      </c>
      <c r="C4576" t="s">
        <v>40</v>
      </c>
      <c r="D4576">
        <v>3.7348690000000002</v>
      </c>
      <c r="E4576">
        <v>0.47615229999999997</v>
      </c>
      <c r="F4576" t="s">
        <v>51</v>
      </c>
      <c r="G4576">
        <v>-402.45870000000002</v>
      </c>
      <c r="H4576" s="1">
        <v>-4.5873129999999998E-6</v>
      </c>
      <c r="I4576">
        <v>135.61340000000001</v>
      </c>
      <c r="J4576">
        <v>-388.31720000000001</v>
      </c>
      <c r="K4576">
        <v>1.1157859999999999</v>
      </c>
      <c r="L4576">
        <v>140.53829999999999</v>
      </c>
      <c r="M4576">
        <v>-0.98334160000000004</v>
      </c>
      <c r="N4576">
        <v>0</v>
      </c>
      <c r="O4576">
        <v>-0.1811885</v>
      </c>
      <c r="P4576">
        <v>-0.95089829999999997</v>
      </c>
      <c r="Q4576">
        <v>0.1628896</v>
      </c>
      <c r="R4576">
        <v>-0.26317220000000002</v>
      </c>
      <c r="S4576">
        <v>-2.9164729999999999</v>
      </c>
      <c r="T4576">
        <v>-0.22388520000000001</v>
      </c>
      <c r="U4576">
        <v>-1.0032650000000001</v>
      </c>
      <c r="V4576">
        <v>-8.9035030000000001E-2</v>
      </c>
      <c r="W4576">
        <v>0.17586070000000001</v>
      </c>
      <c r="X4576">
        <v>0.98038040000000004</v>
      </c>
      <c r="Y4576">
        <v>-0.1486336</v>
      </c>
      <c r="Z4576">
        <v>7.8083789999999998E-3</v>
      </c>
      <c r="AA4576">
        <v>0.98886149999999995</v>
      </c>
      <c r="AB4576">
        <v>40</v>
      </c>
      <c r="AC4576">
        <v>-14.141500000000001</v>
      </c>
      <c r="AD4576">
        <v>-1.1157905873130001</v>
      </c>
      <c r="AE4576">
        <v>-4.9248999999999796</v>
      </c>
      <c r="AF4576">
        <v>-2.2682279292272902</v>
      </c>
      <c r="AG4576">
        <v>-1.1157905873130001</v>
      </c>
      <c r="AH4576">
        <v>14.718098096321</v>
      </c>
      <c r="AI4576">
        <v>94.284951099981399</v>
      </c>
      <c r="AJ4576">
        <v>98.761012431593898</v>
      </c>
      <c r="AK4576">
        <v>14.9335949505332</v>
      </c>
      <c r="AL4576">
        <v>79.871250338977504</v>
      </c>
      <c r="AM4576">
        <v>95.189185445894594</v>
      </c>
      <c r="AN4576">
        <v>0.99999997553787501</v>
      </c>
    </row>
    <row r="4577" spans="1:40" x14ac:dyDescent="0.25">
      <c r="A4577" t="str">
        <f>"20190312173022039"</f>
        <v>20190312173022039</v>
      </c>
      <c r="B4577" t="str">
        <f>"1552383022032523"</f>
        <v>1552383022032523</v>
      </c>
      <c r="C4577" t="s">
        <v>40</v>
      </c>
      <c r="D4577">
        <v>3.6601129999999999</v>
      </c>
      <c r="E4577">
        <v>0.47662310000000002</v>
      </c>
      <c r="F4577" t="s">
        <v>51</v>
      </c>
      <c r="G4577">
        <v>-402.76280000000003</v>
      </c>
      <c r="H4577" s="1">
        <v>-4.6617770000000004E-6</v>
      </c>
      <c r="I4577">
        <v>135.48390000000001</v>
      </c>
      <c r="J4577">
        <v>-388.71289999999999</v>
      </c>
      <c r="K4577">
        <v>1.115861</v>
      </c>
      <c r="L4577">
        <v>140.4607</v>
      </c>
      <c r="M4577">
        <v>-0.9822843</v>
      </c>
      <c r="N4577">
        <v>0</v>
      </c>
      <c r="O4577">
        <v>-0.18683520000000001</v>
      </c>
      <c r="P4577">
        <v>-0.94920910000000003</v>
      </c>
      <c r="Q4577">
        <v>0.16268560000000001</v>
      </c>
      <c r="R4577">
        <v>-0.26932420000000001</v>
      </c>
      <c r="S4577">
        <v>-2.9114990000000001</v>
      </c>
      <c r="T4577">
        <v>-0.22488620000000001</v>
      </c>
      <c r="U4577">
        <v>-1.018707</v>
      </c>
      <c r="V4577">
        <v>-8.9775450000000007E-2</v>
      </c>
      <c r="W4577">
        <v>0.17563399999999901</v>
      </c>
      <c r="X4577">
        <v>0.98035349999999999</v>
      </c>
      <c r="Y4577">
        <v>-0.1481682</v>
      </c>
      <c r="Z4577">
        <v>8.2760890000000004E-3</v>
      </c>
      <c r="AA4577">
        <v>0.98892749999999996</v>
      </c>
      <c r="AB4577">
        <v>40</v>
      </c>
      <c r="AC4577">
        <v>-14.049899999999999</v>
      </c>
      <c r="AD4577">
        <v>-1.115865661777</v>
      </c>
      <c r="AE4577">
        <v>-4.9767999999999901</v>
      </c>
      <c r="AF4577">
        <v>-2.2512373234879499</v>
      </c>
      <c r="AG4577">
        <v>-1.115865661777</v>
      </c>
      <c r="AH4577">
        <v>14.650277360142599</v>
      </c>
      <c r="AI4577">
        <v>94.305289403396998</v>
      </c>
      <c r="AJ4577">
        <v>98.736031992680495</v>
      </c>
      <c r="AK4577">
        <v>14.8641801789034</v>
      </c>
      <c r="AL4577">
        <v>79.884444490803304</v>
      </c>
      <c r="AM4577">
        <v>95.232243230402503</v>
      </c>
      <c r="AN4577">
        <v>0.99999995917047502</v>
      </c>
    </row>
    <row r="4578" spans="1:40" x14ac:dyDescent="0.25">
      <c r="A4578" t="str">
        <f>"20190312173022061"</f>
        <v>20190312173022061</v>
      </c>
      <c r="B4578" t="str">
        <f>"1552383022052026"</f>
        <v>1552383022052026</v>
      </c>
      <c r="C4578" t="s">
        <v>40</v>
      </c>
      <c r="D4578">
        <v>3.5454560000000002</v>
      </c>
      <c r="E4578">
        <v>0.47641280000000003</v>
      </c>
      <c r="F4578" t="s">
        <v>51</v>
      </c>
      <c r="G4578">
        <v>-402.94229999999999</v>
      </c>
      <c r="H4578" s="1">
        <v>-4.7011239999999996E-6</v>
      </c>
      <c r="I4578">
        <v>135.39779999999999</v>
      </c>
      <c r="J4578">
        <v>-389.10899999999998</v>
      </c>
      <c r="K4578">
        <v>1.115936</v>
      </c>
      <c r="L4578">
        <v>140.38059999999999</v>
      </c>
      <c r="M4578">
        <v>-0.98117960000000004</v>
      </c>
      <c r="N4578">
        <v>0</v>
      </c>
      <c r="O4578">
        <v>-0.19255230000000001</v>
      </c>
      <c r="P4578">
        <v>-0.94740380000000002</v>
      </c>
      <c r="Q4578">
        <v>0.16268199999999999</v>
      </c>
      <c r="R4578">
        <v>-0.27560959999999901</v>
      </c>
      <c r="S4578">
        <v>-2.9061889999999999</v>
      </c>
      <c r="T4578">
        <v>-0.22790299999999999</v>
      </c>
      <c r="U4578">
        <v>-1.0340419999999999</v>
      </c>
      <c r="V4578">
        <v>-9.0597709999999998E-2</v>
      </c>
      <c r="W4578">
        <v>0.17560539999999999</v>
      </c>
      <c r="X4578">
        <v>0.98028300000000002</v>
      </c>
      <c r="Y4578">
        <v>-0.14763080000000001</v>
      </c>
      <c r="Z4578">
        <v>8.8342079999999996E-3</v>
      </c>
      <c r="AA4578">
        <v>0.98900310000000002</v>
      </c>
      <c r="AB4578">
        <v>40</v>
      </c>
      <c r="AC4578">
        <v>-13.8332999999999</v>
      </c>
      <c r="AD4578">
        <v>-1.1159407011239999</v>
      </c>
      <c r="AE4578">
        <v>-4.9827999999999903</v>
      </c>
      <c r="AF4578">
        <v>-2.21287495136604</v>
      </c>
      <c r="AG4578">
        <v>-1.1159407011239999</v>
      </c>
      <c r="AH4578">
        <v>14.4506878146614</v>
      </c>
      <c r="AI4578">
        <v>94.365164115190098</v>
      </c>
      <c r="AJ4578">
        <v>98.706233418326704</v>
      </c>
      <c r="AK4578">
        <v>14.6616683060152</v>
      </c>
      <c r="AL4578">
        <v>79.8861092414826</v>
      </c>
      <c r="AM4578">
        <v>95.280273683271403</v>
      </c>
      <c r="AN4578">
        <v>0.99999998082770103</v>
      </c>
    </row>
    <row r="4579" spans="1:40" x14ac:dyDescent="0.25">
      <c r="A4579" t="str">
        <f>"20190312173022084"</f>
        <v>20190312173022084</v>
      </c>
      <c r="B4579" t="str">
        <f>"1552383022072526"</f>
        <v>1552383022072526</v>
      </c>
      <c r="C4579" t="s">
        <v>40</v>
      </c>
      <c r="D4579">
        <v>3.5236040000000002</v>
      </c>
      <c r="E4579">
        <v>0.44969219999999999</v>
      </c>
      <c r="F4579" t="s">
        <v>51</v>
      </c>
      <c r="G4579">
        <v>-403.33640000000003</v>
      </c>
      <c r="H4579" s="1">
        <v>-4.7847379999999999E-6</v>
      </c>
      <c r="I4579">
        <v>135.20249999999999</v>
      </c>
      <c r="J4579">
        <v>-389.4982</v>
      </c>
      <c r="K4579">
        <v>1.115999</v>
      </c>
      <c r="L4579">
        <v>140.29939999999999</v>
      </c>
      <c r="M4579">
        <v>-0.98004760000000002</v>
      </c>
      <c r="N4579">
        <v>0</v>
      </c>
      <c r="O4579">
        <v>-0.1982334</v>
      </c>
      <c r="P4579">
        <v>-0.94565449999999995</v>
      </c>
      <c r="Q4579">
        <v>0.1622054</v>
      </c>
      <c r="R4579">
        <v>-0.28182829999999998</v>
      </c>
      <c r="S4579">
        <v>-2.898682</v>
      </c>
      <c r="T4579">
        <v>-0.22736049999999999</v>
      </c>
      <c r="U4579">
        <v>-1.0549770000000001</v>
      </c>
      <c r="V4579">
        <v>-9.1367829999999997E-2</v>
      </c>
      <c r="W4579">
        <v>0.17510680000000001</v>
      </c>
      <c r="X4579">
        <v>0.98030070000000002</v>
      </c>
      <c r="Y4579">
        <v>-0.14904200000000001</v>
      </c>
      <c r="Z4579">
        <v>9.1857439999999992E-3</v>
      </c>
      <c r="AA4579">
        <v>0.98878820000000001</v>
      </c>
      <c r="AB4579">
        <v>40</v>
      </c>
      <c r="AC4579">
        <v>-13.838200000000001</v>
      </c>
      <c r="AD4579">
        <v>-1.116003784738</v>
      </c>
      <c r="AE4579">
        <v>-5.0968999999999998</v>
      </c>
      <c r="AF4579">
        <v>-2.23942285325229</v>
      </c>
      <c r="AG4579">
        <v>-1.116003784738</v>
      </c>
      <c r="AH4579">
        <v>14.491013116992001</v>
      </c>
      <c r="AI4579">
        <v>94.352392590726694</v>
      </c>
      <c r="AJ4579">
        <v>98.784922763641106</v>
      </c>
      <c r="AK4579">
        <v>14.7054391406735</v>
      </c>
      <c r="AL4579">
        <v>79.915126398998893</v>
      </c>
      <c r="AM4579">
        <v>95.324805786587007</v>
      </c>
      <c r="AN4579">
        <v>0.99999996709281902</v>
      </c>
    </row>
    <row r="4580" spans="1:40" x14ac:dyDescent="0.25">
      <c r="A4580" t="str">
        <f>"20190312173022106"</f>
        <v>20190312173022106</v>
      </c>
      <c r="B4580" t="str">
        <f>"1552383022102779"</f>
        <v>1552383022102779</v>
      </c>
      <c r="C4580" t="s">
        <v>40</v>
      </c>
      <c r="D4580">
        <v>3.515053</v>
      </c>
      <c r="E4580">
        <v>0.44543969999999999</v>
      </c>
      <c r="F4580" t="s">
        <v>51</v>
      </c>
      <c r="G4580">
        <v>-402.3954</v>
      </c>
      <c r="H4580" s="1">
        <v>-4.0118329999999997E-6</v>
      </c>
      <c r="I4580">
        <v>134.47669999999999</v>
      </c>
      <c r="J4580">
        <v>-389.88470000000001</v>
      </c>
      <c r="K4580">
        <v>1.1160639999999999</v>
      </c>
      <c r="L4580">
        <v>140.21639999999999</v>
      </c>
      <c r="M4580">
        <v>-0.97887670000000004</v>
      </c>
      <c r="N4580">
        <v>0</v>
      </c>
      <c r="O4580">
        <v>-0.20393549999999999</v>
      </c>
      <c r="P4580">
        <v>-0.94385469999999905</v>
      </c>
      <c r="Q4580">
        <v>0.16210189999999999</v>
      </c>
      <c r="R4580">
        <v>-0.28785650000000002</v>
      </c>
      <c r="S4580">
        <v>-2.8332820000000001</v>
      </c>
      <c r="T4580">
        <v>-0.2451662</v>
      </c>
      <c r="U4580">
        <v>-1.2791440000000001</v>
      </c>
      <c r="V4580">
        <v>-9.1940129999999995E-2</v>
      </c>
      <c r="W4580">
        <v>0.17498429999999901</v>
      </c>
      <c r="X4580">
        <v>0.9802691</v>
      </c>
      <c r="Y4580">
        <v>-0.21689339999999999</v>
      </c>
      <c r="Z4580">
        <v>7.599275E-3</v>
      </c>
      <c r="AA4580">
        <v>0.97616570000000003</v>
      </c>
      <c r="AB4580">
        <v>40</v>
      </c>
      <c r="AC4580">
        <v>-12.5106999999999</v>
      </c>
      <c r="AD4580">
        <v>-1.116068011833</v>
      </c>
      <c r="AE4580">
        <v>-5.7396999999999903</v>
      </c>
      <c r="AF4580">
        <v>-3.0473711279480802</v>
      </c>
      <c r="AG4580">
        <v>-1.116068011833</v>
      </c>
      <c r="AH4580">
        <v>13.330732843638</v>
      </c>
      <c r="AI4580">
        <v>94.665915491099298</v>
      </c>
      <c r="AJ4580">
        <v>102.876416782871</v>
      </c>
      <c r="AK4580">
        <v>13.720077140706501</v>
      </c>
      <c r="AL4580">
        <v>79.922255539529004</v>
      </c>
      <c r="AM4580">
        <v>95.358136940567107</v>
      </c>
      <c r="AN4580">
        <v>1.00000000058285</v>
      </c>
    </row>
    <row r="4581" spans="1:40" x14ac:dyDescent="0.25">
      <c r="A4581" t="str">
        <f>"20190312173022129"</f>
        <v>20190312173022129</v>
      </c>
      <c r="B4581" t="str">
        <f>"1552383022122299"</f>
        <v>1552383022122299</v>
      </c>
      <c r="C4581" t="s">
        <v>40</v>
      </c>
      <c r="D4581">
        <v>3.468601</v>
      </c>
      <c r="E4581">
        <v>0.44422810000000001</v>
      </c>
      <c r="F4581" t="s">
        <v>51</v>
      </c>
      <c r="G4581">
        <v>-403.15140000000002</v>
      </c>
      <c r="H4581" s="1">
        <v>-4.1173380000000002E-6</v>
      </c>
      <c r="I4581">
        <v>133.94880000000001</v>
      </c>
      <c r="J4581">
        <v>-390.27890000000002</v>
      </c>
      <c r="K4581">
        <v>1.1161190000000001</v>
      </c>
      <c r="L4581">
        <v>140.12909999999999</v>
      </c>
      <c r="M4581">
        <v>-0.97763500000000003</v>
      </c>
      <c r="N4581">
        <v>0</v>
      </c>
      <c r="O4581">
        <v>-0.2098073</v>
      </c>
      <c r="P4581">
        <v>-0.94177449999999996</v>
      </c>
      <c r="Q4581">
        <v>0.1623107</v>
      </c>
      <c r="R4581">
        <v>-0.29447600000000002</v>
      </c>
      <c r="S4581">
        <v>-2.8136899999999998</v>
      </c>
      <c r="T4581">
        <v>-0.23670260000000001</v>
      </c>
      <c r="U4581">
        <v>-1.3292539999999999</v>
      </c>
      <c r="V4581">
        <v>-9.2977530000000003E-2</v>
      </c>
      <c r="W4581">
        <v>0.17516599999999999</v>
      </c>
      <c r="X4581">
        <v>0.98013879999999998</v>
      </c>
      <c r="Y4581">
        <v>-0.22786509999999999</v>
      </c>
      <c r="Z4581">
        <v>7.3633559999999997E-3</v>
      </c>
      <c r="AA4581">
        <v>0.97366490000000006</v>
      </c>
      <c r="AB4581">
        <v>40</v>
      </c>
      <c r="AC4581">
        <v>-12.8725</v>
      </c>
      <c r="AD4581">
        <v>-1.116123117338</v>
      </c>
      <c r="AE4581">
        <v>-6.1802999999999804</v>
      </c>
      <c r="AF4581">
        <v>-3.32139281938466</v>
      </c>
      <c r="AG4581">
        <v>-1.116123117338</v>
      </c>
      <c r="AH4581">
        <v>13.7984383393991</v>
      </c>
      <c r="AI4581">
        <v>94.496569566641</v>
      </c>
      <c r="AJ4581">
        <v>103.534076634249</v>
      </c>
      <c r="AK4581">
        <v>14.2363717877806</v>
      </c>
      <c r="AL4581">
        <v>79.911681657517903</v>
      </c>
      <c r="AM4581">
        <v>95.418953308578594</v>
      </c>
      <c r="AN4581">
        <v>1.0000000079531699</v>
      </c>
    </row>
    <row r="4582" spans="1:40" x14ac:dyDescent="0.25">
      <c r="A4582" t="str">
        <f>"20190312173022150"</f>
        <v>20190312173022150</v>
      </c>
      <c r="B4582" t="str">
        <f>"1552383022142799"</f>
        <v>1552383022142799</v>
      </c>
      <c r="C4582" t="s">
        <v>40</v>
      </c>
      <c r="D4582">
        <v>3.4355579999999999</v>
      </c>
      <c r="E4582">
        <v>0.44351810000000003</v>
      </c>
      <c r="F4582" t="s">
        <v>51</v>
      </c>
      <c r="G4582">
        <v>-403.62599999999998</v>
      </c>
      <c r="H4582" s="1">
        <v>-4.1912300000000002E-6</v>
      </c>
      <c r="I4582">
        <v>133.65629999999999</v>
      </c>
      <c r="J4582">
        <v>-390.6626</v>
      </c>
      <c r="K4582">
        <v>1.1161779999999999</v>
      </c>
      <c r="L4582">
        <v>140.04179999999999</v>
      </c>
      <c r="M4582">
        <v>-0.97637960000000001</v>
      </c>
      <c r="N4582">
        <v>0</v>
      </c>
      <c r="O4582">
        <v>-0.21557419999999999</v>
      </c>
      <c r="P4582">
        <v>-0.93984109999999998</v>
      </c>
      <c r="Q4582">
        <v>0.16223399999999999</v>
      </c>
      <c r="R4582">
        <v>-0.30063069999999997</v>
      </c>
      <c r="S4582">
        <v>-2.8011170000000001</v>
      </c>
      <c r="T4582">
        <v>-0.23423730000000001</v>
      </c>
      <c r="U4582">
        <v>-1.3584290000000001</v>
      </c>
      <c r="V4582">
        <v>-9.3625029999999998E-2</v>
      </c>
      <c r="W4582">
        <v>0.17507020000000001</v>
      </c>
      <c r="X4582">
        <v>0.98009429999999997</v>
      </c>
      <c r="Y4582">
        <v>-0.23205129999999999</v>
      </c>
      <c r="Z4582">
        <v>7.5682290000000001E-3</v>
      </c>
      <c r="AA4582">
        <v>0.97267409999999999</v>
      </c>
      <c r="AB4582">
        <v>40</v>
      </c>
      <c r="AC4582">
        <v>-12.963399999999901</v>
      </c>
      <c r="AD4582">
        <v>-1.1161821912300001</v>
      </c>
      <c r="AE4582">
        <v>-6.3855000000000004</v>
      </c>
      <c r="AF4582">
        <v>-3.4200553989453799</v>
      </c>
      <c r="AG4582">
        <v>-1.1161821912300001</v>
      </c>
      <c r="AH4582">
        <v>13.9519879655099</v>
      </c>
      <c r="AI4582">
        <v>94.443024957916407</v>
      </c>
      <c r="AJ4582">
        <v>103.773344926474</v>
      </c>
      <c r="AK4582">
        <v>14.408352085009801</v>
      </c>
      <c r="AL4582">
        <v>79.917256957266801</v>
      </c>
      <c r="AM4582">
        <v>95.4567104305263</v>
      </c>
      <c r="AN4582">
        <v>1.0000000290315101</v>
      </c>
    </row>
    <row r="4583" spans="1:40" x14ac:dyDescent="0.25">
      <c r="A4583" t="str">
        <f>"20190312173022173"</f>
        <v>20190312173022173</v>
      </c>
      <c r="B4583" t="str">
        <f>"1552383022162314"</f>
        <v>1552383022162314</v>
      </c>
      <c r="C4583" t="s">
        <v>40</v>
      </c>
      <c r="D4583">
        <v>3.5609280000000001</v>
      </c>
      <c r="E4583">
        <v>0.44345059999999897</v>
      </c>
      <c r="F4583" t="s">
        <v>51</v>
      </c>
      <c r="G4583">
        <v>-404.00639999999999</v>
      </c>
      <c r="H4583" s="1">
        <v>-4.2562489999999999E-6</v>
      </c>
      <c r="I4583">
        <v>133.4342</v>
      </c>
      <c r="J4583">
        <v>-391.04300000000001</v>
      </c>
      <c r="K4583">
        <v>1.1162369999999999</v>
      </c>
      <c r="L4583">
        <v>139.9529</v>
      </c>
      <c r="M4583">
        <v>-0.97508760000000005</v>
      </c>
      <c r="N4583">
        <v>0</v>
      </c>
      <c r="O4583">
        <v>-0.2213445</v>
      </c>
      <c r="P4583">
        <v>-0.93805609999999995</v>
      </c>
      <c r="Q4583">
        <v>0.1617412</v>
      </c>
      <c r="R4583">
        <v>-0.30641590000000002</v>
      </c>
      <c r="S4583">
        <v>-2.7903440000000002</v>
      </c>
      <c r="T4583">
        <v>-0.2334058</v>
      </c>
      <c r="U4583">
        <v>-1.3817140000000001</v>
      </c>
      <c r="V4583">
        <v>-9.3864409999999995E-2</v>
      </c>
      <c r="W4583">
        <v>0.1745659</v>
      </c>
      <c r="X4583">
        <v>0.98016130000000001</v>
      </c>
      <c r="Y4583">
        <v>-0.23432130000000001</v>
      </c>
      <c r="Z4583">
        <v>7.8969769999999995E-3</v>
      </c>
      <c r="AA4583">
        <v>0.97212710000000002</v>
      </c>
      <c r="AB4583">
        <v>40</v>
      </c>
      <c r="AC4583">
        <v>-12.963399999999901</v>
      </c>
      <c r="AD4583">
        <v>-1.1162412562490001</v>
      </c>
      <c r="AE4583">
        <v>-6.5186999999999902</v>
      </c>
      <c r="AF4583">
        <v>-3.4667774123115902</v>
      </c>
      <c r="AG4583">
        <v>-1.1162412562490001</v>
      </c>
      <c r="AH4583">
        <v>14.0019499590246</v>
      </c>
      <c r="AI4583">
        <v>94.424946621676597</v>
      </c>
      <c r="AJ4583">
        <v>103.906343134393</v>
      </c>
      <c r="AK4583">
        <v>14.4678658697022</v>
      </c>
      <c r="AL4583">
        <v>79.946602603346506</v>
      </c>
      <c r="AM4583">
        <v>95.470205909966495</v>
      </c>
      <c r="AN4583">
        <v>0.99999997746257296</v>
      </c>
    </row>
    <row r="4584" spans="1:40" x14ac:dyDescent="0.25">
      <c r="A4584" t="str">
        <f>"20190312173022194"</f>
        <v>20190312173022194</v>
      </c>
      <c r="B4584" t="str">
        <f>"1552383022182811"</f>
        <v>1552383022182811</v>
      </c>
      <c r="C4584" t="s">
        <v>40</v>
      </c>
      <c r="D4584">
        <v>3.4461900000000001</v>
      </c>
      <c r="E4584">
        <v>0.4436195</v>
      </c>
      <c r="F4584" t="s">
        <v>51</v>
      </c>
      <c r="G4584">
        <v>-404.28570000000002</v>
      </c>
      <c r="H4584" s="1">
        <v>-4.312317E-6</v>
      </c>
      <c r="I4584">
        <v>133.28909999999999</v>
      </c>
      <c r="J4584">
        <v>-391.42579999999998</v>
      </c>
      <c r="K4584">
        <v>1.1162890000000001</v>
      </c>
      <c r="L4584">
        <v>139.86089999999999</v>
      </c>
      <c r="M4584">
        <v>-0.97373770000000004</v>
      </c>
      <c r="N4584">
        <v>0</v>
      </c>
      <c r="O4584">
        <v>-0.22720940000000001</v>
      </c>
      <c r="P4584">
        <v>-0.93605479999999996</v>
      </c>
      <c r="Q4584">
        <v>0.16171070000000001</v>
      </c>
      <c r="R4584">
        <v>-0.31249260000000001</v>
      </c>
      <c r="S4584">
        <v>-2.781342</v>
      </c>
      <c r="T4584">
        <v>-0.23444219999999999</v>
      </c>
      <c r="U4584">
        <v>-1.3995820000000001</v>
      </c>
      <c r="V4584">
        <v>-9.4343789999999997E-2</v>
      </c>
      <c r="W4584">
        <v>0.17451949999999999</v>
      </c>
      <c r="X4584">
        <v>0.98012359999999998</v>
      </c>
      <c r="Y4584">
        <v>-0.23473079999999999</v>
      </c>
      <c r="Z4584">
        <v>8.3695179999999994E-3</v>
      </c>
      <c r="AA4584">
        <v>0.97202440000000001</v>
      </c>
      <c r="AB4584">
        <v>40</v>
      </c>
      <c r="AC4584">
        <v>-12.8599</v>
      </c>
      <c r="AD4584">
        <v>-1.11629331231699</v>
      </c>
      <c r="AE4584">
        <v>-6.5717999999999899</v>
      </c>
      <c r="AF4584">
        <v>-3.4570311625624499</v>
      </c>
      <c r="AG4584">
        <v>-1.11629331231699</v>
      </c>
      <c r="AH4584">
        <v>13.9335729793117</v>
      </c>
      <c r="AI4584">
        <v>94.446247926295101</v>
      </c>
      <c r="AJ4584">
        <v>103.93417212526801</v>
      </c>
      <c r="AK4584">
        <v>14.399362179897301</v>
      </c>
      <c r="AL4584">
        <v>79.949303197430496</v>
      </c>
      <c r="AM4584">
        <v>95.498182526545506</v>
      </c>
      <c r="AN4584">
        <v>1.0000000389343799</v>
      </c>
    </row>
    <row r="4585" spans="1:40" x14ac:dyDescent="0.25">
      <c r="A4585" t="str">
        <f>"20190312173022217"</f>
        <v>20190312173022217</v>
      </c>
      <c r="B4585" t="str">
        <f>"1552383022212094"</f>
        <v>1552383022212094</v>
      </c>
      <c r="C4585" t="s">
        <v>40</v>
      </c>
      <c r="D4585">
        <v>3.4496099999999998</v>
      </c>
      <c r="E4585">
        <v>0.44369059999999999</v>
      </c>
      <c r="F4585" t="s">
        <v>51</v>
      </c>
      <c r="G4585">
        <v>-404.56950000000001</v>
      </c>
      <c r="H4585" s="1">
        <v>-4.3721939999999997E-6</v>
      </c>
      <c r="I4585">
        <v>133.14779999999999</v>
      </c>
      <c r="J4585">
        <v>-391.81950000000001</v>
      </c>
      <c r="K4585">
        <v>1.11635</v>
      </c>
      <c r="L4585">
        <v>139.7638</v>
      </c>
      <c r="M4585">
        <v>-0.97229580000000004</v>
      </c>
      <c r="N4585">
        <v>0</v>
      </c>
      <c r="O4585">
        <v>-0.23330210000000001</v>
      </c>
      <c r="P4585">
        <v>-0.93385739999999995</v>
      </c>
      <c r="Q4585">
        <v>0.16161639999999999</v>
      </c>
      <c r="R4585">
        <v>-0.31904700000000003</v>
      </c>
      <c r="S4585">
        <v>-2.7728579999999998</v>
      </c>
      <c r="T4585">
        <v>-0.23549909999999999</v>
      </c>
      <c r="U4585">
        <v>-1.416245</v>
      </c>
      <c r="V4585">
        <v>-9.5098680000000005E-2</v>
      </c>
      <c r="W4585">
        <v>0.17440310000000001</v>
      </c>
      <c r="X4585">
        <v>0.98007129999999998</v>
      </c>
      <c r="Y4585">
        <v>-0.23449809999999999</v>
      </c>
      <c r="Z4585">
        <v>8.8892499999999996E-3</v>
      </c>
      <c r="AA4585">
        <v>0.97207589999999999</v>
      </c>
      <c r="AB4585">
        <v>40</v>
      </c>
      <c r="AC4585">
        <v>-12.75</v>
      </c>
      <c r="AD4585">
        <v>-1.1163543721939999</v>
      </c>
      <c r="AE4585">
        <v>-6.6160000000000103</v>
      </c>
      <c r="AF4585">
        <v>-3.4377085458800098</v>
      </c>
      <c r="AG4585">
        <v>-1.1163543721939999</v>
      </c>
      <c r="AH4585">
        <v>13.858067076848799</v>
      </c>
      <c r="AI4585">
        <v>94.470663207245707</v>
      </c>
      <c r="AJ4585">
        <v>103.93187812338201</v>
      </c>
      <c r="AK4585">
        <v>14.321665763352099</v>
      </c>
      <c r="AL4585">
        <v>79.956075665947594</v>
      </c>
      <c r="AM4585">
        <v>95.542197218609402</v>
      </c>
      <c r="AN4585">
        <v>0.99999997665552098</v>
      </c>
    </row>
    <row r="4586" spans="1:40" x14ac:dyDescent="0.25">
      <c r="A4586" t="str">
        <f>"20190312173022240"</f>
        <v>20190312173022240</v>
      </c>
      <c r="B4586" t="str">
        <f>"1552383022232590"</f>
        <v>1552383022232590</v>
      </c>
      <c r="C4586" t="s">
        <v>40</v>
      </c>
      <c r="D4586">
        <v>3.5184669999999998</v>
      </c>
      <c r="E4586">
        <v>0.44379170000000001</v>
      </c>
      <c r="F4586" t="s">
        <v>51</v>
      </c>
      <c r="G4586">
        <v>-404.76080000000002</v>
      </c>
      <c r="H4586" s="1">
        <v>-4.407133E-6</v>
      </c>
      <c r="I4586">
        <v>133.04089999999999</v>
      </c>
      <c r="J4586">
        <v>-392.19779999999997</v>
      </c>
      <c r="K4586">
        <v>1.116409</v>
      </c>
      <c r="L4586">
        <v>139.66800000000001</v>
      </c>
      <c r="M4586">
        <v>-0.97085580000000005</v>
      </c>
      <c r="N4586">
        <v>0</v>
      </c>
      <c r="O4586">
        <v>-0.23922280000000001</v>
      </c>
      <c r="P4586">
        <v>-0.93187940000000002</v>
      </c>
      <c r="Q4586">
        <v>0.1612422</v>
      </c>
      <c r="R4586">
        <v>-0.32496399999999998</v>
      </c>
      <c r="S4586">
        <v>-2.7633359999999998</v>
      </c>
      <c r="T4586">
        <v>-0.23837169999999999</v>
      </c>
      <c r="U4586">
        <v>-1.435532</v>
      </c>
      <c r="V4586">
        <v>-9.5347840000000003E-2</v>
      </c>
      <c r="W4586">
        <v>0.17401659999999999</v>
      </c>
      <c r="X4586">
        <v>0.98011579999999998</v>
      </c>
      <c r="Y4586">
        <v>-0.2353017</v>
      </c>
      <c r="Z4586">
        <v>9.4308029999999998E-3</v>
      </c>
      <c r="AA4586">
        <v>0.97187659999999998</v>
      </c>
      <c r="AB4586">
        <v>40</v>
      </c>
      <c r="AC4586">
        <v>-12.563000000000001</v>
      </c>
      <c r="AD4586">
        <v>-1.1164134071330001</v>
      </c>
      <c r="AE4586">
        <v>-6.6271000000000102</v>
      </c>
      <c r="AF4586">
        <v>-3.4079112187460998</v>
      </c>
      <c r="AG4586">
        <v>-1.1164134071330001</v>
      </c>
      <c r="AH4586">
        <v>13.6990407693095</v>
      </c>
      <c r="AI4586">
        <v>94.5218429419388</v>
      </c>
      <c r="AJ4586">
        <v>103.969899339577</v>
      </c>
      <c r="AK4586">
        <v>14.160648140875599</v>
      </c>
      <c r="AL4586">
        <v>79.978564450138407</v>
      </c>
      <c r="AM4586">
        <v>95.556376393099995</v>
      </c>
      <c r="AN4586">
        <v>0.99999998453893202</v>
      </c>
    </row>
    <row r="4587" spans="1:40" x14ac:dyDescent="0.25">
      <c r="A4587" t="str">
        <f>"20190312173022255"</f>
        <v>20190312173022255</v>
      </c>
      <c r="B4587" t="str">
        <f>"1552383022252107"</f>
        <v>1552383022252107</v>
      </c>
      <c r="C4587" t="s">
        <v>40</v>
      </c>
      <c r="D4587">
        <v>3.4959709999999999</v>
      </c>
      <c r="E4587">
        <v>0.44394980000000001</v>
      </c>
      <c r="F4587" t="s">
        <v>51</v>
      </c>
      <c r="G4587">
        <v>-404.95069999999998</v>
      </c>
      <c r="H4587" s="1">
        <v>-4.4463430000000002E-6</v>
      </c>
      <c r="I4587">
        <v>132.94450000000001</v>
      </c>
      <c r="J4587">
        <v>-392.46089999999998</v>
      </c>
      <c r="K4587">
        <v>1.1164499999999999</v>
      </c>
      <c r="L4587">
        <v>139.59970000000001</v>
      </c>
      <c r="M4587">
        <v>-0.96981989999999996</v>
      </c>
      <c r="N4587">
        <v>0</v>
      </c>
      <c r="O4587">
        <v>-0.24338899999999999</v>
      </c>
      <c r="P4587">
        <v>-0.93034490000000003</v>
      </c>
      <c r="Q4587">
        <v>0.16151840000000001</v>
      </c>
      <c r="R4587">
        <v>-0.32919720000000002</v>
      </c>
      <c r="S4587">
        <v>-2.7546080000000002</v>
      </c>
      <c r="T4587">
        <v>-0.24114260000000001</v>
      </c>
      <c r="U4587">
        <v>-1.4522550000000001</v>
      </c>
      <c r="V4587">
        <v>-9.563075E-2</v>
      </c>
      <c r="W4587">
        <v>0.17427960000000001</v>
      </c>
      <c r="X4587">
        <v>0.98004150000000001</v>
      </c>
      <c r="Y4587">
        <v>-0.23702280000000001</v>
      </c>
      <c r="Z4587">
        <v>9.8043320000000007E-3</v>
      </c>
      <c r="AA4587">
        <v>0.97145459999999995</v>
      </c>
      <c r="AB4587">
        <v>40</v>
      </c>
      <c r="AC4587">
        <v>-12.489800000000001</v>
      </c>
      <c r="AD4587">
        <v>-1.116454446343</v>
      </c>
      <c r="AE4587">
        <v>-6.6551999999999998</v>
      </c>
      <c r="AF4587">
        <v>-3.3937055323810599</v>
      </c>
      <c r="AG4587">
        <v>-1.116454446343</v>
      </c>
      <c r="AH4587">
        <v>13.649164557633901</v>
      </c>
      <c r="AI4587">
        <v>94.538603145194003</v>
      </c>
      <c r="AJ4587">
        <v>103.962791522472</v>
      </c>
      <c r="AK4587">
        <v>14.1089829857663</v>
      </c>
      <c r="AL4587">
        <v>79.963261786957602</v>
      </c>
      <c r="AM4587">
        <v>95.573179117998606</v>
      </c>
      <c r="AN4587">
        <v>0.99999998052198602</v>
      </c>
    </row>
    <row r="4588" spans="1:40" x14ac:dyDescent="0.25">
      <c r="A4588" t="str">
        <f>"20190312173022272"</f>
        <v>20190312173022272</v>
      </c>
      <c r="B4588" t="str">
        <f>"1552383022262843"</f>
        <v>1552383022262843</v>
      </c>
      <c r="C4588" t="s">
        <v>40</v>
      </c>
      <c r="D4588">
        <v>3.416893</v>
      </c>
      <c r="E4588">
        <v>0.44410899999999998</v>
      </c>
      <c r="F4588" t="s">
        <v>51</v>
      </c>
      <c r="G4588">
        <v>-405.06830000000002</v>
      </c>
      <c r="H4588" s="1">
        <v>-4.4982829999999999E-6</v>
      </c>
      <c r="I4588">
        <v>132.88759999999999</v>
      </c>
      <c r="J4588">
        <v>-392.76760000000002</v>
      </c>
      <c r="K4588">
        <v>1.116506</v>
      </c>
      <c r="L4588">
        <v>139.51859999999999</v>
      </c>
      <c r="M4588">
        <v>-0.96857680000000002</v>
      </c>
      <c r="N4588">
        <v>0</v>
      </c>
      <c r="O4588">
        <v>-0.2482896</v>
      </c>
      <c r="P4588">
        <v>-0.92850069999999996</v>
      </c>
      <c r="Q4588">
        <v>0.161196799999999</v>
      </c>
      <c r="R4588">
        <v>-0.33451819999999999</v>
      </c>
      <c r="S4588">
        <v>-2.7490230000000002</v>
      </c>
      <c r="T4588">
        <v>-0.24344209999999999</v>
      </c>
      <c r="U4588">
        <v>-1.463562</v>
      </c>
      <c r="V4588">
        <v>-9.6292260000000005E-2</v>
      </c>
      <c r="W4588">
        <v>0.1739386</v>
      </c>
      <c r="X4588">
        <v>0.9800373</v>
      </c>
      <c r="Y4588">
        <v>-0.23605960000000001</v>
      </c>
      <c r="Z4588">
        <v>1.0328520000000001E-2</v>
      </c>
      <c r="AA4588">
        <v>0.97168370000000004</v>
      </c>
      <c r="AB4588">
        <v>40</v>
      </c>
      <c r="AC4588">
        <v>-12.300700000000001</v>
      </c>
      <c r="AD4588">
        <v>-1.1165104982830001</v>
      </c>
      <c r="AE4588">
        <v>-6.6310000000000002</v>
      </c>
      <c r="AF4588">
        <v>-3.3474833547752598</v>
      </c>
      <c r="AG4588">
        <v>-1.1165104982830001</v>
      </c>
      <c r="AH4588">
        <v>13.475986696493001</v>
      </c>
      <c r="AI4588">
        <v>94.597160974823694</v>
      </c>
      <c r="AJ4588">
        <v>103.950123594891</v>
      </c>
      <c r="AK4588">
        <v>13.9303430663904</v>
      </c>
      <c r="AL4588">
        <v>79.983102611241193</v>
      </c>
      <c r="AM4588">
        <v>95.611509347723995</v>
      </c>
      <c r="AN4588">
        <v>0.99999997264857798</v>
      </c>
    </row>
    <row r="4589" spans="1:40" x14ac:dyDescent="0.25">
      <c r="A4589" t="str">
        <f>"20190312173022290"</f>
        <v>20190312173022290</v>
      </c>
      <c r="B4589" t="str">
        <f>"1552383022282362"</f>
        <v>1552383022282362</v>
      </c>
      <c r="C4589" t="s">
        <v>40</v>
      </c>
      <c r="D4589">
        <v>3.5165700000000002</v>
      </c>
      <c r="E4589">
        <v>0.44462610000000002</v>
      </c>
      <c r="F4589" t="s">
        <v>51</v>
      </c>
      <c r="G4589">
        <v>-405.26830000000001</v>
      </c>
      <c r="H4589" s="1">
        <v>-4.5840020000000001E-6</v>
      </c>
      <c r="I4589">
        <v>132.77889999999999</v>
      </c>
      <c r="J4589">
        <v>-393.05450000000002</v>
      </c>
      <c r="K4589">
        <v>1.1165590000000001</v>
      </c>
      <c r="L4589">
        <v>139.44130000000001</v>
      </c>
      <c r="M4589">
        <v>-0.96737830000000002</v>
      </c>
      <c r="N4589">
        <v>0</v>
      </c>
      <c r="O4589">
        <v>-0.25291819999999998</v>
      </c>
      <c r="P4589">
        <v>-0.92674409999999896</v>
      </c>
      <c r="Q4589">
        <v>0.16115279999999901</v>
      </c>
      <c r="R4589">
        <v>-0.33937519999999999</v>
      </c>
      <c r="S4589">
        <v>-2.7410580000000002</v>
      </c>
      <c r="T4589">
        <v>-0.24482010000000001</v>
      </c>
      <c r="U4589">
        <v>-1.4778290000000001</v>
      </c>
      <c r="V4589">
        <v>-9.6757819999999994E-2</v>
      </c>
      <c r="W4589">
        <v>0.17387859999999999</v>
      </c>
      <c r="X4589">
        <v>0.98000209999999999</v>
      </c>
      <c r="Y4589">
        <v>-0.23652280000000001</v>
      </c>
      <c r="Z4589">
        <v>1.074394E-2</v>
      </c>
      <c r="AA4589">
        <v>0.97156659999999995</v>
      </c>
      <c r="AB4589">
        <v>40</v>
      </c>
      <c r="AC4589">
        <v>-12.2137999999999</v>
      </c>
      <c r="AD4589">
        <v>-1.1165635840019901</v>
      </c>
      <c r="AE4589">
        <v>-6.6624000000000096</v>
      </c>
      <c r="AF4589">
        <v>-3.3348448678052298</v>
      </c>
      <c r="AG4589">
        <v>-1.1165635840019901</v>
      </c>
      <c r="AH4589">
        <v>13.4154295421762</v>
      </c>
      <c r="AI4589">
        <v>94.617848742681005</v>
      </c>
      <c r="AJ4589">
        <v>103.959794200121</v>
      </c>
      <c r="AK4589">
        <v>13.868729369720199</v>
      </c>
      <c r="AL4589">
        <v>79.986593624494006</v>
      </c>
      <c r="AM4589">
        <v>95.638667041735303</v>
      </c>
      <c r="AN4589">
        <v>0.99999997963676102</v>
      </c>
    </row>
    <row r="4590" spans="1:40" x14ac:dyDescent="0.25">
      <c r="A4590" t="str">
        <f>"20190312173022308"</f>
        <v>20190312173022308</v>
      </c>
      <c r="B4590" t="str">
        <f>"1552383022302859"</f>
        <v>1552383022302859</v>
      </c>
      <c r="C4590" t="s">
        <v>40</v>
      </c>
      <c r="D4590">
        <v>3.6417600000000001</v>
      </c>
      <c r="E4590">
        <v>0.44526139999999997</v>
      </c>
      <c r="F4590" t="s">
        <v>51</v>
      </c>
      <c r="G4590">
        <v>-405.53219999999999</v>
      </c>
      <c r="H4590" s="1">
        <v>-4.7039080000000002E-6</v>
      </c>
      <c r="I4590">
        <v>132.65029999999999</v>
      </c>
      <c r="J4590">
        <v>-393.37189999999998</v>
      </c>
      <c r="K4590">
        <v>1.116617</v>
      </c>
      <c r="L4590">
        <v>139.35399999999899</v>
      </c>
      <c r="M4590">
        <v>-0.96601079999999995</v>
      </c>
      <c r="N4590">
        <v>0</v>
      </c>
      <c r="O4590">
        <v>-0.2580924</v>
      </c>
      <c r="P4590">
        <v>-0.9246683</v>
      </c>
      <c r="Q4590">
        <v>0.16104019999999999</v>
      </c>
      <c r="R4590">
        <v>-0.3450433</v>
      </c>
      <c r="S4590">
        <v>-2.7346499999999998</v>
      </c>
      <c r="T4590">
        <v>-0.24471029999999999</v>
      </c>
      <c r="U4590">
        <v>-1.4883580000000001</v>
      </c>
      <c r="V4590">
        <v>-9.7533529999999993E-2</v>
      </c>
      <c r="W4590">
        <v>0.173743799999999</v>
      </c>
      <c r="X4590">
        <v>0.97994910000000002</v>
      </c>
      <c r="Y4590">
        <v>-0.2351818</v>
      </c>
      <c r="Z4590">
        <v>1.12132E-2</v>
      </c>
      <c r="AA4590">
        <v>0.97188669999999999</v>
      </c>
      <c r="AB4590">
        <v>40</v>
      </c>
      <c r="AC4590">
        <v>-12.160299999999999</v>
      </c>
      <c r="AD4590">
        <v>-1.116621703908</v>
      </c>
      <c r="AE4590">
        <v>-6.7036999999999898</v>
      </c>
      <c r="AF4590">
        <v>-3.31627342117697</v>
      </c>
      <c r="AG4590">
        <v>-1.116621703908</v>
      </c>
      <c r="AH4590">
        <v>13.3919794657378</v>
      </c>
      <c r="AI4590">
        <v>94.627163929391401</v>
      </c>
      <c r="AJ4590">
        <v>103.908439810853</v>
      </c>
      <c r="AK4590">
        <v>13.841590495473699</v>
      </c>
      <c r="AL4590">
        <v>79.994436354660294</v>
      </c>
      <c r="AM4590">
        <v>95.683882963389607</v>
      </c>
      <c r="AN4590">
        <v>0.99999996805175495</v>
      </c>
    </row>
    <row r="4591" spans="1:40" x14ac:dyDescent="0.25">
      <c r="A4591" t="str">
        <f>"20190312173022332"</f>
        <v>20190312173022332</v>
      </c>
      <c r="B4591" t="str">
        <f>"1552383022322378"</f>
        <v>1552383022322378</v>
      </c>
      <c r="C4591" t="s">
        <v>40</v>
      </c>
      <c r="D4591">
        <v>3.5208490000000001</v>
      </c>
      <c r="E4591">
        <v>0.45358229999999999</v>
      </c>
      <c r="F4591" t="s">
        <v>51</v>
      </c>
      <c r="G4591">
        <v>-405.84320000000002</v>
      </c>
      <c r="H4591" s="1">
        <v>-4.8423530000000002E-6</v>
      </c>
      <c r="I4591">
        <v>132.4924</v>
      </c>
      <c r="J4591">
        <v>-393.75490000000002</v>
      </c>
      <c r="K4591">
        <v>1.116687</v>
      </c>
      <c r="L4591">
        <v>139.24610000000001</v>
      </c>
      <c r="M4591">
        <v>-0.96430099999999996</v>
      </c>
      <c r="N4591">
        <v>0</v>
      </c>
      <c r="O4591">
        <v>-0.2644088</v>
      </c>
      <c r="P4591">
        <v>-0.9220235</v>
      </c>
      <c r="Q4591">
        <v>0.1613908</v>
      </c>
      <c r="R4591">
        <v>-0.35188950000000002</v>
      </c>
      <c r="S4591">
        <v>-2.7270509999999999</v>
      </c>
      <c r="T4591">
        <v>-0.2441683</v>
      </c>
      <c r="U4591">
        <v>-1.5004120000000001</v>
      </c>
      <c r="V4591">
        <v>-9.8439460000000006E-2</v>
      </c>
      <c r="W4591">
        <v>0.17406640000000001</v>
      </c>
      <c r="X4591">
        <v>0.97980129999999999</v>
      </c>
      <c r="Y4591">
        <v>-0.2332842</v>
      </c>
      <c r="Z4591">
        <v>1.1776979999999999E-2</v>
      </c>
      <c r="AA4591">
        <v>0.97233729999999996</v>
      </c>
      <c r="AB4591">
        <v>40</v>
      </c>
      <c r="AC4591">
        <v>-12.0883</v>
      </c>
      <c r="AD4591">
        <v>-1.1166918423529999</v>
      </c>
      <c r="AE4591">
        <v>-6.7537000000000003</v>
      </c>
      <c r="AF4591">
        <v>-3.2952664762280999</v>
      </c>
      <c r="AG4591">
        <v>-1.1166918423529999</v>
      </c>
      <c r="AH4591">
        <v>13.3570505303411</v>
      </c>
      <c r="AI4591">
        <v>94.640497011022603</v>
      </c>
      <c r="AJ4591">
        <v>103.858483817576</v>
      </c>
      <c r="AK4591">
        <v>13.802774383804801</v>
      </c>
      <c r="AL4591">
        <v>79.975667188920298</v>
      </c>
      <c r="AM4591">
        <v>95.737186170326595</v>
      </c>
      <c r="AN4591">
        <v>1.0000000131878699</v>
      </c>
    </row>
    <row r="4592" spans="1:40" x14ac:dyDescent="0.25">
      <c r="A4592" t="str">
        <f>"20190312173022352"</f>
        <v>20190312173022352</v>
      </c>
      <c r="B4592" t="str">
        <f>"1552383022341899"</f>
        <v>1552383022341899</v>
      </c>
      <c r="C4592" t="s">
        <v>40</v>
      </c>
      <c r="D4592">
        <v>3.54358</v>
      </c>
      <c r="E4592">
        <v>0.45301000000000002</v>
      </c>
      <c r="F4592" t="s">
        <v>51</v>
      </c>
      <c r="G4592">
        <v>-406.9402</v>
      </c>
      <c r="H4592" s="1">
        <v>-5.4678649999999999E-6</v>
      </c>
      <c r="I4592">
        <v>132.2294</v>
      </c>
      <c r="J4592">
        <v>-394.11779999999999</v>
      </c>
      <c r="K4592">
        <v>1.116749</v>
      </c>
      <c r="L4592">
        <v>139.1413</v>
      </c>
      <c r="M4592">
        <v>-0.96261980000000003</v>
      </c>
      <c r="N4592">
        <v>0</v>
      </c>
      <c r="O4592">
        <v>-0.2704647</v>
      </c>
      <c r="P4592">
        <v>-0.91954689999999994</v>
      </c>
      <c r="Q4592">
        <v>0.161444</v>
      </c>
      <c r="R4592">
        <v>-0.35828690000000002</v>
      </c>
      <c r="S4592">
        <v>-2.7381899999999999</v>
      </c>
      <c r="T4592">
        <v>-0.2319032</v>
      </c>
      <c r="U4592">
        <v>-1.4571529999999999</v>
      </c>
      <c r="V4592">
        <v>-9.9120059999999996E-2</v>
      </c>
      <c r="W4592">
        <v>0.17409740000000001</v>
      </c>
      <c r="X4592">
        <v>0.97972709999999996</v>
      </c>
      <c r="Y4592">
        <v>-0.2136207</v>
      </c>
      <c r="Z4592">
        <v>1.242711E-2</v>
      </c>
      <c r="AA4592">
        <v>0.97683759999999997</v>
      </c>
      <c r="AB4592">
        <v>40</v>
      </c>
      <c r="AC4592">
        <v>-12.8224</v>
      </c>
      <c r="AD4592">
        <v>-1.1167544678650001</v>
      </c>
      <c r="AE4592">
        <v>-6.9119000000000002</v>
      </c>
      <c r="AF4592">
        <v>-3.1672473398708698</v>
      </c>
      <c r="AG4592">
        <v>-1.1167544678650001</v>
      </c>
      <c r="AH4592">
        <v>14.130972569988099</v>
      </c>
      <c r="AI4592">
        <v>94.409669427852293</v>
      </c>
      <c r="AJ4592">
        <v>102.633208992834</v>
      </c>
      <c r="AK4592">
        <v>14.5245647792686</v>
      </c>
      <c r="AL4592">
        <v>79.973862745254905</v>
      </c>
      <c r="AM4592">
        <v>95.777019658816698</v>
      </c>
      <c r="AN4592">
        <v>0.99999994072778498</v>
      </c>
    </row>
    <row r="4593" spans="1:40" x14ac:dyDescent="0.25">
      <c r="A4593" t="str">
        <f>"20190312173022374"</f>
        <v>20190312173022374</v>
      </c>
      <c r="B4593" t="str">
        <f>"1552383022362395"</f>
        <v>1552383022362395</v>
      </c>
      <c r="C4593" t="s">
        <v>40</v>
      </c>
      <c r="D4593">
        <v>3.502348</v>
      </c>
      <c r="E4593">
        <v>0.45023879999999999</v>
      </c>
      <c r="F4593" t="s">
        <v>51</v>
      </c>
      <c r="G4593">
        <v>-407.1508</v>
      </c>
      <c r="H4593" s="1">
        <v>-5.5353519999999999E-6</v>
      </c>
      <c r="I4593">
        <v>132.06620000000001</v>
      </c>
      <c r="J4593">
        <v>-394.48750000000001</v>
      </c>
      <c r="K4593">
        <v>1.1168129999999901</v>
      </c>
      <c r="L4593">
        <v>139.03190000000001</v>
      </c>
      <c r="M4593">
        <v>-0.96084480000000005</v>
      </c>
      <c r="N4593">
        <v>0</v>
      </c>
      <c r="O4593">
        <v>-0.27670450000000002</v>
      </c>
      <c r="P4593">
        <v>-0.91692510000000005</v>
      </c>
      <c r="Q4593">
        <v>0.16167229999999999</v>
      </c>
      <c r="R4593">
        <v>-0.36484319999999998</v>
      </c>
      <c r="S4593">
        <v>-2.7267760000000001</v>
      </c>
      <c r="T4593">
        <v>-0.2336482</v>
      </c>
      <c r="U4593">
        <v>-1.4802550000000001</v>
      </c>
      <c r="V4593">
        <v>-9.9801699999999993E-2</v>
      </c>
      <c r="W4593">
        <v>0.17430209999999999</v>
      </c>
      <c r="X4593">
        <v>0.97962159999999998</v>
      </c>
      <c r="Y4593">
        <v>-0.2154047</v>
      </c>
      <c r="Z4593">
        <v>1.29336E-2</v>
      </c>
      <c r="AA4593">
        <v>0.97643919999999995</v>
      </c>
      <c r="AB4593">
        <v>40</v>
      </c>
      <c r="AC4593">
        <v>-12.6632999999999</v>
      </c>
      <c r="AD4593">
        <v>-1.1168185353519999</v>
      </c>
      <c r="AE4593">
        <v>-6.9656999999999902</v>
      </c>
      <c r="AF4593">
        <v>-3.1703712350984299</v>
      </c>
      <c r="AG4593">
        <v>-1.1168185353519999</v>
      </c>
      <c r="AH4593">
        <v>14.0127259812767</v>
      </c>
      <c r="AI4593">
        <v>94.444979354077901</v>
      </c>
      <c r="AJ4593">
        <v>102.748502712202</v>
      </c>
      <c r="AK4593">
        <v>14.4102403462119</v>
      </c>
      <c r="AL4593">
        <v>79.961953199800902</v>
      </c>
      <c r="AM4593">
        <v>95.8170983601496</v>
      </c>
      <c r="AN4593">
        <v>1.00000004028692</v>
      </c>
    </row>
    <row r="4594" spans="1:40" x14ac:dyDescent="0.25">
      <c r="A4594" t="str">
        <f>"20190312173022396"</f>
        <v>20190312173022396</v>
      </c>
      <c r="B4594" t="str">
        <f>"1552383022392651"</f>
        <v>1552383022392651</v>
      </c>
      <c r="C4594" t="s">
        <v>40</v>
      </c>
      <c r="D4594">
        <v>3.5053010000000002</v>
      </c>
      <c r="E4594">
        <v>0.45128879999999999</v>
      </c>
      <c r="F4594" t="s">
        <v>51</v>
      </c>
      <c r="G4594">
        <v>-406.75639999999999</v>
      </c>
      <c r="H4594" s="1">
        <v>-5.3025230000000001E-6</v>
      </c>
      <c r="I4594">
        <v>132.1438</v>
      </c>
      <c r="J4594">
        <v>-394.8578</v>
      </c>
      <c r="K4594">
        <v>1.116879</v>
      </c>
      <c r="L4594">
        <v>138.91970000000001</v>
      </c>
      <c r="M4594">
        <v>-0.95900149999999995</v>
      </c>
      <c r="N4594">
        <v>0</v>
      </c>
      <c r="O4594">
        <v>-0.28302630000000001</v>
      </c>
      <c r="P4594">
        <v>-0.91427360000000002</v>
      </c>
      <c r="Q4594">
        <v>0.1618416</v>
      </c>
      <c r="R4594">
        <v>-0.37136419999999998</v>
      </c>
      <c r="S4594">
        <v>-2.7099299999999999</v>
      </c>
      <c r="T4594">
        <v>-0.24668109999999999</v>
      </c>
      <c r="U4594">
        <v>-1.521423</v>
      </c>
      <c r="V4594">
        <v>-0.100367</v>
      </c>
      <c r="W4594">
        <v>0.17445089999999999</v>
      </c>
      <c r="X4594">
        <v>0.97953730000000006</v>
      </c>
      <c r="Y4594">
        <v>-0.22287370000000001</v>
      </c>
      <c r="Z4594">
        <v>1.38525E-2</v>
      </c>
      <c r="AA4594">
        <v>0.97474890000000003</v>
      </c>
      <c r="AB4594">
        <v>40</v>
      </c>
      <c r="AC4594">
        <v>-11.898599999999901</v>
      </c>
      <c r="AD4594">
        <v>-1.116884302523</v>
      </c>
      <c r="AE4594">
        <v>-6.7759</v>
      </c>
      <c r="AF4594">
        <v>-3.1101211059483398</v>
      </c>
      <c r="AG4594">
        <v>-1.116884302523</v>
      </c>
      <c r="AH4594">
        <v>13.241845341580101</v>
      </c>
      <c r="AI4594">
        <v>94.694064894981807</v>
      </c>
      <c r="AJ4594">
        <v>103.217528807078</v>
      </c>
      <c r="AK4594">
        <v>13.6479577918901</v>
      </c>
      <c r="AL4594">
        <v>79.953294390827296</v>
      </c>
      <c r="AM4594">
        <v>95.850319839815896</v>
      </c>
      <c r="AN4594">
        <v>0.99999998664555001</v>
      </c>
    </row>
    <row r="4595" spans="1:40" x14ac:dyDescent="0.25">
      <c r="A4595" t="str">
        <f>"20190312173022419"</f>
        <v>20190312173022419</v>
      </c>
      <c r="B4595" t="str">
        <f>"1552383022412172"</f>
        <v>1552383022412172</v>
      </c>
      <c r="C4595" t="s">
        <v>40</v>
      </c>
      <c r="D4595">
        <v>3.442183</v>
      </c>
      <c r="E4595">
        <v>0.45148509999999997</v>
      </c>
      <c r="F4595" t="s">
        <v>51</v>
      </c>
      <c r="G4595">
        <v>-407.0136</v>
      </c>
      <c r="H4595" s="1">
        <v>-5.4197629999999998E-6</v>
      </c>
      <c r="I4595">
        <v>132.01910000000001</v>
      </c>
      <c r="J4595">
        <v>-395.23790000000002</v>
      </c>
      <c r="K4595">
        <v>1.1169500000000001</v>
      </c>
      <c r="L4595">
        <v>138.80170000000001</v>
      </c>
      <c r="M4595">
        <v>-0.95703819999999995</v>
      </c>
      <c r="N4595">
        <v>0</v>
      </c>
      <c r="O4595">
        <v>-0.28959559999999901</v>
      </c>
      <c r="P4595">
        <v>-0.91146400000000005</v>
      </c>
      <c r="Q4595">
        <v>0.1618531</v>
      </c>
      <c r="R4595">
        <v>-0.3782027</v>
      </c>
      <c r="S4595">
        <v>-2.7021480000000002</v>
      </c>
      <c r="T4595">
        <v>-0.24827479999999999</v>
      </c>
      <c r="U4595">
        <v>-1.5339510000000001</v>
      </c>
      <c r="V4595">
        <v>-0.10101930000000001</v>
      </c>
      <c r="W4595">
        <v>0.1744387</v>
      </c>
      <c r="X4595">
        <v>0.97947249999999997</v>
      </c>
      <c r="Y4595">
        <v>-0.2208379</v>
      </c>
      <c r="Z4595">
        <v>1.456678E-2</v>
      </c>
      <c r="AA4595">
        <v>0.97520169999999995</v>
      </c>
      <c r="AB4595">
        <v>40</v>
      </c>
      <c r="AC4595">
        <v>-11.775699999999899</v>
      </c>
      <c r="AD4595">
        <v>-1.1169554197630001</v>
      </c>
      <c r="AE4595">
        <v>-6.7826000000000004</v>
      </c>
      <c r="AF4595">
        <v>-3.06066635357949</v>
      </c>
      <c r="AG4595">
        <v>-1.1169554197630001</v>
      </c>
      <c r="AH4595">
        <v>13.146595576533199</v>
      </c>
      <c r="AI4595">
        <v>94.730370765335294</v>
      </c>
      <c r="AJ4595">
        <v>103.105613184955</v>
      </c>
      <c r="AK4595">
        <v>13.544306670723101</v>
      </c>
      <c r="AL4595">
        <v>79.954005116468394</v>
      </c>
      <c r="AM4595">
        <v>95.888462460591199</v>
      </c>
      <c r="AN4595">
        <v>1.00000006864321</v>
      </c>
    </row>
    <row r="4596" spans="1:40" x14ac:dyDescent="0.25">
      <c r="A4596" t="str">
        <f>"20190312173022441"</f>
        <v>20190312173022441</v>
      </c>
      <c r="B4596" t="str">
        <f>"1552383022432670"</f>
        <v>1552383022432670</v>
      </c>
      <c r="C4596" t="s">
        <v>40</v>
      </c>
      <c r="D4596">
        <v>3.597855</v>
      </c>
      <c r="E4596">
        <v>0.45124890000000001</v>
      </c>
      <c r="F4596" t="s">
        <v>51</v>
      </c>
      <c r="G4596">
        <v>-407.55669999999998</v>
      </c>
      <c r="H4596" s="1">
        <v>-5.6377850000000003E-6</v>
      </c>
      <c r="I4596">
        <v>131.6927</v>
      </c>
      <c r="J4596">
        <v>-395.61189999999999</v>
      </c>
      <c r="K4596">
        <v>1.1170180000000001</v>
      </c>
      <c r="L4596">
        <v>138.68279999999999</v>
      </c>
      <c r="M4596">
        <v>-0.95503179999999999</v>
      </c>
      <c r="N4596">
        <v>0</v>
      </c>
      <c r="O4596">
        <v>-0.29614479999999999</v>
      </c>
      <c r="P4596">
        <v>-0.90879670000000001</v>
      </c>
      <c r="Q4596">
        <v>0.16152469999999999</v>
      </c>
      <c r="R4596">
        <v>-0.38470549999999998</v>
      </c>
      <c r="S4596">
        <v>-2.6904300000000001</v>
      </c>
      <c r="T4596">
        <v>-0.24394440000000001</v>
      </c>
      <c r="U4596">
        <v>-1.5526279999999999</v>
      </c>
      <c r="V4596">
        <v>-0.101317</v>
      </c>
      <c r="W4596">
        <v>0.1740931</v>
      </c>
      <c r="X4596">
        <v>0.97950320000000002</v>
      </c>
      <c r="Y4596">
        <v>-0.22108330000000001</v>
      </c>
      <c r="Z4596">
        <v>1.4839130000000001E-2</v>
      </c>
      <c r="AA4596">
        <v>0.97514210000000001</v>
      </c>
      <c r="AB4596">
        <v>40</v>
      </c>
      <c r="AC4596">
        <v>-11.944799999999899</v>
      </c>
      <c r="AD4596">
        <v>-1.117023637785</v>
      </c>
      <c r="AE4596">
        <v>-6.9900999999999804</v>
      </c>
      <c r="AF4596">
        <v>-3.1183968307514101</v>
      </c>
      <c r="AG4596">
        <v>-1.117023637785</v>
      </c>
      <c r="AH4596">
        <v>13.3919392524743</v>
      </c>
      <c r="AI4596">
        <v>94.644327508755794</v>
      </c>
      <c r="AJ4596">
        <v>103.10809640788401</v>
      </c>
      <c r="AK4596">
        <v>13.7955129496287</v>
      </c>
      <c r="AL4596">
        <v>79.974113846024295</v>
      </c>
      <c r="AM4596">
        <v>95.905509273574097</v>
      </c>
      <c r="AN4596">
        <v>1.00000003038342</v>
      </c>
    </row>
    <row r="4597" spans="1:40" x14ac:dyDescent="0.25">
      <c r="A4597" t="str">
        <f>"20190312173022463"</f>
        <v>20190312173022463</v>
      </c>
      <c r="B4597" t="str">
        <f>"1552383022452187"</f>
        <v>1552383022452187</v>
      </c>
      <c r="C4597" t="s">
        <v>40</v>
      </c>
      <c r="D4597">
        <v>3.4499939999999998</v>
      </c>
      <c r="E4597">
        <v>0.45160420000000001</v>
      </c>
      <c r="F4597" t="s">
        <v>51</v>
      </c>
      <c r="G4597">
        <v>-407.78410000000002</v>
      </c>
      <c r="H4597" s="1">
        <v>-5.717886E-6</v>
      </c>
      <c r="I4597">
        <v>131.53200000000001</v>
      </c>
      <c r="J4597">
        <v>-395.98660000000001</v>
      </c>
      <c r="K4597">
        <v>1.1170949999999999</v>
      </c>
      <c r="L4597">
        <v>138.5607</v>
      </c>
      <c r="M4597">
        <v>-0.95294179999999995</v>
      </c>
      <c r="N4597">
        <v>0</v>
      </c>
      <c r="O4597">
        <v>-0.30280269999999998</v>
      </c>
      <c r="P4597">
        <v>-0.90609720000000005</v>
      </c>
      <c r="Q4597">
        <v>0.16101560000000001</v>
      </c>
      <c r="R4597">
        <v>-0.39123170000000002</v>
      </c>
      <c r="S4597">
        <v>-2.6786189999999999</v>
      </c>
      <c r="T4597">
        <v>-0.2458137</v>
      </c>
      <c r="U4597">
        <v>-1.5736079999999999</v>
      </c>
      <c r="V4597">
        <v>-0.1015255</v>
      </c>
      <c r="W4597">
        <v>0.17356820000000001</v>
      </c>
      <c r="X4597">
        <v>0.97957470000000002</v>
      </c>
      <c r="Y4597">
        <v>-0.22185369999999999</v>
      </c>
      <c r="Z4597">
        <v>1.546499E-2</v>
      </c>
      <c r="AA4597">
        <v>0.97495730000000003</v>
      </c>
      <c r="AB4597">
        <v>40</v>
      </c>
      <c r="AC4597">
        <v>-11.797499999999999</v>
      </c>
      <c r="AD4597">
        <v>-1.117100717886</v>
      </c>
      <c r="AE4597">
        <v>-7.0286999999999802</v>
      </c>
      <c r="AF4597">
        <v>-3.10540982893369</v>
      </c>
      <c r="AG4597">
        <v>-1.117100717886</v>
      </c>
      <c r="AH4597">
        <v>13.284155538761199</v>
      </c>
      <c r="AI4597">
        <v>94.681224762370206</v>
      </c>
      <c r="AJ4597">
        <v>103.157636064317</v>
      </c>
      <c r="AK4597">
        <v>13.6879608633843</v>
      </c>
      <c r="AL4597">
        <v>80.004652737573096</v>
      </c>
      <c r="AM4597">
        <v>95.917147190190207</v>
      </c>
      <c r="AN4597">
        <v>0.999999970040789</v>
      </c>
    </row>
    <row r="4598" spans="1:40" x14ac:dyDescent="0.25">
      <c r="A4598" t="str">
        <f>"20190312173022486"</f>
        <v>20190312173022486</v>
      </c>
      <c r="B4598" t="str">
        <f>"1552383022482443"</f>
        <v>1552383022482443</v>
      </c>
      <c r="C4598" t="s">
        <v>40</v>
      </c>
      <c r="D4598">
        <v>3.4027479999999999</v>
      </c>
      <c r="E4598">
        <v>0.4496233</v>
      </c>
      <c r="F4598" t="s">
        <v>51</v>
      </c>
      <c r="G4598">
        <v>-408.11610000000002</v>
      </c>
      <c r="H4598" s="1">
        <v>-5.8518649999999999E-6</v>
      </c>
      <c r="I4598">
        <v>131.3339</v>
      </c>
      <c r="J4598">
        <v>-396.351</v>
      </c>
      <c r="K4598">
        <v>1.1171799999999901</v>
      </c>
      <c r="L4598">
        <v>138.43889999999999</v>
      </c>
      <c r="M4598">
        <v>-0.95082370000000005</v>
      </c>
      <c r="N4598">
        <v>0</v>
      </c>
      <c r="O4598">
        <v>-0.30938900000000003</v>
      </c>
      <c r="P4598">
        <v>-0.90349389999999996</v>
      </c>
      <c r="Q4598">
        <v>0.1602421</v>
      </c>
      <c r="R4598">
        <v>-0.39751940000000002</v>
      </c>
      <c r="S4598">
        <v>-2.6682130000000002</v>
      </c>
      <c r="T4598">
        <v>-0.2457385</v>
      </c>
      <c r="U4598">
        <v>-1.589737</v>
      </c>
      <c r="V4598">
        <v>-0.1015379</v>
      </c>
      <c r="W4598">
        <v>0.1727815</v>
      </c>
      <c r="X4598">
        <v>0.97971249999999999</v>
      </c>
      <c r="Y4598">
        <v>-0.22114729999999999</v>
      </c>
      <c r="Z4598">
        <v>1.6030470000000002E-2</v>
      </c>
      <c r="AA4598">
        <v>0.97510859999999999</v>
      </c>
      <c r="AB4598">
        <v>40</v>
      </c>
      <c r="AC4598">
        <v>-11.7651</v>
      </c>
      <c r="AD4598">
        <v>-1.11718585186499</v>
      </c>
      <c r="AE4598">
        <v>-7.1049999999999898</v>
      </c>
      <c r="AF4598">
        <v>-3.0954885906605099</v>
      </c>
      <c r="AG4598">
        <v>-1.11718585186499</v>
      </c>
      <c r="AH4598">
        <v>13.2983032175015</v>
      </c>
      <c r="AI4598">
        <v>94.677646173552503</v>
      </c>
      <c r="AJ4598">
        <v>103.10358232624201</v>
      </c>
      <c r="AK4598">
        <v>13.699453357967601</v>
      </c>
      <c r="AL4598">
        <v>80.050418978272702</v>
      </c>
      <c r="AM4598">
        <v>95.917038300558801</v>
      </c>
      <c r="AN4598">
        <v>0.99999998726745398</v>
      </c>
    </row>
    <row r="4599" spans="1:40" x14ac:dyDescent="0.25">
      <c r="A4599" t="str">
        <f>"20190312173022508"</f>
        <v>20190312173022508</v>
      </c>
      <c r="B4599" t="str">
        <f>"1552383022501963"</f>
        <v>1552383022501963</v>
      </c>
      <c r="C4599" t="s">
        <v>40</v>
      </c>
      <c r="D4599">
        <v>3.388585</v>
      </c>
      <c r="E4599">
        <v>0.44712540000000001</v>
      </c>
      <c r="F4599" t="s">
        <v>51</v>
      </c>
      <c r="G4599">
        <v>-408.40249999999997</v>
      </c>
      <c r="H4599" s="1">
        <v>-5.9189610000000004E-6</v>
      </c>
      <c r="I4599">
        <v>131.0592</v>
      </c>
      <c r="J4599">
        <v>-396.73540000000003</v>
      </c>
      <c r="K4599">
        <v>1.117278</v>
      </c>
      <c r="L4599">
        <v>138.3073</v>
      </c>
      <c r="M4599">
        <v>-0.94849939999999999</v>
      </c>
      <c r="N4599">
        <v>0</v>
      </c>
      <c r="O4599">
        <v>-0.3164421</v>
      </c>
      <c r="P4599">
        <v>-0.90042469999999997</v>
      </c>
      <c r="Q4599">
        <v>0.15965270000000001</v>
      </c>
      <c r="R4599">
        <v>-0.40465600000000002</v>
      </c>
      <c r="S4599">
        <v>-2.6500240000000002</v>
      </c>
      <c r="T4599">
        <v>-0.24565980000000001</v>
      </c>
      <c r="U4599">
        <v>-1.6227419999999999</v>
      </c>
      <c r="V4599">
        <v>-0.1020115</v>
      </c>
      <c r="W4599">
        <v>0.17216999999999999</v>
      </c>
      <c r="X4599">
        <v>0.97977099999999995</v>
      </c>
      <c r="Y4599">
        <v>-0.2257275</v>
      </c>
      <c r="Z4599">
        <v>1.641664E-2</v>
      </c>
      <c r="AA4599">
        <v>0.97405209999999998</v>
      </c>
      <c r="AB4599">
        <v>40</v>
      </c>
      <c r="AC4599">
        <v>-11.6670999999999</v>
      </c>
      <c r="AD4599">
        <v>-1.117283918961</v>
      </c>
      <c r="AE4599">
        <v>-7.2480999999999902</v>
      </c>
      <c r="AF4599">
        <v>-3.1622718504622802</v>
      </c>
      <c r="AG4599">
        <v>-1.117283918961</v>
      </c>
      <c r="AH4599">
        <v>13.273436985191401</v>
      </c>
      <c r="AI4599">
        <v>94.681091026476594</v>
      </c>
      <c r="AJ4599">
        <v>103.400380362768</v>
      </c>
      <c r="AK4599">
        <v>13.690595896879</v>
      </c>
      <c r="AL4599">
        <v>80.0859888656137</v>
      </c>
      <c r="AM4599">
        <v>95.944087396128097</v>
      </c>
      <c r="AN4599">
        <v>1.0000000337366199</v>
      </c>
    </row>
    <row r="4600" spans="1:40" x14ac:dyDescent="0.25">
      <c r="A4600" t="str">
        <f>"20190312173022532"</f>
        <v>20190312173022532</v>
      </c>
      <c r="B4600" t="str">
        <f>"1552383022522458"</f>
        <v>1552383022522458</v>
      </c>
      <c r="C4600" t="s">
        <v>40</v>
      </c>
      <c r="D4600">
        <v>3.3824700000000001</v>
      </c>
      <c r="E4600">
        <v>0.44523600000000002</v>
      </c>
      <c r="F4600" t="s">
        <v>51</v>
      </c>
      <c r="G4600">
        <v>-408.68979999999999</v>
      </c>
      <c r="H4600" s="1">
        <v>-5.9715810000000002E-6</v>
      </c>
      <c r="I4600">
        <v>130.75200000000001</v>
      </c>
      <c r="J4600">
        <v>-397.10610000000003</v>
      </c>
      <c r="K4600">
        <v>1.1173709999999999</v>
      </c>
      <c r="L4600">
        <v>138.1772</v>
      </c>
      <c r="M4600">
        <v>-0.94616619999999996</v>
      </c>
      <c r="N4600">
        <v>0</v>
      </c>
      <c r="O4600">
        <v>-0.32335150000000001</v>
      </c>
      <c r="P4600">
        <v>-0.89746409999999999</v>
      </c>
      <c r="Q4600">
        <v>0.1591273</v>
      </c>
      <c r="R4600">
        <v>-0.41138469999999999</v>
      </c>
      <c r="S4600">
        <v>-2.6286930000000002</v>
      </c>
      <c r="T4600">
        <v>-0.24568090000000001</v>
      </c>
      <c r="U4600">
        <v>-1.661346</v>
      </c>
      <c r="V4600">
        <v>-0.1021997</v>
      </c>
      <c r="W4600">
        <v>0.17162740000000001</v>
      </c>
      <c r="X4600">
        <v>0.97984649999999995</v>
      </c>
      <c r="Y4600">
        <v>-0.2324193</v>
      </c>
      <c r="Z4600">
        <v>1.6712000000000001E-2</v>
      </c>
      <c r="AA4600">
        <v>0.97247209999999995</v>
      </c>
      <c r="AB4600">
        <v>39</v>
      </c>
      <c r="AC4600">
        <v>-11.583699999999901</v>
      </c>
      <c r="AD4600">
        <v>-1.11737697158099</v>
      </c>
      <c r="AE4600">
        <v>-7.4251999999999896</v>
      </c>
      <c r="AF4600">
        <v>-3.25872520592924</v>
      </c>
      <c r="AG4600">
        <v>-1.11737697158099</v>
      </c>
      <c r="AH4600">
        <v>13.2749325727446</v>
      </c>
      <c r="AI4600">
        <v>94.673252251705506</v>
      </c>
      <c r="AJ4600">
        <v>103.792221113287</v>
      </c>
      <c r="AK4600">
        <v>13.714651146686</v>
      </c>
      <c r="AL4600">
        <v>80.117546511540098</v>
      </c>
      <c r="AM4600">
        <v>95.954519301736397</v>
      </c>
      <c r="AN4600">
        <v>0.99999995333654801</v>
      </c>
    </row>
    <row r="4601" spans="1:40" x14ac:dyDescent="0.25">
      <c r="A4601" t="str">
        <f>"20190312173022552"</f>
        <v>20190312173022552</v>
      </c>
      <c r="B4601" t="str">
        <f>"1552383022541979"</f>
        <v>1552383022541979</v>
      </c>
      <c r="C4601" t="s">
        <v>40</v>
      </c>
      <c r="D4601">
        <v>3.3433589999999902</v>
      </c>
      <c r="E4601">
        <v>0.44367689999999999</v>
      </c>
      <c r="F4601" t="s">
        <v>51</v>
      </c>
      <c r="G4601">
        <v>-408.94029999999998</v>
      </c>
      <c r="H4601" s="1">
        <v>-6.0205089999999998E-6</v>
      </c>
      <c r="I4601">
        <v>130.49080000000001</v>
      </c>
      <c r="J4601">
        <v>-397.45979999999997</v>
      </c>
      <c r="K4601">
        <v>1.1174679999999999</v>
      </c>
      <c r="L4601">
        <v>138.05029999999999</v>
      </c>
      <c r="M4601">
        <v>-0.94384990000000002</v>
      </c>
      <c r="N4601">
        <v>0</v>
      </c>
      <c r="O4601">
        <v>-0.3300515</v>
      </c>
      <c r="P4601">
        <v>-0.89445280000000005</v>
      </c>
      <c r="Q4601">
        <v>0.1593832</v>
      </c>
      <c r="R4601">
        <v>-0.41779359999999999</v>
      </c>
      <c r="S4601">
        <v>-2.6095280000000001</v>
      </c>
      <c r="T4601">
        <v>-0.24638940000000001</v>
      </c>
      <c r="U4601">
        <v>-1.69490099999999</v>
      </c>
      <c r="V4601">
        <v>-0.1023216</v>
      </c>
      <c r="W4601">
        <v>0.17186560000000001</v>
      </c>
      <c r="X4601">
        <v>0.97979210000000005</v>
      </c>
      <c r="Y4601">
        <v>-0.23759050000000001</v>
      </c>
      <c r="Z4601">
        <v>1.709929E-2</v>
      </c>
      <c r="AA4601">
        <v>0.97121489999999999</v>
      </c>
      <c r="AB4601">
        <v>39</v>
      </c>
      <c r="AC4601">
        <v>-11.480499999999999</v>
      </c>
      <c r="AD4601">
        <v>-1.1174740205089999</v>
      </c>
      <c r="AE4601">
        <v>-7.5594999999999803</v>
      </c>
      <c r="AF4601">
        <v>-3.3242641810674698</v>
      </c>
      <c r="AG4601">
        <v>-1.1174740205089999</v>
      </c>
      <c r="AH4601">
        <v>13.244781393300901</v>
      </c>
      <c r="AI4601">
        <v>94.678247221745494</v>
      </c>
      <c r="AJ4601">
        <v>104.08944017579</v>
      </c>
      <c r="AK4601">
        <v>13.7012304078273</v>
      </c>
      <c r="AL4601">
        <v>80.103693540319</v>
      </c>
      <c r="AM4601">
        <v>95.961899125214003</v>
      </c>
      <c r="AN4601">
        <v>1.00000002675616</v>
      </c>
    </row>
    <row r="4602" spans="1:40" x14ac:dyDescent="0.25">
      <c r="A4602" t="str">
        <f>"20190312173022575"</f>
        <v>20190312173022575</v>
      </c>
      <c r="B4602" t="str">
        <f>"1552383022572235"</f>
        <v>1552383022572235</v>
      </c>
      <c r="C4602" t="s">
        <v>40</v>
      </c>
      <c r="D4602">
        <v>3.3478940000000001</v>
      </c>
      <c r="E4602">
        <v>0.4418628</v>
      </c>
      <c r="F4602" t="s">
        <v>51</v>
      </c>
      <c r="G4602">
        <v>-409.34199999999998</v>
      </c>
      <c r="H4602" s="1">
        <v>-6.1321409999999998E-6</v>
      </c>
      <c r="I4602">
        <v>130.1431</v>
      </c>
      <c r="J4602">
        <v>-397.82229999999998</v>
      </c>
      <c r="K4602">
        <v>1.1175710000000001</v>
      </c>
      <c r="L4602">
        <v>137.91720000000001</v>
      </c>
      <c r="M4602">
        <v>-0.94137780000000004</v>
      </c>
      <c r="N4602">
        <v>0</v>
      </c>
      <c r="O4602">
        <v>-0.33703699999999998</v>
      </c>
      <c r="P4602">
        <v>-0.89121989999999995</v>
      </c>
      <c r="Q4602">
        <v>0.16005159999999999</v>
      </c>
      <c r="R4602">
        <v>-0.4243944</v>
      </c>
      <c r="S4602">
        <v>-2.5917970000000001</v>
      </c>
      <c r="T4602">
        <v>-0.24374779999999999</v>
      </c>
      <c r="U4602">
        <v>-1.724747</v>
      </c>
      <c r="V4602">
        <v>-0.1024</v>
      </c>
      <c r="W4602">
        <v>0.17251520000000001</v>
      </c>
      <c r="X4602">
        <v>0.97966969999999998</v>
      </c>
      <c r="Y4602">
        <v>-0.2412154</v>
      </c>
      <c r="Z4602">
        <v>1.7337849999999998E-2</v>
      </c>
      <c r="AA4602">
        <v>0.97031670000000003</v>
      </c>
      <c r="AB4602">
        <v>39</v>
      </c>
      <c r="AC4602">
        <v>-11.5197</v>
      </c>
      <c r="AD4602">
        <v>-1.117577132141</v>
      </c>
      <c r="AE4602">
        <v>-7.7740999999999998</v>
      </c>
      <c r="AF4602">
        <v>-3.4140896572514898</v>
      </c>
      <c r="AG4602">
        <v>-1.117577132141</v>
      </c>
      <c r="AH4602">
        <v>13.3794684675886</v>
      </c>
      <c r="AI4602">
        <v>94.627193753703807</v>
      </c>
      <c r="AJ4602">
        <v>104.31490086124001</v>
      </c>
      <c r="AK4602">
        <v>13.853344841922899</v>
      </c>
      <c r="AL4602">
        <v>80.065909460957698</v>
      </c>
      <c r="AM4602">
        <v>95.967174330283996</v>
      </c>
      <c r="AN4602">
        <v>0.99999998766456499</v>
      </c>
    </row>
    <row r="4603" spans="1:40" x14ac:dyDescent="0.25">
      <c r="A4603" t="str">
        <f>"20190312173022597"</f>
        <v>20190312173022597</v>
      </c>
      <c r="B4603" t="str">
        <f>"1552383022592734"</f>
        <v>1552383022592734</v>
      </c>
      <c r="C4603" t="s">
        <v>40</v>
      </c>
      <c r="D4603">
        <v>3.3596650000000001</v>
      </c>
      <c r="E4603">
        <v>0.44096459999999998</v>
      </c>
      <c r="F4603" t="s">
        <v>51</v>
      </c>
      <c r="G4603">
        <v>-409.90230000000003</v>
      </c>
      <c r="H4603" s="1">
        <v>-6.2909600000000002E-6</v>
      </c>
      <c r="I4603">
        <v>129.66460000000001</v>
      </c>
      <c r="J4603">
        <v>-398.1859</v>
      </c>
      <c r="K4603">
        <v>1.1176820000000001</v>
      </c>
      <c r="L4603">
        <v>137.78049999999999</v>
      </c>
      <c r="M4603">
        <v>-0.9387934</v>
      </c>
      <c r="N4603">
        <v>0</v>
      </c>
      <c r="O4603">
        <v>-0.34416989999999997</v>
      </c>
      <c r="P4603">
        <v>-0.88776319999999997</v>
      </c>
      <c r="Q4603">
        <v>0.1606621</v>
      </c>
      <c r="R4603">
        <v>-0.43135180000000001</v>
      </c>
      <c r="S4603">
        <v>-2.5721129999999999</v>
      </c>
      <c r="T4603">
        <v>-0.23795749999999999</v>
      </c>
      <c r="U4603">
        <v>-1.7571559999999999</v>
      </c>
      <c r="V4603">
        <v>-0.1027251</v>
      </c>
      <c r="W4603">
        <v>0.1731009</v>
      </c>
      <c r="X4603">
        <v>0.97953239999999997</v>
      </c>
      <c r="Y4603">
        <v>-0.24564639999999999</v>
      </c>
      <c r="Z4603">
        <v>1.7319600000000001E-2</v>
      </c>
      <c r="AA4603">
        <v>0.96920479999999998</v>
      </c>
      <c r="AB4603">
        <v>39</v>
      </c>
      <c r="AC4603">
        <v>-11.7164</v>
      </c>
      <c r="AD4603">
        <v>-1.1176882909600001</v>
      </c>
      <c r="AE4603">
        <v>-8.1158999999999804</v>
      </c>
      <c r="AF4603">
        <v>-3.56518084788472</v>
      </c>
      <c r="AG4603">
        <v>-1.1176882909600001</v>
      </c>
      <c r="AH4603">
        <v>13.7096955479355</v>
      </c>
      <c r="AI4603">
        <v>94.511358621894601</v>
      </c>
      <c r="AJ4603">
        <v>104.576799818216</v>
      </c>
      <c r="AK4603">
        <v>14.209697168165</v>
      </c>
      <c r="AL4603">
        <v>80.0318393251451</v>
      </c>
      <c r="AM4603">
        <v>95.986814560027398</v>
      </c>
      <c r="AN4603">
        <v>1.00000004520028</v>
      </c>
    </row>
    <row r="4604" spans="1:40" x14ac:dyDescent="0.25">
      <c r="A4604" t="str">
        <f>"20190312173022620"</f>
        <v>20190312173022620</v>
      </c>
      <c r="B4604" t="str">
        <f>"1552383022612251"</f>
        <v>1552383022612251</v>
      </c>
      <c r="C4604" t="s">
        <v>40</v>
      </c>
      <c r="D4604">
        <v>3.3561009999999998</v>
      </c>
      <c r="E4604">
        <v>0.44029299999999999</v>
      </c>
      <c r="F4604" t="s">
        <v>51</v>
      </c>
      <c r="G4604">
        <v>-410.39190000000002</v>
      </c>
      <c r="H4604" s="1">
        <v>-6.1216160000000004E-6</v>
      </c>
      <c r="I4604">
        <v>129.2587</v>
      </c>
      <c r="J4604">
        <v>-398.55509999999998</v>
      </c>
      <c r="K4604">
        <v>1.1177979999999901</v>
      </c>
      <c r="L4604">
        <v>137.63839999999999</v>
      </c>
      <c r="M4604">
        <v>-0.93605859999999996</v>
      </c>
      <c r="N4604">
        <v>0</v>
      </c>
      <c r="O4604">
        <v>-0.3515394</v>
      </c>
      <c r="P4604">
        <v>-0.88407289999999905</v>
      </c>
      <c r="Q4604">
        <v>0.16141059999999999</v>
      </c>
      <c r="R4604">
        <v>-0.43859100000000001</v>
      </c>
      <c r="S4604">
        <v>-2.5549010000000001</v>
      </c>
      <c r="T4604">
        <v>-0.23395050000000001</v>
      </c>
      <c r="U4604">
        <v>-1.783752</v>
      </c>
      <c r="V4604">
        <v>-0.1031401</v>
      </c>
      <c r="W4604">
        <v>0.17382220000000001</v>
      </c>
      <c r="X4604">
        <v>0.97936100000000004</v>
      </c>
      <c r="Y4604">
        <v>-0.24788060000000001</v>
      </c>
      <c r="Z4604">
        <v>1.7519460000000001E-2</v>
      </c>
      <c r="AA4604">
        <v>0.96863220000000005</v>
      </c>
      <c r="AB4604">
        <v>39</v>
      </c>
      <c r="AC4604">
        <v>-11.8368</v>
      </c>
      <c r="AD4604">
        <v>-1.117804121616</v>
      </c>
      <c r="AE4604">
        <v>-8.3796999999999802</v>
      </c>
      <c r="AF4604">
        <v>-3.6614322618572901</v>
      </c>
      <c r="AG4604">
        <v>-1.117804121616</v>
      </c>
      <c r="AH4604">
        <v>13.944398197838</v>
      </c>
      <c r="AI4604">
        <v>94.433461187012298</v>
      </c>
      <c r="AJ4604">
        <v>104.712254439958</v>
      </c>
      <c r="AK4604">
        <v>14.4603531548278</v>
      </c>
      <c r="AL4604">
        <v>79.989875311303607</v>
      </c>
      <c r="AM4604">
        <v>96.011868288986093</v>
      </c>
      <c r="AN4604">
        <v>1.0000000028809199</v>
      </c>
    </row>
    <row r="4605" spans="1:40" x14ac:dyDescent="0.25">
      <c r="A4605" t="str">
        <f>"20190312173022642"</f>
        <v>20190312173022642</v>
      </c>
      <c r="B4605" t="str">
        <f>"1552383022632747"</f>
        <v>1552383022632747</v>
      </c>
      <c r="C4605" t="s">
        <v>40</v>
      </c>
      <c r="D4605">
        <v>3.3580130000000001</v>
      </c>
      <c r="E4605">
        <v>0.43980360000000002</v>
      </c>
      <c r="F4605" t="s">
        <v>51</v>
      </c>
      <c r="G4605">
        <v>-410.91210000000001</v>
      </c>
      <c r="H4605" s="1">
        <v>-5.8990020000000002E-6</v>
      </c>
      <c r="I4605">
        <v>128.82599999999999</v>
      </c>
      <c r="J4605">
        <v>-398.91699999999997</v>
      </c>
      <c r="K4605">
        <v>1.117909</v>
      </c>
      <c r="L4605">
        <v>137.4957</v>
      </c>
      <c r="M4605">
        <v>-0.93326540000000002</v>
      </c>
      <c r="N4605">
        <v>0</v>
      </c>
      <c r="O4605">
        <v>-0.35888819999999999</v>
      </c>
      <c r="P4605">
        <v>-0.88048169999999903</v>
      </c>
      <c r="Q4605">
        <v>0.16117999999999999</v>
      </c>
      <c r="R4605">
        <v>-0.44583970000000001</v>
      </c>
      <c r="S4605">
        <v>-2.5375369999999999</v>
      </c>
      <c r="T4605">
        <v>-0.22954250000000001</v>
      </c>
      <c r="U4605">
        <v>-1.8096159999999999</v>
      </c>
      <c r="V4605">
        <v>-0.1035165</v>
      </c>
      <c r="W4605">
        <v>0.1735681</v>
      </c>
      <c r="X4605">
        <v>0.97936639999999997</v>
      </c>
      <c r="Y4605">
        <v>-0.24994640000000001</v>
      </c>
      <c r="Z4605">
        <v>1.7678220000000001E-2</v>
      </c>
      <c r="AA4605">
        <v>0.96809829999999997</v>
      </c>
      <c r="AB4605">
        <v>39</v>
      </c>
      <c r="AC4605">
        <v>-11.995100000000001</v>
      </c>
      <c r="AD4605">
        <v>-1.117914899002</v>
      </c>
      <c r="AE4605">
        <v>-8.6697000000000006</v>
      </c>
      <c r="AF4605">
        <v>-3.7651566689852598</v>
      </c>
      <c r="AG4605">
        <v>-1.117914899002</v>
      </c>
      <c r="AH4605">
        <v>14.226435914667199</v>
      </c>
      <c r="AI4605">
        <v>94.344112337157</v>
      </c>
      <c r="AJ4605">
        <v>104.82397857883601</v>
      </c>
      <c r="AK4605">
        <v>14.758645510260999</v>
      </c>
      <c r="AL4605">
        <v>80.0046593455085</v>
      </c>
      <c r="AM4605">
        <v>96.033613457357603</v>
      </c>
      <c r="AN4605">
        <v>1.0000000482794</v>
      </c>
    </row>
    <row r="4606" spans="1:40" x14ac:dyDescent="0.25">
      <c r="A4606" t="str">
        <f>"20190312173022665"</f>
        <v>20190312173022665</v>
      </c>
      <c r="B4606" t="str">
        <f>"1552383022652267"</f>
        <v>1552383022652267</v>
      </c>
      <c r="C4606" t="s">
        <v>40</v>
      </c>
      <c r="D4606">
        <v>3.3114979999999998</v>
      </c>
      <c r="E4606">
        <v>0.43945689999999998</v>
      </c>
      <c r="F4606" t="s">
        <v>51</v>
      </c>
      <c r="G4606">
        <v>-411.21339999999998</v>
      </c>
      <c r="H4606" s="1">
        <v>-5.7612510000000003E-6</v>
      </c>
      <c r="I4606">
        <v>128.55009999999999</v>
      </c>
      <c r="J4606">
        <v>-399.2724</v>
      </c>
      <c r="K4606">
        <v>1.118025</v>
      </c>
      <c r="L4606">
        <v>137.35220000000001</v>
      </c>
      <c r="M4606">
        <v>-0.93040940000000005</v>
      </c>
      <c r="N4606">
        <v>0</v>
      </c>
      <c r="O4606">
        <v>-0.36622840000000001</v>
      </c>
      <c r="P4606">
        <v>-0.87668119999999905</v>
      </c>
      <c r="Q4606">
        <v>0.16148399999999999</v>
      </c>
      <c r="R4606">
        <v>-0.45315919999999998</v>
      </c>
      <c r="S4606">
        <v>-2.5206300000000001</v>
      </c>
      <c r="T4606">
        <v>-0.2291617</v>
      </c>
      <c r="U4606">
        <v>-1.833771</v>
      </c>
      <c r="V4606">
        <v>-0.1040353</v>
      </c>
      <c r="W4606">
        <v>0.17384379999999999</v>
      </c>
      <c r="X4606">
        <v>0.97926250000000004</v>
      </c>
      <c r="Y4606">
        <v>-0.2514885</v>
      </c>
      <c r="Z4606">
        <v>1.8156800000000001E-2</v>
      </c>
      <c r="AA4606">
        <v>0.96769000000000005</v>
      </c>
      <c r="AB4606">
        <v>39</v>
      </c>
      <c r="AC4606">
        <v>-11.940999999999899</v>
      </c>
      <c r="AD4606">
        <v>-1.1180307612510001</v>
      </c>
      <c r="AE4606">
        <v>-8.8021000000000207</v>
      </c>
      <c r="AF4606">
        <v>-3.7952761624147899</v>
      </c>
      <c r="AG4606">
        <v>-1.1180307612510001</v>
      </c>
      <c r="AH4606">
        <v>14.254174085053901</v>
      </c>
      <c r="AI4606">
        <v>94.3344273056194</v>
      </c>
      <c r="AJ4606">
        <v>104.909510599111</v>
      </c>
      <c r="AK4606">
        <v>14.7930927388129</v>
      </c>
      <c r="AL4606">
        <v>79.988618834784006</v>
      </c>
      <c r="AM4606">
        <v>96.064266321761096</v>
      </c>
      <c r="AN4606">
        <v>1.0000000271753799</v>
      </c>
    </row>
    <row r="4607" spans="1:40" x14ac:dyDescent="0.25">
      <c r="A4607" t="str">
        <f>"20190312173022699"</f>
        <v>20190312173022699</v>
      </c>
      <c r="B4607" t="str">
        <f>"1552383022692377"</f>
        <v>1552383022692377</v>
      </c>
      <c r="C4607" t="s">
        <v>40</v>
      </c>
      <c r="D4607">
        <v>3.334435</v>
      </c>
      <c r="E4607">
        <v>0.43906420000000002</v>
      </c>
      <c r="F4607" t="s">
        <v>51</v>
      </c>
      <c r="G4607">
        <v>-411.58260000000001</v>
      </c>
      <c r="H4607" s="1">
        <v>-5.5960999999999997E-6</v>
      </c>
      <c r="I4607">
        <v>128.22239999999999</v>
      </c>
      <c r="J4607">
        <v>-399.82159999999999</v>
      </c>
      <c r="K4607">
        <v>1.118177</v>
      </c>
      <c r="L4607">
        <v>137.12370000000001</v>
      </c>
      <c r="M4607">
        <v>-0.9257765</v>
      </c>
      <c r="N4607">
        <v>0</v>
      </c>
      <c r="O4607">
        <v>-0.37778590000000001</v>
      </c>
      <c r="P4607">
        <v>-0.87067969999999895</v>
      </c>
      <c r="Q4607">
        <v>0.16122600000000001</v>
      </c>
      <c r="R4607">
        <v>-0.46467570000000002</v>
      </c>
      <c r="S4607">
        <v>-2.5039669999999998</v>
      </c>
      <c r="T4607">
        <v>-0.22741529999999999</v>
      </c>
      <c r="U4607">
        <v>-1.8570709999999999</v>
      </c>
      <c r="V4607">
        <v>-0.1047964</v>
      </c>
      <c r="W4607">
        <v>0.17354800000000001</v>
      </c>
      <c r="X4607">
        <v>0.97923380000000004</v>
      </c>
      <c r="Y4607">
        <v>-0.24835560000000001</v>
      </c>
      <c r="Z4607">
        <v>1.9012399999999999E-2</v>
      </c>
      <c r="AA4607">
        <v>0.96848230000000002</v>
      </c>
      <c r="AB4607">
        <v>39</v>
      </c>
      <c r="AC4607">
        <v>-11.760999999999999</v>
      </c>
      <c r="AD4607">
        <v>-1.1181825961</v>
      </c>
      <c r="AE4607">
        <v>-8.9013000000000098</v>
      </c>
      <c r="AF4607">
        <v>-3.7761814391016801</v>
      </c>
      <c r="AG4607">
        <v>-1.1181825961</v>
      </c>
      <c r="AH4607">
        <v>14.1709366515116</v>
      </c>
      <c r="AI4607">
        <v>94.360144973496105</v>
      </c>
      <c r="AJ4607">
        <v>104.921092703724</v>
      </c>
      <c r="AK4607">
        <v>14.7080020451587</v>
      </c>
      <c r="AL4607">
        <v>80.005828395760901</v>
      </c>
      <c r="AM4607">
        <v>96.108474678219096</v>
      </c>
      <c r="AN4607">
        <v>1.0000000144097001</v>
      </c>
    </row>
    <row r="4608" spans="1:40" x14ac:dyDescent="0.25">
      <c r="A4608" t="str">
        <f>"20190312173022720"</f>
        <v>20190312173022720</v>
      </c>
      <c r="B4608" t="str">
        <f>"1552383022711897"</f>
        <v>1552383022711897</v>
      </c>
      <c r="C4608" t="s">
        <v>40</v>
      </c>
      <c r="D4608">
        <v>3.275703</v>
      </c>
      <c r="E4608">
        <v>0.43890010000000002</v>
      </c>
      <c r="F4608" t="s">
        <v>51</v>
      </c>
      <c r="G4608">
        <v>-412.03449999999998</v>
      </c>
      <c r="H4608" s="1">
        <v>-5.3845930000000001E-6</v>
      </c>
      <c r="I4608">
        <v>127.7944</v>
      </c>
      <c r="J4608">
        <v>-400.17309999999998</v>
      </c>
      <c r="K4608">
        <v>1.1182609999999999</v>
      </c>
      <c r="L4608">
        <v>136.97329999999999</v>
      </c>
      <c r="M4608">
        <v>-0.92267949999999999</v>
      </c>
      <c r="N4608">
        <v>0</v>
      </c>
      <c r="O4608">
        <v>-0.38528790000000002</v>
      </c>
      <c r="P4608">
        <v>-0.86652399999999996</v>
      </c>
      <c r="Q4608">
        <v>0.1610982</v>
      </c>
      <c r="R4608">
        <v>-0.47242329999999999</v>
      </c>
      <c r="S4608">
        <v>-2.4775390000000002</v>
      </c>
      <c r="T4608">
        <v>-0.22683780000000001</v>
      </c>
      <c r="U4608">
        <v>-1.892563</v>
      </c>
      <c r="V4608">
        <v>-0.10561089999999999</v>
      </c>
      <c r="W4608">
        <v>0.17339019999999999</v>
      </c>
      <c r="X4608">
        <v>0.97917430000000005</v>
      </c>
      <c r="Y4608">
        <v>-0.25423709999999999</v>
      </c>
      <c r="Z4608">
        <v>1.932917E-2</v>
      </c>
      <c r="AA4608">
        <v>0.96694869999999999</v>
      </c>
      <c r="AB4608">
        <v>39</v>
      </c>
      <c r="AC4608">
        <v>-11.8614</v>
      </c>
      <c r="AD4608">
        <v>-1.1182663845930001</v>
      </c>
      <c r="AE4608">
        <v>-9.1789000000000005</v>
      </c>
      <c r="AF4608">
        <v>-3.87799107894124</v>
      </c>
      <c r="AG4608">
        <v>-1.1182663845930001</v>
      </c>
      <c r="AH4608">
        <v>14.4022867345093</v>
      </c>
      <c r="AI4608">
        <v>94.287711858458394</v>
      </c>
      <c r="AJ4608">
        <v>105.070166051697</v>
      </c>
      <c r="AK4608">
        <v>14.957111943763699</v>
      </c>
      <c r="AL4608">
        <v>80.015009379314904</v>
      </c>
      <c r="AM4608">
        <v>96.155959128533993</v>
      </c>
      <c r="AN4608">
        <v>1.0000000667176601</v>
      </c>
    </row>
    <row r="4609" spans="1:40" x14ac:dyDescent="0.25">
      <c r="A4609" t="str">
        <f>"20190312173022743"</f>
        <v>20190312173022743</v>
      </c>
      <c r="B4609" t="str">
        <f>"1552383022732393"</f>
        <v>1552383022732393</v>
      </c>
      <c r="C4609" t="s">
        <v>40</v>
      </c>
      <c r="D4609">
        <v>3.282559</v>
      </c>
      <c r="E4609">
        <v>0.43887619999999999</v>
      </c>
      <c r="F4609" t="s">
        <v>51</v>
      </c>
      <c r="G4609">
        <v>-412.27960000000002</v>
      </c>
      <c r="H4609" s="1">
        <v>-5.2636080000000001E-6</v>
      </c>
      <c r="I4609">
        <v>127.5442</v>
      </c>
      <c r="J4609">
        <v>-400.524</v>
      </c>
      <c r="K4609">
        <v>1.1183339999999999</v>
      </c>
      <c r="L4609">
        <v>136.81960000000001</v>
      </c>
      <c r="M4609">
        <v>-0.91948410000000003</v>
      </c>
      <c r="N4609">
        <v>0</v>
      </c>
      <c r="O4609">
        <v>-0.39285229999999999</v>
      </c>
      <c r="P4609">
        <v>-0.86261350000000003</v>
      </c>
      <c r="Q4609">
        <v>0.1602526</v>
      </c>
      <c r="R4609">
        <v>-0.47981010000000002</v>
      </c>
      <c r="S4609">
        <v>-2.4598689999999999</v>
      </c>
      <c r="T4609">
        <v>-0.22721530000000001</v>
      </c>
      <c r="U4609">
        <v>-1.915848</v>
      </c>
      <c r="V4609">
        <v>-0.1058914</v>
      </c>
      <c r="W4609">
        <v>0.17252879999999901</v>
      </c>
      <c r="X4609">
        <v>0.9792961</v>
      </c>
      <c r="Y4609">
        <v>-0.25537470000000001</v>
      </c>
      <c r="Z4609">
        <v>1.990014E-2</v>
      </c>
      <c r="AA4609">
        <v>0.96663730000000003</v>
      </c>
      <c r="AB4609">
        <v>39</v>
      </c>
      <c r="AC4609">
        <v>-11.755599999999999</v>
      </c>
      <c r="AD4609">
        <v>-1.1183392636079901</v>
      </c>
      <c r="AE4609">
        <v>-9.2753999999999994</v>
      </c>
      <c r="AF4609">
        <v>-3.88909841794568</v>
      </c>
      <c r="AG4609">
        <v>-1.1183392636079901</v>
      </c>
      <c r="AH4609">
        <v>14.3743346981489</v>
      </c>
      <c r="AI4609">
        <v>94.294901713741098</v>
      </c>
      <c r="AJ4609">
        <v>105.13939628684</v>
      </c>
      <c r="AK4609">
        <v>14.9330930227934</v>
      </c>
      <c r="AL4609">
        <v>80.065118635328702</v>
      </c>
      <c r="AM4609">
        <v>96.171421432833</v>
      </c>
      <c r="AN4609">
        <v>1.0000000134492999</v>
      </c>
    </row>
    <row r="4610" spans="1:40" x14ac:dyDescent="0.25">
      <c r="A4610" t="str">
        <f>"20190312173022764"</f>
        <v>20190312173022764</v>
      </c>
      <c r="B4610" t="str">
        <f>"1552383022762649"</f>
        <v>1552383022762649</v>
      </c>
      <c r="C4610" t="s">
        <v>40</v>
      </c>
      <c r="D4610">
        <v>3.3015859999999999</v>
      </c>
      <c r="E4610">
        <v>0.43904110000000002</v>
      </c>
      <c r="F4610" t="s">
        <v>51</v>
      </c>
      <c r="G4610">
        <v>-412.41269999999997</v>
      </c>
      <c r="H4610" s="1">
        <v>-5.1950659999999999E-6</v>
      </c>
      <c r="I4610">
        <v>127.40009999999999</v>
      </c>
      <c r="J4610">
        <v>-400.87049999999999</v>
      </c>
      <c r="K4610">
        <v>1.118404</v>
      </c>
      <c r="L4610">
        <v>136.6644</v>
      </c>
      <c r="M4610">
        <v>-0.91622910000000002</v>
      </c>
      <c r="N4610">
        <v>0</v>
      </c>
      <c r="O4610">
        <v>-0.40038430000000003</v>
      </c>
      <c r="P4610">
        <v>-0.85837220000000003</v>
      </c>
      <c r="Q4610">
        <v>0.15982099999999999</v>
      </c>
      <c r="R4610">
        <v>-0.48749819999999999</v>
      </c>
      <c r="S4610">
        <v>-2.4436040000000001</v>
      </c>
      <c r="T4610">
        <v>-0.22986419999999999</v>
      </c>
      <c r="U4610">
        <v>-1.936096</v>
      </c>
      <c r="V4610">
        <v>-0.1065953</v>
      </c>
      <c r="W4610">
        <v>0.17207229999999901</v>
      </c>
      <c r="X4610">
        <v>0.97929999999999995</v>
      </c>
      <c r="Y4610">
        <v>-0.25551659999999998</v>
      </c>
      <c r="Z4610">
        <v>2.071365E-2</v>
      </c>
      <c r="AA4610">
        <v>0.96658270000000002</v>
      </c>
      <c r="AB4610">
        <v>39</v>
      </c>
      <c r="AC4610">
        <v>-11.5421999999999</v>
      </c>
      <c r="AD4610">
        <v>-1.118409195066</v>
      </c>
      <c r="AE4610">
        <v>-9.2643000000000004</v>
      </c>
      <c r="AF4610">
        <v>-3.8453663363344499</v>
      </c>
      <c r="AG4610">
        <v>-1.118409195066</v>
      </c>
      <c r="AH4610">
        <v>14.2050125245849</v>
      </c>
      <c r="AI4610">
        <v>94.346012378830295</v>
      </c>
      <c r="AJ4610">
        <v>105.14721142245099</v>
      </c>
      <c r="AK4610">
        <v>14.7587283399294</v>
      </c>
      <c r="AL4610">
        <v>80.091670755577297</v>
      </c>
      <c r="AM4610">
        <v>96.212100950505302</v>
      </c>
      <c r="AN4610">
        <v>0.99999996220468901</v>
      </c>
    </row>
    <row r="4611" spans="1:40" x14ac:dyDescent="0.25">
      <c r="A4611" t="str">
        <f>"20190312173022787"</f>
        <v>20190312173022787</v>
      </c>
      <c r="B4611" t="str">
        <f>"1552383022782172"</f>
        <v>1552383022782172</v>
      </c>
      <c r="C4611" t="s">
        <v>40</v>
      </c>
      <c r="D4611">
        <v>3.2765409999999999</v>
      </c>
      <c r="E4611">
        <v>0.43917780000000001</v>
      </c>
      <c r="F4611" t="s">
        <v>51</v>
      </c>
      <c r="G4611">
        <v>-412.56819999999999</v>
      </c>
      <c r="H4611" s="1">
        <v>-5.1161339999999997E-6</v>
      </c>
      <c r="I4611">
        <v>127.2351</v>
      </c>
      <c r="J4611">
        <v>-401.22320000000002</v>
      </c>
      <c r="K4611">
        <v>1.1184620000000001</v>
      </c>
      <c r="L4611">
        <v>136.5027</v>
      </c>
      <c r="M4611">
        <v>-0.91281769999999995</v>
      </c>
      <c r="N4611">
        <v>0</v>
      </c>
      <c r="O4611">
        <v>-0.40810229999999997</v>
      </c>
      <c r="P4611">
        <v>-0.85389799999999905</v>
      </c>
      <c r="Q4611">
        <v>0.1600309</v>
      </c>
      <c r="R4611">
        <v>-0.4952259</v>
      </c>
      <c r="S4611">
        <v>-2.4271240000000001</v>
      </c>
      <c r="T4611">
        <v>-0.23205439999999999</v>
      </c>
      <c r="U4611">
        <v>-1.9564509999999999</v>
      </c>
      <c r="V4611">
        <v>-0.10721650000000001</v>
      </c>
      <c r="W4611">
        <v>0.1722592</v>
      </c>
      <c r="X4611">
        <v>0.97919929999999999</v>
      </c>
      <c r="Y4611">
        <v>-0.25550149999999999</v>
      </c>
      <c r="Z4611">
        <v>2.151838E-2</v>
      </c>
      <c r="AA4611">
        <v>0.96656920000000002</v>
      </c>
      <c r="AB4611">
        <v>39</v>
      </c>
      <c r="AC4611">
        <v>-11.344999999999899</v>
      </c>
      <c r="AD4611">
        <v>-1.1184671161340001</v>
      </c>
      <c r="AE4611">
        <v>-9.2675999999999998</v>
      </c>
      <c r="AF4611">
        <v>-3.8079252665667398</v>
      </c>
      <c r="AG4611">
        <v>-1.1184671161340001</v>
      </c>
      <c r="AH4611">
        <v>14.057628207774499</v>
      </c>
      <c r="AI4611">
        <v>94.391433616666802</v>
      </c>
      <c r="AJ4611">
        <v>105.156539878967</v>
      </c>
      <c r="AK4611">
        <v>14.6071275189083</v>
      </c>
      <c r="AL4611">
        <v>80.080799621923902</v>
      </c>
      <c r="AM4611">
        <v>96.248654855066405</v>
      </c>
      <c r="AN4611">
        <v>0.99999993948868804</v>
      </c>
    </row>
    <row r="4612" spans="1:40" x14ac:dyDescent="0.25">
      <c r="A4612" t="str">
        <f>"20190312173022809"</f>
        <v>20190312173022809</v>
      </c>
      <c r="B4612" t="str">
        <f>"1552383022802668"</f>
        <v>1552383022802668</v>
      </c>
      <c r="C4612" t="s">
        <v>40</v>
      </c>
      <c r="D4612">
        <v>3.2512759999999998</v>
      </c>
      <c r="E4612">
        <v>0.43932719999999997</v>
      </c>
      <c r="F4612" t="s">
        <v>51</v>
      </c>
      <c r="G4612">
        <v>-412.86989999999997</v>
      </c>
      <c r="H4612" s="1">
        <v>-4.9735839999999997E-6</v>
      </c>
      <c r="I4612">
        <v>126.9455</v>
      </c>
      <c r="J4612">
        <v>-401.57130000000001</v>
      </c>
      <c r="K4612">
        <v>1.1185130000000001</v>
      </c>
      <c r="L4612">
        <v>136.33969999999999</v>
      </c>
      <c r="M4612">
        <v>-0.90935969999999999</v>
      </c>
      <c r="N4612">
        <v>0</v>
      </c>
      <c r="O4612">
        <v>-0.41575010000000001</v>
      </c>
      <c r="P4612">
        <v>-0.84943369999999996</v>
      </c>
      <c r="Q4612">
        <v>0.16033049999999999</v>
      </c>
      <c r="R4612">
        <v>-0.502749</v>
      </c>
      <c r="S4612">
        <v>-2.409821</v>
      </c>
      <c r="T4612">
        <v>-0.23142270000000001</v>
      </c>
      <c r="U4612">
        <v>-1.9774929999999999</v>
      </c>
      <c r="V4612">
        <v>-0.10769769999999899</v>
      </c>
      <c r="W4612">
        <v>0.1725401</v>
      </c>
      <c r="X4612">
        <v>0.97909710000000005</v>
      </c>
      <c r="Y4612">
        <v>-0.25584750000000001</v>
      </c>
      <c r="Z4612">
        <v>2.2048720000000001E-2</v>
      </c>
      <c r="AA4612">
        <v>0.96646569999999998</v>
      </c>
      <c r="AB4612">
        <v>39</v>
      </c>
      <c r="AC4612">
        <v>-11.298599999999899</v>
      </c>
      <c r="AD4612">
        <v>-1.1185179735839901</v>
      </c>
      <c r="AE4612">
        <v>-9.3941999999999908</v>
      </c>
      <c r="AF4612">
        <v>-3.8235740713094399</v>
      </c>
      <c r="AG4612">
        <v>-1.1185179735839901</v>
      </c>
      <c r="AH4612">
        <v>14.0999664292888</v>
      </c>
      <c r="AI4612">
        <v>94.378170580051901</v>
      </c>
      <c r="AJ4612">
        <v>105.172364078142</v>
      </c>
      <c r="AK4612">
        <v>14.651957358765801</v>
      </c>
      <c r="AL4612">
        <v>80.0644612606701</v>
      </c>
      <c r="AM4612">
        <v>96.277126129963605</v>
      </c>
      <c r="AN4612">
        <v>1.00000000596085</v>
      </c>
    </row>
    <row r="4613" spans="1:40" x14ac:dyDescent="0.25">
      <c r="A4613" t="str">
        <f>"20190312173022831"</f>
        <v>20190312173022831</v>
      </c>
      <c r="B4613" t="str">
        <f>"1552383022822185"</f>
        <v>1552383022822185</v>
      </c>
      <c r="C4613" t="s">
        <v>40</v>
      </c>
      <c r="D4613">
        <v>3.2109329999999998</v>
      </c>
      <c r="E4613">
        <v>0.43950679999999998</v>
      </c>
      <c r="F4613" t="s">
        <v>51</v>
      </c>
      <c r="G4613">
        <v>-413.1848</v>
      </c>
      <c r="H4613" s="1">
        <v>-4.8247879999999996E-6</v>
      </c>
      <c r="I4613">
        <v>126.64319999999999</v>
      </c>
      <c r="J4613">
        <v>-401.92630000000003</v>
      </c>
      <c r="K4613">
        <v>1.118552</v>
      </c>
      <c r="L4613">
        <v>136.1696</v>
      </c>
      <c r="M4613">
        <v>-0.90573999999999999</v>
      </c>
      <c r="N4613">
        <v>0</v>
      </c>
      <c r="O4613">
        <v>-0.4235775</v>
      </c>
      <c r="P4613">
        <v>-0.84478439999999999</v>
      </c>
      <c r="Q4613">
        <v>0.1609592</v>
      </c>
      <c r="R4613">
        <v>-0.51032529999999998</v>
      </c>
      <c r="S4613">
        <v>-2.3928219999999998</v>
      </c>
      <c r="T4613">
        <v>-0.23045550000000001</v>
      </c>
      <c r="U4613">
        <v>-1.997833</v>
      </c>
      <c r="V4613">
        <v>-0.1080906</v>
      </c>
      <c r="W4613">
        <v>0.17315249999999999</v>
      </c>
      <c r="X4613">
        <v>0.97894570000000003</v>
      </c>
      <c r="Y4613">
        <v>-0.2557429</v>
      </c>
      <c r="Z4613">
        <v>2.2573780000000002E-2</v>
      </c>
      <c r="AA4613">
        <v>0.96648129999999999</v>
      </c>
      <c r="AB4613">
        <v>39</v>
      </c>
      <c r="AC4613">
        <v>-11.2584999999999</v>
      </c>
      <c r="AD4613">
        <v>-1.118556824788</v>
      </c>
      <c r="AE4613">
        <v>-9.5264000000000095</v>
      </c>
      <c r="AF4613">
        <v>-3.8379362652862401</v>
      </c>
      <c r="AG4613">
        <v>-1.118556824788</v>
      </c>
      <c r="AH4613">
        <v>14.1525776002947</v>
      </c>
      <c r="AI4613">
        <v>94.362101516736004</v>
      </c>
      <c r="AJ4613">
        <v>105.1727234697</v>
      </c>
      <c r="AK4613">
        <v>14.706337983299701</v>
      </c>
      <c r="AL4613">
        <v>80.028837329279597</v>
      </c>
      <c r="AM4613">
        <v>96.300808862160693</v>
      </c>
      <c r="AN4613">
        <v>1.0000000248065399</v>
      </c>
    </row>
    <row r="4614" spans="1:40" x14ac:dyDescent="0.25">
      <c r="A4614" t="str">
        <f>"20190312173022853"</f>
        <v>20190312173022853</v>
      </c>
      <c r="B4614" t="str">
        <f>"1552383022842681"</f>
        <v>1552383022842681</v>
      </c>
      <c r="C4614" t="s">
        <v>40</v>
      </c>
      <c r="D4614">
        <v>3.2820949999999902</v>
      </c>
      <c r="E4614">
        <v>0.4398088</v>
      </c>
      <c r="F4614" t="s">
        <v>51</v>
      </c>
      <c r="G4614">
        <v>-413.5625</v>
      </c>
      <c r="H4614" s="1">
        <v>-4.6469530000000003E-6</v>
      </c>
      <c r="I4614">
        <v>126.2824</v>
      </c>
      <c r="J4614">
        <v>-402.25920000000002</v>
      </c>
      <c r="K4614">
        <v>1.1185860000000001</v>
      </c>
      <c r="L4614">
        <v>136.0068</v>
      </c>
      <c r="M4614">
        <v>-0.90226459999999997</v>
      </c>
      <c r="N4614">
        <v>0</v>
      </c>
      <c r="O4614">
        <v>-0.43093110000000001</v>
      </c>
      <c r="P4614">
        <v>-0.84056450000000005</v>
      </c>
      <c r="Q4614">
        <v>0.16147310000000001</v>
      </c>
      <c r="R4614">
        <v>-0.51708569999999998</v>
      </c>
      <c r="S4614">
        <v>-2.375397</v>
      </c>
      <c r="T4614">
        <v>-0.2283413</v>
      </c>
      <c r="U4614">
        <v>-2.0183719999999998</v>
      </c>
      <c r="V4614">
        <v>-0.108047699999999</v>
      </c>
      <c r="W4614">
        <v>0.17366110000000001</v>
      </c>
      <c r="X4614">
        <v>0.97886030000000002</v>
      </c>
      <c r="Y4614">
        <v>-0.25623869999999999</v>
      </c>
      <c r="Z4614">
        <v>2.2921540000000001E-2</v>
      </c>
      <c r="AA4614">
        <v>0.96634169999999997</v>
      </c>
      <c r="AB4614">
        <v>39</v>
      </c>
      <c r="AC4614">
        <v>-11.303299999999901</v>
      </c>
      <c r="AD4614">
        <v>-1.118590646953</v>
      </c>
      <c r="AE4614">
        <v>-9.7243999999999993</v>
      </c>
      <c r="AF4614">
        <v>-3.8816164924662302</v>
      </c>
      <c r="AG4614">
        <v>-1.118590646953</v>
      </c>
      <c r="AH4614">
        <v>14.310138987821199</v>
      </c>
      <c r="AI4614">
        <v>94.314312759941302</v>
      </c>
      <c r="AJ4614">
        <v>105.176275025658</v>
      </c>
      <c r="AK4614">
        <v>14.869373540293999</v>
      </c>
      <c r="AL4614">
        <v>79.999248030866994</v>
      </c>
      <c r="AM4614">
        <v>96.298873316383293</v>
      </c>
      <c r="AN4614">
        <v>0.99999998502229404</v>
      </c>
    </row>
    <row r="4615" spans="1:40" x14ac:dyDescent="0.25">
      <c r="A4615" t="str">
        <f>"20190312173022876"</f>
        <v>20190312173022876</v>
      </c>
      <c r="B4615" t="str">
        <f>"1552383022872467"</f>
        <v>1552383022872467</v>
      </c>
      <c r="C4615" t="s">
        <v>40</v>
      </c>
      <c r="D4615">
        <v>3.2094909999999999</v>
      </c>
      <c r="E4615">
        <v>0.44024069999999998</v>
      </c>
      <c r="F4615" t="s">
        <v>51</v>
      </c>
      <c r="G4615">
        <v>-413.88529999999997</v>
      </c>
      <c r="H4615" s="1">
        <v>-4.4980120000000003E-6</v>
      </c>
      <c r="I4615">
        <v>125.9828</v>
      </c>
      <c r="J4615">
        <v>-402.60739999999998</v>
      </c>
      <c r="K4615">
        <v>1.118611</v>
      </c>
      <c r="L4615">
        <v>135.8329</v>
      </c>
      <c r="M4615">
        <v>-0.89854400000000001</v>
      </c>
      <c r="N4615">
        <v>0</v>
      </c>
      <c r="O4615">
        <v>-0.43863619999999998</v>
      </c>
      <c r="P4615">
        <v>-0.83586130000000003</v>
      </c>
      <c r="Q4615">
        <v>0.16198699999999999</v>
      </c>
      <c r="R4615">
        <v>-0.52449639999999997</v>
      </c>
      <c r="S4615">
        <v>-2.3605960000000001</v>
      </c>
      <c r="T4615">
        <v>-0.22712099999999999</v>
      </c>
      <c r="U4615">
        <v>-2.0352939999999999</v>
      </c>
      <c r="V4615">
        <v>-0.10839029999999999</v>
      </c>
      <c r="W4615">
        <v>0.17416219999999999</v>
      </c>
      <c r="X4615">
        <v>0.97873339999999998</v>
      </c>
      <c r="Y4615">
        <v>-0.2549517</v>
      </c>
      <c r="Z4615">
        <v>2.344108E-2</v>
      </c>
      <c r="AA4615">
        <v>0.96666960000000002</v>
      </c>
      <c r="AB4615">
        <v>39</v>
      </c>
      <c r="AC4615">
        <v>-11.277899999999899</v>
      </c>
      <c r="AD4615">
        <v>-1.118615498012</v>
      </c>
      <c r="AE4615">
        <v>-9.8500999999999905</v>
      </c>
      <c r="AF4615">
        <v>-3.8826085805344501</v>
      </c>
      <c r="AG4615">
        <v>-1.118615498012</v>
      </c>
      <c r="AH4615">
        <v>14.3756406018202</v>
      </c>
      <c r="AI4615">
        <v>94.2960830232349</v>
      </c>
      <c r="AJ4615">
        <v>105.11397937236799</v>
      </c>
      <c r="AK4615">
        <v>14.9326820342072</v>
      </c>
      <c r="AL4615">
        <v>79.970092964563904</v>
      </c>
      <c r="AM4615">
        <v>96.319497263755196</v>
      </c>
      <c r="AN4615">
        <v>0.99999999865924505</v>
      </c>
    </row>
    <row r="4616" spans="1:40" x14ac:dyDescent="0.25">
      <c r="A4616" t="str">
        <f>"20190312173022898"</f>
        <v>20190312173022898</v>
      </c>
      <c r="B4616" t="str">
        <f>"1552383022891991"</f>
        <v>1552383022891991</v>
      </c>
      <c r="C4616" t="s">
        <v>40</v>
      </c>
      <c r="D4616">
        <v>3.2656890000000001</v>
      </c>
      <c r="E4616">
        <v>0.44018210000000002</v>
      </c>
      <c r="F4616" t="s">
        <v>51</v>
      </c>
      <c r="G4616">
        <v>-414.17340000000002</v>
      </c>
      <c r="H4616" s="1">
        <v>-4.3622509999999999E-6</v>
      </c>
      <c r="I4616">
        <v>125.7073</v>
      </c>
      <c r="J4616">
        <v>-402.95150000000001</v>
      </c>
      <c r="K4616">
        <v>1.1186309999999999</v>
      </c>
      <c r="L4616">
        <v>135.65729999999999</v>
      </c>
      <c r="M4616">
        <v>-0.89478219999999997</v>
      </c>
      <c r="N4616">
        <v>0</v>
      </c>
      <c r="O4616">
        <v>-0.44625969999999998</v>
      </c>
      <c r="P4616">
        <v>-0.8313431</v>
      </c>
      <c r="Q4616">
        <v>0.16224820000000001</v>
      </c>
      <c r="R4616">
        <v>-0.53154939999999995</v>
      </c>
      <c r="S4616">
        <v>-2.3448790000000002</v>
      </c>
      <c r="T4616">
        <v>-0.22678599999999999</v>
      </c>
      <c r="U4616">
        <v>-2.0528409999999999</v>
      </c>
      <c r="V4616">
        <v>-0.1083862</v>
      </c>
      <c r="W4616">
        <v>0.1744204</v>
      </c>
      <c r="X4616">
        <v>0.97868790000000006</v>
      </c>
      <c r="Y4616">
        <v>-0.25405329999999998</v>
      </c>
      <c r="Z4616">
        <v>2.4029109999999999E-2</v>
      </c>
      <c r="AA4616">
        <v>0.96689170000000002</v>
      </c>
      <c r="AB4616">
        <v>39</v>
      </c>
      <c r="AC4616">
        <v>-11.2219</v>
      </c>
      <c r="AD4616">
        <v>-1.1186353622509999</v>
      </c>
      <c r="AE4616">
        <v>-9.9499999999999797</v>
      </c>
      <c r="AF4616">
        <v>-3.8740718978992401</v>
      </c>
      <c r="AG4616">
        <v>-1.1186353622509999</v>
      </c>
      <c r="AH4616">
        <v>14.4028867562551</v>
      </c>
      <c r="AI4616">
        <v>94.289247131266706</v>
      </c>
      <c r="AJ4616">
        <v>105.05502886446099</v>
      </c>
      <c r="AK4616">
        <v>14.956701677083799</v>
      </c>
      <c r="AL4616">
        <v>79.955069509993294</v>
      </c>
      <c r="AM4616">
        <v>96.319551565353905</v>
      </c>
      <c r="AN4616">
        <v>1.0000000249465</v>
      </c>
    </row>
    <row r="4617" spans="1:40" x14ac:dyDescent="0.25">
      <c r="A4617" t="str">
        <f>"20190312173022922"</f>
        <v>20190312173022922</v>
      </c>
      <c r="B4617" t="str">
        <f>"1552383022912484"</f>
        <v>1552383022912484</v>
      </c>
      <c r="C4617" t="s">
        <v>40</v>
      </c>
      <c r="D4617">
        <v>3.2322890000000002</v>
      </c>
      <c r="E4617">
        <v>0.42641289999999998</v>
      </c>
      <c r="F4617" t="s">
        <v>51</v>
      </c>
      <c r="G4617">
        <v>-414.44920000000002</v>
      </c>
      <c r="H4617" s="1">
        <v>-4.2231859999999997E-6</v>
      </c>
      <c r="I4617">
        <v>125.4173</v>
      </c>
      <c r="J4617">
        <v>-403.30079999999998</v>
      </c>
      <c r="K4617">
        <v>1.118641</v>
      </c>
      <c r="L4617">
        <v>135.47540000000001</v>
      </c>
      <c r="M4617">
        <v>-0.89087739999999904</v>
      </c>
      <c r="N4617">
        <v>0</v>
      </c>
      <c r="O4617">
        <v>-0.45400459999999898</v>
      </c>
      <c r="P4617">
        <v>-0.82658519999999902</v>
      </c>
      <c r="Q4617">
        <v>0.16242960000000001</v>
      </c>
      <c r="R4617">
        <v>-0.53886339999999999</v>
      </c>
      <c r="S4617">
        <v>-2.3274840000000001</v>
      </c>
      <c r="T4617">
        <v>-0.22644410000000001</v>
      </c>
      <c r="U4617">
        <v>-2.0728759999999999</v>
      </c>
      <c r="V4617">
        <v>-0.1085578</v>
      </c>
      <c r="W4617">
        <v>0.1745951</v>
      </c>
      <c r="X4617">
        <v>0.97863770000000005</v>
      </c>
      <c r="Y4617">
        <v>-0.25391000000000002</v>
      </c>
      <c r="Z4617">
        <v>2.4594359999999999E-2</v>
      </c>
      <c r="AA4617">
        <v>0.96691510000000003</v>
      </c>
      <c r="AB4617">
        <v>39</v>
      </c>
      <c r="AC4617">
        <v>-11.148400000000001</v>
      </c>
      <c r="AD4617">
        <v>-1.118645223186</v>
      </c>
      <c r="AE4617">
        <v>-10.0581</v>
      </c>
      <c r="AF4617">
        <v>-3.8780079729329402</v>
      </c>
      <c r="AG4617">
        <v>-1.118645223186</v>
      </c>
      <c r="AH4617">
        <v>14.419819761991301</v>
      </c>
      <c r="AI4617">
        <v>94.284312636404394</v>
      </c>
      <c r="AJ4617">
        <v>105.052736927756</v>
      </c>
      <c r="AK4617">
        <v>14.974028013257</v>
      </c>
      <c r="AL4617">
        <v>79.944903664959199</v>
      </c>
      <c r="AM4617">
        <v>96.3297977537283</v>
      </c>
      <c r="AN4617">
        <v>0.99999999637307002</v>
      </c>
    </row>
    <row r="4618" spans="1:40" x14ac:dyDescent="0.25">
      <c r="A4618" t="str">
        <f>"20190312173022944"</f>
        <v>20190312173022944</v>
      </c>
      <c r="B4618" t="str">
        <f>"1552383022932004"</f>
        <v>1552383022932004</v>
      </c>
      <c r="C4618" t="s">
        <v>40</v>
      </c>
      <c r="D4618">
        <v>3.2053919999999998</v>
      </c>
      <c r="E4618">
        <v>0.42487570000000002</v>
      </c>
      <c r="F4618" t="s">
        <v>51</v>
      </c>
      <c r="G4618">
        <v>-414.9599</v>
      </c>
      <c r="H4618" s="1">
        <v>-3.5756020000000002E-6</v>
      </c>
      <c r="I4618">
        <v>124.1468</v>
      </c>
      <c r="J4618">
        <v>-403.64350000000002</v>
      </c>
      <c r="K4618">
        <v>1.118652</v>
      </c>
      <c r="L4618">
        <v>135.29300000000001</v>
      </c>
      <c r="M4618">
        <v>-0.88695970000000002</v>
      </c>
      <c r="N4618">
        <v>0</v>
      </c>
      <c r="O4618">
        <v>-0.46161170000000001</v>
      </c>
      <c r="P4618">
        <v>-0.82175049999999905</v>
      </c>
      <c r="Q4618">
        <v>0.16168829999999901</v>
      </c>
      <c r="R4618">
        <v>-0.54642749999999995</v>
      </c>
      <c r="S4618">
        <v>-2.2478940000000001</v>
      </c>
      <c r="T4618">
        <v>-0.21567549999999999</v>
      </c>
      <c r="U4618">
        <v>-2.184158</v>
      </c>
      <c r="V4618">
        <v>-0.1090878</v>
      </c>
      <c r="W4618">
        <v>0.17384189999999999</v>
      </c>
      <c r="X4618">
        <v>0.9787129</v>
      </c>
      <c r="Y4618">
        <v>-0.28736440000000002</v>
      </c>
      <c r="Z4618">
        <v>2.277566E-2</v>
      </c>
      <c r="AA4618">
        <v>0.95755049999999997</v>
      </c>
      <c r="AB4618">
        <v>39</v>
      </c>
      <c r="AC4618">
        <v>-11.3163999999999</v>
      </c>
      <c r="AD4618">
        <v>-1.118655575602</v>
      </c>
      <c r="AE4618">
        <v>-11.1462</v>
      </c>
      <c r="AF4618">
        <v>-4.6399399284215397</v>
      </c>
      <c r="AG4618">
        <v>-1.118655575602</v>
      </c>
      <c r="AH4618">
        <v>15.109115076823601</v>
      </c>
      <c r="AI4618">
        <v>94.048430523079006</v>
      </c>
      <c r="AJ4618">
        <v>107.071481960263</v>
      </c>
      <c r="AK4618">
        <v>15.845055734861999</v>
      </c>
      <c r="AL4618">
        <v>79.988729585210706</v>
      </c>
      <c r="AM4618">
        <v>96.359963679544407</v>
      </c>
      <c r="AN4618">
        <v>1.00000004746542</v>
      </c>
    </row>
    <row r="4619" spans="1:40" x14ac:dyDescent="0.25">
      <c r="A4619" t="str">
        <f>"20190312173022966"</f>
        <v>20190312173022966</v>
      </c>
      <c r="B4619" t="str">
        <f>"1552383022962260"</f>
        <v>1552383022962260</v>
      </c>
      <c r="C4619" t="s">
        <v>40</v>
      </c>
      <c r="D4619">
        <v>3.170696</v>
      </c>
      <c r="E4619">
        <v>0.4250331</v>
      </c>
      <c r="F4619" t="s">
        <v>51</v>
      </c>
      <c r="G4619">
        <v>-415.21679999999998</v>
      </c>
      <c r="H4619" s="1">
        <v>-3.2899590000000002E-6</v>
      </c>
      <c r="I4619">
        <v>123.75369999999999</v>
      </c>
      <c r="J4619">
        <v>-403.9674</v>
      </c>
      <c r="K4619">
        <v>1.118652</v>
      </c>
      <c r="L4619">
        <v>135.11699999999999</v>
      </c>
      <c r="M4619">
        <v>-0.88317769999999995</v>
      </c>
      <c r="N4619">
        <v>0</v>
      </c>
      <c r="O4619">
        <v>-0.46880699999999997</v>
      </c>
      <c r="P4619">
        <v>-0.81707259999999904</v>
      </c>
      <c r="Q4619">
        <v>0.16148379999999901</v>
      </c>
      <c r="R4619">
        <v>-0.55345819999999901</v>
      </c>
      <c r="S4619">
        <v>-2.2206419999999998</v>
      </c>
      <c r="T4619">
        <v>-0.2146438</v>
      </c>
      <c r="U4619">
        <v>-2.214127</v>
      </c>
      <c r="V4619">
        <v>-0.1095083</v>
      </c>
      <c r="W4619">
        <v>0.17362729999999901</v>
      </c>
      <c r="X4619">
        <v>0.97870400000000002</v>
      </c>
      <c r="Y4619">
        <v>-0.29193849999999999</v>
      </c>
      <c r="Z4619">
        <v>2.3037680000000001E-2</v>
      </c>
      <c r="AA4619">
        <v>0.9561596</v>
      </c>
      <c r="AB4619">
        <v>39</v>
      </c>
      <c r="AC4619">
        <v>-11.2493999999999</v>
      </c>
      <c r="AD4619">
        <v>-1.1186552899590001</v>
      </c>
      <c r="AE4619">
        <v>-11.363300000000001</v>
      </c>
      <c r="AF4619">
        <v>-4.73933621178944</v>
      </c>
      <c r="AG4619">
        <v>-1.1186552899590001</v>
      </c>
      <c r="AH4619">
        <v>15.189725334362199</v>
      </c>
      <c r="AI4619">
        <v>94.021448098772495</v>
      </c>
      <c r="AJ4619">
        <v>107.328409568504</v>
      </c>
      <c r="AK4619">
        <v>15.9511897085921</v>
      </c>
      <c r="AL4619">
        <v>80.001214788083999</v>
      </c>
      <c r="AM4619">
        <v>96.384334929079102</v>
      </c>
      <c r="AN4619">
        <v>1.0000000133450899</v>
      </c>
    </row>
    <row r="4620" spans="1:40" x14ac:dyDescent="0.25">
      <c r="A4620" t="str">
        <f>"20190312173022988"</f>
        <v>20190312173022988</v>
      </c>
      <c r="B4620" t="str">
        <f>"1552383022982756"</f>
        <v>1552383022982756</v>
      </c>
      <c r="C4620" t="s">
        <v>40</v>
      </c>
      <c r="D4620">
        <v>3.0894219999999999</v>
      </c>
      <c r="E4620">
        <v>0.42525590000000002</v>
      </c>
      <c r="F4620" t="s">
        <v>51</v>
      </c>
      <c r="G4620">
        <v>-415.1848</v>
      </c>
      <c r="H4620" s="1">
        <v>-3.292108E-6</v>
      </c>
      <c r="I4620">
        <v>123.7501</v>
      </c>
      <c r="J4620">
        <v>-404.31200000000001</v>
      </c>
      <c r="K4620">
        <v>1.118649</v>
      </c>
      <c r="L4620">
        <v>134.92590000000001</v>
      </c>
      <c r="M4620">
        <v>-0.87906810000000002</v>
      </c>
      <c r="N4620">
        <v>0</v>
      </c>
      <c r="O4620">
        <v>-0.47646810000000001</v>
      </c>
      <c r="P4620">
        <v>-0.81191969999999902</v>
      </c>
      <c r="Q4620">
        <v>0.16165579999999999</v>
      </c>
      <c r="R4620">
        <v>-0.56094069999999996</v>
      </c>
      <c r="S4620">
        <v>-2.2029420000000002</v>
      </c>
      <c r="T4620">
        <v>-0.2196881</v>
      </c>
      <c r="U4620">
        <v>-2.2323</v>
      </c>
      <c r="V4620">
        <v>-0.1100114</v>
      </c>
      <c r="W4620">
        <v>0.17378750000000001</v>
      </c>
      <c r="X4620">
        <v>0.97861920000000002</v>
      </c>
      <c r="Y4620">
        <v>-0.29138629999999999</v>
      </c>
      <c r="Z4620">
        <v>2.4171149999999999E-2</v>
      </c>
      <c r="AA4620">
        <v>0.95630000000000004</v>
      </c>
      <c r="AB4620">
        <v>39</v>
      </c>
      <c r="AC4620">
        <v>-10.8728</v>
      </c>
      <c r="AD4620">
        <v>-1.118652292108</v>
      </c>
      <c r="AE4620">
        <v>-11.175800000000001</v>
      </c>
      <c r="AF4620">
        <v>-4.6204690707504197</v>
      </c>
      <c r="AG4620">
        <v>-1.118652292108</v>
      </c>
      <c r="AH4620">
        <v>14.8082401708834</v>
      </c>
      <c r="AI4620">
        <v>94.124670637856298</v>
      </c>
      <c r="AJ4620">
        <v>107.328972989492</v>
      </c>
      <c r="AK4620">
        <v>15.552623391021999</v>
      </c>
      <c r="AL4620">
        <v>79.991894890364506</v>
      </c>
      <c r="AM4620">
        <v>96.413972937769202</v>
      </c>
      <c r="AN4620">
        <v>1.0000000709474199</v>
      </c>
    </row>
    <row r="4621" spans="1:40" x14ac:dyDescent="0.25">
      <c r="A4621" t="str">
        <f>"20190312173023012"</f>
        <v>20190312173023012</v>
      </c>
      <c r="B4621" t="str">
        <f>"1552383023002276"</f>
        <v>1552383023002276</v>
      </c>
      <c r="C4621" t="s">
        <v>40</v>
      </c>
      <c r="D4621">
        <v>3.1856369999999998</v>
      </c>
      <c r="E4621">
        <v>0.42531760000000002</v>
      </c>
      <c r="F4621" t="s">
        <v>51</v>
      </c>
      <c r="G4621">
        <v>-415.4864</v>
      </c>
      <c r="H4621" s="1">
        <v>-3.0309789999999999E-6</v>
      </c>
      <c r="I4621">
        <v>123.4053</v>
      </c>
      <c r="J4621">
        <v>-404.65109999999999</v>
      </c>
      <c r="K4621">
        <v>1.1186529999999999</v>
      </c>
      <c r="L4621">
        <v>134.73400000000001</v>
      </c>
      <c r="M4621">
        <v>-0.87493759999999998</v>
      </c>
      <c r="N4621">
        <v>0</v>
      </c>
      <c r="O4621">
        <v>-0.48401129999999998</v>
      </c>
      <c r="P4621">
        <v>-0.80668709999999999</v>
      </c>
      <c r="Q4621">
        <v>0.162432299999999</v>
      </c>
      <c r="R4621">
        <v>-0.56821840000000001</v>
      </c>
      <c r="S4621">
        <v>-2.183319</v>
      </c>
      <c r="T4621">
        <v>-0.2185695</v>
      </c>
      <c r="U4621">
        <v>-2.2509610000000002</v>
      </c>
      <c r="V4621">
        <v>-0.11048669999999999</v>
      </c>
      <c r="W4621">
        <v>0.1745514</v>
      </c>
      <c r="X4621">
        <v>0.97842960000000001</v>
      </c>
      <c r="Y4621">
        <v>-0.29142600000000002</v>
      </c>
      <c r="Z4621">
        <v>2.4617690000000001E-2</v>
      </c>
      <c r="AA4621">
        <v>0.95627649999999997</v>
      </c>
      <c r="AB4621">
        <v>39</v>
      </c>
      <c r="AC4621">
        <v>-10.8353</v>
      </c>
      <c r="AD4621">
        <v>-1.1186560309789999</v>
      </c>
      <c r="AE4621">
        <v>-11.3287</v>
      </c>
      <c r="AF4621">
        <v>-4.6443547351553498</v>
      </c>
      <c r="AG4621">
        <v>-1.1186560309789999</v>
      </c>
      <c r="AH4621">
        <v>14.8892358615932</v>
      </c>
      <c r="AI4621">
        <v>94.102431639546396</v>
      </c>
      <c r="AJ4621">
        <v>107.324110351039</v>
      </c>
      <c r="AK4621">
        <v>15.636840050462901</v>
      </c>
      <c r="AL4621">
        <v>79.947446495395297</v>
      </c>
      <c r="AM4621">
        <v>96.442689572669096</v>
      </c>
      <c r="AN4621">
        <v>0.99999999213750501</v>
      </c>
    </row>
    <row r="4622" spans="1:40" x14ac:dyDescent="0.25">
      <c r="A4622" t="str">
        <f>"20190312173023033"</f>
        <v>20190312173023033</v>
      </c>
      <c r="B4622" t="str">
        <f>"1552383023022772"</f>
        <v>1552383023022772</v>
      </c>
      <c r="C4622" t="s">
        <v>40</v>
      </c>
      <c r="D4622">
        <v>3.1144959999999999</v>
      </c>
      <c r="E4622">
        <v>0.42582120000000001</v>
      </c>
      <c r="F4622" t="s">
        <v>51</v>
      </c>
      <c r="G4622">
        <v>-415.89890000000003</v>
      </c>
      <c r="H4622" s="1">
        <v>-2.6693040000000001E-6</v>
      </c>
      <c r="I4622">
        <v>122.9267</v>
      </c>
      <c r="J4622">
        <v>-404.96859999999998</v>
      </c>
      <c r="K4622">
        <v>1.1186529999999999</v>
      </c>
      <c r="L4622">
        <v>134.55090000000001</v>
      </c>
      <c r="M4622">
        <v>-0.87099130000000002</v>
      </c>
      <c r="N4622">
        <v>0</v>
      </c>
      <c r="O4622">
        <v>-0.49107719999999999</v>
      </c>
      <c r="P4622">
        <v>-0.80208999999999997</v>
      </c>
      <c r="Q4622">
        <v>0.16263279999999999</v>
      </c>
      <c r="R4622">
        <v>-0.57463249999999999</v>
      </c>
      <c r="S4622">
        <v>-2.162903</v>
      </c>
      <c r="T4622">
        <v>-0.21511340000000001</v>
      </c>
      <c r="U4622">
        <v>-2.270508</v>
      </c>
      <c r="V4622">
        <v>-0.1103908</v>
      </c>
      <c r="W4622">
        <v>0.1747542</v>
      </c>
      <c r="X4622">
        <v>0.97840419999999995</v>
      </c>
      <c r="Y4622">
        <v>-0.29230289999999998</v>
      </c>
      <c r="Z4622">
        <v>2.4726129999999999E-2</v>
      </c>
      <c r="AA4622">
        <v>0.95600609999999997</v>
      </c>
      <c r="AB4622">
        <v>39</v>
      </c>
      <c r="AC4622">
        <v>-10.930300000000001</v>
      </c>
      <c r="AD4622">
        <v>-1.118655669304</v>
      </c>
      <c r="AE4622">
        <v>-11.6242</v>
      </c>
      <c r="AF4622">
        <v>-4.7342031804633402</v>
      </c>
      <c r="AG4622">
        <v>-1.118655669304</v>
      </c>
      <c r="AH4622">
        <v>15.155736717788599</v>
      </c>
      <c r="AI4622">
        <v>94.030025820402997</v>
      </c>
      <c r="AJ4622">
        <v>107.347258247024</v>
      </c>
      <c r="AK4622">
        <v>15.917299573712301</v>
      </c>
      <c r="AL4622">
        <v>79.935645294636899</v>
      </c>
      <c r="AM4622">
        <v>96.437310129590799</v>
      </c>
      <c r="AN4622">
        <v>0.99999996885995901</v>
      </c>
    </row>
    <row r="4623" spans="1:40" x14ac:dyDescent="0.25">
      <c r="A4623" t="str">
        <f>"20190312173023054"</f>
        <v>20190312173023054</v>
      </c>
      <c r="B4623" t="str">
        <f>"1552383023042291"</f>
        <v>1552383023042291</v>
      </c>
      <c r="C4623" t="s">
        <v>40</v>
      </c>
      <c r="D4623">
        <v>3.179122</v>
      </c>
      <c r="E4623">
        <v>0.42626540000000002</v>
      </c>
      <c r="F4623" t="s">
        <v>51</v>
      </c>
      <c r="G4623">
        <v>-416.15050000000002</v>
      </c>
      <c r="H4623" s="1">
        <v>-2.4572899999999999E-6</v>
      </c>
      <c r="I4623">
        <v>122.6482</v>
      </c>
      <c r="J4623">
        <v>-405.2903</v>
      </c>
      <c r="K4623">
        <v>1.118644</v>
      </c>
      <c r="L4623">
        <v>134.36179999999999</v>
      </c>
      <c r="M4623">
        <v>-0.86691359999999995</v>
      </c>
      <c r="N4623">
        <v>0</v>
      </c>
      <c r="O4623">
        <v>-0.49824069999999998</v>
      </c>
      <c r="P4623">
        <v>-0.79759230000000003</v>
      </c>
      <c r="Q4623">
        <v>0.16275539999999999</v>
      </c>
      <c r="R4623">
        <v>-0.58082500000000004</v>
      </c>
      <c r="S4623">
        <v>-2.1467290000000001</v>
      </c>
      <c r="T4623">
        <v>-0.21476329999999999</v>
      </c>
      <c r="U4623">
        <v>-2.28511</v>
      </c>
      <c r="V4623">
        <v>-0.1099113</v>
      </c>
      <c r="W4623">
        <v>0.17488899999999999</v>
      </c>
      <c r="X4623">
        <v>0.97843409999999997</v>
      </c>
      <c r="Y4623">
        <v>-0.29107480000000002</v>
      </c>
      <c r="Z4623">
        <v>2.5260350000000001E-2</v>
      </c>
      <c r="AA4623">
        <v>0.95636670000000001</v>
      </c>
      <c r="AB4623">
        <v>39</v>
      </c>
      <c r="AC4623">
        <v>-10.860200000000001</v>
      </c>
      <c r="AD4623">
        <v>-1.1186464572899999</v>
      </c>
      <c r="AE4623">
        <v>-11.7135999999999</v>
      </c>
      <c r="AF4623">
        <v>-4.72104639270189</v>
      </c>
      <c r="AG4623">
        <v>-1.1186464572899999</v>
      </c>
      <c r="AH4623">
        <v>15.178262158954601</v>
      </c>
      <c r="AI4623">
        <v>94.025547896082301</v>
      </c>
      <c r="AJ4623">
        <v>107.277782560612</v>
      </c>
      <c r="AK4623">
        <v>15.9348451860821</v>
      </c>
      <c r="AL4623">
        <v>79.927801055636607</v>
      </c>
      <c r="AM4623">
        <v>96.409387609004597</v>
      </c>
      <c r="AN4623">
        <v>0.99999997211574898</v>
      </c>
    </row>
    <row r="4624" spans="1:40" x14ac:dyDescent="0.25">
      <c r="A4624" t="str">
        <f>"20190312173023077"</f>
        <v>20190312173023077</v>
      </c>
      <c r="B4624" t="str">
        <f>"1552383023072551"</f>
        <v>1552383023072551</v>
      </c>
      <c r="C4624" t="s">
        <v>40</v>
      </c>
      <c r="D4624">
        <v>3.178032</v>
      </c>
      <c r="E4624">
        <v>0.42704249999999999</v>
      </c>
      <c r="F4624" t="s">
        <v>51</v>
      </c>
      <c r="G4624">
        <v>-416.3981</v>
      </c>
      <c r="H4624" s="1">
        <v>-2.2498999999999998E-6</v>
      </c>
      <c r="I4624">
        <v>122.3762</v>
      </c>
      <c r="J4624">
        <v>-405.62389999999999</v>
      </c>
      <c r="K4624">
        <v>1.1186389999999999</v>
      </c>
      <c r="L4624">
        <v>134.16200000000001</v>
      </c>
      <c r="M4624">
        <v>-0.86259920000000001</v>
      </c>
      <c r="N4624">
        <v>0</v>
      </c>
      <c r="O4624">
        <v>-0.50567309999999999</v>
      </c>
      <c r="P4624">
        <v>-0.79306659999999995</v>
      </c>
      <c r="Q4624">
        <v>0.1631136</v>
      </c>
      <c r="R4624">
        <v>-0.58688960000000001</v>
      </c>
      <c r="S4624">
        <v>-2.130798</v>
      </c>
      <c r="T4624">
        <v>-0.21459020000000001</v>
      </c>
      <c r="U4624">
        <v>-2.29921</v>
      </c>
      <c r="V4624">
        <v>-0.1090019</v>
      </c>
      <c r="W4624">
        <v>0.175268799999999</v>
      </c>
      <c r="X4624">
        <v>0.97846789999999995</v>
      </c>
      <c r="Y4624">
        <v>-0.28935470000000002</v>
      </c>
      <c r="Z4624">
        <v>2.5850410000000001E-2</v>
      </c>
      <c r="AA4624">
        <v>0.95687279999999997</v>
      </c>
      <c r="AB4624">
        <v>39</v>
      </c>
      <c r="AC4624">
        <v>-10.7742</v>
      </c>
      <c r="AD4624">
        <v>-1.1186412499</v>
      </c>
      <c r="AE4624">
        <v>-11.7858</v>
      </c>
      <c r="AF4624">
        <v>-4.6956673078969899</v>
      </c>
      <c r="AG4624">
        <v>-1.1186412499</v>
      </c>
      <c r="AH4624">
        <v>15.1807365652641</v>
      </c>
      <c r="AI4624">
        <v>94.026830930886902</v>
      </c>
      <c r="AJ4624">
        <v>107.187752792357</v>
      </c>
      <c r="AK4624">
        <v>15.9297022061423</v>
      </c>
      <c r="AL4624">
        <v>79.905699007463696</v>
      </c>
      <c r="AM4624">
        <v>96.356574797795901</v>
      </c>
      <c r="AN4624">
        <v>0.99999999889373004</v>
      </c>
    </row>
    <row r="4625" spans="1:40" x14ac:dyDescent="0.25">
      <c r="A4625" t="str">
        <f>"20190312173023099"</f>
        <v>20190312173023099</v>
      </c>
      <c r="B4625" t="str">
        <f>"1552383023092071"</f>
        <v>1552383023092071</v>
      </c>
      <c r="C4625" t="s">
        <v>40</v>
      </c>
      <c r="D4625">
        <v>3.2279260000000001</v>
      </c>
      <c r="E4625">
        <v>0.4273016</v>
      </c>
      <c r="F4625" t="s">
        <v>51</v>
      </c>
      <c r="G4625">
        <v>-416.59559999999999</v>
      </c>
      <c r="H4625" s="1">
        <v>-2.100705E-6</v>
      </c>
      <c r="I4625">
        <v>122.1848</v>
      </c>
      <c r="J4625">
        <v>-405.9513</v>
      </c>
      <c r="K4625">
        <v>1.118633</v>
      </c>
      <c r="L4625">
        <v>133.96209999999999</v>
      </c>
      <c r="M4625">
        <v>-0.85827790000000004</v>
      </c>
      <c r="N4625">
        <v>0</v>
      </c>
      <c r="O4625">
        <v>-0.51297349999999997</v>
      </c>
      <c r="P4625">
        <v>-0.7884333</v>
      </c>
      <c r="Q4625">
        <v>0.16323080000000001</v>
      </c>
      <c r="R4625">
        <v>-0.59306709999999996</v>
      </c>
      <c r="S4625">
        <v>-2.1169739999999999</v>
      </c>
      <c r="T4625">
        <v>-0.21584049999999999</v>
      </c>
      <c r="U4625">
        <v>-2.3110050000000002</v>
      </c>
      <c r="V4625">
        <v>-0.10835350000000001</v>
      </c>
      <c r="W4625">
        <v>0.17540210000000001</v>
      </c>
      <c r="X4625">
        <v>0.97851600000000005</v>
      </c>
      <c r="Y4625">
        <v>-0.28679749999999998</v>
      </c>
      <c r="Z4625">
        <v>2.6632550000000001E-2</v>
      </c>
      <c r="AA4625">
        <v>0.95762100000000006</v>
      </c>
      <c r="AB4625">
        <v>39</v>
      </c>
      <c r="AC4625">
        <v>-10.6442999999999</v>
      </c>
      <c r="AD4625">
        <v>-1.1186351007049999</v>
      </c>
      <c r="AE4625">
        <v>-11.777299999999901</v>
      </c>
      <c r="AF4625">
        <v>-4.62548938147747</v>
      </c>
      <c r="AG4625">
        <v>-1.1186351007049999</v>
      </c>
      <c r="AH4625">
        <v>15.1038602654987</v>
      </c>
      <c r="AI4625">
        <v>94.050722153712002</v>
      </c>
      <c r="AJ4625">
        <v>107.02697210631599</v>
      </c>
      <c r="AK4625">
        <v>15.835816727482101</v>
      </c>
      <c r="AL4625">
        <v>79.897941008066994</v>
      </c>
      <c r="AM4625">
        <v>96.318761255561796</v>
      </c>
      <c r="AN4625">
        <v>0.999999969951329</v>
      </c>
    </row>
    <row r="4626" spans="1:40" x14ac:dyDescent="0.25">
      <c r="A4626" t="str">
        <f>"20190312173023123"</f>
        <v>20190312173023123</v>
      </c>
      <c r="B4626" t="str">
        <f>"1552383023112563"</f>
        <v>1552383023112563</v>
      </c>
      <c r="C4626" t="s">
        <v>40</v>
      </c>
      <c r="D4626">
        <v>3.3062290000000001</v>
      </c>
      <c r="E4626">
        <v>0.43639660000000002</v>
      </c>
      <c r="F4626" t="s">
        <v>51</v>
      </c>
      <c r="G4626">
        <v>-416.83370000000002</v>
      </c>
      <c r="H4626" s="1">
        <v>-1.891721E-6</v>
      </c>
      <c r="I4626">
        <v>121.9081</v>
      </c>
      <c r="J4626">
        <v>-406.28050000000002</v>
      </c>
      <c r="K4626">
        <v>1.1186259999999999</v>
      </c>
      <c r="L4626">
        <v>133.75729999999999</v>
      </c>
      <c r="M4626">
        <v>-0.85384259999999901</v>
      </c>
      <c r="N4626">
        <v>0</v>
      </c>
      <c r="O4626">
        <v>-0.52032259999999997</v>
      </c>
      <c r="P4626">
        <v>-0.78359809999999996</v>
      </c>
      <c r="Q4626">
        <v>0.16361510000000001</v>
      </c>
      <c r="R4626">
        <v>-0.5993366</v>
      </c>
      <c r="S4626">
        <v>-2.100006</v>
      </c>
      <c r="T4626">
        <v>-0.215866</v>
      </c>
      <c r="U4626">
        <v>-2.3260960000000002</v>
      </c>
      <c r="V4626">
        <v>-0.1078031</v>
      </c>
      <c r="W4626">
        <v>0.17579879999999901</v>
      </c>
      <c r="X4626">
        <v>0.97850559999999998</v>
      </c>
      <c r="Y4626">
        <v>-0.28552670000000002</v>
      </c>
      <c r="Z4626">
        <v>2.7227520000000002E-2</v>
      </c>
      <c r="AA4626">
        <v>0.9579839</v>
      </c>
      <c r="AB4626">
        <v>38</v>
      </c>
      <c r="AC4626">
        <v>-10.5532</v>
      </c>
      <c r="AD4626">
        <v>-1.118627891721</v>
      </c>
      <c r="AE4626">
        <v>-11.8491999999999</v>
      </c>
      <c r="AF4626">
        <v>-4.6039041302459696</v>
      </c>
      <c r="AG4626">
        <v>-1.118627891721</v>
      </c>
      <c r="AH4626">
        <v>15.1027651625337</v>
      </c>
      <c r="AI4626">
        <v>94.052576713589204</v>
      </c>
      <c r="AJ4626">
        <v>106.953239249512</v>
      </c>
      <c r="AK4626">
        <v>15.8284799382402</v>
      </c>
      <c r="AL4626">
        <v>79.874852997588803</v>
      </c>
      <c r="AM4626">
        <v>96.286987984385505</v>
      </c>
      <c r="AN4626">
        <v>0.99999996784120404</v>
      </c>
    </row>
    <row r="4627" spans="1:40" x14ac:dyDescent="0.25">
      <c r="A4627" t="str">
        <f>"20190312173023144"</f>
        <v>20190312173023144</v>
      </c>
      <c r="B4627" t="str">
        <f>"1552383023133060"</f>
        <v>1552383023133060</v>
      </c>
      <c r="C4627" t="s">
        <v>40</v>
      </c>
      <c r="D4627">
        <v>3.2099679999999999</v>
      </c>
      <c r="E4627">
        <v>0.43583749999999999</v>
      </c>
      <c r="F4627" t="s">
        <v>51</v>
      </c>
      <c r="G4627">
        <v>-416.41669999999999</v>
      </c>
      <c r="H4627" s="1">
        <v>-2.5547919999999999E-6</v>
      </c>
      <c r="I4627">
        <v>122.8599</v>
      </c>
      <c r="J4627">
        <v>-406.5917</v>
      </c>
      <c r="K4627">
        <v>1.1186199999999999</v>
      </c>
      <c r="L4627">
        <v>133.5598</v>
      </c>
      <c r="M4627">
        <v>-0.84955979999999998</v>
      </c>
      <c r="N4627">
        <v>0</v>
      </c>
      <c r="O4627">
        <v>-0.52728649999999999</v>
      </c>
      <c r="P4627">
        <v>-0.77889730000000001</v>
      </c>
      <c r="Q4627">
        <v>0.16421649999999999</v>
      </c>
      <c r="R4627">
        <v>-0.60527059999999999</v>
      </c>
      <c r="S4627">
        <v>-2.1278380000000001</v>
      </c>
      <c r="T4627">
        <v>-0.2348295</v>
      </c>
      <c r="U4627">
        <v>-2.2876430000000001</v>
      </c>
      <c r="V4627">
        <v>-0.10731060000000001</v>
      </c>
      <c r="W4627">
        <v>0.17641089999999901</v>
      </c>
      <c r="X4627">
        <v>0.97844960000000003</v>
      </c>
      <c r="Y4627">
        <v>-0.2635169</v>
      </c>
      <c r="Z4627">
        <v>3.1014110000000001E-2</v>
      </c>
      <c r="AA4627">
        <v>0.96415609999999996</v>
      </c>
      <c r="AB4627">
        <v>38</v>
      </c>
      <c r="AC4627">
        <v>-9.8249999999999797</v>
      </c>
      <c r="AD4627">
        <v>-1.1186225547919999</v>
      </c>
      <c r="AE4627">
        <v>-10.6999</v>
      </c>
      <c r="AF4627">
        <v>-3.8869900621407898</v>
      </c>
      <c r="AG4627">
        <v>-1.1186225547919999</v>
      </c>
      <c r="AH4627">
        <v>13.907884318807801</v>
      </c>
      <c r="AI4627">
        <v>94.429424122703196</v>
      </c>
      <c r="AJ4627">
        <v>105.61467055055201</v>
      </c>
      <c r="AK4627">
        <v>14.4841035065554</v>
      </c>
      <c r="AL4627">
        <v>79.839225721025699</v>
      </c>
      <c r="AM4627">
        <v>96.258849579764203</v>
      </c>
      <c r="AN4627">
        <v>0.99999999512566495</v>
      </c>
    </row>
    <row r="4628" spans="1:40" x14ac:dyDescent="0.25">
      <c r="A4628" t="str">
        <f>"20190312173023167"</f>
        <v>20190312173023167</v>
      </c>
      <c r="B4628" t="str">
        <f>"1552383023162340"</f>
        <v>1552383023162340</v>
      </c>
      <c r="C4628" t="s">
        <v>40</v>
      </c>
      <c r="D4628">
        <v>3.215875</v>
      </c>
      <c r="E4628">
        <v>0.43651509999999999</v>
      </c>
      <c r="F4628" t="s">
        <v>51</v>
      </c>
      <c r="G4628">
        <v>-416.5967</v>
      </c>
      <c r="H4628" s="1">
        <v>-2.364854E-6</v>
      </c>
      <c r="I4628">
        <v>122.6006</v>
      </c>
      <c r="J4628">
        <v>-406.90690000000001</v>
      </c>
      <c r="K4628">
        <v>1.118625</v>
      </c>
      <c r="L4628">
        <v>133.35599999999999</v>
      </c>
      <c r="M4628">
        <v>-0.84512719999999897</v>
      </c>
      <c r="N4628">
        <v>0</v>
      </c>
      <c r="O4628">
        <v>-0.53436209999999995</v>
      </c>
      <c r="P4628">
        <v>-0.77434799999999904</v>
      </c>
      <c r="Q4628">
        <v>0.1641937</v>
      </c>
      <c r="R4628">
        <v>-0.61108569999999995</v>
      </c>
      <c r="S4628">
        <v>-2.1074220000000001</v>
      </c>
      <c r="T4628">
        <v>-0.23562430000000001</v>
      </c>
      <c r="U4628">
        <v>-2.3084410000000002</v>
      </c>
      <c r="V4628">
        <v>-0.1064624</v>
      </c>
      <c r="W4628">
        <v>0.1764066</v>
      </c>
      <c r="X4628">
        <v>0.97854300000000005</v>
      </c>
      <c r="Y4628">
        <v>-0.26445829999999998</v>
      </c>
      <c r="Z4628">
        <v>3.1649440000000001E-2</v>
      </c>
      <c r="AA4628">
        <v>0.96387769999999995</v>
      </c>
      <c r="AB4628">
        <v>38</v>
      </c>
      <c r="AC4628">
        <v>-9.6897999999999893</v>
      </c>
      <c r="AD4628">
        <v>-1.1186273648539999</v>
      </c>
      <c r="AE4628">
        <v>-10.7553999999999</v>
      </c>
      <c r="AF4628">
        <v>-3.8890230501629102</v>
      </c>
      <c r="AG4628">
        <v>-1.1186273648539999</v>
      </c>
      <c r="AH4628">
        <v>13.8551772304042</v>
      </c>
      <c r="AI4628">
        <v>94.444834573859694</v>
      </c>
      <c r="AJ4628">
        <v>105.678951021213</v>
      </c>
      <c r="AK4628">
        <v>14.434048758127799</v>
      </c>
      <c r="AL4628">
        <v>79.839475729415796</v>
      </c>
      <c r="AM4628">
        <v>96.209178575338299</v>
      </c>
      <c r="AN4628">
        <v>0.99999996699315896</v>
      </c>
    </row>
    <row r="4629" spans="1:40" x14ac:dyDescent="0.25">
      <c r="A4629" t="str">
        <f>"20190312173023189"</f>
        <v>20190312173023189</v>
      </c>
      <c r="B4629" t="str">
        <f>"1552383023182839"</f>
        <v>1552383023182839</v>
      </c>
      <c r="C4629" t="s">
        <v>40</v>
      </c>
      <c r="D4629">
        <v>3.1645690000000002</v>
      </c>
      <c r="E4629">
        <v>0.43683230000000001</v>
      </c>
      <c r="F4629" t="s">
        <v>51</v>
      </c>
      <c r="G4629">
        <v>-416.73099999999999</v>
      </c>
      <c r="H4629" s="1">
        <v>-2.258314E-6</v>
      </c>
      <c r="I4629">
        <v>122.4624</v>
      </c>
      <c r="J4629">
        <v>-407.22669999999999</v>
      </c>
      <c r="K4629">
        <v>1.1186259999999999</v>
      </c>
      <c r="L4629">
        <v>133.1454</v>
      </c>
      <c r="M4629">
        <v>-0.84052870000000002</v>
      </c>
      <c r="N4629">
        <v>0</v>
      </c>
      <c r="O4629">
        <v>-0.54156669999999996</v>
      </c>
      <c r="P4629">
        <v>-0.76934539999999996</v>
      </c>
      <c r="Q4629">
        <v>0.163652399999999</v>
      </c>
      <c r="R4629">
        <v>-0.61751590000000001</v>
      </c>
      <c r="S4629">
        <v>-2.0931090000000001</v>
      </c>
      <c r="T4629">
        <v>-0.2383324</v>
      </c>
      <c r="U4629">
        <v>-2.3209840000000002</v>
      </c>
      <c r="V4629">
        <v>-0.1061773</v>
      </c>
      <c r="W4629">
        <v>0.17587249999999999</v>
      </c>
      <c r="X4629">
        <v>0.97867009999999999</v>
      </c>
      <c r="Y4629">
        <v>-0.26211449999999997</v>
      </c>
      <c r="Z4629">
        <v>3.2689410000000002E-2</v>
      </c>
      <c r="AA4629">
        <v>0.96448299999999998</v>
      </c>
      <c r="AB4629">
        <v>38</v>
      </c>
      <c r="AC4629">
        <v>-9.5043000000000006</v>
      </c>
      <c r="AD4629">
        <v>-1.1186282583139999</v>
      </c>
      <c r="AE4629">
        <v>-10.6829999999999</v>
      </c>
      <c r="AF4629">
        <v>-3.8092581015090401</v>
      </c>
      <c r="AG4629">
        <v>-1.1186282583139999</v>
      </c>
      <c r="AH4629">
        <v>13.6918914330272</v>
      </c>
      <c r="AI4629">
        <v>94.500508114250593</v>
      </c>
      <c r="AJ4629">
        <v>105.547242634542</v>
      </c>
      <c r="AK4629">
        <v>14.2558643188695</v>
      </c>
      <c r="AL4629">
        <v>79.870563384955602</v>
      </c>
      <c r="AM4629">
        <v>96.191882131371599</v>
      </c>
      <c r="AN4629">
        <v>0.99999995996277402</v>
      </c>
    </row>
    <row r="4630" spans="1:40" x14ac:dyDescent="0.25">
      <c r="A4630" t="str">
        <f>"20190312173023211"</f>
        <v>20190312173023211</v>
      </c>
      <c r="B4630" t="str">
        <f>"1552383023202356"</f>
        <v>1552383023202356</v>
      </c>
      <c r="C4630" t="s">
        <v>40</v>
      </c>
      <c r="D4630">
        <v>3.164148</v>
      </c>
      <c r="E4630">
        <v>0.43694729999999998</v>
      </c>
      <c r="F4630" t="s">
        <v>51</v>
      </c>
      <c r="G4630">
        <v>-416.9196</v>
      </c>
      <c r="H4630" s="1">
        <v>-2.0891660000000002E-6</v>
      </c>
      <c r="I4630">
        <v>122.2376</v>
      </c>
      <c r="J4630">
        <v>-407.54109999999997</v>
      </c>
      <c r="K4630">
        <v>1.118628</v>
      </c>
      <c r="L4630">
        <v>132.93440000000001</v>
      </c>
      <c r="M4630">
        <v>-0.83590409999999904</v>
      </c>
      <c r="N4630">
        <v>0</v>
      </c>
      <c r="O4630">
        <v>-0.54867769999999905</v>
      </c>
      <c r="P4630">
        <v>-0.76439429999999997</v>
      </c>
      <c r="Q4630">
        <v>0.1628744</v>
      </c>
      <c r="R4630">
        <v>-0.6238378</v>
      </c>
      <c r="S4630">
        <v>-2.0755919999999999</v>
      </c>
      <c r="T4630">
        <v>-0.239539</v>
      </c>
      <c r="U4630">
        <v>-2.3357540000000001</v>
      </c>
      <c r="V4630">
        <v>-0.1058393</v>
      </c>
      <c r="W4630">
        <v>0.17510209999999901</v>
      </c>
      <c r="X4630">
        <v>0.97884490000000002</v>
      </c>
      <c r="Y4630">
        <v>-0.26101929999999901</v>
      </c>
      <c r="Z4630">
        <v>3.3489240000000003E-2</v>
      </c>
      <c r="AA4630">
        <v>0.96475250000000001</v>
      </c>
      <c r="AB4630">
        <v>38</v>
      </c>
      <c r="AC4630">
        <v>-9.3785000000000291</v>
      </c>
      <c r="AD4630">
        <v>-1.1186300891659999</v>
      </c>
      <c r="AE4630">
        <v>-10.6968</v>
      </c>
      <c r="AF4630">
        <v>-3.7728094272220098</v>
      </c>
      <c r="AG4630">
        <v>-1.1186300891659999</v>
      </c>
      <c r="AH4630">
        <v>13.6258598493237</v>
      </c>
      <c r="AI4630">
        <v>94.523774899489098</v>
      </c>
      <c r="AJ4630">
        <v>105.476663527139</v>
      </c>
      <c r="AK4630">
        <v>14.182717683290999</v>
      </c>
      <c r="AL4630">
        <v>79.915400459788202</v>
      </c>
      <c r="AM4630">
        <v>96.171229826222998</v>
      </c>
      <c r="AN4630">
        <v>1.00000002055245</v>
      </c>
    </row>
    <row r="4631" spans="1:40" x14ac:dyDescent="0.25">
      <c r="A4631" t="str">
        <f>"20190312173023233"</f>
        <v>20190312173023233</v>
      </c>
      <c r="B4631" t="str">
        <f>"1552383023222852"</f>
        <v>1552383023222852</v>
      </c>
      <c r="C4631" t="s">
        <v>40</v>
      </c>
      <c r="D4631">
        <v>3.1625999999999999</v>
      </c>
      <c r="E4631">
        <v>0.43729820000000003</v>
      </c>
      <c r="F4631" t="s">
        <v>51</v>
      </c>
      <c r="G4631">
        <v>-416.9504</v>
      </c>
      <c r="H4631" s="1">
        <v>-2.04324E-6</v>
      </c>
      <c r="I4631">
        <v>122.1721</v>
      </c>
      <c r="J4631">
        <v>-407.85289999999998</v>
      </c>
      <c r="K4631">
        <v>1.118644</v>
      </c>
      <c r="L4631">
        <v>132.72130000000001</v>
      </c>
      <c r="M4631">
        <v>-0.83120519999999998</v>
      </c>
      <c r="N4631">
        <v>0</v>
      </c>
      <c r="O4631">
        <v>-0.55576999999999999</v>
      </c>
      <c r="P4631">
        <v>-0.75929899999999995</v>
      </c>
      <c r="Q4631">
        <v>0.16226189999999999</v>
      </c>
      <c r="R4631">
        <v>-0.63018730000000001</v>
      </c>
      <c r="S4631">
        <v>-2.0568240000000002</v>
      </c>
      <c r="T4631">
        <v>-0.24452589999999999</v>
      </c>
      <c r="U4631">
        <v>-2.3525849999999999</v>
      </c>
      <c r="V4631">
        <v>-0.1055904</v>
      </c>
      <c r="W4631">
        <v>0.1744937</v>
      </c>
      <c r="X4631">
        <v>0.97898039999999997</v>
      </c>
      <c r="Y4631">
        <v>-0.26062990000000003</v>
      </c>
      <c r="Z4631">
        <v>3.4796800000000003E-2</v>
      </c>
      <c r="AA4631">
        <v>0.96481150000000004</v>
      </c>
      <c r="AB4631">
        <v>38</v>
      </c>
      <c r="AC4631">
        <v>-9.0975000000000197</v>
      </c>
      <c r="AD4631">
        <v>-1.1186460432400001</v>
      </c>
      <c r="AE4631">
        <v>-10.549200000000001</v>
      </c>
      <c r="AF4631">
        <v>-3.6890468247032899</v>
      </c>
      <c r="AG4631">
        <v>-1.1186460432400001</v>
      </c>
      <c r="AH4631">
        <v>13.3402520610859</v>
      </c>
      <c r="AI4631">
        <v>94.620692201995496</v>
      </c>
      <c r="AJ4631">
        <v>105.457985504346</v>
      </c>
      <c r="AK4631">
        <v>13.8860635350057</v>
      </c>
      <c r="AL4631">
        <v>79.950804106643403</v>
      </c>
      <c r="AM4631">
        <v>96.155983050246505</v>
      </c>
      <c r="AN4631">
        <v>1.0000000037479999</v>
      </c>
    </row>
    <row r="4632" spans="1:40" x14ac:dyDescent="0.25">
      <c r="A4632" t="str">
        <f>"20190312173023256"</f>
        <v>20190312173023256</v>
      </c>
      <c r="B4632" t="str">
        <f>"1552383023252131"</f>
        <v>1552383023252131</v>
      </c>
      <c r="C4632" t="s">
        <v>40</v>
      </c>
      <c r="D4632">
        <v>3.1852960000000001</v>
      </c>
      <c r="E4632">
        <v>0.43762000000000001</v>
      </c>
      <c r="F4632" t="s">
        <v>51</v>
      </c>
      <c r="G4632">
        <v>-417.01859999999999</v>
      </c>
      <c r="H4632" s="1">
        <v>-1.9725420000000001E-6</v>
      </c>
      <c r="I4632">
        <v>122.0758</v>
      </c>
      <c r="J4632">
        <v>-408.16269999999997</v>
      </c>
      <c r="K4632">
        <v>1.118668</v>
      </c>
      <c r="L4632">
        <v>132.50569999999999</v>
      </c>
      <c r="M4632">
        <v>-0.82641699999999996</v>
      </c>
      <c r="N4632">
        <v>0</v>
      </c>
      <c r="O4632">
        <v>-0.56286539999999996</v>
      </c>
      <c r="P4632">
        <v>-0.75412049999999997</v>
      </c>
      <c r="Q4632">
        <v>0.16202130000000001</v>
      </c>
      <c r="R4632">
        <v>-0.63643660000000002</v>
      </c>
      <c r="S4632">
        <v>-2.0388489999999999</v>
      </c>
      <c r="T4632">
        <v>-0.24883350000000001</v>
      </c>
      <c r="U4632">
        <v>-2.3680110000000001</v>
      </c>
      <c r="V4632">
        <v>-0.10527</v>
      </c>
      <c r="W4632">
        <v>0.174257</v>
      </c>
      <c r="X4632">
        <v>0.97905710000000001</v>
      </c>
      <c r="Y4632">
        <v>-0.25971850000000002</v>
      </c>
      <c r="Z4632">
        <v>3.6054070000000001E-2</v>
      </c>
      <c r="AA4632">
        <v>0.96501110000000001</v>
      </c>
      <c r="AB4632">
        <v>38</v>
      </c>
      <c r="AC4632">
        <v>-8.8559000000000196</v>
      </c>
      <c r="AD4632">
        <v>-1.118669972542</v>
      </c>
      <c r="AE4632">
        <v>-10.4298999999999</v>
      </c>
      <c r="AF4632">
        <v>-3.6110240363555399</v>
      </c>
      <c r="AG4632">
        <v>-1.118669972542</v>
      </c>
      <c r="AH4632">
        <v>13.103141347457401</v>
      </c>
      <c r="AI4632">
        <v>94.705176990330102</v>
      </c>
      <c r="AJ4632">
        <v>105.40738701376701</v>
      </c>
      <c r="AK4632">
        <v>13.637566874998299</v>
      </c>
      <c r="AL4632">
        <v>79.964577396673306</v>
      </c>
      <c r="AM4632">
        <v>96.136969174913105</v>
      </c>
      <c r="AN4632">
        <v>1.0000000400047</v>
      </c>
    </row>
    <row r="4633" spans="1:40" x14ac:dyDescent="0.25">
      <c r="A4633" t="str">
        <f>"20190312173023278"</f>
        <v>20190312173023278</v>
      </c>
      <c r="B4633" t="str">
        <f>"1552383023272631"</f>
        <v>1552383023272631</v>
      </c>
      <c r="C4633" t="s">
        <v>40</v>
      </c>
      <c r="D4633">
        <v>3.166277</v>
      </c>
      <c r="E4633">
        <v>0.4219733</v>
      </c>
      <c r="F4633" t="s">
        <v>51</v>
      </c>
      <c r="G4633">
        <v>-417.23009999999999</v>
      </c>
      <c r="H4633" s="1">
        <v>-1.777333E-6</v>
      </c>
      <c r="I4633">
        <v>121.815</v>
      </c>
      <c r="J4633">
        <v>-408.47179999999997</v>
      </c>
      <c r="K4633">
        <v>1.1187069999999999</v>
      </c>
      <c r="L4633">
        <v>132.28649999999999</v>
      </c>
      <c r="M4633">
        <v>-0.82150849999999898</v>
      </c>
      <c r="N4633">
        <v>0</v>
      </c>
      <c r="O4633">
        <v>-0.57000569999999995</v>
      </c>
      <c r="P4633">
        <v>-0.74890080000000003</v>
      </c>
      <c r="Q4633">
        <v>0.16208699999999901</v>
      </c>
      <c r="R4633">
        <v>-0.64255390000000001</v>
      </c>
      <c r="S4633">
        <v>-2.0208740000000001</v>
      </c>
      <c r="T4633">
        <v>-0.24931990000000001</v>
      </c>
      <c r="U4633">
        <v>-2.38266</v>
      </c>
      <c r="V4633">
        <v>-0.1047785</v>
      </c>
      <c r="W4633">
        <v>0.17432839999999999</v>
      </c>
      <c r="X4633">
        <v>0.97909710000000005</v>
      </c>
      <c r="Y4633">
        <v>-0.25853080000000001</v>
      </c>
      <c r="Z4633">
        <v>3.6791160000000003E-2</v>
      </c>
      <c r="AA4633">
        <v>0.9653022</v>
      </c>
      <c r="AB4633">
        <v>38</v>
      </c>
      <c r="AC4633">
        <v>-8.7583000000000197</v>
      </c>
      <c r="AD4633">
        <v>-1.118708777333</v>
      </c>
      <c r="AE4633">
        <v>-10.471499999999899</v>
      </c>
      <c r="AF4633">
        <v>-3.5864526429645598</v>
      </c>
      <c r="AG4633">
        <v>-1.118708777333</v>
      </c>
      <c r="AH4633">
        <v>13.077440870797499</v>
      </c>
      <c r="AI4633">
        <v>94.716149527009094</v>
      </c>
      <c r="AJ4633">
        <v>105.336148300998</v>
      </c>
      <c r="AK4633">
        <v>13.6063812829832</v>
      </c>
      <c r="AL4633">
        <v>79.960422768764303</v>
      </c>
      <c r="AM4633">
        <v>96.108285456956807</v>
      </c>
      <c r="AN4633">
        <v>1.0000000281685999</v>
      </c>
    </row>
    <row r="4634" spans="1:40" x14ac:dyDescent="0.25">
      <c r="A4634" t="str">
        <f>"20190312173023300"</f>
        <v>20190312173023300</v>
      </c>
      <c r="B4634" t="str">
        <f>"1552383023292148"</f>
        <v>1552383023292148</v>
      </c>
      <c r="C4634" t="s">
        <v>40</v>
      </c>
      <c r="D4634">
        <v>3.1532689999999999</v>
      </c>
      <c r="E4634">
        <v>0.42103059999999998</v>
      </c>
      <c r="F4634" t="s">
        <v>41</v>
      </c>
      <c r="G4634">
        <v>-418.76549999999997</v>
      </c>
      <c r="H4634" s="1">
        <v>-4.1997169999999996E-6</v>
      </c>
      <c r="I4634">
        <v>118.91200000000001</v>
      </c>
      <c r="J4634">
        <v>-408.77850000000001</v>
      </c>
      <c r="K4634">
        <v>1.118752</v>
      </c>
      <c r="L4634">
        <v>132.0651</v>
      </c>
      <c r="M4634">
        <v>-0.81650219999999996</v>
      </c>
      <c r="N4634">
        <v>0</v>
      </c>
      <c r="O4634">
        <v>-0.57715399999999994</v>
      </c>
      <c r="P4634">
        <v>-0.74326159999999997</v>
      </c>
      <c r="Q4634">
        <v>0.16219420000000001</v>
      </c>
      <c r="R4634">
        <v>-0.64904219999999901</v>
      </c>
      <c r="S4634">
        <v>-1.915527</v>
      </c>
      <c r="T4634">
        <v>-0.2081778</v>
      </c>
      <c r="U4634">
        <v>-2.4888309999999998</v>
      </c>
      <c r="V4634">
        <v>-0.1047812</v>
      </c>
      <c r="W4634">
        <v>0.17442929999999901</v>
      </c>
      <c r="X4634">
        <v>0.97907880000000003</v>
      </c>
      <c r="Y4634">
        <v>-0.29547250000000003</v>
      </c>
      <c r="Z4634">
        <v>3.0036920000000002E-2</v>
      </c>
      <c r="AA4634">
        <v>0.95487889999999997</v>
      </c>
      <c r="AB4634">
        <v>38</v>
      </c>
      <c r="AC4634">
        <v>-9.9869999999999592</v>
      </c>
      <c r="AD4634">
        <v>-1.1187561997169999</v>
      </c>
      <c r="AE4634">
        <v>-13.153099999999901</v>
      </c>
      <c r="AF4634">
        <v>-4.9533084656547297</v>
      </c>
      <c r="AG4634">
        <v>-1.1187561997169999</v>
      </c>
      <c r="AH4634">
        <v>15.6755490825833</v>
      </c>
      <c r="AI4634">
        <v>93.893136522901202</v>
      </c>
      <c r="AJ4634">
        <v>107.535987685218</v>
      </c>
      <c r="AK4634">
        <v>16.477551979308402</v>
      </c>
      <c r="AL4634">
        <v>79.9545512698582</v>
      </c>
      <c r="AM4634">
        <v>96.108554979128698</v>
      </c>
      <c r="AN4634">
        <v>0.99999998859068495</v>
      </c>
    </row>
    <row r="4635" spans="1:40" x14ac:dyDescent="0.25">
      <c r="A4635" t="str">
        <f>"20190312173023325"</f>
        <v>20190312173023325</v>
      </c>
      <c r="B4635" t="str">
        <f>"1552383023312644"</f>
        <v>1552383023312644</v>
      </c>
      <c r="C4635" t="s">
        <v>40</v>
      </c>
      <c r="D4635">
        <v>3.12588</v>
      </c>
      <c r="E4635">
        <v>0.42067310000000002</v>
      </c>
      <c r="F4635" t="s">
        <v>41</v>
      </c>
      <c r="G4635">
        <v>-419.0215</v>
      </c>
      <c r="H4635" s="1">
        <v>-3.953686E-6</v>
      </c>
      <c r="I4635">
        <v>118.4443</v>
      </c>
      <c r="J4635">
        <v>-409.09370000000001</v>
      </c>
      <c r="K4635">
        <v>1.1188039999999999</v>
      </c>
      <c r="L4635">
        <v>131.8331</v>
      </c>
      <c r="M4635">
        <v>-0.81120119999999996</v>
      </c>
      <c r="N4635">
        <v>0</v>
      </c>
      <c r="O4635">
        <v>-0.58458100000000002</v>
      </c>
      <c r="P4635">
        <v>-0.73729440000000002</v>
      </c>
      <c r="Q4635">
        <v>0.162076</v>
      </c>
      <c r="R4635">
        <v>-0.65584180000000003</v>
      </c>
      <c r="S4635">
        <v>-1.888428</v>
      </c>
      <c r="T4635">
        <v>-0.20625689999999999</v>
      </c>
      <c r="U4635">
        <v>-2.5111539999999999</v>
      </c>
      <c r="V4635">
        <v>-0.1048453</v>
      </c>
      <c r="W4635">
        <v>0.1743016</v>
      </c>
      <c r="X4635">
        <v>0.97909469999999998</v>
      </c>
      <c r="Y4635">
        <v>-0.29741859999999998</v>
      </c>
      <c r="Z4635">
        <v>3.0231399999999999E-2</v>
      </c>
      <c r="AA4635">
        <v>0.95426840000000002</v>
      </c>
      <c r="AB4635">
        <v>38</v>
      </c>
      <c r="AC4635">
        <v>-9.9277999999999906</v>
      </c>
      <c r="AD4635">
        <v>-1.1188079536860001</v>
      </c>
      <c r="AE4635">
        <v>-13.3888</v>
      </c>
      <c r="AF4635">
        <v>-5.0352713229263202</v>
      </c>
      <c r="AG4635">
        <v>-1.1188079536860001</v>
      </c>
      <c r="AH4635">
        <v>15.810774066192501</v>
      </c>
      <c r="AI4635">
        <v>93.857367301384002</v>
      </c>
      <c r="AJ4635">
        <v>107.665163032039</v>
      </c>
      <c r="AK4635">
        <v>16.630882872081699</v>
      </c>
      <c r="AL4635">
        <v>79.961981966919396</v>
      </c>
      <c r="AM4635">
        <v>96.112165106012995</v>
      </c>
      <c r="AN4635">
        <v>1.00000000813137</v>
      </c>
    </row>
    <row r="4636" spans="1:40" x14ac:dyDescent="0.25">
      <c r="A4636" t="str">
        <f>"20190312173023346"</f>
        <v>20190312173023346</v>
      </c>
      <c r="B4636" t="str">
        <f>"1552383023342900"</f>
        <v>1552383023342900</v>
      </c>
      <c r="C4636" t="s">
        <v>40</v>
      </c>
      <c r="D4636">
        <v>3.0917750000000002</v>
      </c>
      <c r="E4636">
        <v>0.42122290000000001</v>
      </c>
      <c r="F4636" t="s">
        <v>41</v>
      </c>
      <c r="G4636">
        <v>-419.238</v>
      </c>
      <c r="H4636" s="1">
        <v>-3.7483210000000001E-6</v>
      </c>
      <c r="I4636">
        <v>118.0551</v>
      </c>
      <c r="J4636">
        <v>-409.39069999999998</v>
      </c>
      <c r="K4636">
        <v>1.1188670000000001</v>
      </c>
      <c r="L4636">
        <v>131.60990000000001</v>
      </c>
      <c r="M4636">
        <v>-0.80604370000000003</v>
      </c>
      <c r="N4636">
        <v>0</v>
      </c>
      <c r="O4636">
        <v>-0.59167190000000003</v>
      </c>
      <c r="P4636">
        <v>-0.73166339999999996</v>
      </c>
      <c r="Q4636">
        <v>0.16200290000000001</v>
      </c>
      <c r="R4636">
        <v>-0.66213599999999995</v>
      </c>
      <c r="S4636">
        <v>-1.863129</v>
      </c>
      <c r="T4636">
        <v>-0.20548369999999999</v>
      </c>
      <c r="U4636">
        <v>-2.5305019999999998</v>
      </c>
      <c r="V4636">
        <v>-0.1046637</v>
      </c>
      <c r="W4636">
        <v>0.17422509999999999</v>
      </c>
      <c r="X4636">
        <v>0.97912779999999999</v>
      </c>
      <c r="Y4636">
        <v>-0.29872300000000002</v>
      </c>
      <c r="Z4636">
        <v>3.0591589999999998E-2</v>
      </c>
      <c r="AA4636">
        <v>0.95384939999999996</v>
      </c>
      <c r="AB4636">
        <v>38</v>
      </c>
      <c r="AC4636">
        <v>-9.8473000000000699</v>
      </c>
      <c r="AD4636">
        <v>-1.1188707483210001</v>
      </c>
      <c r="AE4636">
        <v>-13.5548</v>
      </c>
      <c r="AF4636">
        <v>-5.0773024501022599</v>
      </c>
      <c r="AG4636">
        <v>-1.1188707483210001</v>
      </c>
      <c r="AH4636">
        <v>15.888229192365801</v>
      </c>
      <c r="AI4636">
        <v>93.837622845989699</v>
      </c>
      <c r="AJ4636">
        <v>107.721996379274</v>
      </c>
      <c r="AK4636">
        <v>16.717257514030401</v>
      </c>
      <c r="AL4636">
        <v>79.966433749604704</v>
      </c>
      <c r="AM4636">
        <v>96.101453588563103</v>
      </c>
      <c r="AN4636">
        <v>1.00000006215026</v>
      </c>
    </row>
    <row r="4637" spans="1:40" x14ac:dyDescent="0.25">
      <c r="A4637" t="str">
        <f>"20190312173023369"</f>
        <v>20190312173023369</v>
      </c>
      <c r="B4637" t="str">
        <f>"1552383023362420"</f>
        <v>1552383023362420</v>
      </c>
      <c r="C4637" t="s">
        <v>40</v>
      </c>
      <c r="D4637">
        <v>3.1245259999999999</v>
      </c>
      <c r="E4637">
        <v>0.42175230000000002</v>
      </c>
      <c r="F4637" t="s">
        <v>41</v>
      </c>
      <c r="G4637">
        <v>-419.39879999999999</v>
      </c>
      <c r="H4637" s="1">
        <v>-3.6150679999999999E-6</v>
      </c>
      <c r="I4637">
        <v>117.81100000000001</v>
      </c>
      <c r="J4637">
        <v>-409.69819999999999</v>
      </c>
      <c r="K4637">
        <v>1.118927</v>
      </c>
      <c r="L4637">
        <v>131.37450000000001</v>
      </c>
      <c r="M4637">
        <v>-0.8005466</v>
      </c>
      <c r="N4637">
        <v>0</v>
      </c>
      <c r="O4637">
        <v>-0.59908869999999903</v>
      </c>
      <c r="P4637">
        <v>-0.72546630000000001</v>
      </c>
      <c r="Q4637">
        <v>0.1625607</v>
      </c>
      <c r="R4637">
        <v>-0.66878470000000001</v>
      </c>
      <c r="S4637">
        <v>-1.844452</v>
      </c>
      <c r="T4637">
        <v>-0.206205</v>
      </c>
      <c r="U4637">
        <v>-2.5431059999999999</v>
      </c>
      <c r="V4637">
        <v>-0.1046711</v>
      </c>
      <c r="W4637">
        <v>0.17477390000000001</v>
      </c>
      <c r="X4637">
        <v>0.97902909999999999</v>
      </c>
      <c r="Y4637">
        <v>-0.29676269999999999</v>
      </c>
      <c r="Z4637">
        <v>3.130289E-2</v>
      </c>
      <c r="AA4637">
        <v>0.95443809999999996</v>
      </c>
      <c r="AB4637">
        <v>38</v>
      </c>
      <c r="AC4637">
        <v>-9.7005999999999997</v>
      </c>
      <c r="AD4637">
        <v>-1.1189306150680001</v>
      </c>
      <c r="AE4637">
        <v>-13.563499999999999</v>
      </c>
      <c r="AF4637">
        <v>-5.0246205597053502</v>
      </c>
      <c r="AG4637">
        <v>-1.1189306150680001</v>
      </c>
      <c r="AH4637">
        <v>15.822015037248899</v>
      </c>
      <c r="AI4637">
        <v>93.856054890029796</v>
      </c>
      <c r="AJ4637">
        <v>107.618363113662</v>
      </c>
      <c r="AK4637">
        <v>16.638358612834399</v>
      </c>
      <c r="AL4637">
        <v>79.934498906311106</v>
      </c>
      <c r="AM4637">
        <v>96.102492237755399</v>
      </c>
      <c r="AN4637">
        <v>0.99999996697161397</v>
      </c>
    </row>
    <row r="4638" spans="1:40" x14ac:dyDescent="0.25">
      <c r="A4638" t="str">
        <f>"20190312173023390"</f>
        <v>20190312173023390</v>
      </c>
      <c r="B4638" t="str">
        <f>"1552383023382916"</f>
        <v>1552383023382916</v>
      </c>
      <c r="C4638" t="s">
        <v>40</v>
      </c>
      <c r="D4638">
        <v>3.088047</v>
      </c>
      <c r="E4638">
        <v>0.42221819999999999</v>
      </c>
      <c r="F4638" t="s">
        <v>41</v>
      </c>
      <c r="G4638">
        <v>-419.68029999999999</v>
      </c>
      <c r="H4638" s="1">
        <v>-3.378778E-6</v>
      </c>
      <c r="I4638">
        <v>117.3766</v>
      </c>
      <c r="J4638">
        <v>-409.98070000000001</v>
      </c>
      <c r="K4638">
        <v>1.118986</v>
      </c>
      <c r="L4638">
        <v>131.15430000000001</v>
      </c>
      <c r="M4638">
        <v>-0.79534830000000001</v>
      </c>
      <c r="N4638">
        <v>0</v>
      </c>
      <c r="O4638">
        <v>-0.60597259999999997</v>
      </c>
      <c r="P4638">
        <v>-0.71940179999999998</v>
      </c>
      <c r="Q4638">
        <v>0.16208810000000001</v>
      </c>
      <c r="R4638">
        <v>-0.67541759999999995</v>
      </c>
      <c r="S4638">
        <v>-1.8236079999999999</v>
      </c>
      <c r="T4638">
        <v>-0.2044156</v>
      </c>
      <c r="U4638">
        <v>-2.5572509999999999</v>
      </c>
      <c r="V4638">
        <v>-0.10516590000000001</v>
      </c>
      <c r="W4638">
        <v>0.174282399999999</v>
      </c>
      <c r="X4638">
        <v>0.97906369999999998</v>
      </c>
      <c r="Y4638">
        <v>-0.29617830000000001</v>
      </c>
      <c r="Z4638">
        <v>3.1553379999999999E-2</v>
      </c>
      <c r="AA4638">
        <v>0.9546114</v>
      </c>
      <c r="AB4638">
        <v>38</v>
      </c>
      <c r="AC4638">
        <v>-9.69959999999997</v>
      </c>
      <c r="AD4638">
        <v>-1.1189893787780001</v>
      </c>
      <c r="AE4638">
        <v>-13.777699999999999</v>
      </c>
      <c r="AF4638">
        <v>-5.0586226115719404</v>
      </c>
      <c r="AG4638">
        <v>-1.1189893787780001</v>
      </c>
      <c r="AH4638">
        <v>15.99468007045</v>
      </c>
      <c r="AI4638">
        <v>93.816178377599599</v>
      </c>
      <c r="AJ4638">
        <v>107.55055205935101</v>
      </c>
      <c r="AK4638">
        <v>16.812840048967701</v>
      </c>
      <c r="AL4638">
        <v>79.963098810076701</v>
      </c>
      <c r="AM4638">
        <v>96.130905640906803</v>
      </c>
      <c r="AN4638">
        <v>0.99999997506512905</v>
      </c>
    </row>
    <row r="4639" spans="1:40" x14ac:dyDescent="0.25">
      <c r="A4639" t="str">
        <f>"20190312173023413"</f>
        <v>20190312173023413</v>
      </c>
      <c r="B4639" t="str">
        <f>"1552383023402436"</f>
        <v>1552383023402436</v>
      </c>
      <c r="C4639" t="s">
        <v>40</v>
      </c>
      <c r="D4639">
        <v>3.0318890000000001</v>
      </c>
      <c r="E4639">
        <v>0.42268650000000002</v>
      </c>
      <c r="F4639" t="s">
        <v>41</v>
      </c>
      <c r="G4639">
        <v>-419.72919999999999</v>
      </c>
      <c r="H4639" s="1">
        <v>-3.3157779999999999E-6</v>
      </c>
      <c r="I4639">
        <v>117.2499</v>
      </c>
      <c r="J4639">
        <v>-410.27789999999999</v>
      </c>
      <c r="K4639">
        <v>1.1190549999999999</v>
      </c>
      <c r="L4639">
        <v>130.91810000000001</v>
      </c>
      <c r="M4639">
        <v>-0.7897111</v>
      </c>
      <c r="N4639">
        <v>0</v>
      </c>
      <c r="O4639">
        <v>-0.61330109999999904</v>
      </c>
      <c r="P4639">
        <v>-0.71324119999999902</v>
      </c>
      <c r="Q4639">
        <v>0.16150429999999999</v>
      </c>
      <c r="R4639">
        <v>-0.68205850000000001</v>
      </c>
      <c r="S4639">
        <v>-1.8027340000000001</v>
      </c>
      <c r="T4639">
        <v>-0.206928</v>
      </c>
      <c r="U4639">
        <v>-2.5712429999999999</v>
      </c>
      <c r="V4639">
        <v>-0.1051243</v>
      </c>
      <c r="W4639">
        <v>0.1736916</v>
      </c>
      <c r="X4639">
        <v>0.97917319999999997</v>
      </c>
      <c r="Y4639">
        <v>-0.295004299999999</v>
      </c>
      <c r="Z4639">
        <v>3.2517129999999998E-2</v>
      </c>
      <c r="AA4639">
        <v>0.95494250000000003</v>
      </c>
      <c r="AB4639">
        <v>38</v>
      </c>
      <c r="AC4639">
        <v>-9.4512999999999998</v>
      </c>
      <c r="AD4639">
        <v>-1.1190583157780001</v>
      </c>
      <c r="AE4639">
        <v>-13.668200000000001</v>
      </c>
      <c r="AF4639">
        <v>-4.9754188176336296</v>
      </c>
      <c r="AG4639">
        <v>-1.1190583157780001</v>
      </c>
      <c r="AH4639">
        <v>15.776701873978499</v>
      </c>
      <c r="AI4639">
        <v>93.869984666278498</v>
      </c>
      <c r="AJ4639">
        <v>107.503447978612</v>
      </c>
      <c r="AK4639">
        <v>16.5804525253496</v>
      </c>
      <c r="AL4639">
        <v>79.997473925854393</v>
      </c>
      <c r="AM4639">
        <v>96.127818795519602</v>
      </c>
      <c r="AN4639">
        <v>1.00000002297964</v>
      </c>
    </row>
    <row r="4640" spans="1:40" x14ac:dyDescent="0.25">
      <c r="A4640" t="str">
        <f>"20190312173023434"</f>
        <v>20190312173023434</v>
      </c>
      <c r="B4640" t="str">
        <f>"1552383023422932"</f>
        <v>1552383023422932</v>
      </c>
      <c r="C4640" t="s">
        <v>40</v>
      </c>
      <c r="D4640">
        <v>3.0364330000000002</v>
      </c>
      <c r="E4640">
        <v>0.42303629999999998</v>
      </c>
      <c r="F4640" t="s">
        <v>41</v>
      </c>
      <c r="G4640">
        <v>-419.83519999999999</v>
      </c>
      <c r="H4640" s="1">
        <v>-3.2123480000000002E-6</v>
      </c>
      <c r="I4640">
        <v>117.0527</v>
      </c>
      <c r="J4640">
        <v>-410.55650000000003</v>
      </c>
      <c r="K4640">
        <v>1.1191199999999999</v>
      </c>
      <c r="L4640">
        <v>130.6926</v>
      </c>
      <c r="M4640">
        <v>-0.7842633</v>
      </c>
      <c r="N4640">
        <v>0</v>
      </c>
      <c r="O4640">
        <v>-0.62025189999999997</v>
      </c>
      <c r="P4640">
        <v>-0.70682599999999995</v>
      </c>
      <c r="Q4640">
        <v>0.16165650000000001</v>
      </c>
      <c r="R4640">
        <v>-0.68866879999999997</v>
      </c>
      <c r="S4640">
        <v>-1.781647</v>
      </c>
      <c r="T4640">
        <v>-0.20861089999999999</v>
      </c>
      <c r="U4640">
        <v>-2.5847470000000001</v>
      </c>
      <c r="V4640">
        <v>-0.10564610000000001</v>
      </c>
      <c r="W4640">
        <v>0.1738217</v>
      </c>
      <c r="X4640">
        <v>0.97909389999999996</v>
      </c>
      <c r="Y4640">
        <v>-0.2941937</v>
      </c>
      <c r="Z4640">
        <v>3.3328629999999998E-2</v>
      </c>
      <c r="AA4640">
        <v>0.95516460000000003</v>
      </c>
      <c r="AB4640">
        <v>38</v>
      </c>
      <c r="AC4640">
        <v>-9.2786999999999509</v>
      </c>
      <c r="AD4640">
        <v>-1.1191232123479999</v>
      </c>
      <c r="AE4640">
        <v>-13.6398999999999</v>
      </c>
      <c r="AF4640">
        <v>-4.9200392842408096</v>
      </c>
      <c r="AG4640">
        <v>-1.1191232123479999</v>
      </c>
      <c r="AH4640">
        <v>15.666737753997801</v>
      </c>
      <c r="AI4640">
        <v>93.898760085798401</v>
      </c>
      <c r="AJ4640">
        <v>107.434564334141</v>
      </c>
      <c r="AK4640">
        <v>16.459219154486899</v>
      </c>
      <c r="AL4640">
        <v>79.989904104161695</v>
      </c>
      <c r="AM4640">
        <v>96.158496930497094</v>
      </c>
      <c r="AN4640">
        <v>0.99999997342665403</v>
      </c>
    </row>
    <row r="4641" spans="1:40" x14ac:dyDescent="0.25">
      <c r="A4641" t="str">
        <f>"20190312173023457"</f>
        <v>20190312173023457</v>
      </c>
      <c r="B4641" t="str">
        <f>"1552383023452212"</f>
        <v>1552383023452212</v>
      </c>
      <c r="C4641" t="s">
        <v>40</v>
      </c>
      <c r="D4641">
        <v>3.1044320000000001</v>
      </c>
      <c r="E4641">
        <v>0.42984319999999998</v>
      </c>
      <c r="F4641" t="s">
        <v>41</v>
      </c>
      <c r="G4641">
        <v>-420.01670000000001</v>
      </c>
      <c r="H4641" s="1">
        <v>-3.063939E-6</v>
      </c>
      <c r="I4641">
        <v>116.7208</v>
      </c>
      <c r="J4641">
        <v>-410.84930000000003</v>
      </c>
      <c r="K4641">
        <v>1.1191949999999999</v>
      </c>
      <c r="L4641">
        <v>130.4511</v>
      </c>
      <c r="M4641">
        <v>-0.77836070000000002</v>
      </c>
      <c r="N4641">
        <v>0</v>
      </c>
      <c r="O4641">
        <v>-0.6276427</v>
      </c>
      <c r="P4641">
        <v>-0.7000229</v>
      </c>
      <c r="Q4641">
        <v>0.16198670000000001</v>
      </c>
      <c r="R4641">
        <v>-0.69550590000000001</v>
      </c>
      <c r="S4641">
        <v>-1.7597349999999901</v>
      </c>
      <c r="T4641">
        <v>-0.20817340000000001</v>
      </c>
      <c r="U4641">
        <v>-2.5989529999999998</v>
      </c>
      <c r="V4641">
        <v>-0.1059894</v>
      </c>
      <c r="W4641">
        <v>0.17413310000000001</v>
      </c>
      <c r="X4641">
        <v>0.97900149999999997</v>
      </c>
      <c r="Y4641">
        <v>-0.29310619999999998</v>
      </c>
      <c r="Z4641">
        <v>3.3843520000000002E-2</v>
      </c>
      <c r="AA4641">
        <v>0.95548069999999896</v>
      </c>
      <c r="AB4641">
        <v>38</v>
      </c>
      <c r="AC4641">
        <v>-9.1673999999999793</v>
      </c>
      <c r="AD4641">
        <v>-1.119198063939</v>
      </c>
      <c r="AE4641">
        <v>-13.7303</v>
      </c>
      <c r="AF4641">
        <v>-4.9112447419340102</v>
      </c>
      <c r="AG4641">
        <v>-1.119198063939</v>
      </c>
      <c r="AH4641">
        <v>15.6829203830723</v>
      </c>
      <c r="AI4641">
        <v>93.895990293409099</v>
      </c>
      <c r="AJ4641">
        <v>107.388407130053</v>
      </c>
      <c r="AK4641">
        <v>16.4720041574571</v>
      </c>
      <c r="AL4641">
        <v>79.971786291773398</v>
      </c>
      <c r="AM4641">
        <v>96.178933230223294</v>
      </c>
      <c r="AN4641">
        <v>1.0000000132151099</v>
      </c>
    </row>
    <row r="4642" spans="1:40" x14ac:dyDescent="0.25">
      <c r="A4642" t="str">
        <f>"20190312173023479"</f>
        <v>20190312173023479</v>
      </c>
      <c r="B4642" t="str">
        <f>"1552383023472708"</f>
        <v>1552383023472708</v>
      </c>
      <c r="C4642" t="s">
        <v>40</v>
      </c>
      <c r="D4642">
        <v>3.06637</v>
      </c>
      <c r="E4642">
        <v>0.43090650000000003</v>
      </c>
      <c r="F4642" t="s">
        <v>41</v>
      </c>
      <c r="G4642">
        <v>-420.17509999999999</v>
      </c>
      <c r="H4642" s="1">
        <v>-3.1786559999999998E-6</v>
      </c>
      <c r="I4642">
        <v>116.89</v>
      </c>
      <c r="J4642">
        <v>-411.13380000000001</v>
      </c>
      <c r="K4642">
        <v>1.1192740000000001</v>
      </c>
      <c r="L4642">
        <v>130.21190000000001</v>
      </c>
      <c r="M4642">
        <v>-0.77244290000000004</v>
      </c>
      <c r="N4642">
        <v>0</v>
      </c>
      <c r="O4642">
        <v>-0.63491149999999996</v>
      </c>
      <c r="P4642">
        <v>-0.69323590000000002</v>
      </c>
      <c r="Q4642">
        <v>0.16172909999999999</v>
      </c>
      <c r="R4642">
        <v>-0.70233040000000002</v>
      </c>
      <c r="S4642">
        <v>-1.773102</v>
      </c>
      <c r="T4642">
        <v>-0.2127907</v>
      </c>
      <c r="U4642">
        <v>-2.5783390000000002</v>
      </c>
      <c r="V4642">
        <v>-0.1063943</v>
      </c>
      <c r="W4642">
        <v>0.1738555</v>
      </c>
      <c r="X4642">
        <v>0.97900690000000001</v>
      </c>
      <c r="Y4642">
        <v>-0.2772502</v>
      </c>
      <c r="Z4642">
        <v>3.5692719999999997E-2</v>
      </c>
      <c r="AA4642">
        <v>0.96013459999999995</v>
      </c>
      <c r="AB4642">
        <v>38</v>
      </c>
      <c r="AC4642">
        <v>-9.0412999999999695</v>
      </c>
      <c r="AD4642">
        <v>-1.1192771786559901</v>
      </c>
      <c r="AE4642">
        <v>-13.321899999999999</v>
      </c>
      <c r="AF4642">
        <v>-4.5285944823925997</v>
      </c>
      <c r="AG4642">
        <v>-1.1192771786559901</v>
      </c>
      <c r="AH4642">
        <v>15.3695296595779</v>
      </c>
      <c r="AI4642">
        <v>93.995917636364695</v>
      </c>
      <c r="AJ4642">
        <v>106.417480999682</v>
      </c>
      <c r="AK4642">
        <v>16.061861391048701</v>
      </c>
      <c r="AL4642">
        <v>79.987937793886204</v>
      </c>
      <c r="AM4642">
        <v>96.202320376788606</v>
      </c>
      <c r="AN4642">
        <v>0.99999999610017498</v>
      </c>
    </row>
    <row r="4643" spans="1:40" x14ac:dyDescent="0.25">
      <c r="A4643" t="str">
        <f>"20190312173023501"</f>
        <v>20190312173023501</v>
      </c>
      <c r="B4643" t="str">
        <f>"1552383023492228"</f>
        <v>1552383023492228</v>
      </c>
      <c r="C4643" t="s">
        <v>40</v>
      </c>
      <c r="D4643">
        <v>3.0065400000000002</v>
      </c>
      <c r="E4643">
        <v>0.43183100000000002</v>
      </c>
      <c r="F4643" t="s">
        <v>41</v>
      </c>
      <c r="G4643">
        <v>-420.35079999999999</v>
      </c>
      <c r="H4643" s="1">
        <v>-3.1023369999999999E-6</v>
      </c>
      <c r="I4643">
        <v>116.6032</v>
      </c>
      <c r="J4643">
        <v>-411.41879999999998</v>
      </c>
      <c r="K4643">
        <v>1.1193569999999999</v>
      </c>
      <c r="L4643">
        <v>129.9676</v>
      </c>
      <c r="M4643">
        <v>-0.76632549999999999</v>
      </c>
      <c r="N4643">
        <v>0</v>
      </c>
      <c r="O4643">
        <v>-0.64228160000000001</v>
      </c>
      <c r="P4643">
        <v>-0.68643549999999998</v>
      </c>
      <c r="Q4643">
        <v>0.1611099</v>
      </c>
      <c r="R4643">
        <v>-0.70911930000000001</v>
      </c>
      <c r="S4643">
        <v>-1.7538149999999999</v>
      </c>
      <c r="T4643">
        <v>-0.21297720000000001</v>
      </c>
      <c r="U4643">
        <v>-2.5894780000000002</v>
      </c>
      <c r="V4643">
        <v>-0.10658189999999999</v>
      </c>
      <c r="W4643">
        <v>0.1732225</v>
      </c>
      <c r="X4643">
        <v>0.97909869999999999</v>
      </c>
      <c r="Y4643">
        <v>-0.27487709999999999</v>
      </c>
      <c r="Z4643">
        <v>3.6368020000000001E-2</v>
      </c>
      <c r="AA4643">
        <v>0.96079130000000001</v>
      </c>
      <c r="AB4643">
        <v>38</v>
      </c>
      <c r="AC4643">
        <v>-8.9320000000000093</v>
      </c>
      <c r="AD4643">
        <v>-1.1193601023369999</v>
      </c>
      <c r="AE4643">
        <v>-13.3644</v>
      </c>
      <c r="AF4643">
        <v>-4.4833752327461003</v>
      </c>
      <c r="AG4643">
        <v>-1.1193601023369999</v>
      </c>
      <c r="AH4643">
        <v>15.3557589920932</v>
      </c>
      <c r="AI4643">
        <v>94.002672046579505</v>
      </c>
      <c r="AJ4643">
        <v>106.276063359508</v>
      </c>
      <c r="AK4643">
        <v>16.035989359548601</v>
      </c>
      <c r="AL4643">
        <v>80.024764839970999</v>
      </c>
      <c r="AM4643">
        <v>96.212593183876194</v>
      </c>
      <c r="AN4643">
        <v>1.00000000012777</v>
      </c>
    </row>
    <row r="4644" spans="1:40" x14ac:dyDescent="0.25">
      <c r="A4644" t="str">
        <f>"20190312173023524"</f>
        <v>20190312173023524</v>
      </c>
      <c r="B4644" t="str">
        <f>"1552383023512724"</f>
        <v>1552383023512724</v>
      </c>
      <c r="C4644" t="s">
        <v>40</v>
      </c>
      <c r="D4644">
        <v>3.0588389999999999</v>
      </c>
      <c r="E4644">
        <v>0.43291610000000003</v>
      </c>
      <c r="F4644" t="s">
        <v>41</v>
      </c>
      <c r="G4644">
        <v>-420.43709999999999</v>
      </c>
      <c r="H4644" s="1">
        <v>-3.0537789999999999E-6</v>
      </c>
      <c r="I4644">
        <v>116.43640000000001</v>
      </c>
      <c r="J4644">
        <v>-411.69869999999997</v>
      </c>
      <c r="K4644">
        <v>1.1194440000000001</v>
      </c>
      <c r="L4644">
        <v>129.7227</v>
      </c>
      <c r="M4644">
        <v>-0.76011879999999998</v>
      </c>
      <c r="N4644">
        <v>0</v>
      </c>
      <c r="O4644">
        <v>-0.64961499999999905</v>
      </c>
      <c r="P4644">
        <v>-0.67930849999999998</v>
      </c>
      <c r="Q4644">
        <v>0.16133639999999999</v>
      </c>
      <c r="R4644">
        <v>-0.71589849999999999</v>
      </c>
      <c r="S4644">
        <v>-1.7337039999999999</v>
      </c>
      <c r="T4644">
        <v>-0.21518789999999999</v>
      </c>
      <c r="U4644">
        <v>-2.6012569999999999</v>
      </c>
      <c r="V4644">
        <v>-0.1069711</v>
      </c>
      <c r="W4644">
        <v>0.17342729999999901</v>
      </c>
      <c r="X4644">
        <v>0.97902</v>
      </c>
      <c r="Y4644">
        <v>-0.27281090000000002</v>
      </c>
      <c r="Z4644">
        <v>3.7381619999999997E-2</v>
      </c>
      <c r="AA4644">
        <v>0.96134109999999995</v>
      </c>
      <c r="AB4644">
        <v>38</v>
      </c>
      <c r="AC4644">
        <v>-8.7384000000000093</v>
      </c>
      <c r="AD4644">
        <v>-1.119447053779</v>
      </c>
      <c r="AE4644">
        <v>-13.286299999999899</v>
      </c>
      <c r="AF4644">
        <v>-4.4012465621437302</v>
      </c>
      <c r="AG4644">
        <v>-1.119447053779</v>
      </c>
      <c r="AH4644">
        <v>15.199559702608299</v>
      </c>
      <c r="AI4644">
        <v>94.0465805014843</v>
      </c>
      <c r="AJ4644">
        <v>106.14911765874299</v>
      </c>
      <c r="AK4644">
        <v>15.8635036533595</v>
      </c>
      <c r="AL4644">
        <v>80.012850358742199</v>
      </c>
      <c r="AM4644">
        <v>96.235598319150995</v>
      </c>
      <c r="AN4644">
        <v>1.00000000251025</v>
      </c>
    </row>
    <row r="4645" spans="1:40" x14ac:dyDescent="0.25">
      <c r="A4645" t="str">
        <f>"20190312173023546"</f>
        <v>20190312173023546</v>
      </c>
      <c r="B4645" t="str">
        <f>"1552383023542981"</f>
        <v>1552383023542981</v>
      </c>
      <c r="C4645" t="s">
        <v>40</v>
      </c>
      <c r="D4645">
        <v>3.0246460000000002</v>
      </c>
      <c r="E4645">
        <v>0.43888909999999998</v>
      </c>
      <c r="F4645" t="s">
        <v>41</v>
      </c>
      <c r="G4645">
        <v>-420.59039999999999</v>
      </c>
      <c r="H4645" s="1">
        <v>-2.9827339999999999E-6</v>
      </c>
      <c r="I4645">
        <v>116.1758</v>
      </c>
      <c r="J4645">
        <v>-411.9796</v>
      </c>
      <c r="K4645">
        <v>1.119532</v>
      </c>
      <c r="L4645">
        <v>129.4718</v>
      </c>
      <c r="M4645">
        <v>-0.75368849999999998</v>
      </c>
      <c r="N4645">
        <v>0</v>
      </c>
      <c r="O4645">
        <v>-0.65706430000000005</v>
      </c>
      <c r="P4645">
        <v>-0.6719619</v>
      </c>
      <c r="Q4645">
        <v>0.16195860000000001</v>
      </c>
      <c r="R4645">
        <v>-0.72265959999999996</v>
      </c>
      <c r="S4645">
        <v>-1.71456899999999</v>
      </c>
      <c r="T4645">
        <v>-0.21586259999999999</v>
      </c>
      <c r="U4645">
        <v>-2.612244</v>
      </c>
      <c r="V4645">
        <v>-0.1072816</v>
      </c>
      <c r="W4645">
        <v>0.1740302</v>
      </c>
      <c r="X4645">
        <v>0.97887900000000005</v>
      </c>
      <c r="Y4645">
        <v>-0.270132599999999</v>
      </c>
      <c r="Z4645">
        <v>3.8163780000000001E-2</v>
      </c>
      <c r="AA4645">
        <v>0.96206650000000005</v>
      </c>
      <c r="AB4645">
        <v>38</v>
      </c>
      <c r="AC4645">
        <v>-8.6107999999999798</v>
      </c>
      <c r="AD4645">
        <v>-1.119534982734</v>
      </c>
      <c r="AE4645">
        <v>-13.295999999999999</v>
      </c>
      <c r="AF4645">
        <v>-4.3419857543294098</v>
      </c>
      <c r="AG4645">
        <v>-1.119534982734</v>
      </c>
      <c r="AH4645">
        <v>15.1521810957074</v>
      </c>
      <c r="AI4645">
        <v>94.062744945987504</v>
      </c>
      <c r="AJ4645">
        <v>105.990103417893</v>
      </c>
      <c r="AK4645">
        <v>15.8017337917546</v>
      </c>
      <c r="AL4645">
        <v>79.977773051136694</v>
      </c>
      <c r="AM4645">
        <v>96.2544485391835</v>
      </c>
      <c r="AN4645">
        <v>0.99999997442579902</v>
      </c>
    </row>
    <row r="4646" spans="1:40" x14ac:dyDescent="0.25">
      <c r="A4646" t="str">
        <f>"20190312173023569"</f>
        <v>20190312173023569</v>
      </c>
      <c r="B4646" t="str">
        <f>"1552383023562501"</f>
        <v>1552383023562501</v>
      </c>
      <c r="C4646" t="s">
        <v>40</v>
      </c>
      <c r="D4646">
        <v>3.058487</v>
      </c>
      <c r="E4646">
        <v>0.43948090000000001</v>
      </c>
      <c r="F4646" t="s">
        <v>41</v>
      </c>
      <c r="G4646">
        <v>-420.25700000000001</v>
      </c>
      <c r="H4646" s="1">
        <v>-3.246209E-6</v>
      </c>
      <c r="I4646">
        <v>116.9967</v>
      </c>
      <c r="J4646">
        <v>-412.25790000000001</v>
      </c>
      <c r="K4646">
        <v>1.119607</v>
      </c>
      <c r="L4646">
        <v>129.2182</v>
      </c>
      <c r="M4646">
        <v>-0.7471236</v>
      </c>
      <c r="N4646">
        <v>0</v>
      </c>
      <c r="O4646">
        <v>-0.66451910000000003</v>
      </c>
      <c r="P4646">
        <v>-0.66447659999999997</v>
      </c>
      <c r="Q4646">
        <v>0.16278970000000001</v>
      </c>
      <c r="R4646">
        <v>-0.72936319999999999</v>
      </c>
      <c r="S4646">
        <v>-1.724945</v>
      </c>
      <c r="T4646">
        <v>-0.2332996</v>
      </c>
      <c r="U4646">
        <v>-2.5996860000000002</v>
      </c>
      <c r="V4646">
        <v>-0.1075641</v>
      </c>
      <c r="W4646">
        <v>0.174843</v>
      </c>
      <c r="X4646">
        <v>0.97870310000000005</v>
      </c>
      <c r="Y4646">
        <v>-0.2558684</v>
      </c>
      <c r="Z4646">
        <v>4.2340030000000001E-2</v>
      </c>
      <c r="AA4646">
        <v>0.96578399999999998</v>
      </c>
      <c r="AB4646">
        <v>38</v>
      </c>
      <c r="AC4646">
        <v>-7.9990999999999399</v>
      </c>
      <c r="AD4646">
        <v>-1.1196102462090001</v>
      </c>
      <c r="AE4646">
        <v>-12.221499999999899</v>
      </c>
      <c r="AF4646">
        <v>-3.7935486966521301</v>
      </c>
      <c r="AG4646">
        <v>-1.1196102462090001</v>
      </c>
      <c r="AH4646">
        <v>14.016936910295801</v>
      </c>
      <c r="AI4646">
        <v>94.408880499259197</v>
      </c>
      <c r="AJ4646">
        <v>105.1437659851</v>
      </c>
      <c r="AK4646">
        <v>14.5643077131905</v>
      </c>
      <c r="AL4646">
        <v>79.930477519078394</v>
      </c>
      <c r="AM4646">
        <v>96.271905126468099</v>
      </c>
      <c r="AN4646">
        <v>0.99999993410370702</v>
      </c>
    </row>
    <row r="4647" spans="1:40" x14ac:dyDescent="0.25">
      <c r="A4647" t="str">
        <f>"20190312173023590"</f>
        <v>20190312173023590</v>
      </c>
      <c r="B4647" t="str">
        <f>"1552383023582020"</f>
        <v>1552383023582020</v>
      </c>
      <c r="C4647" t="s">
        <v>40</v>
      </c>
      <c r="D4647">
        <v>3.0391509999999999</v>
      </c>
      <c r="E4647">
        <v>0.4402182</v>
      </c>
      <c r="F4647" t="s">
        <v>41</v>
      </c>
      <c r="G4647">
        <v>-420.43060000000003</v>
      </c>
      <c r="H4647" s="1">
        <v>-3.1507390000000002E-6</v>
      </c>
      <c r="I4647">
        <v>116.6665</v>
      </c>
      <c r="J4647">
        <v>-412.52460000000002</v>
      </c>
      <c r="K4647">
        <v>1.1196809999999999</v>
      </c>
      <c r="L4647">
        <v>128.97030000000001</v>
      </c>
      <c r="M4647">
        <v>-0.74064669999999999</v>
      </c>
      <c r="N4647">
        <v>0</v>
      </c>
      <c r="O4647">
        <v>-0.6717303</v>
      </c>
      <c r="P4647">
        <v>-0.6572093</v>
      </c>
      <c r="Q4647">
        <v>0.163539299999999</v>
      </c>
      <c r="R4647">
        <v>-0.73575230000000003</v>
      </c>
      <c r="S4647">
        <v>-1.7022710000000001</v>
      </c>
      <c r="T4647">
        <v>-0.23319999999999999</v>
      </c>
      <c r="U4647">
        <v>-2.6143489999999998</v>
      </c>
      <c r="V4647">
        <v>-0.1077104</v>
      </c>
      <c r="W4647">
        <v>0.1755786</v>
      </c>
      <c r="X4647">
        <v>0.97855539999999996</v>
      </c>
      <c r="Y4647">
        <v>-0.25486900000000001</v>
      </c>
      <c r="Z4647">
        <v>4.2954010000000001E-2</v>
      </c>
      <c r="AA4647">
        <v>0.96602109999999997</v>
      </c>
      <c r="AB4647">
        <v>38</v>
      </c>
      <c r="AC4647">
        <v>-7.9059999999999997</v>
      </c>
      <c r="AD4647">
        <v>-1.1196841507390001</v>
      </c>
      <c r="AE4647">
        <v>-12.303800000000001</v>
      </c>
      <c r="AF4647">
        <v>-3.7803309016626998</v>
      </c>
      <c r="AG4647">
        <v>-1.1196841507390001</v>
      </c>
      <c r="AH4647">
        <v>14.0396551879649</v>
      </c>
      <c r="AI4647">
        <v>94.4035858519497</v>
      </c>
      <c r="AJ4647">
        <v>105.070100536572</v>
      </c>
      <c r="AK4647">
        <v>14.582747070440201</v>
      </c>
      <c r="AL4647">
        <v>79.887669432879704</v>
      </c>
      <c r="AM4647">
        <v>96.281307907084496</v>
      </c>
      <c r="AN4647">
        <v>1.00000002295763</v>
      </c>
    </row>
    <row r="4648" spans="1:40" x14ac:dyDescent="0.25">
      <c r="A4648" t="str">
        <f>"20190312173023613"</f>
        <v>20190312173023613</v>
      </c>
      <c r="B4648" t="str">
        <f>"1552383023602516"</f>
        <v>1552383023602516</v>
      </c>
      <c r="C4648" t="s">
        <v>40</v>
      </c>
      <c r="D4648">
        <v>3.044314</v>
      </c>
      <c r="E4648">
        <v>0.44041570000000002</v>
      </c>
      <c r="F4648" t="s">
        <v>41</v>
      </c>
      <c r="G4648">
        <v>-420.64249999999998</v>
      </c>
      <c r="H4648" s="1">
        <v>-3.0434820000000001E-6</v>
      </c>
      <c r="I4648">
        <v>116.285</v>
      </c>
      <c r="J4648">
        <v>-412.78840000000002</v>
      </c>
      <c r="K4648">
        <v>1.1197539999999999</v>
      </c>
      <c r="L4648">
        <v>128.72020000000001</v>
      </c>
      <c r="M4648">
        <v>-0.73405310000000001</v>
      </c>
      <c r="N4648">
        <v>0</v>
      </c>
      <c r="O4648">
        <v>-0.67892940000000002</v>
      </c>
      <c r="P4648">
        <v>-0.64973110000000001</v>
      </c>
      <c r="Q4648">
        <v>0.16394629999999999</v>
      </c>
      <c r="R4648">
        <v>-0.74227460000000001</v>
      </c>
      <c r="S4648">
        <v>-1.6812739999999999</v>
      </c>
      <c r="T4648">
        <v>-0.23189219999999999</v>
      </c>
      <c r="U4648">
        <v>-2.6271819999999999</v>
      </c>
      <c r="V4648">
        <v>-0.10803169999999999</v>
      </c>
      <c r="W4648">
        <v>0.17596819999999999</v>
      </c>
      <c r="X4648">
        <v>0.97844989999999998</v>
      </c>
      <c r="Y4648">
        <v>-0.25305229999999901</v>
      </c>
      <c r="Z4648">
        <v>4.3371369999999999E-2</v>
      </c>
      <c r="AA4648">
        <v>0.96648000000000001</v>
      </c>
      <c r="AB4648">
        <v>38</v>
      </c>
      <c r="AC4648">
        <v>-7.8540999999999599</v>
      </c>
      <c r="AD4648">
        <v>-1.1197570434819999</v>
      </c>
      <c r="AE4648">
        <v>-12.4352</v>
      </c>
      <c r="AF4648">
        <v>-3.7742604061934499</v>
      </c>
      <c r="AG4648">
        <v>-1.1197570434819999</v>
      </c>
      <c r="AH4648">
        <v>14.127631377620601</v>
      </c>
      <c r="AI4648">
        <v>94.378852608181603</v>
      </c>
      <c r="AJ4648">
        <v>104.95750955815301</v>
      </c>
      <c r="AK4648">
        <v>14.665908283912</v>
      </c>
      <c r="AL4648">
        <v>79.864993015531894</v>
      </c>
      <c r="AM4648">
        <v>96.300568422540493</v>
      </c>
      <c r="AN4648">
        <v>0.99999993121306696</v>
      </c>
    </row>
    <row r="4649" spans="1:40" x14ac:dyDescent="0.25">
      <c r="A4649" t="str">
        <f>"20190312173023635"</f>
        <v>20190312173023635</v>
      </c>
      <c r="B4649" t="str">
        <f>"1552383023632773"</f>
        <v>1552383023632773</v>
      </c>
      <c r="C4649" t="s">
        <v>40</v>
      </c>
      <c r="D4649">
        <v>3.157384</v>
      </c>
      <c r="E4649">
        <v>0.43589860000000002</v>
      </c>
      <c r="F4649" t="s">
        <v>41</v>
      </c>
      <c r="G4649">
        <v>-420.78960000000001</v>
      </c>
      <c r="H4649" s="1">
        <v>-2.9385669999999998E-6</v>
      </c>
      <c r="I4649">
        <v>115.9492</v>
      </c>
      <c r="J4649">
        <v>-413.05610000000001</v>
      </c>
      <c r="K4649">
        <v>1.119823</v>
      </c>
      <c r="L4649">
        <v>128.4614</v>
      </c>
      <c r="M4649">
        <v>-0.72716800000000004</v>
      </c>
      <c r="N4649">
        <v>0</v>
      </c>
      <c r="O4649">
        <v>-0.68629839999999998</v>
      </c>
      <c r="P4649">
        <v>-0.64213319999999996</v>
      </c>
      <c r="Q4649">
        <v>0.163986299999999</v>
      </c>
      <c r="R4649">
        <v>-0.74884830000000002</v>
      </c>
      <c r="S4649">
        <v>-1.6560360000000001</v>
      </c>
      <c r="T4649">
        <v>-0.2317601</v>
      </c>
      <c r="U4649">
        <v>-2.6432500000000001</v>
      </c>
      <c r="V4649">
        <v>-0.1081585</v>
      </c>
      <c r="W4649">
        <v>0.1759973</v>
      </c>
      <c r="X4649">
        <v>0.97843069999999999</v>
      </c>
      <c r="Y4649">
        <v>-0.25257639999999998</v>
      </c>
      <c r="Z4649">
        <v>4.397073E-2</v>
      </c>
      <c r="AA4649">
        <v>0.96657729999999997</v>
      </c>
      <c r="AB4649">
        <v>38</v>
      </c>
      <c r="AC4649">
        <v>-7.7334999999999896</v>
      </c>
      <c r="AD4649">
        <v>-1.119825938567</v>
      </c>
      <c r="AE4649">
        <v>-12.512199999999901</v>
      </c>
      <c r="AF4649">
        <v>-3.7695542361159902</v>
      </c>
      <c r="AG4649">
        <v>-1.119825938567</v>
      </c>
      <c r="AH4649">
        <v>14.1303308061424</v>
      </c>
      <c r="AI4649">
        <v>94.378705116052103</v>
      </c>
      <c r="AJ4649">
        <v>104.93696681791</v>
      </c>
      <c r="AK4649">
        <v>14.6673037045915</v>
      </c>
      <c r="AL4649">
        <v>79.863299699584701</v>
      </c>
      <c r="AM4649">
        <v>96.308026792984293</v>
      </c>
      <c r="AN4649">
        <v>0.99999997271601404</v>
      </c>
    </row>
    <row r="4650" spans="1:40" x14ac:dyDescent="0.25">
      <c r="A4650" t="str">
        <f>"20190312173023658"</f>
        <v>20190312173023658</v>
      </c>
      <c r="B4650" t="str">
        <f>"1552383023652292"</f>
        <v>1552383023652292</v>
      </c>
      <c r="C4650" t="s">
        <v>40</v>
      </c>
      <c r="D4650">
        <v>3.0469539999999999</v>
      </c>
      <c r="E4650">
        <v>0.43321460000000001</v>
      </c>
      <c r="F4650" t="s">
        <v>41</v>
      </c>
      <c r="G4650">
        <v>-420.9572</v>
      </c>
      <c r="H4650" s="1">
        <v>-2.673994E-6</v>
      </c>
      <c r="I4650">
        <v>115.2286</v>
      </c>
      <c r="J4650">
        <v>-413.32600000000002</v>
      </c>
      <c r="K4650">
        <v>1.119891</v>
      </c>
      <c r="L4650">
        <v>128.19499999999999</v>
      </c>
      <c r="M4650">
        <v>-0.7200204</v>
      </c>
      <c r="N4650">
        <v>0</v>
      </c>
      <c r="O4650">
        <v>-0.6937932</v>
      </c>
      <c r="P4650">
        <v>-0.63434579999999996</v>
      </c>
      <c r="Q4650">
        <v>0.1645122</v>
      </c>
      <c r="R4650">
        <v>-0.75534169999999901</v>
      </c>
      <c r="S4650">
        <v>-1.6016539999999999</v>
      </c>
      <c r="T4650">
        <v>-0.22700419999999999</v>
      </c>
      <c r="U4650">
        <v>-2.6824650000000001</v>
      </c>
      <c r="V4650">
        <v>-0.10811469999999999</v>
      </c>
      <c r="W4650">
        <v>0.17651459999999999</v>
      </c>
      <c r="X4650">
        <v>0.97834239999999995</v>
      </c>
      <c r="Y4650">
        <v>-0.26320729999999998</v>
      </c>
      <c r="Z4650">
        <v>4.3319549999999998E-2</v>
      </c>
      <c r="AA4650">
        <v>0.96376620000000002</v>
      </c>
      <c r="AB4650">
        <v>38</v>
      </c>
      <c r="AC4650">
        <v>-7.63120000000003</v>
      </c>
      <c r="AD4650">
        <v>-1.119893673994</v>
      </c>
      <c r="AE4650">
        <v>-12.966399999999901</v>
      </c>
      <c r="AF4650">
        <v>-4.01977422651892</v>
      </c>
      <c r="AG4650">
        <v>-1.119893673994</v>
      </c>
      <c r="AH4650">
        <v>14.4123740925712</v>
      </c>
      <c r="AI4650">
        <v>94.280430960427793</v>
      </c>
      <c r="AJ4650">
        <v>105.584387956047</v>
      </c>
      <c r="AK4650">
        <v>15.0043085031418</v>
      </c>
      <c r="AL4650">
        <v>79.833189699122599</v>
      </c>
      <c r="AM4650">
        <v>96.306057382370994</v>
      </c>
      <c r="AN4650">
        <v>1.0000000220034999</v>
      </c>
    </row>
    <row r="4651" spans="1:40" x14ac:dyDescent="0.25">
      <c r="A4651" t="str">
        <f>"20190312173023680"</f>
        <v>20190312173023680</v>
      </c>
      <c r="B4651" t="str">
        <f>"1552383023672792"</f>
        <v>1552383023672792</v>
      </c>
      <c r="C4651" t="s">
        <v>40</v>
      </c>
      <c r="D4651">
        <v>3.0470709999999999</v>
      </c>
      <c r="E4651">
        <v>0.43123820000000002</v>
      </c>
      <c r="F4651" t="s">
        <v>41</v>
      </c>
      <c r="G4651">
        <v>-421.13749999999999</v>
      </c>
      <c r="H4651" s="1">
        <v>-2.448341E-6</v>
      </c>
      <c r="I4651">
        <v>114.5907</v>
      </c>
      <c r="J4651">
        <v>-413.58420000000001</v>
      </c>
      <c r="K4651">
        <v>1.119958</v>
      </c>
      <c r="L4651">
        <v>127.9349</v>
      </c>
      <c r="M4651">
        <v>-0.71298019999999995</v>
      </c>
      <c r="N4651">
        <v>0</v>
      </c>
      <c r="O4651">
        <v>-0.70102580000000003</v>
      </c>
      <c r="P4651">
        <v>-0.62668970000000002</v>
      </c>
      <c r="Q4651">
        <v>0.16472970000000001</v>
      </c>
      <c r="R4651">
        <v>-0.76165899999999997</v>
      </c>
      <c r="S4651">
        <v>-1.5574650000000001</v>
      </c>
      <c r="T4651">
        <v>-0.2232846</v>
      </c>
      <c r="U4651">
        <v>-2.7124329999999999</v>
      </c>
      <c r="V4651">
        <v>-0.10811519999999999</v>
      </c>
      <c r="W4651">
        <v>0.1767244</v>
      </c>
      <c r="X4651">
        <v>0.97830439999999996</v>
      </c>
      <c r="Y4651">
        <v>-0.2698682</v>
      </c>
      <c r="Z4651">
        <v>4.2967770000000002E-2</v>
      </c>
      <c r="AA4651">
        <v>0.96193810000000002</v>
      </c>
      <c r="AB4651">
        <v>38</v>
      </c>
      <c r="AC4651">
        <v>-7.5532999999999699</v>
      </c>
      <c r="AD4651">
        <v>-1.1199604483409999</v>
      </c>
      <c r="AE4651">
        <v>-13.344200000000001</v>
      </c>
      <c r="AF4651">
        <v>-4.1971697988566197</v>
      </c>
      <c r="AG4651">
        <v>-1.1199604483409999</v>
      </c>
      <c r="AH4651">
        <v>14.663392852479999</v>
      </c>
      <c r="AI4651">
        <v>94.199644126380605</v>
      </c>
      <c r="AJ4651">
        <v>105.972951848769</v>
      </c>
      <c r="AK4651">
        <v>15.2933199689421</v>
      </c>
      <c r="AL4651">
        <v>79.820976358304407</v>
      </c>
      <c r="AM4651">
        <v>96.306329283231506</v>
      </c>
      <c r="AN4651">
        <v>0.99999995454287804</v>
      </c>
    </row>
    <row r="4652" spans="1:40" x14ac:dyDescent="0.25">
      <c r="A4652" t="str">
        <f>"20190312173023703"</f>
        <v>20190312173023703</v>
      </c>
      <c r="B4652" t="str">
        <f>"1552383023692308"</f>
        <v>1552383023692308</v>
      </c>
      <c r="C4652" t="s">
        <v>40</v>
      </c>
      <c r="D4652">
        <v>3.1165729999999998</v>
      </c>
      <c r="E4652">
        <v>0.42993009999999898</v>
      </c>
      <c r="F4652" t="s">
        <v>41</v>
      </c>
      <c r="G4652">
        <v>-421.25779999999997</v>
      </c>
      <c r="H4652" s="1">
        <v>-2.2650610000000001E-6</v>
      </c>
      <c r="I4652">
        <v>114.0889</v>
      </c>
      <c r="J4652">
        <v>-413.84070000000003</v>
      </c>
      <c r="K4652">
        <v>1.1200209999999999</v>
      </c>
      <c r="L4652">
        <v>127.6712</v>
      </c>
      <c r="M4652">
        <v>-0.7057812</v>
      </c>
      <c r="N4652">
        <v>0</v>
      </c>
      <c r="O4652">
        <v>-0.70827289999999998</v>
      </c>
      <c r="P4652">
        <v>-0.61896189999999995</v>
      </c>
      <c r="Q4652">
        <v>0.16435279999999899</v>
      </c>
      <c r="R4652">
        <v>-0.76803290000000002</v>
      </c>
      <c r="S4652">
        <v>-1.517487</v>
      </c>
      <c r="T4652">
        <v>-0.2214766</v>
      </c>
      <c r="U4652">
        <v>-2.7381129999999998</v>
      </c>
      <c r="V4652">
        <v>-0.1080831</v>
      </c>
      <c r="W4652">
        <v>0.17634089999999999</v>
      </c>
      <c r="X4652">
        <v>0.97837719999999995</v>
      </c>
      <c r="Y4652">
        <v>-0.27460449999999997</v>
      </c>
      <c r="Z4652">
        <v>4.3040309999999998E-2</v>
      </c>
      <c r="AA4652">
        <v>0.96059349999999999</v>
      </c>
      <c r="AB4652">
        <v>37</v>
      </c>
      <c r="AC4652">
        <v>-7.4170999999999401</v>
      </c>
      <c r="AD4652">
        <v>-1.120023265061</v>
      </c>
      <c r="AE4652">
        <v>-13.5823</v>
      </c>
      <c r="AF4652">
        <v>-4.3107036304222097</v>
      </c>
      <c r="AG4652">
        <v>-1.120023265061</v>
      </c>
      <c r="AH4652">
        <v>14.7790646266415</v>
      </c>
      <c r="AI4652">
        <v>94.161101838753794</v>
      </c>
      <c r="AJ4652">
        <v>106.260716036937</v>
      </c>
      <c r="AK4652">
        <v>15.435587748513401</v>
      </c>
      <c r="AL4652">
        <v>79.8433004303145</v>
      </c>
      <c r="AM4652">
        <v>96.304006645957898</v>
      </c>
      <c r="AN4652">
        <v>1.00000000749912</v>
      </c>
    </row>
    <row r="4653" spans="1:40" x14ac:dyDescent="0.25">
      <c r="A4653" t="str">
        <f>"20190312173023737"</f>
        <v>20190312173023737</v>
      </c>
      <c r="B4653" t="str">
        <f>"1552383023732324"</f>
        <v>1552383023732324</v>
      </c>
      <c r="C4653" t="s">
        <v>40</v>
      </c>
      <c r="D4653">
        <v>3.0706730000000002</v>
      </c>
      <c r="E4653">
        <v>0.42867759999999999</v>
      </c>
      <c r="F4653" t="s">
        <v>41</v>
      </c>
      <c r="G4653">
        <v>-421.31369999999998</v>
      </c>
      <c r="H4653" s="1">
        <v>-2.1345710000000001E-6</v>
      </c>
      <c r="I4653">
        <v>113.7501</v>
      </c>
      <c r="J4653">
        <v>-414.2269</v>
      </c>
      <c r="K4653">
        <v>1.1201239999999999</v>
      </c>
      <c r="L4653">
        <v>127.2628</v>
      </c>
      <c r="M4653">
        <v>-0.69451700000000005</v>
      </c>
      <c r="N4653">
        <v>0</v>
      </c>
      <c r="O4653">
        <v>-0.7193214</v>
      </c>
      <c r="P4653">
        <v>-0.606994699999999</v>
      </c>
      <c r="Q4653">
        <v>0.16377340000000001</v>
      </c>
      <c r="R4653">
        <v>-0.77764789999999995</v>
      </c>
      <c r="S4653">
        <v>-1.4814149999999999</v>
      </c>
      <c r="T4653">
        <v>-0.22202959999999999</v>
      </c>
      <c r="U4653">
        <v>-2.7596889999999998</v>
      </c>
      <c r="V4653">
        <v>-0.1079098</v>
      </c>
      <c r="W4653">
        <v>0.175757</v>
      </c>
      <c r="X4653">
        <v>0.97850139999999997</v>
      </c>
      <c r="Y4653">
        <v>-0.27233370000000001</v>
      </c>
      <c r="Z4653">
        <v>4.407606E-2</v>
      </c>
      <c r="AA4653">
        <v>0.96119279999999996</v>
      </c>
      <c r="AB4653">
        <v>37</v>
      </c>
      <c r="AC4653">
        <v>-7.0867999999999798</v>
      </c>
      <c r="AD4653">
        <v>-1.1201261345710001</v>
      </c>
      <c r="AE4653">
        <v>-13.512699999999899</v>
      </c>
      <c r="AF4653">
        <v>-4.2646080883342803</v>
      </c>
      <c r="AG4653">
        <v>-1.1201261345710001</v>
      </c>
      <c r="AH4653">
        <v>14.565015913326</v>
      </c>
      <c r="AI4653">
        <v>94.221150185148005</v>
      </c>
      <c r="AJ4653">
        <v>106.319927238887</v>
      </c>
      <c r="AK4653">
        <v>15.2177939682424</v>
      </c>
      <c r="AL4653">
        <v>79.877286363221103</v>
      </c>
      <c r="AM4653">
        <v>96.2931875338666</v>
      </c>
      <c r="AN4653">
        <v>1.0000000188934901</v>
      </c>
    </row>
    <row r="4654" spans="1:40" x14ac:dyDescent="0.25">
      <c r="A4654" t="str">
        <f>"20190312173023759"</f>
        <v>20190312173023759</v>
      </c>
      <c r="B4654" t="str">
        <f>"1552383023752820"</f>
        <v>1552383023752820</v>
      </c>
      <c r="C4654" t="s">
        <v>40</v>
      </c>
      <c r="D4654">
        <v>3.0623969999999998</v>
      </c>
      <c r="E4654">
        <v>0.42837769999999997</v>
      </c>
      <c r="F4654" t="s">
        <v>41</v>
      </c>
      <c r="G4654">
        <v>-421.4085</v>
      </c>
      <c r="H4654" s="1">
        <v>-1.9504500000000001E-6</v>
      </c>
      <c r="I4654">
        <v>113.2621</v>
      </c>
      <c r="J4654">
        <v>-414.47919999999999</v>
      </c>
      <c r="K4654">
        <v>1.1201840000000001</v>
      </c>
      <c r="L4654">
        <v>126.9892</v>
      </c>
      <c r="M4654">
        <v>-0.68689699999999998</v>
      </c>
      <c r="N4654">
        <v>0</v>
      </c>
      <c r="O4654">
        <v>-0.7266011</v>
      </c>
      <c r="P4654">
        <v>-0.59916729999999996</v>
      </c>
      <c r="Q4654">
        <v>0.16359299999999999</v>
      </c>
      <c r="R4654">
        <v>-0.78373219999999899</v>
      </c>
      <c r="S4654">
        <v>-1.430267</v>
      </c>
      <c r="T4654">
        <v>-0.2230819</v>
      </c>
      <c r="U4654">
        <v>-2.7883610000000001</v>
      </c>
      <c r="V4654">
        <v>-0.10745499999999999</v>
      </c>
      <c r="W4654">
        <v>0.1755833</v>
      </c>
      <c r="X4654">
        <v>0.97858259999999997</v>
      </c>
      <c r="Y4654">
        <v>-0.28017160000000002</v>
      </c>
      <c r="Z4654">
        <v>4.4650130000000003E-2</v>
      </c>
      <c r="AA4654">
        <v>0.95891090000000001</v>
      </c>
      <c r="AB4654">
        <v>37</v>
      </c>
      <c r="AC4654">
        <v>-6.9293000000000102</v>
      </c>
      <c r="AD4654">
        <v>-1.12018595045</v>
      </c>
      <c r="AE4654">
        <v>-13.727099999999901</v>
      </c>
      <c r="AF4654">
        <v>-4.3715580523970496</v>
      </c>
      <c r="AG4654">
        <v>-1.12018595045</v>
      </c>
      <c r="AH4654">
        <v>14.657699588502901</v>
      </c>
      <c r="AI4654">
        <v>94.188596646604196</v>
      </c>
      <c r="AJ4654">
        <v>106.60684933578599</v>
      </c>
      <c r="AK4654">
        <v>15.336671529242</v>
      </c>
      <c r="AL4654">
        <v>79.887395542627999</v>
      </c>
      <c r="AM4654">
        <v>96.266359676344806</v>
      </c>
      <c r="AN4654">
        <v>0.99999998864332496</v>
      </c>
    </row>
    <row r="4655" spans="1:40" x14ac:dyDescent="0.25">
      <c r="A4655" t="str">
        <f>"20190312173023781"</f>
        <v>20190312173023781</v>
      </c>
      <c r="B4655" t="str">
        <f>"1552383023772341"</f>
        <v>1552383023772341</v>
      </c>
      <c r="C4655" t="s">
        <v>40</v>
      </c>
      <c r="D4655">
        <v>3.0649500000000001</v>
      </c>
      <c r="E4655">
        <v>0.42822169999999998</v>
      </c>
      <c r="F4655" t="s">
        <v>41</v>
      </c>
      <c r="G4655">
        <v>-421.46839999999997</v>
      </c>
      <c r="H4655" s="1">
        <v>-1.849628E-6</v>
      </c>
      <c r="I4655">
        <v>112.98990000000001</v>
      </c>
      <c r="J4655">
        <v>-414.71730000000002</v>
      </c>
      <c r="K4655">
        <v>1.1202379999999901</v>
      </c>
      <c r="L4655">
        <v>126.7256</v>
      </c>
      <c r="M4655">
        <v>-0.67950339999999998</v>
      </c>
      <c r="N4655">
        <v>0</v>
      </c>
      <c r="O4655">
        <v>-0.73352030000000001</v>
      </c>
      <c r="P4655">
        <v>-0.59149039999999997</v>
      </c>
      <c r="Q4655">
        <v>0.1639909</v>
      </c>
      <c r="R4655">
        <v>-0.78945949999999998</v>
      </c>
      <c r="S4655">
        <v>-1.4000549999999901</v>
      </c>
      <c r="T4655">
        <v>-0.22439439999999999</v>
      </c>
      <c r="U4655">
        <v>-2.8043209999999998</v>
      </c>
      <c r="V4655">
        <v>-0.107072</v>
      </c>
      <c r="W4655">
        <v>0.17598559999999999</v>
      </c>
      <c r="X4655">
        <v>0.97855230000000004</v>
      </c>
      <c r="Y4655">
        <v>-0.28091709999999998</v>
      </c>
      <c r="Z4655">
        <v>4.5453300000000002E-2</v>
      </c>
      <c r="AA4655">
        <v>0.95865509999999998</v>
      </c>
      <c r="AB4655">
        <v>37</v>
      </c>
      <c r="AC4655">
        <v>-6.7510999999999504</v>
      </c>
      <c r="AD4655">
        <v>-1.1202398496279999</v>
      </c>
      <c r="AE4655">
        <v>-13.7356999999999</v>
      </c>
      <c r="AF4655">
        <v>-4.3585247239378102</v>
      </c>
      <c r="AG4655">
        <v>-1.1202398496279999</v>
      </c>
      <c r="AH4655">
        <v>14.5863024620534</v>
      </c>
      <c r="AI4655">
        <v>94.208576327726206</v>
      </c>
      <c r="AJ4655">
        <v>106.636641508184</v>
      </c>
      <c r="AK4655">
        <v>15.264727138222201</v>
      </c>
      <c r="AL4655">
        <v>79.863980704656299</v>
      </c>
      <c r="AM4655">
        <v>96.244393159390896</v>
      </c>
      <c r="AN4655">
        <v>0.99999997421332398</v>
      </c>
    </row>
    <row r="4656" spans="1:40" x14ac:dyDescent="0.25">
      <c r="A4656" t="str">
        <f>"20190312173023803"</f>
        <v>20190312173023803</v>
      </c>
      <c r="B4656" t="str">
        <f>"1552383023792837"</f>
        <v>1552383023792837</v>
      </c>
      <c r="C4656" t="s">
        <v>40</v>
      </c>
      <c r="D4656">
        <v>3.0801660000000002</v>
      </c>
      <c r="E4656">
        <v>0.42824889999999999</v>
      </c>
      <c r="F4656" t="s">
        <v>41</v>
      </c>
      <c r="G4656">
        <v>-421.62040000000002</v>
      </c>
      <c r="H4656" s="1">
        <v>-1.689159E-6</v>
      </c>
      <c r="I4656">
        <v>112.5215</v>
      </c>
      <c r="J4656">
        <v>-414.96019999999999</v>
      </c>
      <c r="K4656">
        <v>1.120282</v>
      </c>
      <c r="L4656">
        <v>126.4509</v>
      </c>
      <c r="M4656">
        <v>-0.67174350000000005</v>
      </c>
      <c r="N4656">
        <v>0</v>
      </c>
      <c r="O4656">
        <v>-0.74063279999999998</v>
      </c>
      <c r="P4656">
        <v>-0.58372460000000004</v>
      </c>
      <c r="Q4656">
        <v>0.16389999999999999</v>
      </c>
      <c r="R4656">
        <v>-0.79523750000000004</v>
      </c>
      <c r="S4656">
        <v>-1.3703000000000001</v>
      </c>
      <c r="T4656">
        <v>-0.2223707</v>
      </c>
      <c r="U4656">
        <v>-2.81955</v>
      </c>
      <c r="V4656">
        <v>-0.10639319999999999</v>
      </c>
      <c r="W4656">
        <v>0.17590810000000001</v>
      </c>
      <c r="X4656">
        <v>0.97864030000000002</v>
      </c>
      <c r="Y4656">
        <v>-0.28103289999999997</v>
      </c>
      <c r="Z4656">
        <v>4.5616469999999999E-2</v>
      </c>
      <c r="AA4656">
        <v>0.95861339999999995</v>
      </c>
      <c r="AB4656">
        <v>37</v>
      </c>
      <c r="AC4656">
        <v>-6.6602000000000299</v>
      </c>
      <c r="AD4656">
        <v>-1.120283689159</v>
      </c>
      <c r="AE4656">
        <v>-13.929399999999999</v>
      </c>
      <c r="AF4656">
        <v>-4.40154347315619</v>
      </c>
      <c r="AG4656">
        <v>-1.120283689159</v>
      </c>
      <c r="AH4656">
        <v>14.714702726397899</v>
      </c>
      <c r="AI4656">
        <v>94.171784627531594</v>
      </c>
      <c r="AJ4656">
        <v>106.65326751003001</v>
      </c>
      <c r="AK4656">
        <v>15.399710932889001</v>
      </c>
      <c r="AL4656">
        <v>79.868491809875806</v>
      </c>
      <c r="AM4656">
        <v>96.204562007472504</v>
      </c>
      <c r="AN4656">
        <v>1.00000000471797</v>
      </c>
    </row>
    <row r="4657" spans="1:40" x14ac:dyDescent="0.25">
      <c r="A4657" t="str">
        <f>"20190312173023826"</f>
        <v>20190312173023826</v>
      </c>
      <c r="B4657" t="str">
        <f>"1552383023822117"</f>
        <v>1552383023822117</v>
      </c>
      <c r="C4657" t="s">
        <v>40</v>
      </c>
      <c r="D4657">
        <v>3.0767829999999998</v>
      </c>
      <c r="E4657">
        <v>0.42869760000000001</v>
      </c>
      <c r="F4657" t="s">
        <v>41</v>
      </c>
      <c r="G4657">
        <v>-421.69690000000003</v>
      </c>
      <c r="H4657" s="1">
        <v>-1.5863270000000001E-6</v>
      </c>
      <c r="I4657">
        <v>112.23439999999999</v>
      </c>
      <c r="J4657">
        <v>-415.20100000000002</v>
      </c>
      <c r="K4657">
        <v>1.1203299999999901</v>
      </c>
      <c r="L4657">
        <v>126.1722</v>
      </c>
      <c r="M4657">
        <v>-0.66381569999999901</v>
      </c>
      <c r="N4657">
        <v>0</v>
      </c>
      <c r="O4657">
        <v>-0.74774629999999997</v>
      </c>
      <c r="P4657">
        <v>-0.57589840000000003</v>
      </c>
      <c r="Q4657">
        <v>0.1638752</v>
      </c>
      <c r="R4657">
        <v>-0.80092790000000003</v>
      </c>
      <c r="S4657">
        <v>-1.3424990000000001</v>
      </c>
      <c r="T4657">
        <v>-0.22325310000000001</v>
      </c>
      <c r="U4657">
        <v>-2.8330989999999998</v>
      </c>
      <c r="V4657">
        <v>-0.1055883</v>
      </c>
      <c r="W4657">
        <v>0.17590059999999999</v>
      </c>
      <c r="X4657">
        <v>0.97872879999999995</v>
      </c>
      <c r="Y4657">
        <v>-0.28028019999999998</v>
      </c>
      <c r="Z4657">
        <v>4.6398670000000003E-2</v>
      </c>
      <c r="AA4657">
        <v>0.95879619999999999</v>
      </c>
      <c r="AB4657">
        <v>37</v>
      </c>
      <c r="AC4657">
        <v>-6.4959000000000602</v>
      </c>
      <c r="AD4657">
        <v>-1.12033158632699</v>
      </c>
      <c r="AE4657">
        <v>-13.937799999999999</v>
      </c>
      <c r="AF4657">
        <v>-4.3721303789540098</v>
      </c>
      <c r="AG4657">
        <v>-1.12033158632699</v>
      </c>
      <c r="AH4657">
        <v>14.6578655519129</v>
      </c>
      <c r="AI4657">
        <v>94.189051227252094</v>
      </c>
      <c r="AJ4657">
        <v>106.608726057564</v>
      </c>
      <c r="AK4657">
        <v>15.3370039268382</v>
      </c>
      <c r="AL4657">
        <v>79.868928154090995</v>
      </c>
      <c r="AM4657">
        <v>96.157431880321894</v>
      </c>
      <c r="AN4657">
        <v>0.99999998706334403</v>
      </c>
    </row>
    <row r="4658" spans="1:40" x14ac:dyDescent="0.25">
      <c r="A4658" t="str">
        <f>"20190312173023848"</f>
        <v>20190312173023848</v>
      </c>
      <c r="B4658" t="str">
        <f>"1552383023842612"</f>
        <v>1552383023842612</v>
      </c>
      <c r="C4658" t="s">
        <v>40</v>
      </c>
      <c r="D4658">
        <v>3.1051069999999998</v>
      </c>
      <c r="E4658">
        <v>0.42898120000000001</v>
      </c>
      <c r="F4658" t="s">
        <v>41</v>
      </c>
      <c r="G4658">
        <v>-421.74360000000001</v>
      </c>
      <c r="H4658" s="1">
        <v>-1.517388E-6</v>
      </c>
      <c r="I4658">
        <v>112.04470000000001</v>
      </c>
      <c r="J4658">
        <v>-415.4375</v>
      </c>
      <c r="K4658">
        <v>1.120384</v>
      </c>
      <c r="L4658">
        <v>125.8925</v>
      </c>
      <c r="M4658">
        <v>-0.65580680000000002</v>
      </c>
      <c r="N4658">
        <v>0</v>
      </c>
      <c r="O4658">
        <v>-0.75478040000000002</v>
      </c>
      <c r="P4658">
        <v>-0.56810749999999999</v>
      </c>
      <c r="Q4658">
        <v>0.16336970000000001</v>
      </c>
      <c r="R4658">
        <v>-0.80657599999999996</v>
      </c>
      <c r="S4658">
        <v>-1.3173520000000001</v>
      </c>
      <c r="T4658">
        <v>-0.22557969999999999</v>
      </c>
      <c r="U4658">
        <v>-2.8445740000000002</v>
      </c>
      <c r="V4658">
        <v>-0.1047173</v>
      </c>
      <c r="W4658">
        <v>0.17541619999999999</v>
      </c>
      <c r="X4658">
        <v>0.97890929999999998</v>
      </c>
      <c r="Y4658">
        <v>-0.278522099999999</v>
      </c>
      <c r="Z4658">
        <v>4.7515109999999999E-2</v>
      </c>
      <c r="AA4658">
        <v>0.95925369999999999</v>
      </c>
      <c r="AB4658">
        <v>37</v>
      </c>
      <c r="AC4658">
        <v>-6.3061000000000096</v>
      </c>
      <c r="AD4658">
        <v>-1.120385517388</v>
      </c>
      <c r="AE4658">
        <v>-13.8477999999999</v>
      </c>
      <c r="AF4658">
        <v>-4.2989375322405099</v>
      </c>
      <c r="AG4658">
        <v>-1.120385517388</v>
      </c>
      <c r="AH4658">
        <v>14.510594091637699</v>
      </c>
      <c r="AI4658">
        <v>94.233939373358098</v>
      </c>
      <c r="AJ4658">
        <v>106.502554578995</v>
      </c>
      <c r="AK4658">
        <v>15.175423173867401</v>
      </c>
      <c r="AL4658">
        <v>79.897120587627398</v>
      </c>
      <c r="AM4658">
        <v>96.105906947100195</v>
      </c>
      <c r="AN4658">
        <v>0.99999998688410896</v>
      </c>
    </row>
    <row r="4659" spans="1:40" x14ac:dyDescent="0.25">
      <c r="A4659" t="str">
        <f>"20190312173023869"</f>
        <v>20190312173023869</v>
      </c>
      <c r="B4659" t="str">
        <f>"1552383023862133"</f>
        <v>1552383023862133</v>
      </c>
      <c r="C4659" t="s">
        <v>40</v>
      </c>
      <c r="D4659">
        <v>3.1230440000000002</v>
      </c>
      <c r="E4659">
        <v>0.42932530000000002</v>
      </c>
      <c r="F4659" t="s">
        <v>41</v>
      </c>
      <c r="G4659">
        <v>-421.76679999999999</v>
      </c>
      <c r="H4659" s="1">
        <v>-1.456511E-6</v>
      </c>
      <c r="I4659">
        <v>111.8884</v>
      </c>
      <c r="J4659">
        <v>-415.66860000000003</v>
      </c>
      <c r="K4659">
        <v>1.120433</v>
      </c>
      <c r="L4659">
        <v>125.6133</v>
      </c>
      <c r="M4659">
        <v>-0.64776029999999996</v>
      </c>
      <c r="N4659">
        <v>0</v>
      </c>
      <c r="O4659">
        <v>-0.76169699999999996</v>
      </c>
      <c r="P4659">
        <v>-0.56020570000000003</v>
      </c>
      <c r="Q4659">
        <v>0.1631861</v>
      </c>
      <c r="R4659">
        <v>-0.81212079999999998</v>
      </c>
      <c r="S4659">
        <v>-1.290985</v>
      </c>
      <c r="T4659">
        <v>-0.22852459999999999</v>
      </c>
      <c r="U4659">
        <v>-2.8564150000000001</v>
      </c>
      <c r="V4659">
        <v>-0.1039245</v>
      </c>
      <c r="W4659">
        <v>0.1752514</v>
      </c>
      <c r="X4659">
        <v>0.97902330000000004</v>
      </c>
      <c r="Y4659">
        <v>-0.27719949999999999</v>
      </c>
      <c r="Z4659">
        <v>4.8754649999999997E-2</v>
      </c>
      <c r="AA4659">
        <v>0.95957460000000006</v>
      </c>
      <c r="AB4659">
        <v>37</v>
      </c>
      <c r="AC4659">
        <v>-6.0981999999999603</v>
      </c>
      <c r="AD4659">
        <v>-1.120434456511</v>
      </c>
      <c r="AE4659">
        <v>-13.7248999999999</v>
      </c>
      <c r="AF4659">
        <v>-4.2224405935082103</v>
      </c>
      <c r="AG4659">
        <v>-1.120434456511</v>
      </c>
      <c r="AH4659">
        <v>14.326268811155501</v>
      </c>
      <c r="AI4659">
        <v>94.290173316400498</v>
      </c>
      <c r="AJ4659">
        <v>106.42204533297399</v>
      </c>
      <c r="AK4659">
        <v>14.9775283670748</v>
      </c>
      <c r="AL4659">
        <v>79.906711520391696</v>
      </c>
      <c r="AM4659">
        <v>96.0593248649771</v>
      </c>
      <c r="AN4659">
        <v>0.99999998842255</v>
      </c>
    </row>
    <row r="4660" spans="1:40" x14ac:dyDescent="0.25">
      <c r="A4660" t="str">
        <f>"20190312173023892"</f>
        <v>20190312173023892</v>
      </c>
      <c r="B4660" t="str">
        <f>"1552383023882628"</f>
        <v>1552383023882628</v>
      </c>
      <c r="C4660" t="s">
        <v>40</v>
      </c>
      <c r="D4660">
        <v>3.1446860000000001</v>
      </c>
      <c r="E4660">
        <v>0.4296971</v>
      </c>
      <c r="F4660" t="s">
        <v>41</v>
      </c>
      <c r="G4660">
        <v>-421.834</v>
      </c>
      <c r="H4660" s="1">
        <v>-1.3691529999999999E-6</v>
      </c>
      <c r="I4660">
        <v>111.64319999999999</v>
      </c>
      <c r="J4660">
        <v>-415.90269999999998</v>
      </c>
      <c r="K4660">
        <v>1.120479</v>
      </c>
      <c r="L4660">
        <v>125.324</v>
      </c>
      <c r="M4660">
        <v>-0.63937769999999905</v>
      </c>
      <c r="N4660">
        <v>0</v>
      </c>
      <c r="O4660">
        <v>-0.76874659999999995</v>
      </c>
      <c r="P4660">
        <v>-0.55167929999999998</v>
      </c>
      <c r="Q4660">
        <v>0.1630046</v>
      </c>
      <c r="R4660">
        <v>-0.81797299999999995</v>
      </c>
      <c r="S4660">
        <v>-1.265442</v>
      </c>
      <c r="T4660">
        <v>-0.22996839999999999</v>
      </c>
      <c r="U4660">
        <v>-2.8673549999999999</v>
      </c>
      <c r="V4660">
        <v>-0.1034795</v>
      </c>
      <c r="W4660">
        <v>0.1750796</v>
      </c>
      <c r="X4660">
        <v>0.9791012</v>
      </c>
      <c r="Y4660">
        <v>-0.27519829999999901</v>
      </c>
      <c r="Z4660">
        <v>4.9719970000000002E-2</v>
      </c>
      <c r="AA4660">
        <v>0.96010090000000003</v>
      </c>
      <c r="AB4660">
        <v>37</v>
      </c>
      <c r="AC4660">
        <v>-5.9313000000000198</v>
      </c>
      <c r="AD4660">
        <v>-1.1204803691529901</v>
      </c>
      <c r="AE4660">
        <v>-13.6808</v>
      </c>
      <c r="AF4660">
        <v>-4.1644876146154202</v>
      </c>
      <c r="AG4660">
        <v>-1.1204803691529901</v>
      </c>
      <c r="AH4660">
        <v>14.230664320251501</v>
      </c>
      <c r="AI4660">
        <v>94.321497896039602</v>
      </c>
      <c r="AJ4660">
        <v>106.31168339413099</v>
      </c>
      <c r="AK4660">
        <v>14.8697760691149</v>
      </c>
      <c r="AL4660">
        <v>79.916709800973905</v>
      </c>
      <c r="AM4660">
        <v>96.033094398458104</v>
      </c>
      <c r="AN4660">
        <v>1.00000001654892</v>
      </c>
    </row>
    <row r="4661" spans="1:40" x14ac:dyDescent="0.25">
      <c r="A4661" t="str">
        <f>"20190312173023914"</f>
        <v>20190312173023914</v>
      </c>
      <c r="B4661" t="str">
        <f>"1552383023902148"</f>
        <v>1552383023902148</v>
      </c>
      <c r="C4661" t="s">
        <v>40</v>
      </c>
      <c r="D4661">
        <v>3.1413639999999998</v>
      </c>
      <c r="E4661">
        <v>0.43019200000000002</v>
      </c>
      <c r="F4661" t="s">
        <v>41</v>
      </c>
      <c r="G4661">
        <v>-421.87729999999999</v>
      </c>
      <c r="H4661" s="1">
        <v>-1.289083E-6</v>
      </c>
      <c r="I4661">
        <v>111.4297</v>
      </c>
      <c r="J4661">
        <v>-416.12479999999999</v>
      </c>
      <c r="K4661">
        <v>1.120522</v>
      </c>
      <c r="L4661">
        <v>125.04349999999999</v>
      </c>
      <c r="M4661">
        <v>-0.63119999999999998</v>
      </c>
      <c r="N4661">
        <v>0</v>
      </c>
      <c r="O4661">
        <v>-0.77547500000000003</v>
      </c>
      <c r="P4661">
        <v>-0.54323779999999999</v>
      </c>
      <c r="Q4661">
        <v>0.16297629999999999</v>
      </c>
      <c r="R4661">
        <v>-0.82360879999999903</v>
      </c>
      <c r="S4661">
        <v>-1.237946</v>
      </c>
      <c r="T4661">
        <v>-0.2321666</v>
      </c>
      <c r="U4661">
        <v>-2.878952</v>
      </c>
      <c r="V4661">
        <v>-0.1031984</v>
      </c>
      <c r="W4661">
        <v>0.17505660000000001</v>
      </c>
      <c r="X4661">
        <v>0.97913499999999998</v>
      </c>
      <c r="Y4661">
        <v>-0.27417809999999998</v>
      </c>
      <c r="Z4661">
        <v>5.080544E-2</v>
      </c>
      <c r="AA4661">
        <v>0.96033599999999997</v>
      </c>
      <c r="AB4661">
        <v>37</v>
      </c>
      <c r="AC4661">
        <v>-5.7524999999999897</v>
      </c>
      <c r="AD4661">
        <v>-1.1205232890829999</v>
      </c>
      <c r="AE4661">
        <v>-13.6137999999999</v>
      </c>
      <c r="AF4661">
        <v>-4.1089564187106804</v>
      </c>
      <c r="AG4661">
        <v>-1.1205232890829999</v>
      </c>
      <c r="AH4661">
        <v>14.108636583114601</v>
      </c>
      <c r="AI4661">
        <v>94.360539375035799</v>
      </c>
      <c r="AJ4661">
        <v>106.237511912042</v>
      </c>
      <c r="AK4661">
        <v>14.7374598057685</v>
      </c>
      <c r="AL4661">
        <v>79.918048468867298</v>
      </c>
      <c r="AM4661">
        <v>96.016619823548595</v>
      </c>
      <c r="AN4661">
        <v>1.0000000355955501</v>
      </c>
    </row>
    <row r="4662" spans="1:40" x14ac:dyDescent="0.25">
      <c r="A4662" t="str">
        <f>"20190312173023938"</f>
        <v>20190312173023938</v>
      </c>
      <c r="B4662" t="str">
        <f>"1552383023932404"</f>
        <v>1552383023932404</v>
      </c>
      <c r="C4662" t="s">
        <v>40</v>
      </c>
      <c r="D4662">
        <v>3.1462180000000002</v>
      </c>
      <c r="E4662">
        <v>0.43067549999999999</v>
      </c>
      <c r="F4662" t="s">
        <v>41</v>
      </c>
      <c r="G4662">
        <v>-421.95030000000003</v>
      </c>
      <c r="H4662" s="1">
        <v>-1.187966E-6</v>
      </c>
      <c r="I4662">
        <v>111.14870000000001</v>
      </c>
      <c r="J4662">
        <v>-416.35320000000002</v>
      </c>
      <c r="K4662">
        <v>1.1205620000000001</v>
      </c>
      <c r="L4662">
        <v>124.7486</v>
      </c>
      <c r="M4662">
        <v>-0.62255439999999995</v>
      </c>
      <c r="N4662">
        <v>0</v>
      </c>
      <c r="O4662">
        <v>-0.78243280000000004</v>
      </c>
      <c r="P4662">
        <v>-0.53435159999999904</v>
      </c>
      <c r="Q4662">
        <v>0.16270899999999999</v>
      </c>
      <c r="R4662">
        <v>-0.82945440000000004</v>
      </c>
      <c r="S4662">
        <v>-1.2114560000000001</v>
      </c>
      <c r="T4662">
        <v>-0.23302339999999999</v>
      </c>
      <c r="U4662">
        <v>-2.8895569999999999</v>
      </c>
      <c r="V4662">
        <v>-0.1029017</v>
      </c>
      <c r="W4662">
        <v>0.17479600000000001</v>
      </c>
      <c r="X4662">
        <v>0.97921279999999999</v>
      </c>
      <c r="Y4662">
        <v>-0.27226159999999999</v>
      </c>
      <c r="Z4662">
        <v>5.1653820000000003E-2</v>
      </c>
      <c r="AA4662">
        <v>0.96083580000000002</v>
      </c>
      <c r="AB4662">
        <v>37</v>
      </c>
      <c r="AC4662">
        <v>-5.59710000000001</v>
      </c>
      <c r="AD4662">
        <v>-1.1205631879660001</v>
      </c>
      <c r="AE4662">
        <v>-13.5998999999999</v>
      </c>
      <c r="AF4662">
        <v>-4.0641876981085998</v>
      </c>
      <c r="AG4662">
        <v>-1.1205631879660001</v>
      </c>
      <c r="AH4662">
        <v>14.045553195949999</v>
      </c>
      <c r="AI4662">
        <v>94.382399301921694</v>
      </c>
      <c r="AJ4662">
        <v>106.13820220269</v>
      </c>
      <c r="AK4662">
        <v>14.664612101380101</v>
      </c>
      <c r="AL4662">
        <v>79.933213764297506</v>
      </c>
      <c r="AM4662">
        <v>95.998974926315796</v>
      </c>
      <c r="AN4662">
        <v>1.0000000545813601</v>
      </c>
    </row>
    <row r="4663" spans="1:40" x14ac:dyDescent="0.25">
      <c r="A4663" t="str">
        <f>"20190312173023960"</f>
        <v>20190312173023960</v>
      </c>
      <c r="B4663" t="str">
        <f>"1552383023952901"</f>
        <v>1552383023952901</v>
      </c>
      <c r="C4663" t="s">
        <v>40</v>
      </c>
      <c r="D4663">
        <v>3.1493350000000002</v>
      </c>
      <c r="E4663">
        <v>0.44173210000000002</v>
      </c>
      <c r="F4663" t="s">
        <v>41</v>
      </c>
      <c r="G4663">
        <v>-421.97559999999999</v>
      </c>
      <c r="H4663" s="1">
        <v>-1.117051E-6</v>
      </c>
      <c r="I4663">
        <v>110.96769999999999</v>
      </c>
      <c r="J4663">
        <v>-416.57659999999998</v>
      </c>
      <c r="K4663">
        <v>1.120601</v>
      </c>
      <c r="L4663">
        <v>124.4534</v>
      </c>
      <c r="M4663">
        <v>-0.61385769999999995</v>
      </c>
      <c r="N4663">
        <v>0</v>
      </c>
      <c r="O4663">
        <v>-0.78927400000000003</v>
      </c>
      <c r="P4663">
        <v>-0.52559929999999999</v>
      </c>
      <c r="Q4663">
        <v>0.161945799999999</v>
      </c>
      <c r="R4663">
        <v>-0.83517629999999998</v>
      </c>
      <c r="S4663">
        <v>-1.183441</v>
      </c>
      <c r="T4663">
        <v>-0.2358652</v>
      </c>
      <c r="U4663">
        <v>-2.9007109999999998</v>
      </c>
      <c r="V4663">
        <v>-0.1024495</v>
      </c>
      <c r="W4663">
        <v>0.1740448</v>
      </c>
      <c r="X4663">
        <v>0.97939399999999999</v>
      </c>
      <c r="Y4663">
        <v>-0.27088440000000003</v>
      </c>
      <c r="Z4663">
        <v>5.2924859999999997E-2</v>
      </c>
      <c r="AA4663">
        <v>0.96115589999999995</v>
      </c>
      <c r="AB4663">
        <v>37</v>
      </c>
      <c r="AC4663">
        <v>-5.399</v>
      </c>
      <c r="AD4663">
        <v>-1.1206021170510001</v>
      </c>
      <c r="AE4663">
        <v>-13.4857</v>
      </c>
      <c r="AF4663">
        <v>-3.9936963496647802</v>
      </c>
      <c r="AG4663">
        <v>-1.1206021170510001</v>
      </c>
      <c r="AH4663">
        <v>13.8771192695111</v>
      </c>
      <c r="AI4663">
        <v>94.437378517012306</v>
      </c>
      <c r="AJ4663">
        <v>106.055290099231</v>
      </c>
      <c r="AK4663">
        <v>14.483777092260899</v>
      </c>
      <c r="AL4663">
        <v>79.976924332561296</v>
      </c>
      <c r="AM4663">
        <v>95.971706451825796</v>
      </c>
      <c r="AN4663">
        <v>1.0000000498466399</v>
      </c>
    </row>
    <row r="4664" spans="1:40" x14ac:dyDescent="0.25">
      <c r="A4664" t="str">
        <f>"20190312173023986"</f>
        <v>20190312173023986</v>
      </c>
      <c r="B4664" t="str">
        <f>"1552383023972420"</f>
        <v>1552383023972420</v>
      </c>
      <c r="C4664" t="s">
        <v>40</v>
      </c>
      <c r="D4664">
        <v>3.195519</v>
      </c>
      <c r="E4664">
        <v>0.44263839999999999</v>
      </c>
      <c r="F4664" t="s">
        <v>41</v>
      </c>
      <c r="G4664">
        <v>-421.73570000000001</v>
      </c>
      <c r="H4664" s="1">
        <v>-1.668975E-6</v>
      </c>
      <c r="I4664">
        <v>112.40300000000001</v>
      </c>
      <c r="J4664">
        <v>-416.815</v>
      </c>
      <c r="K4664">
        <v>1.120635</v>
      </c>
      <c r="L4664">
        <v>124.1306</v>
      </c>
      <c r="M4664">
        <v>-0.60429730000000004</v>
      </c>
      <c r="N4664">
        <v>0</v>
      </c>
      <c r="O4664">
        <v>-0.79661729999999997</v>
      </c>
      <c r="P4664">
        <v>-0.5155303</v>
      </c>
      <c r="Q4664">
        <v>0.161886</v>
      </c>
      <c r="R4664">
        <v>-0.84144019999999997</v>
      </c>
      <c r="S4664">
        <v>-1.228912</v>
      </c>
      <c r="T4664">
        <v>-0.2669281</v>
      </c>
      <c r="U4664">
        <v>-2.870422</v>
      </c>
      <c r="V4664">
        <v>-0.1024259</v>
      </c>
      <c r="W4664">
        <v>0.17398469999999999</v>
      </c>
      <c r="X4664">
        <v>0.97940709999999997</v>
      </c>
      <c r="Y4664">
        <v>-0.2429202</v>
      </c>
      <c r="Z4664">
        <v>6.1549159999999999E-2</v>
      </c>
      <c r="AA4664">
        <v>0.9680917</v>
      </c>
      <c r="AB4664">
        <v>37</v>
      </c>
      <c r="AC4664">
        <v>-4.9207000000000098</v>
      </c>
      <c r="AD4664">
        <v>-1.120636668975</v>
      </c>
      <c r="AE4664">
        <v>-11.727600000000001</v>
      </c>
      <c r="AF4664">
        <v>-3.14299741068369</v>
      </c>
      <c r="AG4664">
        <v>-1.120636668975</v>
      </c>
      <c r="AH4664">
        <v>12.2224692786617</v>
      </c>
      <c r="AI4664">
        <v>95.074423526827005</v>
      </c>
      <c r="AJ4664">
        <v>104.42111054860101</v>
      </c>
      <c r="AK4664">
        <v>12.669767738015</v>
      </c>
      <c r="AL4664">
        <v>79.980420697357403</v>
      </c>
      <c r="AM4664">
        <v>95.970261483244997</v>
      </c>
      <c r="AN4664">
        <v>1.00000000417765</v>
      </c>
    </row>
    <row r="4665" spans="1:40" x14ac:dyDescent="0.25">
      <c r="A4665" t="str">
        <f>"20190312173024004"</f>
        <v>20190312173024004</v>
      </c>
      <c r="B4665" t="str">
        <f>"1552383023992916"</f>
        <v>1552383023992916</v>
      </c>
      <c r="C4665" t="s">
        <v>40</v>
      </c>
      <c r="D4665">
        <v>3.3290259999999998</v>
      </c>
      <c r="E4665">
        <v>0.44383660000000003</v>
      </c>
      <c r="F4665" t="s">
        <v>41</v>
      </c>
      <c r="G4665">
        <v>-421.959</v>
      </c>
      <c r="H4665" s="1">
        <v>-1.462945E-6</v>
      </c>
      <c r="I4665">
        <v>111.7842</v>
      </c>
      <c r="J4665">
        <v>-416.99849999999998</v>
      </c>
      <c r="K4665">
        <v>1.1206529999999999</v>
      </c>
      <c r="L4665">
        <v>123.8763</v>
      </c>
      <c r="M4665">
        <v>-0.59673849999999995</v>
      </c>
      <c r="N4665">
        <v>0</v>
      </c>
      <c r="O4665">
        <v>-0.80229519999999999</v>
      </c>
      <c r="P4665">
        <v>-0.50810149999999998</v>
      </c>
      <c r="Q4665">
        <v>0.16197420000000001</v>
      </c>
      <c r="R4665">
        <v>-0.84592999999999996</v>
      </c>
      <c r="S4665">
        <v>-1.2000729999999999</v>
      </c>
      <c r="T4665">
        <v>-0.26143670000000002</v>
      </c>
      <c r="U4665">
        <v>-2.880325</v>
      </c>
      <c r="V4665">
        <v>-0.10179059999999999</v>
      </c>
      <c r="W4665">
        <v>0.17408940000000001</v>
      </c>
      <c r="X4665">
        <v>0.97945470000000001</v>
      </c>
      <c r="Y4665">
        <v>-0.24315690000000001</v>
      </c>
      <c r="Z4665">
        <v>6.0875829999999999E-2</v>
      </c>
      <c r="AA4665">
        <v>0.96807480000000001</v>
      </c>
      <c r="AB4665">
        <v>37</v>
      </c>
      <c r="AC4665">
        <v>-4.9605000000000201</v>
      </c>
      <c r="AD4665">
        <v>-1.1206544629449999</v>
      </c>
      <c r="AE4665">
        <v>-12.0921</v>
      </c>
      <c r="AF4665">
        <v>-3.2127817447573999</v>
      </c>
      <c r="AG4665">
        <v>-1.1206544629449999</v>
      </c>
      <c r="AH4665">
        <v>12.570567715583</v>
      </c>
      <c r="AI4665">
        <v>94.936540684652599</v>
      </c>
      <c r="AJ4665">
        <v>104.336733205474</v>
      </c>
      <c r="AK4665">
        <v>13.022941513222801</v>
      </c>
      <c r="AL4665">
        <v>79.974328591138303</v>
      </c>
      <c r="AM4665">
        <v>95.933209443618907</v>
      </c>
      <c r="AN4665">
        <v>0.99999997739640401</v>
      </c>
    </row>
    <row r="4666" spans="1:40" x14ac:dyDescent="0.25">
      <c r="A4666" t="str">
        <f>"20190312173024027"</f>
        <v>20190312173024027</v>
      </c>
      <c r="B4666" t="str">
        <f>"1552383024022199"</f>
        <v>1552383024022199</v>
      </c>
      <c r="C4666" t="s">
        <v>40</v>
      </c>
      <c r="D4666">
        <v>3.132441</v>
      </c>
      <c r="E4666">
        <v>0.44450060000000002</v>
      </c>
      <c r="F4666" t="s">
        <v>41</v>
      </c>
      <c r="G4666">
        <v>-422.11720000000003</v>
      </c>
      <c r="H4666" s="1">
        <v>-1.3336009999999901E-6</v>
      </c>
      <c r="I4666">
        <v>111.38460000000001</v>
      </c>
      <c r="J4666">
        <v>-417.209</v>
      </c>
      <c r="K4666">
        <v>1.1206700000000001</v>
      </c>
      <c r="L4666">
        <v>123.5778</v>
      </c>
      <c r="M4666">
        <v>-0.5878409</v>
      </c>
      <c r="N4666">
        <v>0</v>
      </c>
      <c r="O4666">
        <v>-0.80883719999999903</v>
      </c>
      <c r="P4666">
        <v>-0.4985636</v>
      </c>
      <c r="Q4666">
        <v>0.16250309999999901</v>
      </c>
      <c r="R4666">
        <v>-0.85148579999999996</v>
      </c>
      <c r="S4666">
        <v>-1.1824650000000001</v>
      </c>
      <c r="T4666">
        <v>-0.25888060000000002</v>
      </c>
      <c r="U4666">
        <v>-2.8856959999999998</v>
      </c>
      <c r="V4666">
        <v>-0.1019436</v>
      </c>
      <c r="W4666">
        <v>0.1746124</v>
      </c>
      <c r="X4666">
        <v>0.97934569999999999</v>
      </c>
      <c r="Y4666">
        <v>-0.23812649999999999</v>
      </c>
      <c r="Z4666">
        <v>6.1077329999999999E-2</v>
      </c>
      <c r="AA4666">
        <v>0.96931179999999995</v>
      </c>
      <c r="AB4666">
        <v>37</v>
      </c>
      <c r="AC4666">
        <v>-4.9082000000000203</v>
      </c>
      <c r="AD4666">
        <v>-1.1206713336009999</v>
      </c>
      <c r="AE4666">
        <v>-12.1931999999999</v>
      </c>
      <c r="AF4666">
        <v>-3.17500688649986</v>
      </c>
      <c r="AG4666">
        <v>-1.1206713336009999</v>
      </c>
      <c r="AH4666">
        <v>12.6569823581001</v>
      </c>
      <c r="AI4666">
        <v>94.908569209591505</v>
      </c>
      <c r="AJ4666">
        <v>104.082083104896</v>
      </c>
      <c r="AK4666">
        <v>13.097166692858901</v>
      </c>
      <c r="AL4666">
        <v>79.943896959623899</v>
      </c>
      <c r="AM4666">
        <v>95.942720417109896</v>
      </c>
      <c r="AN4666">
        <v>0.99999999396160499</v>
      </c>
    </row>
    <row r="4667" spans="1:40" x14ac:dyDescent="0.25">
      <c r="A4667" t="str">
        <f>"20190312173024049"</f>
        <v>20190312173024049</v>
      </c>
      <c r="B4667" t="str">
        <f>"1552383024042696"</f>
        <v>1552383024042696</v>
      </c>
      <c r="C4667" t="s">
        <v>40</v>
      </c>
      <c r="D4667">
        <v>3.3189510000000002</v>
      </c>
      <c r="E4667">
        <v>0.44485130000000001</v>
      </c>
      <c r="F4667" t="s">
        <v>41</v>
      </c>
      <c r="G4667">
        <v>-422.29059999999998</v>
      </c>
      <c r="H4667" s="1">
        <v>-1.142534E-6</v>
      </c>
      <c r="I4667">
        <v>110.8317</v>
      </c>
      <c r="J4667">
        <v>-417.4203</v>
      </c>
      <c r="K4667">
        <v>1.120692</v>
      </c>
      <c r="L4667">
        <v>123.271</v>
      </c>
      <c r="M4667">
        <v>-0.57867069999999998</v>
      </c>
      <c r="N4667">
        <v>0</v>
      </c>
      <c r="O4667">
        <v>-0.8154226</v>
      </c>
      <c r="P4667">
        <v>-0.4893883</v>
      </c>
      <c r="Q4667">
        <v>0.1625279</v>
      </c>
      <c r="R4667">
        <v>-0.85678699999999997</v>
      </c>
      <c r="S4667">
        <v>-1.1545099999999999</v>
      </c>
      <c r="T4667">
        <v>-0.2546138</v>
      </c>
      <c r="U4667">
        <v>-2.8958889999999999</v>
      </c>
      <c r="V4667">
        <v>-0.1014086</v>
      </c>
      <c r="W4667">
        <v>0.1746519</v>
      </c>
      <c r="X4667">
        <v>0.97939419999999999</v>
      </c>
      <c r="Y4667">
        <v>-0.2363883</v>
      </c>
      <c r="Z4667">
        <v>6.0764390000000001E-2</v>
      </c>
      <c r="AA4667">
        <v>0.96975679999999997</v>
      </c>
      <c r="AB4667">
        <v>37</v>
      </c>
      <c r="AC4667">
        <v>-4.8702999999999799</v>
      </c>
      <c r="AD4667">
        <v>-1.1206931425339901</v>
      </c>
      <c r="AE4667">
        <v>-12.439299999999999</v>
      </c>
      <c r="AF4667">
        <v>-3.2047163518006401</v>
      </c>
      <c r="AG4667">
        <v>-1.1206931425339901</v>
      </c>
      <c r="AH4667">
        <v>12.8724575953333</v>
      </c>
      <c r="AI4667">
        <v>94.829025774523103</v>
      </c>
      <c r="AJ4667">
        <v>103.98010249235401</v>
      </c>
      <c r="AK4667">
        <v>13.3126377761462</v>
      </c>
      <c r="AL4667">
        <v>79.941598464044901</v>
      </c>
      <c r="AM4667">
        <v>95.911463794888405</v>
      </c>
      <c r="AN4667">
        <v>0.99999999466060496</v>
      </c>
    </row>
    <row r="4668" spans="1:40" x14ac:dyDescent="0.25">
      <c r="A4668" t="str">
        <f>"20190312173024071"</f>
        <v>20190312173024071</v>
      </c>
      <c r="B4668" t="str">
        <f>"1552383024062213"</f>
        <v>1552383024062213</v>
      </c>
      <c r="C4668" t="s">
        <v>40</v>
      </c>
      <c r="D4668">
        <v>3.177921</v>
      </c>
      <c r="E4668">
        <v>0.44532709999999998</v>
      </c>
      <c r="F4668" t="s">
        <v>41</v>
      </c>
      <c r="G4668">
        <v>-422.24299999999999</v>
      </c>
      <c r="H4668" s="1">
        <v>-1.1222889999999999E-6</v>
      </c>
      <c r="I4668">
        <v>110.81399999999999</v>
      </c>
      <c r="J4668">
        <v>-417.62180000000001</v>
      </c>
      <c r="K4668">
        <v>1.1206969999999901</v>
      </c>
      <c r="L4668">
        <v>122.97150000000001</v>
      </c>
      <c r="M4668">
        <v>-0.56969919999999996</v>
      </c>
      <c r="N4668">
        <v>0</v>
      </c>
      <c r="O4668">
        <v>-0.821716</v>
      </c>
      <c r="P4668">
        <v>-0.48024339999999999</v>
      </c>
      <c r="Q4668">
        <v>0.162498</v>
      </c>
      <c r="R4668">
        <v>-0.86195239999999995</v>
      </c>
      <c r="S4668">
        <v>-1.1258239999999999</v>
      </c>
      <c r="T4668">
        <v>-0.2616194</v>
      </c>
      <c r="U4668">
        <v>-2.90802</v>
      </c>
      <c r="V4668">
        <v>-0.1011022</v>
      </c>
      <c r="W4668">
        <v>0.17463119999999999</v>
      </c>
      <c r="X4668">
        <v>0.97942960000000001</v>
      </c>
      <c r="Y4668">
        <v>-0.23547580000000001</v>
      </c>
      <c r="Z4668">
        <v>6.3048530000000005E-2</v>
      </c>
      <c r="AA4668">
        <v>0.96983299999999995</v>
      </c>
      <c r="AB4668">
        <v>37</v>
      </c>
      <c r="AC4668">
        <v>-4.6212000000000399</v>
      </c>
      <c r="AD4668">
        <v>-1.12069812228899</v>
      </c>
      <c r="AE4668">
        <v>-12.157500000000001</v>
      </c>
      <c r="AF4668">
        <v>-3.10609526881932</v>
      </c>
      <c r="AG4668">
        <v>-1.12069812228899</v>
      </c>
      <c r="AH4668">
        <v>12.53109094933</v>
      </c>
      <c r="AI4668">
        <v>94.961206951813907</v>
      </c>
      <c r="AJ4668">
        <v>103.92138409356301</v>
      </c>
      <c r="AK4668">
        <v>12.9588592275965</v>
      </c>
      <c r="AL4668">
        <v>79.942803317422701</v>
      </c>
      <c r="AM4668">
        <v>95.893517058097302</v>
      </c>
      <c r="AN4668">
        <v>1.0000000261072099</v>
      </c>
    </row>
    <row r="4669" spans="1:40" x14ac:dyDescent="0.25">
      <c r="A4669" t="str">
        <f>"20190312173024093"</f>
        <v>20190312173024093</v>
      </c>
      <c r="B4669" t="str">
        <f>"1552383024082709"</f>
        <v>1552383024082709</v>
      </c>
      <c r="C4669" t="s">
        <v>40</v>
      </c>
      <c r="D4669">
        <v>3.1989489999999998</v>
      </c>
      <c r="E4669">
        <v>0.44565320000000003</v>
      </c>
      <c r="F4669" t="s">
        <v>41</v>
      </c>
      <c r="G4669">
        <v>-422.30470000000003</v>
      </c>
      <c r="H4669" s="1">
        <v>-1.0153540000000001E-6</v>
      </c>
      <c r="I4669">
        <v>110.5265</v>
      </c>
      <c r="J4669">
        <v>-417.81459999999998</v>
      </c>
      <c r="K4669">
        <v>1.120698</v>
      </c>
      <c r="L4669">
        <v>122.678</v>
      </c>
      <c r="M4669">
        <v>-0.56089029999999995</v>
      </c>
      <c r="N4669">
        <v>0</v>
      </c>
      <c r="O4669">
        <v>-0.82775359999999998</v>
      </c>
      <c r="P4669">
        <v>-0.47132469999999999</v>
      </c>
      <c r="Q4669">
        <v>0.16206189999999901</v>
      </c>
      <c r="R4669">
        <v>-0.8669424</v>
      </c>
      <c r="S4669">
        <v>-1.0980829999999999</v>
      </c>
      <c r="T4669">
        <v>-0.26279069999999999</v>
      </c>
      <c r="U4669">
        <v>-2.9182130000000002</v>
      </c>
      <c r="V4669">
        <v>-0.1007825</v>
      </c>
      <c r="W4669">
        <v>0.17420579999999999</v>
      </c>
      <c r="X4669">
        <v>0.97953829999999997</v>
      </c>
      <c r="Y4669">
        <v>-0.2343037</v>
      </c>
      <c r="Z4669">
        <v>6.3960080000000002E-2</v>
      </c>
      <c r="AA4669">
        <v>0.97005719999999995</v>
      </c>
      <c r="AB4669">
        <v>37</v>
      </c>
      <c r="AC4669">
        <v>-4.4901000000000399</v>
      </c>
      <c r="AD4669">
        <v>-1.120699015354</v>
      </c>
      <c r="AE4669">
        <v>-12.1515</v>
      </c>
      <c r="AF4669">
        <v>-3.0762893769607</v>
      </c>
      <c r="AG4669">
        <v>-1.120699015354</v>
      </c>
      <c r="AH4669">
        <v>12.4848861259606</v>
      </c>
      <c r="AI4669">
        <v>94.981176097594798</v>
      </c>
      <c r="AJ4669">
        <v>103.84200617931199</v>
      </c>
      <c r="AK4669">
        <v>12.9070486243765</v>
      </c>
      <c r="AL4669">
        <v>79.967556376065701</v>
      </c>
      <c r="AM4669">
        <v>95.874364055897999</v>
      </c>
      <c r="AN4669">
        <v>1.00000002711338</v>
      </c>
    </row>
    <row r="4670" spans="1:40" x14ac:dyDescent="0.25">
      <c r="A4670" t="str">
        <f>"20190312173024115"</f>
        <v>20190312173024115</v>
      </c>
      <c r="B4670" t="str">
        <f>"1552383024111992"</f>
        <v>1552383024111992</v>
      </c>
      <c r="C4670" t="s">
        <v>40</v>
      </c>
      <c r="D4670">
        <v>3.2207029999999999</v>
      </c>
      <c r="E4670">
        <v>0.44620189999999998</v>
      </c>
      <c r="F4670" t="s">
        <v>41</v>
      </c>
      <c r="G4670">
        <v>-422.3372</v>
      </c>
      <c r="H4670" s="1">
        <v>-9.2698020000000004E-7</v>
      </c>
      <c r="I4670">
        <v>110.30029999999999</v>
      </c>
      <c r="J4670">
        <v>-418.01100000000002</v>
      </c>
      <c r="K4670">
        <v>1.1207</v>
      </c>
      <c r="L4670">
        <v>122.3721</v>
      </c>
      <c r="M4670">
        <v>-0.55169669999999904</v>
      </c>
      <c r="N4670">
        <v>0</v>
      </c>
      <c r="O4670">
        <v>-0.83390929999999996</v>
      </c>
      <c r="P4670">
        <v>-0.46206530000000001</v>
      </c>
      <c r="Q4670">
        <v>0.161693</v>
      </c>
      <c r="R4670">
        <v>-0.87198109999999995</v>
      </c>
      <c r="S4670">
        <v>-1.0699459999999901</v>
      </c>
      <c r="T4670">
        <v>-0.26513399999999998</v>
      </c>
      <c r="U4670">
        <v>-2.928299</v>
      </c>
      <c r="V4670">
        <v>-0.1004036</v>
      </c>
      <c r="W4670">
        <v>0.173849</v>
      </c>
      <c r="X4670">
        <v>0.97964059999999997</v>
      </c>
      <c r="Y4670">
        <v>-0.23286979999999999</v>
      </c>
      <c r="Z4670">
        <v>6.5181920000000004E-2</v>
      </c>
      <c r="AA4670">
        <v>0.97032110000000005</v>
      </c>
      <c r="AB4670">
        <v>37</v>
      </c>
      <c r="AC4670">
        <v>-4.3262000000000196</v>
      </c>
      <c r="AD4670">
        <v>-1.1207009269802</v>
      </c>
      <c r="AE4670">
        <v>-12.0718</v>
      </c>
      <c r="AF4670">
        <v>-3.0295203712794101</v>
      </c>
      <c r="AG4670">
        <v>-1.1207009269802</v>
      </c>
      <c r="AH4670">
        <v>12.360538605298901</v>
      </c>
      <c r="AI4670">
        <v>95.032553465945497</v>
      </c>
      <c r="AJ4670">
        <v>103.771497376109</v>
      </c>
      <c r="AK4670">
        <v>12.775636143097399</v>
      </c>
      <c r="AL4670">
        <v>79.988316332866702</v>
      </c>
      <c r="AM4670">
        <v>95.851825583618094</v>
      </c>
      <c r="AN4670">
        <v>1.0000000314311499</v>
      </c>
    </row>
    <row r="4671" spans="1:40" x14ac:dyDescent="0.25">
      <c r="A4671" t="str">
        <f>"20190312173024138"</f>
        <v>20190312173024138</v>
      </c>
      <c r="B4671" t="str">
        <f>"1552383024132484"</f>
        <v>1552383024132484</v>
      </c>
      <c r="C4671" t="s">
        <v>40</v>
      </c>
      <c r="D4671">
        <v>3.374851</v>
      </c>
      <c r="E4671">
        <v>0.44636100000000001</v>
      </c>
      <c r="F4671" t="s">
        <v>41</v>
      </c>
      <c r="G4671">
        <v>-422.4171</v>
      </c>
      <c r="H4671" s="1">
        <v>-8.0289590000000003E-7</v>
      </c>
      <c r="I4671">
        <v>109.9615</v>
      </c>
      <c r="J4671">
        <v>-418.2056</v>
      </c>
      <c r="K4671">
        <v>1.1206969999999901</v>
      </c>
      <c r="L4671">
        <v>122.06140000000001</v>
      </c>
      <c r="M4671">
        <v>-0.54234950000000004</v>
      </c>
      <c r="N4671">
        <v>0</v>
      </c>
      <c r="O4671">
        <v>-0.8400185</v>
      </c>
      <c r="P4671">
        <v>-0.45279000000000003</v>
      </c>
      <c r="Q4671">
        <v>0.1613462</v>
      </c>
      <c r="R4671">
        <v>-0.87689760000000005</v>
      </c>
      <c r="S4671">
        <v>-1.0427550000000001</v>
      </c>
      <c r="T4671">
        <v>-0.26522400000000002</v>
      </c>
      <c r="U4671">
        <v>-2.9370729999999998</v>
      </c>
      <c r="V4671">
        <v>-9.9877839999999996E-2</v>
      </c>
      <c r="W4671">
        <v>0.17351929999999999</v>
      </c>
      <c r="X4671">
        <v>0.97975279999999998</v>
      </c>
      <c r="Y4671">
        <v>-0.23090840000000001</v>
      </c>
      <c r="Z4671">
        <v>6.5881690000000007E-2</v>
      </c>
      <c r="AA4671">
        <v>0.97074249999999995</v>
      </c>
      <c r="AB4671">
        <v>37</v>
      </c>
      <c r="AC4671">
        <v>-4.2115</v>
      </c>
      <c r="AD4671">
        <v>-1.12069780289589</v>
      </c>
      <c r="AE4671">
        <v>-12.0999</v>
      </c>
      <c r="AF4671">
        <v>-3.0020084407607799</v>
      </c>
      <c r="AG4671">
        <v>-1.12069780289589</v>
      </c>
      <c r="AH4671">
        <v>12.3551151119943</v>
      </c>
      <c r="AI4671">
        <v>95.037182630962207</v>
      </c>
      <c r="AJ4671">
        <v>103.656902198897</v>
      </c>
      <c r="AK4671">
        <v>12.7638899899069</v>
      </c>
      <c r="AL4671">
        <v>80.007498373558704</v>
      </c>
      <c r="AM4671">
        <v>95.820731617990901</v>
      </c>
      <c r="AN4671">
        <v>1.0000000397516899</v>
      </c>
    </row>
    <row r="4672" spans="1:40" x14ac:dyDescent="0.25">
      <c r="A4672" t="str">
        <f>"20190312173024161"</f>
        <v>20190312173024161</v>
      </c>
      <c r="B4672" t="str">
        <f>"1552383024152982"</f>
        <v>1552383024152982</v>
      </c>
      <c r="C4672" t="s">
        <v>40</v>
      </c>
      <c r="D4672">
        <v>3.1571479999999998</v>
      </c>
      <c r="E4672">
        <v>0.4532987</v>
      </c>
      <c r="F4672" t="s">
        <v>41</v>
      </c>
      <c r="G4672">
        <v>-422.45929999999998</v>
      </c>
      <c r="H4672" s="1">
        <v>-6.9577410000000004E-7</v>
      </c>
      <c r="I4672">
        <v>109.68559999999999</v>
      </c>
      <c r="J4672">
        <v>-418.399</v>
      </c>
      <c r="K4672">
        <v>1.120692</v>
      </c>
      <c r="L4672">
        <v>121.74469999999999</v>
      </c>
      <c r="M4672">
        <v>-0.53281140000000005</v>
      </c>
      <c r="N4672">
        <v>0</v>
      </c>
      <c r="O4672">
        <v>-0.84610039999999997</v>
      </c>
      <c r="P4672">
        <v>-0.44320280000000001</v>
      </c>
      <c r="Q4672">
        <v>0.16167290000000001</v>
      </c>
      <c r="R4672">
        <v>-0.88172169999999905</v>
      </c>
      <c r="S4672">
        <v>-1.0129999999999999</v>
      </c>
      <c r="T4672">
        <v>-0.26688539999999999</v>
      </c>
      <c r="U4672">
        <v>-2.9471889999999998</v>
      </c>
      <c r="V4672">
        <v>-9.9449469999999998E-2</v>
      </c>
      <c r="W4672">
        <v>0.17385789999999901</v>
      </c>
      <c r="X4672">
        <v>0.9797363</v>
      </c>
      <c r="Y4672">
        <v>-0.22970850000000001</v>
      </c>
      <c r="Z4672">
        <v>6.6939079999999998E-2</v>
      </c>
      <c r="AA4672">
        <v>0.97095480000000001</v>
      </c>
      <c r="AB4672">
        <v>37</v>
      </c>
      <c r="AC4672">
        <v>-4.0602999999999803</v>
      </c>
      <c r="AD4672">
        <v>-1.1206926957740999</v>
      </c>
      <c r="AE4672">
        <v>-12.059100000000001</v>
      </c>
      <c r="AF4672">
        <v>-2.96712600336219</v>
      </c>
      <c r="AG4672">
        <v>-1.1206926957740999</v>
      </c>
      <c r="AH4672">
        <v>12.272779496025001</v>
      </c>
      <c r="AI4672">
        <v>95.072177460083395</v>
      </c>
      <c r="AJ4672">
        <v>103.591303118227</v>
      </c>
      <c r="AK4672">
        <v>12.675997215061299</v>
      </c>
      <c r="AL4672">
        <v>79.987798116079702</v>
      </c>
      <c r="AM4672">
        <v>95.796034122476399</v>
      </c>
      <c r="AN4672">
        <v>0.99999999200668999</v>
      </c>
    </row>
    <row r="4673" spans="1:40" x14ac:dyDescent="0.25">
      <c r="A4673" t="str">
        <f>"20190312173024183"</f>
        <v>20190312173024183</v>
      </c>
      <c r="B4673" t="str">
        <f>"1552383024172501"</f>
        <v>1552383024172501</v>
      </c>
      <c r="C4673" t="s">
        <v>40</v>
      </c>
      <c r="D4673">
        <v>3.121985</v>
      </c>
      <c r="E4673">
        <v>0.45125490000000001</v>
      </c>
      <c r="F4673" t="s">
        <v>41</v>
      </c>
      <c r="G4673">
        <v>-422.62779999999998</v>
      </c>
      <c r="H4673" s="1">
        <v>-7.505393E-7</v>
      </c>
      <c r="I4673">
        <v>109.7088</v>
      </c>
      <c r="J4673">
        <v>-418.58100000000002</v>
      </c>
      <c r="K4673">
        <v>1.120687</v>
      </c>
      <c r="L4673">
        <v>121.4393</v>
      </c>
      <c r="M4673">
        <v>-0.52360429999999902</v>
      </c>
      <c r="N4673">
        <v>0</v>
      </c>
      <c r="O4673">
        <v>-0.85182899999999995</v>
      </c>
      <c r="P4673">
        <v>-0.43387740000000002</v>
      </c>
      <c r="Q4673">
        <v>0.16216229999999901</v>
      </c>
      <c r="R4673">
        <v>-0.8862584</v>
      </c>
      <c r="S4673">
        <v>-1.030975</v>
      </c>
      <c r="T4673">
        <v>-0.2732214</v>
      </c>
      <c r="U4673">
        <v>-2.934326</v>
      </c>
      <c r="V4673">
        <v>-9.9121970000000004E-2</v>
      </c>
      <c r="W4673">
        <v>0.17435699999999901</v>
      </c>
      <c r="X4673">
        <v>0.97968080000000002</v>
      </c>
      <c r="Y4673">
        <v>-0.2125746</v>
      </c>
      <c r="Z4673">
        <v>6.9656789999999996E-2</v>
      </c>
      <c r="AA4673">
        <v>0.97465889999999999</v>
      </c>
      <c r="AB4673">
        <v>37</v>
      </c>
      <c r="AC4673">
        <v>-4.0468000000000099</v>
      </c>
      <c r="AD4673">
        <v>-1.1206877505393</v>
      </c>
      <c r="AE4673">
        <v>-11.730499999999999</v>
      </c>
      <c r="AF4673">
        <v>-2.67345714473239</v>
      </c>
      <c r="AG4673">
        <v>-1.1206877505393</v>
      </c>
      <c r="AH4673">
        <v>12.014672969104</v>
      </c>
      <c r="AI4673">
        <v>95.202421014985106</v>
      </c>
      <c r="AJ4673">
        <v>102.544847625071</v>
      </c>
      <c r="AK4673">
        <v>12.3594369084294</v>
      </c>
      <c r="AL4673">
        <v>79.958758328657197</v>
      </c>
      <c r="AM4673">
        <v>95.777401408435296</v>
      </c>
      <c r="AN4673">
        <v>0.99999999913715998</v>
      </c>
    </row>
    <row r="4674" spans="1:40" x14ac:dyDescent="0.25">
      <c r="A4674" t="str">
        <f>"20190312173024205"</f>
        <v>20190312173024205</v>
      </c>
      <c r="B4674" t="str">
        <f>"1552383024202757"</f>
        <v>1552383024202757</v>
      </c>
      <c r="C4674" t="s">
        <v>40</v>
      </c>
      <c r="D4674">
        <v>3.1242860000000001</v>
      </c>
      <c r="E4674">
        <v>0.44305060000000002</v>
      </c>
      <c r="F4674" t="s">
        <v>41</v>
      </c>
      <c r="G4674">
        <v>-422.88619999999997</v>
      </c>
      <c r="H4674" s="1">
        <v>-4.8380559999999999E-6</v>
      </c>
      <c r="I4674">
        <v>108.5515</v>
      </c>
      <c r="J4674">
        <v>-418.76089999999999</v>
      </c>
      <c r="K4674">
        <v>1.1206849999999999</v>
      </c>
      <c r="L4674">
        <v>121.129</v>
      </c>
      <c r="M4674">
        <v>-0.51424780000000003</v>
      </c>
      <c r="N4674">
        <v>0</v>
      </c>
      <c r="O4674">
        <v>-0.85750969999999904</v>
      </c>
      <c r="P4674">
        <v>-0.42465530000000001</v>
      </c>
      <c r="Q4674">
        <v>0.16216469999999999</v>
      </c>
      <c r="R4674">
        <v>-0.89071369999999905</v>
      </c>
      <c r="S4674">
        <v>-0.985321</v>
      </c>
      <c r="T4674">
        <v>-0.25648769999999999</v>
      </c>
      <c r="U4674">
        <v>-2.94957</v>
      </c>
      <c r="V4674">
        <v>-9.8561510000000005E-2</v>
      </c>
      <c r="W4674">
        <v>0.17437629999999901</v>
      </c>
      <c r="X4674">
        <v>0.97973390000000005</v>
      </c>
      <c r="Y4674">
        <v>-0.21685889999999999</v>
      </c>
      <c r="Z4674">
        <v>6.5879750000000001E-2</v>
      </c>
      <c r="AA4674">
        <v>0.97397739999999999</v>
      </c>
      <c r="AB4674">
        <v>37</v>
      </c>
      <c r="AC4674">
        <v>-4.1252999999999798</v>
      </c>
      <c r="AD4674">
        <v>-1.120689838056</v>
      </c>
      <c r="AE4674">
        <v>-12.577499999999899</v>
      </c>
      <c r="AF4674">
        <v>-2.9099396712613399</v>
      </c>
      <c r="AG4674">
        <v>-1.120689838056</v>
      </c>
      <c r="AH4674">
        <v>12.8163457607897</v>
      </c>
      <c r="AI4674">
        <v>94.873930077932499</v>
      </c>
      <c r="AJ4674">
        <v>102.792081474009</v>
      </c>
      <c r="AK4674">
        <v>13.1902393179053</v>
      </c>
      <c r="AL4674">
        <v>79.957635224076</v>
      </c>
      <c r="AM4674">
        <v>95.744644399278101</v>
      </c>
      <c r="AN4674">
        <v>0.99999999003218998</v>
      </c>
    </row>
    <row r="4675" spans="1:40" x14ac:dyDescent="0.25">
      <c r="A4675" t="str">
        <f>"20190312173024228"</f>
        <v>20190312173024228</v>
      </c>
      <c r="B4675" t="str">
        <f>"1552383024222284"</f>
        <v>1552383024222284</v>
      </c>
      <c r="C4675" t="s">
        <v>40</v>
      </c>
      <c r="D4675">
        <v>3.112876</v>
      </c>
      <c r="E4675">
        <v>0.4457219</v>
      </c>
      <c r="F4675" t="s">
        <v>41</v>
      </c>
      <c r="G4675">
        <v>-423.42559999999997</v>
      </c>
      <c r="H4675" s="1">
        <v>-3.7416770000000001E-6</v>
      </c>
      <c r="I4675">
        <v>105.5789</v>
      </c>
      <c r="J4675">
        <v>-418.94060000000002</v>
      </c>
      <c r="K4675">
        <v>1.120676</v>
      </c>
      <c r="L4675">
        <v>120.81100000000001</v>
      </c>
      <c r="M4675">
        <v>-0.50465289999999996</v>
      </c>
      <c r="N4675">
        <v>0</v>
      </c>
      <c r="O4675">
        <v>-0.86319129999999999</v>
      </c>
      <c r="P4675">
        <v>-0.41468500000000003</v>
      </c>
      <c r="Q4675">
        <v>0.16185720000000001</v>
      </c>
      <c r="R4675">
        <v>-0.89545439999999998</v>
      </c>
      <c r="S4675">
        <v>-0.89419559999999998</v>
      </c>
      <c r="T4675">
        <v>-0.21483089999999999</v>
      </c>
      <c r="U4675">
        <v>-2.9808810000000001</v>
      </c>
      <c r="V4675">
        <v>-9.8588410000000001E-2</v>
      </c>
      <c r="W4675">
        <v>0.17407010000000001</v>
      </c>
      <c r="X4675">
        <v>0.97978560000000003</v>
      </c>
      <c r="Y4675">
        <v>-0.2358711</v>
      </c>
      <c r="Z4675">
        <v>5.530794E-2</v>
      </c>
      <c r="AA4675">
        <v>0.97020919999999999</v>
      </c>
      <c r="AB4675">
        <v>37</v>
      </c>
      <c r="AC4675">
        <v>-4.4849999999999497</v>
      </c>
      <c r="AD4675">
        <v>-1.120679741677</v>
      </c>
      <c r="AE4675">
        <v>-15.232100000000001</v>
      </c>
      <c r="AF4675">
        <v>-3.7970283245417602</v>
      </c>
      <c r="AG4675">
        <v>-1.120679741677</v>
      </c>
      <c r="AH4675">
        <v>15.336931548375601</v>
      </c>
      <c r="AI4675">
        <v>94.057152257636801</v>
      </c>
      <c r="AJ4675">
        <v>103.905355833423</v>
      </c>
      <c r="AK4675">
        <v>15.8396596080956</v>
      </c>
      <c r="AL4675">
        <v>79.975451249097901</v>
      </c>
      <c r="AM4675">
        <v>95.745900592647601</v>
      </c>
      <c r="AN4675">
        <v>0.99999994813384696</v>
      </c>
    </row>
    <row r="4676" spans="1:40" x14ac:dyDescent="0.25">
      <c r="A4676" t="str">
        <f>"20190312173024250"</f>
        <v>20190312173024250</v>
      </c>
      <c r="B4676" t="str">
        <f>"1552383024242773"</f>
        <v>1552383024242773</v>
      </c>
      <c r="C4676" t="s">
        <v>40</v>
      </c>
      <c r="D4676">
        <v>3.201117</v>
      </c>
      <c r="E4676">
        <v>0.44687939999999998</v>
      </c>
      <c r="F4676" t="s">
        <v>41</v>
      </c>
      <c r="G4676">
        <v>-423.40550000000002</v>
      </c>
      <c r="H4676" s="1">
        <v>-3.787554E-6</v>
      </c>
      <c r="I4676">
        <v>105.6872</v>
      </c>
      <c r="J4676">
        <v>-419.10939999999999</v>
      </c>
      <c r="K4676">
        <v>1.12066</v>
      </c>
      <c r="L4676">
        <v>120.5047</v>
      </c>
      <c r="M4676">
        <v>-0.49540299999999998</v>
      </c>
      <c r="N4676">
        <v>0</v>
      </c>
      <c r="O4676">
        <v>-0.86853309999999995</v>
      </c>
      <c r="P4676">
        <v>-0.40560649999999998</v>
      </c>
      <c r="Q4676">
        <v>0.16206300000000001</v>
      </c>
      <c r="R4676">
        <v>-0.89956610000000004</v>
      </c>
      <c r="S4676">
        <v>-0.88049319999999898</v>
      </c>
      <c r="T4676">
        <v>-0.221001</v>
      </c>
      <c r="U4676">
        <v>-2.9824519999999999</v>
      </c>
      <c r="V4676">
        <v>-9.8013100000000006E-2</v>
      </c>
      <c r="W4676">
        <v>0.17429220000000001</v>
      </c>
      <c r="X4676">
        <v>0.97980389999999995</v>
      </c>
      <c r="Y4676">
        <v>-0.22975719999999999</v>
      </c>
      <c r="Z4676">
        <v>5.7501829999999997E-2</v>
      </c>
      <c r="AA4676">
        <v>0.97154779999999996</v>
      </c>
      <c r="AB4676">
        <v>36</v>
      </c>
      <c r="AC4676">
        <v>-4.2961000000000196</v>
      </c>
      <c r="AD4676">
        <v>-1.120663787554</v>
      </c>
      <c r="AE4676">
        <v>-14.8174999999999</v>
      </c>
      <c r="AF4676">
        <v>-3.5907902051004998</v>
      </c>
      <c r="AG4676">
        <v>-1.120663787554</v>
      </c>
      <c r="AH4676">
        <v>14.920756471172499</v>
      </c>
      <c r="AI4676">
        <v>94.176489402563007</v>
      </c>
      <c r="AJ4676">
        <v>103.53134187568</v>
      </c>
      <c r="AK4676">
        <v>15.3876130473123</v>
      </c>
      <c r="AL4676">
        <v>79.962528944438105</v>
      </c>
      <c r="AM4676">
        <v>95.712486968421501</v>
      </c>
      <c r="AN4676">
        <v>1.00000001060382</v>
      </c>
    </row>
    <row r="4677" spans="1:40" x14ac:dyDescent="0.25">
      <c r="A4677" t="str">
        <f>"20190312173024273"</f>
        <v>20190312173024273</v>
      </c>
      <c r="B4677" t="str">
        <f>"1552383024262292"</f>
        <v>1552383024262292</v>
      </c>
      <c r="C4677" t="s">
        <v>40</v>
      </c>
      <c r="D4677">
        <v>3.1313770000000001</v>
      </c>
      <c r="E4677">
        <v>0.44734760000000001</v>
      </c>
      <c r="F4677" t="s">
        <v>41</v>
      </c>
      <c r="G4677">
        <v>-423.44959999999998</v>
      </c>
      <c r="H4677" s="1">
        <v>-3.6661919999999999E-6</v>
      </c>
      <c r="I4677">
        <v>105.4057</v>
      </c>
      <c r="J4677">
        <v>-419.28210000000001</v>
      </c>
      <c r="K4677">
        <v>1.1206499999999999</v>
      </c>
      <c r="L4677">
        <v>120.1829</v>
      </c>
      <c r="M4677">
        <v>-0.48567630000000001</v>
      </c>
      <c r="N4677">
        <v>0</v>
      </c>
      <c r="O4677">
        <v>-0.874009499999999</v>
      </c>
      <c r="P4677">
        <v>-0.3962156</v>
      </c>
      <c r="Q4677">
        <v>0.16166910000000001</v>
      </c>
      <c r="R4677">
        <v>-0.90381259999999997</v>
      </c>
      <c r="S4677">
        <v>-0.85879519999999998</v>
      </c>
      <c r="T4677">
        <v>-0.2217461</v>
      </c>
      <c r="U4677">
        <v>-2.9876559999999999</v>
      </c>
      <c r="V4677">
        <v>-9.729633E-2</v>
      </c>
      <c r="W4677">
        <v>0.17392079999999999</v>
      </c>
      <c r="X4677">
        <v>0.97994130000000002</v>
      </c>
      <c r="Y4677">
        <v>-0.2258646</v>
      </c>
      <c r="Z4677">
        <v>5.8254430000000003E-2</v>
      </c>
      <c r="AA4677">
        <v>0.97241529999999998</v>
      </c>
      <c r="AB4677">
        <v>36</v>
      </c>
      <c r="AC4677">
        <v>-4.1674999999999596</v>
      </c>
      <c r="AD4677">
        <v>-1.1206536661919999</v>
      </c>
      <c r="AE4677">
        <v>-14.777200000000001</v>
      </c>
      <c r="AF4677">
        <v>-3.51616827615128</v>
      </c>
      <c r="AG4677">
        <v>-1.1206536661919999</v>
      </c>
      <c r="AH4677">
        <v>14.861980271256799</v>
      </c>
      <c r="AI4677">
        <v>94.196750096590094</v>
      </c>
      <c r="AJ4677">
        <v>103.31075224552001</v>
      </c>
      <c r="AK4677">
        <v>15.3133197435758</v>
      </c>
      <c r="AL4677">
        <v>79.984138396302697</v>
      </c>
      <c r="AM4677">
        <v>95.670194872798007</v>
      </c>
      <c r="AN4677">
        <v>0.99999998597489903</v>
      </c>
    </row>
    <row r="4678" spans="1:40" x14ac:dyDescent="0.25">
      <c r="A4678" t="str">
        <f>"20190312173024294"</f>
        <v>20190312173024294</v>
      </c>
      <c r="B4678" t="str">
        <f>"1552383024282789"</f>
        <v>1552383024282789</v>
      </c>
      <c r="C4678" t="s">
        <v>40</v>
      </c>
      <c r="D4678">
        <v>3.1817609999999998</v>
      </c>
      <c r="E4678">
        <v>0.448069</v>
      </c>
      <c r="F4678" t="s">
        <v>41</v>
      </c>
      <c r="G4678">
        <v>-423.42720000000003</v>
      </c>
      <c r="H4678" s="1">
        <v>-3.5837239999999999E-6</v>
      </c>
      <c r="I4678">
        <v>105.24379999999999</v>
      </c>
      <c r="J4678">
        <v>-419.44420000000002</v>
      </c>
      <c r="K4678">
        <v>1.120635</v>
      </c>
      <c r="L4678">
        <v>119.8729</v>
      </c>
      <c r="M4678">
        <v>-0.47630159999999999</v>
      </c>
      <c r="N4678">
        <v>0</v>
      </c>
      <c r="O4678">
        <v>-0.87915370000000004</v>
      </c>
      <c r="P4678">
        <v>-0.38690419999999998</v>
      </c>
      <c r="Q4678">
        <v>0.16102420000000001</v>
      </c>
      <c r="R4678">
        <v>-0.90795190000000003</v>
      </c>
      <c r="S4678">
        <v>-0.83105469999999904</v>
      </c>
      <c r="T4678">
        <v>-0.22468170000000001</v>
      </c>
      <c r="U4678">
        <v>-2.9951629999999998</v>
      </c>
      <c r="V4678">
        <v>-9.6920370000000006E-2</v>
      </c>
      <c r="W4678">
        <v>0.17328969999999999</v>
      </c>
      <c r="X4678">
        <v>0.98009040000000003</v>
      </c>
      <c r="Y4678">
        <v>-0.22445390000000001</v>
      </c>
      <c r="Z4678">
        <v>5.9500900000000002E-2</v>
      </c>
      <c r="AA4678">
        <v>0.97266649999999999</v>
      </c>
      <c r="AB4678">
        <v>36</v>
      </c>
      <c r="AC4678">
        <v>-3.9830000000000001</v>
      </c>
      <c r="AD4678">
        <v>-1.120638583724</v>
      </c>
      <c r="AE4678">
        <v>-14.629099999999999</v>
      </c>
      <c r="AF4678">
        <v>-3.4477501026465598</v>
      </c>
      <c r="AG4678">
        <v>-1.120638583724</v>
      </c>
      <c r="AH4678">
        <v>14.679804040772501</v>
      </c>
      <c r="AI4678">
        <v>94.250215834572302</v>
      </c>
      <c r="AJ4678">
        <v>103.217139198418</v>
      </c>
      <c r="AK4678">
        <v>15.1208286241566</v>
      </c>
      <c r="AL4678">
        <v>80.020855794659795</v>
      </c>
      <c r="AM4678">
        <v>95.647573054705106</v>
      </c>
      <c r="AN4678">
        <v>1.0000000352095899</v>
      </c>
    </row>
    <row r="4679" spans="1:40" x14ac:dyDescent="0.25">
      <c r="A4679" t="str">
        <f>"20190312173024317"</f>
        <v>20190312173024317</v>
      </c>
      <c r="B4679" t="str">
        <f>"1552383024312069"</f>
        <v>1552383024312069</v>
      </c>
      <c r="C4679" t="s">
        <v>40</v>
      </c>
      <c r="D4679">
        <v>3.184688</v>
      </c>
      <c r="E4679">
        <v>0.44937709999999997</v>
      </c>
      <c r="F4679" t="s">
        <v>41</v>
      </c>
      <c r="G4679">
        <v>-423.45699999999999</v>
      </c>
      <c r="H4679" s="1">
        <v>-3.4393339999999999E-6</v>
      </c>
      <c r="I4679">
        <v>104.9216</v>
      </c>
      <c r="J4679">
        <v>-419.61099999999999</v>
      </c>
      <c r="K4679">
        <v>1.1206259999999999</v>
      </c>
      <c r="L4679">
        <v>119.5455</v>
      </c>
      <c r="M4679">
        <v>-0.46639019999999998</v>
      </c>
      <c r="N4679">
        <v>0</v>
      </c>
      <c r="O4679">
        <v>-0.88445149999999995</v>
      </c>
      <c r="P4679">
        <v>-0.37722810000000001</v>
      </c>
      <c r="Q4679">
        <v>0.160299</v>
      </c>
      <c r="R4679">
        <v>-0.91214229999999996</v>
      </c>
      <c r="S4679">
        <v>-0.80538940000000003</v>
      </c>
      <c r="T4679">
        <v>-0.22492000000000001</v>
      </c>
      <c r="U4679">
        <v>-3.000839</v>
      </c>
      <c r="V4679">
        <v>-9.6359059999999996E-2</v>
      </c>
      <c r="W4679">
        <v>0.1725833</v>
      </c>
      <c r="X4679">
        <v>0.98027030000000004</v>
      </c>
      <c r="Y4679">
        <v>-0.22172420000000001</v>
      </c>
      <c r="Z4679">
        <v>6.009929E-2</v>
      </c>
      <c r="AA4679">
        <v>0.9732556</v>
      </c>
      <c r="AB4679">
        <v>36</v>
      </c>
      <c r="AC4679">
        <v>-3.8460000000000001</v>
      </c>
      <c r="AD4679">
        <v>-1.1206294393339999</v>
      </c>
      <c r="AE4679">
        <v>-14.623900000000001</v>
      </c>
      <c r="AF4679">
        <v>-3.4005523225842502</v>
      </c>
      <c r="AG4679">
        <v>-1.1206294393339999</v>
      </c>
      <c r="AH4679">
        <v>14.6490727255007</v>
      </c>
      <c r="AI4679">
        <v>94.261629785016893</v>
      </c>
      <c r="AJ4679">
        <v>103.06885297410599</v>
      </c>
      <c r="AK4679">
        <v>15.0802817664639</v>
      </c>
      <c r="AL4679">
        <v>80.061947950083393</v>
      </c>
      <c r="AM4679">
        <v>95.614051111263507</v>
      </c>
      <c r="AN4679">
        <v>0.99999996247253098</v>
      </c>
    </row>
    <row r="4680" spans="1:40" x14ac:dyDescent="0.25">
      <c r="A4680" t="str">
        <f>"20190312173024340"</f>
        <v>20190312173024340</v>
      </c>
      <c r="B4680" t="str">
        <f>"1552383024332565"</f>
        <v>1552383024332565</v>
      </c>
      <c r="C4680" t="s">
        <v>40</v>
      </c>
      <c r="D4680">
        <v>3.2028560000000001</v>
      </c>
      <c r="E4680">
        <v>0.44991310000000001</v>
      </c>
      <c r="F4680" t="s">
        <v>41</v>
      </c>
      <c r="G4680">
        <v>-423.4991</v>
      </c>
      <c r="H4680" s="1">
        <v>-3.3101580000000002E-6</v>
      </c>
      <c r="I4680">
        <v>104.6246</v>
      </c>
      <c r="J4680">
        <v>-419.7715</v>
      </c>
      <c r="K4680">
        <v>1.120611</v>
      </c>
      <c r="L4680">
        <v>119.2213</v>
      </c>
      <c r="M4680">
        <v>-0.45657110000000001</v>
      </c>
      <c r="N4680">
        <v>0</v>
      </c>
      <c r="O4680">
        <v>-0.88956000000000002</v>
      </c>
      <c r="P4680">
        <v>-0.36758689999999999</v>
      </c>
      <c r="Q4680">
        <v>0.1599902</v>
      </c>
      <c r="R4680">
        <v>-0.91612389999999999</v>
      </c>
      <c r="S4680">
        <v>-0.7829895</v>
      </c>
      <c r="T4680">
        <v>-0.22567329999999999</v>
      </c>
      <c r="U4680">
        <v>-3.0047760000000001</v>
      </c>
      <c r="V4680">
        <v>-9.5855460000000003E-2</v>
      </c>
      <c r="W4680">
        <v>0.17229069999999999</v>
      </c>
      <c r="X4680">
        <v>0.9803712</v>
      </c>
      <c r="Y4680">
        <v>-0.2180387</v>
      </c>
      <c r="Z4680">
        <v>6.0849779999999999E-2</v>
      </c>
      <c r="AA4680">
        <v>0.9740413</v>
      </c>
      <c r="AB4680">
        <v>36</v>
      </c>
      <c r="AC4680">
        <v>-3.72759999999999</v>
      </c>
      <c r="AD4680">
        <v>-1.1206143101579999</v>
      </c>
      <c r="AE4680">
        <v>-14.596699999999901</v>
      </c>
      <c r="AF4680">
        <v>-3.33045805902798</v>
      </c>
      <c r="AG4680">
        <v>-1.1206143101579999</v>
      </c>
      <c r="AH4680">
        <v>14.607389946424901</v>
      </c>
      <c r="AI4680">
        <v>94.277537786418307</v>
      </c>
      <c r="AJ4680">
        <v>102.843782739701</v>
      </c>
      <c r="AK4680">
        <v>15.0240995857319</v>
      </c>
      <c r="AL4680">
        <v>80.078968239616501</v>
      </c>
      <c r="AM4680">
        <v>95.584325289459102</v>
      </c>
      <c r="AN4680">
        <v>1.0000000221538701</v>
      </c>
    </row>
    <row r="4681" spans="1:40" x14ac:dyDescent="0.25">
      <c r="A4681" t="str">
        <f>"20190312173024363"</f>
        <v>20190312173024363</v>
      </c>
      <c r="B4681" t="str">
        <f>"1552383024352085"</f>
        <v>1552383024352085</v>
      </c>
      <c r="C4681" t="s">
        <v>40</v>
      </c>
      <c r="D4681">
        <v>3.1991969999999998</v>
      </c>
      <c r="E4681">
        <v>0.45026369999999999</v>
      </c>
      <c r="F4681" t="s">
        <v>41</v>
      </c>
      <c r="G4681">
        <v>-423.541</v>
      </c>
      <c r="H4681" s="1">
        <v>-3.1188749999999998E-6</v>
      </c>
      <c r="I4681">
        <v>104.1964</v>
      </c>
      <c r="J4681">
        <v>-419.93189999999998</v>
      </c>
      <c r="K4681">
        <v>1.120593</v>
      </c>
      <c r="L4681">
        <v>118.8882</v>
      </c>
      <c r="M4681">
        <v>-0.44647239999999999</v>
      </c>
      <c r="N4681">
        <v>0</v>
      </c>
      <c r="O4681">
        <v>-0.8946712</v>
      </c>
      <c r="P4681">
        <v>-0.35782269999999999</v>
      </c>
      <c r="Q4681">
        <v>0.15941179999999999</v>
      </c>
      <c r="R4681">
        <v>-0.92008230000000002</v>
      </c>
      <c r="S4681">
        <v>-0.75534060000000003</v>
      </c>
      <c r="T4681">
        <v>-0.22455549999999999</v>
      </c>
      <c r="U4681">
        <v>-3.0107879999999998</v>
      </c>
      <c r="V4681">
        <v>-9.5205250000000005E-2</v>
      </c>
      <c r="W4681">
        <v>0.1717331</v>
      </c>
      <c r="X4681">
        <v>0.98053230000000002</v>
      </c>
      <c r="Y4681">
        <v>-0.2158622</v>
      </c>
      <c r="Z4681">
        <v>6.105476E-2</v>
      </c>
      <c r="AA4681">
        <v>0.97451310000000002</v>
      </c>
      <c r="AB4681">
        <v>36</v>
      </c>
      <c r="AC4681">
        <v>-3.60910000000001</v>
      </c>
      <c r="AD4681">
        <v>-1.120596118875</v>
      </c>
      <c r="AE4681">
        <v>-14.691800000000001</v>
      </c>
      <c r="AF4681">
        <v>-3.3127260331967499</v>
      </c>
      <c r="AG4681">
        <v>-1.120596118875</v>
      </c>
      <c r="AH4681">
        <v>14.6768349385998</v>
      </c>
      <c r="AI4681">
        <v>94.259397304347502</v>
      </c>
      <c r="AJ4681">
        <v>102.71916286031799</v>
      </c>
      <c r="AK4681">
        <v>15.0877225997684</v>
      </c>
      <c r="AL4681">
        <v>80.111398984441493</v>
      </c>
      <c r="AM4681">
        <v>95.545776897463199</v>
      </c>
      <c r="AN4681">
        <v>0.99999994430322903</v>
      </c>
    </row>
    <row r="4682" spans="1:40" x14ac:dyDescent="0.25">
      <c r="A4682" t="str">
        <f>"20190312173024385"</f>
        <v>20190312173024385</v>
      </c>
      <c r="B4682" t="str">
        <f>"1552383024372581"</f>
        <v>1552383024372581</v>
      </c>
      <c r="C4682" t="s">
        <v>40</v>
      </c>
      <c r="D4682">
        <v>3.2180580000000001</v>
      </c>
      <c r="E4682">
        <v>0.45889619999999998</v>
      </c>
      <c r="F4682" t="s">
        <v>41</v>
      </c>
      <c r="G4682">
        <v>-423.54410000000001</v>
      </c>
      <c r="H4682" s="1">
        <v>-2.9693620000000001E-6</v>
      </c>
      <c r="I4682">
        <v>103.8783</v>
      </c>
      <c r="J4682">
        <v>-420.07709999999997</v>
      </c>
      <c r="K4682">
        <v>1.1205769999999999</v>
      </c>
      <c r="L4682">
        <v>118.5776</v>
      </c>
      <c r="M4682">
        <v>-0.43705159999999998</v>
      </c>
      <c r="N4682">
        <v>0</v>
      </c>
      <c r="O4682">
        <v>-0.89931090000000002</v>
      </c>
      <c r="P4682">
        <v>-0.34845939999999997</v>
      </c>
      <c r="Q4682">
        <v>0.15897530000000001</v>
      </c>
      <c r="R4682">
        <v>-0.92374420000000002</v>
      </c>
      <c r="S4682">
        <v>-0.72610469999999905</v>
      </c>
      <c r="T4682">
        <v>-0.22525919999999999</v>
      </c>
      <c r="U4682">
        <v>-3.017242</v>
      </c>
      <c r="V4682">
        <v>-9.4880409999999998E-2</v>
      </c>
      <c r="W4682">
        <v>0.17130799999999999</v>
      </c>
      <c r="X4682">
        <v>0.98063820000000002</v>
      </c>
      <c r="Y4682">
        <v>-0.21501190000000001</v>
      </c>
      <c r="Z4682">
        <v>6.1682910000000001E-2</v>
      </c>
      <c r="AA4682">
        <v>0.97466149999999996</v>
      </c>
      <c r="AB4682">
        <v>36</v>
      </c>
      <c r="AC4682">
        <v>-3.46700000000004</v>
      </c>
      <c r="AD4682">
        <v>-1.120579969362</v>
      </c>
      <c r="AE4682">
        <v>-14.699299999999999</v>
      </c>
      <c r="AF4682">
        <v>-3.28870975166548</v>
      </c>
      <c r="AG4682">
        <v>-1.120579969362</v>
      </c>
      <c r="AH4682">
        <v>14.6554797434605</v>
      </c>
      <c r="AI4682">
        <v>94.266712278276898</v>
      </c>
      <c r="AJ4682">
        <v>102.647733125286</v>
      </c>
      <c r="AK4682">
        <v>15.0616864198341</v>
      </c>
      <c r="AL4682">
        <v>80.136122367304793</v>
      </c>
      <c r="AM4682">
        <v>95.526378921754699</v>
      </c>
      <c r="AN4682">
        <v>1.0000000011825001</v>
      </c>
    </row>
    <row r="4683" spans="1:40" x14ac:dyDescent="0.25">
      <c r="A4683" t="str">
        <f>"20190312173024406"</f>
        <v>20190312173024406</v>
      </c>
      <c r="B4683" t="str">
        <f>"1552383024402837"</f>
        <v>1552383024402837</v>
      </c>
      <c r="C4683" t="s">
        <v>40</v>
      </c>
      <c r="D4683">
        <v>3.2425860000000002</v>
      </c>
      <c r="E4683">
        <v>0.46026240000000002</v>
      </c>
      <c r="F4683" t="s">
        <v>41</v>
      </c>
      <c r="G4683">
        <v>-424.00700000000001</v>
      </c>
      <c r="H4683" s="1">
        <v>-2.7022460000000001E-6</v>
      </c>
      <c r="I4683">
        <v>103.0527</v>
      </c>
      <c r="J4683">
        <v>-420.22120000000001</v>
      </c>
      <c r="K4683">
        <v>1.120557</v>
      </c>
      <c r="L4683">
        <v>118.26049999999999</v>
      </c>
      <c r="M4683">
        <v>-0.42743059999999999</v>
      </c>
      <c r="N4683">
        <v>0</v>
      </c>
      <c r="O4683">
        <v>-0.90392340000000004</v>
      </c>
      <c r="P4683">
        <v>-0.33894380000000002</v>
      </c>
      <c r="Q4683">
        <v>0.15844259999999999</v>
      </c>
      <c r="R4683">
        <v>-0.92736890000000005</v>
      </c>
      <c r="S4683">
        <v>-0.75903319999999996</v>
      </c>
      <c r="T4683">
        <v>-0.21643580000000001</v>
      </c>
      <c r="U4683">
        <v>-2.9985659999999998</v>
      </c>
      <c r="V4683">
        <v>-9.4515440000000006E-2</v>
      </c>
      <c r="W4683">
        <v>0.17078789999999999</v>
      </c>
      <c r="X4683">
        <v>0.98076419999999997</v>
      </c>
      <c r="Y4683">
        <v>-0.1930491</v>
      </c>
      <c r="Z4683">
        <v>6.0206330000000002E-2</v>
      </c>
      <c r="AA4683">
        <v>0.97934019999999999</v>
      </c>
      <c r="AB4683">
        <v>36</v>
      </c>
      <c r="AC4683">
        <v>-3.7857999999999299</v>
      </c>
      <c r="AD4683">
        <v>-1.1205597022460001</v>
      </c>
      <c r="AE4683">
        <v>-15.207799999999899</v>
      </c>
      <c r="AF4683">
        <v>-3.06289435979643</v>
      </c>
      <c r="AG4683">
        <v>-1.1205597022460001</v>
      </c>
      <c r="AH4683">
        <v>15.2884256975127</v>
      </c>
      <c r="AI4683">
        <v>94.1105856538327</v>
      </c>
      <c r="AJ4683">
        <v>101.328702755194</v>
      </c>
      <c r="AK4683">
        <v>15.632432191247</v>
      </c>
      <c r="AL4683">
        <v>80.166368077061193</v>
      </c>
      <c r="AM4683">
        <v>95.504548902549502</v>
      </c>
      <c r="AN4683">
        <v>1.0000000455932201</v>
      </c>
    </row>
    <row r="4684" spans="1:40" x14ac:dyDescent="0.25">
      <c r="A4684" t="str">
        <f>"20190312173024429"</f>
        <v>20190312173024429</v>
      </c>
      <c r="B4684" t="str">
        <f>"1552383024422357"</f>
        <v>1552383024422357</v>
      </c>
      <c r="C4684" t="s">
        <v>40</v>
      </c>
      <c r="D4684">
        <v>3.2720859999999998</v>
      </c>
      <c r="E4684">
        <v>0.4613025</v>
      </c>
      <c r="F4684" t="s">
        <v>41</v>
      </c>
      <c r="G4684">
        <v>-424.06220000000002</v>
      </c>
      <c r="H4684" s="1">
        <v>-2.5239570000000002E-6</v>
      </c>
      <c r="I4684">
        <v>102.64449999999999</v>
      </c>
      <c r="J4684">
        <v>-420.36880000000002</v>
      </c>
      <c r="K4684">
        <v>1.1205430000000001</v>
      </c>
      <c r="L4684">
        <v>117.9256</v>
      </c>
      <c r="M4684">
        <v>-0.41726279999999999</v>
      </c>
      <c r="N4684">
        <v>0</v>
      </c>
      <c r="O4684">
        <v>-0.90866179999999996</v>
      </c>
      <c r="P4684">
        <v>-0.32889230000000003</v>
      </c>
      <c r="Q4684">
        <v>0.15861979999999901</v>
      </c>
      <c r="R4684">
        <v>-0.93095119999999998</v>
      </c>
      <c r="S4684">
        <v>-0.73837280000000005</v>
      </c>
      <c r="T4684">
        <v>-0.21540819999999999</v>
      </c>
      <c r="U4684">
        <v>-3.0019070000000001</v>
      </c>
      <c r="V4684">
        <v>-9.4104950000000007E-2</v>
      </c>
      <c r="W4684">
        <v>0.1709772</v>
      </c>
      <c r="X4684">
        <v>0.98077060000000005</v>
      </c>
      <c r="Y4684">
        <v>-0.1886447</v>
      </c>
      <c r="Z4684">
        <v>6.0419239999999999E-2</v>
      </c>
      <c r="AA4684">
        <v>0.98018499999999997</v>
      </c>
      <c r="AB4684">
        <v>36</v>
      </c>
      <c r="AC4684">
        <v>-3.6933999999999898</v>
      </c>
      <c r="AD4684">
        <v>-1.1205455239569999</v>
      </c>
      <c r="AE4684">
        <v>-15.2811</v>
      </c>
      <c r="AF4684">
        <v>-3.0052559271138199</v>
      </c>
      <c r="AG4684">
        <v>-1.1205455239569999</v>
      </c>
      <c r="AH4684">
        <v>15.350225444300101</v>
      </c>
      <c r="AI4684">
        <v>94.097589790678697</v>
      </c>
      <c r="AJ4684">
        <v>101.077215983728</v>
      </c>
      <c r="AK4684">
        <v>15.6817284331017</v>
      </c>
      <c r="AL4684">
        <v>80.155359195172196</v>
      </c>
      <c r="AM4684">
        <v>95.480752435483694</v>
      </c>
      <c r="AN4684">
        <v>0.99999995717934997</v>
      </c>
    </row>
    <row r="4685" spans="1:40" x14ac:dyDescent="0.25">
      <c r="A4685" t="str">
        <f>"20190312173024451"</f>
        <v>20190312173024451</v>
      </c>
      <c r="B4685" t="str">
        <f>"1552383024442856"</f>
        <v>1552383024442856</v>
      </c>
      <c r="C4685" t="s">
        <v>40</v>
      </c>
      <c r="D4685">
        <v>3.2415910000000001</v>
      </c>
      <c r="E4685">
        <v>0.46229510000000001</v>
      </c>
      <c r="F4685" t="s">
        <v>41</v>
      </c>
      <c r="G4685">
        <v>-424.07240000000002</v>
      </c>
      <c r="H4685" s="1">
        <v>-2.3706619999999998E-6</v>
      </c>
      <c r="I4685">
        <v>102.31440000000001</v>
      </c>
      <c r="J4685">
        <v>-420.5077</v>
      </c>
      <c r="K4685">
        <v>1.12053</v>
      </c>
      <c r="L4685">
        <v>117.60129999999999</v>
      </c>
      <c r="M4685">
        <v>-0.40741149999999998</v>
      </c>
      <c r="N4685">
        <v>0</v>
      </c>
      <c r="O4685">
        <v>-0.91312130000000002</v>
      </c>
      <c r="P4685">
        <v>-0.31940649999999998</v>
      </c>
      <c r="Q4685">
        <v>0.1589806</v>
      </c>
      <c r="R4685">
        <v>-0.93418690000000004</v>
      </c>
      <c r="S4685">
        <v>-0.71343990000000002</v>
      </c>
      <c r="T4685">
        <v>-0.2158573</v>
      </c>
      <c r="U4685">
        <v>-3.007263</v>
      </c>
      <c r="V4685">
        <v>-9.3449089999999999E-2</v>
      </c>
      <c r="W4685">
        <v>0.17135639999999999</v>
      </c>
      <c r="X4685">
        <v>0.98076719999999895</v>
      </c>
      <c r="Y4685">
        <v>-0.1861131</v>
      </c>
      <c r="Z4685">
        <v>6.0969780000000001E-2</v>
      </c>
      <c r="AA4685">
        <v>0.98063480000000003</v>
      </c>
      <c r="AB4685">
        <v>36</v>
      </c>
      <c r="AC4685">
        <v>-3.56470000000001</v>
      </c>
      <c r="AD4685">
        <v>-1.1205323706620001</v>
      </c>
      <c r="AE4685">
        <v>-15.2868999999999</v>
      </c>
      <c r="AF4685">
        <v>-2.9583153676151301</v>
      </c>
      <c r="AG4685">
        <v>-1.1205323706620001</v>
      </c>
      <c r="AH4685">
        <v>15.334687722526899</v>
      </c>
      <c r="AI4685">
        <v>94.103871510913606</v>
      </c>
      <c r="AJ4685">
        <v>100.919165255566</v>
      </c>
      <c r="AK4685">
        <v>15.657581874459</v>
      </c>
      <c r="AL4685">
        <v>80.133307862525498</v>
      </c>
      <c r="AM4685">
        <v>95.442803525503905</v>
      </c>
      <c r="AN4685">
        <v>1.0000000244193099</v>
      </c>
    </row>
    <row r="4686" spans="1:40" x14ac:dyDescent="0.25">
      <c r="A4686" t="str">
        <f>"20190312173024473"</f>
        <v>20190312173024473</v>
      </c>
      <c r="B4686" t="str">
        <f>"1552383024462373"</f>
        <v>1552383024462373</v>
      </c>
      <c r="C4686" t="s">
        <v>40</v>
      </c>
      <c r="D4686">
        <v>3.2804700000000002</v>
      </c>
      <c r="E4686">
        <v>0.46886879999999997</v>
      </c>
      <c r="F4686" t="s">
        <v>41</v>
      </c>
      <c r="G4686">
        <v>-424.1309</v>
      </c>
      <c r="H4686" s="1">
        <v>-2.1409690000000001E-6</v>
      </c>
      <c r="I4686">
        <v>101.79559999999999</v>
      </c>
      <c r="J4686">
        <v>-420.64249999999998</v>
      </c>
      <c r="K4686">
        <v>1.120514</v>
      </c>
      <c r="L4686">
        <v>117.27679999999999</v>
      </c>
      <c r="M4686">
        <v>-0.39754400000000001</v>
      </c>
      <c r="N4686">
        <v>0</v>
      </c>
      <c r="O4686">
        <v>-0.91746030000000001</v>
      </c>
      <c r="P4686">
        <v>-0.30989679999999997</v>
      </c>
      <c r="Q4686">
        <v>0.15917310000000001</v>
      </c>
      <c r="R4686">
        <v>-0.93735190000000002</v>
      </c>
      <c r="S4686">
        <v>-0.69036869999999995</v>
      </c>
      <c r="T4686">
        <v>-0.2135078</v>
      </c>
      <c r="U4686">
        <v>-3.0116420000000002</v>
      </c>
      <c r="V4686">
        <v>-9.2825519999999995E-2</v>
      </c>
      <c r="W4686">
        <v>0.17156640000000001</v>
      </c>
      <c r="X4686">
        <v>0.98078969999999999</v>
      </c>
      <c r="Y4686">
        <v>-0.1829596</v>
      </c>
      <c r="Z4686">
        <v>6.0734999999999997E-2</v>
      </c>
      <c r="AA4686">
        <v>0.98124259999999996</v>
      </c>
      <c r="AB4686">
        <v>36</v>
      </c>
      <c r="AC4686">
        <v>-3.4884000000000102</v>
      </c>
      <c r="AD4686">
        <v>-1.1205161409690001</v>
      </c>
      <c r="AE4686">
        <v>-15.481199999999999</v>
      </c>
      <c r="AF4686">
        <v>-2.9396665762780199</v>
      </c>
      <c r="AG4686">
        <v>-1.1205161409690001</v>
      </c>
      <c r="AH4686">
        <v>15.514586382769799</v>
      </c>
      <c r="AI4686">
        <v>94.058951792366997</v>
      </c>
      <c r="AJ4686">
        <v>100.72907582178</v>
      </c>
      <c r="AK4686">
        <v>15.830337539998499</v>
      </c>
      <c r="AL4686">
        <v>80.121094853021006</v>
      </c>
      <c r="AM4686">
        <v>95.4065772564025</v>
      </c>
      <c r="AN4686">
        <v>1.00000002119916</v>
      </c>
    </row>
    <row r="4687" spans="1:40" x14ac:dyDescent="0.25">
      <c r="A4687" t="str">
        <f>"20190312173024496"</f>
        <v>20190312173024496</v>
      </c>
      <c r="B4687" t="str">
        <f>"1552383024492574"</f>
        <v>1552383024492574</v>
      </c>
      <c r="C4687" t="s">
        <v>40</v>
      </c>
      <c r="D4687">
        <v>3.265768</v>
      </c>
      <c r="E4687">
        <v>0.46998410000000002</v>
      </c>
      <c r="F4687" t="s">
        <v>41</v>
      </c>
      <c r="G4687">
        <v>-424.47680000000003</v>
      </c>
      <c r="H4687" s="1">
        <v>-1.8768260000000001E-6</v>
      </c>
      <c r="I4687">
        <v>101.0421</v>
      </c>
      <c r="J4687">
        <v>-420.7765</v>
      </c>
      <c r="K4687">
        <v>1.120498</v>
      </c>
      <c r="L4687">
        <v>116.94410000000001</v>
      </c>
      <c r="M4687">
        <v>-0.38742120000000002</v>
      </c>
      <c r="N4687">
        <v>0</v>
      </c>
      <c r="O4687">
        <v>-0.92178070000000001</v>
      </c>
      <c r="P4687">
        <v>-0.30054160000000002</v>
      </c>
      <c r="Q4687">
        <v>0.15885729999999901</v>
      </c>
      <c r="R4687">
        <v>-0.94044640000000002</v>
      </c>
      <c r="S4687">
        <v>-0.70886229999999995</v>
      </c>
      <c r="T4687">
        <v>-0.2071511</v>
      </c>
      <c r="U4687">
        <v>-3.001328</v>
      </c>
      <c r="V4687">
        <v>-9.1804960000000005E-2</v>
      </c>
      <c r="W4687">
        <v>0.17128019999999999</v>
      </c>
      <c r="X4687">
        <v>0.98093580000000002</v>
      </c>
      <c r="Y4687">
        <v>-0.16562389999999999</v>
      </c>
      <c r="Z4687">
        <v>5.9628159999999999E-2</v>
      </c>
      <c r="AA4687">
        <v>0.9843847</v>
      </c>
      <c r="AB4687">
        <v>36</v>
      </c>
      <c r="AC4687">
        <v>-3.7003000000000199</v>
      </c>
      <c r="AD4687">
        <v>-1.1204998768259999</v>
      </c>
      <c r="AE4687">
        <v>-15.901999999999999</v>
      </c>
      <c r="AF4687">
        <v>-2.7373236853460501</v>
      </c>
      <c r="AG4687">
        <v>-1.1204998768259999</v>
      </c>
      <c r="AH4687">
        <v>16.018098290754899</v>
      </c>
      <c r="AI4687">
        <v>93.944446448080598</v>
      </c>
      <c r="AJ4687">
        <v>99.697567213430403</v>
      </c>
      <c r="AK4687">
        <v>16.288889888037499</v>
      </c>
      <c r="AL4687">
        <v>80.137739577967807</v>
      </c>
      <c r="AM4687">
        <v>95.346689885406207</v>
      </c>
      <c r="AN4687">
        <v>1.00000005065713</v>
      </c>
    </row>
    <row r="4688" spans="1:40" x14ac:dyDescent="0.25">
      <c r="A4688" t="str">
        <f>"20190312173024519"</f>
        <v>20190312173024519</v>
      </c>
      <c r="B4688" t="str">
        <f>"1552383024512098"</f>
        <v>1552383024512098</v>
      </c>
      <c r="C4688" t="s">
        <v>40</v>
      </c>
      <c r="D4688">
        <v>3.2587649999999999</v>
      </c>
      <c r="E4688">
        <v>0.4709448</v>
      </c>
      <c r="F4688" t="s">
        <v>41</v>
      </c>
      <c r="G4688">
        <v>-424.57900000000001</v>
      </c>
      <c r="H4688" s="1">
        <v>-1.5642059999999999E-6</v>
      </c>
      <c r="I4688">
        <v>100.3233</v>
      </c>
      <c r="J4688">
        <v>-420.90980000000002</v>
      </c>
      <c r="K4688">
        <v>1.1204670000000001</v>
      </c>
      <c r="L4688">
        <v>116.6022</v>
      </c>
      <c r="M4688">
        <v>-0.37701459999999998</v>
      </c>
      <c r="N4688">
        <v>0</v>
      </c>
      <c r="O4688">
        <v>-0.92608559999999995</v>
      </c>
      <c r="P4688">
        <v>-0.29033419999999999</v>
      </c>
      <c r="Q4688">
        <v>0.1586321</v>
      </c>
      <c r="R4688">
        <v>-0.94368540000000001</v>
      </c>
      <c r="S4688">
        <v>-0.68737789999999999</v>
      </c>
      <c r="T4688">
        <v>-0.20255300000000001</v>
      </c>
      <c r="U4688">
        <v>-3.0045470000000001</v>
      </c>
      <c r="V4688">
        <v>-9.1384590000000002E-2</v>
      </c>
      <c r="W4688">
        <v>0.17106789999999999</v>
      </c>
      <c r="X4688">
        <v>0.981012</v>
      </c>
      <c r="Y4688">
        <v>-0.16141449999999999</v>
      </c>
      <c r="Z4688">
        <v>5.8734590000000003E-2</v>
      </c>
      <c r="AA4688">
        <v>0.98513729999999999</v>
      </c>
      <c r="AB4688">
        <v>36</v>
      </c>
      <c r="AC4688">
        <v>-3.66919999999998</v>
      </c>
      <c r="AD4688">
        <v>-1.1204685642059999</v>
      </c>
      <c r="AE4688">
        <v>-16.278899999999901</v>
      </c>
      <c r="AF4688">
        <v>-2.7274021711891598</v>
      </c>
      <c r="AG4688">
        <v>-1.1204685642059999</v>
      </c>
      <c r="AH4688">
        <v>16.386972586674499</v>
      </c>
      <c r="AI4688">
        <v>93.858627446439201</v>
      </c>
      <c r="AJ4688">
        <v>99.449530745592497</v>
      </c>
      <c r="AK4688">
        <v>16.650136424762501</v>
      </c>
      <c r="AL4688">
        <v>80.150084757531502</v>
      </c>
      <c r="AM4688">
        <v>95.321937555291399</v>
      </c>
      <c r="AN4688">
        <v>0.99999995692193799</v>
      </c>
    </row>
    <row r="4689" spans="1:40" x14ac:dyDescent="0.25">
      <c r="A4689" t="str">
        <f>"20190312173024540"</f>
        <v>20190312173024540</v>
      </c>
      <c r="B4689" t="str">
        <f>"1552383024532594"</f>
        <v>1552383024532594</v>
      </c>
      <c r="C4689" t="s">
        <v>40</v>
      </c>
      <c r="D4689">
        <v>3.1941039999999998</v>
      </c>
      <c r="E4689">
        <v>0.4684683</v>
      </c>
      <c r="F4689" t="s">
        <v>41</v>
      </c>
      <c r="G4689">
        <v>-424.55239999999998</v>
      </c>
      <c r="H4689" s="1">
        <v>-1.4306290000000001E-6</v>
      </c>
      <c r="I4689">
        <v>100.0557</v>
      </c>
      <c r="J4689">
        <v>-421.02949999999998</v>
      </c>
      <c r="K4689">
        <v>1.120457</v>
      </c>
      <c r="L4689">
        <v>116.285</v>
      </c>
      <c r="M4689">
        <v>-0.36735180000000001</v>
      </c>
      <c r="N4689">
        <v>0</v>
      </c>
      <c r="O4689">
        <v>-0.92996109999999998</v>
      </c>
      <c r="P4689">
        <v>-0.28126020000000002</v>
      </c>
      <c r="Q4689">
        <v>0.15858459999999999</v>
      </c>
      <c r="R4689">
        <v>-0.94643750000000004</v>
      </c>
      <c r="S4689">
        <v>-0.66250609999999999</v>
      </c>
      <c r="T4689">
        <v>-0.20378769999999999</v>
      </c>
      <c r="U4689">
        <v>-3.0094449999999999</v>
      </c>
      <c r="V4689">
        <v>-9.0581300000000003E-2</v>
      </c>
      <c r="W4689">
        <v>0.17104349999999999</v>
      </c>
      <c r="X4689">
        <v>0.98109080000000004</v>
      </c>
      <c r="Y4689">
        <v>-0.1592462</v>
      </c>
      <c r="Z4689">
        <v>5.9437879999999998E-2</v>
      </c>
      <c r="AA4689">
        <v>0.98544799999999999</v>
      </c>
      <c r="AB4689">
        <v>36</v>
      </c>
      <c r="AC4689">
        <v>-3.5228999999999902</v>
      </c>
      <c r="AD4689">
        <v>-1.120458430629</v>
      </c>
      <c r="AE4689">
        <v>-16.229299999999899</v>
      </c>
      <c r="AF4689">
        <v>-2.6738337050543302</v>
      </c>
      <c r="AG4689">
        <v>-1.120458430629</v>
      </c>
      <c r="AH4689">
        <v>16.314343456566402</v>
      </c>
      <c r="AI4689">
        <v>93.877298177536204</v>
      </c>
      <c r="AJ4689">
        <v>99.307721117536502</v>
      </c>
      <c r="AK4689">
        <v>16.569931086032401</v>
      </c>
      <c r="AL4689">
        <v>80.151504159199504</v>
      </c>
      <c r="AM4689">
        <v>95.275000369258194</v>
      </c>
      <c r="AN4689">
        <v>1.0000000043232899</v>
      </c>
    </row>
    <row r="4690" spans="1:40" x14ac:dyDescent="0.25">
      <c r="A4690" t="str">
        <f>"20190312173024563"</f>
        <v>20190312173024563</v>
      </c>
      <c r="B4690" t="str">
        <f>"1552383024552110"</f>
        <v>1552383024552110</v>
      </c>
      <c r="C4690" t="s">
        <v>40</v>
      </c>
      <c r="D4690">
        <v>3.086633</v>
      </c>
      <c r="E4690">
        <v>0.46501619999999999</v>
      </c>
      <c r="F4690" t="s">
        <v>41</v>
      </c>
      <c r="G4690">
        <v>-424.42770000000002</v>
      </c>
      <c r="H4690" s="1">
        <v>-5.0698199999999999E-6</v>
      </c>
      <c r="I4690">
        <v>99.576769999999996</v>
      </c>
      <c r="J4690">
        <v>-421.15589999999997</v>
      </c>
      <c r="K4690">
        <v>1.1204369999999999</v>
      </c>
      <c r="L4690">
        <v>115.93899999999999</v>
      </c>
      <c r="M4690">
        <v>-0.35681210000000002</v>
      </c>
      <c r="N4690">
        <v>0</v>
      </c>
      <c r="O4690">
        <v>-0.93405579999999999</v>
      </c>
      <c r="P4690">
        <v>-0.27138869999999998</v>
      </c>
      <c r="Q4690">
        <v>0.15879209999999999</v>
      </c>
      <c r="R4690">
        <v>-0.94928080000000004</v>
      </c>
      <c r="S4690">
        <v>-0.61444089999999996</v>
      </c>
      <c r="T4690">
        <v>-0.20259959999999999</v>
      </c>
      <c r="U4690">
        <v>-3.0211489999999999</v>
      </c>
      <c r="V4690">
        <v>-8.968545E-2</v>
      </c>
      <c r="W4690">
        <v>0.1712755</v>
      </c>
      <c r="X4690">
        <v>0.98113260000000002</v>
      </c>
      <c r="Y4690">
        <v>-0.16388559999999999</v>
      </c>
      <c r="Z4690">
        <v>5.9332379999999997E-2</v>
      </c>
      <c r="AA4690">
        <v>0.9846935</v>
      </c>
      <c r="AB4690">
        <v>36</v>
      </c>
      <c r="AC4690">
        <v>-3.2718000000000398</v>
      </c>
      <c r="AD4690">
        <v>-1.1204420698199999</v>
      </c>
      <c r="AE4690">
        <v>-16.362229999999901</v>
      </c>
      <c r="AF4690">
        <v>-2.77002112745657</v>
      </c>
      <c r="AG4690">
        <v>-1.1204420698199999</v>
      </c>
      <c r="AH4690">
        <v>16.3786546315464</v>
      </c>
      <c r="AI4690">
        <v>93.858803090567704</v>
      </c>
      <c r="AJ4690">
        <v>99.599248582778003</v>
      </c>
      <c r="AK4690">
        <v>16.6489860056958</v>
      </c>
      <c r="AL4690">
        <v>80.138012181593098</v>
      </c>
      <c r="AM4690">
        <v>95.222899244685607</v>
      </c>
      <c r="AN4690">
        <v>0.99999997781235594</v>
      </c>
    </row>
    <row r="4691" spans="1:40" x14ac:dyDescent="0.25">
      <c r="A4691" t="str">
        <f>"20190312173024585"</f>
        <v>20190312173024585</v>
      </c>
      <c r="B4691" t="str">
        <f>"1552383024572137"</f>
        <v>1552383024572137</v>
      </c>
      <c r="C4691" t="s">
        <v>40</v>
      </c>
      <c r="D4691">
        <v>3.1336900000000001</v>
      </c>
      <c r="E4691">
        <v>0.4627927</v>
      </c>
      <c r="F4691" t="s">
        <v>41</v>
      </c>
      <c r="G4691">
        <v>-424.26440000000002</v>
      </c>
      <c r="H4691" s="1">
        <v>-4.832295E-6</v>
      </c>
      <c r="I4691">
        <v>98.96387</v>
      </c>
      <c r="J4691">
        <v>-421.27050000000003</v>
      </c>
      <c r="K4691">
        <v>1.120412</v>
      </c>
      <c r="L4691">
        <v>115.6135</v>
      </c>
      <c r="M4691">
        <v>-0.34689890000000001</v>
      </c>
      <c r="N4691">
        <v>0</v>
      </c>
      <c r="O4691">
        <v>-0.93778260000000002</v>
      </c>
      <c r="P4691">
        <v>-0.26210739999999999</v>
      </c>
      <c r="Q4691">
        <v>0.15869440000000001</v>
      </c>
      <c r="R4691">
        <v>-0.95190140000000001</v>
      </c>
      <c r="S4691">
        <v>-0.55575559999999902</v>
      </c>
      <c r="T4691">
        <v>-0.20031959999999999</v>
      </c>
      <c r="U4691">
        <v>-3.0349270000000002</v>
      </c>
      <c r="V4691">
        <v>-8.8864589999999993E-2</v>
      </c>
      <c r="W4691">
        <v>0.1712013</v>
      </c>
      <c r="X4691">
        <v>0.98122019999999999</v>
      </c>
      <c r="Y4691">
        <v>-0.17265320000000001</v>
      </c>
      <c r="Z4691">
        <v>5.8815319999999997E-2</v>
      </c>
      <c r="AA4691">
        <v>0.98322509999999996</v>
      </c>
      <c r="AB4691">
        <v>36</v>
      </c>
      <c r="AC4691">
        <v>-2.9938999999999898</v>
      </c>
      <c r="AD4691">
        <v>-1.1204168322949899</v>
      </c>
      <c r="AE4691">
        <v>-16.649629999999998</v>
      </c>
      <c r="AF4691">
        <v>-2.9554803398634601</v>
      </c>
      <c r="AG4691">
        <v>-1.1204168322949899</v>
      </c>
      <c r="AH4691">
        <v>16.581450734492201</v>
      </c>
      <c r="AI4691">
        <v>93.8058265561436</v>
      </c>
      <c r="AJ4691">
        <v>100.106276537657</v>
      </c>
      <c r="AK4691">
        <v>16.880009075169401</v>
      </c>
      <c r="AL4691">
        <v>80.142326894257593</v>
      </c>
      <c r="AM4691">
        <v>95.174897101407097</v>
      </c>
      <c r="AN4691">
        <v>0.99999994068279696</v>
      </c>
    </row>
    <row r="4692" spans="1:40" x14ac:dyDescent="0.25">
      <c r="A4692" t="str">
        <f>"20190312173024608"</f>
        <v>20190312173024608</v>
      </c>
      <c r="B4692" t="str">
        <f>"1552383024602393"</f>
        <v>1552383024602393</v>
      </c>
      <c r="C4692" t="s">
        <v>40</v>
      </c>
      <c r="D4692">
        <v>3.165362</v>
      </c>
      <c r="E4692">
        <v>0.46095059999999899</v>
      </c>
      <c r="F4692" t="s">
        <v>41</v>
      </c>
      <c r="G4692">
        <v>-424.1354</v>
      </c>
      <c r="H4692" s="1">
        <v>-4.6415229999999999E-6</v>
      </c>
      <c r="I4692">
        <v>98.47054</v>
      </c>
      <c r="J4692">
        <v>-421.38619999999997</v>
      </c>
      <c r="K4692">
        <v>1.1203920000000001</v>
      </c>
      <c r="L4692">
        <v>115.2732</v>
      </c>
      <c r="M4692">
        <v>-0.33653889999999997</v>
      </c>
      <c r="N4692">
        <v>0</v>
      </c>
      <c r="O4692">
        <v>-0.94155029999999995</v>
      </c>
      <c r="P4692">
        <v>-0.25206620000000002</v>
      </c>
      <c r="Q4692">
        <v>0.15909709999999999</v>
      </c>
      <c r="R4692">
        <v>-0.95454229999999995</v>
      </c>
      <c r="S4692">
        <v>-0.50881960000000004</v>
      </c>
      <c r="T4692">
        <v>-0.1989909</v>
      </c>
      <c r="U4692">
        <v>-3.0446620000000002</v>
      </c>
      <c r="V4692">
        <v>-8.835838E-2</v>
      </c>
      <c r="W4692">
        <v>0.17161760000000001</v>
      </c>
      <c r="X4692">
        <v>0.98119319999999999</v>
      </c>
      <c r="Y4692">
        <v>-0.17705279999999901</v>
      </c>
      <c r="Z4692">
        <v>5.8649809999999997E-2</v>
      </c>
      <c r="AA4692">
        <v>0.98245229999999995</v>
      </c>
      <c r="AB4692">
        <v>36</v>
      </c>
      <c r="AC4692">
        <v>-2.7492000000000298</v>
      </c>
      <c r="AD4692">
        <v>-1.120396641523</v>
      </c>
      <c r="AE4692">
        <v>-16.802659999999999</v>
      </c>
      <c r="AF4692">
        <v>-3.0533611748108398</v>
      </c>
      <c r="AG4692">
        <v>-1.120396641523</v>
      </c>
      <c r="AH4692">
        <v>16.675434192908799</v>
      </c>
      <c r="AI4692">
        <v>93.781160656906195</v>
      </c>
      <c r="AJ4692">
        <v>100.37621945819799</v>
      </c>
      <c r="AK4692">
        <v>16.9896559300125</v>
      </c>
      <c r="AL4692">
        <v>80.118116431814997</v>
      </c>
      <c r="AM4692">
        <v>95.145718245204804</v>
      </c>
      <c r="AN4692">
        <v>0.99999994983611096</v>
      </c>
    </row>
    <row r="4693" spans="1:40" x14ac:dyDescent="0.25">
      <c r="A4693" t="str">
        <f>"20190312173024630"</f>
        <v>20190312173024630</v>
      </c>
      <c r="B4693" t="str">
        <f>"1552383024622892"</f>
        <v>1552383024622892</v>
      </c>
      <c r="C4693" t="s">
        <v>40</v>
      </c>
      <c r="D4693">
        <v>3.1885119999999998</v>
      </c>
      <c r="E4693">
        <v>0.46020109999999997</v>
      </c>
      <c r="F4693" t="s">
        <v>41</v>
      </c>
      <c r="G4693">
        <v>-424.02510000000001</v>
      </c>
      <c r="H4693" s="1">
        <v>-4.416691E-6</v>
      </c>
      <c r="I4693">
        <v>97.867360000000005</v>
      </c>
      <c r="J4693">
        <v>-421.49459999999999</v>
      </c>
      <c r="K4693">
        <v>1.120368</v>
      </c>
      <c r="L4693">
        <v>114.9427</v>
      </c>
      <c r="M4693">
        <v>-0.3264821</v>
      </c>
      <c r="N4693">
        <v>0</v>
      </c>
      <c r="O4693">
        <v>-0.94508449999999999</v>
      </c>
      <c r="P4693">
        <v>-0.24277029999999999</v>
      </c>
      <c r="Q4693">
        <v>0.15889929999999999</v>
      </c>
      <c r="R4693">
        <v>-0.95698170000000005</v>
      </c>
      <c r="S4693">
        <v>-0.46292109999999898</v>
      </c>
      <c r="T4693">
        <v>-0.1965432</v>
      </c>
      <c r="U4693">
        <v>-3.053391</v>
      </c>
      <c r="V4693">
        <v>-8.7433689999999994E-2</v>
      </c>
      <c r="W4693">
        <v>0.1714456</v>
      </c>
      <c r="X4693">
        <v>0.98130609999999996</v>
      </c>
      <c r="Y4693">
        <v>-0.18141199999999999</v>
      </c>
      <c r="Z4693">
        <v>5.8139900000000001E-2</v>
      </c>
      <c r="AA4693">
        <v>0.98168699999999998</v>
      </c>
      <c r="AB4693">
        <v>36</v>
      </c>
      <c r="AC4693">
        <v>-2.5305000000000102</v>
      </c>
      <c r="AD4693">
        <v>-1.1203724166910001</v>
      </c>
      <c r="AE4693">
        <v>-17.075340000000001</v>
      </c>
      <c r="AF4693">
        <v>-3.1702592079293699</v>
      </c>
      <c r="AG4693">
        <v>-1.1203724166910001</v>
      </c>
      <c r="AH4693">
        <v>16.8945384376423</v>
      </c>
      <c r="AI4693">
        <v>93.729152103879699</v>
      </c>
      <c r="AJ4693">
        <v>100.627954486939</v>
      </c>
      <c r="AK4693">
        <v>17.225887693193499</v>
      </c>
      <c r="AL4693">
        <v>80.128119597260394</v>
      </c>
      <c r="AM4693">
        <v>95.091568995779994</v>
      </c>
      <c r="AN4693">
        <v>0.999999952901791</v>
      </c>
    </row>
    <row r="4694" spans="1:40" x14ac:dyDescent="0.25">
      <c r="A4694" t="str">
        <f>"20190312173024652"</f>
        <v>20190312173024652</v>
      </c>
      <c r="B4694" t="str">
        <f>"1552383024642409"</f>
        <v>1552383024642409</v>
      </c>
      <c r="C4694" t="s">
        <v>40</v>
      </c>
      <c r="D4694">
        <v>3.1692809999999998</v>
      </c>
      <c r="E4694">
        <v>0.45958070000000001</v>
      </c>
      <c r="F4694" t="s">
        <v>41</v>
      </c>
      <c r="G4694">
        <v>-423.95780000000002</v>
      </c>
      <c r="H4694" s="1">
        <v>-4.2126500000000002E-6</v>
      </c>
      <c r="I4694">
        <v>97.30283</v>
      </c>
      <c r="J4694">
        <v>-421.60109999999997</v>
      </c>
      <c r="K4694">
        <v>1.1203350000000001</v>
      </c>
      <c r="L4694">
        <v>114.6058</v>
      </c>
      <c r="M4694">
        <v>-0.31624140000000001</v>
      </c>
      <c r="N4694">
        <v>0</v>
      </c>
      <c r="O4694">
        <v>-0.94856039999999997</v>
      </c>
      <c r="P4694">
        <v>-0.23335710000000001</v>
      </c>
      <c r="Q4694">
        <v>0.15908659999999999</v>
      </c>
      <c r="R4694">
        <v>-0.95928930000000001</v>
      </c>
      <c r="S4694">
        <v>-0.427124</v>
      </c>
      <c r="T4694">
        <v>-0.19427179999999999</v>
      </c>
      <c r="U4694">
        <v>-3.0587460000000002</v>
      </c>
      <c r="V4694">
        <v>-8.6440230000000007E-2</v>
      </c>
      <c r="W4694">
        <v>0.17166029999999999</v>
      </c>
      <c r="X4694">
        <v>0.98135660000000002</v>
      </c>
      <c r="Y4694">
        <v>-0.18227640000000001</v>
      </c>
      <c r="Z4694">
        <v>5.7735839999999997E-2</v>
      </c>
      <c r="AA4694">
        <v>0.98155079999999995</v>
      </c>
      <c r="AB4694">
        <v>36</v>
      </c>
      <c r="AC4694">
        <v>-2.35670000000004</v>
      </c>
      <c r="AD4694">
        <v>-1.12033921265</v>
      </c>
      <c r="AE4694">
        <v>-17.302969999999998</v>
      </c>
      <c r="AF4694">
        <v>-3.2235385133193999</v>
      </c>
      <c r="AG4694">
        <v>-1.12033921265</v>
      </c>
      <c r="AH4694">
        <v>17.089783478482001</v>
      </c>
      <c r="AI4694">
        <v>93.685906563240593</v>
      </c>
      <c r="AJ4694">
        <v>100.68184030137201</v>
      </c>
      <c r="AK4694">
        <v>17.4271931142009</v>
      </c>
      <c r="AL4694">
        <v>80.115633291147304</v>
      </c>
      <c r="AM4694">
        <v>95.033757595578606</v>
      </c>
      <c r="AN4694">
        <v>0.99999997416105102</v>
      </c>
    </row>
    <row r="4695" spans="1:40" x14ac:dyDescent="0.25">
      <c r="A4695" t="str">
        <f>"20190312173024674"</f>
        <v>20190312173024674</v>
      </c>
      <c r="B4695" t="str">
        <f>"1552383024662904"</f>
        <v>1552383024662904</v>
      </c>
      <c r="C4695" t="s">
        <v>40</v>
      </c>
      <c r="D4695">
        <v>3.1071330000000001</v>
      </c>
      <c r="E4695">
        <v>0.45934789999999998</v>
      </c>
      <c r="F4695" t="s">
        <v>41</v>
      </c>
      <c r="G4695">
        <v>-423.90219999999999</v>
      </c>
      <c r="H4695" s="1">
        <v>-3.9739399999999996E-6</v>
      </c>
      <c r="I4695">
        <v>96.630359999999996</v>
      </c>
      <c r="J4695">
        <v>-421.7038</v>
      </c>
      <c r="K4695">
        <v>1.120304</v>
      </c>
      <c r="L4695">
        <v>114.26860000000001</v>
      </c>
      <c r="M4695">
        <v>-0.30601099999999998</v>
      </c>
      <c r="N4695">
        <v>0</v>
      </c>
      <c r="O4695">
        <v>-0.95191009999999998</v>
      </c>
      <c r="P4695">
        <v>-0.22395789999999999</v>
      </c>
      <c r="Q4695">
        <v>0.15911520000000001</v>
      </c>
      <c r="R4695">
        <v>-0.96152230000000005</v>
      </c>
      <c r="S4695">
        <v>-0.39218140000000001</v>
      </c>
      <c r="T4695">
        <v>-0.19094050000000001</v>
      </c>
      <c r="U4695">
        <v>-3.0635680000000001</v>
      </c>
      <c r="V4695">
        <v>-8.5460869999999994E-2</v>
      </c>
      <c r="W4695">
        <v>0.17171620000000001</v>
      </c>
      <c r="X4695">
        <v>0.98143259999999999</v>
      </c>
      <c r="Y4695">
        <v>-0.18289430000000001</v>
      </c>
      <c r="Z4695">
        <v>5.7005279999999998E-2</v>
      </c>
      <c r="AA4695">
        <v>0.98147850000000003</v>
      </c>
      <c r="AB4695">
        <v>36</v>
      </c>
      <c r="AC4695">
        <v>-2.1983999999999901</v>
      </c>
      <c r="AD4695">
        <v>-1.1203079739399999</v>
      </c>
      <c r="AE4695">
        <v>-17.63824</v>
      </c>
      <c r="AF4695">
        <v>-3.2921091334845598</v>
      </c>
      <c r="AG4695">
        <v>-1.1203079739399999</v>
      </c>
      <c r="AH4695">
        <v>17.395608333502501</v>
      </c>
      <c r="AI4695">
        <v>93.620767234889897</v>
      </c>
      <c r="AJ4695">
        <v>100.716455806268</v>
      </c>
      <c r="AK4695">
        <v>17.7397931722968</v>
      </c>
      <c r="AL4695">
        <v>80.112382250580296</v>
      </c>
      <c r="AM4695">
        <v>94.976630191486805</v>
      </c>
      <c r="AN4695">
        <v>0.99999998099317799</v>
      </c>
    </row>
    <row r="4696" spans="1:40" x14ac:dyDescent="0.25">
      <c r="A4696" t="str">
        <f>"20190312173024697"</f>
        <v>20190312173024697</v>
      </c>
      <c r="B4696" t="str">
        <f>"1552383024692526"</f>
        <v>1552383024692526</v>
      </c>
      <c r="C4696" t="s">
        <v>40</v>
      </c>
      <c r="D4696">
        <v>3.2103660000000001</v>
      </c>
      <c r="E4696">
        <v>0.4594162</v>
      </c>
      <c r="F4696" t="s">
        <v>41</v>
      </c>
      <c r="G4696">
        <v>-423.80689999999998</v>
      </c>
      <c r="H4696" s="1">
        <v>-3.8578889999999999E-6</v>
      </c>
      <c r="I4696">
        <v>96.339039999999997</v>
      </c>
      <c r="J4696">
        <v>-421.80160000000001</v>
      </c>
      <c r="K4696">
        <v>1.1202620000000001</v>
      </c>
      <c r="L4696">
        <v>113.9346</v>
      </c>
      <c r="M4696">
        <v>-0.29589989999999999</v>
      </c>
      <c r="N4696">
        <v>0</v>
      </c>
      <c r="O4696">
        <v>-0.95510170000000005</v>
      </c>
      <c r="P4696">
        <v>-0.2152126</v>
      </c>
      <c r="Q4696">
        <v>0.15859289999999901</v>
      </c>
      <c r="R4696">
        <v>-0.96360380000000001</v>
      </c>
      <c r="S4696">
        <v>-0.3598633</v>
      </c>
      <c r="T4696">
        <v>-0.1916976</v>
      </c>
      <c r="U4696">
        <v>-3.0679630000000002</v>
      </c>
      <c r="V4696">
        <v>-8.3963330000000003E-2</v>
      </c>
      <c r="W4696">
        <v>0.1712361</v>
      </c>
      <c r="X4696">
        <v>0.98164580000000001</v>
      </c>
      <c r="Y4696">
        <v>-0.18283440000000001</v>
      </c>
      <c r="Z4696">
        <v>5.7478309999999998E-2</v>
      </c>
      <c r="AA4696">
        <v>0.9814621</v>
      </c>
      <c r="AB4696">
        <v>36</v>
      </c>
      <c r="AC4696">
        <v>-2.0052999999999699</v>
      </c>
      <c r="AD4696">
        <v>-1.1202658578889999</v>
      </c>
      <c r="AE4696">
        <v>-17.595559999999999</v>
      </c>
      <c r="AF4696">
        <v>-3.2785084587073201</v>
      </c>
      <c r="AG4696">
        <v>-1.1202658578889999</v>
      </c>
      <c r="AH4696">
        <v>17.331512825501299</v>
      </c>
      <c r="AI4696">
        <v>93.634041683825501</v>
      </c>
      <c r="AJ4696">
        <v>100.71176210247</v>
      </c>
      <c r="AK4696">
        <v>17.674415128277499</v>
      </c>
      <c r="AL4696">
        <v>80.140304301093195</v>
      </c>
      <c r="AM4696">
        <v>94.888793879166897</v>
      </c>
      <c r="AN4696">
        <v>1.0000000596927601</v>
      </c>
    </row>
    <row r="4697" spans="1:40" x14ac:dyDescent="0.25">
      <c r="A4697" t="str">
        <f>"20190312173024718"</f>
        <v>20190312173024718</v>
      </c>
      <c r="B4697" t="str">
        <f>"1552383024713004"</f>
        <v>1552383024713004</v>
      </c>
      <c r="C4697" t="s">
        <v>40</v>
      </c>
      <c r="D4697">
        <v>3.231385</v>
      </c>
      <c r="E4697">
        <v>0.4596285</v>
      </c>
      <c r="F4697" t="s">
        <v>41</v>
      </c>
      <c r="G4697">
        <v>-423.73039999999997</v>
      </c>
      <c r="H4697" s="1">
        <v>-3.7642060000000001E-6</v>
      </c>
      <c r="I4697">
        <v>96.103610000000003</v>
      </c>
      <c r="J4697">
        <v>-421.89769999999999</v>
      </c>
      <c r="K4697">
        <v>1.120214</v>
      </c>
      <c r="L4697">
        <v>113.59310000000001</v>
      </c>
      <c r="M4697">
        <v>-0.28559230000000002</v>
      </c>
      <c r="N4697">
        <v>0</v>
      </c>
      <c r="O4697">
        <v>-0.95823440000000004</v>
      </c>
      <c r="P4697">
        <v>-0.20632600000000001</v>
      </c>
      <c r="Q4697">
        <v>0.1582114</v>
      </c>
      <c r="R4697">
        <v>-0.96560820000000003</v>
      </c>
      <c r="S4697">
        <v>-0.33218379999999997</v>
      </c>
      <c r="T4697">
        <v>-0.1929331</v>
      </c>
      <c r="U4697">
        <v>-3.0708769999999999</v>
      </c>
      <c r="V4697">
        <v>-8.2415479999999999E-2</v>
      </c>
      <c r="W4697">
        <v>0.17089779999999999</v>
      </c>
      <c r="X4697">
        <v>0.98183580000000004</v>
      </c>
      <c r="Y4697">
        <v>-0.1810879</v>
      </c>
      <c r="Z4697">
        <v>5.8121440000000003E-2</v>
      </c>
      <c r="AA4697">
        <v>0.98174799999999995</v>
      </c>
      <c r="AB4697">
        <v>36</v>
      </c>
      <c r="AC4697">
        <v>-1.83269999999998</v>
      </c>
      <c r="AD4697">
        <v>-1.1202177642060001</v>
      </c>
      <c r="AE4697">
        <v>-17.48949</v>
      </c>
      <c r="AF4697">
        <v>-3.2259791854483901</v>
      </c>
      <c r="AG4697">
        <v>-1.1202177642060001</v>
      </c>
      <c r="AH4697">
        <v>17.2145150085931</v>
      </c>
      <c r="AI4697">
        <v>93.659688504504999</v>
      </c>
      <c r="AJ4697">
        <v>100.61405289778</v>
      </c>
      <c r="AK4697">
        <v>17.549967422342</v>
      </c>
      <c r="AL4697">
        <v>80.159976403589397</v>
      </c>
      <c r="AM4697">
        <v>94.798170274181402</v>
      </c>
      <c r="AN4697">
        <v>0.99999995377505402</v>
      </c>
    </row>
    <row r="4698" spans="1:40" x14ac:dyDescent="0.25">
      <c r="A4698" t="str">
        <f>"20190312173024742"</f>
        <v>20190312173024742</v>
      </c>
      <c r="B4698" t="str">
        <f>"1552383024732524"</f>
        <v>1552383024732524</v>
      </c>
      <c r="C4698" t="s">
        <v>40</v>
      </c>
      <c r="D4698">
        <v>3.2455729999999998</v>
      </c>
      <c r="E4698">
        <v>0.45998070000000002</v>
      </c>
      <c r="F4698" t="s">
        <v>41</v>
      </c>
      <c r="G4698">
        <v>-423.67860000000002</v>
      </c>
      <c r="H4698" s="1">
        <v>-3.5969440000000002E-6</v>
      </c>
      <c r="I4698">
        <v>95.692080000000004</v>
      </c>
      <c r="J4698">
        <v>-421.99160000000001</v>
      </c>
      <c r="K4698">
        <v>1.1201669999999999</v>
      </c>
      <c r="L4698">
        <v>113.2457</v>
      </c>
      <c r="M4698">
        <v>-0.27514460000000002</v>
      </c>
      <c r="N4698">
        <v>0</v>
      </c>
      <c r="O4698">
        <v>-0.96128650000000004</v>
      </c>
      <c r="P4698">
        <v>-0.1978356</v>
      </c>
      <c r="Q4698">
        <v>0.15771969999999999</v>
      </c>
      <c r="R4698">
        <v>-0.96746339999999997</v>
      </c>
      <c r="S4698">
        <v>-0.30572510000000003</v>
      </c>
      <c r="T4698">
        <v>-0.1923058</v>
      </c>
      <c r="U4698">
        <v>-3.0730439999999999</v>
      </c>
      <c r="V4698">
        <v>-8.0335729999999994E-2</v>
      </c>
      <c r="W4698">
        <v>0.1704628</v>
      </c>
      <c r="X4698">
        <v>0.98208379999999995</v>
      </c>
      <c r="Y4698">
        <v>-0.17881830000000001</v>
      </c>
      <c r="Z4698">
        <v>5.8212590000000002E-2</v>
      </c>
      <c r="AA4698">
        <v>0.98215850000000005</v>
      </c>
      <c r="AB4698">
        <v>36</v>
      </c>
      <c r="AC4698">
        <v>-1.68700000000001</v>
      </c>
      <c r="AD4698">
        <v>-1.1201705969439999</v>
      </c>
      <c r="AE4698">
        <v>-17.553619999999899</v>
      </c>
      <c r="AF4698">
        <v>-3.1955583008373698</v>
      </c>
      <c r="AG4698">
        <v>-1.1201705969439999</v>
      </c>
      <c r="AH4698">
        <v>17.270480442038</v>
      </c>
      <c r="AI4698">
        <v>93.649259248635602</v>
      </c>
      <c r="AJ4698">
        <v>100.48288431189199</v>
      </c>
      <c r="AK4698">
        <v>17.599314467306002</v>
      </c>
      <c r="AL4698">
        <v>80.185271622156705</v>
      </c>
      <c r="AM4698">
        <v>94.676456942833894</v>
      </c>
      <c r="AN4698">
        <v>0.99999999296045605</v>
      </c>
    </row>
    <row r="4699" spans="1:40" x14ac:dyDescent="0.25">
      <c r="A4699" t="str">
        <f>"20190312173024776"</f>
        <v>20190312173024776</v>
      </c>
      <c r="B4699" t="str">
        <f>"1552383024772540"</f>
        <v>1552383024772540</v>
      </c>
      <c r="C4699" t="s">
        <v>40</v>
      </c>
      <c r="D4699">
        <v>3.2824990000000001</v>
      </c>
      <c r="E4699">
        <v>0.46098499999999998</v>
      </c>
      <c r="F4699" t="s">
        <v>41</v>
      </c>
      <c r="G4699">
        <v>-423.6361</v>
      </c>
      <c r="H4699" s="1">
        <v>-3.396031E-6</v>
      </c>
      <c r="I4699">
        <v>95.250110000000006</v>
      </c>
      <c r="J4699">
        <v>-422.12060000000002</v>
      </c>
      <c r="K4699">
        <v>1.1200779999999999</v>
      </c>
      <c r="L4699">
        <v>112.7396</v>
      </c>
      <c r="M4699">
        <v>-0.2600285</v>
      </c>
      <c r="N4699">
        <v>0</v>
      </c>
      <c r="O4699">
        <v>-0.96548529999999999</v>
      </c>
      <c r="P4699">
        <v>-0.1850319</v>
      </c>
      <c r="Q4699">
        <v>0.15700610000000001</v>
      </c>
      <c r="R4699">
        <v>-0.97010940000000001</v>
      </c>
      <c r="S4699">
        <v>-0.28097529999999998</v>
      </c>
      <c r="T4699">
        <v>-0.19138530000000001</v>
      </c>
      <c r="U4699">
        <v>-3.0746150000000001</v>
      </c>
      <c r="V4699">
        <v>-7.7875910000000007E-2</v>
      </c>
      <c r="W4699">
        <v>0.16981669999999999</v>
      </c>
      <c r="X4699">
        <v>0.98239390000000004</v>
      </c>
      <c r="Y4699">
        <v>-0.1712602</v>
      </c>
      <c r="Z4699">
        <v>5.8355700000000003E-2</v>
      </c>
      <c r="AA4699">
        <v>0.98349609999999998</v>
      </c>
      <c r="AB4699">
        <v>36</v>
      </c>
      <c r="AC4699">
        <v>-1.5154999999999701</v>
      </c>
      <c r="AD4699">
        <v>-1.1200813960310001</v>
      </c>
      <c r="AE4699">
        <v>-17.48949</v>
      </c>
      <c r="AF4699">
        <v>-3.0724097145960498</v>
      </c>
      <c r="AG4699">
        <v>-1.1200813960310001</v>
      </c>
      <c r="AH4699">
        <v>17.2117800904151</v>
      </c>
      <c r="AI4699">
        <v>93.665574188298706</v>
      </c>
      <c r="AJ4699">
        <v>100.12105060869899</v>
      </c>
      <c r="AK4699">
        <v>17.519693423941199</v>
      </c>
      <c r="AL4699">
        <v>80.222838927319202</v>
      </c>
      <c r="AM4699">
        <v>94.532448497375796</v>
      </c>
      <c r="AN4699">
        <v>1.00000007185721</v>
      </c>
    </row>
    <row r="4700" spans="1:40" x14ac:dyDescent="0.25">
      <c r="A4700" t="str">
        <f>"20190312173024797"</f>
        <v>20190312173024797</v>
      </c>
      <c r="B4700" t="str">
        <f>"1552383024792060"</f>
        <v>1552383024792060</v>
      </c>
      <c r="C4700" t="s">
        <v>40</v>
      </c>
      <c r="D4700">
        <v>3.2698649999999998</v>
      </c>
      <c r="E4700">
        <v>0.4615746</v>
      </c>
      <c r="F4700" t="s">
        <v>41</v>
      </c>
      <c r="G4700">
        <v>-423.58510000000001</v>
      </c>
      <c r="H4700" s="1">
        <v>-3.1075490000000002E-6</v>
      </c>
      <c r="I4700">
        <v>94.60933</v>
      </c>
      <c r="J4700">
        <v>-422.20269999999999</v>
      </c>
      <c r="K4700">
        <v>1.1200159999999999</v>
      </c>
      <c r="L4700">
        <v>112.4004</v>
      </c>
      <c r="M4700">
        <v>-0.2499564</v>
      </c>
      <c r="N4700">
        <v>0</v>
      </c>
      <c r="O4700">
        <v>-0.96814230000000001</v>
      </c>
      <c r="P4700">
        <v>-0.17651459999999999</v>
      </c>
      <c r="Q4700">
        <v>0.15627849999999999</v>
      </c>
      <c r="R4700">
        <v>-0.97181269999999997</v>
      </c>
      <c r="S4700">
        <v>-0.24844359999999999</v>
      </c>
      <c r="T4700">
        <v>-0.19002079999999999</v>
      </c>
      <c r="U4700">
        <v>-3.07579</v>
      </c>
      <c r="V4700">
        <v>-7.6240180000000005E-2</v>
      </c>
      <c r="W4700">
        <v>0.1691339</v>
      </c>
      <c r="X4700">
        <v>0.98263990000000001</v>
      </c>
      <c r="Y4700">
        <v>-0.17135449999999999</v>
      </c>
      <c r="Z4700">
        <v>5.8187219999999998E-2</v>
      </c>
      <c r="AA4700">
        <v>0.98348959999999996</v>
      </c>
      <c r="AB4700">
        <v>36</v>
      </c>
      <c r="AC4700">
        <v>-1.3824000000000101</v>
      </c>
      <c r="AD4700">
        <v>-1.12001910754899</v>
      </c>
      <c r="AE4700">
        <v>-17.791070000000001</v>
      </c>
      <c r="AF4700">
        <v>-3.0967779370956601</v>
      </c>
      <c r="AG4700">
        <v>-1.12001910754899</v>
      </c>
      <c r="AH4700">
        <v>17.5028292044599</v>
      </c>
      <c r="AI4700">
        <v>93.605558908160006</v>
      </c>
      <c r="AJ4700">
        <v>100.03351268744299</v>
      </c>
      <c r="AK4700">
        <v>17.8099271911328</v>
      </c>
      <c r="AL4700">
        <v>80.262534068904998</v>
      </c>
      <c r="AM4700">
        <v>94.436525339785703</v>
      </c>
      <c r="AN4700">
        <v>1.00000000712382</v>
      </c>
    </row>
    <row r="4701" spans="1:40" x14ac:dyDescent="0.25">
      <c r="A4701" t="str">
        <f>"20190312173024820"</f>
        <v>20190312173024820</v>
      </c>
      <c r="B4701" t="str">
        <f>"1552383024812559"</f>
        <v>1552383024812559</v>
      </c>
      <c r="C4701" t="s">
        <v>40</v>
      </c>
      <c r="D4701">
        <v>3.2051370000000001</v>
      </c>
      <c r="E4701">
        <v>0.47432029999999997</v>
      </c>
      <c r="F4701" t="s">
        <v>41</v>
      </c>
      <c r="G4701">
        <v>-423.52960000000002</v>
      </c>
      <c r="H4701" s="1">
        <v>-2.9843069999999999E-6</v>
      </c>
      <c r="I4701">
        <v>94.356430000000003</v>
      </c>
      <c r="J4701">
        <v>-422.28030000000001</v>
      </c>
      <c r="K4701">
        <v>1.1199490000000001</v>
      </c>
      <c r="L4701">
        <v>112.0642</v>
      </c>
      <c r="M4701">
        <v>-0.2400369</v>
      </c>
      <c r="N4701">
        <v>0</v>
      </c>
      <c r="O4701">
        <v>-0.97064919999999999</v>
      </c>
      <c r="P4701">
        <v>-0.16830580000000001</v>
      </c>
      <c r="Q4701">
        <v>0.15576760000000001</v>
      </c>
      <c r="R4701">
        <v>-0.97335000000000005</v>
      </c>
      <c r="S4701">
        <v>-0.22625729999999999</v>
      </c>
      <c r="T4701">
        <v>-0.1909728</v>
      </c>
      <c r="U4701">
        <v>-3.0766450000000001</v>
      </c>
      <c r="V4701">
        <v>-7.4452879999999999E-2</v>
      </c>
      <c r="W4701">
        <v>0.16867089999999901</v>
      </c>
      <c r="X4701">
        <v>0.98285650000000002</v>
      </c>
      <c r="Y4701">
        <v>-0.16834669999999999</v>
      </c>
      <c r="Z4701">
        <v>5.8724199999999997E-2</v>
      </c>
      <c r="AA4701">
        <v>0.98397710000000005</v>
      </c>
      <c r="AB4701">
        <v>36</v>
      </c>
      <c r="AC4701">
        <v>-1.2493000000000001</v>
      </c>
      <c r="AD4701">
        <v>-1.119951984307</v>
      </c>
      <c r="AE4701">
        <v>-17.707769999999901</v>
      </c>
      <c r="AF4701">
        <v>-3.02617899557425</v>
      </c>
      <c r="AG4701">
        <v>-1.119951984307</v>
      </c>
      <c r="AH4701">
        <v>17.420517297360401</v>
      </c>
      <c r="AI4701">
        <v>93.624310523933701</v>
      </c>
      <c r="AJ4701">
        <v>99.854709103140294</v>
      </c>
      <c r="AK4701">
        <v>17.716841554522102</v>
      </c>
      <c r="AL4701">
        <v>80.289448650348007</v>
      </c>
      <c r="AM4701">
        <v>94.331969352036296</v>
      </c>
      <c r="AN4701">
        <v>1.00000000171967</v>
      </c>
    </row>
    <row r="4702" spans="1:40" x14ac:dyDescent="0.25">
      <c r="A4702" t="str">
        <f>"20190312173024842"</f>
        <v>20190312173024842</v>
      </c>
      <c r="B4702" t="str">
        <f>"1552383024832076"</f>
        <v>1552383024832076</v>
      </c>
      <c r="C4702" t="s">
        <v>40</v>
      </c>
      <c r="D4702">
        <v>3.2456369999999999</v>
      </c>
      <c r="E4702">
        <v>0.47542790000000001</v>
      </c>
      <c r="F4702" t="s">
        <v>41</v>
      </c>
      <c r="G4702">
        <v>-424.06619999999998</v>
      </c>
      <c r="H4702" s="1">
        <v>-2.930317E-6</v>
      </c>
      <c r="I4702">
        <v>93.897800000000004</v>
      </c>
      <c r="J4702">
        <v>-422.35849999999999</v>
      </c>
      <c r="K4702">
        <v>1.1198650000000001</v>
      </c>
      <c r="L4702">
        <v>111.71</v>
      </c>
      <c r="M4702">
        <v>-0.2296686</v>
      </c>
      <c r="N4702">
        <v>0</v>
      </c>
      <c r="O4702">
        <v>-0.97315469999999904</v>
      </c>
      <c r="P4702">
        <v>-0.1594082</v>
      </c>
      <c r="Q4702">
        <v>0.15521470000000001</v>
      </c>
      <c r="R4702">
        <v>-0.97493479999999999</v>
      </c>
      <c r="S4702">
        <v>-0.30084229999999901</v>
      </c>
      <c r="T4702">
        <v>-0.1886678</v>
      </c>
      <c r="U4702">
        <v>-3.0603180000000001</v>
      </c>
      <c r="V4702">
        <v>-7.2914530000000005E-2</v>
      </c>
      <c r="W4702">
        <v>0.16815949999999999</v>
      </c>
      <c r="X4702">
        <v>0.98305940000000003</v>
      </c>
      <c r="Y4702">
        <v>-0.13354649999999901</v>
      </c>
      <c r="Z4702">
        <v>5.8660129999999998E-2</v>
      </c>
      <c r="AA4702">
        <v>0.98930499999999999</v>
      </c>
      <c r="AB4702">
        <v>35</v>
      </c>
      <c r="AC4702">
        <v>-1.70769999999998</v>
      </c>
      <c r="AD4702">
        <v>-1.1198679303169901</v>
      </c>
      <c r="AE4702">
        <v>-17.812199999999901</v>
      </c>
      <c r="AF4702">
        <v>-2.4198388627169698</v>
      </c>
      <c r="AG4702">
        <v>-1.1198679303169901</v>
      </c>
      <c r="AH4702">
        <v>17.659035621168002</v>
      </c>
      <c r="AI4702">
        <v>93.595110910407797</v>
      </c>
      <c r="AJ4702">
        <v>97.802713052436403</v>
      </c>
      <c r="AK4702">
        <v>17.859206683740101</v>
      </c>
      <c r="AL4702">
        <v>80.319173950633697</v>
      </c>
      <c r="AM4702">
        <v>94.241919711737296</v>
      </c>
      <c r="AN4702">
        <v>0.99999996502686395</v>
      </c>
    </row>
    <row r="4703" spans="1:40" x14ac:dyDescent="0.25">
      <c r="A4703" t="str">
        <f>"20190312173024865"</f>
        <v>20190312173024865</v>
      </c>
      <c r="B4703" t="str">
        <f>"1552383024862332"</f>
        <v>1552383024862332</v>
      </c>
      <c r="C4703" t="s">
        <v>40</v>
      </c>
      <c r="D4703">
        <v>3.252176</v>
      </c>
      <c r="E4703">
        <v>0.47730089999999997</v>
      </c>
      <c r="F4703" t="s">
        <v>41</v>
      </c>
      <c r="G4703">
        <v>-423.94049999999999</v>
      </c>
      <c r="H4703" s="1">
        <v>-3.157046E-6</v>
      </c>
      <c r="I4703">
        <v>94.504249999999999</v>
      </c>
      <c r="J4703">
        <v>-422.42739999999998</v>
      </c>
      <c r="K4703">
        <v>1.119766</v>
      </c>
      <c r="L4703">
        <v>111.38030000000001</v>
      </c>
      <c r="M4703">
        <v>-0.22012319999999999</v>
      </c>
      <c r="N4703">
        <v>0</v>
      </c>
      <c r="O4703">
        <v>-0.97535870000000002</v>
      </c>
      <c r="P4703">
        <v>-0.15169089999999999</v>
      </c>
      <c r="Q4703">
        <v>0.1554787</v>
      </c>
      <c r="R4703">
        <v>-0.97612339999999997</v>
      </c>
      <c r="S4703">
        <v>-0.28161619999999998</v>
      </c>
      <c r="T4703">
        <v>-0.19934869999999999</v>
      </c>
      <c r="U4703">
        <v>-3.062805</v>
      </c>
      <c r="V4703">
        <v>-7.1013969999999996E-2</v>
      </c>
      <c r="W4703">
        <v>0.1684716</v>
      </c>
      <c r="X4703">
        <v>0.98314509999999999</v>
      </c>
      <c r="Y4703">
        <v>-0.1300877</v>
      </c>
      <c r="Z4703">
        <v>6.2163280000000001E-2</v>
      </c>
      <c r="AA4703">
        <v>0.98955190000000004</v>
      </c>
      <c r="AB4703">
        <v>35</v>
      </c>
      <c r="AC4703">
        <v>-1.5130999999999999</v>
      </c>
      <c r="AD4703">
        <v>-1.119769157046</v>
      </c>
      <c r="AE4703">
        <v>-16.876049999999999</v>
      </c>
      <c r="AF4703">
        <v>-2.22950505522607</v>
      </c>
      <c r="AG4703">
        <v>-1.119769157046</v>
      </c>
      <c r="AH4703">
        <v>16.722093485434399</v>
      </c>
      <c r="AI4703">
        <v>93.797499988600507</v>
      </c>
      <c r="AJ4703">
        <v>97.594281773875394</v>
      </c>
      <c r="AK4703">
        <v>16.9071874151781</v>
      </c>
      <c r="AL4703">
        <v>80.301033230461499</v>
      </c>
      <c r="AM4703">
        <v>94.131380687068599</v>
      </c>
      <c r="AN4703">
        <v>0.99999997579786504</v>
      </c>
    </row>
    <row r="4704" spans="1:40" x14ac:dyDescent="0.25">
      <c r="A4704" t="str">
        <f>"20190312173024887"</f>
        <v>20190312173024887</v>
      </c>
      <c r="B4704" t="str">
        <f>"1552383024882358"</f>
        <v>1552383024882358</v>
      </c>
      <c r="C4704" t="s">
        <v>40</v>
      </c>
      <c r="D4704">
        <v>3.2526229999999998</v>
      </c>
      <c r="E4704">
        <v>0.47844150000000002</v>
      </c>
      <c r="F4704" t="s">
        <v>41</v>
      </c>
      <c r="G4704">
        <v>-423.93680000000001</v>
      </c>
      <c r="H4704" s="1">
        <v>-3.1087080000000002E-6</v>
      </c>
      <c r="I4704">
        <v>94.393900000000002</v>
      </c>
      <c r="J4704">
        <v>-422.49549999999999</v>
      </c>
      <c r="K4704">
        <v>1.119659</v>
      </c>
      <c r="L4704">
        <v>111.0376</v>
      </c>
      <c r="M4704">
        <v>-0.21031459999999999</v>
      </c>
      <c r="N4704">
        <v>0</v>
      </c>
      <c r="O4704">
        <v>-0.97752070000000002</v>
      </c>
      <c r="P4704">
        <v>-0.143839299999999</v>
      </c>
      <c r="Q4704">
        <v>0.1555029</v>
      </c>
      <c r="R4704">
        <v>-0.97730709999999998</v>
      </c>
      <c r="S4704">
        <v>-0.27218629999999999</v>
      </c>
      <c r="T4704">
        <v>-0.2019348</v>
      </c>
      <c r="U4704">
        <v>-3.0632630000000001</v>
      </c>
      <c r="V4704">
        <v>-6.8990029999999994E-2</v>
      </c>
      <c r="W4704">
        <v>0.1685468</v>
      </c>
      <c r="X4704">
        <v>0.98327629999999999</v>
      </c>
      <c r="Y4704">
        <v>-0.12316530000000001</v>
      </c>
      <c r="Z4704">
        <v>6.3206100000000001E-2</v>
      </c>
      <c r="AA4704">
        <v>0.99037129999999995</v>
      </c>
      <c r="AB4704">
        <v>35</v>
      </c>
      <c r="AC4704">
        <v>-1.44130000000001</v>
      </c>
      <c r="AD4704">
        <v>-1.1196621087080001</v>
      </c>
      <c r="AE4704">
        <v>-16.6436999999999</v>
      </c>
      <c r="AF4704">
        <v>-2.0823898506484402</v>
      </c>
      <c r="AG4704">
        <v>-1.1196621087080001</v>
      </c>
      <c r="AH4704">
        <v>16.500401646600601</v>
      </c>
      <c r="AI4704">
        <v>93.851491998288395</v>
      </c>
      <c r="AJ4704">
        <v>97.192837344378006</v>
      </c>
      <c r="AK4704">
        <v>16.668930536387201</v>
      </c>
      <c r="AL4704">
        <v>80.296661975695599</v>
      </c>
      <c r="AM4704">
        <v>94.013490569729399</v>
      </c>
      <c r="AN4704">
        <v>0.99999996508566402</v>
      </c>
    </row>
    <row r="4705" spans="1:40" x14ac:dyDescent="0.25">
      <c r="A4705" t="str">
        <f>"20190312173024909"</f>
        <v>20190312173024909</v>
      </c>
      <c r="B4705" t="str">
        <f>"1552383024902857"</f>
        <v>1552383024902857</v>
      </c>
      <c r="C4705" t="s">
        <v>40</v>
      </c>
      <c r="D4705">
        <v>3.3016000000000001</v>
      </c>
      <c r="E4705">
        <v>0.48519210000000002</v>
      </c>
      <c r="F4705" t="s">
        <v>41</v>
      </c>
      <c r="G4705">
        <v>-423.9119</v>
      </c>
      <c r="H4705" s="1">
        <v>-2.9749230000000001E-6</v>
      </c>
      <c r="I4705">
        <v>94.097459999999998</v>
      </c>
      <c r="J4705">
        <v>-422.5607</v>
      </c>
      <c r="K4705">
        <v>1.119551</v>
      </c>
      <c r="L4705">
        <v>110.6926</v>
      </c>
      <c r="M4705">
        <v>-0.20055249999999999</v>
      </c>
      <c r="N4705">
        <v>0</v>
      </c>
      <c r="O4705">
        <v>-0.97957039999999995</v>
      </c>
      <c r="P4705">
        <v>-0.1356079</v>
      </c>
      <c r="Q4705">
        <v>0.15514720000000001</v>
      </c>
      <c r="R4705">
        <v>-0.97853979999999996</v>
      </c>
      <c r="S4705">
        <v>-0.25619510000000001</v>
      </c>
      <c r="T4705">
        <v>-0.20252800000000001</v>
      </c>
      <c r="U4705">
        <v>-3.0641780000000001</v>
      </c>
      <c r="V4705">
        <v>-6.7408880000000004E-2</v>
      </c>
      <c r="W4705">
        <v>0.16823099999999999</v>
      </c>
      <c r="X4705">
        <v>0.98344010000000004</v>
      </c>
      <c r="Y4705">
        <v>-0.1184221</v>
      </c>
      <c r="Z4705">
        <v>6.3606239999999994E-2</v>
      </c>
      <c r="AA4705">
        <v>0.99092409999999997</v>
      </c>
      <c r="AB4705">
        <v>35</v>
      </c>
      <c r="AC4705">
        <v>-1.3512</v>
      </c>
      <c r="AD4705">
        <v>-1.1195539749229999</v>
      </c>
      <c r="AE4705">
        <v>-16.595140000000001</v>
      </c>
      <c r="AF4705">
        <v>-1.99579885328774</v>
      </c>
      <c r="AG4705">
        <v>-1.1195539749229999</v>
      </c>
      <c r="AH4705">
        <v>16.4545220745844</v>
      </c>
      <c r="AI4705">
        <v>93.864131639845795</v>
      </c>
      <c r="AJ4705">
        <v>96.915727098402797</v>
      </c>
      <c r="AK4705">
        <v>16.6128838817508</v>
      </c>
      <c r="AL4705">
        <v>80.315018716155606</v>
      </c>
      <c r="AM4705">
        <v>93.921146485089196</v>
      </c>
      <c r="AN4705">
        <v>1.0000000283759301</v>
      </c>
    </row>
    <row r="4706" spans="1:40" x14ac:dyDescent="0.25">
      <c r="A4706" t="str">
        <f>"20190312173024932"</f>
        <v>20190312173024932</v>
      </c>
      <c r="B4706" t="str">
        <f>"1552383024922374"</f>
        <v>1552383024922374</v>
      </c>
      <c r="C4706" t="s">
        <v>40</v>
      </c>
      <c r="D4706">
        <v>3.2737780000000001</v>
      </c>
      <c r="E4706">
        <v>0.48543439999999999</v>
      </c>
      <c r="F4706" t="s">
        <v>41</v>
      </c>
      <c r="G4706">
        <v>-424.10329999999999</v>
      </c>
      <c r="H4706" s="1">
        <v>-3.01675E-6</v>
      </c>
      <c r="I4706">
        <v>94.076260000000005</v>
      </c>
      <c r="J4706">
        <v>-422.62299999999999</v>
      </c>
      <c r="K4706">
        <v>1.1194309999999901</v>
      </c>
      <c r="L4706">
        <v>110.3439</v>
      </c>
      <c r="M4706">
        <v>-0.19081339999999999</v>
      </c>
      <c r="N4706">
        <v>0</v>
      </c>
      <c r="O4706">
        <v>-0.98151429999999995</v>
      </c>
      <c r="P4706">
        <v>-0.12763830000000001</v>
      </c>
      <c r="Q4706">
        <v>0.15430959999999999</v>
      </c>
      <c r="R4706">
        <v>-0.97974349999999999</v>
      </c>
      <c r="S4706">
        <v>-0.28399659999999999</v>
      </c>
      <c r="T4706">
        <v>-0.20611270000000001</v>
      </c>
      <c r="U4706">
        <v>-3.059113</v>
      </c>
      <c r="V4706">
        <v>-6.5595920000000002E-2</v>
      </c>
      <c r="W4706">
        <v>0.1674389</v>
      </c>
      <c r="X4706">
        <v>0.98369779999999996</v>
      </c>
      <c r="Y4706">
        <v>-9.9475889999999997E-2</v>
      </c>
      <c r="Z4706">
        <v>6.5072599999999994E-2</v>
      </c>
      <c r="AA4706">
        <v>0.99290990000000001</v>
      </c>
      <c r="AB4706">
        <v>35</v>
      </c>
      <c r="AC4706">
        <v>-1.48029999999994</v>
      </c>
      <c r="AD4706">
        <v>-1.1194340167500001</v>
      </c>
      <c r="AE4706">
        <v>-16.26764</v>
      </c>
      <c r="AF4706">
        <v>-1.6436105952283799</v>
      </c>
      <c r="AG4706">
        <v>-1.1194340167500001</v>
      </c>
      <c r="AH4706">
        <v>16.175203993090001</v>
      </c>
      <c r="AI4706">
        <v>93.938727204282102</v>
      </c>
      <c r="AJ4706">
        <v>95.802080079630798</v>
      </c>
      <c r="AK4706">
        <v>16.296987835936999</v>
      </c>
      <c r="AL4706">
        <v>80.361055319248095</v>
      </c>
      <c r="AM4706">
        <v>93.815006500455993</v>
      </c>
      <c r="AN4706">
        <v>0.99999998583934802</v>
      </c>
    </row>
    <row r="4707" spans="1:40" x14ac:dyDescent="0.25">
      <c r="A4707" t="str">
        <f>"20190312173024953"</f>
        <v>20190312173024953</v>
      </c>
      <c r="B4707" t="str">
        <f>"1552383024942870"</f>
        <v>1552383024942870</v>
      </c>
      <c r="C4707" t="s">
        <v>40</v>
      </c>
      <c r="D4707">
        <v>3.2848830000000002</v>
      </c>
      <c r="E4707">
        <v>0.46976849999999998</v>
      </c>
      <c r="F4707" t="s">
        <v>41</v>
      </c>
      <c r="G4707">
        <v>-424.00409999999999</v>
      </c>
      <c r="H4707" s="1">
        <v>-3.0291860000000002E-6</v>
      </c>
      <c r="I4707">
        <v>94.166780000000003</v>
      </c>
      <c r="J4707">
        <v>-422.67939999999999</v>
      </c>
      <c r="K4707">
        <v>1.1192979999999999</v>
      </c>
      <c r="L4707">
        <v>110.0106</v>
      </c>
      <c r="M4707">
        <v>-0.1816527</v>
      </c>
      <c r="N4707">
        <v>0</v>
      </c>
      <c r="O4707">
        <v>-0.98325119999999999</v>
      </c>
      <c r="P4707">
        <v>-0.11981020000000001</v>
      </c>
      <c r="Q4707">
        <v>0.15386469999999999</v>
      </c>
      <c r="R4707">
        <v>-0.9808017</v>
      </c>
      <c r="S4707">
        <v>-0.26135249999999999</v>
      </c>
      <c r="T4707">
        <v>-0.21183840000000001</v>
      </c>
      <c r="U4707">
        <v>-3.0613100000000002</v>
      </c>
      <c r="V4707">
        <v>-6.4223210000000003E-2</v>
      </c>
      <c r="W4707">
        <v>0.16702899999999901</v>
      </c>
      <c r="X4707">
        <v>0.98385800000000001</v>
      </c>
      <c r="Y4707">
        <v>-9.7559889999999996E-2</v>
      </c>
      <c r="Z4707">
        <v>6.7030779999999998E-2</v>
      </c>
      <c r="AA4707">
        <v>0.99296980000000001</v>
      </c>
      <c r="AB4707">
        <v>35</v>
      </c>
      <c r="AC4707">
        <v>-1.3247</v>
      </c>
      <c r="AD4707">
        <v>-1.1193010291859999</v>
      </c>
      <c r="AE4707">
        <v>-15.8438199999999</v>
      </c>
      <c r="AF4707">
        <v>-1.56796153707073</v>
      </c>
      <c r="AG4707">
        <v>-1.1193010291859999</v>
      </c>
      <c r="AH4707">
        <v>15.742801366404899</v>
      </c>
      <c r="AI4707">
        <v>94.046886381902098</v>
      </c>
      <c r="AJ4707">
        <v>95.687823437306605</v>
      </c>
      <c r="AK4707">
        <v>15.860237483649099</v>
      </c>
      <c r="AL4707">
        <v>80.384875840105295</v>
      </c>
      <c r="AM4707">
        <v>93.734792706133206</v>
      </c>
      <c r="AN4707">
        <v>0.99999993585384905</v>
      </c>
    </row>
    <row r="4708" spans="1:40" x14ac:dyDescent="0.25">
      <c r="A4708" t="str">
        <f>"20190312173024977"</f>
        <v>20190312173024977</v>
      </c>
      <c r="B4708" t="str">
        <f>"1552383024972501"</f>
        <v>1552383024972501</v>
      </c>
      <c r="C4708" t="s">
        <v>40</v>
      </c>
      <c r="D4708">
        <v>3.2519809999999998</v>
      </c>
      <c r="E4708">
        <v>0.46714109999999998</v>
      </c>
      <c r="F4708" t="s">
        <v>41</v>
      </c>
      <c r="G4708">
        <v>-423.34070000000003</v>
      </c>
      <c r="H4708" s="1">
        <v>-1.9487699999999999E-6</v>
      </c>
      <c r="I4708">
        <v>92.059749999999994</v>
      </c>
      <c r="J4708">
        <v>-422.73649999999998</v>
      </c>
      <c r="K4708">
        <v>1.119138</v>
      </c>
      <c r="L4708">
        <v>109.6528</v>
      </c>
      <c r="M4708">
        <v>-0.1720102</v>
      </c>
      <c r="N4708">
        <v>0</v>
      </c>
      <c r="O4708">
        <v>-0.98498430000000003</v>
      </c>
      <c r="P4708">
        <v>-0.1118002</v>
      </c>
      <c r="Q4708">
        <v>0.15268180000000001</v>
      </c>
      <c r="R4708">
        <v>-0.98193169999999996</v>
      </c>
      <c r="S4708">
        <v>-0.1132813</v>
      </c>
      <c r="T4708">
        <v>-0.19173509999999999</v>
      </c>
      <c r="U4708">
        <v>-3.0749659999999999</v>
      </c>
      <c r="V4708">
        <v>-6.2547829999999999E-2</v>
      </c>
      <c r="W4708">
        <v>0.16588829999999999</v>
      </c>
      <c r="X4708">
        <v>0.98415889999999995</v>
      </c>
      <c r="Y4708">
        <v>-0.13571329999999901</v>
      </c>
      <c r="Z4708">
        <v>6.0535279999999997E-2</v>
      </c>
      <c r="AA4708">
        <v>0.98889700000000003</v>
      </c>
      <c r="AB4708">
        <v>35</v>
      </c>
      <c r="AC4708">
        <v>-0.60420000000004803</v>
      </c>
      <c r="AD4708">
        <v>-1.11913994877</v>
      </c>
      <c r="AE4708">
        <v>-17.593050000000002</v>
      </c>
      <c r="AF4708">
        <v>-2.42153472003905</v>
      </c>
      <c r="AG4708">
        <v>-1.11913994877</v>
      </c>
      <c r="AH4708">
        <v>17.364526840792902</v>
      </c>
      <c r="AI4708">
        <v>93.652354407965305</v>
      </c>
      <c r="AJ4708">
        <v>97.938867691816696</v>
      </c>
      <c r="AK4708">
        <v>17.568241147875501</v>
      </c>
      <c r="AL4708">
        <v>80.451158016468398</v>
      </c>
      <c r="AM4708">
        <v>93.636519693898805</v>
      </c>
      <c r="AN4708">
        <v>0.99999994978190299</v>
      </c>
    </row>
    <row r="4709" spans="1:40" x14ac:dyDescent="0.25">
      <c r="A4709" t="str">
        <f>"20190312173025000"</f>
        <v>20190312173025000</v>
      </c>
      <c r="B4709" t="str">
        <f>"1552383024992022"</f>
        <v>1552383024992022</v>
      </c>
      <c r="C4709" t="s">
        <v>40</v>
      </c>
      <c r="D4709">
        <v>3.2389049999999999</v>
      </c>
      <c r="E4709">
        <v>0.46777800000000003</v>
      </c>
      <c r="F4709" t="s">
        <v>41</v>
      </c>
      <c r="G4709">
        <v>-423.16699999999997</v>
      </c>
      <c r="H4709" s="1">
        <v>-1.049138E-6</v>
      </c>
      <c r="I4709">
        <v>90.070390000000003</v>
      </c>
      <c r="J4709">
        <v>-422.78969999999998</v>
      </c>
      <c r="K4709">
        <v>1.1189469999999999</v>
      </c>
      <c r="L4709">
        <v>109.2991</v>
      </c>
      <c r="M4709">
        <v>-0.16269829999999999</v>
      </c>
      <c r="N4709">
        <v>0</v>
      </c>
      <c r="O4709">
        <v>-0.98656549999999998</v>
      </c>
      <c r="P4709">
        <v>-0.1044634</v>
      </c>
      <c r="Q4709">
        <v>0.15199849999999901</v>
      </c>
      <c r="R4709">
        <v>-0.98284490000000002</v>
      </c>
      <c r="S4709">
        <v>-6.7596439999999994E-2</v>
      </c>
      <c r="T4709">
        <v>-0.17572779999999999</v>
      </c>
      <c r="U4709">
        <v>-3.0748440000000001</v>
      </c>
      <c r="V4709">
        <v>-6.0521779999999997E-2</v>
      </c>
      <c r="W4709">
        <v>0.16525300000000001</v>
      </c>
      <c r="X4709">
        <v>0.9843925</v>
      </c>
      <c r="Y4709">
        <v>-0.14102439999999999</v>
      </c>
      <c r="Z4709">
        <v>5.562603E-2</v>
      </c>
      <c r="AA4709">
        <v>0.98844209999999999</v>
      </c>
      <c r="AB4709">
        <v>35</v>
      </c>
      <c r="AC4709">
        <v>-0.37729999999999098</v>
      </c>
      <c r="AD4709">
        <v>-1.1189480491379999</v>
      </c>
      <c r="AE4709">
        <v>-19.2287099999999</v>
      </c>
      <c r="AF4709">
        <v>-2.7472481382175</v>
      </c>
      <c r="AG4709">
        <v>-1.1189480491379999</v>
      </c>
      <c r="AH4709">
        <v>18.9696293832083</v>
      </c>
      <c r="AI4709">
        <v>93.3409792891335</v>
      </c>
      <c r="AJ4709">
        <v>98.2404825680008</v>
      </c>
      <c r="AK4709">
        <v>19.2001629161288</v>
      </c>
      <c r="AL4709">
        <v>80.488068099277001</v>
      </c>
      <c r="AM4709">
        <v>93.518193470463203</v>
      </c>
      <c r="AN4709">
        <v>1.0000000169598</v>
      </c>
    </row>
    <row r="4710" spans="1:40" x14ac:dyDescent="0.25">
      <c r="A4710" t="str">
        <f>"20190312173025021"</f>
        <v>20190312173025021</v>
      </c>
      <c r="B4710" t="str">
        <f>"1552383025012518"</f>
        <v>1552383025012518</v>
      </c>
      <c r="C4710" t="s">
        <v>40</v>
      </c>
      <c r="D4710">
        <v>3.2921399999999998</v>
      </c>
      <c r="E4710">
        <v>0.4682558</v>
      </c>
      <c r="F4710" t="s">
        <v>41</v>
      </c>
      <c r="G4710">
        <v>-423.10230000000001</v>
      </c>
      <c r="H4710" s="1">
        <v>-1.0377639999999999E-6</v>
      </c>
      <c r="I4710">
        <v>90.084040000000002</v>
      </c>
      <c r="J4710">
        <v>-422.83530000000002</v>
      </c>
      <c r="K4710">
        <v>1.1187499999999999</v>
      </c>
      <c r="L4710">
        <v>108.9768</v>
      </c>
      <c r="M4710">
        <v>-0.1544333</v>
      </c>
      <c r="N4710">
        <v>0</v>
      </c>
      <c r="O4710">
        <v>-0.98789329999999997</v>
      </c>
      <c r="P4710">
        <v>-9.8270280000000002E-2</v>
      </c>
      <c r="Q4710">
        <v>0.1513756</v>
      </c>
      <c r="R4710">
        <v>-0.98357950000000005</v>
      </c>
      <c r="S4710">
        <v>-5.0018310000000003E-2</v>
      </c>
      <c r="T4710">
        <v>-0.17905070000000001</v>
      </c>
      <c r="U4710">
        <v>-3.074738</v>
      </c>
      <c r="V4710">
        <v>-5.8398600000000002E-2</v>
      </c>
      <c r="W4710">
        <v>0.1646801</v>
      </c>
      <c r="X4710">
        <v>0.98461670000000001</v>
      </c>
      <c r="Y4710">
        <v>-0.1383847</v>
      </c>
      <c r="Z4710">
        <v>5.6805660000000001E-2</v>
      </c>
      <c r="AA4710">
        <v>0.98874810000000002</v>
      </c>
      <c r="AB4710">
        <v>35</v>
      </c>
      <c r="AC4710">
        <v>-0.26699999999999502</v>
      </c>
      <c r="AD4710">
        <v>-1.118751037764</v>
      </c>
      <c r="AE4710">
        <v>-18.892759999999999</v>
      </c>
      <c r="AF4710">
        <v>-2.6449193952250201</v>
      </c>
      <c r="AG4710">
        <v>-1.118751037764</v>
      </c>
      <c r="AH4710">
        <v>18.641941032607502</v>
      </c>
      <c r="AI4710">
        <v>93.400375681795097</v>
      </c>
      <c r="AJ4710">
        <v>98.075230840563407</v>
      </c>
      <c r="AK4710">
        <v>18.861844235253098</v>
      </c>
      <c r="AL4710">
        <v>80.521348556389697</v>
      </c>
      <c r="AM4710">
        <v>93.394293499443407</v>
      </c>
      <c r="AN4710">
        <v>0.999999988868429</v>
      </c>
    </row>
    <row r="4711" spans="1:40" x14ac:dyDescent="0.25">
      <c r="A4711" t="str">
        <f>"20190312173025043"</f>
        <v>20190312173025043</v>
      </c>
      <c r="B4711" t="str">
        <f>"1552383025032038"</f>
        <v>1552383025032038</v>
      </c>
      <c r="C4711" t="s">
        <v>40</v>
      </c>
      <c r="D4711">
        <v>3.3281420000000002</v>
      </c>
      <c r="E4711">
        <v>0.46884880000000001</v>
      </c>
      <c r="F4711" t="s">
        <v>41</v>
      </c>
      <c r="G4711">
        <v>-423.05149999999998</v>
      </c>
      <c r="H4711" s="1">
        <v>-4.7949490000000003E-6</v>
      </c>
      <c r="I4711">
        <v>89.486379999999997</v>
      </c>
      <c r="J4711">
        <v>-422.88119999999998</v>
      </c>
      <c r="K4711">
        <v>1.1185229999999999</v>
      </c>
      <c r="L4711">
        <v>108.63290000000001</v>
      </c>
      <c r="M4711">
        <v>-0.14586189999999999</v>
      </c>
      <c r="N4711">
        <v>0</v>
      </c>
      <c r="O4711">
        <v>-0.98919579999999996</v>
      </c>
      <c r="P4711">
        <v>-9.1880260000000005E-2</v>
      </c>
      <c r="Q4711">
        <v>0.15145790000000001</v>
      </c>
      <c r="R4711">
        <v>-0.98418459999999997</v>
      </c>
      <c r="S4711">
        <v>-3.4088130000000001E-2</v>
      </c>
      <c r="T4711">
        <v>-0.17643919999999999</v>
      </c>
      <c r="U4711">
        <v>-3.0738370000000002</v>
      </c>
      <c r="V4711">
        <v>-5.615767E-2</v>
      </c>
      <c r="W4711">
        <v>0.1648114</v>
      </c>
      <c r="X4711">
        <v>0.98472510000000002</v>
      </c>
      <c r="Y4711">
        <v>-0.1349148</v>
      </c>
      <c r="Z4711">
        <v>5.612354E-2</v>
      </c>
      <c r="AA4711">
        <v>0.98926650000000005</v>
      </c>
      <c r="AB4711">
        <v>35</v>
      </c>
      <c r="AC4711">
        <v>-0.17029999999999701</v>
      </c>
      <c r="AD4711">
        <v>-1.118527794949</v>
      </c>
      <c r="AE4711">
        <v>-19.146519999999899</v>
      </c>
      <c r="AF4711">
        <v>-2.61564514780359</v>
      </c>
      <c r="AG4711">
        <v>-1.118527794949</v>
      </c>
      <c r="AH4711">
        <v>18.9020414811996</v>
      </c>
      <c r="AI4711">
        <v>93.354634883450203</v>
      </c>
      <c r="AJ4711">
        <v>97.878497778864102</v>
      </c>
      <c r="AK4711">
        <v>19.114912401690201</v>
      </c>
      <c r="AL4711">
        <v>80.513721529456305</v>
      </c>
      <c r="AM4711">
        <v>93.263972951966196</v>
      </c>
      <c r="AN4711">
        <v>1.00000000201989</v>
      </c>
    </row>
    <row r="4712" spans="1:40" x14ac:dyDescent="0.25">
      <c r="A4712" t="str">
        <f>"20190312173025066"</f>
        <v>20190312173025066</v>
      </c>
      <c r="B4712" t="str">
        <f>"1552383025062293"</f>
        <v>1552383025062293</v>
      </c>
      <c r="C4712" t="s">
        <v>40</v>
      </c>
      <c r="D4712">
        <v>3.3141910000000001</v>
      </c>
      <c r="E4712">
        <v>0.4700317</v>
      </c>
      <c r="F4712" t="s">
        <v>41</v>
      </c>
      <c r="G4712">
        <v>-423.00670000000002</v>
      </c>
      <c r="H4712" s="1">
        <v>-4.4921919999999997E-6</v>
      </c>
      <c r="I4712">
        <v>88.620090000000005</v>
      </c>
      <c r="J4712">
        <v>-422.92450000000002</v>
      </c>
      <c r="K4712">
        <v>1.118279</v>
      </c>
      <c r="L4712">
        <v>108.2856</v>
      </c>
      <c r="M4712">
        <v>-0.1375111</v>
      </c>
      <c r="N4712">
        <v>0</v>
      </c>
      <c r="O4712">
        <v>-0.99039149999999998</v>
      </c>
      <c r="P4712">
        <v>-8.5761299999999999E-2</v>
      </c>
      <c r="Q4712">
        <v>0.15067259999999999</v>
      </c>
      <c r="R4712">
        <v>-0.98485690000000004</v>
      </c>
      <c r="S4712">
        <v>-1.9256590000000001E-2</v>
      </c>
      <c r="T4712">
        <v>-0.1717418</v>
      </c>
      <c r="U4712">
        <v>-3.0728300000000002</v>
      </c>
      <c r="V4712">
        <v>-5.386436E-2</v>
      </c>
      <c r="W4712">
        <v>0.16407529999999901</v>
      </c>
      <c r="X4712">
        <v>0.98497610000000002</v>
      </c>
      <c r="Y4712">
        <v>-0.13132469999999999</v>
      </c>
      <c r="Z4712">
        <v>5.4766380000000003E-2</v>
      </c>
      <c r="AA4712">
        <v>0.98982550000000002</v>
      </c>
      <c r="AB4712">
        <v>35</v>
      </c>
      <c r="AC4712">
        <v>-8.2200000000000203E-2</v>
      </c>
      <c r="AD4712">
        <v>-1.118283492192</v>
      </c>
      <c r="AE4712">
        <v>-19.665510000000001</v>
      </c>
      <c r="AF4712">
        <v>-2.6146435179193999</v>
      </c>
      <c r="AG4712">
        <v>-1.118283492192</v>
      </c>
      <c r="AH4712">
        <v>19.4271367690211</v>
      </c>
      <c r="AI4712">
        <v>93.265104805045098</v>
      </c>
      <c r="AJ4712">
        <v>97.6652169111223</v>
      </c>
      <c r="AK4712">
        <v>19.634168221163801</v>
      </c>
      <c r="AL4712">
        <v>80.556478969227001</v>
      </c>
      <c r="AM4712">
        <v>93.130156680703493</v>
      </c>
      <c r="AN4712">
        <v>0.99999999545975404</v>
      </c>
    </row>
    <row r="4713" spans="1:40" x14ac:dyDescent="0.25">
      <c r="A4713" t="str">
        <f>"20190312173025088"</f>
        <v>20190312173025088</v>
      </c>
      <c r="B4713" t="str">
        <f>"1552383025082134"</f>
        <v>1552383025082134</v>
      </c>
      <c r="C4713" t="s">
        <v>40</v>
      </c>
      <c r="D4713">
        <v>3.3194400000000002</v>
      </c>
      <c r="E4713">
        <v>0.47091359999999899</v>
      </c>
      <c r="F4713" t="s">
        <v>41</v>
      </c>
      <c r="G4713">
        <v>-422.98860000000002</v>
      </c>
      <c r="H4713" s="1">
        <v>-4.3480039999999998E-6</v>
      </c>
      <c r="I4713">
        <v>88.205799999999996</v>
      </c>
      <c r="J4713">
        <v>-422.96559999999999</v>
      </c>
      <c r="K4713">
        <v>1.1180190000000001</v>
      </c>
      <c r="L4713">
        <v>107.9341</v>
      </c>
      <c r="M4713">
        <v>-0.12935859999999999</v>
      </c>
      <c r="N4713">
        <v>0</v>
      </c>
      <c r="O4713">
        <v>-0.99148990000000004</v>
      </c>
      <c r="P4713">
        <v>-8.0347429999999997E-2</v>
      </c>
      <c r="Q4713">
        <v>0.15001809999999999</v>
      </c>
      <c r="R4713">
        <v>-0.98541319999999999</v>
      </c>
      <c r="S4713">
        <v>-9.7961430000000002E-3</v>
      </c>
      <c r="T4713">
        <v>-0.1710547</v>
      </c>
      <c r="U4713">
        <v>-3.0714419999999998</v>
      </c>
      <c r="V4713">
        <v>-5.1062030000000001E-2</v>
      </c>
      <c r="W4713">
        <v>0.16347790000000001</v>
      </c>
      <c r="X4713">
        <v>0.98522469999999995</v>
      </c>
      <c r="Y4713">
        <v>-0.1262132</v>
      </c>
      <c r="Z4713">
        <v>5.4682809999999998E-2</v>
      </c>
      <c r="AA4713">
        <v>0.99049480000000001</v>
      </c>
      <c r="AB4713">
        <v>35</v>
      </c>
      <c r="AC4713">
        <v>-2.3000000000024501E-2</v>
      </c>
      <c r="AD4713">
        <v>-1.1180233480040001</v>
      </c>
      <c r="AE4713">
        <v>-19.728300000000001</v>
      </c>
      <c r="AF4713">
        <v>-2.5213941198012799</v>
      </c>
      <c r="AG4713">
        <v>-1.1180233480040001</v>
      </c>
      <c r="AH4713">
        <v>19.502844948514898</v>
      </c>
      <c r="AI4713">
        <v>93.253934669889901</v>
      </c>
      <c r="AJ4713">
        <v>97.366532675395206</v>
      </c>
      <c r="AK4713">
        <v>19.696912590552401</v>
      </c>
      <c r="AL4713">
        <v>80.591176314269703</v>
      </c>
      <c r="AM4713">
        <v>92.966859728737802</v>
      </c>
      <c r="AN4713">
        <v>1.0000000320931099</v>
      </c>
    </row>
    <row r="4714" spans="1:40" x14ac:dyDescent="0.25">
      <c r="A4714" t="str">
        <f>"20190312173025111"</f>
        <v>20190312173025111</v>
      </c>
      <c r="B4714" t="str">
        <f>"1552383025102631"</f>
        <v>1552383025102631</v>
      </c>
      <c r="C4714" t="s">
        <v>40</v>
      </c>
      <c r="D4714">
        <v>3.3348040000000001</v>
      </c>
      <c r="E4714">
        <v>0.47198580000000001</v>
      </c>
      <c r="F4714" t="s">
        <v>41</v>
      </c>
      <c r="G4714">
        <v>-422.96620000000001</v>
      </c>
      <c r="H4714" s="1">
        <v>-4.3057689999999997E-6</v>
      </c>
      <c r="I4714">
        <v>88.093339999999998</v>
      </c>
      <c r="J4714">
        <v>-423.00319999999999</v>
      </c>
      <c r="K4714">
        <v>1.1177790000000001</v>
      </c>
      <c r="L4714">
        <v>107.5909</v>
      </c>
      <c r="M4714">
        <v>-0.1216489</v>
      </c>
      <c r="N4714">
        <v>0</v>
      </c>
      <c r="O4714">
        <v>-0.99246590000000001</v>
      </c>
      <c r="P4714">
        <v>-7.5110479999999993E-2</v>
      </c>
      <c r="Q4714">
        <v>0.1497115</v>
      </c>
      <c r="R4714">
        <v>-0.98587270000000005</v>
      </c>
      <c r="S4714" s="1">
        <v>-9.1552730000000004E-5</v>
      </c>
      <c r="T4714">
        <v>-0.1730362</v>
      </c>
      <c r="U4714">
        <v>-3.0707550000000001</v>
      </c>
      <c r="V4714">
        <v>-4.8534639999999997E-2</v>
      </c>
      <c r="W4714">
        <v>0.16321820000000001</v>
      </c>
      <c r="X4714">
        <v>0.98539540000000003</v>
      </c>
      <c r="Y4714">
        <v>-0.12163160000000001</v>
      </c>
      <c r="Z4714">
        <v>5.542507E-2</v>
      </c>
      <c r="AA4714">
        <v>0.99102659999999998</v>
      </c>
      <c r="AB4714">
        <v>35</v>
      </c>
      <c r="AC4714">
        <v>3.6999999999977697E-2</v>
      </c>
      <c r="AD4714">
        <v>-1.1177833057690001</v>
      </c>
      <c r="AE4714">
        <v>-19.49756</v>
      </c>
      <c r="AF4714">
        <v>-2.40094344334879</v>
      </c>
      <c r="AG4714">
        <v>-1.1177833057690001</v>
      </c>
      <c r="AH4714">
        <v>19.2848404747164</v>
      </c>
      <c r="AI4714">
        <v>93.291895179960406</v>
      </c>
      <c r="AJ4714">
        <v>97.096751301655402</v>
      </c>
      <c r="AK4714">
        <v>19.465842932482399</v>
      </c>
      <c r="AL4714">
        <v>80.606257763038897</v>
      </c>
      <c r="AM4714">
        <v>92.819766134261698</v>
      </c>
      <c r="AN4714">
        <v>0.99999994321616303</v>
      </c>
    </row>
    <row r="4715" spans="1:40" x14ac:dyDescent="0.25">
      <c r="A4715" t="str">
        <f>"20190312173025132"</f>
        <v>20190312173025132</v>
      </c>
      <c r="B4715" t="str">
        <f>"1552383025122148"</f>
        <v>1552383025122148</v>
      </c>
      <c r="C4715" t="s">
        <v>40</v>
      </c>
      <c r="D4715">
        <v>3.3657010000000001</v>
      </c>
      <c r="E4715">
        <v>0.48186639999999997</v>
      </c>
      <c r="F4715" t="s">
        <v>41</v>
      </c>
      <c r="G4715">
        <v>-422.95890000000003</v>
      </c>
      <c r="H4715" s="1">
        <v>-4.2660369999999999E-6</v>
      </c>
      <c r="I4715">
        <v>87.98039</v>
      </c>
      <c r="J4715">
        <v>-423.03769999999997</v>
      </c>
      <c r="K4715">
        <v>1.11755</v>
      </c>
      <c r="L4715">
        <v>107.2525</v>
      </c>
      <c r="M4715">
        <v>-0.1142987</v>
      </c>
      <c r="N4715">
        <v>0</v>
      </c>
      <c r="O4715">
        <v>-0.99333970000000005</v>
      </c>
      <c r="P4715">
        <v>-7.0547180000000001E-2</v>
      </c>
      <c r="Q4715">
        <v>0.1497898</v>
      </c>
      <c r="R4715">
        <v>-0.98619809999999997</v>
      </c>
      <c r="S4715">
        <v>6.9274899999999997E-3</v>
      </c>
      <c r="T4715">
        <v>-0.17499229999999999</v>
      </c>
      <c r="U4715">
        <v>-3.070084</v>
      </c>
      <c r="V4715">
        <v>-4.5699650000000001E-2</v>
      </c>
      <c r="W4715">
        <v>0.16334570000000001</v>
      </c>
      <c r="X4715">
        <v>0.98550990000000005</v>
      </c>
      <c r="Y4715">
        <v>-0.116548</v>
      </c>
      <c r="Z4715">
        <v>5.6153599999999901E-2</v>
      </c>
      <c r="AA4715">
        <v>0.99159629999999999</v>
      </c>
      <c r="AB4715">
        <v>35</v>
      </c>
      <c r="AC4715">
        <v>7.8799999999944206E-2</v>
      </c>
      <c r="AD4715">
        <v>-1.1175542660369999</v>
      </c>
      <c r="AE4715">
        <v>-19.272110000000001</v>
      </c>
      <c r="AF4715">
        <v>-2.2736488664011998</v>
      </c>
      <c r="AG4715">
        <v>-1.1175542660369999</v>
      </c>
      <c r="AH4715">
        <v>19.072641181075198</v>
      </c>
      <c r="AI4715">
        <v>93.329867168331106</v>
      </c>
      <c r="AJ4715">
        <v>96.798146089364806</v>
      </c>
      <c r="AK4715">
        <v>19.240167575342699</v>
      </c>
      <c r="AL4715">
        <v>80.598853899396701</v>
      </c>
      <c r="AM4715">
        <v>92.654993813713105</v>
      </c>
      <c r="AN4715">
        <v>1.0000000193583101</v>
      </c>
    </row>
    <row r="4716" spans="1:40" x14ac:dyDescent="0.25">
      <c r="A4716" t="str">
        <f>"20190312173025155"</f>
        <v>20190312173025155</v>
      </c>
      <c r="B4716" t="str">
        <f>"1552383025152404"</f>
        <v>1552383025152404</v>
      </c>
      <c r="C4716" t="s">
        <v>40</v>
      </c>
      <c r="D4716">
        <v>3.3886729999999998</v>
      </c>
      <c r="E4716">
        <v>0.48305910000000002</v>
      </c>
      <c r="F4716" t="s">
        <v>41</v>
      </c>
      <c r="G4716">
        <v>-423.40719999999999</v>
      </c>
      <c r="H4716" s="1">
        <v>-4.1741609999999998E-6</v>
      </c>
      <c r="I4716">
        <v>87.476740000000007</v>
      </c>
      <c r="J4716">
        <v>-423.07040000000001</v>
      </c>
      <c r="K4716">
        <v>1.1173150000000001</v>
      </c>
      <c r="L4716">
        <v>106.90900000000001</v>
      </c>
      <c r="M4716">
        <v>-0.1070995</v>
      </c>
      <c r="N4716">
        <v>0</v>
      </c>
      <c r="O4716">
        <v>-0.99414210000000003</v>
      </c>
      <c r="P4716">
        <v>-6.6704840000000001E-2</v>
      </c>
      <c r="Q4716">
        <v>0.15010870000000001</v>
      </c>
      <c r="R4716">
        <v>-0.98641690000000004</v>
      </c>
      <c r="S4716">
        <v>-5.725098E-2</v>
      </c>
      <c r="T4716">
        <v>-0.1731615</v>
      </c>
      <c r="U4716">
        <v>-3.0641940000000001</v>
      </c>
      <c r="V4716">
        <v>-4.2295850000000003E-2</v>
      </c>
      <c r="W4716">
        <v>0.16372149999999999</v>
      </c>
      <c r="X4716">
        <v>0.98559949999999996</v>
      </c>
      <c r="Y4716">
        <v>-8.8548000000000002E-2</v>
      </c>
      <c r="Z4716">
        <v>5.5819170000000001E-2</v>
      </c>
      <c r="AA4716">
        <v>0.99450669999999997</v>
      </c>
      <c r="AB4716">
        <v>35</v>
      </c>
      <c r="AC4716">
        <v>-0.336799999999982</v>
      </c>
      <c r="AD4716">
        <v>-1.117319174161</v>
      </c>
      <c r="AE4716">
        <v>-19.4322599999999</v>
      </c>
      <c r="AF4716">
        <v>-1.7407893118136</v>
      </c>
      <c r="AG4716">
        <v>-1.117319174161</v>
      </c>
      <c r="AH4716">
        <v>19.292779348778101</v>
      </c>
      <c r="AI4716">
        <v>93.301136006572705</v>
      </c>
      <c r="AJ4716">
        <v>95.155841828466905</v>
      </c>
      <c r="AK4716">
        <v>19.403352405337401</v>
      </c>
      <c r="AL4716">
        <v>80.577028344567495</v>
      </c>
      <c r="AM4716">
        <v>92.457273681377103</v>
      </c>
      <c r="AN4716">
        <v>1.0000000214448601</v>
      </c>
    </row>
    <row r="4717" spans="1:40" x14ac:dyDescent="0.25">
      <c r="A4717" t="str">
        <f>"20190312173025178"</f>
        <v>20190312173025178</v>
      </c>
      <c r="B4717" t="str">
        <f>"1552383025172901"</f>
        <v>1552383025172901</v>
      </c>
      <c r="C4717" t="s">
        <v>40</v>
      </c>
      <c r="D4717">
        <v>3.4024830000000001</v>
      </c>
      <c r="E4717">
        <v>0.48426079999999999</v>
      </c>
      <c r="F4717" t="s">
        <v>41</v>
      </c>
      <c r="G4717">
        <v>-423.411</v>
      </c>
      <c r="H4717" s="1">
        <v>-4.2847889999999999E-6</v>
      </c>
      <c r="I4717">
        <v>87.799840000000003</v>
      </c>
      <c r="J4717">
        <v>-423.10180000000003</v>
      </c>
      <c r="K4717">
        <v>1.1170599999999999</v>
      </c>
      <c r="L4717">
        <v>106.554</v>
      </c>
      <c r="M4717">
        <v>-9.9938559999999996E-2</v>
      </c>
      <c r="N4717">
        <v>0</v>
      </c>
      <c r="O4717">
        <v>-0.99488779999999999</v>
      </c>
      <c r="P4717">
        <v>-6.2690289999999996E-2</v>
      </c>
      <c r="Q4717">
        <v>0.1491846</v>
      </c>
      <c r="R4717">
        <v>-0.98682029999999998</v>
      </c>
      <c r="S4717">
        <v>-5.4626460000000002E-2</v>
      </c>
      <c r="T4717">
        <v>-0.17920459999999999</v>
      </c>
      <c r="U4717">
        <v>-3.06488</v>
      </c>
      <c r="V4717">
        <v>-3.9097090000000001E-2</v>
      </c>
      <c r="W4717">
        <v>0.16284889999999999</v>
      </c>
      <c r="X4717">
        <v>0.98587610000000003</v>
      </c>
      <c r="Y4717">
        <v>-8.2231600000000002E-2</v>
      </c>
      <c r="Z4717">
        <v>5.7829209999999999E-2</v>
      </c>
      <c r="AA4717">
        <v>0.99493399999999999</v>
      </c>
      <c r="AB4717">
        <v>35</v>
      </c>
      <c r="AC4717">
        <v>-0.30919999999997499</v>
      </c>
      <c r="AD4717">
        <v>-1.117064284789</v>
      </c>
      <c r="AE4717">
        <v>-18.754159999999999</v>
      </c>
      <c r="AF4717">
        <v>-1.56127179095753</v>
      </c>
      <c r="AG4717">
        <v>-1.117064284789</v>
      </c>
      <c r="AH4717">
        <v>18.6250933481126</v>
      </c>
      <c r="AI4717">
        <v>93.420310300673904</v>
      </c>
      <c r="AJ4717">
        <v>94.791687998654197</v>
      </c>
      <c r="AK4717">
        <v>18.723768436068099</v>
      </c>
      <c r="AL4717">
        <v>80.627704720291405</v>
      </c>
      <c r="AM4717">
        <v>92.271000408194794</v>
      </c>
      <c r="AN4717">
        <v>1.00000001561444</v>
      </c>
    </row>
    <row r="4718" spans="1:40" x14ac:dyDescent="0.25">
      <c r="A4718" t="str">
        <f>"20190312173025200"</f>
        <v>20190312173025200</v>
      </c>
      <c r="B4718" t="str">
        <f>"1552383025192419"</f>
        <v>1552383025192419</v>
      </c>
      <c r="C4718" t="s">
        <v>40</v>
      </c>
      <c r="D4718">
        <v>3.3889529999999999</v>
      </c>
      <c r="E4718">
        <v>0.4849446</v>
      </c>
      <c r="F4718" t="s">
        <v>41</v>
      </c>
      <c r="G4718">
        <v>-423.41230000000002</v>
      </c>
      <c r="H4718" s="1">
        <v>-4.3954630000000001E-6</v>
      </c>
      <c r="I4718">
        <v>88.124369999999999</v>
      </c>
      <c r="J4718">
        <v>-423.13029999999998</v>
      </c>
      <c r="K4718">
        <v>1.1167940000000001</v>
      </c>
      <c r="L4718">
        <v>106.20610000000001</v>
      </c>
      <c r="M4718">
        <v>-9.3195449999999999E-2</v>
      </c>
      <c r="N4718">
        <v>0</v>
      </c>
      <c r="O4718">
        <v>-0.9955427</v>
      </c>
      <c r="P4718">
        <v>-5.948734E-2</v>
      </c>
      <c r="Q4718">
        <v>0.1478187</v>
      </c>
      <c r="R4718">
        <v>-0.98722390000000004</v>
      </c>
      <c r="S4718">
        <v>-5.1635739999999999E-2</v>
      </c>
      <c r="T4718">
        <v>-0.18576860000000001</v>
      </c>
      <c r="U4718">
        <v>-3.0648650000000002</v>
      </c>
      <c r="V4718">
        <v>-3.5499839999999998E-2</v>
      </c>
      <c r="W4718">
        <v>0.16153799999999999</v>
      </c>
      <c r="X4718">
        <v>0.98622779999999999</v>
      </c>
      <c r="Y4718">
        <v>-7.6450299999999999E-2</v>
      </c>
      <c r="Z4718">
        <v>6.0013850000000001E-2</v>
      </c>
      <c r="AA4718">
        <v>0.99526570000000003</v>
      </c>
      <c r="AB4718">
        <v>35</v>
      </c>
      <c r="AC4718">
        <v>-0.282000000000039</v>
      </c>
      <c r="AD4718">
        <v>-1.1167983954629901</v>
      </c>
      <c r="AE4718">
        <v>-18.08173</v>
      </c>
      <c r="AF4718">
        <v>-1.3992025905274199</v>
      </c>
      <c r="AG4718">
        <v>-1.1167983954629901</v>
      </c>
      <c r="AH4718">
        <v>17.960802786198499</v>
      </c>
      <c r="AI4718">
        <v>93.547336612478304</v>
      </c>
      <c r="AJ4718">
        <v>94.454523228340193</v>
      </c>
      <c r="AK4718">
        <v>18.0498045216607</v>
      </c>
      <c r="AL4718">
        <v>80.703821657678901</v>
      </c>
      <c r="AM4718">
        <v>92.061504674080794</v>
      </c>
      <c r="AN4718">
        <v>1.0000000187884299</v>
      </c>
    </row>
    <row r="4719" spans="1:40" x14ac:dyDescent="0.25">
      <c r="A4719" t="str">
        <f>"20190312173025222"</f>
        <v>20190312173025222</v>
      </c>
      <c r="B4719" t="str">
        <f>"1552383025212916"</f>
        <v>1552383025212916</v>
      </c>
      <c r="C4719" t="s">
        <v>40</v>
      </c>
      <c r="D4719">
        <v>3.375664</v>
      </c>
      <c r="E4719">
        <v>0.48523559999999999</v>
      </c>
      <c r="F4719" t="s">
        <v>41</v>
      </c>
      <c r="G4719">
        <v>-423.40870000000001</v>
      </c>
      <c r="H4719" s="1">
        <v>-4.4722290000000003E-6</v>
      </c>
      <c r="I4719">
        <v>88.351839999999996</v>
      </c>
      <c r="J4719">
        <v>-423.15629999999999</v>
      </c>
      <c r="K4719">
        <v>1.116525</v>
      </c>
      <c r="L4719">
        <v>105.86409999999999</v>
      </c>
      <c r="M4719">
        <v>-8.6838869999999999E-2</v>
      </c>
      <c r="N4719">
        <v>0</v>
      </c>
      <c r="O4719">
        <v>-0.9961179</v>
      </c>
      <c r="P4719">
        <v>-5.655951E-2</v>
      </c>
      <c r="Q4719">
        <v>0.14735909999999999</v>
      </c>
      <c r="R4719">
        <v>-0.98746489999999998</v>
      </c>
      <c r="S4719">
        <v>-4.7790529999999998E-2</v>
      </c>
      <c r="T4719">
        <v>-0.19169639999999999</v>
      </c>
      <c r="U4719">
        <v>-3.064651</v>
      </c>
      <c r="V4719">
        <v>-3.2011940000000003E-2</v>
      </c>
      <c r="W4719">
        <v>0.1611262</v>
      </c>
      <c r="X4719">
        <v>0.98641449999999997</v>
      </c>
      <c r="Y4719">
        <v>-7.1333930000000004E-2</v>
      </c>
      <c r="Z4719">
        <v>6.199205E-2</v>
      </c>
      <c r="AA4719">
        <v>0.99552419999999997</v>
      </c>
      <c r="AB4719">
        <v>35</v>
      </c>
      <c r="AC4719">
        <v>-0.252400000000022</v>
      </c>
      <c r="AD4719">
        <v>-1.116529472229</v>
      </c>
      <c r="AE4719">
        <v>-17.512259999999898</v>
      </c>
      <c r="AF4719">
        <v>-1.26431849745356</v>
      </c>
      <c r="AG4719">
        <v>-1.116529472229</v>
      </c>
      <c r="AH4719">
        <v>17.397307152760799</v>
      </c>
      <c r="AI4719">
        <v>93.662476842318796</v>
      </c>
      <c r="AJ4719">
        <v>94.156562131324307</v>
      </c>
      <c r="AK4719">
        <v>17.4788854190667</v>
      </c>
      <c r="AL4719">
        <v>80.727728986759999</v>
      </c>
      <c r="AM4719">
        <v>91.858757715492601</v>
      </c>
      <c r="AN4719">
        <v>0.99999999121962602</v>
      </c>
    </row>
    <row r="4720" spans="1:40" x14ac:dyDescent="0.25">
      <c r="A4720" t="str">
        <f>"20190312173025245"</f>
        <v>20190312173025245</v>
      </c>
      <c r="B4720" t="str">
        <f>"1552383025232436"</f>
        <v>1552383025232436</v>
      </c>
      <c r="C4720" t="s">
        <v>40</v>
      </c>
      <c r="D4720">
        <v>3.3795709999999999</v>
      </c>
      <c r="E4720">
        <v>0.49095850000000002</v>
      </c>
      <c r="F4720" t="s">
        <v>41</v>
      </c>
      <c r="G4720">
        <v>-423.39600000000002</v>
      </c>
      <c r="H4720" s="1">
        <v>-4.422371E-6</v>
      </c>
      <c r="I4720">
        <v>88.211950000000002</v>
      </c>
      <c r="J4720">
        <v>-423.17959999999999</v>
      </c>
      <c r="K4720">
        <v>1.1162510000000001</v>
      </c>
      <c r="L4720">
        <v>105.5301</v>
      </c>
      <c r="M4720">
        <v>-8.0910029999999994E-2</v>
      </c>
      <c r="N4720">
        <v>0</v>
      </c>
      <c r="O4720">
        <v>-0.99661730000000004</v>
      </c>
      <c r="P4720">
        <v>-5.4317980000000002E-2</v>
      </c>
      <c r="Q4720">
        <v>0.14724219999999999</v>
      </c>
      <c r="R4720">
        <v>-0.98760780000000004</v>
      </c>
      <c r="S4720">
        <v>-4.162598E-2</v>
      </c>
      <c r="T4720">
        <v>-0.19384209999999999</v>
      </c>
      <c r="U4720">
        <v>-3.0646059999999999</v>
      </c>
      <c r="V4720">
        <v>-2.8265160000000001E-2</v>
      </c>
      <c r="W4720">
        <v>0.16105710000000001</v>
      </c>
      <c r="X4720">
        <v>0.98654030000000004</v>
      </c>
      <c r="Y4720">
        <v>-6.740061E-2</v>
      </c>
      <c r="Z4720">
        <v>6.2740859999999996E-2</v>
      </c>
      <c r="AA4720">
        <v>0.99575130000000001</v>
      </c>
      <c r="AB4720">
        <v>35</v>
      </c>
      <c r="AC4720">
        <v>-0.21639999999996401</v>
      </c>
      <c r="AD4720">
        <v>-1.116255422371</v>
      </c>
      <c r="AE4720">
        <v>-17.318149999999999</v>
      </c>
      <c r="AF4720">
        <v>-1.1807623138568499</v>
      </c>
      <c r="AG4720">
        <v>-1.116255422371</v>
      </c>
      <c r="AH4720">
        <v>17.207391971613902</v>
      </c>
      <c r="AI4720">
        <v>93.702932945042704</v>
      </c>
      <c r="AJ4720">
        <v>93.925453222323</v>
      </c>
      <c r="AK4720">
        <v>17.2839394894382</v>
      </c>
      <c r="AL4720">
        <v>80.731740937843398</v>
      </c>
      <c r="AM4720">
        <v>91.641120457601104</v>
      </c>
      <c r="AN4720">
        <v>1.0000000361271599</v>
      </c>
    </row>
    <row r="4721" spans="1:40" x14ac:dyDescent="0.25">
      <c r="A4721" t="str">
        <f>"20190312173025266"</f>
        <v>20190312173025266</v>
      </c>
      <c r="B4721" t="str">
        <f>"1552383025262692"</f>
        <v>1552383025262692</v>
      </c>
      <c r="C4721" t="s">
        <v>40</v>
      </c>
      <c r="D4721">
        <v>3.4337979999999999</v>
      </c>
      <c r="E4721">
        <v>0.49146849999999997</v>
      </c>
      <c r="F4721" t="s">
        <v>41</v>
      </c>
      <c r="G4721">
        <v>-423.58179999999999</v>
      </c>
      <c r="H4721" s="1">
        <v>-1.144261E-6</v>
      </c>
      <c r="I4721">
        <v>90.034850000000006</v>
      </c>
      <c r="J4721">
        <v>-423.20190000000002</v>
      </c>
      <c r="K4721">
        <v>1.1159840000000001</v>
      </c>
      <c r="L4721">
        <v>105.18429999999999</v>
      </c>
      <c r="M4721">
        <v>-7.5053519999999999E-2</v>
      </c>
      <c r="N4721">
        <v>0</v>
      </c>
      <c r="O4721">
        <v>-0.99707590000000001</v>
      </c>
      <c r="P4721">
        <v>-5.0195839999999999E-2</v>
      </c>
      <c r="Q4721">
        <v>0.1468605</v>
      </c>
      <c r="R4721">
        <v>-0.98788299999999996</v>
      </c>
      <c r="S4721">
        <v>-7.9589839999999995E-2</v>
      </c>
      <c r="T4721">
        <v>-0.22088360000000001</v>
      </c>
      <c r="U4721">
        <v>-3.0661930000000002</v>
      </c>
      <c r="V4721">
        <v>-2.647066E-2</v>
      </c>
      <c r="W4721">
        <v>0.160689</v>
      </c>
      <c r="X4721">
        <v>0.98665000000000003</v>
      </c>
      <c r="Y4721">
        <v>-4.922721E-2</v>
      </c>
      <c r="Z4721">
        <v>7.1493080000000001E-2</v>
      </c>
      <c r="AA4721">
        <v>0.99622560000000004</v>
      </c>
      <c r="AB4721">
        <v>35</v>
      </c>
      <c r="AC4721">
        <v>-0.37989999999996299</v>
      </c>
      <c r="AD4721">
        <v>-1.115985144261</v>
      </c>
      <c r="AE4721">
        <v>-15.1494499999999</v>
      </c>
      <c r="AF4721">
        <v>-0.75421853289154095</v>
      </c>
      <c r="AG4721">
        <v>-1.115985144261</v>
      </c>
      <c r="AH4721">
        <v>15.053590428166499</v>
      </c>
      <c r="AI4721">
        <v>94.234526010268496</v>
      </c>
      <c r="AJ4721">
        <v>92.868248251854297</v>
      </c>
      <c r="AK4721">
        <v>15.113730618763601</v>
      </c>
      <c r="AL4721">
        <v>80.753108912278194</v>
      </c>
      <c r="AM4721">
        <v>91.536809777087498</v>
      </c>
      <c r="AN4721">
        <v>0.99999993653091501</v>
      </c>
    </row>
    <row r="4722" spans="1:40" x14ac:dyDescent="0.25">
      <c r="A4722" t="str">
        <f>"20190312173025289"</f>
        <v>20190312173025289</v>
      </c>
      <c r="B4722" t="str">
        <f>"1552383025282215"</f>
        <v>1552383025282215</v>
      </c>
      <c r="C4722" t="s">
        <v>40</v>
      </c>
      <c r="D4722">
        <v>3.3749410000000002</v>
      </c>
      <c r="E4722">
        <v>0.49350060000000001</v>
      </c>
      <c r="F4722" t="s">
        <v>41</v>
      </c>
      <c r="G4722">
        <v>-423.56709999999998</v>
      </c>
      <c r="H4722" s="1">
        <v>-9.774641999999999E-7</v>
      </c>
      <c r="I4722">
        <v>89.655159999999995</v>
      </c>
      <c r="J4722">
        <v>-423.22239999999999</v>
      </c>
      <c r="K4722">
        <v>1.115731</v>
      </c>
      <c r="L4722">
        <v>104.8389</v>
      </c>
      <c r="M4722">
        <v>-6.9433759999999997E-2</v>
      </c>
      <c r="N4722">
        <v>0</v>
      </c>
      <c r="O4722">
        <v>-0.99748360000000003</v>
      </c>
      <c r="P4722">
        <v>-4.7406879999999998E-2</v>
      </c>
      <c r="Q4722">
        <v>0.14631930000000001</v>
      </c>
      <c r="R4722">
        <v>-0.98810109999999995</v>
      </c>
      <c r="S4722">
        <v>-7.2113040000000003E-2</v>
      </c>
      <c r="T4722">
        <v>-0.2203263</v>
      </c>
      <c r="U4722">
        <v>-3.065887</v>
      </c>
      <c r="V4722">
        <v>-2.358621E-2</v>
      </c>
      <c r="W4722">
        <v>0.16017500000000001</v>
      </c>
      <c r="X4722">
        <v>0.98680679999999998</v>
      </c>
      <c r="Y4722">
        <v>-4.6023880000000003E-2</v>
      </c>
      <c r="Z4722">
        <v>7.1371970000000007E-2</v>
      </c>
      <c r="AA4722">
        <v>0.99638740000000003</v>
      </c>
      <c r="AB4722">
        <v>35</v>
      </c>
      <c r="AC4722">
        <v>-0.34469999999998802</v>
      </c>
      <c r="AD4722">
        <v>-1.1157319774642001</v>
      </c>
      <c r="AE4722">
        <v>-15.18374</v>
      </c>
      <c r="AF4722">
        <v>-0.70669065503458095</v>
      </c>
      <c r="AG4722">
        <v>-1.1157319774642001</v>
      </c>
      <c r="AH4722">
        <v>15.0895878636037</v>
      </c>
      <c r="AI4722">
        <v>94.224171236714099</v>
      </c>
      <c r="AJ4722">
        <v>92.681373957272001</v>
      </c>
      <c r="AK4722">
        <v>15.147274719264299</v>
      </c>
      <c r="AL4722">
        <v>80.782946012849294</v>
      </c>
      <c r="AM4722">
        <v>91.369197124844007</v>
      </c>
      <c r="AN4722">
        <v>1.0000000002267</v>
      </c>
    </row>
    <row r="4723" spans="1:40" x14ac:dyDescent="0.25">
      <c r="A4723" t="str">
        <f>"20190312173025312"</f>
        <v>20190312173025312</v>
      </c>
      <c r="B4723" t="str">
        <f>"1552383025302711"</f>
        <v>1552383025302711</v>
      </c>
      <c r="C4723" t="s">
        <v>40</v>
      </c>
      <c r="D4723">
        <v>3.4035630000000001</v>
      </c>
      <c r="E4723">
        <v>0.49464150000000001</v>
      </c>
      <c r="F4723" t="s">
        <v>41</v>
      </c>
      <c r="G4723">
        <v>-423.673</v>
      </c>
      <c r="H4723" s="1">
        <v>-4.2819039999999997E-6</v>
      </c>
      <c r="I4723">
        <v>87.654790000000006</v>
      </c>
      <c r="J4723">
        <v>-423.24189999999999</v>
      </c>
      <c r="K4723">
        <v>1.115491</v>
      </c>
      <c r="L4723">
        <v>104.47709999999999</v>
      </c>
      <c r="M4723">
        <v>-6.3796679999999995E-2</v>
      </c>
      <c r="N4723">
        <v>0</v>
      </c>
      <c r="O4723">
        <v>-0.99786030000000003</v>
      </c>
      <c r="P4723">
        <v>-4.4501209999999999E-2</v>
      </c>
      <c r="Q4723">
        <v>0.146070799999999</v>
      </c>
      <c r="R4723">
        <v>-0.9882727</v>
      </c>
      <c r="S4723">
        <v>-8.0291749999999995E-2</v>
      </c>
      <c r="T4723">
        <v>-0.19879189999999999</v>
      </c>
      <c r="U4723">
        <v>-3.0617070000000002</v>
      </c>
      <c r="V4723">
        <v>-2.0807849999999999E-2</v>
      </c>
      <c r="W4723">
        <v>0.1599487</v>
      </c>
      <c r="X4723">
        <v>0.98690599999999995</v>
      </c>
      <c r="Y4723">
        <v>-3.7673959999999999E-2</v>
      </c>
      <c r="Z4723">
        <v>6.4560199999999998E-2</v>
      </c>
      <c r="AA4723">
        <v>0.99720240000000004</v>
      </c>
      <c r="AB4723">
        <v>35</v>
      </c>
      <c r="AC4723">
        <v>-0.43110000000001403</v>
      </c>
      <c r="AD4723">
        <v>-1.115495281904</v>
      </c>
      <c r="AE4723">
        <v>-16.822309999999899</v>
      </c>
      <c r="AF4723">
        <v>-0.64028228697560596</v>
      </c>
      <c r="AG4723">
        <v>-1.115495281904</v>
      </c>
      <c r="AH4723">
        <v>16.741972643125301</v>
      </c>
      <c r="AI4723">
        <v>93.809130692388294</v>
      </c>
      <c r="AJ4723">
        <v>92.190160242165206</v>
      </c>
      <c r="AK4723">
        <v>16.7913054618788</v>
      </c>
      <c r="AL4723">
        <v>80.796081428689703</v>
      </c>
      <c r="AM4723">
        <v>91.207840843617205</v>
      </c>
      <c r="AN4723">
        <v>1.0000000030446501</v>
      </c>
    </row>
    <row r="4724" spans="1:40" x14ac:dyDescent="0.25">
      <c r="A4724" t="str">
        <f>"20190312173025333"</f>
        <v>20190312173025333</v>
      </c>
      <c r="B4724" t="str">
        <f>"1552383025322229"</f>
        <v>1552383025322229</v>
      </c>
      <c r="C4724" t="s">
        <v>40</v>
      </c>
      <c r="D4724">
        <v>3.4185349999999999</v>
      </c>
      <c r="E4724">
        <v>0.4950001</v>
      </c>
      <c r="F4724" t="s">
        <v>41</v>
      </c>
      <c r="G4724">
        <v>-423.67250000000001</v>
      </c>
      <c r="H4724" s="1">
        <v>-4.4551680000000001E-6</v>
      </c>
      <c r="I4724">
        <v>88.16422</v>
      </c>
      <c r="J4724">
        <v>-423.25830000000002</v>
      </c>
      <c r="K4724">
        <v>1.1152759999999999</v>
      </c>
      <c r="L4724">
        <v>104.1463</v>
      </c>
      <c r="M4724">
        <v>-5.8866460000000002E-2</v>
      </c>
      <c r="N4724">
        <v>0</v>
      </c>
      <c r="O4724">
        <v>-0.99816380000000005</v>
      </c>
      <c r="P4724">
        <v>-4.2336899999999997E-2</v>
      </c>
      <c r="Q4724">
        <v>0.14570910000000001</v>
      </c>
      <c r="R4724">
        <v>-0.98842129999999995</v>
      </c>
      <c r="S4724">
        <v>-8.0841060000000006E-2</v>
      </c>
      <c r="T4724">
        <v>-0.2094442</v>
      </c>
      <c r="U4724">
        <v>-3.062897</v>
      </c>
      <c r="V4724">
        <v>-1.7998859999999998E-2</v>
      </c>
      <c r="W4724">
        <v>0.15960829999999901</v>
      </c>
      <c r="X4724">
        <v>0.98701629999999996</v>
      </c>
      <c r="Y4724">
        <v>-3.257442E-2</v>
      </c>
      <c r="Z4724">
        <v>6.8014610000000003E-2</v>
      </c>
      <c r="AA4724">
        <v>0.99715240000000005</v>
      </c>
      <c r="AB4724">
        <v>35</v>
      </c>
      <c r="AC4724">
        <v>-0.41419999999999302</v>
      </c>
      <c r="AD4724">
        <v>-1.115280455168</v>
      </c>
      <c r="AE4724">
        <v>-15.9820799999999</v>
      </c>
      <c r="AF4724">
        <v>-0.52486853279831303</v>
      </c>
      <c r="AG4724">
        <v>-1.115280455168</v>
      </c>
      <c r="AH4724">
        <v>15.9013614825937</v>
      </c>
      <c r="AI4724">
        <v>94.009831352275697</v>
      </c>
      <c r="AJ4724">
        <v>91.890519710731397</v>
      </c>
      <c r="AK4724">
        <v>15.9490637490266</v>
      </c>
      <c r="AL4724">
        <v>80.815838452734894</v>
      </c>
      <c r="AM4724">
        <v>91.044708609095693</v>
      </c>
      <c r="AN4724">
        <v>0.99999997242793903</v>
      </c>
    </row>
    <row r="4725" spans="1:40" x14ac:dyDescent="0.25">
      <c r="A4725" t="str">
        <f>"20190312173025358"</f>
        <v>20190312173025358</v>
      </c>
      <c r="B4725" t="str">
        <f>"1552383025352484"</f>
        <v>1552383025352484</v>
      </c>
      <c r="C4725" t="s">
        <v>40</v>
      </c>
      <c r="D4725">
        <v>3.4094120000000001</v>
      </c>
      <c r="E4725">
        <v>0.49605919999999998</v>
      </c>
      <c r="F4725" t="s">
        <v>41</v>
      </c>
      <c r="G4725">
        <v>-423.66469999999998</v>
      </c>
      <c r="H4725" s="1">
        <v>-4.4305929999999996E-6</v>
      </c>
      <c r="I4725">
        <v>88.096040000000002</v>
      </c>
      <c r="J4725">
        <v>-423.27449999999999</v>
      </c>
      <c r="K4725">
        <v>1.115035</v>
      </c>
      <c r="L4725">
        <v>103.78270000000001</v>
      </c>
      <c r="M4725">
        <v>-5.3696090000000002E-2</v>
      </c>
      <c r="N4725">
        <v>0</v>
      </c>
      <c r="O4725">
        <v>-0.99845550000000005</v>
      </c>
      <c r="P4725">
        <v>-3.9579419999999997E-2</v>
      </c>
      <c r="Q4725">
        <v>0.14628969999999999</v>
      </c>
      <c r="R4725">
        <v>-0.98844949999999998</v>
      </c>
      <c r="S4725">
        <v>-7.7575679999999994E-2</v>
      </c>
      <c r="T4725">
        <v>-0.21285219999999999</v>
      </c>
      <c r="U4725">
        <v>-3.063202</v>
      </c>
      <c r="V4725">
        <v>-1.554052E-2</v>
      </c>
      <c r="W4725">
        <v>0.16019949999999999</v>
      </c>
      <c r="X4725">
        <v>0.98696229999999996</v>
      </c>
      <c r="Y4725">
        <v>-2.8464610000000001E-2</v>
      </c>
      <c r="Z4725">
        <v>6.9144799999999895E-2</v>
      </c>
      <c r="AA4725">
        <v>0.99720050000000005</v>
      </c>
      <c r="AB4725">
        <v>35</v>
      </c>
      <c r="AC4725">
        <v>-0.390199999999993</v>
      </c>
      <c r="AD4725">
        <v>-1.115039430593</v>
      </c>
      <c r="AE4725">
        <v>-15.68666</v>
      </c>
      <c r="AF4725">
        <v>-0.450486263284129</v>
      </c>
      <c r="AG4725">
        <v>-1.115039430593</v>
      </c>
      <c r="AH4725">
        <v>15.6061751457767</v>
      </c>
      <c r="AI4725">
        <v>94.085062942993005</v>
      </c>
      <c r="AJ4725">
        <v>91.653435005467401</v>
      </c>
      <c r="AK4725">
        <v>15.6524424127944</v>
      </c>
      <c r="AL4725">
        <v>80.781523756642301</v>
      </c>
      <c r="AM4725">
        <v>90.902093861230796</v>
      </c>
      <c r="AN4725">
        <v>0.99999998459170503</v>
      </c>
    </row>
    <row r="4726" spans="1:40" x14ac:dyDescent="0.25">
      <c r="A4726" t="str">
        <f>"20190312173025379"</f>
        <v>20190312173025379</v>
      </c>
      <c r="B4726" t="str">
        <f>"1552383025372980"</f>
        <v>1552383025372980</v>
      </c>
      <c r="C4726" t="s">
        <v>40</v>
      </c>
      <c r="D4726">
        <v>3.415092</v>
      </c>
      <c r="E4726">
        <v>0.4957741</v>
      </c>
      <c r="F4726" t="s">
        <v>41</v>
      </c>
      <c r="G4726">
        <v>-423.67619999999999</v>
      </c>
      <c r="H4726" s="1">
        <v>-4.3843669999999996E-6</v>
      </c>
      <c r="I4726">
        <v>87.954239999999999</v>
      </c>
      <c r="J4726">
        <v>-423.28809999999999</v>
      </c>
      <c r="K4726">
        <v>1.1148049999999901</v>
      </c>
      <c r="L4726">
        <v>103.4455</v>
      </c>
      <c r="M4726">
        <v>-4.9130790000000001E-2</v>
      </c>
      <c r="N4726">
        <v>0</v>
      </c>
      <c r="O4726">
        <v>-0.998691</v>
      </c>
      <c r="P4726">
        <v>-3.742612E-2</v>
      </c>
      <c r="Q4726">
        <v>0.14631189999999999</v>
      </c>
      <c r="R4726">
        <v>-0.98853029999999997</v>
      </c>
      <c r="S4726">
        <v>-7.7758789999999994E-2</v>
      </c>
      <c r="T4726">
        <v>-0.2158371</v>
      </c>
      <c r="U4726">
        <v>-3.063904</v>
      </c>
      <c r="V4726">
        <v>-1.308E-2</v>
      </c>
      <c r="W4726">
        <v>0.1602325</v>
      </c>
      <c r="X4726">
        <v>0.98699269999999995</v>
      </c>
      <c r="Y4726">
        <v>-2.3842289999999999E-2</v>
      </c>
      <c r="Z4726">
        <v>7.0122630000000005E-2</v>
      </c>
      <c r="AA4726">
        <v>0.99725339999999996</v>
      </c>
      <c r="AB4726">
        <v>35</v>
      </c>
      <c r="AC4726">
        <v>-0.38810000000000799</v>
      </c>
      <c r="AD4726">
        <v>-1.11480938436699</v>
      </c>
      <c r="AE4726">
        <v>-15.491259999999899</v>
      </c>
      <c r="AF4726">
        <v>-0.37162034494410101</v>
      </c>
      <c r="AG4726">
        <v>-1.11480938436699</v>
      </c>
      <c r="AH4726">
        <v>15.411853248416501</v>
      </c>
      <c r="AI4726">
        <v>94.136060335595005</v>
      </c>
      <c r="AJ4726">
        <v>91.381284383129397</v>
      </c>
      <c r="AK4726">
        <v>15.4565883103282</v>
      </c>
      <c r="AL4726">
        <v>80.779609000653295</v>
      </c>
      <c r="AM4726">
        <v>90.759260861518598</v>
      </c>
      <c r="AN4726">
        <v>1.00000006515476</v>
      </c>
    </row>
    <row r="4727" spans="1:40" x14ac:dyDescent="0.25">
      <c r="A4727" t="str">
        <f>"20190312173025402"</f>
        <v>20190312173025402</v>
      </c>
      <c r="B4727" t="str">
        <f>"1552383025392500"</f>
        <v>1552383025392500</v>
      </c>
      <c r="C4727" t="s">
        <v>40</v>
      </c>
      <c r="D4727">
        <v>3.3619590000000001</v>
      </c>
      <c r="E4727">
        <v>0.47242299999999998</v>
      </c>
      <c r="F4727" t="s">
        <v>41</v>
      </c>
      <c r="G4727">
        <v>-423.64679999999998</v>
      </c>
      <c r="H4727" s="1">
        <v>-4.2236420000000004E-6</v>
      </c>
      <c r="I4727">
        <v>87.49727</v>
      </c>
      <c r="J4727">
        <v>-423.30059999999997</v>
      </c>
      <c r="K4727">
        <v>1.1145560000000001</v>
      </c>
      <c r="L4727">
        <v>103.1018</v>
      </c>
      <c r="M4727">
        <v>-4.4705519999999999E-2</v>
      </c>
      <c r="N4727">
        <v>0</v>
      </c>
      <c r="O4727">
        <v>-0.99889919999999999</v>
      </c>
      <c r="P4727">
        <v>-3.465269E-2</v>
      </c>
      <c r="Q4727">
        <v>0.14566170000000001</v>
      </c>
      <c r="R4727">
        <v>-0.98872749999999998</v>
      </c>
      <c r="S4727">
        <v>-6.8908689999999995E-2</v>
      </c>
      <c r="T4727">
        <v>-0.21417220000000001</v>
      </c>
      <c r="U4727">
        <v>-3.063904</v>
      </c>
      <c r="V4727">
        <v>-1.1372790000000001E-2</v>
      </c>
      <c r="W4727">
        <v>0.1595839</v>
      </c>
      <c r="X4727">
        <v>0.98711879999999996</v>
      </c>
      <c r="Y4727">
        <v>-2.2290999999999998E-2</v>
      </c>
      <c r="Z4727">
        <v>6.960972E-2</v>
      </c>
      <c r="AA4727">
        <v>0.99732520000000002</v>
      </c>
      <c r="AB4727">
        <v>35</v>
      </c>
      <c r="AC4727">
        <v>-0.34620000000001</v>
      </c>
      <c r="AD4727">
        <v>-1.11456022364199</v>
      </c>
      <c r="AE4727">
        <v>-15.604529999999899</v>
      </c>
      <c r="AF4727">
        <v>-0.350040342400183</v>
      </c>
      <c r="AG4727">
        <v>-1.11456022364199</v>
      </c>
      <c r="AH4727">
        <v>15.525239717189899</v>
      </c>
      <c r="AI4727">
        <v>94.105191720032295</v>
      </c>
      <c r="AJ4727">
        <v>91.291602400005701</v>
      </c>
      <c r="AK4727">
        <v>15.5691310293684</v>
      </c>
      <c r="AL4727">
        <v>80.8172543528472</v>
      </c>
      <c r="AM4727">
        <v>90.660086748754694</v>
      </c>
      <c r="AN4727">
        <v>0.99999994340251497</v>
      </c>
    </row>
    <row r="4728" spans="1:40" x14ac:dyDescent="0.25">
      <c r="A4728" t="str">
        <f>"20190312173025423"</f>
        <v>20190312173025423</v>
      </c>
      <c r="B4728" t="str">
        <f>"1552383025412996"</f>
        <v>1552383025412996</v>
      </c>
      <c r="C4728" t="s">
        <v>40</v>
      </c>
      <c r="D4728">
        <v>3.3634909999999998</v>
      </c>
      <c r="E4728">
        <v>0.47028999999999999</v>
      </c>
      <c r="F4728" t="s">
        <v>41</v>
      </c>
      <c r="G4728">
        <v>-422.3775</v>
      </c>
      <c r="H4728" s="1">
        <v>-9.3782749999999996E-7</v>
      </c>
      <c r="I4728">
        <v>80.30059</v>
      </c>
      <c r="J4728">
        <v>-423.31139999999999</v>
      </c>
      <c r="K4728">
        <v>1.114323</v>
      </c>
      <c r="L4728">
        <v>102.7718</v>
      </c>
      <c r="M4728">
        <v>-4.0681630000000003E-2</v>
      </c>
      <c r="N4728">
        <v>0</v>
      </c>
      <c r="O4728">
        <v>-0.99907170000000001</v>
      </c>
      <c r="P4728">
        <v>-3.2421459999999999E-2</v>
      </c>
      <c r="Q4728">
        <v>0.14499110000000001</v>
      </c>
      <c r="R4728">
        <v>-0.9889019</v>
      </c>
      <c r="S4728">
        <v>0.12390139999999999</v>
      </c>
      <c r="T4728">
        <v>-0.1496055</v>
      </c>
      <c r="U4728">
        <v>-3.0605769999999999</v>
      </c>
      <c r="V4728">
        <v>-9.5253939999999995E-3</v>
      </c>
      <c r="W4728">
        <v>0.1589159</v>
      </c>
      <c r="X4728">
        <v>0.98724619999999996</v>
      </c>
      <c r="Y4728">
        <v>-8.1020750000000002E-2</v>
      </c>
      <c r="Z4728">
        <v>4.8662379999999998E-2</v>
      </c>
      <c r="AA4728">
        <v>0.99552379999999996</v>
      </c>
      <c r="AB4728">
        <v>35</v>
      </c>
      <c r="AC4728">
        <v>0.93389999999999396</v>
      </c>
      <c r="AD4728">
        <v>-1.1143239378275001</v>
      </c>
      <c r="AE4728">
        <v>-22.471209999999999</v>
      </c>
      <c r="AF4728">
        <v>-1.8428600469109899</v>
      </c>
      <c r="AG4728">
        <v>-1.1143239378275001</v>
      </c>
      <c r="AH4728">
        <v>22.359718111034699</v>
      </c>
      <c r="AI4728">
        <v>92.843419706165804</v>
      </c>
      <c r="AJ4728">
        <v>94.711597468259598</v>
      </c>
      <c r="AK4728">
        <v>22.463188664921301</v>
      </c>
      <c r="AL4728">
        <v>80.856023465601496</v>
      </c>
      <c r="AM4728">
        <v>90.552798217705003</v>
      </c>
      <c r="AN4728">
        <v>1.00000002790905</v>
      </c>
    </row>
    <row r="4729" spans="1:40" x14ac:dyDescent="0.25">
      <c r="A4729" t="str">
        <f>"20190312173025445"</f>
        <v>20190312173025445</v>
      </c>
      <c r="B4729" t="str">
        <f>"1552383025442276"</f>
        <v>1552383025442276</v>
      </c>
      <c r="C4729" t="s">
        <v>40</v>
      </c>
      <c r="D4729">
        <v>3.3850880000000001</v>
      </c>
      <c r="E4729">
        <v>0.46968209999999999</v>
      </c>
      <c r="F4729" t="s">
        <v>41</v>
      </c>
      <c r="G4729">
        <v>-422.15129999999999</v>
      </c>
      <c r="H4729" s="1">
        <v>-4.3856349999999999E-6</v>
      </c>
      <c r="I4729">
        <v>78.75282</v>
      </c>
      <c r="J4729">
        <v>-423.32130000000001</v>
      </c>
      <c r="K4729">
        <v>1.1140939999999999</v>
      </c>
      <c r="L4729">
        <v>102.4325</v>
      </c>
      <c r="M4729">
        <v>-3.6780500000000001E-2</v>
      </c>
      <c r="N4729">
        <v>0</v>
      </c>
      <c r="O4729">
        <v>-0.99922310000000003</v>
      </c>
      <c r="P4729">
        <v>-3.0165870000000001E-2</v>
      </c>
      <c r="Q4729">
        <v>0.14487630000000001</v>
      </c>
      <c r="R4729">
        <v>-0.98898989999999998</v>
      </c>
      <c r="S4729">
        <v>0.14776610000000001</v>
      </c>
      <c r="T4729">
        <v>-0.14193310000000001</v>
      </c>
      <c r="U4729">
        <v>-3.059326</v>
      </c>
      <c r="V4729">
        <v>-7.8270430000000005E-3</v>
      </c>
      <c r="W4729">
        <v>0.1587991</v>
      </c>
      <c r="X4729">
        <v>0.98727989999999999</v>
      </c>
      <c r="Y4729">
        <v>-8.4901089999999999E-2</v>
      </c>
      <c r="Z4729">
        <v>4.6186140000000001E-2</v>
      </c>
      <c r="AA4729">
        <v>0.99531840000000005</v>
      </c>
      <c r="AB4729">
        <v>35</v>
      </c>
      <c r="AC4729">
        <v>1.1700000000000099</v>
      </c>
      <c r="AD4729">
        <v>-1.114098385635</v>
      </c>
      <c r="AE4729">
        <v>-23.679680000000001</v>
      </c>
      <c r="AF4729">
        <v>-2.0357506066037798</v>
      </c>
      <c r="AG4729">
        <v>-1.114098385635</v>
      </c>
      <c r="AH4729">
        <v>23.568572980130401</v>
      </c>
      <c r="AI4729">
        <v>92.696361069445203</v>
      </c>
      <c r="AJ4729">
        <v>94.936706851449699</v>
      </c>
      <c r="AK4729">
        <v>23.682549019581799</v>
      </c>
      <c r="AL4729">
        <v>80.8628015099344</v>
      </c>
      <c r="AM4729">
        <v>90.454224921372798</v>
      </c>
      <c r="AN4729">
        <v>1.00000000885347</v>
      </c>
    </row>
    <row r="4730" spans="1:40" x14ac:dyDescent="0.25">
      <c r="A4730" t="str">
        <f>"20190312173025468"</f>
        <v>20190312173025468</v>
      </c>
      <c r="B4730" t="str">
        <f>"1552383025462774"</f>
        <v>1552383025462774</v>
      </c>
      <c r="C4730" t="s">
        <v>40</v>
      </c>
      <c r="D4730">
        <v>3.367985</v>
      </c>
      <c r="E4730">
        <v>0.46978199999999998</v>
      </c>
      <c r="F4730" t="s">
        <v>41</v>
      </c>
      <c r="G4730">
        <v>-422.03210000000001</v>
      </c>
      <c r="H4730" s="1">
        <v>-4.017921E-6</v>
      </c>
      <c r="I4730">
        <v>77.734380000000002</v>
      </c>
      <c r="J4730">
        <v>-423.33019999999999</v>
      </c>
      <c r="K4730">
        <v>1.1138840000000001</v>
      </c>
      <c r="L4730">
        <v>102.0806</v>
      </c>
      <c r="M4730">
        <v>-3.2932049999999997E-2</v>
      </c>
      <c r="N4730">
        <v>0</v>
      </c>
      <c r="O4730">
        <v>-0.99935779999999996</v>
      </c>
      <c r="P4730">
        <v>-2.7603140000000002E-2</v>
      </c>
      <c r="Q4730">
        <v>0.14429819999999999</v>
      </c>
      <c r="R4730">
        <v>-0.98914930000000001</v>
      </c>
      <c r="S4730">
        <v>0.15963749999999999</v>
      </c>
      <c r="T4730">
        <v>-0.13796349999999999</v>
      </c>
      <c r="U4730">
        <v>-3.0584720000000001</v>
      </c>
      <c r="V4730">
        <v>-6.4930140000000001E-3</v>
      </c>
      <c r="W4730">
        <v>0.15821479999999999</v>
      </c>
      <c r="X4730">
        <v>0.98738340000000002</v>
      </c>
      <c r="Y4730">
        <v>-8.4933819999999993E-2</v>
      </c>
      <c r="Z4730">
        <v>4.4914219999999998E-2</v>
      </c>
      <c r="AA4730">
        <v>0.99537379999999998</v>
      </c>
      <c r="AB4730">
        <v>35</v>
      </c>
      <c r="AC4730">
        <v>1.2980999999999701</v>
      </c>
      <c r="AD4730">
        <v>-1.113888017921</v>
      </c>
      <c r="AE4730">
        <v>-24.346219999999999</v>
      </c>
      <c r="AF4730">
        <v>-2.0948740179270602</v>
      </c>
      <c r="AG4730">
        <v>-1.113888017921</v>
      </c>
      <c r="AH4730">
        <v>24.239662737301799</v>
      </c>
      <c r="AI4730">
        <v>92.621311232203794</v>
      </c>
      <c r="AJ4730">
        <v>94.939422826934404</v>
      </c>
      <c r="AK4730">
        <v>24.355502320535098</v>
      </c>
      <c r="AL4730">
        <v>80.896708283404195</v>
      </c>
      <c r="AM4730">
        <v>90.376770498815901</v>
      </c>
      <c r="AN4730">
        <v>1.0000000303826999</v>
      </c>
    </row>
    <row r="4731" spans="1:40" x14ac:dyDescent="0.25">
      <c r="A4731" t="str">
        <f>"20190312173025490"</f>
        <v>20190312173025490</v>
      </c>
      <c r="B4731" t="str">
        <f>"1552383025482292"</f>
        <v>1552383025482292</v>
      </c>
      <c r="C4731" t="s">
        <v>40</v>
      </c>
      <c r="D4731">
        <v>3.355747</v>
      </c>
      <c r="E4731">
        <v>0.47015580000000001</v>
      </c>
      <c r="F4731" t="s">
        <v>41</v>
      </c>
      <c r="G4731">
        <v>-421.98250000000002</v>
      </c>
      <c r="H4731" s="1">
        <v>-3.8622759999999996E-6</v>
      </c>
      <c r="I4731">
        <v>77.362560000000002</v>
      </c>
      <c r="J4731">
        <v>-423.33760000000001</v>
      </c>
      <c r="K4731">
        <v>1.1137049999999999</v>
      </c>
      <c r="L4731">
        <v>101.7466</v>
      </c>
      <c r="M4731">
        <v>-2.9446920000000001E-2</v>
      </c>
      <c r="N4731">
        <v>0</v>
      </c>
      <c r="O4731">
        <v>-0.99946659999999998</v>
      </c>
      <c r="P4731">
        <v>-2.5435349999999999E-2</v>
      </c>
      <c r="Q4731">
        <v>0.1436568</v>
      </c>
      <c r="R4731">
        <v>-0.98930070000000003</v>
      </c>
      <c r="S4731">
        <v>0.16671749999999999</v>
      </c>
      <c r="T4731">
        <v>-0.13779029999999901</v>
      </c>
      <c r="U4731">
        <v>-3.0576780000000001</v>
      </c>
      <c r="V4731">
        <v>-5.1366390000000001E-3</v>
      </c>
      <c r="W4731">
        <v>0.1575693</v>
      </c>
      <c r="X4731">
        <v>0.9874946</v>
      </c>
      <c r="Y4731">
        <v>-8.3770999999999998E-2</v>
      </c>
      <c r="Z4731">
        <v>4.4876340000000001E-2</v>
      </c>
      <c r="AA4731">
        <v>0.99547399999999997</v>
      </c>
      <c r="AB4731">
        <v>35</v>
      </c>
      <c r="AC4731">
        <v>1.35509999999999</v>
      </c>
      <c r="AD4731">
        <v>-1.1137088622760001</v>
      </c>
      <c r="AE4731">
        <v>-24.384039999999999</v>
      </c>
      <c r="AF4731">
        <v>-2.0683173077931398</v>
      </c>
      <c r="AG4731">
        <v>-1.1137088622760001</v>
      </c>
      <c r="AH4731">
        <v>24.283055583990901</v>
      </c>
      <c r="AI4731">
        <v>92.616491034329201</v>
      </c>
      <c r="AJ4731">
        <v>94.868436463087306</v>
      </c>
      <c r="AK4731">
        <v>24.396415154912098</v>
      </c>
      <c r="AL4731">
        <v>80.934162491253502</v>
      </c>
      <c r="AM4731">
        <v>90.2980320917288</v>
      </c>
      <c r="AN4731">
        <v>1.00000002719593</v>
      </c>
    </row>
    <row r="4732" spans="1:40" x14ac:dyDescent="0.25">
      <c r="A4732" t="str">
        <f>"20190312173025505"</f>
        <v>20190312173025505</v>
      </c>
      <c r="B4732" t="str">
        <f>"1552383025493029"</f>
        <v>1552383025493029</v>
      </c>
      <c r="C4732" t="s">
        <v>40</v>
      </c>
      <c r="D4732">
        <v>3.3698329999999999</v>
      </c>
      <c r="E4732">
        <v>0.47046830000000001</v>
      </c>
      <c r="F4732" t="s">
        <v>41</v>
      </c>
      <c r="G4732">
        <v>-421.98680000000002</v>
      </c>
      <c r="H4732" s="1">
        <v>-3.9350310000000002E-6</v>
      </c>
      <c r="I4732">
        <v>77.529480000000007</v>
      </c>
      <c r="J4732">
        <v>-423.34249999999997</v>
      </c>
      <c r="K4732">
        <v>1.113585</v>
      </c>
      <c r="L4732">
        <v>101.5034</v>
      </c>
      <c r="M4732">
        <v>-2.700147E-2</v>
      </c>
      <c r="N4732">
        <v>0</v>
      </c>
      <c r="O4732">
        <v>-0.99953590000000003</v>
      </c>
      <c r="P4732">
        <v>-2.375321E-2</v>
      </c>
      <c r="Q4732">
        <v>0.1435757</v>
      </c>
      <c r="R4732">
        <v>-0.98935439999999997</v>
      </c>
      <c r="S4732">
        <v>0.17053219999999999</v>
      </c>
      <c r="T4732">
        <v>-0.14059720000000001</v>
      </c>
      <c r="U4732">
        <v>-3.05722</v>
      </c>
      <c r="V4732">
        <v>-4.3498679999999998E-3</v>
      </c>
      <c r="W4732">
        <v>0.15748219999999999</v>
      </c>
      <c r="X4732">
        <v>0.98751219999999995</v>
      </c>
      <c r="Y4732">
        <v>-8.2576990000000003E-2</v>
      </c>
      <c r="Z4732">
        <v>4.5800899999999999E-2</v>
      </c>
      <c r="AA4732">
        <v>0.99553170000000002</v>
      </c>
      <c r="AB4732">
        <v>35</v>
      </c>
      <c r="AC4732">
        <v>1.3556999999999499</v>
      </c>
      <c r="AD4732">
        <v>-1.113588935031</v>
      </c>
      <c r="AE4732">
        <v>-23.97392</v>
      </c>
      <c r="AF4732">
        <v>-1.9983032717025799</v>
      </c>
      <c r="AG4732">
        <v>-1.113588935031</v>
      </c>
      <c r="AH4732">
        <v>23.877214334910601</v>
      </c>
      <c r="AI4732">
        <v>92.660944725460695</v>
      </c>
      <c r="AJ4732">
        <v>94.783981412550204</v>
      </c>
      <c r="AK4732">
        <v>23.9865516629044</v>
      </c>
      <c r="AL4732">
        <v>80.939215387276903</v>
      </c>
      <c r="AM4732">
        <v>90.252379125982799</v>
      </c>
      <c r="AN4732">
        <v>0.99999995490864702</v>
      </c>
    </row>
    <row r="4733" spans="1:40" x14ac:dyDescent="0.25">
      <c r="A4733" t="str">
        <f>"20190312173025524"</f>
        <v>20190312173025524</v>
      </c>
      <c r="B4733" t="str">
        <f>"1552383025512551"</f>
        <v>1552383025512551</v>
      </c>
      <c r="C4733" t="s">
        <v>40</v>
      </c>
      <c r="D4733">
        <v>3.3585509999999998</v>
      </c>
      <c r="E4733">
        <v>0.47097620000000001</v>
      </c>
      <c r="F4733" t="s">
        <v>41</v>
      </c>
      <c r="G4733">
        <v>-421.97579999999999</v>
      </c>
      <c r="H4733" s="1">
        <v>-3.9145730000000001E-6</v>
      </c>
      <c r="I4733">
        <v>77.488630000000001</v>
      </c>
      <c r="J4733">
        <v>-423.34739999999999</v>
      </c>
      <c r="K4733">
        <v>1.113456</v>
      </c>
      <c r="L4733">
        <v>101.2295</v>
      </c>
      <c r="M4733">
        <v>-2.4345329999999998E-2</v>
      </c>
      <c r="N4733">
        <v>0</v>
      </c>
      <c r="O4733">
        <v>-0.99960450000000001</v>
      </c>
      <c r="P4733">
        <v>-2.2496100000000002E-2</v>
      </c>
      <c r="Q4733">
        <v>0.143263</v>
      </c>
      <c r="R4733">
        <v>-0.98942920000000001</v>
      </c>
      <c r="S4733">
        <v>0.17398069999999999</v>
      </c>
      <c r="T4733">
        <v>-0.14175650000000001</v>
      </c>
      <c r="U4733">
        <v>-3.057007</v>
      </c>
      <c r="V4733">
        <v>-2.9251220000000001E-3</v>
      </c>
      <c r="W4733">
        <v>0.15716859999999999</v>
      </c>
      <c r="X4733">
        <v>0.98756750000000004</v>
      </c>
      <c r="Y4733">
        <v>-8.1051020000000001E-2</v>
      </c>
      <c r="Z4733">
        <v>4.6187140000000002E-2</v>
      </c>
      <c r="AA4733">
        <v>0.99563919999999995</v>
      </c>
      <c r="AB4733">
        <v>34</v>
      </c>
      <c r="AC4733">
        <v>1.3715999999999999</v>
      </c>
      <c r="AD4733">
        <v>-1.113459914573</v>
      </c>
      <c r="AE4733">
        <v>-23.740870000000001</v>
      </c>
      <c r="AF4733">
        <v>-1.94496594014151</v>
      </c>
      <c r="AG4733">
        <v>-1.113459914573</v>
      </c>
      <c r="AH4733">
        <v>23.648590800175501</v>
      </c>
      <c r="AI4733">
        <v>92.686640868778895</v>
      </c>
      <c r="AJ4733">
        <v>94.7016794121364</v>
      </c>
      <c r="AK4733">
        <v>23.754547613537401</v>
      </c>
      <c r="AL4733">
        <v>80.957410756137506</v>
      </c>
      <c r="AM4733">
        <v>90.169706531499301</v>
      </c>
      <c r="AN4733">
        <v>1.0000000461104599</v>
      </c>
    </row>
    <row r="4734" spans="1:40" x14ac:dyDescent="0.25">
      <c r="A4734" t="str">
        <f>"20190312173025546"</f>
        <v>20190312173025546</v>
      </c>
      <c r="B4734" t="str">
        <f>"1552383025542805"</f>
        <v>1552383025542805</v>
      </c>
      <c r="C4734" t="s">
        <v>40</v>
      </c>
      <c r="D4734">
        <v>3.3664520000000002</v>
      </c>
      <c r="E4734">
        <v>0.47155419999999998</v>
      </c>
      <c r="F4734" t="s">
        <v>41</v>
      </c>
      <c r="G4734">
        <v>-422.00839999999999</v>
      </c>
      <c r="H4734" s="1">
        <v>-3.9696729999999998E-6</v>
      </c>
      <c r="I4734">
        <v>77.604959999999906</v>
      </c>
      <c r="J4734">
        <v>-423.35239999999999</v>
      </c>
      <c r="K4734">
        <v>1.1132949999999999</v>
      </c>
      <c r="L4734">
        <v>100.8823</v>
      </c>
      <c r="M4734">
        <v>-2.1122760000000001E-2</v>
      </c>
      <c r="N4734">
        <v>0</v>
      </c>
      <c r="O4734">
        <v>-0.99967819999999996</v>
      </c>
      <c r="P4734">
        <v>-2.0734160000000001E-2</v>
      </c>
      <c r="Q4734">
        <v>0.14334939999999999</v>
      </c>
      <c r="R4734">
        <v>-0.98945530000000004</v>
      </c>
      <c r="S4734">
        <v>0.17324829999999999</v>
      </c>
      <c r="T4734">
        <v>-0.14407420000000001</v>
      </c>
      <c r="U4734">
        <v>-3.056854</v>
      </c>
      <c r="V4734">
        <v>-1.4351450000000001E-3</v>
      </c>
      <c r="W4734">
        <v>0.15724859999999999</v>
      </c>
      <c r="X4734">
        <v>0.98755800000000005</v>
      </c>
      <c r="Y4734">
        <v>-7.7600459999999996E-2</v>
      </c>
      <c r="Z4734">
        <v>4.6954910000000002E-2</v>
      </c>
      <c r="AA4734">
        <v>0.99587820000000005</v>
      </c>
      <c r="AB4734">
        <v>34</v>
      </c>
      <c r="AC4734">
        <v>1.3439999999999901</v>
      </c>
      <c r="AD4734">
        <v>-1.113298969673</v>
      </c>
      <c r="AE4734">
        <v>-23.277339999999999</v>
      </c>
      <c r="AF4734">
        <v>-1.8312552271117599</v>
      </c>
      <c r="AG4734">
        <v>-1.113298969673</v>
      </c>
      <c r="AH4734">
        <v>23.1908814010499</v>
      </c>
      <c r="AI4734">
        <v>92.739909182442901</v>
      </c>
      <c r="AJ4734">
        <v>94.514961176131294</v>
      </c>
      <c r="AK4734">
        <v>23.289695370705498</v>
      </c>
      <c r="AL4734">
        <v>80.952768892274804</v>
      </c>
      <c r="AM4734">
        <v>90.083263660063196</v>
      </c>
      <c r="AN4734">
        <v>0.99999999260356498</v>
      </c>
    </row>
    <row r="4735" spans="1:40" x14ac:dyDescent="0.25">
      <c r="A4735" t="str">
        <f>"20190312173025561"</f>
        <v>20190312173025561</v>
      </c>
      <c r="B4735" t="str">
        <f>"1552383025552565"</f>
        <v>1552383025552565</v>
      </c>
      <c r="C4735" t="s">
        <v>40</v>
      </c>
      <c r="D4735">
        <v>3.3822390000000002</v>
      </c>
      <c r="E4735">
        <v>0.47176869999999999</v>
      </c>
      <c r="F4735" t="s">
        <v>41</v>
      </c>
      <c r="G4735">
        <v>-421.99290000000002</v>
      </c>
      <c r="H4735" s="1">
        <v>-3.7311569999999998E-6</v>
      </c>
      <c r="I4735">
        <v>77.050460000000001</v>
      </c>
      <c r="J4735">
        <v>-423.3553</v>
      </c>
      <c r="K4735">
        <v>1.1131930000000001</v>
      </c>
      <c r="L4735">
        <v>100.6511</v>
      </c>
      <c r="M4735">
        <v>-1.9042400000000001E-2</v>
      </c>
      <c r="N4735">
        <v>0</v>
      </c>
      <c r="O4735">
        <v>-0.99971989999999999</v>
      </c>
      <c r="P4735">
        <v>-1.9211289999999999E-2</v>
      </c>
      <c r="Q4735">
        <v>0.1434841</v>
      </c>
      <c r="R4735">
        <v>-0.98946639999999997</v>
      </c>
      <c r="S4735">
        <v>0.1743469</v>
      </c>
      <c r="T4735">
        <v>-0.14277429999999999</v>
      </c>
      <c r="U4735">
        <v>-3.056305</v>
      </c>
      <c r="V4735">
        <v>-8.5921089999999999E-4</v>
      </c>
      <c r="W4735">
        <v>0.15737579999999901</v>
      </c>
      <c r="X4735">
        <v>0.98753840000000004</v>
      </c>
      <c r="Y4735">
        <v>-7.589369E-2</v>
      </c>
      <c r="Z4735">
        <v>4.654606E-2</v>
      </c>
      <c r="AA4735">
        <v>0.99602889999999999</v>
      </c>
      <c r="AB4735">
        <v>34</v>
      </c>
      <c r="AC4735">
        <v>1.3623999999999701</v>
      </c>
      <c r="AD4735">
        <v>-1.1131967311569999</v>
      </c>
      <c r="AE4735">
        <v>-23.600639999999999</v>
      </c>
      <c r="AF4735">
        <v>-1.8076018873534601</v>
      </c>
      <c r="AG4735">
        <v>-1.1131967311569999</v>
      </c>
      <c r="AH4735">
        <v>23.518263604042499</v>
      </c>
      <c r="AI4735">
        <v>92.702017651746203</v>
      </c>
      <c r="AJ4735">
        <v>94.395083847657901</v>
      </c>
      <c r="AK4735">
        <v>23.6138805471411</v>
      </c>
      <c r="AL4735">
        <v>80.945388921565595</v>
      </c>
      <c r="AM4735">
        <v>90.049850361119695</v>
      </c>
      <c r="AN4735">
        <v>0.99999998607178497</v>
      </c>
    </row>
    <row r="4736" spans="1:40" x14ac:dyDescent="0.25">
      <c r="A4736" t="str">
        <f>"20190312173025575"</f>
        <v>20190312173025575</v>
      </c>
      <c r="B4736" t="str">
        <f>"1552383025563300"</f>
        <v>1552383025563300</v>
      </c>
      <c r="C4736" t="s">
        <v>40</v>
      </c>
      <c r="D4736">
        <v>3.4071120000000001</v>
      </c>
      <c r="E4736">
        <v>0.47196779999999999</v>
      </c>
      <c r="F4736" t="s">
        <v>41</v>
      </c>
      <c r="G4736">
        <v>-421.96390000000002</v>
      </c>
      <c r="H4736" s="1">
        <v>-3.556993E-6</v>
      </c>
      <c r="I4736">
        <v>76.662459999999996</v>
      </c>
      <c r="J4736">
        <v>-423.35730000000001</v>
      </c>
      <c r="K4736">
        <v>1.1131150000000001</v>
      </c>
      <c r="L4736">
        <v>100.4551</v>
      </c>
      <c r="M4736">
        <v>-1.7329939999999999E-2</v>
      </c>
      <c r="N4736">
        <v>0</v>
      </c>
      <c r="O4736">
        <v>-0.99975130000000001</v>
      </c>
      <c r="P4736">
        <v>-1.8121060000000001E-2</v>
      </c>
      <c r="Q4736">
        <v>0.1436615</v>
      </c>
      <c r="R4736">
        <v>-0.98946120000000004</v>
      </c>
      <c r="S4736">
        <v>0.17724609999999999</v>
      </c>
      <c r="T4736">
        <v>-0.14181150000000001</v>
      </c>
      <c r="U4736">
        <v>-3.055939</v>
      </c>
      <c r="V4736">
        <v>-2.2302539999999999E-4</v>
      </c>
      <c r="W4736">
        <v>0.1575481</v>
      </c>
      <c r="X4736">
        <v>0.98751129999999998</v>
      </c>
      <c r="Y4736">
        <v>-7.513512E-2</v>
      </c>
      <c r="Z4736">
        <v>4.6240589999999998E-2</v>
      </c>
      <c r="AA4736">
        <v>0.99610069999999995</v>
      </c>
      <c r="AB4736">
        <v>34</v>
      </c>
      <c r="AC4736">
        <v>1.39339999999998</v>
      </c>
      <c r="AD4736">
        <v>-1.11311855699299</v>
      </c>
      <c r="AE4736">
        <v>-23.792639999999999</v>
      </c>
      <c r="AF4736">
        <v>-1.8016265069433199</v>
      </c>
      <c r="AG4736">
        <v>-1.11311855699299</v>
      </c>
      <c r="AH4736">
        <v>23.7131913144576</v>
      </c>
      <c r="AI4736">
        <v>92.679830729314403</v>
      </c>
      <c r="AJ4736">
        <v>94.344740534972999</v>
      </c>
      <c r="AK4736">
        <v>23.807568823979299</v>
      </c>
      <c r="AL4736">
        <v>80.935392373547003</v>
      </c>
      <c r="AM4736">
        <v>90.012940017928798</v>
      </c>
      <c r="AN4736">
        <v>1.00000001059081</v>
      </c>
    </row>
    <row r="4737" spans="1:40" x14ac:dyDescent="0.25">
      <c r="A4737" t="str">
        <f>"20190312173025591"</f>
        <v>20190312173025591</v>
      </c>
      <c r="B4737" t="str">
        <f>"1552383025582820"</f>
        <v>1552383025582820</v>
      </c>
      <c r="C4737" t="s">
        <v>40</v>
      </c>
      <c r="D4737">
        <v>3.4014069999999998</v>
      </c>
      <c r="E4737">
        <v>0.47231070000000003</v>
      </c>
      <c r="F4737" t="s">
        <v>41</v>
      </c>
      <c r="G4737">
        <v>-421.94380000000001</v>
      </c>
      <c r="H4737" s="1">
        <v>-3.3995900000000002E-6</v>
      </c>
      <c r="I4737">
        <v>76.308009999999996</v>
      </c>
      <c r="J4737">
        <v>-423.35969999999998</v>
      </c>
      <c r="K4737">
        <v>1.1130089999999999</v>
      </c>
      <c r="L4737">
        <v>100.1938</v>
      </c>
      <c r="M4737">
        <v>-1.509608E-2</v>
      </c>
      <c r="N4737">
        <v>0</v>
      </c>
      <c r="O4737">
        <v>-0.9997876</v>
      </c>
      <c r="P4737">
        <v>-1.7198829999999998E-2</v>
      </c>
      <c r="Q4737">
        <v>0.14438719999999999</v>
      </c>
      <c r="R4737">
        <v>-0.98937180000000002</v>
      </c>
      <c r="S4737">
        <v>0.17886350000000001</v>
      </c>
      <c r="T4737">
        <v>-0.14085790000000001</v>
      </c>
      <c r="U4737">
        <v>-3.0556640000000002</v>
      </c>
      <c r="V4737">
        <v>1.104093E-3</v>
      </c>
      <c r="W4737">
        <v>0.15827040000000001</v>
      </c>
      <c r="X4737">
        <v>0.98739520000000003</v>
      </c>
      <c r="Y4737">
        <v>-7.3438439999999994E-2</v>
      </c>
      <c r="Z4737">
        <v>4.5939140000000003E-2</v>
      </c>
      <c r="AA4737">
        <v>0.99624120000000005</v>
      </c>
      <c r="AB4737">
        <v>34</v>
      </c>
      <c r="AC4737">
        <v>1.41589999999996</v>
      </c>
      <c r="AD4737">
        <v>-1.1130123995900001</v>
      </c>
      <c r="AE4737">
        <v>-23.88579</v>
      </c>
      <c r="AF4737">
        <v>-1.7725207115069599</v>
      </c>
      <c r="AG4737">
        <v>-1.1130123995900001</v>
      </c>
      <c r="AH4737">
        <v>23.810172865431699</v>
      </c>
      <c r="AI4737">
        <v>92.668982429661696</v>
      </c>
      <c r="AJ4737">
        <v>94.257464667950799</v>
      </c>
      <c r="AK4737">
        <v>23.9019864897482</v>
      </c>
      <c r="AL4737">
        <v>80.893481798288803</v>
      </c>
      <c r="AM4737">
        <v>89.935932600518498</v>
      </c>
      <c r="AN4737">
        <v>1.0000000097602699</v>
      </c>
    </row>
    <row r="4738" spans="1:40" x14ac:dyDescent="0.25">
      <c r="A4738" t="str">
        <f>"20190312173025615"</f>
        <v>20190312173025615</v>
      </c>
      <c r="B4738" t="str">
        <f>"1552383025602340"</f>
        <v>1552383025602340</v>
      </c>
      <c r="C4738" t="s">
        <v>40</v>
      </c>
      <c r="D4738">
        <v>3.3769770000000001</v>
      </c>
      <c r="E4738">
        <v>0.4726417</v>
      </c>
      <c r="F4738" t="s">
        <v>41</v>
      </c>
      <c r="G4738">
        <v>-421.90620000000001</v>
      </c>
      <c r="H4738" s="1">
        <v>-3.0353570000000001E-6</v>
      </c>
      <c r="I4738">
        <v>75.482330000000005</v>
      </c>
      <c r="J4738">
        <v>-423.36189999999999</v>
      </c>
      <c r="K4738">
        <v>1.112878</v>
      </c>
      <c r="L4738">
        <v>99.845119999999994</v>
      </c>
      <c r="M4738">
        <v>-1.222053E-2</v>
      </c>
      <c r="N4738">
        <v>0</v>
      </c>
      <c r="O4738">
        <v>-0.99982720000000003</v>
      </c>
      <c r="P4738">
        <v>-1.514305E-2</v>
      </c>
      <c r="Q4738">
        <v>0.14461160000000001</v>
      </c>
      <c r="R4738">
        <v>-0.9893729</v>
      </c>
      <c r="S4738">
        <v>0.17971799999999999</v>
      </c>
      <c r="T4738">
        <v>-0.1376183</v>
      </c>
      <c r="U4738">
        <v>-3.05545</v>
      </c>
      <c r="V4738">
        <v>1.945944E-3</v>
      </c>
      <c r="W4738">
        <v>0.15848409999999999</v>
      </c>
      <c r="X4738">
        <v>0.9873596</v>
      </c>
      <c r="Y4738">
        <v>-7.0854399999999998E-2</v>
      </c>
      <c r="Z4738">
        <v>4.489435E-2</v>
      </c>
      <c r="AA4738">
        <v>0.99647589999999997</v>
      </c>
      <c r="AB4738">
        <v>34</v>
      </c>
      <c r="AC4738">
        <v>1.45569999999997</v>
      </c>
      <c r="AD4738">
        <v>-1.112881035357</v>
      </c>
      <c r="AE4738">
        <v>-24.362789999999901</v>
      </c>
      <c r="AF4738">
        <v>-1.74970870856373</v>
      </c>
      <c r="AG4738">
        <v>-1.112881035357</v>
      </c>
      <c r="AH4738">
        <v>24.292669965118101</v>
      </c>
      <c r="AI4738">
        <v>92.616197647872895</v>
      </c>
      <c r="AJ4738">
        <v>94.119683116109798</v>
      </c>
      <c r="AK4738">
        <v>24.3810130798093</v>
      </c>
      <c r="AL4738">
        <v>80.881080979584596</v>
      </c>
      <c r="AM4738">
        <v>89.887078391691404</v>
      </c>
      <c r="AN4738">
        <v>0.99999998818151004</v>
      </c>
    </row>
    <row r="4739" spans="1:40" x14ac:dyDescent="0.25">
      <c r="A4739" t="str">
        <f>"20190312173025635"</f>
        <v>20190312173025635</v>
      </c>
      <c r="B4739" t="str">
        <f>"1552383025622837"</f>
        <v>1552383025622837</v>
      </c>
      <c r="C4739" t="s">
        <v>40</v>
      </c>
      <c r="D4739">
        <v>3.4070710000000002</v>
      </c>
      <c r="E4739">
        <v>0.4727999</v>
      </c>
      <c r="F4739" t="s">
        <v>41</v>
      </c>
      <c r="G4739">
        <v>-421.86790000000002</v>
      </c>
      <c r="H4739" s="1">
        <v>-2.8169659999999998E-6</v>
      </c>
      <c r="I4739">
        <v>74.996979999999994</v>
      </c>
      <c r="J4739">
        <v>-423.36329999999998</v>
      </c>
      <c r="K4739">
        <v>1.1127670000000001</v>
      </c>
      <c r="L4739">
        <v>99.519959999999998</v>
      </c>
      <c r="M4739">
        <v>-9.6332910000000004E-3</v>
      </c>
      <c r="N4739">
        <v>0</v>
      </c>
      <c r="O4739">
        <v>-0.99985559999999996</v>
      </c>
      <c r="P4739">
        <v>-1.2777230000000001E-2</v>
      </c>
      <c r="Q4739">
        <v>0.14460429999999999</v>
      </c>
      <c r="R4739">
        <v>-0.98940689999999998</v>
      </c>
      <c r="S4739">
        <v>0.1836853</v>
      </c>
      <c r="T4739">
        <v>-0.13682620000000001</v>
      </c>
      <c r="U4739">
        <v>-3.0550229999999998</v>
      </c>
      <c r="V4739">
        <v>2.1855440000000002E-3</v>
      </c>
      <c r="W4739">
        <v>0.15846479999999999</v>
      </c>
      <c r="X4739">
        <v>0.98736219999999997</v>
      </c>
      <c r="Y4739">
        <v>-6.9571519999999998E-2</v>
      </c>
      <c r="Z4739">
        <v>4.4644870000000003E-2</v>
      </c>
      <c r="AA4739">
        <v>0.99657739999999995</v>
      </c>
      <c r="AB4739">
        <v>34</v>
      </c>
      <c r="AC4739">
        <v>1.4953999999999601</v>
      </c>
      <c r="AD4739">
        <v>-1.1127698169660001</v>
      </c>
      <c r="AE4739">
        <v>-24.522979999999901</v>
      </c>
      <c r="AF4739">
        <v>-1.7280458239156899</v>
      </c>
      <c r="AG4739">
        <v>-1.1127698169660001</v>
      </c>
      <c r="AH4739">
        <v>24.457262996131401</v>
      </c>
      <c r="AI4739">
        <v>92.598608398313203</v>
      </c>
      <c r="AJ4739">
        <v>94.041558714978095</v>
      </c>
      <c r="AK4739">
        <v>24.543473924793901</v>
      </c>
      <c r="AL4739">
        <v>80.882200973501696</v>
      </c>
      <c r="AM4739">
        <v>89.873174967985506</v>
      </c>
      <c r="AN4739">
        <v>0.99999999171522702</v>
      </c>
    </row>
    <row r="4740" spans="1:40" x14ac:dyDescent="0.25">
      <c r="A4740" t="str">
        <f>"20190312173025657"</f>
        <v>20190312173025657</v>
      </c>
      <c r="B4740" t="str">
        <f>"1552383025653096"</f>
        <v>1552383025653096</v>
      </c>
      <c r="C4740" t="s">
        <v>40</v>
      </c>
      <c r="D4740">
        <v>3.4041339999999898</v>
      </c>
      <c r="E4740">
        <v>0.47749589999999997</v>
      </c>
      <c r="F4740" t="s">
        <v>41</v>
      </c>
      <c r="G4740">
        <v>-421.82470000000001</v>
      </c>
      <c r="H4740" s="1">
        <v>-2.675645E-6</v>
      </c>
      <c r="I4740">
        <v>74.69435</v>
      </c>
      <c r="J4740">
        <v>-423.36380000000003</v>
      </c>
      <c r="K4740">
        <v>1.1126609999999999</v>
      </c>
      <c r="L4740">
        <v>99.172849999999997</v>
      </c>
      <c r="M4740">
        <v>-6.9599309999999999E-3</v>
      </c>
      <c r="N4740">
        <v>0</v>
      </c>
      <c r="O4740">
        <v>-0.99987800000000004</v>
      </c>
      <c r="P4740">
        <v>-1.098408E-2</v>
      </c>
      <c r="Q4740">
        <v>0.1444695</v>
      </c>
      <c r="R4740">
        <v>-0.98944849999999995</v>
      </c>
      <c r="S4740">
        <v>0.18930050000000001</v>
      </c>
      <c r="T4740">
        <v>-0.13691619999999999</v>
      </c>
      <c r="U4740">
        <v>-3.0545650000000002</v>
      </c>
      <c r="V4740">
        <v>3.0815320000000001E-3</v>
      </c>
      <c r="W4740">
        <v>0.15832260000000001</v>
      </c>
      <c r="X4740">
        <v>0.98738269999999995</v>
      </c>
      <c r="Y4740">
        <v>-6.873833E-2</v>
      </c>
      <c r="Z4740">
        <v>4.4681119999999998E-2</v>
      </c>
      <c r="AA4740">
        <v>0.99663360000000001</v>
      </c>
      <c r="AB4740">
        <v>34</v>
      </c>
      <c r="AC4740">
        <v>1.5391000000000099</v>
      </c>
      <c r="AD4740">
        <v>-1.1126636756449999</v>
      </c>
      <c r="AE4740">
        <v>-24.4785</v>
      </c>
      <c r="AF4740">
        <v>-1.70593723220239</v>
      </c>
      <c r="AG4740">
        <v>-1.1126636756449999</v>
      </c>
      <c r="AH4740">
        <v>24.416943930719398</v>
      </c>
      <c r="AI4740">
        <v>92.602788921416504</v>
      </c>
      <c r="AJ4740">
        <v>93.996586444927402</v>
      </c>
      <c r="AK4740">
        <v>24.501742656619601</v>
      </c>
      <c r="AL4740">
        <v>80.890453310648496</v>
      </c>
      <c r="AM4740">
        <v>89.821185640779504</v>
      </c>
      <c r="AN4740">
        <v>1.0000000688847499</v>
      </c>
    </row>
    <row r="4741" spans="1:40" x14ac:dyDescent="0.25">
      <c r="A4741" t="str">
        <f>"20190312173025680"</f>
        <v>20190312173025680</v>
      </c>
      <c r="B4741" t="str">
        <f>"1552383025672616"</f>
        <v>1552383025672616</v>
      </c>
      <c r="C4741" t="s">
        <v>40</v>
      </c>
      <c r="D4741">
        <v>3.4391829999999999</v>
      </c>
      <c r="E4741">
        <v>0.48003760000000001</v>
      </c>
      <c r="F4741" t="s">
        <v>41</v>
      </c>
      <c r="G4741">
        <v>-422.07060000000001</v>
      </c>
      <c r="H4741" s="1">
        <v>-2.4614439999999998E-6</v>
      </c>
      <c r="I4741">
        <v>74.042569999999998</v>
      </c>
      <c r="J4741">
        <v>-423.36360000000002</v>
      </c>
      <c r="K4741">
        <v>1.1125609999999999</v>
      </c>
      <c r="L4741">
        <v>98.839749999999995</v>
      </c>
      <c r="M4741">
        <v>-4.4738440000000003E-3</v>
      </c>
      <c r="N4741">
        <v>0</v>
      </c>
      <c r="O4741">
        <v>-0.99989249999999996</v>
      </c>
      <c r="P4741">
        <v>-8.9301390000000001E-3</v>
      </c>
      <c r="Q4741">
        <v>0.14458660000000001</v>
      </c>
      <c r="R4741">
        <v>-0.98945209999999995</v>
      </c>
      <c r="S4741">
        <v>0.157135</v>
      </c>
      <c r="T4741">
        <v>-0.1351947</v>
      </c>
      <c r="U4741">
        <v>-3.0534669999999999</v>
      </c>
      <c r="V4741">
        <v>3.5237799999999998E-3</v>
      </c>
      <c r="W4741">
        <v>0.15842999999999999</v>
      </c>
      <c r="X4741">
        <v>0.98736389999999996</v>
      </c>
      <c r="Y4741">
        <v>-5.5810859999999997E-2</v>
      </c>
      <c r="Z4741">
        <v>4.4168150000000003E-2</v>
      </c>
      <c r="AA4741">
        <v>0.99746389999999996</v>
      </c>
      <c r="AB4741">
        <v>34</v>
      </c>
      <c r="AC4741">
        <v>1.2929999999999999</v>
      </c>
      <c r="AD4741">
        <v>-1.1125634614440001</v>
      </c>
      <c r="AE4741">
        <v>-24.797180000000001</v>
      </c>
      <c r="AF4741">
        <v>-1.4011237668030301</v>
      </c>
      <c r="AG4741">
        <v>-1.1125634614440001</v>
      </c>
      <c r="AH4741">
        <v>24.741476858455101</v>
      </c>
      <c r="AI4741">
        <v>92.570602871302796</v>
      </c>
      <c r="AJ4741">
        <v>93.241230318646302</v>
      </c>
      <c r="AK4741">
        <v>24.806080351460398</v>
      </c>
      <c r="AL4741">
        <v>80.884220236805007</v>
      </c>
      <c r="AM4741">
        <v>89.795519296627305</v>
      </c>
      <c r="AN4741">
        <v>0.99999997647434802</v>
      </c>
    </row>
    <row r="4742" spans="1:40" x14ac:dyDescent="0.25">
      <c r="A4742" t="str">
        <f>"20190312173025702"</f>
        <v>20190312173025702</v>
      </c>
      <c r="B4742" t="str">
        <f>"1552383025692132"</f>
        <v>1552383025692132</v>
      </c>
      <c r="C4742" t="s">
        <v>40</v>
      </c>
      <c r="D4742">
        <v>3.355213</v>
      </c>
      <c r="E4742">
        <v>0.47928609999999999</v>
      </c>
      <c r="F4742" t="s">
        <v>41</v>
      </c>
      <c r="G4742">
        <v>-422.24520000000001</v>
      </c>
      <c r="H4742" s="1">
        <v>-2.9494090000000001E-6</v>
      </c>
      <c r="I4742">
        <v>75.071690000000004</v>
      </c>
      <c r="J4742">
        <v>-423.36250000000001</v>
      </c>
      <c r="K4742">
        <v>1.112471</v>
      </c>
      <c r="L4742">
        <v>98.492459999999994</v>
      </c>
      <c r="M4742">
        <v>-1.9592239999999999E-3</v>
      </c>
      <c r="N4742">
        <v>0</v>
      </c>
      <c r="O4742">
        <v>-0.99990080000000003</v>
      </c>
      <c r="P4742">
        <v>-6.7661329999999997E-3</v>
      </c>
      <c r="Q4742">
        <v>0.1438344</v>
      </c>
      <c r="R4742">
        <v>-0.98957910000000004</v>
      </c>
      <c r="S4742">
        <v>0.14370729999999901</v>
      </c>
      <c r="T4742">
        <v>-0.14296320000000001</v>
      </c>
      <c r="U4742">
        <v>-3.0541689999999999</v>
      </c>
      <c r="V4742">
        <v>3.8875979999999999E-3</v>
      </c>
      <c r="W4742">
        <v>0.15766959999999999</v>
      </c>
      <c r="X4742">
        <v>0.98748429999999998</v>
      </c>
      <c r="Y4742">
        <v>-4.8906699999999997E-2</v>
      </c>
      <c r="Z4742">
        <v>4.670411E-2</v>
      </c>
      <c r="AA4742">
        <v>0.99771080000000001</v>
      </c>
      <c r="AB4742">
        <v>34</v>
      </c>
      <c r="AC4742">
        <v>1.1173</v>
      </c>
      <c r="AD4742">
        <v>-1.1124739494089999</v>
      </c>
      <c r="AE4742">
        <v>-23.420769999999902</v>
      </c>
      <c r="AF4742">
        <v>-1.16057630896514</v>
      </c>
      <c r="AG4742">
        <v>-1.1124739494089999</v>
      </c>
      <c r="AH4742">
        <v>23.365937291392601</v>
      </c>
      <c r="AI4742">
        <v>92.722495642938696</v>
      </c>
      <c r="AJ4742">
        <v>92.843520497812605</v>
      </c>
      <c r="AK4742">
        <v>23.421177621168798</v>
      </c>
      <c r="AL4742">
        <v>80.928343001177794</v>
      </c>
      <c r="AM4742">
        <v>89.774435090164502</v>
      </c>
      <c r="AN4742">
        <v>1.00000002946442</v>
      </c>
    </row>
    <row r="4743" spans="1:40" x14ac:dyDescent="0.25">
      <c r="A4743" t="str">
        <f>"20190312173025718"</f>
        <v>20190312173025718</v>
      </c>
      <c r="B4743" t="str">
        <f>"1552383025712630"</f>
        <v>1552383025712630</v>
      </c>
      <c r="C4743" t="s">
        <v>40</v>
      </c>
      <c r="D4743">
        <v>2.837507</v>
      </c>
      <c r="E4743">
        <v>0.47976780000000002</v>
      </c>
      <c r="F4743" t="s">
        <v>41</v>
      </c>
      <c r="G4743">
        <v>-422.22410000000002</v>
      </c>
      <c r="H4743" s="1">
        <v>-3.4570690000000001E-6</v>
      </c>
      <c r="I4743">
        <v>76.268199999999993</v>
      </c>
      <c r="J4743">
        <v>-423.3614</v>
      </c>
      <c r="K4743">
        <v>1.1124130000000001</v>
      </c>
      <c r="L4743">
        <v>98.256469999999993</v>
      </c>
      <c r="M4743">
        <v>-3.0268910000000001E-4</v>
      </c>
      <c r="N4743">
        <v>0</v>
      </c>
      <c r="O4743">
        <v>-0.99990250000000003</v>
      </c>
      <c r="P4743">
        <v>-5.2741669999999997E-3</v>
      </c>
      <c r="Q4743">
        <v>0.14377029999999999</v>
      </c>
      <c r="R4743">
        <v>-0.98959719999999995</v>
      </c>
      <c r="S4743">
        <v>0.1564941</v>
      </c>
      <c r="T4743">
        <v>-0.15291849999999901</v>
      </c>
      <c r="U4743">
        <v>-3.0549010000000001</v>
      </c>
      <c r="V4743">
        <v>4.0584469999999997E-3</v>
      </c>
      <c r="W4743">
        <v>0.15759889999999999</v>
      </c>
      <c r="X4743">
        <v>0.98749489999999995</v>
      </c>
      <c r="Y4743">
        <v>-5.1398659999999999E-2</v>
      </c>
      <c r="Z4743">
        <v>4.9928470000000003E-2</v>
      </c>
      <c r="AA4743">
        <v>0.99742940000000002</v>
      </c>
      <c r="AB4743">
        <v>34</v>
      </c>
      <c r="AC4743">
        <v>1.13729999999998</v>
      </c>
      <c r="AD4743">
        <v>-1.1124164570689901</v>
      </c>
      <c r="AE4743">
        <v>-21.98827</v>
      </c>
      <c r="AF4743">
        <v>-1.1410435140439801</v>
      </c>
      <c r="AG4743">
        <v>-1.1124164570689901</v>
      </c>
      <c r="AH4743">
        <v>21.931940000680498</v>
      </c>
      <c r="AI4743">
        <v>92.899712927343202</v>
      </c>
      <c r="AJ4743">
        <v>92.978217455168107</v>
      </c>
      <c r="AK4743">
        <v>21.989757680983001</v>
      </c>
      <c r="AL4743">
        <v>80.932445111996401</v>
      </c>
      <c r="AM4743">
        <v>89.764524783596499</v>
      </c>
      <c r="AN4743">
        <v>1.00000003089963</v>
      </c>
    </row>
    <row r="4744" spans="1:40" x14ac:dyDescent="0.25">
      <c r="A4744" t="str">
        <f>"20190312173025824"</f>
        <v>20190312173025824</v>
      </c>
      <c r="B4744" t="str">
        <f>"1552383025822916"</f>
        <v>1552383025822916</v>
      </c>
      <c r="C4744" t="s">
        <v>40</v>
      </c>
      <c r="D4744">
        <v>3.4178510000000002</v>
      </c>
      <c r="E4744">
        <v>0.48338359999999903</v>
      </c>
      <c r="F4744" t="s">
        <v>41</v>
      </c>
      <c r="G4744">
        <v>-422.26839999999999</v>
      </c>
      <c r="H4744" s="1">
        <v>-3.7786410000000002E-6</v>
      </c>
      <c r="I4744">
        <v>76.990279999999998</v>
      </c>
      <c r="J4744">
        <v>-423.34410000000003</v>
      </c>
      <c r="K4744">
        <v>1.112009</v>
      </c>
      <c r="L4744">
        <v>96.630650000000003</v>
      </c>
      <c r="M4744">
        <v>1.0078490000000001E-2</v>
      </c>
      <c r="N4744">
        <v>0</v>
      </c>
      <c r="O4744">
        <v>-0.99985250000000003</v>
      </c>
      <c r="P4744">
        <v>4.7164729999999997E-3</v>
      </c>
      <c r="Q4744">
        <v>0.1437628</v>
      </c>
      <c r="R4744">
        <v>-0.98960130000000002</v>
      </c>
      <c r="S4744">
        <v>0.1570435</v>
      </c>
      <c r="T4744">
        <v>-0.15983610000000001</v>
      </c>
      <c r="U4744">
        <v>-3.0556030000000001</v>
      </c>
      <c r="V4744">
        <v>4.5052570000000004E-3</v>
      </c>
      <c r="W4744">
        <v>0.1575462</v>
      </c>
      <c r="X4744">
        <v>0.98750130000000003</v>
      </c>
      <c r="Y4744">
        <v>-4.1188799999999998E-2</v>
      </c>
      <c r="Z4744">
        <v>5.2177279999999999E-2</v>
      </c>
      <c r="AA4744">
        <v>0.99778809999999996</v>
      </c>
      <c r="AB4744">
        <v>34</v>
      </c>
      <c r="AC4744">
        <v>1.0757000000000401</v>
      </c>
      <c r="AD4744">
        <v>-1.1120127786409999</v>
      </c>
      <c r="AE4744">
        <v>-19.640370000000001</v>
      </c>
      <c r="AF4744">
        <v>-0.87488472551987995</v>
      </c>
      <c r="AG4744">
        <v>-1.1120127786409999</v>
      </c>
      <c r="AH4744">
        <v>19.587610941109102</v>
      </c>
      <c r="AI4744">
        <v>93.246034801505701</v>
      </c>
      <c r="AJ4744">
        <v>92.557428165070206</v>
      </c>
      <c r="AK4744">
        <v>19.638648071674002</v>
      </c>
      <c r="AL4744">
        <v>80.935502149695495</v>
      </c>
      <c r="AM4744">
        <v>89.738602449648496</v>
      </c>
      <c r="AN4744">
        <v>0.99999995998838198</v>
      </c>
    </row>
    <row r="4745" spans="1:40" x14ac:dyDescent="0.25">
      <c r="A4745" t="str">
        <f>"20190312173025848"</f>
        <v>20190312173025848</v>
      </c>
      <c r="B4745" t="str">
        <f>"1552383025842436"</f>
        <v>1552383025842436</v>
      </c>
      <c r="C4745" t="s">
        <v>40</v>
      </c>
      <c r="D4745">
        <v>3.5665949999999902</v>
      </c>
      <c r="E4745">
        <v>0.48519830000000003</v>
      </c>
      <c r="F4745" t="s">
        <v>41</v>
      </c>
      <c r="G4745">
        <v>-422.02089999999998</v>
      </c>
      <c r="H4745" s="1">
        <v>-1.141545E-6</v>
      </c>
      <c r="I4745">
        <v>70.996639999999999</v>
      </c>
      <c r="J4745">
        <v>-423.33859999999999</v>
      </c>
      <c r="K4745">
        <v>1.111917</v>
      </c>
      <c r="L4745">
        <v>96.282749999999993</v>
      </c>
      <c r="M4745">
        <v>1.2026790000000001E-2</v>
      </c>
      <c r="N4745">
        <v>0</v>
      </c>
      <c r="O4745">
        <v>-0.99983120000000003</v>
      </c>
      <c r="P4745">
        <v>6.5394880000000004E-3</v>
      </c>
      <c r="Q4745">
        <v>0.14361009999999999</v>
      </c>
      <c r="R4745">
        <v>-0.98961299999999996</v>
      </c>
      <c r="S4745">
        <v>0.1574402</v>
      </c>
      <c r="T4745">
        <v>-0.1323106</v>
      </c>
      <c r="U4745">
        <v>-3.0500180000000001</v>
      </c>
      <c r="V4745">
        <v>4.6470299999999999E-3</v>
      </c>
      <c r="W4745">
        <v>0.15738559999999999</v>
      </c>
      <c r="X4745">
        <v>0.98752629999999997</v>
      </c>
      <c r="Y4745">
        <v>-3.9486779999999999E-2</v>
      </c>
      <c r="Z4745">
        <v>4.328916E-2</v>
      </c>
      <c r="AA4745">
        <v>0.998282</v>
      </c>
      <c r="AB4745">
        <v>34</v>
      </c>
      <c r="AC4745">
        <v>1.3177000000000001</v>
      </c>
      <c r="AD4745">
        <v>-1.1119181415449999</v>
      </c>
      <c r="AE4745">
        <v>-25.286109999999901</v>
      </c>
      <c r="AF4745">
        <v>-1.0115139712727701</v>
      </c>
      <c r="AG4745">
        <v>-1.1119181415449999</v>
      </c>
      <c r="AH4745">
        <v>25.251434457574099</v>
      </c>
      <c r="AI4745">
        <v>92.519307754795307</v>
      </c>
      <c r="AJ4745">
        <v>92.293909780736101</v>
      </c>
      <c r="AK4745">
        <v>25.296135369513198</v>
      </c>
      <c r="AL4745">
        <v>80.944820533654294</v>
      </c>
      <c r="AM4745">
        <v>89.730383645489198</v>
      </c>
      <c r="AN4745">
        <v>1.0000000075834301</v>
      </c>
    </row>
    <row r="4746" spans="1:40" x14ac:dyDescent="0.25">
      <c r="A4746" t="str">
        <f>"20190312173025870"</f>
        <v>20190312173025870</v>
      </c>
      <c r="B4746" t="str">
        <f>"1552383025862936"</f>
        <v>1552383025862936</v>
      </c>
      <c r="C4746" t="s">
        <v>40</v>
      </c>
      <c r="D4746">
        <v>3.3795890000000002</v>
      </c>
      <c r="E4746">
        <v>0.48641450000000003</v>
      </c>
      <c r="F4746" t="s">
        <v>41</v>
      </c>
      <c r="G4746">
        <v>-422.17579999999998</v>
      </c>
      <c r="H4746" s="1">
        <v>-1.799681E-6</v>
      </c>
      <c r="I4746">
        <v>72.434730000000002</v>
      </c>
      <c r="J4746">
        <v>-423.33260000000001</v>
      </c>
      <c r="K4746">
        <v>1.1118330000000001</v>
      </c>
      <c r="L4746">
        <v>95.946839999999995</v>
      </c>
      <c r="M4746">
        <v>1.381136E-2</v>
      </c>
      <c r="N4746">
        <v>0</v>
      </c>
      <c r="O4746">
        <v>-0.99980800000000003</v>
      </c>
      <c r="P4746">
        <v>7.9984819999999995E-3</v>
      </c>
      <c r="Q4746">
        <v>0.14347370000000001</v>
      </c>
      <c r="R4746">
        <v>-0.98962209999999995</v>
      </c>
      <c r="S4746">
        <v>0.14877319999999999</v>
      </c>
      <c r="T4746">
        <v>-0.1422619</v>
      </c>
      <c r="U4746">
        <v>-3.0511780000000002</v>
      </c>
      <c r="V4746">
        <v>4.989711E-3</v>
      </c>
      <c r="W4746">
        <v>0.15724250000000001</v>
      </c>
      <c r="X4746">
        <v>0.98754739999999996</v>
      </c>
      <c r="Y4746">
        <v>-3.4847709999999997E-2</v>
      </c>
      <c r="Z4746">
        <v>4.652626E-2</v>
      </c>
      <c r="AA4746">
        <v>0.998309</v>
      </c>
      <c r="AB4746">
        <v>34</v>
      </c>
      <c r="AC4746">
        <v>1.15680000000003</v>
      </c>
      <c r="AD4746">
        <v>-1.1118347996810001</v>
      </c>
      <c r="AE4746">
        <v>-23.51211</v>
      </c>
      <c r="AF4746">
        <v>-0.83007238186995203</v>
      </c>
      <c r="AG4746">
        <v>-1.1118347996810001</v>
      </c>
      <c r="AH4746">
        <v>23.4734824362876</v>
      </c>
      <c r="AI4746">
        <v>92.710128871044105</v>
      </c>
      <c r="AJ4746">
        <v>92.025257011917603</v>
      </c>
      <c r="AK4746">
        <v>23.514454585799498</v>
      </c>
      <c r="AL4746">
        <v>80.953122722037804</v>
      </c>
      <c r="AM4746">
        <v>89.710508124979199</v>
      </c>
      <c r="AN4746">
        <v>0.99999998413443603</v>
      </c>
    </row>
    <row r="4747" spans="1:40" x14ac:dyDescent="0.25">
      <c r="A4747" t="str">
        <f>"20190312173025892"</f>
        <v>20190312173025892</v>
      </c>
      <c r="B4747" t="str">
        <f>"1552383025882453"</f>
        <v>1552383025882453</v>
      </c>
      <c r="C4747" t="s">
        <v>40</v>
      </c>
      <c r="D4747">
        <v>3.3487870000000002</v>
      </c>
      <c r="E4747">
        <v>0.48671439999999999</v>
      </c>
      <c r="F4747" t="s">
        <v>41</v>
      </c>
      <c r="G4747">
        <v>-422.12720000000002</v>
      </c>
      <c r="H4747" s="1">
        <v>-8.389612E-7</v>
      </c>
      <c r="I4747">
        <v>70.225409999999997</v>
      </c>
      <c r="J4747">
        <v>-423.32619999999997</v>
      </c>
      <c r="K4747">
        <v>1.11174</v>
      </c>
      <c r="L4747">
        <v>95.609219999999993</v>
      </c>
      <c r="M4747">
        <v>1.549559E-2</v>
      </c>
      <c r="N4747">
        <v>0</v>
      </c>
      <c r="O4747">
        <v>-0.99978339999999999</v>
      </c>
      <c r="P4747">
        <v>9.6137830000000007E-3</v>
      </c>
      <c r="Q4747">
        <v>0.14354310000000001</v>
      </c>
      <c r="R4747">
        <v>-0.98959739999999996</v>
      </c>
      <c r="S4747">
        <v>0.14291379999999901</v>
      </c>
      <c r="T4747">
        <v>-0.1318136</v>
      </c>
      <c r="U4747">
        <v>-3.0494080000000001</v>
      </c>
      <c r="V4747">
        <v>5.0778569999999999E-3</v>
      </c>
      <c r="W4747">
        <v>0.15730420000000001</v>
      </c>
      <c r="X4747">
        <v>0.98753709999999995</v>
      </c>
      <c r="Y4747">
        <v>-3.1285390000000003E-2</v>
      </c>
      <c r="Z4747">
        <v>4.3143679999999997E-2</v>
      </c>
      <c r="AA4747">
        <v>0.99857890000000005</v>
      </c>
      <c r="AB4747">
        <v>34</v>
      </c>
      <c r="AC4747">
        <v>1.1989999999999501</v>
      </c>
      <c r="AD4747">
        <v>-1.1117408389612</v>
      </c>
      <c r="AE4747">
        <v>-25.38381</v>
      </c>
      <c r="AF4747">
        <v>-0.80394224524515201</v>
      </c>
      <c r="AG4747">
        <v>-1.1117408389612</v>
      </c>
      <c r="AH4747">
        <v>25.350823087020899</v>
      </c>
      <c r="AI4747">
        <v>92.509793289368801</v>
      </c>
      <c r="AJ4747">
        <v>91.816393305869596</v>
      </c>
      <c r="AK4747">
        <v>25.3879207895436</v>
      </c>
      <c r="AL4747">
        <v>80.949542802458197</v>
      </c>
      <c r="AM4747">
        <v>89.7053911078319</v>
      </c>
      <c r="AN4747">
        <v>0.99999995992288004</v>
      </c>
    </row>
    <row r="4748" spans="1:40" x14ac:dyDescent="0.25">
      <c r="A4748" t="str">
        <f>"20190312173025914"</f>
        <v>20190312173025914</v>
      </c>
      <c r="B4748" t="str">
        <f>"1552383025902949"</f>
        <v>1552383025902949</v>
      </c>
      <c r="C4748" t="s">
        <v>40</v>
      </c>
      <c r="D4748">
        <v>3.37853</v>
      </c>
      <c r="E4748">
        <v>0.48654979999999998</v>
      </c>
      <c r="F4748" t="s">
        <v>41</v>
      </c>
      <c r="G4748">
        <v>-422.02420000000001</v>
      </c>
      <c r="H4748" s="1">
        <v>-4.2384979999999997E-6</v>
      </c>
      <c r="I4748">
        <v>68.386669999999995</v>
      </c>
      <c r="J4748">
        <v>-423.31939999999997</v>
      </c>
      <c r="K4748">
        <v>1.1116299999999999</v>
      </c>
      <c r="L4748">
        <v>95.277439999999999</v>
      </c>
      <c r="M4748">
        <v>1.7033690000000001E-2</v>
      </c>
      <c r="N4748">
        <v>0</v>
      </c>
      <c r="O4748">
        <v>-0.99975849999999999</v>
      </c>
      <c r="P4748">
        <v>1.0807509999999999E-2</v>
      </c>
      <c r="Q4748">
        <v>0.1435852</v>
      </c>
      <c r="R4748">
        <v>-0.98957899999999999</v>
      </c>
      <c r="S4748">
        <v>0.14578250000000001</v>
      </c>
      <c r="T4748">
        <v>-0.12448529999999999</v>
      </c>
      <c r="U4748">
        <v>-3.048187</v>
      </c>
      <c r="V4748">
        <v>5.445989E-3</v>
      </c>
      <c r="W4748">
        <v>0.15733949999999999</v>
      </c>
      <c r="X4748">
        <v>0.98752960000000001</v>
      </c>
      <c r="Y4748">
        <v>-3.0708829999999999E-2</v>
      </c>
      <c r="Z4748">
        <v>4.0763349999999997E-2</v>
      </c>
      <c r="AA4748">
        <v>0.99869680000000005</v>
      </c>
      <c r="AB4748">
        <v>34</v>
      </c>
      <c r="AC4748">
        <v>1.2951999999999599</v>
      </c>
      <c r="AD4748">
        <v>-1.11163423849799</v>
      </c>
      <c r="AE4748">
        <v>-26.89077</v>
      </c>
      <c r="AF4748">
        <v>-0.83549437593764897</v>
      </c>
      <c r="AG4748">
        <v>-1.11163423849799</v>
      </c>
      <c r="AH4748">
        <v>26.863131765493002</v>
      </c>
      <c r="AI4748">
        <v>92.368484125591706</v>
      </c>
      <c r="AJ4748">
        <v>91.781433210768697</v>
      </c>
      <c r="AK4748">
        <v>26.899100910303002</v>
      </c>
      <c r="AL4748">
        <v>80.947495525042797</v>
      </c>
      <c r="AM4748">
        <v>89.684030714828396</v>
      </c>
      <c r="AN4748">
        <v>1.0000000439662899</v>
      </c>
    </row>
    <row r="4749" spans="1:40" x14ac:dyDescent="0.25">
      <c r="A4749" t="str">
        <f>"20190312173025937"</f>
        <v>20190312173025937</v>
      </c>
      <c r="B4749" t="str">
        <f>"1552383025932228"</f>
        <v>1552383025932228</v>
      </c>
      <c r="C4749" t="s">
        <v>40</v>
      </c>
      <c r="D4749">
        <v>3.4137590000000002</v>
      </c>
      <c r="E4749">
        <v>0.48713230000000002</v>
      </c>
      <c r="F4749" t="s">
        <v>41</v>
      </c>
      <c r="G4749">
        <v>-421.9701</v>
      </c>
      <c r="H4749" s="1">
        <v>-4.0873260000000001E-6</v>
      </c>
      <c r="I4749">
        <v>67.970650000000006</v>
      </c>
      <c r="J4749">
        <v>-423.31189999999998</v>
      </c>
      <c r="K4749">
        <v>1.1115159999999999</v>
      </c>
      <c r="L4749">
        <v>94.932190000000006</v>
      </c>
      <c r="M4749">
        <v>1.850278E-2</v>
      </c>
      <c r="N4749">
        <v>0</v>
      </c>
      <c r="O4749">
        <v>-0.99973270000000003</v>
      </c>
      <c r="P4749">
        <v>1.224563E-2</v>
      </c>
      <c r="Q4749">
        <v>0.14326040000000001</v>
      </c>
      <c r="R4749">
        <v>-0.98960959999999998</v>
      </c>
      <c r="S4749">
        <v>0.15060419999999999</v>
      </c>
      <c r="T4749">
        <v>-0.12407899999999999</v>
      </c>
      <c r="U4749">
        <v>-3.0479430000000001</v>
      </c>
      <c r="V4749">
        <v>5.5090690000000001E-3</v>
      </c>
      <c r="W4749">
        <v>0.1570066</v>
      </c>
      <c r="X4749">
        <v>0.98758219999999997</v>
      </c>
      <c r="Y4749">
        <v>-3.082035E-2</v>
      </c>
      <c r="Z4749">
        <v>4.0630560000000003E-2</v>
      </c>
      <c r="AA4749">
        <v>0.9986988</v>
      </c>
      <c r="AB4749">
        <v>34</v>
      </c>
      <c r="AC4749">
        <v>1.3417999999999699</v>
      </c>
      <c r="AD4749">
        <v>-1.1115200873260001</v>
      </c>
      <c r="AE4749">
        <v>-26.961539999999999</v>
      </c>
      <c r="AF4749">
        <v>-0.841232645238841</v>
      </c>
      <c r="AG4749">
        <v>-1.1115200873260001</v>
      </c>
      <c r="AH4749">
        <v>26.9360856460025</v>
      </c>
      <c r="AI4749">
        <v>92.361824840315293</v>
      </c>
      <c r="AJ4749">
        <v>91.788805527784106</v>
      </c>
      <c r="AK4749">
        <v>26.972131157858598</v>
      </c>
      <c r="AL4749">
        <v>80.966809048202194</v>
      </c>
      <c r="AM4749">
        <v>89.680387993297302</v>
      </c>
      <c r="AN4749">
        <v>1.0000000120208199</v>
      </c>
    </row>
    <row r="4750" spans="1:40" x14ac:dyDescent="0.25">
      <c r="A4750" t="str">
        <f>"20190312173025959"</f>
        <v>20190312173025959</v>
      </c>
      <c r="B4750" t="str">
        <f>"1552383025952728"</f>
        <v>1552383025952728</v>
      </c>
      <c r="C4750" t="s">
        <v>40</v>
      </c>
      <c r="D4750">
        <v>3.4149759999999998</v>
      </c>
      <c r="E4750">
        <v>0.48748940000000002</v>
      </c>
      <c r="F4750" t="s">
        <v>41</v>
      </c>
      <c r="G4750">
        <v>-421.98869999999999</v>
      </c>
      <c r="H4750" s="1">
        <v>-4.1158319999999997E-6</v>
      </c>
      <c r="I4750">
        <v>68.044719999999998</v>
      </c>
      <c r="J4750">
        <v>-423.30430000000001</v>
      </c>
      <c r="K4750">
        <v>1.1113949999999999</v>
      </c>
      <c r="L4750">
        <v>94.594909999999999</v>
      </c>
      <c r="M4750">
        <v>1.979976E-2</v>
      </c>
      <c r="N4750">
        <v>0</v>
      </c>
      <c r="O4750">
        <v>-0.99970809999999999</v>
      </c>
      <c r="P4750">
        <v>1.3394299999999901E-2</v>
      </c>
      <c r="Q4750">
        <v>0.142983</v>
      </c>
      <c r="R4750">
        <v>-0.98963509999999999</v>
      </c>
      <c r="S4750">
        <v>0.14999390000000001</v>
      </c>
      <c r="T4750">
        <v>-0.12599859999999999</v>
      </c>
      <c r="U4750">
        <v>-3.047882</v>
      </c>
      <c r="V4750">
        <v>5.6933050000000001E-3</v>
      </c>
      <c r="W4750">
        <v>0.1567221</v>
      </c>
      <c r="X4750">
        <v>0.98762629999999996</v>
      </c>
      <c r="Y4750">
        <v>-2.9323800000000001E-2</v>
      </c>
      <c r="Z4750">
        <v>4.1258509999999998E-2</v>
      </c>
      <c r="AA4750">
        <v>0.99871810000000005</v>
      </c>
      <c r="AB4750">
        <v>34</v>
      </c>
      <c r="AC4750">
        <v>1.3156000000000101</v>
      </c>
      <c r="AD4750">
        <v>-1.111399115832</v>
      </c>
      <c r="AE4750">
        <v>-26.550190000000001</v>
      </c>
      <c r="AF4750">
        <v>-0.78822645275575798</v>
      </c>
      <c r="AG4750">
        <v>-1.111399115832</v>
      </c>
      <c r="AH4750">
        <v>26.5246703619204</v>
      </c>
      <c r="AI4750">
        <v>92.398265548470405</v>
      </c>
      <c r="AJ4750">
        <v>91.702142251183403</v>
      </c>
      <c r="AK4750">
        <v>26.559643196851098</v>
      </c>
      <c r="AL4750">
        <v>80.983313638867699</v>
      </c>
      <c r="AM4750">
        <v>89.669714410493398</v>
      </c>
      <c r="AN4750">
        <v>0.99999996940096103</v>
      </c>
    </row>
    <row r="4751" spans="1:40" x14ac:dyDescent="0.25">
      <c r="A4751" t="str">
        <f>"20190312173025982"</f>
        <v>20190312173025982</v>
      </c>
      <c r="B4751" t="str">
        <f>"1552383025972245"</f>
        <v>1552383025972245</v>
      </c>
      <c r="C4751" t="s">
        <v>40</v>
      </c>
      <c r="D4751">
        <v>3.4193739999999999</v>
      </c>
      <c r="E4751">
        <v>0.48783189999999998</v>
      </c>
      <c r="F4751" t="s">
        <v>41</v>
      </c>
      <c r="G4751">
        <v>-421.99090000000001</v>
      </c>
      <c r="H4751" s="1">
        <v>-4.1064469999999996E-6</v>
      </c>
      <c r="I4751">
        <v>68.016009999999994</v>
      </c>
      <c r="J4751">
        <v>-423.29599999999999</v>
      </c>
      <c r="K4751">
        <v>1.1112610000000001</v>
      </c>
      <c r="L4751">
        <v>94.243499999999997</v>
      </c>
      <c r="M4751">
        <v>2.0996870000000001E-2</v>
      </c>
      <c r="N4751">
        <v>0</v>
      </c>
      <c r="O4751">
        <v>-0.9996834</v>
      </c>
      <c r="P4751">
        <v>1.375432E-2</v>
      </c>
      <c r="Q4751">
        <v>0.14273649999999999</v>
      </c>
      <c r="R4751">
        <v>-0.98966529999999997</v>
      </c>
      <c r="S4751">
        <v>0.15060419999999999</v>
      </c>
      <c r="T4751">
        <v>-0.12744369999999999</v>
      </c>
      <c r="U4751">
        <v>-3.0477910000000001</v>
      </c>
      <c r="V4751">
        <v>6.5717950000000001E-3</v>
      </c>
      <c r="W4751">
        <v>0.1564702</v>
      </c>
      <c r="X4751">
        <v>0.98766080000000001</v>
      </c>
      <c r="Y4751">
        <v>-2.8326839999999999E-2</v>
      </c>
      <c r="Z4751">
        <v>4.1730990000000003E-2</v>
      </c>
      <c r="AA4751">
        <v>0.99872729999999998</v>
      </c>
      <c r="AB4751">
        <v>34</v>
      </c>
      <c r="AC4751">
        <v>1.3050999999999799</v>
      </c>
      <c r="AD4751">
        <v>-1.1112651064470001</v>
      </c>
      <c r="AE4751">
        <v>-26.22749</v>
      </c>
      <c r="AF4751">
        <v>-0.75271612178172798</v>
      </c>
      <c r="AG4751">
        <v>-1.1112651064470001</v>
      </c>
      <c r="AH4751">
        <v>26.202189498465899</v>
      </c>
      <c r="AI4751">
        <v>92.427524530179795</v>
      </c>
      <c r="AJ4751">
        <v>91.645496042645306</v>
      </c>
      <c r="AK4751">
        <v>26.236543716928701</v>
      </c>
      <c r="AL4751">
        <v>80.997926863825398</v>
      </c>
      <c r="AM4751">
        <v>89.618765308386799</v>
      </c>
      <c r="AN4751">
        <v>0.99999998391709999</v>
      </c>
    </row>
    <row r="4752" spans="1:40" x14ac:dyDescent="0.25">
      <c r="A4752" t="str">
        <f>"20190312173026005"</f>
        <v>20190312173026005</v>
      </c>
      <c r="B4752" t="str">
        <f>"1552383025992741"</f>
        <v>1552383025992741</v>
      </c>
      <c r="C4752" t="s">
        <v>40</v>
      </c>
      <c r="D4752">
        <v>3.4229560000000001</v>
      </c>
      <c r="E4752">
        <v>0.48820390000000002</v>
      </c>
      <c r="F4752" t="s">
        <v>41</v>
      </c>
      <c r="G4752">
        <v>-422.00369999999998</v>
      </c>
      <c r="H4752" s="1">
        <v>-4.0270520000000003E-6</v>
      </c>
      <c r="I4752">
        <v>67.776019999999903</v>
      </c>
      <c r="J4752">
        <v>-423.28809999999999</v>
      </c>
      <c r="K4752">
        <v>1.1111279999999999</v>
      </c>
      <c r="L4752">
        <v>93.918850000000006</v>
      </c>
      <c r="M4752">
        <v>2.194289E-2</v>
      </c>
      <c r="N4752">
        <v>0</v>
      </c>
      <c r="O4752">
        <v>-0.99966310000000003</v>
      </c>
      <c r="P4752">
        <v>1.381814E-2</v>
      </c>
      <c r="Q4752">
        <v>0.14231920000000001</v>
      </c>
      <c r="R4752">
        <v>-0.9897243</v>
      </c>
      <c r="S4752">
        <v>0.14880370000000001</v>
      </c>
      <c r="T4752">
        <v>-0.12796089999999999</v>
      </c>
      <c r="U4752">
        <v>-3.0476990000000002</v>
      </c>
      <c r="V4752">
        <v>7.4968909999999899E-3</v>
      </c>
      <c r="W4752">
        <v>0.15604770000000001</v>
      </c>
      <c r="X4752">
        <v>0.98772110000000002</v>
      </c>
      <c r="Y4752">
        <v>-2.679337E-2</v>
      </c>
      <c r="Z4752">
        <v>4.1901540000000001E-2</v>
      </c>
      <c r="AA4752">
        <v>0.99876240000000005</v>
      </c>
      <c r="AB4752">
        <v>34</v>
      </c>
      <c r="AC4752">
        <v>1.2844</v>
      </c>
      <c r="AD4752">
        <v>-1.111132027052</v>
      </c>
      <c r="AE4752">
        <v>-26.14283</v>
      </c>
      <c r="AF4752">
        <v>-0.70910842771442795</v>
      </c>
      <c r="AG4752">
        <v>-1.111132027052</v>
      </c>
      <c r="AH4752">
        <v>26.117653779404002</v>
      </c>
      <c r="AI4752">
        <v>92.435188079692907</v>
      </c>
      <c r="AJ4752">
        <v>91.555229334658407</v>
      </c>
      <c r="AK4752">
        <v>26.150894594346401</v>
      </c>
      <c r="AL4752">
        <v>81.022435805564101</v>
      </c>
      <c r="AM4752">
        <v>89.565128288208498</v>
      </c>
      <c r="AN4752">
        <v>1.00000002971758</v>
      </c>
    </row>
    <row r="4753" spans="1:40" x14ac:dyDescent="0.25">
      <c r="A4753" t="str">
        <f>"20190312173026026"</f>
        <v>20190312173026026</v>
      </c>
      <c r="B4753" t="str">
        <f>"1552383026022997"</f>
        <v>1552383026022997</v>
      </c>
      <c r="C4753" t="s">
        <v>40</v>
      </c>
      <c r="D4753">
        <v>3.4328370000000001</v>
      </c>
      <c r="E4753">
        <v>0.48863780000000001</v>
      </c>
      <c r="F4753" t="s">
        <v>41</v>
      </c>
      <c r="G4753">
        <v>-422.04289999999997</v>
      </c>
      <c r="H4753" s="1">
        <v>-4.0676200000000004E-6</v>
      </c>
      <c r="I4753">
        <v>67.874790000000004</v>
      </c>
      <c r="J4753">
        <v>-423.27969999999999</v>
      </c>
      <c r="K4753">
        <v>1.110989</v>
      </c>
      <c r="L4753">
        <v>93.578980000000001</v>
      </c>
      <c r="M4753">
        <v>2.2775980000000001E-2</v>
      </c>
      <c r="N4753">
        <v>0</v>
      </c>
      <c r="O4753">
        <v>-0.99964489999999995</v>
      </c>
      <c r="P4753">
        <v>1.39662E-2</v>
      </c>
      <c r="Q4753">
        <v>0.14154459999999999</v>
      </c>
      <c r="R4753">
        <v>-0.98983370000000004</v>
      </c>
      <c r="S4753">
        <v>0.1457214</v>
      </c>
      <c r="T4753">
        <v>-0.1300309</v>
      </c>
      <c r="U4753">
        <v>-3.0478209999999999</v>
      </c>
      <c r="V4753">
        <v>8.2302309999999993E-3</v>
      </c>
      <c r="W4753">
        <v>0.15526809999999999</v>
      </c>
      <c r="X4753">
        <v>0.98783810000000005</v>
      </c>
      <c r="Y4753">
        <v>-2.4949249999999999E-2</v>
      </c>
      <c r="Z4753">
        <v>4.2577299999999998E-2</v>
      </c>
      <c r="AA4753">
        <v>0.99878160000000005</v>
      </c>
      <c r="AB4753">
        <v>34</v>
      </c>
      <c r="AC4753">
        <v>1.2368000000000099</v>
      </c>
      <c r="AD4753">
        <v>-1.1109930676199999</v>
      </c>
      <c r="AE4753">
        <v>-25.704190000000001</v>
      </c>
      <c r="AF4753">
        <v>-0.64977389409822195</v>
      </c>
      <c r="AG4753">
        <v>-1.1109930676199999</v>
      </c>
      <c r="AH4753">
        <v>25.677833340315299</v>
      </c>
      <c r="AI4753">
        <v>92.476657752609796</v>
      </c>
      <c r="AJ4753">
        <v>91.449552145229802</v>
      </c>
      <c r="AK4753">
        <v>25.710068781758601</v>
      </c>
      <c r="AL4753">
        <v>81.067654641755794</v>
      </c>
      <c r="AM4753">
        <v>89.522647901373503</v>
      </c>
      <c r="AN4753">
        <v>1.00000001569576</v>
      </c>
    </row>
    <row r="4754" spans="1:40" x14ac:dyDescent="0.25">
      <c r="A4754" t="str">
        <f>"20190312173026049"</f>
        <v>20190312173026049</v>
      </c>
      <c r="B4754" t="str">
        <f>"1552383026042525"</f>
        <v>1552383026042525</v>
      </c>
      <c r="C4754" t="s">
        <v>40</v>
      </c>
      <c r="D4754">
        <v>3.4184510000000001</v>
      </c>
      <c r="E4754">
        <v>0.48895859999999902</v>
      </c>
      <c r="F4754" t="s">
        <v>41</v>
      </c>
      <c r="G4754">
        <v>-422.08199999999999</v>
      </c>
      <c r="H4754" s="1">
        <v>-4.1147279999999997E-6</v>
      </c>
      <c r="I4754">
        <v>67.992869999999996</v>
      </c>
      <c r="J4754">
        <v>-423.2713</v>
      </c>
      <c r="K4754">
        <v>1.110867</v>
      </c>
      <c r="L4754">
        <v>93.246120000000005</v>
      </c>
      <c r="M4754">
        <v>2.3469139999999999E-2</v>
      </c>
      <c r="N4754">
        <v>0</v>
      </c>
      <c r="O4754">
        <v>-0.99962879999999998</v>
      </c>
      <c r="P4754">
        <v>1.378976E-2</v>
      </c>
      <c r="Q4754">
        <v>0.1407185</v>
      </c>
      <c r="R4754">
        <v>-0.98995379999999999</v>
      </c>
      <c r="S4754">
        <v>0.14266970000000001</v>
      </c>
      <c r="T4754">
        <v>-0.1323377</v>
      </c>
      <c r="U4754">
        <v>-3.0477289999999999</v>
      </c>
      <c r="V4754">
        <v>9.1439659999999999E-3</v>
      </c>
      <c r="W4754">
        <v>0.15443760000000001</v>
      </c>
      <c r="X4754">
        <v>0.98796019999999896</v>
      </c>
      <c r="Y4754">
        <v>-2.3258060000000001E-2</v>
      </c>
      <c r="Z4754">
        <v>4.3333400000000001E-2</v>
      </c>
      <c r="AA4754">
        <v>0.99878990000000001</v>
      </c>
      <c r="AB4754">
        <v>34</v>
      </c>
      <c r="AC4754">
        <v>1.1893</v>
      </c>
      <c r="AD4754">
        <v>-1.1108711147279999</v>
      </c>
      <c r="AE4754">
        <v>-25.253249999999898</v>
      </c>
      <c r="AF4754">
        <v>-0.59509456282014805</v>
      </c>
      <c r="AG4754">
        <v>-1.1108711147279999</v>
      </c>
      <c r="AH4754">
        <v>25.225502825557498</v>
      </c>
      <c r="AI4754">
        <v>92.520840140910494</v>
      </c>
      <c r="AJ4754">
        <v>91.351413445717895</v>
      </c>
      <c r="AK4754">
        <v>25.256962702875501</v>
      </c>
      <c r="AL4754">
        <v>81.115819373192195</v>
      </c>
      <c r="AM4754">
        <v>89.469719832071405</v>
      </c>
      <c r="AN4754">
        <v>0.99999997059600398</v>
      </c>
    </row>
    <row r="4755" spans="1:40" x14ac:dyDescent="0.25">
      <c r="A4755" t="str">
        <f>"20190312173026071"</f>
        <v>20190312173026071</v>
      </c>
      <c r="B4755" t="str">
        <f>"1552383026063016"</f>
        <v>1552383026063016</v>
      </c>
      <c r="C4755" t="s">
        <v>40</v>
      </c>
      <c r="D4755">
        <v>3.400744</v>
      </c>
      <c r="E4755">
        <v>0.48925960000000002</v>
      </c>
      <c r="F4755" t="s">
        <v>41</v>
      </c>
      <c r="G4755">
        <v>-422.12270000000001</v>
      </c>
      <c r="H4755" s="1">
        <v>-4.2109569999999999E-6</v>
      </c>
      <c r="I4755">
        <v>68.254450000000006</v>
      </c>
      <c r="J4755">
        <v>-423.26260000000002</v>
      </c>
      <c r="K4755">
        <v>1.1107469999999999</v>
      </c>
      <c r="L4755">
        <v>92.907560000000004</v>
      </c>
      <c r="M4755">
        <v>2.404968E-2</v>
      </c>
      <c r="N4755">
        <v>0</v>
      </c>
      <c r="O4755">
        <v>-0.99961500000000003</v>
      </c>
      <c r="P4755">
        <v>1.360808E-2</v>
      </c>
      <c r="Q4755">
        <v>0.13926729999999901</v>
      </c>
      <c r="R4755">
        <v>-0.99016170000000003</v>
      </c>
      <c r="S4755">
        <v>0.1400757</v>
      </c>
      <c r="T4755">
        <v>-0.135471799999999</v>
      </c>
      <c r="U4755">
        <v>-3.0477599999999998</v>
      </c>
      <c r="V4755">
        <v>9.9513580000000004E-3</v>
      </c>
      <c r="W4755">
        <v>0.1529836</v>
      </c>
      <c r="X4755">
        <v>0.98817860000000002</v>
      </c>
      <c r="Y4755">
        <v>-2.182665E-2</v>
      </c>
      <c r="Z4755">
        <v>4.4357889999999997E-2</v>
      </c>
      <c r="AA4755">
        <v>0.99877720000000003</v>
      </c>
      <c r="AB4755">
        <v>34</v>
      </c>
      <c r="AC4755">
        <v>1.1399000000000099</v>
      </c>
      <c r="AD4755">
        <v>-1.1107512109569999</v>
      </c>
      <c r="AE4755">
        <v>-24.653110000000002</v>
      </c>
      <c r="AF4755">
        <v>-0.545509057138994</v>
      </c>
      <c r="AG4755">
        <v>-1.1107512109569999</v>
      </c>
      <c r="AH4755">
        <v>24.623516510945699</v>
      </c>
      <c r="AI4755">
        <v>92.582192595495002</v>
      </c>
      <c r="AJ4755">
        <v>91.269122336068605</v>
      </c>
      <c r="AK4755">
        <v>24.654592143227099</v>
      </c>
      <c r="AL4755">
        <v>81.200129464700495</v>
      </c>
      <c r="AM4755">
        <v>89.423027840570299</v>
      </c>
      <c r="AN4755">
        <v>0.99999997844648103</v>
      </c>
    </row>
    <row r="4756" spans="1:40" x14ac:dyDescent="0.25">
      <c r="A4756" t="str">
        <f>"20190312173026093"</f>
        <v>20190312173026093</v>
      </c>
      <c r="B4756" t="str">
        <f>"1552383026082536"</f>
        <v>1552383026082536</v>
      </c>
      <c r="C4756" t="s">
        <v>40</v>
      </c>
      <c r="D4756">
        <v>3.4206880000000002</v>
      </c>
      <c r="E4756">
        <v>0.4896239</v>
      </c>
      <c r="F4756" t="s">
        <v>41</v>
      </c>
      <c r="G4756">
        <v>-422.17939999999999</v>
      </c>
      <c r="H4756" s="1">
        <v>-4.3952629999999997E-6</v>
      </c>
      <c r="I4756">
        <v>68.766450000000006</v>
      </c>
      <c r="J4756">
        <v>-423.25409999999999</v>
      </c>
      <c r="K4756">
        <v>1.110636</v>
      </c>
      <c r="L4756">
        <v>92.576539999999994</v>
      </c>
      <c r="M4756">
        <v>2.4495139999999999E-2</v>
      </c>
      <c r="N4756">
        <v>0</v>
      </c>
      <c r="O4756">
        <v>-0.9996043</v>
      </c>
      <c r="P4756">
        <v>1.2787639999999999E-2</v>
      </c>
      <c r="Q4756">
        <v>0.13874010000000001</v>
      </c>
      <c r="R4756">
        <v>-0.99024670000000004</v>
      </c>
      <c r="S4756">
        <v>0.13674929999999999</v>
      </c>
      <c r="T4756">
        <v>-0.1402255</v>
      </c>
      <c r="U4756">
        <v>-3.0476679999999998</v>
      </c>
      <c r="V4756">
        <v>1.125663E-2</v>
      </c>
      <c r="W4756">
        <v>0.15245159999999999</v>
      </c>
      <c r="X4756">
        <v>0.98824690000000004</v>
      </c>
      <c r="Y4756">
        <v>-2.0291429999999999E-2</v>
      </c>
      <c r="Z4756">
        <v>4.5913679999999998E-2</v>
      </c>
      <c r="AA4756">
        <v>0.9987393</v>
      </c>
      <c r="AB4756">
        <v>34</v>
      </c>
      <c r="AC4756">
        <v>1.0747</v>
      </c>
      <c r="AD4756">
        <v>-1.110640395263</v>
      </c>
      <c r="AE4756">
        <v>-23.810089999999999</v>
      </c>
      <c r="AF4756">
        <v>-0.49002616585095699</v>
      </c>
      <c r="AG4756">
        <v>-1.110640395263</v>
      </c>
      <c r="AH4756">
        <v>23.7776409323784</v>
      </c>
      <c r="AI4756">
        <v>92.673743331970698</v>
      </c>
      <c r="AJ4756">
        <v>91.180624158144795</v>
      </c>
      <c r="AK4756">
        <v>23.808608864020702</v>
      </c>
      <c r="AL4756">
        <v>81.230973412414102</v>
      </c>
      <c r="AM4756">
        <v>89.347400432335604</v>
      </c>
      <c r="AN4756">
        <v>1.0000000687105599</v>
      </c>
    </row>
    <row r="4757" spans="1:40" x14ac:dyDescent="0.25">
      <c r="A4757" t="str">
        <f>"20190312173026115"</f>
        <v>20190312173026115</v>
      </c>
      <c r="B4757" t="str">
        <f>"1552383026112789"</f>
        <v>1552383026112789</v>
      </c>
      <c r="C4757" t="s">
        <v>40</v>
      </c>
      <c r="D4757">
        <v>3.4079449999999998</v>
      </c>
      <c r="E4757">
        <v>0.49019020000000002</v>
      </c>
      <c r="F4757" t="s">
        <v>41</v>
      </c>
      <c r="G4757">
        <v>-422.22149999999999</v>
      </c>
      <c r="H4757" s="1">
        <v>-4.3788000000000003E-6</v>
      </c>
      <c r="I4757">
        <v>68.696110000000004</v>
      </c>
      <c r="J4757">
        <v>-423.24540000000002</v>
      </c>
      <c r="K4757">
        <v>1.110519</v>
      </c>
      <c r="L4757">
        <v>92.240570000000005</v>
      </c>
      <c r="M4757">
        <v>2.4823669999999999E-2</v>
      </c>
      <c r="N4757">
        <v>0</v>
      </c>
      <c r="O4757">
        <v>-0.99959609999999999</v>
      </c>
      <c r="P4757">
        <v>1.160858E-2</v>
      </c>
      <c r="Q4757">
        <v>0.137641299999999</v>
      </c>
      <c r="R4757">
        <v>-0.99041400000000002</v>
      </c>
      <c r="S4757">
        <v>0.1317749</v>
      </c>
      <c r="T4757">
        <v>-0.14174500000000001</v>
      </c>
      <c r="U4757">
        <v>-3.0477289999999999</v>
      </c>
      <c r="V4757">
        <v>1.2808959999999999E-2</v>
      </c>
      <c r="W4757">
        <v>0.15134919999999999</v>
      </c>
      <c r="X4757">
        <v>0.98839739999999998</v>
      </c>
      <c r="Y4757">
        <v>-1.8333970000000002E-2</v>
      </c>
      <c r="Z4757">
        <v>4.6411180000000003E-2</v>
      </c>
      <c r="AA4757">
        <v>0.99875409999999998</v>
      </c>
      <c r="AB4757">
        <v>34</v>
      </c>
      <c r="AC4757">
        <v>1.02390000000002</v>
      </c>
      <c r="AD4757">
        <v>-1.1105233788</v>
      </c>
      <c r="AE4757">
        <v>-23.544459999999901</v>
      </c>
      <c r="AF4757">
        <v>-0.43809576075675399</v>
      </c>
      <c r="AG4757">
        <v>-1.1105233788</v>
      </c>
      <c r="AH4757">
        <v>23.510416986960902</v>
      </c>
      <c r="AI4757">
        <v>92.703908845400093</v>
      </c>
      <c r="AJ4757">
        <v>91.067532466729205</v>
      </c>
      <c r="AK4757">
        <v>23.540707231755601</v>
      </c>
      <c r="AL4757">
        <v>81.294877543002897</v>
      </c>
      <c r="AM4757">
        <v>89.257527116702306</v>
      </c>
      <c r="AN4757">
        <v>1.0000000350618401</v>
      </c>
    </row>
    <row r="4758" spans="1:40" x14ac:dyDescent="0.25">
      <c r="A4758" t="str">
        <f>"20190312173026139"</f>
        <v>20190312173026139</v>
      </c>
      <c r="B4758" t="str">
        <f>"1552383026132308"</f>
        <v>1552383026132308</v>
      </c>
      <c r="C4758" t="s">
        <v>40</v>
      </c>
      <c r="D4758">
        <v>3.4704700000000002</v>
      </c>
      <c r="E4758">
        <v>0.4906045</v>
      </c>
      <c r="F4758" t="s">
        <v>41</v>
      </c>
      <c r="G4758">
        <v>-422.30040000000002</v>
      </c>
      <c r="H4758" s="1">
        <v>-4.5349870000000001E-6</v>
      </c>
      <c r="I4758">
        <v>69.113979999999998</v>
      </c>
      <c r="J4758">
        <v>-423.23630000000003</v>
      </c>
      <c r="K4758">
        <v>1.1103989999999999</v>
      </c>
      <c r="L4758">
        <v>91.89282</v>
      </c>
      <c r="M4758">
        <v>2.50429E-2</v>
      </c>
      <c r="N4758">
        <v>0</v>
      </c>
      <c r="O4758">
        <v>-0.99959089999999995</v>
      </c>
      <c r="P4758">
        <v>1.047259E-2</v>
      </c>
      <c r="Q4758">
        <v>0.1361984</v>
      </c>
      <c r="R4758">
        <v>-0.99062649999999997</v>
      </c>
      <c r="S4758">
        <v>0.12454220000000001</v>
      </c>
      <c r="T4758">
        <v>-0.14635870000000001</v>
      </c>
      <c r="U4758">
        <v>-3.0479129999999999</v>
      </c>
      <c r="V4758">
        <v>1.421273E-2</v>
      </c>
      <c r="W4758">
        <v>0.14990149999999999</v>
      </c>
      <c r="X4758">
        <v>0.9885988</v>
      </c>
      <c r="Y4758">
        <v>-1.574329E-2</v>
      </c>
      <c r="Z4758">
        <v>4.7918599999999999E-2</v>
      </c>
      <c r="AA4758">
        <v>0.99872709999999998</v>
      </c>
      <c r="AB4758">
        <v>34</v>
      </c>
      <c r="AC4758">
        <v>0.93590000000000295</v>
      </c>
      <c r="AD4758">
        <v>-1.1104035349869901</v>
      </c>
      <c r="AE4758">
        <v>-22.778839999999999</v>
      </c>
      <c r="AF4758">
        <v>-0.36423968077719898</v>
      </c>
      <c r="AG4758">
        <v>-1.1104035349869901</v>
      </c>
      <c r="AH4758">
        <v>22.741186102559499</v>
      </c>
      <c r="AI4758">
        <v>92.795052429340501</v>
      </c>
      <c r="AJ4758">
        <v>90.917613181500101</v>
      </c>
      <c r="AK4758">
        <v>22.771192588593301</v>
      </c>
      <c r="AL4758">
        <v>81.378781827036505</v>
      </c>
      <c r="AM4758">
        <v>89.176335893461498</v>
      </c>
      <c r="AN4758">
        <v>1.00000002437887</v>
      </c>
    </row>
    <row r="4759" spans="1:40" x14ac:dyDescent="0.25">
      <c r="A4759" t="str">
        <f>"20190312173026160"</f>
        <v>20190312173026160</v>
      </c>
      <c r="B4759" t="str">
        <f>"1552383026152805"</f>
        <v>1552383026152805</v>
      </c>
      <c r="C4759" t="s">
        <v>40</v>
      </c>
      <c r="D4759">
        <v>3.472604</v>
      </c>
      <c r="E4759">
        <v>0.52327559999999995</v>
      </c>
      <c r="F4759" t="s">
        <v>41</v>
      </c>
      <c r="G4759">
        <v>-422.38400000000001</v>
      </c>
      <c r="H4759" s="1">
        <v>-6.9696829999999995E-7</v>
      </c>
      <c r="I4759">
        <v>69.735119999999995</v>
      </c>
      <c r="J4759">
        <v>-423.22809999999998</v>
      </c>
      <c r="K4759">
        <v>1.110295</v>
      </c>
      <c r="L4759">
        <v>91.571690000000004</v>
      </c>
      <c r="M4759">
        <v>2.5157269999999999E-2</v>
      </c>
      <c r="N4759">
        <v>0</v>
      </c>
      <c r="O4759">
        <v>-0.99958789999999997</v>
      </c>
      <c r="P4759">
        <v>8.8254389999999992E-3</v>
      </c>
      <c r="Q4759">
        <v>0.13526160000000001</v>
      </c>
      <c r="R4759">
        <v>-0.99077079999999995</v>
      </c>
      <c r="S4759">
        <v>0.11724850000000001</v>
      </c>
      <c r="T4759">
        <v>-0.15275369999999999</v>
      </c>
      <c r="U4759">
        <v>-3.0481569999999998</v>
      </c>
      <c r="V4759">
        <v>1.6013969999999999E-2</v>
      </c>
      <c r="W4759">
        <v>0.14896039999999999</v>
      </c>
      <c r="X4759">
        <v>0.98871350000000002</v>
      </c>
      <c r="Y4759">
        <v>-1.323561E-2</v>
      </c>
      <c r="Z4759">
        <v>5.0006290000000002E-2</v>
      </c>
      <c r="AA4759">
        <v>0.99866120000000003</v>
      </c>
      <c r="AB4759">
        <v>34</v>
      </c>
      <c r="AC4759">
        <v>0.84409999999996899</v>
      </c>
      <c r="AD4759">
        <v>-1.1102956969683</v>
      </c>
      <c r="AE4759">
        <v>-21.836569999999998</v>
      </c>
      <c r="AF4759">
        <v>-0.29367370198828702</v>
      </c>
      <c r="AG4759">
        <v>-1.1102956969683</v>
      </c>
      <c r="AH4759">
        <v>21.794633535010501</v>
      </c>
      <c r="AI4759">
        <v>92.916064227797506</v>
      </c>
      <c r="AJ4759">
        <v>90.771990288848201</v>
      </c>
      <c r="AK4759">
        <v>21.824872318145399</v>
      </c>
      <c r="AL4759">
        <v>81.433315109879004</v>
      </c>
      <c r="AM4759">
        <v>89.072074293459494</v>
      </c>
      <c r="AN4759">
        <v>1.00000001654278</v>
      </c>
    </row>
    <row r="4760" spans="1:40" x14ac:dyDescent="0.25">
      <c r="A4760" t="str">
        <f>"20190312173026183"</f>
        <v>20190312173026183</v>
      </c>
      <c r="B4760" t="str">
        <f>"1552383026172325"</f>
        <v>1552383026172325</v>
      </c>
      <c r="C4760" t="s">
        <v>40</v>
      </c>
      <c r="D4760">
        <v>3.4447320000000001</v>
      </c>
      <c r="E4760">
        <v>0.53851459999999995</v>
      </c>
      <c r="F4760" t="s">
        <v>42</v>
      </c>
      <c r="G4760">
        <v>-423.26400000000001</v>
      </c>
      <c r="H4760">
        <v>1.015566</v>
      </c>
      <c r="I4760">
        <v>90.809870000000004</v>
      </c>
      <c r="J4760">
        <v>-423.21940000000001</v>
      </c>
      <c r="K4760">
        <v>1.110198</v>
      </c>
      <c r="L4760">
        <v>91.23227</v>
      </c>
      <c r="M4760">
        <v>2.5200170000000001E-2</v>
      </c>
      <c r="N4760">
        <v>0</v>
      </c>
      <c r="O4760">
        <v>-0.99958709999999995</v>
      </c>
      <c r="P4760">
        <v>7.1661709999999998E-3</v>
      </c>
      <c r="Q4760">
        <v>0.1347148</v>
      </c>
      <c r="R4760">
        <v>-0.99085889999999999</v>
      </c>
      <c r="S4760">
        <v>-0.14401249999999999</v>
      </c>
      <c r="T4760">
        <v>-0.38320330000000002</v>
      </c>
      <c r="U4760">
        <v>-3.081512</v>
      </c>
      <c r="V4760">
        <v>1.775125E-2</v>
      </c>
      <c r="W4760">
        <v>0.14840729999999999</v>
      </c>
      <c r="X4760">
        <v>0.98876699999999995</v>
      </c>
      <c r="Y4760">
        <v>7.1488099999999999E-2</v>
      </c>
      <c r="Z4760">
        <v>0.1231221</v>
      </c>
      <c r="AA4760">
        <v>0.98981330000000001</v>
      </c>
      <c r="AB4760">
        <v>34</v>
      </c>
      <c r="AC4760">
        <v>-4.4600000000002603E-2</v>
      </c>
      <c r="AD4760">
        <v>-9.4631999999999994E-2</v>
      </c>
      <c r="AE4760">
        <v>-0.42240000000000999</v>
      </c>
      <c r="AF4760">
        <v>5.2619480344617997E-2</v>
      </c>
      <c r="AG4760">
        <v>-9.4631999999999994E-2</v>
      </c>
      <c r="AH4760">
        <v>0.40122579851756901</v>
      </c>
      <c r="AI4760">
        <v>103.162348762981</v>
      </c>
      <c r="AJ4760">
        <v>82.528482449646006</v>
      </c>
      <c r="AK4760">
        <v>0.41557931436946999</v>
      </c>
      <c r="AL4760">
        <v>81.465361526589504</v>
      </c>
      <c r="AM4760">
        <v>88.971484224921895</v>
      </c>
      <c r="AN4760">
        <v>1.0000000069294199</v>
      </c>
    </row>
    <row r="4761" spans="1:40" x14ac:dyDescent="0.25">
      <c r="A4761" t="str">
        <f>"20190312173026206"</f>
        <v>20190312173026206</v>
      </c>
      <c r="B4761" t="str">
        <f>"1552383026202582"</f>
        <v>1552383026202582</v>
      </c>
      <c r="C4761" t="s">
        <v>40</v>
      </c>
      <c r="D4761">
        <v>3.461668</v>
      </c>
      <c r="E4761">
        <v>0.5477919</v>
      </c>
      <c r="F4761" t="s">
        <v>42</v>
      </c>
      <c r="G4761">
        <v>-423.28129999999999</v>
      </c>
      <c r="H4761">
        <v>0.99272609999999994</v>
      </c>
      <c r="I4761">
        <v>90.520520000000005</v>
      </c>
      <c r="J4761">
        <v>-423.21080000000001</v>
      </c>
      <c r="K4761">
        <v>1.1101099999999999</v>
      </c>
      <c r="L4761">
        <v>90.890259999999998</v>
      </c>
      <c r="M4761">
        <v>2.5157039999999999E-2</v>
      </c>
      <c r="N4761">
        <v>0</v>
      </c>
      <c r="O4761">
        <v>-0.99958800000000003</v>
      </c>
      <c r="P4761">
        <v>5.8702470000000003E-3</v>
      </c>
      <c r="Q4761">
        <v>0.13403199999999901</v>
      </c>
      <c r="R4761">
        <v>-0.99095999999999995</v>
      </c>
      <c r="S4761">
        <v>-0.26806639999999998</v>
      </c>
      <c r="T4761">
        <v>-0.51154540000000004</v>
      </c>
      <c r="U4761">
        <v>-3.0991819999999999</v>
      </c>
      <c r="V4761">
        <v>1.903577E-2</v>
      </c>
      <c r="W4761">
        <v>0.14771879999999901</v>
      </c>
      <c r="X4761">
        <v>0.98884620000000001</v>
      </c>
      <c r="Y4761">
        <v>0.1100732</v>
      </c>
      <c r="Z4761">
        <v>0.161987299999999</v>
      </c>
      <c r="AA4761">
        <v>0.98063449999999996</v>
      </c>
      <c r="AB4761">
        <v>34</v>
      </c>
      <c r="AC4761">
        <v>-7.04999999999813E-2</v>
      </c>
      <c r="AD4761">
        <v>-0.117383899999999</v>
      </c>
      <c r="AE4761">
        <v>-0.36974000000000701</v>
      </c>
      <c r="AF4761">
        <v>7.2708793481553902E-2</v>
      </c>
      <c r="AG4761">
        <v>-0.117383899999999</v>
      </c>
      <c r="AH4761">
        <v>0.33524476614019899</v>
      </c>
      <c r="AI4761">
        <v>108.890351589709</v>
      </c>
      <c r="AJ4761">
        <v>77.763054507246807</v>
      </c>
      <c r="AK4761">
        <v>0.362566686077403</v>
      </c>
      <c r="AL4761">
        <v>81.505249308261398</v>
      </c>
      <c r="AM4761">
        <v>88.897164611091</v>
      </c>
      <c r="AN4761">
        <v>1.00000000583368</v>
      </c>
    </row>
    <row r="4762" spans="1:40" x14ac:dyDescent="0.25">
      <c r="A4762" t="str">
        <f>"20190312173026228"</f>
        <v>20190312173026228</v>
      </c>
      <c r="B4762" t="str">
        <f>"1552383026223077"</f>
        <v>1552383026223077</v>
      </c>
      <c r="C4762" t="s">
        <v>40</v>
      </c>
      <c r="D4762">
        <v>3.471759</v>
      </c>
      <c r="E4762">
        <v>0.55110130000000002</v>
      </c>
      <c r="F4762" t="s">
        <v>42</v>
      </c>
      <c r="G4762">
        <v>-423.315</v>
      </c>
      <c r="H4762">
        <v>0.92753339999999995</v>
      </c>
      <c r="I4762">
        <v>89.950339999999997</v>
      </c>
      <c r="J4762">
        <v>-423.20209999999997</v>
      </c>
      <c r="K4762">
        <v>1.110036</v>
      </c>
      <c r="L4762">
        <v>90.547700000000006</v>
      </c>
      <c r="M4762">
        <v>2.5043820000000001E-2</v>
      </c>
      <c r="N4762">
        <v>0</v>
      </c>
      <c r="O4762">
        <v>-0.99959109999999995</v>
      </c>
      <c r="P4762">
        <v>4.6197800000000004E-3</v>
      </c>
      <c r="Q4762">
        <v>0.13296659999999999</v>
      </c>
      <c r="R4762">
        <v>-0.99111020000000005</v>
      </c>
      <c r="S4762">
        <v>-0.34414670000000003</v>
      </c>
      <c r="T4762">
        <v>-0.60433999999999999</v>
      </c>
      <c r="U4762">
        <v>-3.111145</v>
      </c>
      <c r="V4762">
        <v>2.0203700000000002E-2</v>
      </c>
      <c r="W4762">
        <v>0.14664820000000001</v>
      </c>
      <c r="X4762">
        <v>0.98898240000000004</v>
      </c>
      <c r="Y4762">
        <v>0.1328183</v>
      </c>
      <c r="Z4762">
        <v>0.18919340000000001</v>
      </c>
      <c r="AA4762">
        <v>0.9729158</v>
      </c>
      <c r="AB4762">
        <v>34</v>
      </c>
      <c r="AC4762">
        <v>-0.112900000000024</v>
      </c>
      <c r="AD4762">
        <v>-0.18250259999999999</v>
      </c>
      <c r="AE4762">
        <v>-0.59736000000000899</v>
      </c>
      <c r="AF4762">
        <v>0.11725877102007699</v>
      </c>
      <c r="AG4762">
        <v>-0.18250259999999999</v>
      </c>
      <c r="AH4762">
        <v>0.54521029389845699</v>
      </c>
      <c r="AI4762">
        <v>108.120937306947</v>
      </c>
      <c r="AJ4762">
        <v>77.862246898137599</v>
      </c>
      <c r="AK4762">
        <v>0.58678026803969896</v>
      </c>
      <c r="AL4762">
        <v>81.567265833591506</v>
      </c>
      <c r="AM4762">
        <v>88.829680136794906</v>
      </c>
      <c r="AN4762">
        <v>1.0000000357833401</v>
      </c>
    </row>
    <row r="4763" spans="1:40" x14ac:dyDescent="0.25">
      <c r="A4763" t="str">
        <f>"20190312173026250"</f>
        <v>20190312173026250</v>
      </c>
      <c r="B4763" t="str">
        <f>"1552383026242600"</f>
        <v>1552383026242600</v>
      </c>
      <c r="C4763" t="s">
        <v>40</v>
      </c>
      <c r="D4763">
        <v>3.510281</v>
      </c>
      <c r="E4763">
        <v>0.55364349999999996</v>
      </c>
      <c r="F4763" t="s">
        <v>42</v>
      </c>
      <c r="G4763">
        <v>-423.3098</v>
      </c>
      <c r="H4763">
        <v>0.92686440000000003</v>
      </c>
      <c r="I4763">
        <v>89.651119999999906</v>
      </c>
      <c r="J4763">
        <v>-423.1943</v>
      </c>
      <c r="K4763">
        <v>1.109982</v>
      </c>
      <c r="L4763">
        <v>90.231049999999996</v>
      </c>
      <c r="M4763">
        <v>2.4894489999999998E-2</v>
      </c>
      <c r="N4763">
        <v>0</v>
      </c>
      <c r="O4763">
        <v>-0.99959469999999995</v>
      </c>
      <c r="P4763">
        <v>3.581332E-3</v>
      </c>
      <c r="Q4763">
        <v>0.13265289999999999</v>
      </c>
      <c r="R4763">
        <v>-0.99115629999999999</v>
      </c>
      <c r="S4763">
        <v>-0.37338260000000001</v>
      </c>
      <c r="T4763">
        <v>-0.63618529999999995</v>
      </c>
      <c r="U4763">
        <v>-3.1139830000000002</v>
      </c>
      <c r="V4763">
        <v>2.1116289999999999E-2</v>
      </c>
      <c r="W4763">
        <v>0.14632879999999901</v>
      </c>
      <c r="X4763">
        <v>0.98901059999999996</v>
      </c>
      <c r="Y4763">
        <v>0.14136570000000001</v>
      </c>
      <c r="Z4763">
        <v>0.19838230000000001</v>
      </c>
      <c r="AA4763">
        <v>0.96987639999999997</v>
      </c>
      <c r="AB4763">
        <v>34</v>
      </c>
      <c r="AC4763">
        <v>-0.11549999999999699</v>
      </c>
      <c r="AD4763">
        <v>-0.18311759999999999</v>
      </c>
      <c r="AE4763">
        <v>-0.57993000000000405</v>
      </c>
      <c r="AF4763">
        <v>0.118535195090487</v>
      </c>
      <c r="AG4763">
        <v>-0.18311759999999999</v>
      </c>
      <c r="AH4763">
        <v>0.52639385133567795</v>
      </c>
      <c r="AI4763">
        <v>108.74586757158499</v>
      </c>
      <c r="AJ4763">
        <v>77.309611264715997</v>
      </c>
      <c r="AK4763">
        <v>0.56980096053701701</v>
      </c>
      <c r="AL4763">
        <v>81.585765296188796</v>
      </c>
      <c r="AM4763">
        <v>88.776868012309905</v>
      </c>
      <c r="AN4763">
        <v>0.99999999116258198</v>
      </c>
    </row>
    <row r="4764" spans="1:40" x14ac:dyDescent="0.25">
      <c r="A4764" t="str">
        <f>"20190312173026272"</f>
        <v>20190312173026272</v>
      </c>
      <c r="B4764" t="str">
        <f>"1552383026263093"</f>
        <v>1552383026263093</v>
      </c>
      <c r="C4764" t="s">
        <v>40</v>
      </c>
      <c r="D4764">
        <v>3.473474</v>
      </c>
      <c r="E4764">
        <v>0.55513159999999995</v>
      </c>
      <c r="F4764" t="s">
        <v>42</v>
      </c>
      <c r="G4764">
        <v>-423.30669999999998</v>
      </c>
      <c r="H4764">
        <v>0.92504419999999998</v>
      </c>
      <c r="I4764">
        <v>89.352590000000006</v>
      </c>
      <c r="J4764">
        <v>-423.1859</v>
      </c>
      <c r="K4764">
        <v>1.1099300000000001</v>
      </c>
      <c r="L4764">
        <v>89.887569999999997</v>
      </c>
      <c r="M4764">
        <v>2.468559E-2</v>
      </c>
      <c r="N4764">
        <v>0</v>
      </c>
      <c r="O4764">
        <v>-0.99959980000000004</v>
      </c>
      <c r="P4764">
        <v>3.4411419999999999E-3</v>
      </c>
      <c r="Q4764">
        <v>0.1333675</v>
      </c>
      <c r="R4764">
        <v>-0.99106099999999997</v>
      </c>
      <c r="S4764">
        <v>-0.39709470000000002</v>
      </c>
      <c r="T4764">
        <v>-0.65599490000000005</v>
      </c>
      <c r="U4764">
        <v>-3.1159970000000001</v>
      </c>
      <c r="V4764">
        <v>2.106806E-2</v>
      </c>
      <c r="W4764">
        <v>0.1470368</v>
      </c>
      <c r="X4764">
        <v>0.98890659999999997</v>
      </c>
      <c r="Y4764">
        <v>0.14820459999999999</v>
      </c>
      <c r="Z4764">
        <v>0.20398469999999999</v>
      </c>
      <c r="AA4764">
        <v>0.96769090000000002</v>
      </c>
      <c r="AB4764">
        <v>33</v>
      </c>
      <c r="AC4764">
        <v>-0.120799999999974</v>
      </c>
      <c r="AD4764">
        <v>-0.18488579999999999</v>
      </c>
      <c r="AE4764">
        <v>-0.53497999999999002</v>
      </c>
      <c r="AF4764">
        <v>0.12029976349577499</v>
      </c>
      <c r="AG4764">
        <v>-0.18488579999999999</v>
      </c>
      <c r="AH4764">
        <v>0.47756384653892098</v>
      </c>
      <c r="AI4764">
        <v>110.576928164864</v>
      </c>
      <c r="AJ4764">
        <v>75.861182700613099</v>
      </c>
      <c r="AK4764">
        <v>0.52604374310491497</v>
      </c>
      <c r="AL4764">
        <v>81.544756163184303</v>
      </c>
      <c r="AM4764">
        <v>88.779532522622006</v>
      </c>
      <c r="AN4764">
        <v>0.99999997361498105</v>
      </c>
    </row>
    <row r="4765" spans="1:40" x14ac:dyDescent="0.25">
      <c r="A4765" t="str">
        <f>"20190312173026294"</f>
        <v>20190312173026294</v>
      </c>
      <c r="B4765" t="str">
        <f>"1552383026282613"</f>
        <v>1552383026282613</v>
      </c>
      <c r="C4765" t="s">
        <v>40</v>
      </c>
      <c r="D4765">
        <v>3.4421189999999999</v>
      </c>
      <c r="E4765">
        <v>0.55597619999999903</v>
      </c>
      <c r="F4765" t="s">
        <v>42</v>
      </c>
      <c r="G4765">
        <v>-423.2962</v>
      </c>
      <c r="H4765">
        <v>0.93115899999999996</v>
      </c>
      <c r="I4765">
        <v>89.050989999999999</v>
      </c>
      <c r="J4765">
        <v>-423.17809999999997</v>
      </c>
      <c r="K4765">
        <v>1.1098889999999999</v>
      </c>
      <c r="L4765">
        <v>89.564059999999998</v>
      </c>
      <c r="M4765">
        <v>2.444501E-2</v>
      </c>
      <c r="N4765">
        <v>0</v>
      </c>
      <c r="O4765">
        <v>-0.99960579999999999</v>
      </c>
      <c r="P4765">
        <v>3.294141E-3</v>
      </c>
      <c r="Q4765">
        <v>0.13410050000000001</v>
      </c>
      <c r="R4765">
        <v>-0.99096240000000002</v>
      </c>
      <c r="S4765">
        <v>-0.41052250000000001</v>
      </c>
      <c r="T4765">
        <v>-0.66632019999999903</v>
      </c>
      <c r="U4765">
        <v>-3.1181640000000002</v>
      </c>
      <c r="V4765">
        <v>2.0992529999999999E-2</v>
      </c>
      <c r="W4765">
        <v>0.1477627</v>
      </c>
      <c r="X4765">
        <v>0.98880000000000001</v>
      </c>
      <c r="Y4765">
        <v>0.15190209999999901</v>
      </c>
      <c r="Z4765">
        <v>0.2068093</v>
      </c>
      <c r="AA4765">
        <v>0.96651730000000002</v>
      </c>
      <c r="AB4765">
        <v>33</v>
      </c>
      <c r="AC4765">
        <v>-0.118100000000026</v>
      </c>
      <c r="AD4765">
        <v>-0.178729999999999</v>
      </c>
      <c r="AE4765">
        <v>-0.51306999999999803</v>
      </c>
      <c r="AF4765">
        <v>0.117111460268669</v>
      </c>
      <c r="AG4765">
        <v>-0.178729999999999</v>
      </c>
      <c r="AH4765">
        <v>0.45732525126101398</v>
      </c>
      <c r="AI4765">
        <v>110.736636954918</v>
      </c>
      <c r="AJ4765">
        <v>75.6364076578718</v>
      </c>
      <c r="AK4765">
        <v>0.50478301523249502</v>
      </c>
      <c r="AL4765">
        <v>81.502705815940999</v>
      </c>
      <c r="AM4765">
        <v>88.783775575888995</v>
      </c>
      <c r="AN4765">
        <v>0.99999997091354498</v>
      </c>
    </row>
    <row r="4766" spans="1:40" x14ac:dyDescent="0.25">
      <c r="A4766" t="str">
        <f>"20190312173026317"</f>
        <v>20190312173026317</v>
      </c>
      <c r="B4766" t="str">
        <f>"1552383026312869"</f>
        <v>1552383026312869</v>
      </c>
      <c r="C4766" t="s">
        <v>40</v>
      </c>
      <c r="D4766">
        <v>3.458431</v>
      </c>
      <c r="E4766">
        <v>0.55688210000000005</v>
      </c>
      <c r="F4766" t="s">
        <v>42</v>
      </c>
      <c r="G4766">
        <v>-423.28769999999997</v>
      </c>
      <c r="H4766">
        <v>0.9348052</v>
      </c>
      <c r="I4766">
        <v>88.75067</v>
      </c>
      <c r="J4766">
        <v>-423.17</v>
      </c>
      <c r="K4766">
        <v>1.1098440000000001</v>
      </c>
      <c r="L4766">
        <v>89.22336</v>
      </c>
      <c r="M4766">
        <v>2.4147660000000001E-2</v>
      </c>
      <c r="N4766">
        <v>0</v>
      </c>
      <c r="O4766">
        <v>-0.99961299999999997</v>
      </c>
      <c r="P4766">
        <v>3.316018E-3</v>
      </c>
      <c r="Q4766">
        <v>0.13533629999999999</v>
      </c>
      <c r="R4766">
        <v>-0.99079419999999996</v>
      </c>
      <c r="S4766">
        <v>-0.41842649999999998</v>
      </c>
      <c r="T4766">
        <v>-0.67151260000000002</v>
      </c>
      <c r="U4766">
        <v>-3.1196290000000002</v>
      </c>
      <c r="V4766">
        <v>2.0690099999999999E-2</v>
      </c>
      <c r="W4766">
        <v>0.1489915</v>
      </c>
      <c r="X4766">
        <v>0.988622</v>
      </c>
      <c r="Y4766">
        <v>0.15391629999999901</v>
      </c>
      <c r="Z4766">
        <v>0.20819399999999999</v>
      </c>
      <c r="AA4766">
        <v>0.96590109999999996</v>
      </c>
      <c r="AB4766">
        <v>33</v>
      </c>
      <c r="AC4766">
        <v>-0.11769999999995601</v>
      </c>
      <c r="AD4766">
        <v>-0.17503879999999999</v>
      </c>
      <c r="AE4766">
        <v>-0.47269</v>
      </c>
      <c r="AF4766">
        <v>0.11432018772528001</v>
      </c>
      <c r="AG4766">
        <v>-0.17503879999999999</v>
      </c>
      <c r="AH4766">
        <v>0.41599654758242799</v>
      </c>
      <c r="AI4766">
        <v>112.08378220335899</v>
      </c>
      <c r="AJ4766">
        <v>74.633847453851402</v>
      </c>
      <c r="AK4766">
        <v>0.46557578805977801</v>
      </c>
      <c r="AL4766">
        <v>81.431512986162204</v>
      </c>
      <c r="AM4766">
        <v>88.801076265289097</v>
      </c>
      <c r="AN4766">
        <v>1.0000000030971199</v>
      </c>
    </row>
    <row r="4767" spans="1:40" x14ac:dyDescent="0.25">
      <c r="A4767" t="str">
        <f>"20190312173026340"</f>
        <v>20190312173026340</v>
      </c>
      <c r="B4767" t="str">
        <f>"1552383026332388"</f>
        <v>1552383026332388</v>
      </c>
      <c r="C4767" t="s">
        <v>40</v>
      </c>
      <c r="D4767">
        <v>3.462072</v>
      </c>
      <c r="E4767">
        <v>0.55735769999999996</v>
      </c>
      <c r="F4767" t="s">
        <v>42</v>
      </c>
      <c r="G4767">
        <v>-423.27589999999998</v>
      </c>
      <c r="H4767">
        <v>0.94220110000000001</v>
      </c>
      <c r="I4767">
        <v>88.449019999999905</v>
      </c>
      <c r="J4767">
        <v>-423.16210000000001</v>
      </c>
      <c r="K4767">
        <v>1.1097999999999999</v>
      </c>
      <c r="L4767">
        <v>88.884339999999995</v>
      </c>
      <c r="M4767">
        <v>2.380931E-2</v>
      </c>
      <c r="N4767">
        <v>0</v>
      </c>
      <c r="O4767">
        <v>-0.99962119999999999</v>
      </c>
      <c r="P4767">
        <v>3.2605440000000002E-3</v>
      </c>
      <c r="Q4767">
        <v>0.136513</v>
      </c>
      <c r="R4767">
        <v>-0.99063310000000004</v>
      </c>
      <c r="S4767">
        <v>-0.42648320000000001</v>
      </c>
      <c r="T4767">
        <v>-0.67582569999999997</v>
      </c>
      <c r="U4767">
        <v>-3.121613</v>
      </c>
      <c r="V4767">
        <v>2.042325E-2</v>
      </c>
      <c r="W4767">
        <v>0.15016179999999901</v>
      </c>
      <c r="X4767">
        <v>0.98845050000000001</v>
      </c>
      <c r="Y4767">
        <v>0.15591740000000001</v>
      </c>
      <c r="Z4767">
        <v>0.20928089999999999</v>
      </c>
      <c r="AA4767">
        <v>0.96534509999999996</v>
      </c>
      <c r="AB4767">
        <v>33</v>
      </c>
      <c r="AC4767">
        <v>-0.113799999999969</v>
      </c>
      <c r="AD4767">
        <v>-0.167598899999999</v>
      </c>
      <c r="AE4767">
        <v>-0.43532000000001803</v>
      </c>
      <c r="AF4767">
        <v>0.10900898251678399</v>
      </c>
      <c r="AG4767">
        <v>-0.167598899999999</v>
      </c>
      <c r="AH4767">
        <v>0.37979263606283797</v>
      </c>
      <c r="AI4767">
        <v>112.984935693728</v>
      </c>
      <c r="AJ4767">
        <v>73.985336788157298</v>
      </c>
      <c r="AK4767">
        <v>0.42920251159343598</v>
      </c>
      <c r="AL4767">
        <v>81.363697069856201</v>
      </c>
      <c r="AM4767">
        <v>88.816329647562497</v>
      </c>
      <c r="AN4767">
        <v>1.0000000331350201</v>
      </c>
    </row>
    <row r="4768" spans="1:40" x14ac:dyDescent="0.25">
      <c r="A4768" t="str">
        <f>"20190312173026362"</f>
        <v>20190312173026362</v>
      </c>
      <c r="B4768" t="str">
        <f>"1552383026352885"</f>
        <v>1552383026352885</v>
      </c>
      <c r="C4768" t="s">
        <v>40</v>
      </c>
      <c r="D4768">
        <v>3.4433410000000002</v>
      </c>
      <c r="E4768">
        <v>0.5577626</v>
      </c>
      <c r="F4768" t="s">
        <v>42</v>
      </c>
      <c r="G4768">
        <v>-423.26429999999999</v>
      </c>
      <c r="H4768">
        <v>0.9502642</v>
      </c>
      <c r="I4768">
        <v>88.147239999999996</v>
      </c>
      <c r="J4768">
        <v>-423.15460000000002</v>
      </c>
      <c r="K4768">
        <v>1.1097589999999999</v>
      </c>
      <c r="L4768">
        <v>88.551209999999998</v>
      </c>
      <c r="M4768">
        <v>2.3438279999999999E-2</v>
      </c>
      <c r="N4768">
        <v>0</v>
      </c>
      <c r="O4768">
        <v>-0.99963020000000002</v>
      </c>
      <c r="P4768">
        <v>4.1709549999999996E-3</v>
      </c>
      <c r="Q4768">
        <v>0.1374437</v>
      </c>
      <c r="R4768">
        <v>-0.99050119999999997</v>
      </c>
      <c r="S4768">
        <v>-0.43124390000000001</v>
      </c>
      <c r="T4768">
        <v>-0.67591689999999904</v>
      </c>
      <c r="U4768">
        <v>-3.122925</v>
      </c>
      <c r="V4768">
        <v>1.9157489999999999E-2</v>
      </c>
      <c r="W4768">
        <v>0.15108759999999999</v>
      </c>
      <c r="X4768">
        <v>0.98833470000000001</v>
      </c>
      <c r="Y4768">
        <v>0.15694359999999999</v>
      </c>
      <c r="Z4768">
        <v>0.2091896</v>
      </c>
      <c r="AA4768">
        <v>0.96519860000000002</v>
      </c>
      <c r="AB4768">
        <v>33</v>
      </c>
      <c r="AC4768">
        <v>-0.109699999999975</v>
      </c>
      <c r="AD4768">
        <v>-0.15949479999999899</v>
      </c>
      <c r="AE4768">
        <v>-0.40397000000000099</v>
      </c>
      <c r="AF4768">
        <v>0.104035640283157</v>
      </c>
      <c r="AG4768">
        <v>-0.15949479999999899</v>
      </c>
      <c r="AH4768">
        <v>0.35041563274541698</v>
      </c>
      <c r="AI4768">
        <v>113.57331015612</v>
      </c>
      <c r="AJ4768">
        <v>73.464260663096098</v>
      </c>
      <c r="AK4768">
        <v>0.39881464535362499</v>
      </c>
      <c r="AL4768">
        <v>81.3100399672512</v>
      </c>
      <c r="AM4768">
        <v>88.889540270444101</v>
      </c>
      <c r="AN4768">
        <v>0.99999997576047395</v>
      </c>
    </row>
    <row r="4769" spans="1:40" x14ac:dyDescent="0.25">
      <c r="A4769" t="str">
        <f>"20190312173026384"</f>
        <v>20190312173026384</v>
      </c>
      <c r="B4769" t="str">
        <f>"1552383026372405"</f>
        <v>1552383026372405</v>
      </c>
      <c r="C4769" t="s">
        <v>40</v>
      </c>
      <c r="D4769">
        <v>3.4575360000000002</v>
      </c>
      <c r="E4769">
        <v>0.558141</v>
      </c>
      <c r="F4769" t="s">
        <v>42</v>
      </c>
      <c r="G4769">
        <v>-423.25229999999999</v>
      </c>
      <c r="H4769">
        <v>0.95724209999999998</v>
      </c>
      <c r="I4769">
        <v>87.846180000000004</v>
      </c>
      <c r="J4769">
        <v>-423.1474</v>
      </c>
      <c r="K4769">
        <v>1.1097239999999999</v>
      </c>
      <c r="L4769">
        <v>88.230350000000001</v>
      </c>
      <c r="M4769">
        <v>2.3046770000000001E-2</v>
      </c>
      <c r="N4769">
        <v>0</v>
      </c>
      <c r="O4769">
        <v>-0.99963930000000001</v>
      </c>
      <c r="P4769">
        <v>5.2360740000000003E-3</v>
      </c>
      <c r="Q4769">
        <v>0.13826540000000001</v>
      </c>
      <c r="R4769">
        <v>-0.99038150000000003</v>
      </c>
      <c r="S4769">
        <v>-0.4325562</v>
      </c>
      <c r="T4769">
        <v>-0.67589500000000002</v>
      </c>
      <c r="U4769">
        <v>-3.12439</v>
      </c>
      <c r="V4769">
        <v>1.7715270000000002E-2</v>
      </c>
      <c r="W4769">
        <v>0.15190529999999999</v>
      </c>
      <c r="X4769">
        <v>0.98823620000000001</v>
      </c>
      <c r="Y4769">
        <v>0.15689649999999999</v>
      </c>
      <c r="Z4769">
        <v>0.2090883</v>
      </c>
      <c r="AA4769">
        <v>0.96522830000000004</v>
      </c>
      <c r="AB4769">
        <v>33</v>
      </c>
      <c r="AC4769">
        <v>-0.104899999999986</v>
      </c>
      <c r="AD4769">
        <v>-0.152481899999999</v>
      </c>
      <c r="AE4769">
        <v>-0.38416999999999701</v>
      </c>
      <c r="AF4769">
        <v>9.9185424992649304E-2</v>
      </c>
      <c r="AG4769">
        <v>-0.152481899999999</v>
      </c>
      <c r="AH4769">
        <v>0.33285127780287099</v>
      </c>
      <c r="AI4769">
        <v>113.702941385109</v>
      </c>
      <c r="AJ4769">
        <v>73.406616248975794</v>
      </c>
      <c r="AK4769">
        <v>0.37931313119055898</v>
      </c>
      <c r="AL4769">
        <v>81.262641630479393</v>
      </c>
      <c r="AM4769">
        <v>88.973017279217402</v>
      </c>
      <c r="AN4769">
        <v>0.99999991897484797</v>
      </c>
    </row>
    <row r="4770" spans="1:40" x14ac:dyDescent="0.25">
      <c r="A4770" t="str">
        <f>"20190312173026407"</f>
        <v>20190312173026407</v>
      </c>
      <c r="B4770" t="str">
        <f>"1552383026402661"</f>
        <v>1552383026402661</v>
      </c>
      <c r="C4770" t="s">
        <v>40</v>
      </c>
      <c r="D4770">
        <v>3.5067050000000002</v>
      </c>
      <c r="E4770">
        <v>0.55879939999999995</v>
      </c>
      <c r="F4770" t="s">
        <v>42</v>
      </c>
      <c r="G4770">
        <v>-423.28</v>
      </c>
      <c r="H4770">
        <v>0.90256570000000003</v>
      </c>
      <c r="I4770">
        <v>87.273160000000004</v>
      </c>
      <c r="J4770">
        <v>-423.14</v>
      </c>
      <c r="K4770">
        <v>1.109694</v>
      </c>
      <c r="L4770">
        <v>87.886510000000001</v>
      </c>
      <c r="M4770">
        <v>2.2591389999999999E-2</v>
      </c>
      <c r="N4770">
        <v>0</v>
      </c>
      <c r="O4770">
        <v>-0.99964960000000003</v>
      </c>
      <c r="P4770">
        <v>6.7801490000000001E-3</v>
      </c>
      <c r="Q4770">
        <v>0.1391066</v>
      </c>
      <c r="R4770">
        <v>-0.99025399999999997</v>
      </c>
      <c r="S4770">
        <v>-0.43283080000000002</v>
      </c>
      <c r="T4770">
        <v>-0.67650690000000002</v>
      </c>
      <c r="U4770">
        <v>-3.1258539999999999</v>
      </c>
      <c r="V4770">
        <v>1.5730580000000001E-2</v>
      </c>
      <c r="W4770">
        <v>0.15274370000000001</v>
      </c>
      <c r="X4770">
        <v>0.98814060000000004</v>
      </c>
      <c r="Y4770">
        <v>0.15646579999999999</v>
      </c>
      <c r="Z4770">
        <v>0.2091857</v>
      </c>
      <c r="AA4770">
        <v>0.9652771</v>
      </c>
      <c r="AB4770">
        <v>33</v>
      </c>
      <c r="AC4770">
        <v>-0.139999999999986</v>
      </c>
      <c r="AD4770">
        <v>-0.20712829999999999</v>
      </c>
      <c r="AE4770">
        <v>-0.61334999999999695</v>
      </c>
      <c r="AF4770">
        <v>0.138779186254812</v>
      </c>
      <c r="AG4770">
        <v>-0.20712829999999999</v>
      </c>
      <c r="AH4770">
        <v>0.55037321048630305</v>
      </c>
      <c r="AI4770">
        <v>110.04799481690399</v>
      </c>
      <c r="AJ4770">
        <v>75.847622965872802</v>
      </c>
      <c r="AK4770">
        <v>0.60421226900770397</v>
      </c>
      <c r="AL4770">
        <v>81.2140380881754</v>
      </c>
      <c r="AM4770">
        <v>89.087964083797104</v>
      </c>
      <c r="AN4770">
        <v>0.99999996720259199</v>
      </c>
    </row>
    <row r="4771" spans="1:40" x14ac:dyDescent="0.25">
      <c r="A4771" t="str">
        <f>"20190312173026429"</f>
        <v>20190312173026429</v>
      </c>
      <c r="B4771" t="str">
        <f>"1552383026422181"</f>
        <v>1552383026422181</v>
      </c>
      <c r="C4771" t="s">
        <v>40</v>
      </c>
      <c r="D4771">
        <v>3.4307270000000001</v>
      </c>
      <c r="E4771">
        <v>0.55929930000000005</v>
      </c>
      <c r="F4771" t="s">
        <v>42</v>
      </c>
      <c r="G4771">
        <v>-423.2672</v>
      </c>
      <c r="H4771">
        <v>0.91144360000000002</v>
      </c>
      <c r="I4771">
        <v>86.972530000000006</v>
      </c>
      <c r="J4771">
        <v>-423.13290000000001</v>
      </c>
      <c r="K4771">
        <v>1.109666</v>
      </c>
      <c r="L4771">
        <v>87.551059999999893</v>
      </c>
      <c r="M4771">
        <v>2.2121080000000001E-2</v>
      </c>
      <c r="N4771">
        <v>0</v>
      </c>
      <c r="O4771">
        <v>-0.9996604</v>
      </c>
      <c r="P4771">
        <v>7.9319909999999993E-3</v>
      </c>
      <c r="Q4771">
        <v>0.13967449999999901</v>
      </c>
      <c r="R4771">
        <v>-0.99016610000000005</v>
      </c>
      <c r="S4771">
        <v>-0.4338379</v>
      </c>
      <c r="T4771">
        <v>-0.67841260000000003</v>
      </c>
      <c r="U4771">
        <v>-3.127777</v>
      </c>
      <c r="V4771">
        <v>1.4121999999999999E-2</v>
      </c>
      <c r="W4771">
        <v>0.15330869999999999</v>
      </c>
      <c r="X4771">
        <v>0.98807739999999999</v>
      </c>
      <c r="Y4771">
        <v>0.15621270000000001</v>
      </c>
      <c r="Z4771">
        <v>0.20962980000000001</v>
      </c>
      <c r="AA4771">
        <v>0.96522169999999896</v>
      </c>
      <c r="AB4771">
        <v>33</v>
      </c>
      <c r="AC4771">
        <v>-0.13429999999999601</v>
      </c>
      <c r="AD4771">
        <v>-0.19822239999999999</v>
      </c>
      <c r="AE4771">
        <v>-0.578529999999986</v>
      </c>
      <c r="AF4771">
        <v>0.132325848876094</v>
      </c>
      <c r="AG4771">
        <v>-0.19822239999999999</v>
      </c>
      <c r="AH4771">
        <v>0.51774407623589103</v>
      </c>
      <c r="AI4771">
        <v>110.351551761529</v>
      </c>
      <c r="AJ4771">
        <v>75.663164926592003</v>
      </c>
      <c r="AK4771">
        <v>0.56996594514049204</v>
      </c>
      <c r="AL4771">
        <v>81.181280163060293</v>
      </c>
      <c r="AM4771">
        <v>89.181161404402104</v>
      </c>
      <c r="AN4771">
        <v>0.99999996838522398</v>
      </c>
    </row>
    <row r="4772" spans="1:40" x14ac:dyDescent="0.25">
      <c r="A4772" t="str">
        <f>"20190312173026451"</f>
        <v>20190312173026451</v>
      </c>
      <c r="B4772" t="str">
        <f>"1552383026442680"</f>
        <v>1552383026442680</v>
      </c>
      <c r="C4772" t="s">
        <v>40</v>
      </c>
      <c r="D4772">
        <v>3.4240750000000002</v>
      </c>
      <c r="E4772">
        <v>0.55964650000000005</v>
      </c>
      <c r="F4772" t="s">
        <v>42</v>
      </c>
      <c r="G4772">
        <v>-423.25549999999998</v>
      </c>
      <c r="H4772">
        <v>0.91894909999999996</v>
      </c>
      <c r="I4772">
        <v>86.672640000000001</v>
      </c>
      <c r="J4772">
        <v>-423.12619999999998</v>
      </c>
      <c r="K4772">
        <v>1.109645</v>
      </c>
      <c r="L4772">
        <v>87.231989999999996</v>
      </c>
      <c r="M4772">
        <v>2.1652009999999999E-2</v>
      </c>
      <c r="N4772">
        <v>0</v>
      </c>
      <c r="O4772">
        <v>-0.99967039999999996</v>
      </c>
      <c r="P4772">
        <v>8.9574559999999904E-3</v>
      </c>
      <c r="Q4772">
        <v>0.14027539999999999</v>
      </c>
      <c r="R4772">
        <v>-0.99007210000000001</v>
      </c>
      <c r="S4772">
        <v>-0.43582149999999997</v>
      </c>
      <c r="T4772">
        <v>-0.67934729999999999</v>
      </c>
      <c r="U4772">
        <v>-3.1291199999999999</v>
      </c>
      <c r="V4772">
        <v>1.2639589999999999E-2</v>
      </c>
      <c r="W4772">
        <v>0.15390760000000001</v>
      </c>
      <c r="X4772">
        <v>0.9880044</v>
      </c>
      <c r="Y4772">
        <v>0.15628800000000001</v>
      </c>
      <c r="Z4772">
        <v>0.2098139</v>
      </c>
      <c r="AA4772">
        <v>0.96516950000000001</v>
      </c>
      <c r="AB4772">
        <v>33</v>
      </c>
      <c r="AC4772">
        <v>-0.1293</v>
      </c>
      <c r="AD4772">
        <v>-0.1906959</v>
      </c>
      <c r="AE4772">
        <v>-0.55934999999999402</v>
      </c>
      <c r="AF4772">
        <v>0.12733280903660199</v>
      </c>
      <c r="AG4772">
        <v>-0.1906959</v>
      </c>
      <c r="AH4772">
        <v>0.50112778091108601</v>
      </c>
      <c r="AI4772">
        <v>110.24467162003999</v>
      </c>
      <c r="AJ4772">
        <v>75.743280241449696</v>
      </c>
      <c r="AK4772">
        <v>0.55109674589388702</v>
      </c>
      <c r="AL4772">
        <v>81.146553873928497</v>
      </c>
      <c r="AM4772">
        <v>89.267052193412198</v>
      </c>
      <c r="AN4772">
        <v>1.00000000149624</v>
      </c>
    </row>
    <row r="4773" spans="1:40" x14ac:dyDescent="0.25">
      <c r="A4773" t="str">
        <f>"20190312173026472"</f>
        <v>20190312173026472</v>
      </c>
      <c r="B4773" t="str">
        <f>"1552383026462197"</f>
        <v>1552383026462197</v>
      </c>
      <c r="C4773" t="s">
        <v>40</v>
      </c>
      <c r="D4773">
        <v>3.4029989999999999</v>
      </c>
      <c r="E4773">
        <v>0.56006080000000003</v>
      </c>
      <c r="F4773" t="s">
        <v>42</v>
      </c>
      <c r="G4773">
        <v>-423.24610000000001</v>
      </c>
      <c r="H4773">
        <v>0.92340849999999997</v>
      </c>
      <c r="I4773">
        <v>86.374169999999907</v>
      </c>
      <c r="J4773">
        <v>-423.11959999999999</v>
      </c>
      <c r="K4773">
        <v>1.1096250000000001</v>
      </c>
      <c r="L4773">
        <v>86.903019999999998</v>
      </c>
      <c r="M4773">
        <v>2.1144240000000002E-2</v>
      </c>
      <c r="N4773">
        <v>0</v>
      </c>
      <c r="O4773">
        <v>-0.99968120000000005</v>
      </c>
      <c r="P4773">
        <v>9.3445750000000008E-3</v>
      </c>
      <c r="Q4773">
        <v>0.1403422</v>
      </c>
      <c r="R4773">
        <v>-0.99005909999999997</v>
      </c>
      <c r="S4773">
        <v>-0.43630980000000003</v>
      </c>
      <c r="T4773">
        <v>-0.67956090000000002</v>
      </c>
      <c r="U4773">
        <v>-3.1303100000000001</v>
      </c>
      <c r="V4773">
        <v>1.175822E-2</v>
      </c>
      <c r="W4773">
        <v>0.15397259999999999</v>
      </c>
      <c r="X4773">
        <v>0.98800520000000003</v>
      </c>
      <c r="Y4773">
        <v>0.15588440000000001</v>
      </c>
      <c r="Z4773">
        <v>0.20980950000000001</v>
      </c>
      <c r="AA4773">
        <v>0.96523570000000003</v>
      </c>
      <c r="AB4773">
        <v>33</v>
      </c>
      <c r="AC4773">
        <v>-0.12650000000002101</v>
      </c>
      <c r="AD4773">
        <v>-0.18621650000000001</v>
      </c>
      <c r="AE4773">
        <v>-0.52885000000000504</v>
      </c>
      <c r="AF4773">
        <v>0.123205868060326</v>
      </c>
      <c r="AG4773">
        <v>-0.18621650000000001</v>
      </c>
      <c r="AH4773">
        <v>0.47083883834062801</v>
      </c>
      <c r="AI4773">
        <v>110.937694949714</v>
      </c>
      <c r="AJ4773">
        <v>75.336027697250003</v>
      </c>
      <c r="AK4773">
        <v>0.52110026145330302</v>
      </c>
      <c r="AL4773">
        <v>81.142785120293397</v>
      </c>
      <c r="AM4773">
        <v>89.318156850398196</v>
      </c>
      <c r="AN4773">
        <v>1.0000000462576799</v>
      </c>
    </row>
    <row r="4774" spans="1:40" x14ac:dyDescent="0.25">
      <c r="A4774" t="str">
        <f>"20190312173026496"</f>
        <v>20190312173026496</v>
      </c>
      <c r="B4774" t="str">
        <f>"1552383026492208"</f>
        <v>1552383026492208</v>
      </c>
      <c r="C4774" t="s">
        <v>40</v>
      </c>
      <c r="D4774">
        <v>3.3933900000000001</v>
      </c>
      <c r="E4774">
        <v>0.56918049999999998</v>
      </c>
      <c r="F4774" t="s">
        <v>42</v>
      </c>
      <c r="G4774">
        <v>-423.23599999999999</v>
      </c>
      <c r="H4774">
        <v>0.92942610000000003</v>
      </c>
      <c r="I4774">
        <v>86.075040000000001</v>
      </c>
      <c r="J4774">
        <v>-423.113</v>
      </c>
      <c r="K4774">
        <v>1.1095999999999999</v>
      </c>
      <c r="L4774">
        <v>86.56671</v>
      </c>
      <c r="M4774">
        <v>2.0597259999999999E-2</v>
      </c>
      <c r="N4774">
        <v>0</v>
      </c>
      <c r="O4774">
        <v>-0.99969300000000005</v>
      </c>
      <c r="P4774">
        <v>9.6607099999999994E-3</v>
      </c>
      <c r="Q4774">
        <v>0.13976910000000001</v>
      </c>
      <c r="R4774">
        <v>-0.9901373</v>
      </c>
      <c r="S4774">
        <v>-0.43887330000000002</v>
      </c>
      <c r="T4774">
        <v>-0.6813536</v>
      </c>
      <c r="U4774">
        <v>-3.1308590000000001</v>
      </c>
      <c r="V4774">
        <v>1.091074E-2</v>
      </c>
      <c r="W4774">
        <v>0.1533987</v>
      </c>
      <c r="X4774">
        <v>0.98810419999999999</v>
      </c>
      <c r="Y4774">
        <v>0.1560819</v>
      </c>
      <c r="Z4774">
        <v>0.21029229999999999</v>
      </c>
      <c r="AA4774">
        <v>0.96509869999999998</v>
      </c>
      <c r="AB4774">
        <v>33</v>
      </c>
      <c r="AC4774">
        <v>-0.122999999999933</v>
      </c>
      <c r="AD4774">
        <v>-0.180173899999999</v>
      </c>
      <c r="AE4774">
        <v>-0.491669999999999</v>
      </c>
      <c r="AF4774">
        <v>0.118168022393394</v>
      </c>
      <c r="AG4774">
        <v>-0.180173899999999</v>
      </c>
      <c r="AH4774">
        <v>0.43416310208384901</v>
      </c>
      <c r="AI4774">
        <v>111.822384973452</v>
      </c>
      <c r="AJ4774">
        <v>74.774376965249104</v>
      </c>
      <c r="AK4774">
        <v>0.48468950367079999</v>
      </c>
      <c r="AL4774">
        <v>81.176062611506893</v>
      </c>
      <c r="AM4774">
        <v>89.367360296693803</v>
      </c>
      <c r="AN4774">
        <v>1.0000000577333299</v>
      </c>
    </row>
    <row r="4775" spans="1:40" x14ac:dyDescent="0.25">
      <c r="A4775" t="str">
        <f>"20190312173026517"</f>
        <v>20190312173026517</v>
      </c>
      <c r="B4775" t="str">
        <f>"1552383026512707"</f>
        <v>1552383026512707</v>
      </c>
      <c r="C4775" t="s">
        <v>40</v>
      </c>
      <c r="D4775">
        <v>3.3999269999999902</v>
      </c>
      <c r="E4775">
        <v>0.56851879999999999</v>
      </c>
      <c r="F4775" t="s">
        <v>42</v>
      </c>
      <c r="G4775">
        <v>-423.24149999999997</v>
      </c>
      <c r="H4775">
        <v>0.92759930000000002</v>
      </c>
      <c r="I4775">
        <v>85.778850000000006</v>
      </c>
      <c r="J4775">
        <v>-423.1069</v>
      </c>
      <c r="K4775">
        <v>1.109575</v>
      </c>
      <c r="L4775">
        <v>86.238159999999993</v>
      </c>
      <c r="M4775">
        <v>2.0031400000000001E-2</v>
      </c>
      <c r="N4775">
        <v>0</v>
      </c>
      <c r="O4775">
        <v>-0.99970429999999999</v>
      </c>
      <c r="P4775">
        <v>9.8249240000000005E-3</v>
      </c>
      <c r="Q4775">
        <v>0.1389148</v>
      </c>
      <c r="R4775">
        <v>-0.99025580000000002</v>
      </c>
      <c r="S4775">
        <v>-0.51037600000000005</v>
      </c>
      <c r="T4775">
        <v>-0.72467979999999999</v>
      </c>
      <c r="U4775">
        <v>-3.137146</v>
      </c>
      <c r="V4775">
        <v>1.0197639999999999E-2</v>
      </c>
      <c r="W4775">
        <v>0.1525444</v>
      </c>
      <c r="X4775">
        <v>0.98824400000000001</v>
      </c>
      <c r="Y4775">
        <v>0.17631150000000001</v>
      </c>
      <c r="Z4775">
        <v>0.22185299999999999</v>
      </c>
      <c r="AA4775">
        <v>0.95900759999999996</v>
      </c>
      <c r="AB4775">
        <v>33</v>
      </c>
      <c r="AC4775">
        <v>-0.13459999999997699</v>
      </c>
      <c r="AD4775">
        <v>-0.18197569999999999</v>
      </c>
      <c r="AE4775">
        <v>-0.45930999999998701</v>
      </c>
      <c r="AF4775">
        <v>0.125616014229958</v>
      </c>
      <c r="AG4775">
        <v>-0.18197569999999999</v>
      </c>
      <c r="AH4775">
        <v>0.39886347977916398</v>
      </c>
      <c r="AI4775">
        <v>113.516988057088</v>
      </c>
      <c r="AJ4775">
        <v>72.518968075516895</v>
      </c>
      <c r="AK4775">
        <v>0.45605549434586801</v>
      </c>
      <c r="AL4775">
        <v>81.225592784430404</v>
      </c>
      <c r="AM4775">
        <v>89.408788724169298</v>
      </c>
      <c r="AN4775">
        <v>0.99999999468446399</v>
      </c>
    </row>
    <row r="4776" spans="1:40" x14ac:dyDescent="0.25">
      <c r="A4776" t="str">
        <f>"20190312173026533"</f>
        <v>20190312173026533</v>
      </c>
      <c r="B4776" t="str">
        <f>"1552383026522463"</f>
        <v>1552383026522463</v>
      </c>
      <c r="C4776" t="s">
        <v>40</v>
      </c>
      <c r="D4776">
        <v>3.3795199999999999</v>
      </c>
      <c r="E4776">
        <v>0.56881819999999905</v>
      </c>
      <c r="F4776" t="s">
        <v>42</v>
      </c>
      <c r="G4776">
        <v>-423.2287</v>
      </c>
      <c r="H4776">
        <v>0.93375350000000001</v>
      </c>
      <c r="I4776">
        <v>85.480230000000006</v>
      </c>
      <c r="J4776">
        <v>-423.1028</v>
      </c>
      <c r="K4776">
        <v>1.109553</v>
      </c>
      <c r="L4776">
        <v>86.01831</v>
      </c>
      <c r="M4776">
        <v>1.9631329999999999E-2</v>
      </c>
      <c r="N4776">
        <v>0</v>
      </c>
      <c r="O4776">
        <v>-0.9997125</v>
      </c>
      <c r="P4776">
        <v>1.013853E-2</v>
      </c>
      <c r="Q4776">
        <v>0.13853889999999999</v>
      </c>
      <c r="R4776">
        <v>-0.99030549999999995</v>
      </c>
      <c r="S4776">
        <v>-0.5044556</v>
      </c>
      <c r="T4776">
        <v>-0.72763630000000001</v>
      </c>
      <c r="U4776">
        <v>-3.1365970000000001</v>
      </c>
      <c r="V4776">
        <v>9.4960389999999995E-3</v>
      </c>
      <c r="W4776">
        <v>0.15216879999999999</v>
      </c>
      <c r="X4776">
        <v>0.98830890000000005</v>
      </c>
      <c r="Y4776">
        <v>0.17414489999999999</v>
      </c>
      <c r="Z4776">
        <v>0.22282689999999999</v>
      </c>
      <c r="AA4776">
        <v>0.95917759999999996</v>
      </c>
      <c r="AB4776">
        <v>33</v>
      </c>
      <c r="AC4776">
        <v>-0.12590000000000101</v>
      </c>
      <c r="AD4776">
        <v>-0.1757995</v>
      </c>
      <c r="AE4776">
        <v>-0.53807999999999301</v>
      </c>
      <c r="AF4776">
        <v>0.123900824349785</v>
      </c>
      <c r="AG4776">
        <v>-0.1757995</v>
      </c>
      <c r="AH4776">
        <v>0.48629041550623198</v>
      </c>
      <c r="AI4776">
        <v>109.30634369865901</v>
      </c>
      <c r="AJ4776">
        <v>75.705869093789204</v>
      </c>
      <c r="AK4776">
        <v>0.53172854605336894</v>
      </c>
      <c r="AL4776">
        <v>81.247367332044305</v>
      </c>
      <c r="AM4776">
        <v>89.449497809513304</v>
      </c>
      <c r="AN4776">
        <v>1.0000000001346601</v>
      </c>
    </row>
    <row r="4777" spans="1:40" x14ac:dyDescent="0.25">
      <c r="A4777" t="str">
        <f>"20190312173026551"</f>
        <v>20190312173026551</v>
      </c>
      <c r="B4777" t="str">
        <f>"1552383026542964"</f>
        <v>1552383026542964</v>
      </c>
      <c r="C4777" t="s">
        <v>40</v>
      </c>
      <c r="D4777">
        <v>3.364913</v>
      </c>
      <c r="E4777">
        <v>0.56946419999999998</v>
      </c>
      <c r="F4777" t="s">
        <v>42</v>
      </c>
      <c r="G4777">
        <v>-423.23610000000002</v>
      </c>
      <c r="H4777">
        <v>0.91502139999999998</v>
      </c>
      <c r="I4777">
        <v>85.191819999999893</v>
      </c>
      <c r="J4777">
        <v>-423.09800000000001</v>
      </c>
      <c r="K4777">
        <v>1.1095200000000001</v>
      </c>
      <c r="L4777">
        <v>85.744230000000002</v>
      </c>
      <c r="M4777">
        <v>1.9108E-2</v>
      </c>
      <c r="N4777">
        <v>0</v>
      </c>
      <c r="O4777">
        <v>-0.99972260000000002</v>
      </c>
      <c r="P4777">
        <v>1.103869E-2</v>
      </c>
      <c r="Q4777">
        <v>0.13824040000000001</v>
      </c>
      <c r="R4777">
        <v>-0.99033729999999998</v>
      </c>
      <c r="S4777">
        <v>-0.50555419999999995</v>
      </c>
      <c r="T4777">
        <v>-0.73854790000000003</v>
      </c>
      <c r="U4777">
        <v>-3.1378780000000002</v>
      </c>
      <c r="V4777">
        <v>8.0884059999999994E-3</v>
      </c>
      <c r="W4777">
        <v>0.151870899999999</v>
      </c>
      <c r="X4777">
        <v>0.98836729999999995</v>
      </c>
      <c r="Y4777">
        <v>0.17378270000000001</v>
      </c>
      <c r="Z4777">
        <v>0.22591459999999999</v>
      </c>
      <c r="AA4777">
        <v>0.95852079999999995</v>
      </c>
      <c r="AB4777">
        <v>33</v>
      </c>
      <c r="AC4777">
        <v>-0.13810000000000799</v>
      </c>
      <c r="AD4777">
        <v>-0.19449859999999999</v>
      </c>
      <c r="AE4777">
        <v>-0.55241000000000895</v>
      </c>
      <c r="AF4777">
        <v>0.13310147283573701</v>
      </c>
      <c r="AG4777">
        <v>-0.19449859999999999</v>
      </c>
      <c r="AH4777">
        <v>0.49223768899466702</v>
      </c>
      <c r="AI4777">
        <v>110.878497175883</v>
      </c>
      <c r="AJ4777">
        <v>74.869022365268407</v>
      </c>
      <c r="AK4777">
        <v>0.54575053819470798</v>
      </c>
      <c r="AL4777">
        <v>81.264636949335994</v>
      </c>
      <c r="AM4777">
        <v>89.531124530671207</v>
      </c>
      <c r="AN4777">
        <v>1.00000005614385</v>
      </c>
    </row>
    <row r="4778" spans="1:40" x14ac:dyDescent="0.25">
      <c r="A4778" t="str">
        <f>"20190312173026565"</f>
        <v>20190312173026565</v>
      </c>
      <c r="B4778" t="str">
        <f>"1552383026562479"</f>
        <v>1552383026562479</v>
      </c>
      <c r="C4778" t="s">
        <v>40</v>
      </c>
      <c r="D4778">
        <v>3.4026130000000001</v>
      </c>
      <c r="E4778">
        <v>0.56998450000000001</v>
      </c>
      <c r="F4778" t="s">
        <v>42</v>
      </c>
      <c r="G4778">
        <v>-423.23489999999998</v>
      </c>
      <c r="H4778">
        <v>0.90770609999999996</v>
      </c>
      <c r="I4778">
        <v>84.899029999999996</v>
      </c>
      <c r="J4778">
        <v>-423.09449999999998</v>
      </c>
      <c r="K4778">
        <v>1.109497</v>
      </c>
      <c r="L4778">
        <v>85.541319999999999</v>
      </c>
      <c r="M4778">
        <v>1.870312E-2</v>
      </c>
      <c r="N4778">
        <v>0</v>
      </c>
      <c r="O4778">
        <v>-0.99973009999999995</v>
      </c>
      <c r="P4778">
        <v>1.1269660000000001E-2</v>
      </c>
      <c r="Q4778">
        <v>0.1380006</v>
      </c>
      <c r="R4778">
        <v>-0.99036789999999997</v>
      </c>
      <c r="S4778">
        <v>-0.50759889999999996</v>
      </c>
      <c r="T4778">
        <v>-0.74963179999999996</v>
      </c>
      <c r="U4778">
        <v>-3.1395569999999999</v>
      </c>
      <c r="V4778">
        <v>7.4649290000000004E-3</v>
      </c>
      <c r="W4778">
        <v>0.15163099999999999</v>
      </c>
      <c r="X4778">
        <v>0.98840899999999998</v>
      </c>
      <c r="Y4778">
        <v>0.17379700000000001</v>
      </c>
      <c r="Z4778">
        <v>0.22900209999999999</v>
      </c>
      <c r="AA4778">
        <v>0.95778529999999995</v>
      </c>
      <c r="AB4778">
        <v>33</v>
      </c>
      <c r="AC4778">
        <v>-0.140399999999999</v>
      </c>
      <c r="AD4778">
        <v>-0.2017909</v>
      </c>
      <c r="AE4778">
        <v>-0.64228999999998804</v>
      </c>
      <c r="AF4778">
        <v>0.139269640960832</v>
      </c>
      <c r="AG4778">
        <v>-0.2017909</v>
      </c>
      <c r="AH4778">
        <v>0.58449012790477095</v>
      </c>
      <c r="AI4778">
        <v>108.564137533951</v>
      </c>
      <c r="AJ4778">
        <v>76.597731874196299</v>
      </c>
      <c r="AK4778">
        <v>0.63383302993320301</v>
      </c>
      <c r="AL4778">
        <v>81.278542925765294</v>
      </c>
      <c r="AM4778">
        <v>89.567283589890906</v>
      </c>
      <c r="AN4778">
        <v>1.0000000183034801</v>
      </c>
    </row>
    <row r="4779" spans="1:40" x14ac:dyDescent="0.25">
      <c r="A4779" t="str">
        <f>"20190312173026585"</f>
        <v>20190312173026585</v>
      </c>
      <c r="B4779" t="str">
        <f>"1552383026572239"</f>
        <v>1552383026572239</v>
      </c>
      <c r="C4779" t="s">
        <v>40</v>
      </c>
      <c r="D4779">
        <v>3.4001299999999999</v>
      </c>
      <c r="E4779">
        <v>0.57015090000000002</v>
      </c>
      <c r="F4779" t="s">
        <v>42</v>
      </c>
      <c r="G4779">
        <v>-423.2466</v>
      </c>
      <c r="H4779">
        <v>0.88611509999999905</v>
      </c>
      <c r="I4779">
        <v>84.611660000000001</v>
      </c>
      <c r="J4779">
        <v>-423.08960000000002</v>
      </c>
      <c r="K4779">
        <v>1.109461</v>
      </c>
      <c r="L4779">
        <v>85.246769999999998</v>
      </c>
      <c r="M4779">
        <v>1.808061E-2</v>
      </c>
      <c r="N4779">
        <v>0</v>
      </c>
      <c r="O4779">
        <v>-0.99974189999999996</v>
      </c>
      <c r="P4779">
        <v>1.2320970000000001E-2</v>
      </c>
      <c r="Q4779">
        <v>0.1380844</v>
      </c>
      <c r="R4779">
        <v>-0.99034420000000001</v>
      </c>
      <c r="S4779">
        <v>-0.51159670000000002</v>
      </c>
      <c r="T4779">
        <v>-0.75444209999999901</v>
      </c>
      <c r="U4779">
        <v>-3.1401370000000002</v>
      </c>
      <c r="V4779">
        <v>5.809481E-3</v>
      </c>
      <c r="W4779">
        <v>0.15171499999999999</v>
      </c>
      <c r="X4779">
        <v>0.98840720000000004</v>
      </c>
      <c r="Y4779">
        <v>0.17429439999999999</v>
      </c>
      <c r="Z4779">
        <v>0.23032449999999999</v>
      </c>
      <c r="AA4779">
        <v>0.9573777</v>
      </c>
      <c r="AB4779">
        <v>33</v>
      </c>
      <c r="AC4779">
        <v>-0.15699999999998199</v>
      </c>
      <c r="AD4779">
        <v>-0.22334590000000001</v>
      </c>
      <c r="AE4779">
        <v>-0.63510999999999695</v>
      </c>
      <c r="AF4779">
        <v>0.15087471233295799</v>
      </c>
      <c r="AG4779">
        <v>-0.22334590000000001</v>
      </c>
      <c r="AH4779">
        <v>0.56618096991135103</v>
      </c>
      <c r="AI4779">
        <v>110.865659505861</v>
      </c>
      <c r="AJ4779">
        <v>75.078681121261397</v>
      </c>
      <c r="AK4779">
        <v>0.62706256510664105</v>
      </c>
      <c r="AL4779">
        <v>81.273673517542704</v>
      </c>
      <c r="AM4779">
        <v>89.663241112047203</v>
      </c>
      <c r="AN4779">
        <v>0.99999999215316404</v>
      </c>
    </row>
    <row r="4780" spans="1:40" x14ac:dyDescent="0.25">
      <c r="A4780" t="str">
        <f>"20190312173026608"</f>
        <v>20190312173026608</v>
      </c>
      <c r="B4780" t="str">
        <f>"1552383026603057"</f>
        <v>1552383026603057</v>
      </c>
      <c r="C4780" t="s">
        <v>40</v>
      </c>
      <c r="D4780">
        <v>3.4462860000000002</v>
      </c>
      <c r="E4780">
        <v>0.57111210000000001</v>
      </c>
      <c r="F4780" t="s">
        <v>42</v>
      </c>
      <c r="G4780">
        <v>-423.2405</v>
      </c>
      <c r="H4780">
        <v>0.88558519999999896</v>
      </c>
      <c r="I4780">
        <v>84.316779999999994</v>
      </c>
      <c r="J4780">
        <v>-423.08429999999998</v>
      </c>
      <c r="K4780">
        <v>1.109424</v>
      </c>
      <c r="L4780">
        <v>84.908969999999997</v>
      </c>
      <c r="M4780">
        <v>1.731413E-2</v>
      </c>
      <c r="N4780">
        <v>0</v>
      </c>
      <c r="O4780">
        <v>-0.99975539999999996</v>
      </c>
      <c r="P4780">
        <v>1.304928E-2</v>
      </c>
      <c r="Q4780">
        <v>0.1388276</v>
      </c>
      <c r="R4780">
        <v>-0.99023090000000002</v>
      </c>
      <c r="S4780">
        <v>-0.50949100000000003</v>
      </c>
      <c r="T4780">
        <v>-0.75613949999999996</v>
      </c>
      <c r="U4780">
        <v>-3.141022</v>
      </c>
      <c r="V4780">
        <v>4.3364179999999999E-3</v>
      </c>
      <c r="W4780">
        <v>0.15245719999999999</v>
      </c>
      <c r="X4780">
        <v>0.98830059999999997</v>
      </c>
      <c r="Y4780">
        <v>0.1728539</v>
      </c>
      <c r="Z4780">
        <v>0.23080010000000001</v>
      </c>
      <c r="AA4780">
        <v>0.95752440000000005</v>
      </c>
      <c r="AB4780">
        <v>33</v>
      </c>
      <c r="AC4780">
        <v>-0.156200000000012</v>
      </c>
      <c r="AD4780">
        <v>-0.2238388</v>
      </c>
      <c r="AE4780">
        <v>-0.592189999999987</v>
      </c>
      <c r="AF4780">
        <v>0.146818885280697</v>
      </c>
      <c r="AG4780">
        <v>-0.2238388</v>
      </c>
      <c r="AH4780">
        <v>0.51994301678824195</v>
      </c>
      <c r="AI4780">
        <v>112.504505731712</v>
      </c>
      <c r="AJ4780">
        <v>74.231649365383305</v>
      </c>
      <c r="AK4780">
        <v>0.58480794639553602</v>
      </c>
      <c r="AL4780">
        <v>81.230648499849593</v>
      </c>
      <c r="AM4780">
        <v>89.748601938365894</v>
      </c>
      <c r="AN4780">
        <v>1.0000000391566299</v>
      </c>
    </row>
    <row r="4781" spans="1:40" x14ac:dyDescent="0.25">
      <c r="A4781" t="str">
        <f>"20190312173026631"</f>
        <v>20190312173026631</v>
      </c>
      <c r="B4781" t="str">
        <f>"1552383026622578"</f>
        <v>1552383026622578</v>
      </c>
      <c r="C4781" t="s">
        <v>40</v>
      </c>
      <c r="D4781">
        <v>3.433481</v>
      </c>
      <c r="E4781">
        <v>0.571470699999999</v>
      </c>
      <c r="F4781" t="s">
        <v>42</v>
      </c>
      <c r="G4781">
        <v>-423.23099999999999</v>
      </c>
      <c r="H4781">
        <v>0.8946693</v>
      </c>
      <c r="I4781">
        <v>84.018199999999993</v>
      </c>
      <c r="J4781">
        <v>-423.07929999999999</v>
      </c>
      <c r="K4781">
        <v>1.109386</v>
      </c>
      <c r="L4781">
        <v>84.572299999999998</v>
      </c>
      <c r="M4781">
        <v>1.6497620000000001E-2</v>
      </c>
      <c r="N4781">
        <v>0</v>
      </c>
      <c r="O4781">
        <v>-0.99976889999999996</v>
      </c>
      <c r="P4781">
        <v>1.4450559999999999E-2</v>
      </c>
      <c r="Q4781">
        <v>0.139927</v>
      </c>
      <c r="R4781">
        <v>-0.99005670000000001</v>
      </c>
      <c r="S4781">
        <v>-0.51605219999999996</v>
      </c>
      <c r="T4781">
        <v>-0.75756789999999996</v>
      </c>
      <c r="U4781">
        <v>-3.1426090000000002</v>
      </c>
      <c r="V4781">
        <v>2.1413169999999998E-3</v>
      </c>
      <c r="W4781">
        <v>0.1535561</v>
      </c>
      <c r="X4781">
        <v>0.98813759999999995</v>
      </c>
      <c r="Y4781">
        <v>0.1739116</v>
      </c>
      <c r="Z4781">
        <v>0.23105020000000001</v>
      </c>
      <c r="AA4781">
        <v>0.95727249999999997</v>
      </c>
      <c r="AB4781">
        <v>33</v>
      </c>
      <c r="AC4781">
        <v>-0.151700000000005</v>
      </c>
      <c r="AD4781">
        <v>-0.21471669999999901</v>
      </c>
      <c r="AE4781">
        <v>-0.55410000000000503</v>
      </c>
      <c r="AF4781">
        <v>0.141109901367516</v>
      </c>
      <c r="AG4781">
        <v>-0.21471669999999901</v>
      </c>
      <c r="AH4781">
        <v>0.48392249286948802</v>
      </c>
      <c r="AI4781">
        <v>113.072096576536</v>
      </c>
      <c r="AJ4781">
        <v>73.743522668923703</v>
      </c>
      <c r="AK4781">
        <v>0.54790167423348901</v>
      </c>
      <c r="AL4781">
        <v>81.166935513515796</v>
      </c>
      <c r="AM4781">
        <v>89.875838916915697</v>
      </c>
      <c r="AN4781">
        <v>0.99999998880973195</v>
      </c>
    </row>
    <row r="4782" spans="1:40" x14ac:dyDescent="0.25">
      <c r="A4782" t="str">
        <f>"20190312173026652"</f>
        <v>20190312173026652</v>
      </c>
      <c r="B4782" t="str">
        <f>"1552383026643074"</f>
        <v>1552383026643074</v>
      </c>
      <c r="C4782" t="s">
        <v>40</v>
      </c>
      <c r="D4782">
        <v>3.4809649999999999</v>
      </c>
      <c r="E4782">
        <v>0.57220439999999995</v>
      </c>
      <c r="F4782" t="s">
        <v>42</v>
      </c>
      <c r="G4782">
        <v>-423.21949999999998</v>
      </c>
      <c r="H4782">
        <v>0.90464619999999996</v>
      </c>
      <c r="I4782">
        <v>83.719639999999998</v>
      </c>
      <c r="J4782">
        <v>-423.07479999999998</v>
      </c>
      <c r="K4782">
        <v>1.1093470000000001</v>
      </c>
      <c r="L4782">
        <v>84.251099999999994</v>
      </c>
      <c r="M4782">
        <v>1.566584E-2</v>
      </c>
      <c r="N4782">
        <v>0</v>
      </c>
      <c r="O4782">
        <v>-0.99978239999999996</v>
      </c>
      <c r="P4782">
        <v>1.5793809999999998E-2</v>
      </c>
      <c r="Q4782">
        <v>0.14096429999999999</v>
      </c>
      <c r="R4782">
        <v>-0.98988880000000001</v>
      </c>
      <c r="S4782">
        <v>-0.51593020000000001</v>
      </c>
      <c r="T4782">
        <v>-0.75494030000000001</v>
      </c>
      <c r="U4782">
        <v>-3.1443789999999998</v>
      </c>
      <c r="V4782" s="1">
        <v>-1.0535300000000001E-5</v>
      </c>
      <c r="W4782">
        <v>0.1545936</v>
      </c>
      <c r="X4782">
        <v>0.98797820000000003</v>
      </c>
      <c r="Y4782">
        <v>0.17300360000000001</v>
      </c>
      <c r="Z4782">
        <v>0.23019510000000001</v>
      </c>
      <c r="AA4782">
        <v>0.95764289999999996</v>
      </c>
      <c r="AB4782">
        <v>33</v>
      </c>
      <c r="AC4782">
        <v>-0.1447</v>
      </c>
      <c r="AD4782">
        <v>-0.20470079999999899</v>
      </c>
      <c r="AE4782">
        <v>-0.53145999999999505</v>
      </c>
      <c r="AF4782">
        <v>0.13444053808642001</v>
      </c>
      <c r="AG4782">
        <v>-0.20470079999999899</v>
      </c>
      <c r="AH4782">
        <v>0.46491584184057799</v>
      </c>
      <c r="AI4782">
        <v>112.926764959549</v>
      </c>
      <c r="AJ4782">
        <v>73.871623331053996</v>
      </c>
      <c r="AK4782">
        <v>0.52547446731115199</v>
      </c>
      <c r="AL4782">
        <v>81.106773316568905</v>
      </c>
      <c r="AM4782">
        <v>90.000610973223701</v>
      </c>
      <c r="AN4782">
        <v>1.0000000524735899</v>
      </c>
    </row>
    <row r="4783" spans="1:40" x14ac:dyDescent="0.25">
      <c r="A4783" t="str">
        <f>"20190312173026674"</f>
        <v>20190312173026674</v>
      </c>
      <c r="B4783" t="str">
        <f>"1552383026662594"</f>
        <v>1552383026662594</v>
      </c>
      <c r="C4783" t="s">
        <v>40</v>
      </c>
      <c r="D4783">
        <v>3.3894869999999999</v>
      </c>
      <c r="E4783">
        <v>0.57265809999999995</v>
      </c>
      <c r="F4783" t="s">
        <v>42</v>
      </c>
      <c r="G4783">
        <v>-423.21140000000003</v>
      </c>
      <c r="H4783">
        <v>0.91062449999999995</v>
      </c>
      <c r="I4783">
        <v>83.422799999999995</v>
      </c>
      <c r="J4783">
        <v>-423.07069999999999</v>
      </c>
      <c r="K4783">
        <v>1.1093029999999999</v>
      </c>
      <c r="L4783">
        <v>83.935360000000003</v>
      </c>
      <c r="M4783">
        <v>1.479625E-2</v>
      </c>
      <c r="N4783">
        <v>0</v>
      </c>
      <c r="O4783">
        <v>-0.99979569999999995</v>
      </c>
      <c r="P4783">
        <v>1.7311529999999999E-2</v>
      </c>
      <c r="Q4783">
        <v>0.1420033</v>
      </c>
      <c r="R4783">
        <v>-0.98971509999999996</v>
      </c>
      <c r="S4783">
        <v>-0.51696779999999998</v>
      </c>
      <c r="T4783">
        <v>-0.75475449999999999</v>
      </c>
      <c r="U4783">
        <v>-3.1463619999999999</v>
      </c>
      <c r="V4783">
        <v>-2.373329E-3</v>
      </c>
      <c r="W4783">
        <v>0.1556332</v>
      </c>
      <c r="X4783">
        <v>0.98781200000000002</v>
      </c>
      <c r="Y4783">
        <v>0.17236570000000001</v>
      </c>
      <c r="Z4783">
        <v>0.230018</v>
      </c>
      <c r="AA4783">
        <v>0.95780050000000005</v>
      </c>
      <c r="AB4783">
        <v>33</v>
      </c>
      <c r="AC4783">
        <v>-0.14070000000003799</v>
      </c>
      <c r="AD4783">
        <v>-0.19867850000000001</v>
      </c>
      <c r="AE4783">
        <v>-0.51256000000000701</v>
      </c>
      <c r="AF4783">
        <v>0.130092620692565</v>
      </c>
      <c r="AG4783">
        <v>-0.19867850000000001</v>
      </c>
      <c r="AH4783">
        <v>0.44784810581485801</v>
      </c>
      <c r="AI4783">
        <v>113.07493760844901</v>
      </c>
      <c r="AJ4783">
        <v>73.802274847254793</v>
      </c>
      <c r="AK4783">
        <v>0.50691731298394804</v>
      </c>
      <c r="AL4783">
        <v>81.046477813807996</v>
      </c>
      <c r="AM4783">
        <v>90.137659264559801</v>
      </c>
      <c r="AN4783">
        <v>0.99999993648838903</v>
      </c>
    </row>
    <row r="4784" spans="1:40" x14ac:dyDescent="0.25">
      <c r="A4784" t="str">
        <f>"20190312173026696"</f>
        <v>20190312173026696</v>
      </c>
      <c r="B4784" t="str">
        <f>"1552383026692849"</f>
        <v>1552383026692849</v>
      </c>
      <c r="C4784" t="s">
        <v>40</v>
      </c>
      <c r="D4784">
        <v>3.445932</v>
      </c>
      <c r="E4784">
        <v>0.57287559999999904</v>
      </c>
      <c r="F4784" t="s">
        <v>42</v>
      </c>
      <c r="G4784">
        <v>-423.20319999999998</v>
      </c>
      <c r="H4784">
        <v>0.91604050000000004</v>
      </c>
      <c r="I4784">
        <v>83.126450000000006</v>
      </c>
      <c r="J4784">
        <v>-423.0668</v>
      </c>
      <c r="K4784">
        <v>1.1092580000000001</v>
      </c>
      <c r="L4784">
        <v>83.600129999999993</v>
      </c>
      <c r="M4784">
        <v>1.381871E-2</v>
      </c>
      <c r="N4784">
        <v>0</v>
      </c>
      <c r="O4784">
        <v>-0.99980950000000002</v>
      </c>
      <c r="P4784">
        <v>1.8470830000000001E-2</v>
      </c>
      <c r="Q4784">
        <v>0.14299329999999999</v>
      </c>
      <c r="R4784">
        <v>-0.98955150000000003</v>
      </c>
      <c r="S4784">
        <v>-0.51531979999999999</v>
      </c>
      <c r="T4784">
        <v>-0.75209630000000005</v>
      </c>
      <c r="U4784">
        <v>-3.1481020000000002</v>
      </c>
      <c r="V4784">
        <v>-4.4832759999999996E-3</v>
      </c>
      <c r="W4784">
        <v>0.1566246</v>
      </c>
      <c r="X4784">
        <v>0.98764799999999997</v>
      </c>
      <c r="Y4784">
        <v>0.1708626</v>
      </c>
      <c r="Z4784">
        <v>0.2291773</v>
      </c>
      <c r="AA4784">
        <v>0.95827119999999999</v>
      </c>
      <c r="AB4784">
        <v>33</v>
      </c>
      <c r="AC4784">
        <v>-0.13639999999998001</v>
      </c>
      <c r="AD4784">
        <v>-0.19321749999999999</v>
      </c>
      <c r="AE4784">
        <v>-0.47368000000000099</v>
      </c>
      <c r="AF4784">
        <v>0.123896769520262</v>
      </c>
      <c r="AG4784">
        <v>-0.19321749999999999</v>
      </c>
      <c r="AH4784">
        <v>0.40892002760990398</v>
      </c>
      <c r="AI4784">
        <v>114.332777665308</v>
      </c>
      <c r="AJ4784">
        <v>73.143961308126606</v>
      </c>
      <c r="AK4784">
        <v>0.468933898096833</v>
      </c>
      <c r="AL4784">
        <v>80.988969820586505</v>
      </c>
      <c r="AM4784">
        <v>90.260083581265206</v>
      </c>
      <c r="AN4784">
        <v>0.99999996849642503</v>
      </c>
    </row>
    <row r="4785" spans="1:40" x14ac:dyDescent="0.25">
      <c r="A4785" t="str">
        <f>"20190312173026719"</f>
        <v>20190312173026719</v>
      </c>
      <c r="B4785" t="str">
        <f>"1552383026712370"</f>
        <v>1552383026712370</v>
      </c>
      <c r="C4785" t="s">
        <v>40</v>
      </c>
      <c r="D4785">
        <v>3.4010590000000001</v>
      </c>
      <c r="E4785">
        <v>0.57335649999999905</v>
      </c>
      <c r="F4785" t="s">
        <v>42</v>
      </c>
      <c r="G4785">
        <v>-423.1927</v>
      </c>
      <c r="H4785">
        <v>0.92578009999999999</v>
      </c>
      <c r="I4785">
        <v>82.828450000000004</v>
      </c>
      <c r="J4785">
        <v>-423.06319999999999</v>
      </c>
      <c r="K4785">
        <v>1.109216</v>
      </c>
      <c r="L4785">
        <v>83.271640000000005</v>
      </c>
      <c r="M4785">
        <v>1.281084E-2</v>
      </c>
      <c r="N4785">
        <v>0</v>
      </c>
      <c r="O4785">
        <v>-0.99982309999999996</v>
      </c>
      <c r="P4785">
        <v>1.9774509999999999E-2</v>
      </c>
      <c r="Q4785">
        <v>0.1439222</v>
      </c>
      <c r="R4785">
        <v>-0.98939129999999997</v>
      </c>
      <c r="S4785">
        <v>-0.51300049999999997</v>
      </c>
      <c r="T4785">
        <v>-0.74876690000000001</v>
      </c>
      <c r="U4785">
        <v>-3.1494450000000001</v>
      </c>
      <c r="V4785">
        <v>-6.7677550000000003E-3</v>
      </c>
      <c r="W4785">
        <v>0.1575551</v>
      </c>
      <c r="X4785">
        <v>0.987487</v>
      </c>
      <c r="Y4785">
        <v>0.16915539999999901</v>
      </c>
      <c r="Z4785">
        <v>0.22817709999999999</v>
      </c>
      <c r="AA4785">
        <v>0.95881269999999996</v>
      </c>
      <c r="AB4785">
        <v>33</v>
      </c>
      <c r="AC4785">
        <v>-0.129500000000007</v>
      </c>
      <c r="AD4785">
        <v>-0.18343590000000001</v>
      </c>
      <c r="AE4785">
        <v>-0.44319000000000103</v>
      </c>
      <c r="AF4785">
        <v>0.116741507170266</v>
      </c>
      <c r="AG4785">
        <v>-0.18343590000000001</v>
      </c>
      <c r="AH4785">
        <v>0.38130994227503201</v>
      </c>
      <c r="AI4785">
        <v>114.70206149112001</v>
      </c>
      <c r="AJ4785">
        <v>72.977554603209597</v>
      </c>
      <c r="AK4785">
        <v>0.43894712777620898</v>
      </c>
      <c r="AL4785">
        <v>80.934986075415594</v>
      </c>
      <c r="AM4785">
        <v>90.392671222282701</v>
      </c>
      <c r="AN4785">
        <v>0.99999999360637504</v>
      </c>
    </row>
    <row r="4786" spans="1:40" x14ac:dyDescent="0.25">
      <c r="A4786" t="str">
        <f>"20190312173026820"</f>
        <v>20190312173026820</v>
      </c>
      <c r="B4786" t="str">
        <f>"1552383026812898"</f>
        <v>1552383026812898</v>
      </c>
      <c r="C4786" t="s">
        <v>40</v>
      </c>
      <c r="D4786">
        <v>3.4233639999999999</v>
      </c>
      <c r="E4786">
        <v>0.50783009999999995</v>
      </c>
      <c r="F4786" t="s">
        <v>42</v>
      </c>
      <c r="G4786">
        <v>-423.08030000000002</v>
      </c>
      <c r="H4786">
        <v>0.9503336</v>
      </c>
      <c r="I4786">
        <v>81.35127</v>
      </c>
      <c r="J4786">
        <v>-423.0521</v>
      </c>
      <c r="K4786">
        <v>1.1091040000000001</v>
      </c>
      <c r="L4786">
        <v>81.791600000000003</v>
      </c>
      <c r="M4786">
        <v>7.9093500000000008E-3</v>
      </c>
      <c r="N4786">
        <v>0</v>
      </c>
      <c r="O4786">
        <v>-0.99987389999999998</v>
      </c>
      <c r="P4786">
        <v>2.321146E-2</v>
      </c>
      <c r="Q4786">
        <v>0.14355490000000001</v>
      </c>
      <c r="R4786">
        <v>-0.98937030000000004</v>
      </c>
      <c r="S4786">
        <v>-0.1069031</v>
      </c>
      <c r="T4786">
        <v>-0.64980519999999997</v>
      </c>
      <c r="U4786">
        <v>-3.1301269999999999</v>
      </c>
      <c r="V4786">
        <v>-1.501511E-2</v>
      </c>
      <c r="W4786">
        <v>0.15720200000000001</v>
      </c>
      <c r="X4786">
        <v>0.98745229999999995</v>
      </c>
      <c r="Y4786">
        <v>4.132591E-2</v>
      </c>
      <c r="Z4786">
        <v>0.20310990000000001</v>
      </c>
      <c r="AA4786">
        <v>0.97828349999999997</v>
      </c>
      <c r="AB4786">
        <v>33</v>
      </c>
      <c r="AC4786">
        <v>-2.82000000000266E-2</v>
      </c>
      <c r="AD4786">
        <v>-0.15877040000000001</v>
      </c>
      <c r="AE4786">
        <v>-0.440330000000003</v>
      </c>
      <c r="AF4786">
        <v>2.8050212032553899E-2</v>
      </c>
      <c r="AG4786">
        <v>-0.15877040000000001</v>
      </c>
      <c r="AH4786">
        <v>0.38964204840571198</v>
      </c>
      <c r="AI4786">
        <v>112.11809301755</v>
      </c>
      <c r="AJ4786">
        <v>85.882397712425501</v>
      </c>
      <c r="AK4786">
        <v>0.42168208427324699</v>
      </c>
      <c r="AL4786">
        <v>80.955472418514105</v>
      </c>
      <c r="AM4786">
        <v>90.8711672805251</v>
      </c>
      <c r="AN4786">
        <v>0.99999998355380004</v>
      </c>
    </row>
    <row r="4787" spans="1:40" x14ac:dyDescent="0.25">
      <c r="A4787" t="str">
        <f>"20190312173026842"</f>
        <v>20190312173026842</v>
      </c>
      <c r="B4787" t="str">
        <f>"1552383026832418"</f>
        <v>1552383026832418</v>
      </c>
      <c r="C4787" t="s">
        <v>40</v>
      </c>
      <c r="D4787">
        <v>3.4204979999999998</v>
      </c>
      <c r="E4787">
        <v>0.50379300000000005</v>
      </c>
      <c r="F4787" t="s">
        <v>42</v>
      </c>
      <c r="G4787">
        <v>-423.0478</v>
      </c>
      <c r="H4787">
        <v>0.99648979999999998</v>
      </c>
      <c r="I4787">
        <v>81.035449999999997</v>
      </c>
      <c r="J4787">
        <v>-423.05070000000001</v>
      </c>
      <c r="K4787">
        <v>1.1090930000000001</v>
      </c>
      <c r="L4787">
        <v>81.464019999999906</v>
      </c>
      <c r="M4787">
        <v>6.7975209999999999E-3</v>
      </c>
      <c r="N4787">
        <v>0</v>
      </c>
      <c r="O4787">
        <v>-0.9998823</v>
      </c>
      <c r="P4787">
        <v>2.2872400000000001E-2</v>
      </c>
      <c r="Q4787">
        <v>0.14325879999999999</v>
      </c>
      <c r="R4787">
        <v>-0.98942129999999995</v>
      </c>
      <c r="S4787">
        <v>2.0263670000000001E-2</v>
      </c>
      <c r="T4787">
        <v>-0.46137129999999998</v>
      </c>
      <c r="U4787">
        <v>-3.0987239999999998</v>
      </c>
      <c r="V4787">
        <v>-1.5773929999999999E-2</v>
      </c>
      <c r="W4787">
        <v>0.15690670000000001</v>
      </c>
      <c r="X4787">
        <v>0.98748740000000002</v>
      </c>
      <c r="Y4787">
        <v>3.3024470000000001E-4</v>
      </c>
      <c r="Z4787">
        <v>0.14726069999999999</v>
      </c>
      <c r="AA4787">
        <v>0.98909769999999997</v>
      </c>
      <c r="AB4787">
        <v>33</v>
      </c>
      <c r="AC4787">
        <v>2.9000000000110001E-3</v>
      </c>
      <c r="AD4787">
        <v>-0.1126032</v>
      </c>
      <c r="AE4787">
        <v>-0.42856999999999301</v>
      </c>
      <c r="AF4787" s="1">
        <v>1.2680829303439801E-5</v>
      </c>
      <c r="AG4787">
        <v>-0.1126032</v>
      </c>
      <c r="AH4787">
        <v>0.40090530702300697</v>
      </c>
      <c r="AI4787">
        <v>105.688582131918</v>
      </c>
      <c r="AJ4787">
        <v>89.998187706705593</v>
      </c>
      <c r="AK4787">
        <v>0.41641871476946701</v>
      </c>
      <c r="AL4787">
        <v>80.972604141683306</v>
      </c>
      <c r="AM4787">
        <v>90.915153709208596</v>
      </c>
      <c r="AN4787">
        <v>0.99999994726564601</v>
      </c>
    </row>
    <row r="4788" spans="1:40" x14ac:dyDescent="0.25">
      <c r="A4788" t="str">
        <f>"20190312173026864"</f>
        <v>20190312173026864</v>
      </c>
      <c r="B4788" t="str">
        <f>"1552383026852914"</f>
        <v>1552383026852914</v>
      </c>
      <c r="C4788" t="s">
        <v>40</v>
      </c>
      <c r="D4788">
        <v>3.4126989999999999</v>
      </c>
      <c r="E4788">
        <v>0.50221629999999995</v>
      </c>
      <c r="F4788" t="s">
        <v>42</v>
      </c>
      <c r="G4788">
        <v>-423.03890000000001</v>
      </c>
      <c r="H4788">
        <v>1.027865</v>
      </c>
      <c r="I4788">
        <v>80.726879999999994</v>
      </c>
      <c r="J4788">
        <v>-423.0496</v>
      </c>
      <c r="K4788">
        <v>1.1090819999999999</v>
      </c>
      <c r="L4788">
        <v>81.150019999999998</v>
      </c>
      <c r="M4788">
        <v>5.7334899999999999E-3</v>
      </c>
      <c r="N4788">
        <v>0</v>
      </c>
      <c r="O4788">
        <v>-0.99988900000000003</v>
      </c>
      <c r="P4788">
        <v>2.222762E-2</v>
      </c>
      <c r="Q4788">
        <v>0.14283479999999901</v>
      </c>
      <c r="R4788">
        <v>-0.98949730000000002</v>
      </c>
      <c r="S4788">
        <v>4.9987789999999997E-2</v>
      </c>
      <c r="T4788">
        <v>-0.33935769999999998</v>
      </c>
      <c r="U4788">
        <v>-3.0800480000000001</v>
      </c>
      <c r="V4788">
        <v>-1.618139E-2</v>
      </c>
      <c r="W4788">
        <v>0.15648290000000001</v>
      </c>
      <c r="X4788">
        <v>0.98754810000000004</v>
      </c>
      <c r="Y4788">
        <v>-1.0396280000000001E-2</v>
      </c>
      <c r="Z4788">
        <v>0.1095039</v>
      </c>
      <c r="AA4788">
        <v>0.99393200000000004</v>
      </c>
      <c r="AB4788">
        <v>33</v>
      </c>
      <c r="AC4788">
        <v>1.06999999999857E-2</v>
      </c>
      <c r="AD4788">
        <v>-8.1216999999999803E-2</v>
      </c>
      <c r="AE4788">
        <v>-0.42313999999998902</v>
      </c>
      <c r="AF4788">
        <v>-7.9797359589298001E-3</v>
      </c>
      <c r="AG4788">
        <v>-8.1216999999999803E-2</v>
      </c>
      <c r="AH4788">
        <v>0.40816692617553402</v>
      </c>
      <c r="AI4788">
        <v>101.25162494064701</v>
      </c>
      <c r="AJ4788">
        <v>91.119999996892403</v>
      </c>
      <c r="AK4788">
        <v>0.41624526051182598</v>
      </c>
      <c r="AL4788">
        <v>80.997190210879594</v>
      </c>
      <c r="AM4788">
        <v>90.938731384192494</v>
      </c>
      <c r="AN4788">
        <v>0.99999999259417605</v>
      </c>
    </row>
    <row r="4789" spans="1:40" x14ac:dyDescent="0.25">
      <c r="A4789" t="str">
        <f>"20190312173026887"</f>
        <v>20190312173026887</v>
      </c>
      <c r="B4789" t="str">
        <f>"1552383026882198"</f>
        <v>1552383026882198</v>
      </c>
      <c r="C4789" t="s">
        <v>40</v>
      </c>
      <c r="D4789">
        <v>3.4229159999999998</v>
      </c>
      <c r="E4789">
        <v>0.50117990000000001</v>
      </c>
      <c r="F4789" t="s">
        <v>42</v>
      </c>
      <c r="G4789">
        <v>-423.03030000000001</v>
      </c>
      <c r="H4789">
        <v>1.0169010000000001</v>
      </c>
      <c r="I4789">
        <v>80.147850000000005</v>
      </c>
      <c r="J4789">
        <v>-423.0489</v>
      </c>
      <c r="K4789">
        <v>1.1090709999999999</v>
      </c>
      <c r="L4789">
        <v>80.817019999999999</v>
      </c>
      <c r="M4789">
        <v>4.6085340000000001E-3</v>
      </c>
      <c r="N4789">
        <v>0</v>
      </c>
      <c r="O4789">
        <v>-0.99989490000000003</v>
      </c>
      <c r="P4789">
        <v>2.1819399999999999E-2</v>
      </c>
      <c r="Q4789">
        <v>0.14267839999999901</v>
      </c>
      <c r="R4789">
        <v>-0.98952870000000004</v>
      </c>
      <c r="S4789">
        <v>6.011963E-2</v>
      </c>
      <c r="T4789">
        <v>-0.28247899999999998</v>
      </c>
      <c r="U4789">
        <v>-3.0712890000000002</v>
      </c>
      <c r="V4789">
        <v>-1.688533E-2</v>
      </c>
      <c r="W4789">
        <v>0.15632699999999999</v>
      </c>
      <c r="X4789">
        <v>0.98756100000000002</v>
      </c>
      <c r="Y4789">
        <v>-1.488045E-2</v>
      </c>
      <c r="Z4789">
        <v>9.1572310000000004E-2</v>
      </c>
      <c r="AA4789">
        <v>0.99568719999999999</v>
      </c>
      <c r="AB4789">
        <v>33</v>
      </c>
      <c r="AC4789">
        <v>1.8599999999992099E-2</v>
      </c>
      <c r="AD4789">
        <v>-9.2169999999999794E-2</v>
      </c>
      <c r="AE4789">
        <v>-0.66916999999999405</v>
      </c>
      <c r="AF4789">
        <v>-1.5226960051018999E-2</v>
      </c>
      <c r="AG4789">
        <v>-9.2169999999999794E-2</v>
      </c>
      <c r="AH4789">
        <v>0.656797670501164</v>
      </c>
      <c r="AI4789">
        <v>97.986170890661697</v>
      </c>
      <c r="AJ4789">
        <v>91.3280867587237</v>
      </c>
      <c r="AK4789">
        <v>0.66340813168678503</v>
      </c>
      <c r="AL4789">
        <v>81.006233873181301</v>
      </c>
      <c r="AM4789">
        <v>90.979548488646103</v>
      </c>
      <c r="AN4789">
        <v>0.99999998700960402</v>
      </c>
    </row>
    <row r="4790" spans="1:40" x14ac:dyDescent="0.25">
      <c r="A4790" t="str">
        <f>"20190312173026909"</f>
        <v>20190312173026909</v>
      </c>
      <c r="B4790" t="str">
        <f>"1552383026902693"</f>
        <v>1552383026902693</v>
      </c>
      <c r="C4790" t="s">
        <v>40</v>
      </c>
      <c r="D4790">
        <v>3.422355</v>
      </c>
      <c r="E4790">
        <v>0.50089870000000003</v>
      </c>
      <c r="F4790" t="s">
        <v>41</v>
      </c>
      <c r="G4790">
        <v>-422.73759999999999</v>
      </c>
      <c r="H4790" s="1">
        <v>-3.5986409999999998E-6</v>
      </c>
      <c r="I4790">
        <v>66.279700000000005</v>
      </c>
      <c r="J4790">
        <v>-423.04849999999999</v>
      </c>
      <c r="K4790">
        <v>1.1090739999999999</v>
      </c>
      <c r="L4790">
        <v>80.489500000000007</v>
      </c>
      <c r="M4790">
        <v>3.5042570000000002E-3</v>
      </c>
      <c r="N4790">
        <v>0</v>
      </c>
      <c r="O4790">
        <v>-0.99989919999999999</v>
      </c>
      <c r="P4790">
        <v>2.165748E-2</v>
      </c>
      <c r="Q4790">
        <v>0.14290220000000001</v>
      </c>
      <c r="R4790">
        <v>-0.98949980000000004</v>
      </c>
      <c r="S4790">
        <v>6.5612790000000004E-2</v>
      </c>
      <c r="T4790">
        <v>-0.2337571</v>
      </c>
      <c r="U4790">
        <v>-3.0639949999999998</v>
      </c>
      <c r="V4790">
        <v>-1.7815190000000002E-2</v>
      </c>
      <c r="W4790">
        <v>0.15655069999999999</v>
      </c>
      <c r="X4790">
        <v>0.98750930000000003</v>
      </c>
      <c r="Y4790">
        <v>-1.7843290000000001E-2</v>
      </c>
      <c r="Z4790">
        <v>7.6055120000000004E-2</v>
      </c>
      <c r="AA4790">
        <v>0.99694400000000005</v>
      </c>
      <c r="AB4790">
        <v>33</v>
      </c>
      <c r="AC4790">
        <v>0.31090000000000301</v>
      </c>
      <c r="AD4790">
        <v>-1.109077598641</v>
      </c>
      <c r="AE4790">
        <v>-14.2098</v>
      </c>
      <c r="AF4790">
        <v>-0.25951839950245398</v>
      </c>
      <c r="AG4790">
        <v>-1.109077598641</v>
      </c>
      <c r="AH4790">
        <v>14.124797586103</v>
      </c>
      <c r="AI4790">
        <v>94.488892318050006</v>
      </c>
      <c r="AJ4790">
        <v>91.052591095244594</v>
      </c>
      <c r="AK4790">
        <v>14.170649588775699</v>
      </c>
      <c r="AL4790">
        <v>80.993257695655998</v>
      </c>
      <c r="AM4790">
        <v>91.033534047175095</v>
      </c>
      <c r="AN4790">
        <v>1.0000000601258501</v>
      </c>
    </row>
    <row r="4791" spans="1:40" x14ac:dyDescent="0.25">
      <c r="A4791" t="str">
        <f>"20190312173026930"</f>
        <v>20190312173026930</v>
      </c>
      <c r="B4791" t="str">
        <f>"1552383026923186"</f>
        <v>1552383026923186</v>
      </c>
      <c r="C4791" t="s">
        <v>40</v>
      </c>
      <c r="D4791">
        <v>3.410504</v>
      </c>
      <c r="E4791">
        <v>0.50071849999999996</v>
      </c>
      <c r="F4791" t="s">
        <v>41</v>
      </c>
      <c r="G4791">
        <v>-422.70850000000002</v>
      </c>
      <c r="H4791" s="1">
        <v>-2.909368E-6</v>
      </c>
      <c r="I4791">
        <v>64.691019999999995</v>
      </c>
      <c r="J4791">
        <v>-423.04849999999999</v>
      </c>
      <c r="K4791">
        <v>1.109075</v>
      </c>
      <c r="L4791">
        <v>80.175449999999998</v>
      </c>
      <c r="M4791">
        <v>2.4464690000000002E-3</v>
      </c>
      <c r="N4791">
        <v>0</v>
      </c>
      <c r="O4791">
        <v>-0.99990250000000003</v>
      </c>
      <c r="P4791">
        <v>2.168339E-2</v>
      </c>
      <c r="Q4791">
        <v>0.14438689999999901</v>
      </c>
      <c r="R4791">
        <v>-0.98928400000000005</v>
      </c>
      <c r="S4791">
        <v>6.588745E-2</v>
      </c>
      <c r="T4791">
        <v>-0.2149171</v>
      </c>
      <c r="U4791">
        <v>-3.0614319999999999</v>
      </c>
      <c r="V4791">
        <v>-1.8884749999999999E-2</v>
      </c>
      <c r="W4791">
        <v>0.15803310000000001</v>
      </c>
      <c r="X4791">
        <v>0.98725320000000005</v>
      </c>
      <c r="Y4791">
        <v>-1.901779E-2</v>
      </c>
      <c r="Z4791">
        <v>7.0014419999999994E-2</v>
      </c>
      <c r="AA4791">
        <v>0.99736469999999999</v>
      </c>
      <c r="AB4791">
        <v>33</v>
      </c>
      <c r="AC4791">
        <v>0.33999999999997499</v>
      </c>
      <c r="AD4791">
        <v>-1.1090779093680001</v>
      </c>
      <c r="AE4791">
        <v>-15.48443</v>
      </c>
      <c r="AF4791">
        <v>-0.30057197485690201</v>
      </c>
      <c r="AG4791">
        <v>-1.1090779093680001</v>
      </c>
      <c r="AH4791">
        <v>15.406216760279699</v>
      </c>
      <c r="AI4791">
        <v>94.116781133213493</v>
      </c>
      <c r="AJ4791">
        <v>91.117686538428003</v>
      </c>
      <c r="AK4791">
        <v>15.449010071387701</v>
      </c>
      <c r="AL4791">
        <v>80.907251176999097</v>
      </c>
      <c r="AM4791">
        <v>91.095853151228297</v>
      </c>
      <c r="AN4791">
        <v>0.99999998769420595</v>
      </c>
    </row>
    <row r="4792" spans="1:40" x14ac:dyDescent="0.25">
      <c r="A4792" t="str">
        <f>"20190312173026953"</f>
        <v>20190312173026953</v>
      </c>
      <c r="B4792" t="str">
        <f>"1552383026942710"</f>
        <v>1552383026942710</v>
      </c>
      <c r="C4792" t="s">
        <v>40</v>
      </c>
      <c r="D4792">
        <v>3.4171809999999998</v>
      </c>
      <c r="E4792">
        <v>0.50054069999999995</v>
      </c>
      <c r="F4792" t="s">
        <v>41</v>
      </c>
      <c r="G4792">
        <v>-422.66829999999999</v>
      </c>
      <c r="H4792" s="1">
        <v>-2.11449E-6</v>
      </c>
      <c r="I4792">
        <v>62.86309</v>
      </c>
      <c r="J4792">
        <v>-423.0489</v>
      </c>
      <c r="K4792">
        <v>1.109076</v>
      </c>
      <c r="L4792">
        <v>79.847719999999995</v>
      </c>
      <c r="M4792">
        <v>1.3431809999999999E-3</v>
      </c>
      <c r="N4792">
        <v>0</v>
      </c>
      <c r="O4792">
        <v>-0.99990440000000003</v>
      </c>
      <c r="P4792">
        <v>2.183038E-2</v>
      </c>
      <c r="Q4792">
        <v>0.1464317</v>
      </c>
      <c r="R4792">
        <v>-0.98897979999999996</v>
      </c>
      <c r="S4792">
        <v>6.7199709999999996E-2</v>
      </c>
      <c r="T4792">
        <v>-0.1960064</v>
      </c>
      <c r="U4792">
        <v>-3.0596009999999998</v>
      </c>
      <c r="V4792">
        <v>-2.011895E-2</v>
      </c>
      <c r="W4792">
        <v>0.16007479999999999</v>
      </c>
      <c r="X4792">
        <v>0.98689990000000005</v>
      </c>
      <c r="Y4792">
        <v>-2.0570350000000001E-2</v>
      </c>
      <c r="Z4792">
        <v>6.3917169999999995E-2</v>
      </c>
      <c r="AA4792">
        <v>0.99774320000000005</v>
      </c>
      <c r="AB4792">
        <v>33</v>
      </c>
      <c r="AC4792">
        <v>0.38060000000001498</v>
      </c>
      <c r="AD4792">
        <v>-1.1090781144899999</v>
      </c>
      <c r="AE4792">
        <v>-16.9846299999999</v>
      </c>
      <c r="AF4792">
        <v>-0.35626572693189401</v>
      </c>
      <c r="AG4792">
        <v>-1.1090781144899999</v>
      </c>
      <c r="AH4792">
        <v>16.913045754102502</v>
      </c>
      <c r="AI4792">
        <v>93.750986833155096</v>
      </c>
      <c r="AJ4792">
        <v>91.206731449920895</v>
      </c>
      <c r="AK4792">
        <v>16.953114646359001</v>
      </c>
      <c r="AL4792">
        <v>80.788762681214905</v>
      </c>
      <c r="AM4792">
        <v>91.167870495756901</v>
      </c>
      <c r="AN4792">
        <v>1.00000006318207</v>
      </c>
    </row>
    <row r="4793" spans="1:40" x14ac:dyDescent="0.25">
      <c r="A4793" t="str">
        <f>"20190312173026975"</f>
        <v>20190312173026975</v>
      </c>
      <c r="B4793" t="str">
        <f>"1552383026972962"</f>
        <v>1552383026972962</v>
      </c>
      <c r="C4793" t="s">
        <v>40</v>
      </c>
      <c r="D4793">
        <v>3.446841</v>
      </c>
      <c r="E4793">
        <v>0.50004799999999905</v>
      </c>
      <c r="F4793" t="s">
        <v>41</v>
      </c>
      <c r="G4793">
        <v>-422.62599999999998</v>
      </c>
      <c r="H4793" s="1">
        <v>-1.2833850000000001E-6</v>
      </c>
      <c r="I4793">
        <v>60.952010000000001</v>
      </c>
      <c r="J4793">
        <v>-423.0496</v>
      </c>
      <c r="K4793">
        <v>1.109084</v>
      </c>
      <c r="L4793">
        <v>79.521270000000001</v>
      </c>
      <c r="M4793">
        <v>2.439145E-4</v>
      </c>
      <c r="N4793">
        <v>0</v>
      </c>
      <c r="O4793">
        <v>-0.99990559999999995</v>
      </c>
      <c r="P4793">
        <v>2.20022E-2</v>
      </c>
      <c r="Q4793">
        <v>0.14710239999999999</v>
      </c>
      <c r="R4793">
        <v>-0.98887659999999999</v>
      </c>
      <c r="S4793">
        <v>6.8450929999999993E-2</v>
      </c>
      <c r="T4793">
        <v>-0.17951789999999901</v>
      </c>
      <c r="U4793">
        <v>-3.0585019999999998</v>
      </c>
      <c r="V4793">
        <v>-2.1377279999999999E-2</v>
      </c>
      <c r="W4793">
        <v>0.160745</v>
      </c>
      <c r="X4793">
        <v>0.98676439999999999</v>
      </c>
      <c r="Y4793">
        <v>-2.209264E-2</v>
      </c>
      <c r="Z4793">
        <v>5.8579390000000002E-2</v>
      </c>
      <c r="AA4793">
        <v>0.99803819999999999</v>
      </c>
      <c r="AB4793">
        <v>33</v>
      </c>
      <c r="AC4793">
        <v>0.42360000000002102</v>
      </c>
      <c r="AD4793">
        <v>-1.109085283385</v>
      </c>
      <c r="AE4793">
        <v>-18.56926</v>
      </c>
      <c r="AF4793">
        <v>-0.41758138124864302</v>
      </c>
      <c r="AG4793">
        <v>-1.109085283385</v>
      </c>
      <c r="AH4793">
        <v>18.503389807487999</v>
      </c>
      <c r="AI4793">
        <v>93.429309465058196</v>
      </c>
      <c r="AJ4793">
        <v>91.292822039882694</v>
      </c>
      <c r="AK4793">
        <v>18.541301970024598</v>
      </c>
      <c r="AL4793">
        <v>80.749858328187599</v>
      </c>
      <c r="AM4793">
        <v>91.241062567123805</v>
      </c>
      <c r="AN4793">
        <v>0.99999996211627795</v>
      </c>
    </row>
    <row r="4794" spans="1:40" x14ac:dyDescent="0.25">
      <c r="A4794" t="str">
        <f>"20190312173026999"</f>
        <v>20190312173026999</v>
      </c>
      <c r="B4794" t="str">
        <f>"1552383026992482"</f>
        <v>1552383026992482</v>
      </c>
      <c r="C4794" t="s">
        <v>40</v>
      </c>
      <c r="D4794">
        <v>3.448118</v>
      </c>
      <c r="E4794">
        <v>0.49977510000000003</v>
      </c>
      <c r="F4794" t="s">
        <v>41</v>
      </c>
      <c r="G4794">
        <v>-422.5625</v>
      </c>
      <c r="H4794" s="1">
        <v>-4.6131739999999999E-6</v>
      </c>
      <c r="I4794">
        <v>59.20711</v>
      </c>
      <c r="J4794">
        <v>-423.05070000000001</v>
      </c>
      <c r="K4794">
        <v>1.1090850000000001</v>
      </c>
      <c r="L4794">
        <v>79.186800000000005</v>
      </c>
      <c r="M4794">
        <v>-8.8257050000000001E-4</v>
      </c>
      <c r="N4794">
        <v>0</v>
      </c>
      <c r="O4794">
        <v>-0.99990500000000004</v>
      </c>
      <c r="P4794">
        <v>2.2552969999999999E-2</v>
      </c>
      <c r="Q4794">
        <v>0.147415299999999</v>
      </c>
      <c r="R4794">
        <v>-0.98881770000000002</v>
      </c>
      <c r="S4794">
        <v>7.3303220000000002E-2</v>
      </c>
      <c r="T4794">
        <v>-0.16689960000000001</v>
      </c>
      <c r="U4794">
        <v>-3.0569459999999999</v>
      </c>
      <c r="V4794">
        <v>-2.3042190000000001E-2</v>
      </c>
      <c r="W4794">
        <v>0.1610589</v>
      </c>
      <c r="X4794">
        <v>0.98667579999999999</v>
      </c>
      <c r="Y4794">
        <v>-2.4819109999999998E-2</v>
      </c>
      <c r="Z4794">
        <v>5.4499409999999998E-2</v>
      </c>
      <c r="AA4794">
        <v>0.99820529999999996</v>
      </c>
      <c r="AB4794">
        <v>33</v>
      </c>
      <c r="AC4794">
        <v>0.48820000000000602</v>
      </c>
      <c r="AD4794">
        <v>-1.109089613174</v>
      </c>
      <c r="AE4794">
        <v>-19.979690000000002</v>
      </c>
      <c r="AF4794">
        <v>-0.50428196848926798</v>
      </c>
      <c r="AG4794">
        <v>-1.109089613174</v>
      </c>
      <c r="AH4794">
        <v>19.917911786295502</v>
      </c>
      <c r="AI4794">
        <v>93.186092275254197</v>
      </c>
      <c r="AJ4794">
        <v>91.450305515193307</v>
      </c>
      <c r="AK4794">
        <v>19.955139438261099</v>
      </c>
      <c r="AL4794">
        <v>80.731636318938598</v>
      </c>
      <c r="AM4794">
        <v>91.337805497376493</v>
      </c>
      <c r="AN4794">
        <v>1.00000002304742</v>
      </c>
    </row>
    <row r="4795" spans="1:40" x14ac:dyDescent="0.25">
      <c r="A4795" t="str">
        <f>"20190312173027021"</f>
        <v>20190312173027021</v>
      </c>
      <c r="B4795" t="str">
        <f>"1552383027012978"</f>
        <v>1552383027012978</v>
      </c>
      <c r="C4795" t="s">
        <v>40</v>
      </c>
      <c r="D4795">
        <v>3.4371239999999998</v>
      </c>
      <c r="E4795">
        <v>0.49963269999999999</v>
      </c>
      <c r="F4795" t="s">
        <v>41</v>
      </c>
      <c r="G4795">
        <v>-422.5206</v>
      </c>
      <c r="H4795" s="1">
        <v>-4.2351880000000002E-6</v>
      </c>
      <c r="I4795">
        <v>58.11824</v>
      </c>
      <c r="J4795">
        <v>-423.05220000000003</v>
      </c>
      <c r="K4795">
        <v>1.1090850000000001</v>
      </c>
      <c r="L4795">
        <v>78.860569999999996</v>
      </c>
      <c r="M4795">
        <v>-1.9809710000000002E-3</v>
      </c>
      <c r="N4795">
        <v>0</v>
      </c>
      <c r="O4795">
        <v>-0.9999036</v>
      </c>
      <c r="P4795">
        <v>2.2792099999999999E-2</v>
      </c>
      <c r="Q4795">
        <v>0.14685010000000001</v>
      </c>
      <c r="R4795">
        <v>-0.98889629999999995</v>
      </c>
      <c r="S4795">
        <v>7.6904299999999995E-2</v>
      </c>
      <c r="T4795">
        <v>-0.16088179999999999</v>
      </c>
      <c r="U4795">
        <v>-3.056152</v>
      </c>
      <c r="V4795">
        <v>-2.4369310000000002E-2</v>
      </c>
      <c r="W4795">
        <v>0.1604961</v>
      </c>
      <c r="X4795">
        <v>0.98673560000000005</v>
      </c>
      <c r="Y4795">
        <v>-2.710152E-2</v>
      </c>
      <c r="Z4795">
        <v>5.255104E-2</v>
      </c>
      <c r="AA4795">
        <v>0.99825039999999998</v>
      </c>
      <c r="AB4795">
        <v>33</v>
      </c>
      <c r="AC4795">
        <v>0.53160000000002505</v>
      </c>
      <c r="AD4795">
        <v>-1.109089235188</v>
      </c>
      <c r="AE4795">
        <v>-20.7423299999999</v>
      </c>
      <c r="AF4795">
        <v>-0.57106118542762496</v>
      </c>
      <c r="AG4795">
        <v>-1.109089235188</v>
      </c>
      <c r="AH4795">
        <v>20.6821441629681</v>
      </c>
      <c r="AI4795">
        <v>93.068404496016996</v>
      </c>
      <c r="AJ4795">
        <v>91.581609933203694</v>
      </c>
      <c r="AK4795">
        <v>20.7197315857833</v>
      </c>
      <c r="AL4795">
        <v>80.764307223973404</v>
      </c>
      <c r="AM4795">
        <v>91.414740524172004</v>
      </c>
      <c r="AN4795">
        <v>1.0000000028462199</v>
      </c>
    </row>
    <row r="4796" spans="1:40" x14ac:dyDescent="0.25">
      <c r="A4796" t="str">
        <f>"20190312173027043"</f>
        <v>20190312173027043</v>
      </c>
      <c r="B4796" t="str">
        <f>"1552383027032498"</f>
        <v>1552383027032498</v>
      </c>
      <c r="C4796" t="s">
        <v>40</v>
      </c>
      <c r="D4796">
        <v>3.4359950000000001</v>
      </c>
      <c r="E4796">
        <v>0.49952449999999998</v>
      </c>
      <c r="F4796" t="s">
        <v>41</v>
      </c>
      <c r="G4796">
        <v>-422.50009999999997</v>
      </c>
      <c r="H4796" s="1">
        <v>-4.0388549999999998E-6</v>
      </c>
      <c r="I4796">
        <v>57.551960000000001</v>
      </c>
      <c r="J4796">
        <v>-423.05399999999997</v>
      </c>
      <c r="K4796">
        <v>1.109084</v>
      </c>
      <c r="L4796">
        <v>78.538759999999996</v>
      </c>
      <c r="M4796">
        <v>-3.065019E-3</v>
      </c>
      <c r="N4796">
        <v>0</v>
      </c>
      <c r="O4796">
        <v>-0.99990080000000003</v>
      </c>
      <c r="P4796">
        <v>2.2826639999999999E-2</v>
      </c>
      <c r="Q4796">
        <v>0.1458419</v>
      </c>
      <c r="R4796">
        <v>-0.98904449999999999</v>
      </c>
      <c r="S4796">
        <v>7.91626E-2</v>
      </c>
      <c r="T4796">
        <v>-0.15903439999999999</v>
      </c>
      <c r="U4796">
        <v>-3.0554809999999999</v>
      </c>
      <c r="V4796">
        <v>-2.54792E-2</v>
      </c>
      <c r="W4796">
        <v>0.15949070000000001</v>
      </c>
      <c r="X4796">
        <v>0.98687060000000004</v>
      </c>
      <c r="Y4796">
        <v>-2.8928880000000001E-2</v>
      </c>
      <c r="Z4796">
        <v>5.1958589999999999E-2</v>
      </c>
      <c r="AA4796">
        <v>0.99823019999999996</v>
      </c>
      <c r="AB4796">
        <v>32</v>
      </c>
      <c r="AC4796">
        <v>0.55390000000005502</v>
      </c>
      <c r="AD4796">
        <v>-1.109088038855</v>
      </c>
      <c r="AE4796">
        <v>-20.986799999999899</v>
      </c>
      <c r="AF4796">
        <v>-0.61650783431740197</v>
      </c>
      <c r="AG4796">
        <v>-1.109088038855</v>
      </c>
      <c r="AH4796">
        <v>20.926600433070799</v>
      </c>
      <c r="AI4796">
        <v>93.032465052706698</v>
      </c>
      <c r="AJ4796">
        <v>91.687473467366004</v>
      </c>
      <c r="AK4796">
        <v>20.965036700972</v>
      </c>
      <c r="AL4796">
        <v>80.822664376595498</v>
      </c>
      <c r="AM4796">
        <v>91.478944034609995</v>
      </c>
      <c r="AN4796">
        <v>1.00000002708174</v>
      </c>
    </row>
    <row r="4797" spans="1:40" x14ac:dyDescent="0.25">
      <c r="A4797" t="str">
        <f>"20190312173027065"</f>
        <v>20190312173027065</v>
      </c>
      <c r="B4797" t="str">
        <f>"1552383027062754"</f>
        <v>1552383027062754</v>
      </c>
      <c r="C4797" t="s">
        <v>40</v>
      </c>
      <c r="D4797">
        <v>3.4973749999999999</v>
      </c>
      <c r="E4797">
        <v>0.49942579999999998</v>
      </c>
      <c r="F4797" t="s">
        <v>41</v>
      </c>
      <c r="G4797">
        <v>-422.4941</v>
      </c>
      <c r="H4797" s="1">
        <v>-3.955689E-6</v>
      </c>
      <c r="I4797">
        <v>57.310699999999997</v>
      </c>
      <c r="J4797">
        <v>-423.05610000000001</v>
      </c>
      <c r="K4797">
        <v>1.109086</v>
      </c>
      <c r="L4797">
        <v>78.216920000000002</v>
      </c>
      <c r="M4797">
        <v>-4.149402E-3</v>
      </c>
      <c r="N4797">
        <v>0</v>
      </c>
      <c r="O4797">
        <v>-0.99989689999999998</v>
      </c>
      <c r="P4797">
        <v>2.2955639999999999E-2</v>
      </c>
      <c r="Q4797">
        <v>0.14493879999999901</v>
      </c>
      <c r="R4797">
        <v>-0.98917429999999995</v>
      </c>
      <c r="S4797">
        <v>8.0566410000000005E-2</v>
      </c>
      <c r="T4797">
        <v>-0.15960729999999901</v>
      </c>
      <c r="U4797">
        <v>-3.0549010000000001</v>
      </c>
      <c r="V4797">
        <v>-2.6684019999999999E-2</v>
      </c>
      <c r="W4797">
        <v>0.1585905</v>
      </c>
      <c r="X4797">
        <v>0.98698379999999997</v>
      </c>
      <c r="Y4797">
        <v>-3.047592E-2</v>
      </c>
      <c r="Z4797">
        <v>5.2153320000000003E-2</v>
      </c>
      <c r="AA4797">
        <v>0.99817400000000001</v>
      </c>
      <c r="AB4797">
        <v>32</v>
      </c>
      <c r="AC4797">
        <v>0.56200000000001105</v>
      </c>
      <c r="AD4797">
        <v>-1.1090899556889999</v>
      </c>
      <c r="AE4797">
        <v>-20.906220000000001</v>
      </c>
      <c r="AF4797">
        <v>-0.64693227213207405</v>
      </c>
      <c r="AG4797">
        <v>-1.1090899556889999</v>
      </c>
      <c r="AH4797">
        <v>20.845084209980602</v>
      </c>
      <c r="AI4797">
        <v>93.044162116059496</v>
      </c>
      <c r="AJ4797">
        <v>91.777617911157904</v>
      </c>
      <c r="AK4797">
        <v>20.884590913295899</v>
      </c>
      <c r="AL4797">
        <v>80.874906753513599</v>
      </c>
      <c r="AM4797">
        <v>91.548667143429597</v>
      </c>
      <c r="AN4797">
        <v>1.00000000253802</v>
      </c>
    </row>
    <row r="4798" spans="1:40" x14ac:dyDescent="0.25">
      <c r="A4798" t="str">
        <f>"20190312173027088"</f>
        <v>20190312173027088</v>
      </c>
      <c r="B4798" t="str">
        <f>"1552383027082277"</f>
        <v>1552383027082277</v>
      </c>
      <c r="C4798" t="s">
        <v>40</v>
      </c>
      <c r="D4798">
        <v>3.4685290000000002</v>
      </c>
      <c r="E4798">
        <v>0.49937239999999999</v>
      </c>
      <c r="F4798" t="s">
        <v>41</v>
      </c>
      <c r="G4798">
        <v>-422.47699999999998</v>
      </c>
      <c r="H4798" s="1">
        <v>-3.8189519999999997E-6</v>
      </c>
      <c r="I4798">
        <v>56.954900000000002</v>
      </c>
      <c r="J4798">
        <v>-423.05860000000001</v>
      </c>
      <c r="K4798">
        <v>1.109083</v>
      </c>
      <c r="L4798">
        <v>77.893829999999994</v>
      </c>
      <c r="M4798">
        <v>-5.2380930000000001E-3</v>
      </c>
      <c r="N4798">
        <v>0</v>
      </c>
      <c r="O4798">
        <v>-0.99989189999999994</v>
      </c>
      <c r="P4798">
        <v>2.2782409999999999E-2</v>
      </c>
      <c r="Q4798">
        <v>0.144793899999999</v>
      </c>
      <c r="R4798">
        <v>-0.98919990000000002</v>
      </c>
      <c r="S4798">
        <v>8.3190920000000002E-2</v>
      </c>
      <c r="T4798">
        <v>-0.1593193</v>
      </c>
      <c r="U4798">
        <v>-3.0542600000000002</v>
      </c>
      <c r="V4798">
        <v>-2.758874E-2</v>
      </c>
      <c r="W4798">
        <v>0.158446</v>
      </c>
      <c r="X4798">
        <v>0.98698209999999997</v>
      </c>
      <c r="Y4798">
        <v>-3.2426900000000002E-2</v>
      </c>
      <c r="Z4798">
        <v>5.2067740000000001E-2</v>
      </c>
      <c r="AA4798">
        <v>0.99811700000000003</v>
      </c>
      <c r="AB4798">
        <v>32</v>
      </c>
      <c r="AC4798">
        <v>0.58160000000003698</v>
      </c>
      <c r="AD4798">
        <v>-1.109086818952</v>
      </c>
      <c r="AE4798">
        <v>-20.938929999999999</v>
      </c>
      <c r="AF4798">
        <v>-0.68934990186577405</v>
      </c>
      <c r="AG4798">
        <v>-1.109086818952</v>
      </c>
      <c r="AH4798">
        <v>20.8770688640613</v>
      </c>
      <c r="AI4798">
        <v>93.039305894312406</v>
      </c>
      <c r="AJ4798">
        <v>91.891189579450099</v>
      </c>
      <c r="AK4798">
        <v>20.9178699014487</v>
      </c>
      <c r="AL4798">
        <v>80.883291713712097</v>
      </c>
      <c r="AM4798">
        <v>91.601150476082296</v>
      </c>
      <c r="AN4798">
        <v>0.999999969605598</v>
      </c>
    </row>
    <row r="4799" spans="1:40" x14ac:dyDescent="0.25">
      <c r="A4799" t="str">
        <f>"20190312173027110"</f>
        <v>20190312173027110</v>
      </c>
      <c r="B4799" t="str">
        <f>"1552383027102773"</f>
        <v>1552383027102773</v>
      </c>
      <c r="C4799" t="s">
        <v>40</v>
      </c>
      <c r="D4799">
        <v>3.474202</v>
      </c>
      <c r="E4799">
        <v>0.49932270000000001</v>
      </c>
      <c r="F4799" t="s">
        <v>41</v>
      </c>
      <c r="G4799">
        <v>-422.47269999999997</v>
      </c>
      <c r="H4799" s="1">
        <v>-3.6038990000000001E-6</v>
      </c>
      <c r="I4799">
        <v>56.456249999999997</v>
      </c>
      <c r="J4799">
        <v>-423.06139999999999</v>
      </c>
      <c r="K4799">
        <v>1.109084</v>
      </c>
      <c r="L4799">
        <v>77.576599999999999</v>
      </c>
      <c r="M4799">
        <v>-6.3073199999999999E-3</v>
      </c>
      <c r="N4799">
        <v>0</v>
      </c>
      <c r="O4799">
        <v>-0.99988560000000004</v>
      </c>
      <c r="P4799">
        <v>2.2403490000000002E-2</v>
      </c>
      <c r="Q4799">
        <v>0.14445910000000001</v>
      </c>
      <c r="R4799">
        <v>-0.98925730000000001</v>
      </c>
      <c r="S4799">
        <v>8.3465579999999998E-2</v>
      </c>
      <c r="T4799">
        <v>-0.15799820000000001</v>
      </c>
      <c r="U4799">
        <v>-3.0539550000000002</v>
      </c>
      <c r="V4799">
        <v>-2.8269389999999998E-2</v>
      </c>
      <c r="W4799">
        <v>0.1581108</v>
      </c>
      <c r="X4799">
        <v>0.98701660000000002</v>
      </c>
      <c r="Y4799">
        <v>-3.3588680000000003E-2</v>
      </c>
      <c r="Z4799">
        <v>5.1640770000000003E-2</v>
      </c>
      <c r="AA4799">
        <v>0.99810069999999995</v>
      </c>
      <c r="AB4799">
        <v>32</v>
      </c>
      <c r="AC4799">
        <v>0.58870000000001699</v>
      </c>
      <c r="AD4799">
        <v>-1.1090876038990001</v>
      </c>
      <c r="AE4799">
        <v>-21.120349999999998</v>
      </c>
      <c r="AF4799">
        <v>-0.71992995498943002</v>
      </c>
      <c r="AG4799">
        <v>-1.1090876038990001</v>
      </c>
      <c r="AH4799">
        <v>21.058191590022702</v>
      </c>
      <c r="AI4799">
        <v>93.013097229883599</v>
      </c>
      <c r="AJ4799">
        <v>91.958045092754105</v>
      </c>
      <c r="AK4799">
        <v>21.099663682042799</v>
      </c>
      <c r="AL4799">
        <v>80.902742504828097</v>
      </c>
      <c r="AM4799">
        <v>91.640574290496701</v>
      </c>
      <c r="AN4799">
        <v>0.99999997608158497</v>
      </c>
    </row>
    <row r="4800" spans="1:40" x14ac:dyDescent="0.25">
      <c r="A4800" t="str">
        <f>"20190312173027132"</f>
        <v>20190312173027132</v>
      </c>
      <c r="B4800" t="str">
        <f>"1552383027122291"</f>
        <v>1552383027122291</v>
      </c>
      <c r="C4800" t="s">
        <v>40</v>
      </c>
      <c r="D4800">
        <v>3.5044339999999998</v>
      </c>
      <c r="E4800">
        <v>0.49926189999999998</v>
      </c>
      <c r="F4800" t="s">
        <v>41</v>
      </c>
      <c r="G4800">
        <v>-422.48160000000001</v>
      </c>
      <c r="H4800" s="1">
        <v>-3.4619190000000002E-6</v>
      </c>
      <c r="I4800">
        <v>56.119770000000003</v>
      </c>
      <c r="J4800">
        <v>-423.06470000000002</v>
      </c>
      <c r="K4800">
        <v>1.109083</v>
      </c>
      <c r="L4800">
        <v>77.248809999999906</v>
      </c>
      <c r="M4800">
        <v>-7.4122789999999999E-3</v>
      </c>
      <c r="N4800">
        <v>0</v>
      </c>
      <c r="O4800">
        <v>-0.99987820000000005</v>
      </c>
      <c r="P4800">
        <v>2.200798E-2</v>
      </c>
      <c r="Q4800">
        <v>0.14467969999999999</v>
      </c>
      <c r="R4800">
        <v>-0.98923399999999995</v>
      </c>
      <c r="S4800">
        <v>8.2519529999999994E-2</v>
      </c>
      <c r="T4800">
        <v>-0.15784719999999999</v>
      </c>
      <c r="U4800">
        <v>-3.0537719999999999</v>
      </c>
      <c r="V4800">
        <v>-2.896632E-2</v>
      </c>
      <c r="W4800">
        <v>0.15833059999999999</v>
      </c>
      <c r="X4800">
        <v>0.98696119999999998</v>
      </c>
      <c r="Y4800">
        <v>-3.4385859999999997E-2</v>
      </c>
      <c r="Z4800">
        <v>5.1593550000000002E-2</v>
      </c>
      <c r="AA4800">
        <v>0.99807599999999996</v>
      </c>
      <c r="AB4800">
        <v>32</v>
      </c>
      <c r="AC4800">
        <v>0.58310000000000095</v>
      </c>
      <c r="AD4800">
        <v>-1.109086461919</v>
      </c>
      <c r="AE4800">
        <v>-21.12904</v>
      </c>
      <c r="AF4800">
        <v>-0.73768209232180104</v>
      </c>
      <c r="AG4800">
        <v>-1.109086461919</v>
      </c>
      <c r="AH4800">
        <v>21.0661372659997</v>
      </c>
      <c r="AI4800">
        <v>93.011873536047801</v>
      </c>
      <c r="AJ4800">
        <v>92.005531760946198</v>
      </c>
      <c r="AK4800">
        <v>21.108206625843099</v>
      </c>
      <c r="AL4800">
        <v>80.889988625734404</v>
      </c>
      <c r="AM4800">
        <v>91.681091019672294</v>
      </c>
      <c r="AN4800">
        <v>1.00000001844807</v>
      </c>
    </row>
    <row r="4801" spans="1:40" x14ac:dyDescent="0.25">
      <c r="A4801" t="str">
        <f>"20190312173027154"</f>
        <v>20190312173027154</v>
      </c>
      <c r="B4801" t="str">
        <f>"1552383027142786"</f>
        <v>1552383027142786</v>
      </c>
      <c r="C4801" t="s">
        <v>40</v>
      </c>
      <c r="D4801">
        <v>3.4597229999999999</v>
      </c>
      <c r="E4801">
        <v>0.49921759999999898</v>
      </c>
      <c r="F4801" t="s">
        <v>41</v>
      </c>
      <c r="G4801">
        <v>-422.48129999999998</v>
      </c>
      <c r="H4801" s="1">
        <v>-3.2169929999999999E-6</v>
      </c>
      <c r="I4801">
        <v>55.548999999999999</v>
      </c>
      <c r="J4801">
        <v>-423.06810000000002</v>
      </c>
      <c r="K4801">
        <v>1.1090880000000001</v>
      </c>
      <c r="L4801">
        <v>76.932459999999907</v>
      </c>
      <c r="M4801">
        <v>-8.4788060000000002E-3</v>
      </c>
      <c r="N4801">
        <v>0</v>
      </c>
      <c r="O4801">
        <v>-0.99986960000000003</v>
      </c>
      <c r="P4801">
        <v>2.1768099999999999E-2</v>
      </c>
      <c r="Q4801">
        <v>0.1448499</v>
      </c>
      <c r="R4801">
        <v>-0.98921440000000005</v>
      </c>
      <c r="S4801">
        <v>8.2092289999999998E-2</v>
      </c>
      <c r="T4801">
        <v>-0.1560733</v>
      </c>
      <c r="U4801">
        <v>-3.0536500000000002</v>
      </c>
      <c r="V4801">
        <v>-2.9781539999999999E-2</v>
      </c>
      <c r="W4801">
        <v>0.15850059999999999</v>
      </c>
      <c r="X4801">
        <v>0.98690960000000005</v>
      </c>
      <c r="Y4801">
        <v>-3.5314199999999997E-2</v>
      </c>
      <c r="Z4801">
        <v>5.1015919999999999E-2</v>
      </c>
      <c r="AA4801">
        <v>0.99807330000000005</v>
      </c>
      <c r="AB4801">
        <v>32</v>
      </c>
      <c r="AC4801">
        <v>0.58680000000003896</v>
      </c>
      <c r="AD4801">
        <v>-1.1090912169929901</v>
      </c>
      <c r="AE4801">
        <v>-21.3834599999999</v>
      </c>
      <c r="AF4801">
        <v>-0.76604300840594897</v>
      </c>
      <c r="AG4801">
        <v>-1.1090912169929901</v>
      </c>
      <c r="AH4801">
        <v>21.320403179425998</v>
      </c>
      <c r="AI4801">
        <v>92.975935749377001</v>
      </c>
      <c r="AJ4801">
        <v>92.057754642276805</v>
      </c>
      <c r="AK4801">
        <v>21.362970227747301</v>
      </c>
      <c r="AL4801">
        <v>80.880123324526593</v>
      </c>
      <c r="AM4801">
        <v>91.728465182541896</v>
      </c>
      <c r="AN4801">
        <v>0.999999969448645</v>
      </c>
    </row>
    <row r="4802" spans="1:40" x14ac:dyDescent="0.25">
      <c r="A4802" t="str">
        <f>"20190312173027176"</f>
        <v>20190312173027176</v>
      </c>
      <c r="B4802" t="str">
        <f>"1552383027173042"</f>
        <v>1552383027173042</v>
      </c>
      <c r="C4802" t="s">
        <v>40</v>
      </c>
      <c r="D4802">
        <v>3.4582440000000001</v>
      </c>
      <c r="E4802">
        <v>0.49907820000000003</v>
      </c>
      <c r="F4802" t="s">
        <v>41</v>
      </c>
      <c r="G4802">
        <v>-422.48520000000002</v>
      </c>
      <c r="H4802" s="1">
        <v>-3.0609409999999999E-6</v>
      </c>
      <c r="I4802">
        <v>55.182850000000002</v>
      </c>
      <c r="J4802">
        <v>-423.07209999999998</v>
      </c>
      <c r="K4802">
        <v>1.109092</v>
      </c>
      <c r="L4802">
        <v>76.606290000000001</v>
      </c>
      <c r="M4802">
        <v>-9.5786989999999995E-3</v>
      </c>
      <c r="N4802">
        <v>0</v>
      </c>
      <c r="O4802">
        <v>-0.99985999999999997</v>
      </c>
      <c r="P4802">
        <v>2.1011849999999999E-2</v>
      </c>
      <c r="Q4802">
        <v>0.14587249999999999</v>
      </c>
      <c r="R4802">
        <v>-0.98908079999999998</v>
      </c>
      <c r="S4802">
        <v>8.184814E-2</v>
      </c>
      <c r="T4802">
        <v>-0.15571960000000001</v>
      </c>
      <c r="U4802">
        <v>-3.0537109999999998</v>
      </c>
      <c r="V4802">
        <v>-3.011018E-2</v>
      </c>
      <c r="W4802">
        <v>0.15951979999999999</v>
      </c>
      <c r="X4802">
        <v>0.98673540000000004</v>
      </c>
      <c r="Y4802">
        <v>-3.6333419999999998E-2</v>
      </c>
      <c r="Z4802">
        <v>5.0897970000000001E-2</v>
      </c>
      <c r="AA4802">
        <v>0.99804269999999995</v>
      </c>
      <c r="AB4802">
        <v>32</v>
      </c>
      <c r="AC4802">
        <v>0.58689999999995701</v>
      </c>
      <c r="AD4802">
        <v>-1.109095060941</v>
      </c>
      <c r="AE4802">
        <v>-21.423439999999999</v>
      </c>
      <c r="AF4802">
        <v>-0.78998537736379604</v>
      </c>
      <c r="AG4802">
        <v>-1.109095060941</v>
      </c>
      <c r="AH4802">
        <v>21.359630622763898</v>
      </c>
      <c r="AI4802">
        <v>92.9703765629815</v>
      </c>
      <c r="AJ4802">
        <v>92.118117469206794</v>
      </c>
      <c r="AK4802">
        <v>21.402990190428199</v>
      </c>
      <c r="AL4802">
        <v>80.820974913775302</v>
      </c>
      <c r="AM4802">
        <v>91.747835394721093</v>
      </c>
      <c r="AN4802">
        <v>0.99999996957241499</v>
      </c>
    </row>
    <row r="4803" spans="1:40" x14ac:dyDescent="0.25">
      <c r="A4803" t="str">
        <f>"20190312173027199"</f>
        <v>20190312173027199</v>
      </c>
      <c r="B4803" t="str">
        <f>"1552383027192562"</f>
        <v>1552383027192562</v>
      </c>
      <c r="C4803" t="s">
        <v>40</v>
      </c>
      <c r="D4803">
        <v>3.4437479999999998</v>
      </c>
      <c r="E4803">
        <v>0.49899929999999898</v>
      </c>
      <c r="F4803" t="s">
        <v>41</v>
      </c>
      <c r="G4803">
        <v>-422.48599999999999</v>
      </c>
      <c r="H4803" s="1">
        <v>-2.760682E-6</v>
      </c>
      <c r="I4803">
        <v>54.482430000000001</v>
      </c>
      <c r="J4803">
        <v>-423.0763</v>
      </c>
      <c r="K4803">
        <v>1.1090990000000001</v>
      </c>
      <c r="L4803">
        <v>76.282809999999998</v>
      </c>
      <c r="M4803">
        <v>-1.066946E-2</v>
      </c>
      <c r="N4803">
        <v>0</v>
      </c>
      <c r="O4803">
        <v>-0.99984879999999998</v>
      </c>
      <c r="P4803">
        <v>1.993696E-2</v>
      </c>
      <c r="Q4803">
        <v>0.1465148</v>
      </c>
      <c r="R4803">
        <v>-0.98900779999999999</v>
      </c>
      <c r="S4803">
        <v>8.0902100000000005E-2</v>
      </c>
      <c r="T4803">
        <v>-0.15309979999999901</v>
      </c>
      <c r="U4803">
        <v>-3.0539860000000001</v>
      </c>
      <c r="V4803">
        <v>-3.0112199999999999E-2</v>
      </c>
      <c r="W4803">
        <v>0.1601591</v>
      </c>
      <c r="X4803">
        <v>0.98663179999999995</v>
      </c>
      <c r="Y4803">
        <v>-3.7113409999999999E-2</v>
      </c>
      <c r="Z4803">
        <v>5.0037980000000003E-2</v>
      </c>
      <c r="AA4803">
        <v>0.99805750000000004</v>
      </c>
      <c r="AB4803">
        <v>32</v>
      </c>
      <c r="AC4803">
        <v>0.59030000000001304</v>
      </c>
      <c r="AD4803">
        <v>-1.1091017606819999</v>
      </c>
      <c r="AE4803">
        <v>-21.800379999999901</v>
      </c>
      <c r="AF4803">
        <v>-0.82076377942007595</v>
      </c>
      <c r="AG4803">
        <v>-1.1091017606819999</v>
      </c>
      <c r="AH4803">
        <v>21.736620424328098</v>
      </c>
      <c r="AI4803">
        <v>92.918882990291493</v>
      </c>
      <c r="AJ4803">
        <v>92.1624322921827</v>
      </c>
      <c r="AK4803">
        <v>21.780367934644101</v>
      </c>
      <c r="AL4803">
        <v>80.783868885221693</v>
      </c>
      <c r="AM4803">
        <v>91.748136006547497</v>
      </c>
      <c r="AN4803">
        <v>0.99999999533644401</v>
      </c>
    </row>
    <row r="4804" spans="1:40" x14ac:dyDescent="0.25">
      <c r="A4804" t="str">
        <f>"20190312173027222"</f>
        <v>20190312173027222</v>
      </c>
      <c r="B4804" t="str">
        <f>"1552383027213058"</f>
        <v>1552383027213058</v>
      </c>
      <c r="C4804" t="s">
        <v>40</v>
      </c>
      <c r="D4804">
        <v>3.4754930000000002</v>
      </c>
      <c r="E4804">
        <v>0.49891999999999997</v>
      </c>
      <c r="F4804" t="s">
        <v>41</v>
      </c>
      <c r="G4804">
        <v>-422.50400000000002</v>
      </c>
      <c r="H4804" s="1">
        <v>-2.5411379999999999E-6</v>
      </c>
      <c r="I4804">
        <v>53.959530000000001</v>
      </c>
      <c r="J4804">
        <v>-423.08109999999999</v>
      </c>
      <c r="K4804">
        <v>1.1091</v>
      </c>
      <c r="L4804">
        <v>75.945430000000002</v>
      </c>
      <c r="M4804">
        <v>-1.1806769999999999E-2</v>
      </c>
      <c r="N4804">
        <v>0</v>
      </c>
      <c r="O4804">
        <v>-0.99983610000000001</v>
      </c>
      <c r="P4804">
        <v>1.916518E-2</v>
      </c>
      <c r="Q4804">
        <v>0.14650299999999999</v>
      </c>
      <c r="R4804">
        <v>-0.98902489999999998</v>
      </c>
      <c r="S4804">
        <v>7.830811E-2</v>
      </c>
      <c r="T4804">
        <v>-0.1517452</v>
      </c>
      <c r="U4804">
        <v>-3.05423</v>
      </c>
      <c r="V4804">
        <v>-3.0466050000000001E-2</v>
      </c>
      <c r="W4804">
        <v>0.16014589999999901</v>
      </c>
      <c r="X4804">
        <v>0.98662309999999998</v>
      </c>
      <c r="Y4804">
        <v>-3.7401480000000001E-2</v>
      </c>
      <c r="Z4804">
        <v>4.9591740000000002E-2</v>
      </c>
      <c r="AA4804">
        <v>0.99806899999999998</v>
      </c>
      <c r="AB4804">
        <v>32</v>
      </c>
      <c r="AC4804">
        <v>0.57709999999997297</v>
      </c>
      <c r="AD4804">
        <v>-1.109102541138</v>
      </c>
      <c r="AE4804">
        <v>-21.985899999999901</v>
      </c>
      <c r="AF4804">
        <v>-0.83454439197388597</v>
      </c>
      <c r="AG4804">
        <v>-1.109102541138</v>
      </c>
      <c r="AH4804">
        <v>21.921804555396498</v>
      </c>
      <c r="AI4804">
        <v>92.894236030357206</v>
      </c>
      <c r="AJ4804">
        <v>92.180148637497297</v>
      </c>
      <c r="AK4804">
        <v>21.965702532674399</v>
      </c>
      <c r="AL4804">
        <v>80.784635266499706</v>
      </c>
      <c r="AM4804">
        <v>91.768681056438197</v>
      </c>
      <c r="AN4804">
        <v>1.0000000154715101</v>
      </c>
    </row>
    <row r="4805" spans="1:40" x14ac:dyDescent="0.25">
      <c r="A4805" t="str">
        <f>"20190312173027244"</f>
        <v>20190312173027244</v>
      </c>
      <c r="B4805" t="str">
        <f>"1552383027232578"</f>
        <v>1552383027232578</v>
      </c>
      <c r="C4805" t="s">
        <v>40</v>
      </c>
      <c r="D4805">
        <v>3.5378509999999999</v>
      </c>
      <c r="E4805">
        <v>0.49883149999999998</v>
      </c>
      <c r="F4805" t="s">
        <v>41</v>
      </c>
      <c r="G4805">
        <v>-422.52100000000002</v>
      </c>
      <c r="H4805" s="1">
        <v>-2.4160140000000002E-6</v>
      </c>
      <c r="I4805">
        <v>53.65728</v>
      </c>
      <c r="J4805">
        <v>-423.08580000000001</v>
      </c>
      <c r="K4805">
        <v>1.1090949999999999</v>
      </c>
      <c r="L4805">
        <v>75.637909999999906</v>
      </c>
      <c r="M4805">
        <v>-1.284184E-2</v>
      </c>
      <c r="N4805">
        <v>0</v>
      </c>
      <c r="O4805">
        <v>-0.99982329999999997</v>
      </c>
      <c r="P4805">
        <v>1.8344269999999999E-2</v>
      </c>
      <c r="Q4805">
        <v>0.14568519999999999</v>
      </c>
      <c r="R4805">
        <v>-0.98916110000000002</v>
      </c>
      <c r="S4805">
        <v>7.6751710000000001E-2</v>
      </c>
      <c r="T4805">
        <v>-0.15198900000000001</v>
      </c>
      <c r="U4805">
        <v>-3.0543209999999998</v>
      </c>
      <c r="V4805">
        <v>-3.06734E-2</v>
      </c>
      <c r="W4805">
        <v>0.15932829999999901</v>
      </c>
      <c r="X4805">
        <v>0.98674910000000005</v>
      </c>
      <c r="Y4805">
        <v>-3.7926870000000001E-2</v>
      </c>
      <c r="Z4805">
        <v>4.96686E-2</v>
      </c>
      <c r="AA4805">
        <v>0.99804539999999997</v>
      </c>
      <c r="AB4805">
        <v>32</v>
      </c>
      <c r="AC4805">
        <v>0.56480000000004704</v>
      </c>
      <c r="AD4805">
        <v>-1.1090974160139999</v>
      </c>
      <c r="AE4805">
        <v>-21.980629999999898</v>
      </c>
      <c r="AF4805">
        <v>-0.84490204830355597</v>
      </c>
      <c r="AG4805">
        <v>-1.1090974160139999</v>
      </c>
      <c r="AH4805">
        <v>21.915802475733599</v>
      </c>
      <c r="AI4805">
        <v>92.894960567713596</v>
      </c>
      <c r="AJ4805">
        <v>92.2077840757226</v>
      </c>
      <c r="AK4805">
        <v>21.960108258039298</v>
      </c>
      <c r="AL4805">
        <v>80.832090185024398</v>
      </c>
      <c r="AM4805">
        <v>91.780483627201903</v>
      </c>
      <c r="AN4805">
        <v>1.0000000754996199</v>
      </c>
    </row>
    <row r="4806" spans="1:40" x14ac:dyDescent="0.25">
      <c r="A4806" t="str">
        <f>"20190312173027266"</f>
        <v>20190312173027266</v>
      </c>
      <c r="B4806" t="str">
        <f>"1552383027262834"</f>
        <v>1552383027262834</v>
      </c>
      <c r="C4806" t="s">
        <v>40</v>
      </c>
      <c r="D4806">
        <v>3.5244629999999999</v>
      </c>
      <c r="E4806">
        <v>0.49868560000000001</v>
      </c>
      <c r="F4806" t="s">
        <v>41</v>
      </c>
      <c r="G4806">
        <v>-422.54660000000001</v>
      </c>
      <c r="H4806" s="1">
        <v>-2.4443980000000002E-6</v>
      </c>
      <c r="I4806">
        <v>53.707599999999999</v>
      </c>
      <c r="J4806">
        <v>-423.09120000000001</v>
      </c>
      <c r="K4806">
        <v>1.1090930000000001</v>
      </c>
      <c r="L4806">
        <v>75.313050000000004</v>
      </c>
      <c r="M4806">
        <v>-1.393259E-2</v>
      </c>
      <c r="N4806">
        <v>0</v>
      </c>
      <c r="O4806">
        <v>-0.9998089</v>
      </c>
      <c r="P4806">
        <v>1.8290859999999999E-2</v>
      </c>
      <c r="Q4806">
        <v>0.14547579999999999</v>
      </c>
      <c r="R4806">
        <v>-0.98919310000000005</v>
      </c>
      <c r="S4806">
        <v>7.5103760000000006E-2</v>
      </c>
      <c r="T4806">
        <v>-0.15446379999999901</v>
      </c>
      <c r="U4806">
        <v>-3.05423</v>
      </c>
      <c r="V4806">
        <v>-3.1701140000000003E-2</v>
      </c>
      <c r="W4806">
        <v>0.15911919999999999</v>
      </c>
      <c r="X4806">
        <v>0.98675029999999997</v>
      </c>
      <c r="Y4806">
        <v>-3.8478610000000003E-2</v>
      </c>
      <c r="Z4806">
        <v>5.04755E-2</v>
      </c>
      <c r="AA4806">
        <v>0.99798379999999998</v>
      </c>
      <c r="AB4806">
        <v>32</v>
      </c>
      <c r="AC4806">
        <v>0.54460000000000197</v>
      </c>
      <c r="AD4806">
        <v>-1.1090954443979999</v>
      </c>
      <c r="AE4806">
        <v>-21.605450000000001</v>
      </c>
      <c r="AF4806">
        <v>-0.84337427630696205</v>
      </c>
      <c r="AG4806">
        <v>-1.1090954443979999</v>
      </c>
      <c r="AH4806">
        <v>21.5390407786252</v>
      </c>
      <c r="AI4806">
        <v>92.945436856008598</v>
      </c>
      <c r="AJ4806">
        <v>92.242305715094801</v>
      </c>
      <c r="AK4806">
        <v>21.584060103187301</v>
      </c>
      <c r="AL4806">
        <v>80.844225020200597</v>
      </c>
      <c r="AM4806">
        <v>91.840097756318499</v>
      </c>
      <c r="AN4806">
        <v>1.00000001831801</v>
      </c>
    </row>
    <row r="4807" spans="1:40" x14ac:dyDescent="0.25">
      <c r="A4807" t="str">
        <f>"20190312173027289"</f>
        <v>20190312173027289</v>
      </c>
      <c r="B4807" t="str">
        <f>"1552383027282354"</f>
        <v>1552383027282354</v>
      </c>
      <c r="C4807" t="s">
        <v>40</v>
      </c>
      <c r="D4807">
        <v>3.4934340000000002</v>
      </c>
      <c r="E4807">
        <v>0.49857499999999999</v>
      </c>
      <c r="F4807" t="s">
        <v>41</v>
      </c>
      <c r="G4807">
        <v>-422.54759999999999</v>
      </c>
      <c r="H4807" s="1">
        <v>-2.3256120000000001E-6</v>
      </c>
      <c r="I4807">
        <v>53.430069999999901</v>
      </c>
      <c r="J4807">
        <v>-423.0967</v>
      </c>
      <c r="K4807">
        <v>1.109097</v>
      </c>
      <c r="L4807">
        <v>74.996769999999998</v>
      </c>
      <c r="M4807">
        <v>-1.4992190000000001E-2</v>
      </c>
      <c r="N4807">
        <v>0</v>
      </c>
      <c r="O4807">
        <v>-0.99979340000000005</v>
      </c>
      <c r="P4807">
        <v>1.7288379999999999E-2</v>
      </c>
      <c r="Q4807">
        <v>0.14478729999999901</v>
      </c>
      <c r="R4807">
        <v>-0.98931210000000003</v>
      </c>
      <c r="S4807">
        <v>7.5866699999999995E-2</v>
      </c>
      <c r="T4807">
        <v>-0.15479289999999901</v>
      </c>
      <c r="U4807">
        <v>-3.054138</v>
      </c>
      <c r="V4807">
        <v>-3.1751750000000002E-2</v>
      </c>
      <c r="W4807">
        <v>0.15842999999999999</v>
      </c>
      <c r="X4807">
        <v>0.98685959999999995</v>
      </c>
      <c r="Y4807">
        <v>-3.9787349999999999E-2</v>
      </c>
      <c r="Z4807">
        <v>5.0581679999999997E-2</v>
      </c>
      <c r="AA4807">
        <v>0.99792709999999996</v>
      </c>
      <c r="AB4807">
        <v>32</v>
      </c>
      <c r="AC4807">
        <v>0.54910000000000903</v>
      </c>
      <c r="AD4807">
        <v>-1.1090993256119901</v>
      </c>
      <c r="AE4807">
        <v>-21.566700000000001</v>
      </c>
      <c r="AF4807">
        <v>-0.87010115007799504</v>
      </c>
      <c r="AG4807">
        <v>-1.1090993256119901</v>
      </c>
      <c r="AH4807">
        <v>21.499220919879601</v>
      </c>
      <c r="AI4807">
        <v>92.950738881323502</v>
      </c>
      <c r="AJ4807">
        <v>92.317569180369901</v>
      </c>
      <c r="AK4807">
        <v>21.5453864548127</v>
      </c>
      <c r="AL4807">
        <v>80.8842209524786</v>
      </c>
      <c r="AM4807">
        <v>91.842829412395901</v>
      </c>
      <c r="AN4807">
        <v>1.0000000543201</v>
      </c>
    </row>
    <row r="4808" spans="1:40" x14ac:dyDescent="0.25">
      <c r="A4808" t="str">
        <f>"20190312173027311"</f>
        <v>20190312173027311</v>
      </c>
      <c r="B4808" t="str">
        <f>"1552383027302854"</f>
        <v>1552383027302854</v>
      </c>
      <c r="C4808" t="s">
        <v>40</v>
      </c>
      <c r="D4808">
        <v>3.5362559999999998</v>
      </c>
      <c r="E4808">
        <v>0.49849389999999999</v>
      </c>
      <c r="F4808" t="s">
        <v>41</v>
      </c>
      <c r="G4808">
        <v>-422.57729999999998</v>
      </c>
      <c r="H4808" s="1">
        <v>-2.334996E-6</v>
      </c>
      <c r="I4808">
        <v>53.433549999999997</v>
      </c>
      <c r="J4808">
        <v>-423.1028</v>
      </c>
      <c r="K4808">
        <v>1.109105</v>
      </c>
      <c r="L4808">
        <v>74.670100000000005</v>
      </c>
      <c r="M4808">
        <v>-1.6081379999999999E-2</v>
      </c>
      <c r="N4808">
        <v>0</v>
      </c>
      <c r="O4808">
        <v>-0.99977640000000001</v>
      </c>
      <c r="P4808">
        <v>1.695199E-2</v>
      </c>
      <c r="Q4808">
        <v>0.1446703</v>
      </c>
      <c r="R4808">
        <v>-0.98933470000000001</v>
      </c>
      <c r="S4808">
        <v>7.3577879999999998E-2</v>
      </c>
      <c r="T4808">
        <v>-0.15708900000000001</v>
      </c>
      <c r="U4808">
        <v>-3.054138</v>
      </c>
      <c r="V4808">
        <v>-3.2495400000000001E-2</v>
      </c>
      <c r="W4808">
        <v>0.15831229999999999</v>
      </c>
      <c r="X4808">
        <v>0.98685429999999996</v>
      </c>
      <c r="Y4808">
        <v>-4.0127580000000003E-2</v>
      </c>
      <c r="Z4808">
        <v>5.1328819999999997E-2</v>
      </c>
      <c r="AA4808">
        <v>0.99787530000000002</v>
      </c>
      <c r="AB4808">
        <v>32</v>
      </c>
      <c r="AC4808">
        <v>0.52550000000002195</v>
      </c>
      <c r="AD4808">
        <v>-1.1091073349959999</v>
      </c>
      <c r="AE4808">
        <v>-21.236550000000001</v>
      </c>
      <c r="AF4808">
        <v>-0.86462037463805097</v>
      </c>
      <c r="AG4808">
        <v>-1.1091073349959999</v>
      </c>
      <c r="AH4808">
        <v>21.167650384159099</v>
      </c>
      <c r="AI4808">
        <v>92.996851776910006</v>
      </c>
      <c r="AJ4808">
        <v>92.339020831645101</v>
      </c>
      <c r="AK4808">
        <v>21.214313805984201</v>
      </c>
      <c r="AL4808">
        <v>80.891051027177497</v>
      </c>
      <c r="AM4808">
        <v>91.885969179903697</v>
      </c>
      <c r="AN4808">
        <v>1.0000000723904601</v>
      </c>
    </row>
    <row r="4809" spans="1:40" x14ac:dyDescent="0.25">
      <c r="A4809" t="str">
        <f>"20190312173027334"</f>
        <v>20190312173027334</v>
      </c>
      <c r="B4809" t="str">
        <f>"1552383027322371"</f>
        <v>1552383027322371</v>
      </c>
      <c r="C4809" t="s">
        <v>40</v>
      </c>
      <c r="D4809">
        <v>3.4722339999999998</v>
      </c>
      <c r="E4809">
        <v>0.49843690000000002</v>
      </c>
      <c r="F4809" t="s">
        <v>41</v>
      </c>
      <c r="G4809">
        <v>-422.58609999999999</v>
      </c>
      <c r="H4809" s="1">
        <v>-2.2538879999999998E-6</v>
      </c>
      <c r="I4809">
        <v>53.23903</v>
      </c>
      <c r="J4809">
        <v>-423.10910000000001</v>
      </c>
      <c r="K4809">
        <v>1.109116</v>
      </c>
      <c r="L4809">
        <v>74.349090000000004</v>
      </c>
      <c r="M4809">
        <v>-1.7142210000000001E-2</v>
      </c>
      <c r="N4809">
        <v>0</v>
      </c>
      <c r="O4809">
        <v>-0.99975899999999995</v>
      </c>
      <c r="P4809">
        <v>1.6475980000000001E-2</v>
      </c>
      <c r="Q4809">
        <v>0.14403060000000001</v>
      </c>
      <c r="R4809">
        <v>-0.98943619999999999</v>
      </c>
      <c r="S4809">
        <v>7.3638919999999997E-2</v>
      </c>
      <c r="T4809">
        <v>-0.1580617</v>
      </c>
      <c r="U4809">
        <v>-3.0541990000000001</v>
      </c>
      <c r="V4809">
        <v>-3.3074800000000001E-2</v>
      </c>
      <c r="W4809">
        <v>0.15767239999999999</v>
      </c>
      <c r="X4809">
        <v>0.98693739999999996</v>
      </c>
      <c r="Y4809">
        <v>-4.1206840000000002E-2</v>
      </c>
      <c r="Z4809">
        <v>5.1642279999999999E-2</v>
      </c>
      <c r="AA4809">
        <v>0.99781509999999995</v>
      </c>
      <c r="AB4809">
        <v>32</v>
      </c>
      <c r="AC4809">
        <v>0.523000000000024</v>
      </c>
      <c r="AD4809">
        <v>-1.109118253888</v>
      </c>
      <c r="AE4809">
        <v>-21.110060000000001</v>
      </c>
      <c r="AF4809">
        <v>-0.88239595659718795</v>
      </c>
      <c r="AG4809">
        <v>-1.109118253888</v>
      </c>
      <c r="AH4809">
        <v>21.0399476373486</v>
      </c>
      <c r="AI4809">
        <v>93.014901558436506</v>
      </c>
      <c r="AJ4809">
        <v>92.401524691066797</v>
      </c>
      <c r="AK4809">
        <v>21.0876305569805</v>
      </c>
      <c r="AL4809">
        <v>80.928180086710796</v>
      </c>
      <c r="AM4809">
        <v>91.919409973620205</v>
      </c>
      <c r="AN4809">
        <v>0.99999997981777899</v>
      </c>
    </row>
    <row r="4810" spans="1:40" x14ac:dyDescent="0.25">
      <c r="A4810" t="str">
        <f>"20190312173027356"</f>
        <v>20190312173027356</v>
      </c>
      <c r="B4810" t="str">
        <f>"1552383027352627"</f>
        <v>1552383027352627</v>
      </c>
      <c r="C4810" t="s">
        <v>40</v>
      </c>
      <c r="D4810">
        <v>3.4938120000000001</v>
      </c>
      <c r="E4810">
        <v>0.4983224</v>
      </c>
      <c r="F4810" t="s">
        <v>41</v>
      </c>
      <c r="G4810">
        <v>-422.61219999999997</v>
      </c>
      <c r="H4810" s="1">
        <v>-2.295741E-6</v>
      </c>
      <c r="I4810">
        <v>53.320399999999999</v>
      </c>
      <c r="J4810">
        <v>-423.11559999999997</v>
      </c>
      <c r="K4810">
        <v>1.1091260000000001</v>
      </c>
      <c r="L4810">
        <v>74.032839999999993</v>
      </c>
      <c r="M4810">
        <v>-1.8171369999999999E-2</v>
      </c>
      <c r="N4810">
        <v>0</v>
      </c>
      <c r="O4810">
        <v>-0.99974050000000003</v>
      </c>
      <c r="P4810">
        <v>1.6502760000000002E-2</v>
      </c>
      <c r="Q4810">
        <v>0.143589299999999</v>
      </c>
      <c r="R4810">
        <v>-0.98949969999999998</v>
      </c>
      <c r="S4810">
        <v>7.2174070000000007E-2</v>
      </c>
      <c r="T4810">
        <v>-0.16109279999999901</v>
      </c>
      <c r="U4810">
        <v>-3.0542910000000001</v>
      </c>
      <c r="V4810">
        <v>-3.4126199999999898E-2</v>
      </c>
      <c r="W4810">
        <v>0.1572307</v>
      </c>
      <c r="X4810">
        <v>0.98697210000000002</v>
      </c>
      <c r="Y4810">
        <v>-4.1755159999999999E-2</v>
      </c>
      <c r="Z4810">
        <v>5.2626550000000001E-2</v>
      </c>
      <c r="AA4810">
        <v>0.99774090000000004</v>
      </c>
      <c r="AB4810">
        <v>32</v>
      </c>
      <c r="AC4810">
        <v>0.50339999999999896</v>
      </c>
      <c r="AD4810">
        <v>-1.109128295741</v>
      </c>
      <c r="AE4810">
        <v>-20.712440000000001</v>
      </c>
      <c r="AF4810">
        <v>-0.877211893186293</v>
      </c>
      <c r="AG4810">
        <v>-1.109128295741</v>
      </c>
      <c r="AH4810">
        <v>20.640719134304799</v>
      </c>
      <c r="AI4810">
        <v>93.073059821978603</v>
      </c>
      <c r="AJ4810">
        <v>92.433554368762799</v>
      </c>
      <c r="AK4810">
        <v>20.6891022681802</v>
      </c>
      <c r="AL4810">
        <v>80.953807549110394</v>
      </c>
      <c r="AM4810">
        <v>91.980307830051004</v>
      </c>
      <c r="AN4810">
        <v>1.00000000836367</v>
      </c>
    </row>
    <row r="4811" spans="1:40" x14ac:dyDescent="0.25">
      <c r="A4811" t="str">
        <f>"20190312173027378"</f>
        <v>20190312173027378</v>
      </c>
      <c r="B4811" t="str">
        <f>"1552383027372146"</f>
        <v>1552383027372146</v>
      </c>
      <c r="C4811" t="s">
        <v>40</v>
      </c>
      <c r="D4811">
        <v>3.530233</v>
      </c>
      <c r="E4811">
        <v>0.49823590000000001</v>
      </c>
      <c r="F4811" t="s">
        <v>41</v>
      </c>
      <c r="G4811">
        <v>-422.6216</v>
      </c>
      <c r="H4811" s="1">
        <v>-2.3241330000000002E-6</v>
      </c>
      <c r="I4811">
        <v>53.380699999999997</v>
      </c>
      <c r="J4811">
        <v>-423.12279999999998</v>
      </c>
      <c r="K4811">
        <v>1.1091470000000001</v>
      </c>
      <c r="L4811">
        <v>73.700469999999996</v>
      </c>
      <c r="M4811">
        <v>-1.9227350000000001E-2</v>
      </c>
      <c r="N4811">
        <v>0</v>
      </c>
      <c r="O4811">
        <v>-0.99972079999999997</v>
      </c>
      <c r="P4811">
        <v>1.6619490000000001E-2</v>
      </c>
      <c r="Q4811">
        <v>0.14325570000000001</v>
      </c>
      <c r="R4811">
        <v>-0.98954629999999999</v>
      </c>
      <c r="S4811">
        <v>7.3059079999999998E-2</v>
      </c>
      <c r="T4811">
        <v>-0.16403960000000001</v>
      </c>
      <c r="U4811">
        <v>-3.054443</v>
      </c>
      <c r="V4811">
        <v>-3.529711E-2</v>
      </c>
      <c r="W4811">
        <v>0.15689639999999999</v>
      </c>
      <c r="X4811">
        <v>0.98698410000000003</v>
      </c>
      <c r="Y4811">
        <v>-4.3096990000000002E-2</v>
      </c>
      <c r="Z4811">
        <v>5.3580530000000001E-2</v>
      </c>
      <c r="AA4811">
        <v>0.99763310000000005</v>
      </c>
      <c r="AB4811">
        <v>32</v>
      </c>
      <c r="AC4811">
        <v>0.50119999999998299</v>
      </c>
      <c r="AD4811">
        <v>-1.1091493241329999</v>
      </c>
      <c r="AE4811">
        <v>-20.319769999999998</v>
      </c>
      <c r="AF4811">
        <v>-0.88919178255734499</v>
      </c>
      <c r="AG4811">
        <v>-1.1091493241329999</v>
      </c>
      <c r="AH4811">
        <v>20.2460888542319</v>
      </c>
      <c r="AI4811">
        <v>93.132708527367697</v>
      </c>
      <c r="AJ4811">
        <v>92.514768034730096</v>
      </c>
      <c r="AK4811">
        <v>20.295935261594799</v>
      </c>
      <c r="AL4811">
        <v>80.973202078117396</v>
      </c>
      <c r="AM4811">
        <v>92.048172723249195</v>
      </c>
      <c r="AN4811">
        <v>0.99999998998006101</v>
      </c>
    </row>
    <row r="4812" spans="1:40" x14ac:dyDescent="0.25">
      <c r="A4812" t="str">
        <f>"20190312173027401"</f>
        <v>20190312173027401</v>
      </c>
      <c r="B4812" t="str">
        <f>"1552383027392646"</f>
        <v>1552383027392646</v>
      </c>
      <c r="C4812" t="s">
        <v>40</v>
      </c>
      <c r="D4812">
        <v>3.4345859999999999</v>
      </c>
      <c r="E4812">
        <v>0.47496660000000002</v>
      </c>
      <c r="F4812" t="s">
        <v>41</v>
      </c>
      <c r="G4812">
        <v>-422.62599999999998</v>
      </c>
      <c r="H4812" s="1">
        <v>-2.2601019999999998E-6</v>
      </c>
      <c r="I4812">
        <v>53.228760000000001</v>
      </c>
      <c r="J4812">
        <v>-423.12990000000002</v>
      </c>
      <c r="K4812">
        <v>1.1091660000000001</v>
      </c>
      <c r="L4812">
        <v>73.387050000000002</v>
      </c>
      <c r="M4812">
        <v>-2.0189260000000001E-2</v>
      </c>
      <c r="N4812">
        <v>0</v>
      </c>
      <c r="O4812">
        <v>-0.99970210000000004</v>
      </c>
      <c r="P4812">
        <v>1.639906E-2</v>
      </c>
      <c r="Q4812">
        <v>0.14361099999999999</v>
      </c>
      <c r="R4812">
        <v>-0.98949849999999995</v>
      </c>
      <c r="S4812">
        <v>7.4127199999999893E-2</v>
      </c>
      <c r="T4812">
        <v>-0.16548679999999999</v>
      </c>
      <c r="U4812">
        <v>-3.0544129999999998</v>
      </c>
      <c r="V4812">
        <v>-3.6036310000000002E-2</v>
      </c>
      <c r="W4812">
        <v>0.15724769999999999</v>
      </c>
      <c r="X4812">
        <v>0.98690149999999999</v>
      </c>
      <c r="Y4812">
        <v>-4.4406519999999998E-2</v>
      </c>
      <c r="Z4812">
        <v>5.4049069999999998E-2</v>
      </c>
      <c r="AA4812">
        <v>0.99755039999999995</v>
      </c>
      <c r="AB4812">
        <v>32</v>
      </c>
      <c r="AC4812">
        <v>0.50390000000004398</v>
      </c>
      <c r="AD4812">
        <v>-1.1091682601019901</v>
      </c>
      <c r="AE4812">
        <v>-20.158290000000001</v>
      </c>
      <c r="AF4812">
        <v>-0.90806903143883999</v>
      </c>
      <c r="AG4812">
        <v>-1.1091682601019901</v>
      </c>
      <c r="AH4812">
        <v>20.083241648761</v>
      </c>
      <c r="AI4812">
        <v>93.157931355140903</v>
      </c>
      <c r="AJ4812">
        <v>92.588880385779206</v>
      </c>
      <c r="AK4812">
        <v>20.134334821831199</v>
      </c>
      <c r="AL4812">
        <v>80.952821291867394</v>
      </c>
      <c r="AM4812">
        <v>92.091203185559607</v>
      </c>
      <c r="AN4812">
        <v>1.00000001274797</v>
      </c>
    </row>
    <row r="4813" spans="1:40" x14ac:dyDescent="0.25">
      <c r="A4813" t="str">
        <f>"20190312173027423"</f>
        <v>20190312173027423</v>
      </c>
      <c r="B4813" t="str">
        <f>"1552383027412162"</f>
        <v>1552383027412162</v>
      </c>
      <c r="C4813" t="s">
        <v>40</v>
      </c>
      <c r="D4813">
        <v>3.4729709999999998</v>
      </c>
      <c r="E4813">
        <v>0.4730704</v>
      </c>
      <c r="F4813" t="s">
        <v>41</v>
      </c>
      <c r="G4813">
        <v>-421.67809999999997</v>
      </c>
      <c r="H4813" s="1">
        <v>-3.3381610000000001E-6</v>
      </c>
      <c r="I4813">
        <v>56.329650000000001</v>
      </c>
      <c r="J4813">
        <v>-423.13740000000001</v>
      </c>
      <c r="K4813">
        <v>1.1092010000000001</v>
      </c>
      <c r="L4813">
        <v>73.06232</v>
      </c>
      <c r="M4813">
        <v>-2.114183E-2</v>
      </c>
      <c r="N4813">
        <v>0</v>
      </c>
      <c r="O4813">
        <v>-0.99968239999999997</v>
      </c>
      <c r="P4813">
        <v>1.685029E-2</v>
      </c>
      <c r="Q4813">
        <v>0.1437032</v>
      </c>
      <c r="R4813">
        <v>-0.98947739999999995</v>
      </c>
      <c r="S4813">
        <v>0.26013180000000002</v>
      </c>
      <c r="T4813">
        <v>-0.19874230000000001</v>
      </c>
      <c r="U4813">
        <v>-3.0563660000000001</v>
      </c>
      <c r="V4813">
        <v>-3.7442330000000003E-2</v>
      </c>
      <c r="W4813">
        <v>0.1573367</v>
      </c>
      <c r="X4813">
        <v>0.98683489999999996</v>
      </c>
      <c r="Y4813">
        <v>-0.1056764</v>
      </c>
      <c r="Z4813">
        <v>6.4568940000000005E-2</v>
      </c>
      <c r="AA4813">
        <v>0.99230209999999996</v>
      </c>
      <c r="AB4813">
        <v>32</v>
      </c>
      <c r="AC4813">
        <v>1.45930000000004</v>
      </c>
      <c r="AD4813">
        <v>-1.1092043381609999</v>
      </c>
      <c r="AE4813">
        <v>-16.732669999999999</v>
      </c>
      <c r="AF4813">
        <v>-1.80489487716221</v>
      </c>
      <c r="AG4813">
        <v>-1.1092043381609999</v>
      </c>
      <c r="AH4813">
        <v>16.625567410675</v>
      </c>
      <c r="AI4813">
        <v>93.794703283909996</v>
      </c>
      <c r="AJ4813">
        <v>96.195845539069097</v>
      </c>
      <c r="AK4813">
        <v>16.759996166714899</v>
      </c>
      <c r="AL4813">
        <v>80.947657050817895</v>
      </c>
      <c r="AM4813">
        <v>92.172864916459801</v>
      </c>
      <c r="AN4813">
        <v>0.99999994255036195</v>
      </c>
    </row>
    <row r="4814" spans="1:40" x14ac:dyDescent="0.25">
      <c r="A4814" t="str">
        <f>"20190312173027446"</f>
        <v>20190312173027446</v>
      </c>
      <c r="B4814" t="str">
        <f>"1552383027432659"</f>
        <v>1552383027432659</v>
      </c>
      <c r="C4814" t="s">
        <v>40</v>
      </c>
      <c r="D4814">
        <v>3.506424</v>
      </c>
      <c r="E4814">
        <v>0.47199069999999999</v>
      </c>
      <c r="F4814" t="s">
        <v>41</v>
      </c>
      <c r="G4814">
        <v>-421.55180000000001</v>
      </c>
      <c r="H4814" s="1">
        <v>-2.9827549999999999E-6</v>
      </c>
      <c r="I4814">
        <v>55.57949</v>
      </c>
      <c r="J4814">
        <v>-423.14510000000001</v>
      </c>
      <c r="K4814">
        <v>1.10924</v>
      </c>
      <c r="L4814">
        <v>72.742519999999999</v>
      </c>
      <c r="M4814">
        <v>-2.20238E-2</v>
      </c>
      <c r="N4814">
        <v>0</v>
      </c>
      <c r="O4814">
        <v>-0.99966339999999998</v>
      </c>
      <c r="P4814">
        <v>1.7613299999999998E-2</v>
      </c>
      <c r="Q4814">
        <v>0.1436104</v>
      </c>
      <c r="R4814">
        <v>-0.98947770000000002</v>
      </c>
      <c r="S4814">
        <v>0.277099599999999</v>
      </c>
      <c r="T4814">
        <v>-0.1938463</v>
      </c>
      <c r="U4814">
        <v>-3.0553279999999998</v>
      </c>
      <c r="V4814">
        <v>-3.9093129999999997E-2</v>
      </c>
      <c r="W4814">
        <v>0.15724060000000001</v>
      </c>
      <c r="X4814">
        <v>0.98678619999999995</v>
      </c>
      <c r="Y4814">
        <v>-0.1120577</v>
      </c>
      <c r="Z4814">
        <v>6.2966850000000005E-2</v>
      </c>
      <c r="AA4814">
        <v>0.99170469999999999</v>
      </c>
      <c r="AB4814">
        <v>32</v>
      </c>
      <c r="AC4814">
        <v>1.5932999999999899</v>
      </c>
      <c r="AD4814">
        <v>-1.1092429827549899</v>
      </c>
      <c r="AE4814">
        <v>-17.163029999999999</v>
      </c>
      <c r="AF4814">
        <v>-1.9628155050563501</v>
      </c>
      <c r="AG4814">
        <v>-1.1092429827549899</v>
      </c>
      <c r="AH4814">
        <v>17.0531499051271</v>
      </c>
      <c r="AI4814">
        <v>93.697289322792997</v>
      </c>
      <c r="AJ4814">
        <v>96.565844335310899</v>
      </c>
      <c r="AK4814">
        <v>17.201540233026201</v>
      </c>
      <c r="AL4814">
        <v>80.953232569153499</v>
      </c>
      <c r="AM4814">
        <v>92.268678515046403</v>
      </c>
      <c r="AN4814">
        <v>0.99999994180599605</v>
      </c>
    </row>
    <row r="4815" spans="1:40" x14ac:dyDescent="0.25">
      <c r="A4815" t="str">
        <f>"20190312173027466"</f>
        <v>20190312173027466</v>
      </c>
      <c r="B4815" t="str">
        <f>"1552383027462918"</f>
        <v>1552383027462918</v>
      </c>
      <c r="C4815" t="s">
        <v>40</v>
      </c>
      <c r="D4815">
        <v>3.4826809999999999</v>
      </c>
      <c r="E4815">
        <v>0.47104980000000002</v>
      </c>
      <c r="F4815" t="s">
        <v>41</v>
      </c>
      <c r="G4815">
        <v>-421.50279999999998</v>
      </c>
      <c r="H4815" s="1">
        <v>-2.8444109999999999E-6</v>
      </c>
      <c r="I4815">
        <v>55.287439999999997</v>
      </c>
      <c r="J4815">
        <v>-423.15260000000001</v>
      </c>
      <c r="K4815">
        <v>1.109283</v>
      </c>
      <c r="L4815">
        <v>72.442779999999999</v>
      </c>
      <c r="M4815">
        <v>-2.2809869999999999E-2</v>
      </c>
      <c r="N4815">
        <v>0</v>
      </c>
      <c r="O4815">
        <v>-0.99964600000000003</v>
      </c>
      <c r="P4815">
        <v>1.884856E-2</v>
      </c>
      <c r="Q4815">
        <v>0.14386969999999999</v>
      </c>
      <c r="R4815">
        <v>-0.9894174</v>
      </c>
      <c r="S4815">
        <v>0.28744509999999901</v>
      </c>
      <c r="T4815">
        <v>-0.19413810000000001</v>
      </c>
      <c r="U4815">
        <v>-3.0549620000000002</v>
      </c>
      <c r="V4815">
        <v>-4.1117939999999999E-2</v>
      </c>
      <c r="W4815">
        <v>0.15749679999999999</v>
      </c>
      <c r="X4815">
        <v>0.98666310000000002</v>
      </c>
      <c r="Y4815">
        <v>-0.1161782</v>
      </c>
      <c r="Z4815">
        <v>6.3042290000000001E-2</v>
      </c>
      <c r="AA4815">
        <v>0.99122569999999999</v>
      </c>
      <c r="AB4815">
        <v>32</v>
      </c>
      <c r="AC4815">
        <v>1.6498000000000199</v>
      </c>
      <c r="AD4815">
        <v>-1.1092858444110001</v>
      </c>
      <c r="AE4815">
        <v>-17.155339999999899</v>
      </c>
      <c r="AF4815">
        <v>-2.0322991220847402</v>
      </c>
      <c r="AG4815">
        <v>-1.1092858444110001</v>
      </c>
      <c r="AH4815">
        <v>17.042636821440301</v>
      </c>
      <c r="AI4815">
        <v>93.6979377847221</v>
      </c>
      <c r="AJ4815">
        <v>96.8002907632372</v>
      </c>
      <c r="AK4815">
        <v>17.1991925576101</v>
      </c>
      <c r="AL4815">
        <v>80.938368709333801</v>
      </c>
      <c r="AM4815">
        <v>92.386348513258696</v>
      </c>
      <c r="AN4815">
        <v>0.99999999995084599</v>
      </c>
    </row>
    <row r="4816" spans="1:40" x14ac:dyDescent="0.25">
      <c r="A4816" t="str">
        <f>"20190312173027490"</f>
        <v>20190312173027490</v>
      </c>
      <c r="B4816" t="str">
        <f>"1552383027482434"</f>
        <v>1552383027482434</v>
      </c>
      <c r="C4816" t="s">
        <v>40</v>
      </c>
      <c r="D4816">
        <v>3.4695</v>
      </c>
      <c r="E4816">
        <v>0.4707248</v>
      </c>
      <c r="F4816" t="s">
        <v>41</v>
      </c>
      <c r="G4816">
        <v>-421.43680000000001</v>
      </c>
      <c r="H4816" s="1">
        <v>-2.6491779999999998E-6</v>
      </c>
      <c r="I4816">
        <v>54.873289999999997</v>
      </c>
      <c r="J4816">
        <v>-423.16109999999998</v>
      </c>
      <c r="K4816">
        <v>1.109329</v>
      </c>
      <c r="L4816">
        <v>72.111540000000005</v>
      </c>
      <c r="M4816">
        <v>-2.3625130000000001E-2</v>
      </c>
      <c r="N4816">
        <v>0</v>
      </c>
      <c r="O4816">
        <v>-0.99962700000000004</v>
      </c>
      <c r="P4816">
        <v>1.9729139999999999E-2</v>
      </c>
      <c r="Q4816">
        <v>0.1438981</v>
      </c>
      <c r="R4816">
        <v>-0.9893961</v>
      </c>
      <c r="S4816">
        <v>0.2983093</v>
      </c>
      <c r="T4816">
        <v>-0.19285040000000001</v>
      </c>
      <c r="U4816">
        <v>-3.0544739999999999</v>
      </c>
      <c r="V4816">
        <v>-4.2819910000000003E-2</v>
      </c>
      <c r="W4816">
        <v>0.1575203</v>
      </c>
      <c r="X4816">
        <v>0.98658690000000004</v>
      </c>
      <c r="Y4816">
        <v>-0.12049799999999999</v>
      </c>
      <c r="Z4816">
        <v>6.2607189999999993E-2</v>
      </c>
      <c r="AA4816">
        <v>0.99073739999999999</v>
      </c>
      <c r="AB4816">
        <v>32</v>
      </c>
      <c r="AC4816">
        <v>1.72429999999997</v>
      </c>
      <c r="AD4816">
        <v>-1.1093316491779901</v>
      </c>
      <c r="AE4816">
        <v>-17.238250000000001</v>
      </c>
      <c r="AF4816">
        <v>-2.1224103022110898</v>
      </c>
      <c r="AG4816">
        <v>-1.1093316491779901</v>
      </c>
      <c r="AH4816">
        <v>17.122490178170601</v>
      </c>
      <c r="AI4816">
        <v>93.678821285690901</v>
      </c>
      <c r="AJ4816">
        <v>97.066029578023503</v>
      </c>
      <c r="AK4816">
        <v>17.289155910580199</v>
      </c>
      <c r="AL4816">
        <v>80.937004786561104</v>
      </c>
      <c r="AM4816">
        <v>92.485195514794</v>
      </c>
      <c r="AN4816">
        <v>0.99999995042805201</v>
      </c>
    </row>
    <row r="4817" spans="1:40" x14ac:dyDescent="0.25">
      <c r="A4817" t="str">
        <f>"20190312173027512"</f>
        <v>20190312173027512</v>
      </c>
      <c r="B4817" t="str">
        <f>"1552383027502931"</f>
        <v>1552383027502931</v>
      </c>
      <c r="C4817" t="s">
        <v>40</v>
      </c>
      <c r="D4817">
        <v>3.4327580000000002</v>
      </c>
      <c r="E4817">
        <v>0.47034759999999998</v>
      </c>
      <c r="F4817" t="s">
        <v>41</v>
      </c>
      <c r="G4817">
        <v>-421.41019999999997</v>
      </c>
      <c r="H4817" s="1">
        <v>-2.4618509999999998E-6</v>
      </c>
      <c r="I4817">
        <v>54.453130000000002</v>
      </c>
      <c r="J4817">
        <v>-423.16930000000002</v>
      </c>
      <c r="K4817">
        <v>1.109378</v>
      </c>
      <c r="L4817">
        <v>71.799040000000005</v>
      </c>
      <c r="M4817">
        <v>-2.4340649999999998E-2</v>
      </c>
      <c r="N4817">
        <v>0</v>
      </c>
      <c r="O4817">
        <v>-0.99960990000000005</v>
      </c>
      <c r="P4817">
        <v>2.0180770000000001E-2</v>
      </c>
      <c r="Q4817">
        <v>0.14468610000000001</v>
      </c>
      <c r="R4817">
        <v>-0.98927189999999998</v>
      </c>
      <c r="S4817">
        <v>0.30282589999999998</v>
      </c>
      <c r="T4817">
        <v>-0.19185840000000001</v>
      </c>
      <c r="U4817">
        <v>-3.0540159999999998</v>
      </c>
      <c r="V4817">
        <v>-4.3990420000000002E-2</v>
      </c>
      <c r="W4817">
        <v>0.15830139999999901</v>
      </c>
      <c r="X4817">
        <v>0.98641040000000002</v>
      </c>
      <c r="Y4817">
        <v>-0.1226759</v>
      </c>
      <c r="Z4817">
        <v>6.2281259999999998E-2</v>
      </c>
      <c r="AA4817">
        <v>0.9904906</v>
      </c>
      <c r="AB4817">
        <v>32</v>
      </c>
      <c r="AC4817">
        <v>1.7591000000000401</v>
      </c>
      <c r="AD4817">
        <v>-1.1093804618509999</v>
      </c>
      <c r="AE4817">
        <v>-17.34591</v>
      </c>
      <c r="AF4817">
        <v>-2.1720349791578202</v>
      </c>
      <c r="AG4817">
        <v>-1.1093804618509999</v>
      </c>
      <c r="AH4817">
        <v>17.2281951766495</v>
      </c>
      <c r="AI4817">
        <v>93.655520035326603</v>
      </c>
      <c r="AJ4817">
        <v>97.185621837058903</v>
      </c>
      <c r="AK4817">
        <v>17.3999761495397</v>
      </c>
      <c r="AL4817">
        <v>80.891682712837493</v>
      </c>
      <c r="AM4817">
        <v>92.553497466982805</v>
      </c>
      <c r="AN4817">
        <v>0.99999998376094801</v>
      </c>
    </row>
    <row r="4818" spans="1:40" x14ac:dyDescent="0.25">
      <c r="A4818" t="str">
        <f>"20190312173027534"</f>
        <v>20190312173027534</v>
      </c>
      <c r="B4818" t="str">
        <f>"1552383027522451"</f>
        <v>1552383027522451</v>
      </c>
      <c r="C4818" t="s">
        <v>40</v>
      </c>
      <c r="D4818">
        <v>3.5063460000000002</v>
      </c>
      <c r="E4818">
        <v>0.47014129999999899</v>
      </c>
      <c r="F4818" t="s">
        <v>41</v>
      </c>
      <c r="G4818">
        <v>-421.3519</v>
      </c>
      <c r="H4818" s="1">
        <v>-2.1341430000000002E-6</v>
      </c>
      <c r="I4818">
        <v>53.725369999999998</v>
      </c>
      <c r="J4818">
        <v>-423.17779999999999</v>
      </c>
      <c r="K4818">
        <v>1.109434</v>
      </c>
      <c r="L4818">
        <v>71.482849999999999</v>
      </c>
      <c r="M4818">
        <v>-2.500807E-2</v>
      </c>
      <c r="N4818">
        <v>0</v>
      </c>
      <c r="O4818">
        <v>-0.99959350000000002</v>
      </c>
      <c r="P4818">
        <v>2.137261E-2</v>
      </c>
      <c r="Q4818">
        <v>0.14537549999999999</v>
      </c>
      <c r="R4818">
        <v>-0.98914610000000003</v>
      </c>
      <c r="S4818">
        <v>0.3070679</v>
      </c>
      <c r="T4818">
        <v>-0.18743789999999999</v>
      </c>
      <c r="U4818">
        <v>-3.0536799999999999</v>
      </c>
      <c r="V4818">
        <v>-4.5855380000000001E-2</v>
      </c>
      <c r="W4818">
        <v>0.15898370000000001</v>
      </c>
      <c r="X4818">
        <v>0.98621570000000003</v>
      </c>
      <c r="Y4818">
        <v>-0.1247201</v>
      </c>
      <c r="Z4818">
        <v>6.0844830000000003E-2</v>
      </c>
      <c r="AA4818">
        <v>0.9903246</v>
      </c>
      <c r="AB4818">
        <v>32</v>
      </c>
      <c r="AC4818">
        <v>1.8258999999999801</v>
      </c>
      <c r="AD4818">
        <v>-1.1094361341429999</v>
      </c>
      <c r="AE4818">
        <v>-17.757479999999902</v>
      </c>
      <c r="AF4818">
        <v>-2.26071862442208</v>
      </c>
      <c r="AG4818">
        <v>-1.1094361341429999</v>
      </c>
      <c r="AH4818">
        <v>17.638130585141202</v>
      </c>
      <c r="AI4818">
        <v>93.570027059441102</v>
      </c>
      <c r="AJ4818">
        <v>97.303905379390599</v>
      </c>
      <c r="AK4818">
        <v>17.8169960367354</v>
      </c>
      <c r="AL4818">
        <v>80.852088253173306</v>
      </c>
      <c r="AM4818">
        <v>92.662124375873901</v>
      </c>
      <c r="AN4818">
        <v>0.99999996983356099</v>
      </c>
    </row>
    <row r="4819" spans="1:40" x14ac:dyDescent="0.25">
      <c r="A4819" t="str">
        <f>"20190312173027556"</f>
        <v>20190312173027556</v>
      </c>
      <c r="B4819" t="str">
        <f>"1552383027552706"</f>
        <v>1552383027552706</v>
      </c>
      <c r="C4819" t="s">
        <v>40</v>
      </c>
      <c r="D4819">
        <v>3.4366919999999999</v>
      </c>
      <c r="E4819">
        <v>0.4697981</v>
      </c>
      <c r="F4819" t="s">
        <v>41</v>
      </c>
      <c r="G4819">
        <v>-421.3186</v>
      </c>
      <c r="H4819" s="1">
        <v>-1.9224710000000001E-6</v>
      </c>
      <c r="I4819">
        <v>53.252600000000001</v>
      </c>
      <c r="J4819">
        <v>-423.18619999999999</v>
      </c>
      <c r="K4819">
        <v>1.109491</v>
      </c>
      <c r="L4819">
        <v>71.171599999999998</v>
      </c>
      <c r="M4819">
        <v>-2.560221E-2</v>
      </c>
      <c r="N4819">
        <v>0</v>
      </c>
      <c r="O4819">
        <v>-0.99957839999999998</v>
      </c>
      <c r="P4819">
        <v>2.2260220000000001E-2</v>
      </c>
      <c r="Q4819">
        <v>0.14558289999999999</v>
      </c>
      <c r="R4819">
        <v>-0.98909590000000003</v>
      </c>
      <c r="S4819">
        <v>0.31140139999999999</v>
      </c>
      <c r="T4819">
        <v>-0.1858262</v>
      </c>
      <c r="U4819">
        <v>-3.0534970000000001</v>
      </c>
      <c r="V4819">
        <v>-4.7348759999999997E-2</v>
      </c>
      <c r="W4819">
        <v>0.1591842</v>
      </c>
      <c r="X4819">
        <v>0.98611280000000001</v>
      </c>
      <c r="Y4819">
        <v>-0.12670989999999999</v>
      </c>
      <c r="Z4819">
        <v>6.0313859999999997E-2</v>
      </c>
      <c r="AA4819">
        <v>0.9901044</v>
      </c>
      <c r="AB4819">
        <v>32</v>
      </c>
      <c r="AC4819">
        <v>1.8675999999999799</v>
      </c>
      <c r="AD4819">
        <v>-1.109492922471</v>
      </c>
      <c r="AE4819">
        <v>-17.918999999999901</v>
      </c>
      <c r="AF4819">
        <v>-2.31700939765184</v>
      </c>
      <c r="AG4819">
        <v>-1.109492922471</v>
      </c>
      <c r="AH4819">
        <v>17.7978072853698</v>
      </c>
      <c r="AI4819">
        <v>93.537357692132304</v>
      </c>
      <c r="AJ4819">
        <v>97.417341318917096</v>
      </c>
      <c r="AK4819">
        <v>17.982253787025201</v>
      </c>
      <c r="AL4819">
        <v>80.840452400543995</v>
      </c>
      <c r="AM4819">
        <v>92.7489777500424</v>
      </c>
      <c r="AN4819">
        <v>0.99999998446350802</v>
      </c>
    </row>
    <row r="4820" spans="1:40" x14ac:dyDescent="0.25">
      <c r="A4820" t="str">
        <f>"20190312173027580"</f>
        <v>20190312173027580</v>
      </c>
      <c r="B4820" t="str">
        <f>"1552383027573203"</f>
        <v>1552383027573203</v>
      </c>
      <c r="C4820" t="s">
        <v>40</v>
      </c>
      <c r="D4820">
        <v>3.4431609999999999</v>
      </c>
      <c r="E4820">
        <v>0.46957500000000002</v>
      </c>
      <c r="F4820" t="s">
        <v>41</v>
      </c>
      <c r="G4820">
        <v>-421.30619999999999</v>
      </c>
      <c r="H4820" s="1">
        <v>-1.823854E-6</v>
      </c>
      <c r="I4820">
        <v>53.0304</v>
      </c>
      <c r="J4820">
        <v>-423.19529999999997</v>
      </c>
      <c r="K4820">
        <v>1.109559</v>
      </c>
      <c r="L4820">
        <v>70.841890000000006</v>
      </c>
      <c r="M4820">
        <v>-2.6152999999999999E-2</v>
      </c>
      <c r="N4820">
        <v>0</v>
      </c>
      <c r="O4820">
        <v>-0.99956429999999996</v>
      </c>
      <c r="P4820">
        <v>2.3024659999999999E-2</v>
      </c>
      <c r="Q4820">
        <v>0.14598159999999999</v>
      </c>
      <c r="R4820">
        <v>-0.98901950000000005</v>
      </c>
      <c r="S4820">
        <v>0.31643680000000002</v>
      </c>
      <c r="T4820">
        <v>-0.1867443</v>
      </c>
      <c r="U4820">
        <v>-3.053436</v>
      </c>
      <c r="V4820">
        <v>-4.867962E-2</v>
      </c>
      <c r="W4820">
        <v>0.15957299999999999</v>
      </c>
      <c r="X4820">
        <v>0.98598520000000001</v>
      </c>
      <c r="Y4820">
        <v>-0.12887209999999999</v>
      </c>
      <c r="Z4820">
        <v>6.0597110000000003E-2</v>
      </c>
      <c r="AA4820">
        <v>0.98980800000000002</v>
      </c>
      <c r="AB4820">
        <v>32</v>
      </c>
      <c r="AC4820">
        <v>1.88909999999998</v>
      </c>
      <c r="AD4820">
        <v>-1.109560823854</v>
      </c>
      <c r="AE4820">
        <v>-17.811489999999999</v>
      </c>
      <c r="AF4820">
        <v>-2.3453211559151899</v>
      </c>
      <c r="AG4820">
        <v>-1.109560823854</v>
      </c>
      <c r="AH4820">
        <v>17.688108832344199</v>
      </c>
      <c r="AI4820">
        <v>93.558352763094504</v>
      </c>
      <c r="AJ4820">
        <v>97.552967827001794</v>
      </c>
      <c r="AK4820">
        <v>17.877383774229099</v>
      </c>
      <c r="AL4820">
        <v>80.817887796803106</v>
      </c>
      <c r="AM4820">
        <v>92.826486505745805</v>
      </c>
      <c r="AN4820">
        <v>1.00000003117569</v>
      </c>
    </row>
    <row r="4821" spans="1:40" x14ac:dyDescent="0.25">
      <c r="A4821" t="str">
        <f>"20190312173027601"</f>
        <v>20190312173027601</v>
      </c>
      <c r="B4821" t="str">
        <f>"1552383027592726"</f>
        <v>1552383027592726</v>
      </c>
      <c r="C4821" t="s">
        <v>40</v>
      </c>
      <c r="D4821">
        <v>3.3916219999999999</v>
      </c>
      <c r="E4821">
        <v>0.46935789999999999</v>
      </c>
      <c r="F4821" t="s">
        <v>41</v>
      </c>
      <c r="G4821">
        <v>-421.30029999999999</v>
      </c>
      <c r="H4821" s="1">
        <v>-1.7024969999999999E-6</v>
      </c>
      <c r="I4821">
        <v>52.751170000000002</v>
      </c>
      <c r="J4821">
        <v>-423.20389999999998</v>
      </c>
      <c r="K4821">
        <v>1.1096360000000001</v>
      </c>
      <c r="L4821">
        <v>70.532380000000003</v>
      </c>
      <c r="M4821">
        <v>-2.6578850000000001E-2</v>
      </c>
      <c r="N4821">
        <v>0</v>
      </c>
      <c r="O4821">
        <v>-0.99955289999999997</v>
      </c>
      <c r="P4821">
        <v>2.3251230000000001E-2</v>
      </c>
      <c r="Q4821">
        <v>0.1469097</v>
      </c>
      <c r="R4821">
        <v>-0.98887689999999995</v>
      </c>
      <c r="S4821">
        <v>0.31985469999999999</v>
      </c>
      <c r="T4821">
        <v>-0.18728049999999999</v>
      </c>
      <c r="U4821">
        <v>-3.0534970000000001</v>
      </c>
      <c r="V4821">
        <v>-4.9350150000000002E-2</v>
      </c>
      <c r="W4821">
        <v>0.16048799999999999</v>
      </c>
      <c r="X4821">
        <v>0.98580330000000005</v>
      </c>
      <c r="Y4821">
        <v>-0.13038739999999999</v>
      </c>
      <c r="Z4821">
        <v>6.0758670000000001E-2</v>
      </c>
      <c r="AA4821">
        <v>0.98959960000000002</v>
      </c>
      <c r="AB4821">
        <v>32</v>
      </c>
      <c r="AC4821">
        <v>1.90359999999998</v>
      </c>
      <c r="AD4821">
        <v>-1.1096377024969999</v>
      </c>
      <c r="AE4821">
        <v>-17.781210000000002</v>
      </c>
      <c r="AF4821">
        <v>-2.3664642978748098</v>
      </c>
      <c r="AG4821">
        <v>-1.1096377024969999</v>
      </c>
      <c r="AH4821">
        <v>17.656345229683499</v>
      </c>
      <c r="AI4821">
        <v>93.564315309737395</v>
      </c>
      <c r="AJ4821">
        <v>97.633808720136599</v>
      </c>
      <c r="AK4821">
        <v>17.848752784821901</v>
      </c>
      <c r="AL4821">
        <v>80.764777303236002</v>
      </c>
      <c r="AM4821">
        <v>92.865882903792496</v>
      </c>
      <c r="AN4821">
        <v>0.99999999086995595</v>
      </c>
    </row>
    <row r="4822" spans="1:40" x14ac:dyDescent="0.25">
      <c r="A4822" t="str">
        <f>"20190312173027624"</f>
        <v>20190312173027624</v>
      </c>
      <c r="B4822" t="str">
        <f>"1552383027613219"</f>
        <v>1552383027613219</v>
      </c>
      <c r="C4822" t="s">
        <v>40</v>
      </c>
      <c r="D4822">
        <v>3.405697</v>
      </c>
      <c r="E4822">
        <v>0.46922520000000001</v>
      </c>
      <c r="F4822" t="s">
        <v>41</v>
      </c>
      <c r="G4822">
        <v>-421.27330000000001</v>
      </c>
      <c r="H4822" s="1">
        <v>-1.4945480000000001E-6</v>
      </c>
      <c r="I4822">
        <v>52.283169999999998</v>
      </c>
      <c r="J4822">
        <v>-423.21280000000002</v>
      </c>
      <c r="K4822">
        <v>1.109729</v>
      </c>
      <c r="L4822">
        <v>70.212950000000006</v>
      </c>
      <c r="M4822">
        <v>-2.6902570000000001E-2</v>
      </c>
      <c r="N4822">
        <v>0</v>
      </c>
      <c r="O4822">
        <v>-0.9995444</v>
      </c>
      <c r="P4822">
        <v>2.3906469999999999E-2</v>
      </c>
      <c r="Q4822">
        <v>0.14740059999999999</v>
      </c>
      <c r="R4822">
        <v>-0.98878820000000001</v>
      </c>
      <c r="S4822">
        <v>0.32305909999999999</v>
      </c>
      <c r="T4822">
        <v>-0.18568180000000001</v>
      </c>
      <c r="U4822">
        <v>-3.053741</v>
      </c>
      <c r="V4822">
        <v>-5.03568E-2</v>
      </c>
      <c r="W4822">
        <v>0.16096529999999901</v>
      </c>
      <c r="X4822">
        <v>0.98567459999999996</v>
      </c>
      <c r="Y4822">
        <v>-0.1317306</v>
      </c>
      <c r="Z4822">
        <v>6.0227700000000002E-2</v>
      </c>
      <c r="AA4822">
        <v>0.98945419999999995</v>
      </c>
      <c r="AB4822">
        <v>32</v>
      </c>
      <c r="AC4822">
        <v>1.9395</v>
      </c>
      <c r="AD4822">
        <v>-1.109730494548</v>
      </c>
      <c r="AE4822">
        <v>-17.929780000000001</v>
      </c>
      <c r="AF4822">
        <v>-2.4120670291577802</v>
      </c>
      <c r="AG4822">
        <v>-1.109730494548</v>
      </c>
      <c r="AH4822">
        <v>17.8036939704015</v>
      </c>
      <c r="AI4822">
        <v>93.534508264655599</v>
      </c>
      <c r="AJ4822">
        <v>97.715527096750407</v>
      </c>
      <c r="AK4822">
        <v>18.0005857714517</v>
      </c>
      <c r="AL4822">
        <v>80.737070129924703</v>
      </c>
      <c r="AM4822">
        <v>92.924622214896004</v>
      </c>
      <c r="AN4822">
        <v>1.00000002609774</v>
      </c>
    </row>
    <row r="4823" spans="1:40" x14ac:dyDescent="0.25">
      <c r="A4823" t="str">
        <f>"20190312173027647"</f>
        <v>20190312173027647</v>
      </c>
      <c r="B4823" t="str">
        <f>"1552383027642499"</f>
        <v>1552383027642499</v>
      </c>
      <c r="C4823" t="s">
        <v>40</v>
      </c>
      <c r="D4823">
        <v>3.393856</v>
      </c>
      <c r="E4823">
        <v>0.46901009999999999</v>
      </c>
      <c r="F4823" t="s">
        <v>41</v>
      </c>
      <c r="G4823">
        <v>-421.26069999999999</v>
      </c>
      <c r="H4823" s="1">
        <v>-1.3519140000000001E-6</v>
      </c>
      <c r="I4823">
        <v>51.95852</v>
      </c>
      <c r="J4823">
        <v>-423.22179999999997</v>
      </c>
      <c r="K4823">
        <v>1.10982</v>
      </c>
      <c r="L4823">
        <v>69.893919999999994</v>
      </c>
      <c r="M4823">
        <v>-2.7099700000000001E-2</v>
      </c>
      <c r="N4823">
        <v>0</v>
      </c>
      <c r="O4823">
        <v>-0.99953899999999996</v>
      </c>
      <c r="P4823">
        <v>2.4579779999999999E-2</v>
      </c>
      <c r="Q4823">
        <v>0.1469753</v>
      </c>
      <c r="R4823">
        <v>-0.98883500000000002</v>
      </c>
      <c r="S4823">
        <v>0.32656859999999999</v>
      </c>
      <c r="T4823">
        <v>-0.18564610000000001</v>
      </c>
      <c r="U4823">
        <v>-3.0537719999999999</v>
      </c>
      <c r="V4823">
        <v>-5.1263839999999998E-2</v>
      </c>
      <c r="W4823">
        <v>0.16052759999999999</v>
      </c>
      <c r="X4823">
        <v>0.9856992</v>
      </c>
      <c r="Y4823">
        <v>-0.13304949999999999</v>
      </c>
      <c r="Z4823">
        <v>6.0206089999999997E-2</v>
      </c>
      <c r="AA4823">
        <v>0.98927909999999997</v>
      </c>
      <c r="AB4823">
        <v>32</v>
      </c>
      <c r="AC4823">
        <v>1.9610999999999801</v>
      </c>
      <c r="AD4823">
        <v>-1.1098213519140001</v>
      </c>
      <c r="AE4823">
        <v>-17.935399999999898</v>
      </c>
      <c r="AF4823">
        <v>-2.4372471942653098</v>
      </c>
      <c r="AG4823">
        <v>-1.1098213519140001</v>
      </c>
      <c r="AH4823">
        <v>17.808279444942499</v>
      </c>
      <c r="AI4823">
        <v>93.533239205871993</v>
      </c>
      <c r="AJ4823">
        <v>97.793103690767694</v>
      </c>
      <c r="AK4823">
        <v>18.0085172656796</v>
      </c>
      <c r="AL4823">
        <v>80.762478692701293</v>
      </c>
      <c r="AM4823">
        <v>92.977133178470595</v>
      </c>
      <c r="AN4823">
        <v>1.0000000022669699</v>
      </c>
    </row>
    <row r="4824" spans="1:40" x14ac:dyDescent="0.25">
      <c r="A4824" t="str">
        <f>"20190312173027668"</f>
        <v>20190312173027668</v>
      </c>
      <c r="B4824" t="str">
        <f>"1552383027662998"</f>
        <v>1552383027662998</v>
      </c>
      <c r="C4824" t="s">
        <v>40</v>
      </c>
      <c r="D4824">
        <v>3.4939830000000001</v>
      </c>
      <c r="E4824">
        <v>0.46888269999999999</v>
      </c>
      <c r="F4824" t="s">
        <v>41</v>
      </c>
      <c r="G4824">
        <v>-421.2842</v>
      </c>
      <c r="H4824" s="1">
        <v>-1.358537E-6</v>
      </c>
      <c r="I4824">
        <v>51.959409999999998</v>
      </c>
      <c r="J4824">
        <v>-423.23050000000001</v>
      </c>
      <c r="K4824">
        <v>1.109912</v>
      </c>
      <c r="L4824">
        <v>69.576509999999999</v>
      </c>
      <c r="M4824">
        <v>-2.7195509999999999E-2</v>
      </c>
      <c r="N4824">
        <v>0</v>
      </c>
      <c r="O4824">
        <v>-0.9995366</v>
      </c>
      <c r="P4824">
        <v>2.532148E-2</v>
      </c>
      <c r="Q4824">
        <v>0.14682799999999999</v>
      </c>
      <c r="R4824">
        <v>-0.98883829999999995</v>
      </c>
      <c r="S4824">
        <v>0.32992549999999998</v>
      </c>
      <c r="T4824">
        <v>-0.1889731</v>
      </c>
      <c r="U4824">
        <v>-3.0537719999999999</v>
      </c>
      <c r="V4824">
        <v>-5.21352E-2</v>
      </c>
      <c r="W4824">
        <v>0.16036710000000001</v>
      </c>
      <c r="X4824">
        <v>0.98567959999999999</v>
      </c>
      <c r="Y4824">
        <v>-0.13421240000000001</v>
      </c>
      <c r="Z4824">
        <v>6.1272350000000003E-2</v>
      </c>
      <c r="AA4824">
        <v>0.98905650000000001</v>
      </c>
      <c r="AB4824">
        <v>32</v>
      </c>
      <c r="AC4824">
        <v>1.9462999999999999</v>
      </c>
      <c r="AD4824">
        <v>-1.109913358537</v>
      </c>
      <c r="AE4824">
        <v>-17.617100000000001</v>
      </c>
      <c r="AF4824">
        <v>-2.4152596249567102</v>
      </c>
      <c r="AG4824">
        <v>-1.109913358537</v>
      </c>
      <c r="AH4824">
        <v>17.489065689901501</v>
      </c>
      <c r="AI4824">
        <v>93.597257449744205</v>
      </c>
      <c r="AJ4824">
        <v>97.862876533965803</v>
      </c>
      <c r="AK4824">
        <v>17.689906880057201</v>
      </c>
      <c r="AL4824">
        <v>80.771795159738105</v>
      </c>
      <c r="AM4824">
        <v>93.027703894430701</v>
      </c>
      <c r="AN4824">
        <v>0.99999997984880395</v>
      </c>
    </row>
    <row r="4825" spans="1:40" x14ac:dyDescent="0.25">
      <c r="A4825" t="str">
        <f>"20190312173027691"</f>
        <v>20190312173027691</v>
      </c>
      <c r="B4825" t="str">
        <f>"1552383027682530"</f>
        <v>1552383027682530</v>
      </c>
      <c r="C4825" t="s">
        <v>40</v>
      </c>
      <c r="D4825">
        <v>3.3862580000000002</v>
      </c>
      <c r="E4825">
        <v>0.46883409999999898</v>
      </c>
      <c r="F4825" t="s">
        <v>41</v>
      </c>
      <c r="G4825">
        <v>-421.29390000000001</v>
      </c>
      <c r="H4825" s="1">
        <v>-1.2973099999999999E-6</v>
      </c>
      <c r="I4825">
        <v>51.810679999999998</v>
      </c>
      <c r="J4825">
        <v>-423.2389</v>
      </c>
      <c r="K4825">
        <v>1.109999</v>
      </c>
      <c r="L4825">
        <v>69.270719999999997</v>
      </c>
      <c r="M4825">
        <v>-2.717081E-2</v>
      </c>
      <c r="N4825">
        <v>0</v>
      </c>
      <c r="O4825">
        <v>-0.99953700000000001</v>
      </c>
      <c r="P4825">
        <v>2.506015E-2</v>
      </c>
      <c r="Q4825">
        <v>0.14752660000000001</v>
      </c>
      <c r="R4825">
        <v>-0.98874039999999996</v>
      </c>
      <c r="S4825">
        <v>0.33288570000000001</v>
      </c>
      <c r="T4825">
        <v>-0.19077749999999999</v>
      </c>
      <c r="U4825">
        <v>-3.0536799999999999</v>
      </c>
      <c r="V4825">
        <v>-5.1882110000000002E-2</v>
      </c>
      <c r="W4825">
        <v>0.16105139999999901</v>
      </c>
      <c r="X4825">
        <v>0.98558140000000005</v>
      </c>
      <c r="Y4825">
        <v>-0.1351348</v>
      </c>
      <c r="Z4825">
        <v>6.1849969999999997E-2</v>
      </c>
      <c r="AA4825">
        <v>0.98889490000000002</v>
      </c>
      <c r="AB4825">
        <v>32</v>
      </c>
      <c r="AC4825">
        <v>1.9449999999999901</v>
      </c>
      <c r="AD4825">
        <v>-1.1100002973100001</v>
      </c>
      <c r="AE4825">
        <v>-17.460039999999999</v>
      </c>
      <c r="AF4825">
        <v>-2.4091123238418501</v>
      </c>
      <c r="AG4825">
        <v>-1.1100002973100001</v>
      </c>
      <c r="AH4825">
        <v>17.3315514621438</v>
      </c>
      <c r="AI4825">
        <v>93.629703801068004</v>
      </c>
      <c r="AJ4825">
        <v>97.913494823626493</v>
      </c>
      <c r="AK4825">
        <v>17.533356750315999</v>
      </c>
      <c r="AL4825">
        <v>80.732071518907404</v>
      </c>
      <c r="AM4825">
        <v>93.013332728472903</v>
      </c>
      <c r="AN4825">
        <v>1.00000000140298</v>
      </c>
    </row>
    <row r="4826" spans="1:40" x14ac:dyDescent="0.25">
      <c r="A4826" t="str">
        <f>"20190312173027712"</f>
        <v>20190312173027712</v>
      </c>
      <c r="B4826" t="str">
        <f>"1552383027703011"</f>
        <v>1552383027703011</v>
      </c>
      <c r="C4826" t="s">
        <v>40</v>
      </c>
      <c r="D4826">
        <v>3.3422290000000001</v>
      </c>
      <c r="E4826">
        <v>0.46879480000000001</v>
      </c>
      <c r="F4826" t="s">
        <v>41</v>
      </c>
      <c r="G4826">
        <v>-421.28089999999997</v>
      </c>
      <c r="H4826" s="1">
        <v>-1.081962E-6</v>
      </c>
      <c r="I4826">
        <v>51.31671</v>
      </c>
      <c r="J4826">
        <v>-423.24759999999998</v>
      </c>
      <c r="K4826">
        <v>1.110117</v>
      </c>
      <c r="L4826">
        <v>68.952879999999993</v>
      </c>
      <c r="M4826">
        <v>-2.698455E-2</v>
      </c>
      <c r="N4826">
        <v>0</v>
      </c>
      <c r="O4826">
        <v>-0.99954219999999905</v>
      </c>
      <c r="P4826">
        <v>2.5354249999999998E-2</v>
      </c>
      <c r="Q4826">
        <v>0.14773900000000001</v>
      </c>
      <c r="R4826">
        <v>-0.98870190000000002</v>
      </c>
      <c r="S4826">
        <v>0.33303829999999901</v>
      </c>
      <c r="T4826">
        <v>-0.1888059</v>
      </c>
      <c r="U4826">
        <v>-3.0538940000000001</v>
      </c>
      <c r="V4826">
        <v>-5.2035520000000002E-2</v>
      </c>
      <c r="W4826">
        <v>0.16124720000000001</v>
      </c>
      <c r="X4826">
        <v>0.98554129999999995</v>
      </c>
      <c r="Y4826">
        <v>-0.134995899999999</v>
      </c>
      <c r="Z4826">
        <v>6.1209850000000003E-2</v>
      </c>
      <c r="AA4826">
        <v>0.98895370000000005</v>
      </c>
      <c r="AB4826">
        <v>32</v>
      </c>
      <c r="AC4826">
        <v>1.9666999999999999</v>
      </c>
      <c r="AD4826">
        <v>-1.110118081962</v>
      </c>
      <c r="AE4826">
        <v>-17.63617</v>
      </c>
      <c r="AF4826">
        <v>-2.4324131772191402</v>
      </c>
      <c r="AG4826">
        <v>-1.110118081962</v>
      </c>
      <c r="AH4826">
        <v>17.508153423576701</v>
      </c>
      <c r="AI4826">
        <v>93.593603049741503</v>
      </c>
      <c r="AJ4826">
        <v>97.909491013198107</v>
      </c>
      <c r="AK4826">
        <v>17.7111386512587</v>
      </c>
      <c r="AL4826">
        <v>80.720704466291906</v>
      </c>
      <c r="AM4826">
        <v>93.022349087252493</v>
      </c>
      <c r="AN4826">
        <v>1.0000000044276001</v>
      </c>
    </row>
    <row r="4827" spans="1:40" x14ac:dyDescent="0.25">
      <c r="A4827" t="str">
        <f>"20190312173027735"</f>
        <v>20190312173027735</v>
      </c>
      <c r="B4827" t="str">
        <f>"1552383027722531"</f>
        <v>1552383027722531</v>
      </c>
      <c r="C4827" t="s">
        <v>40</v>
      </c>
      <c r="D4827">
        <v>3.3146650000000002</v>
      </c>
      <c r="E4827">
        <v>0.46870309999999998</v>
      </c>
      <c r="F4827" t="s">
        <v>41</v>
      </c>
      <c r="G4827">
        <v>-421.26130000000001</v>
      </c>
      <c r="H4827" s="1">
        <v>-8.9881689999999998E-7</v>
      </c>
      <c r="I4827">
        <v>50.902000000000001</v>
      </c>
      <c r="J4827">
        <v>-423.25560000000002</v>
      </c>
      <c r="K4827">
        <v>1.110249</v>
      </c>
      <c r="L4827">
        <v>68.646150000000006</v>
      </c>
      <c r="M4827">
        <v>-2.6622670000000001E-2</v>
      </c>
      <c r="N4827">
        <v>0</v>
      </c>
      <c r="O4827">
        <v>-0.999552</v>
      </c>
      <c r="P4827">
        <v>2.600835E-2</v>
      </c>
      <c r="Q4827">
        <v>0.14740819999999999</v>
      </c>
      <c r="R4827">
        <v>-0.98873390000000005</v>
      </c>
      <c r="S4827">
        <v>0.33602910000000002</v>
      </c>
      <c r="T4827">
        <v>-0.1878031</v>
      </c>
      <c r="U4827">
        <v>-3.053741</v>
      </c>
      <c r="V4827">
        <v>-5.2387709999999997E-2</v>
      </c>
      <c r="W4827">
        <v>0.1608975</v>
      </c>
      <c r="X4827">
        <v>0.98557980000000001</v>
      </c>
      <c r="Y4827">
        <v>-0.13560169999999999</v>
      </c>
      <c r="Z4827">
        <v>6.0884130000000002E-2</v>
      </c>
      <c r="AA4827">
        <v>0.98889090000000002</v>
      </c>
      <c r="AB4827">
        <v>32</v>
      </c>
      <c r="AC4827">
        <v>1.9943</v>
      </c>
      <c r="AD4827">
        <v>-1.1102498988169001</v>
      </c>
      <c r="AE4827">
        <v>-17.744150000000001</v>
      </c>
      <c r="AF4827">
        <v>-2.4565364737682098</v>
      </c>
      <c r="AG4827">
        <v>-1.1102498988169001</v>
      </c>
      <c r="AH4827">
        <v>17.6166521835456</v>
      </c>
      <c r="AI4827">
        <v>93.571701071507405</v>
      </c>
      <c r="AJ4827">
        <v>97.938364027442603</v>
      </c>
      <c r="AK4827">
        <v>17.821718784696301</v>
      </c>
      <c r="AL4827">
        <v>80.741005935388799</v>
      </c>
      <c r="AM4827">
        <v>93.042648187994502</v>
      </c>
      <c r="AN4827">
        <v>1.0000000099166599</v>
      </c>
    </row>
    <row r="4828" spans="1:40" x14ac:dyDescent="0.25">
      <c r="A4828" t="str">
        <f>"20190312173027758"</f>
        <v>20190312173027758</v>
      </c>
      <c r="B4828" t="str">
        <f>"1552383027752787"</f>
        <v>1552383027752787</v>
      </c>
      <c r="C4828" t="s">
        <v>40</v>
      </c>
      <c r="D4828">
        <v>3.3228550000000001</v>
      </c>
      <c r="E4828">
        <v>0.46848250000000002</v>
      </c>
      <c r="F4828" t="s">
        <v>41</v>
      </c>
      <c r="G4828">
        <v>-421.27440000000001</v>
      </c>
      <c r="H4828" s="1">
        <v>-8.5358189999999995E-7</v>
      </c>
      <c r="I4828">
        <v>50.788429999999998</v>
      </c>
      <c r="J4828">
        <v>-423.26369999999997</v>
      </c>
      <c r="K4828">
        <v>1.1104339999999999</v>
      </c>
      <c r="L4828">
        <v>68.319890000000001</v>
      </c>
      <c r="M4828">
        <v>-2.6010640000000002E-2</v>
      </c>
      <c r="N4828">
        <v>0</v>
      </c>
      <c r="O4828">
        <v>-0.99956800000000001</v>
      </c>
      <c r="P4828">
        <v>2.6833900000000001E-2</v>
      </c>
      <c r="Q4828">
        <v>0.14761369999999999</v>
      </c>
      <c r="R4828">
        <v>-0.98868109999999998</v>
      </c>
      <c r="S4828">
        <v>0.33877560000000001</v>
      </c>
      <c r="T4828">
        <v>-0.18984580000000001</v>
      </c>
      <c r="U4828">
        <v>-3.0535580000000002</v>
      </c>
      <c r="V4828">
        <v>-5.2680329999999997E-2</v>
      </c>
      <c r="W4828">
        <v>0.1610782</v>
      </c>
      <c r="X4828">
        <v>0.98553469999999999</v>
      </c>
      <c r="Y4828">
        <v>-0.13587579999999999</v>
      </c>
      <c r="Z4828">
        <v>6.154478E-2</v>
      </c>
      <c r="AA4828">
        <v>0.98881240000000004</v>
      </c>
      <c r="AB4828">
        <v>32</v>
      </c>
      <c r="AC4828">
        <v>1.9892999999999501</v>
      </c>
      <c r="AD4828">
        <v>-1.11043485358189</v>
      </c>
      <c r="AE4828">
        <v>-17.531459999999999</v>
      </c>
      <c r="AF4828">
        <v>-2.4350291147051899</v>
      </c>
      <c r="AG4828">
        <v>-1.11043485358189</v>
      </c>
      <c r="AH4828">
        <v>17.404840747743201</v>
      </c>
      <c r="AI4828">
        <v>93.615425720761294</v>
      </c>
      <c r="AJ4828">
        <v>97.964287583213505</v>
      </c>
      <c r="AK4828">
        <v>17.609398451049199</v>
      </c>
      <c r="AL4828">
        <v>80.730515892769503</v>
      </c>
      <c r="AM4828">
        <v>93.059750936663306</v>
      </c>
      <c r="AN4828">
        <v>1.0000000242941101</v>
      </c>
    </row>
    <row r="4829" spans="1:40" x14ac:dyDescent="0.25">
      <c r="A4829" t="str">
        <f>"20190312173027780"</f>
        <v>20190312173027780</v>
      </c>
      <c r="B4829" t="str">
        <f>"1552383027773282"</f>
        <v>1552383027773282</v>
      </c>
      <c r="C4829" t="s">
        <v>40</v>
      </c>
      <c r="D4829">
        <v>3.430968</v>
      </c>
      <c r="E4829">
        <v>0.46835900000000003</v>
      </c>
      <c r="F4829" t="s">
        <v>41</v>
      </c>
      <c r="G4829">
        <v>-421.26690000000002</v>
      </c>
      <c r="H4829" s="1">
        <v>-7.3341699999999998E-7</v>
      </c>
      <c r="I4829">
        <v>50.512949999999996</v>
      </c>
      <c r="J4829">
        <v>-423.27109999999999</v>
      </c>
      <c r="K4829">
        <v>1.1106469999999999</v>
      </c>
      <c r="L4829">
        <v>68.011750000000006</v>
      </c>
      <c r="M4829">
        <v>-2.5179799999999999E-2</v>
      </c>
      <c r="N4829">
        <v>0</v>
      </c>
      <c r="O4829">
        <v>-0.99958910000000001</v>
      </c>
      <c r="P4829">
        <v>2.7492590000000001E-2</v>
      </c>
      <c r="Q4829">
        <v>0.14798789999999901</v>
      </c>
      <c r="R4829">
        <v>-0.98860700000000001</v>
      </c>
      <c r="S4829">
        <v>0.34240720000000002</v>
      </c>
      <c r="T4829">
        <v>-0.1904131</v>
      </c>
      <c r="U4829">
        <v>-3.0534669999999999</v>
      </c>
      <c r="V4829">
        <v>-5.2597409999999997E-2</v>
      </c>
      <c r="W4829">
        <v>0.1614255</v>
      </c>
      <c r="X4829">
        <v>0.98548230000000003</v>
      </c>
      <c r="Y4829">
        <v>-0.1362159</v>
      </c>
      <c r="Z4829">
        <v>6.1726320000000001E-2</v>
      </c>
      <c r="AA4829">
        <v>0.98875429999999997</v>
      </c>
      <c r="AB4829">
        <v>32</v>
      </c>
      <c r="AC4829">
        <v>2.00419999999996</v>
      </c>
      <c r="AD4829">
        <v>-1.110647733417</v>
      </c>
      <c r="AE4829">
        <v>-17.498799999999999</v>
      </c>
      <c r="AF4829">
        <v>-2.4345416472647301</v>
      </c>
      <c r="AG4829">
        <v>-1.110647733417</v>
      </c>
      <c r="AH4829">
        <v>17.373698118117499</v>
      </c>
      <c r="AI4829">
        <v>93.622471189696398</v>
      </c>
      <c r="AJ4829">
        <v>97.976803397447696</v>
      </c>
      <c r="AK4829">
        <v>17.578564154090898</v>
      </c>
      <c r="AL4829">
        <v>80.710353180441501</v>
      </c>
      <c r="AM4829">
        <v>93.055106080644407</v>
      </c>
      <c r="AN4829">
        <v>1.00000002160112</v>
      </c>
    </row>
    <row r="4830" spans="1:40" x14ac:dyDescent="0.25">
      <c r="A4830" t="str">
        <f>"20190312173027802"</f>
        <v>20190312173027802</v>
      </c>
      <c r="B4830" t="str">
        <f>"1552383027792803"</f>
        <v>1552383027792803</v>
      </c>
      <c r="C4830" t="s">
        <v>40</v>
      </c>
      <c r="D4830">
        <v>3.297685</v>
      </c>
      <c r="E4830">
        <v>0.46825250000000002</v>
      </c>
      <c r="F4830" t="s">
        <v>41</v>
      </c>
      <c r="G4830">
        <v>-421.23759999999999</v>
      </c>
      <c r="H4830" s="1">
        <v>-5.5114829999999998E-7</v>
      </c>
      <c r="I4830">
        <v>50.10622</v>
      </c>
      <c r="J4830">
        <v>-423.27789999999999</v>
      </c>
      <c r="K4830">
        <v>1.1108819999999999</v>
      </c>
      <c r="L4830">
        <v>67.696559999999906</v>
      </c>
      <c r="M4830">
        <v>-2.404127E-2</v>
      </c>
      <c r="N4830">
        <v>0</v>
      </c>
      <c r="O4830">
        <v>-0.99961710000000004</v>
      </c>
      <c r="P4830">
        <v>2.837901E-2</v>
      </c>
      <c r="Q4830">
        <v>0.148869</v>
      </c>
      <c r="R4830">
        <v>-0.98844949999999998</v>
      </c>
      <c r="S4830">
        <v>0.34674070000000001</v>
      </c>
      <c r="T4830">
        <v>-0.18938969999999999</v>
      </c>
      <c r="U4830">
        <v>-3.0532840000000001</v>
      </c>
      <c r="V4830">
        <v>-5.2446670000000001E-2</v>
      </c>
      <c r="W4830">
        <v>0.1622767</v>
      </c>
      <c r="X4830">
        <v>0.98535050000000002</v>
      </c>
      <c r="Y4830">
        <v>-0.1364822</v>
      </c>
      <c r="Z4830">
        <v>6.1396079999999999E-2</v>
      </c>
      <c r="AA4830">
        <v>0.98873820000000001</v>
      </c>
      <c r="AB4830">
        <v>31</v>
      </c>
      <c r="AC4830">
        <v>2.0402999999999998</v>
      </c>
      <c r="AD4830">
        <v>-1.1108825511483</v>
      </c>
      <c r="AE4830">
        <v>-17.590339999999902</v>
      </c>
      <c r="AF4830">
        <v>-2.45299058710245</v>
      </c>
      <c r="AG4830">
        <v>-1.1108825511483</v>
      </c>
      <c r="AH4830">
        <v>17.467458195764799</v>
      </c>
      <c r="AI4830">
        <v>93.603687649270299</v>
      </c>
      <c r="AJ4830">
        <v>97.99388652188</v>
      </c>
      <c r="AK4830">
        <v>17.673803175424698</v>
      </c>
      <c r="AL4830">
        <v>80.660931137422494</v>
      </c>
      <c r="AM4830">
        <v>93.046773617720504</v>
      </c>
      <c r="AN4830">
        <v>0.99999999420361396</v>
      </c>
    </row>
    <row r="4831" spans="1:40" x14ac:dyDescent="0.25">
      <c r="A4831" t="str">
        <f>"20190312173027836"</f>
        <v>20190312173027836</v>
      </c>
      <c r="B4831" t="str">
        <f>"1552383027832819"</f>
        <v>1552383027832819</v>
      </c>
      <c r="C4831" t="s">
        <v>40</v>
      </c>
      <c r="D4831">
        <v>3.3069730000000002</v>
      </c>
      <c r="E4831">
        <v>0.4654122</v>
      </c>
      <c r="F4831" t="s">
        <v>41</v>
      </c>
      <c r="G4831">
        <v>-421.19510000000002</v>
      </c>
      <c r="H4831" s="1">
        <v>-4.4986189999999999E-6</v>
      </c>
      <c r="I4831">
        <v>49.583210000000001</v>
      </c>
      <c r="J4831">
        <v>-423.28680000000003</v>
      </c>
      <c r="K4831">
        <v>1.111251</v>
      </c>
      <c r="L4831">
        <v>67.225560000000002</v>
      </c>
      <c r="M4831">
        <v>-2.1691060000000002E-2</v>
      </c>
      <c r="N4831">
        <v>0</v>
      </c>
      <c r="O4831">
        <v>-0.99967099999999998</v>
      </c>
      <c r="P4831">
        <v>3.1653840000000003E-2</v>
      </c>
      <c r="Q4831">
        <v>0.1495648</v>
      </c>
      <c r="R4831">
        <v>-0.98824540000000005</v>
      </c>
      <c r="S4831">
        <v>0.3510742</v>
      </c>
      <c r="T4831">
        <v>-0.18725140000000001</v>
      </c>
      <c r="U4831">
        <v>-3.0531920000000001</v>
      </c>
      <c r="V4831">
        <v>-5.3541690000000003E-2</v>
      </c>
      <c r="W4831">
        <v>0.1629256</v>
      </c>
      <c r="X4831">
        <v>0.98518459999999997</v>
      </c>
      <c r="Y4831">
        <v>-0.13554649999999999</v>
      </c>
      <c r="Z4831">
        <v>6.0711290000000001E-2</v>
      </c>
      <c r="AA4831">
        <v>0.98890909999999999</v>
      </c>
      <c r="AB4831">
        <v>31</v>
      </c>
      <c r="AC4831">
        <v>2.0916999999999999</v>
      </c>
      <c r="AD4831">
        <v>-1.111255498619</v>
      </c>
      <c r="AE4831">
        <v>-17.64235</v>
      </c>
      <c r="AF4831">
        <v>-2.4642834355468</v>
      </c>
      <c r="AG4831">
        <v>-1.111255498619</v>
      </c>
      <c r="AH4831">
        <v>17.5242595051301</v>
      </c>
      <c r="AI4831">
        <v>93.593146975487898</v>
      </c>
      <c r="AJ4831">
        <v>98.004518673064894</v>
      </c>
      <c r="AK4831">
        <v>17.7315327266727</v>
      </c>
      <c r="AL4831">
        <v>80.623251256699504</v>
      </c>
      <c r="AM4831">
        <v>93.110785491028494</v>
      </c>
      <c r="AN4831">
        <v>1.0000000798902799</v>
      </c>
    </row>
    <row r="4832" spans="1:40" x14ac:dyDescent="0.25">
      <c r="A4832" t="str">
        <f>"20190312173027859"</f>
        <v>20190312173027859</v>
      </c>
      <c r="B4832" t="str">
        <f>"1552383027852339"</f>
        <v>1552383027852339</v>
      </c>
      <c r="C4832" t="s">
        <v>40</v>
      </c>
      <c r="D4832">
        <v>3.271563</v>
      </c>
      <c r="E4832">
        <v>0.46520549999999999</v>
      </c>
      <c r="F4832" t="s">
        <v>41</v>
      </c>
      <c r="G4832">
        <v>-421.22359999999998</v>
      </c>
      <c r="H4832" s="1">
        <v>-8.6483149999999998E-7</v>
      </c>
      <c r="I4832">
        <v>50.846159999999998</v>
      </c>
      <c r="J4832">
        <v>-423.29180000000002</v>
      </c>
      <c r="K4832">
        <v>1.11148799999999</v>
      </c>
      <c r="L4832">
        <v>66.9054</v>
      </c>
      <c r="M4832">
        <v>-1.973975E-2</v>
      </c>
      <c r="N4832">
        <v>0</v>
      </c>
      <c r="O4832">
        <v>-0.99971129999999997</v>
      </c>
      <c r="P4832">
        <v>3.4331489999999999E-2</v>
      </c>
      <c r="Q4832">
        <v>0.14967559999999999</v>
      </c>
      <c r="R4832">
        <v>-0.98813899999999999</v>
      </c>
      <c r="S4832">
        <v>0.38479609999999997</v>
      </c>
      <c r="T4832">
        <v>-0.20724590000000001</v>
      </c>
      <c r="U4832">
        <v>-3.0547179999999998</v>
      </c>
      <c r="V4832">
        <v>-5.4384189999999999E-2</v>
      </c>
      <c r="W4832">
        <v>0.1630065</v>
      </c>
      <c r="X4832">
        <v>0.98512500000000003</v>
      </c>
      <c r="Y4832">
        <v>-0.144261</v>
      </c>
      <c r="Z4832">
        <v>6.7051310000000003E-2</v>
      </c>
      <c r="AA4832">
        <v>0.98726530000000001</v>
      </c>
      <c r="AB4832">
        <v>31</v>
      </c>
      <c r="AC4832">
        <v>2.06820000000004</v>
      </c>
      <c r="AD4832">
        <v>-1.11148886483149</v>
      </c>
      <c r="AE4832">
        <v>-16.059239999999999</v>
      </c>
      <c r="AF4832">
        <v>-2.3736471638555199</v>
      </c>
      <c r="AG4832">
        <v>-1.11148886483149</v>
      </c>
      <c r="AH4832">
        <v>15.9401687520919</v>
      </c>
      <c r="AI4832">
        <v>93.945347075125099</v>
      </c>
      <c r="AJ4832">
        <v>98.4696658905889</v>
      </c>
      <c r="AK4832">
        <v>16.154212707535098</v>
      </c>
      <c r="AL4832">
        <v>80.618552584767201</v>
      </c>
      <c r="AM4832">
        <v>93.159827307173899</v>
      </c>
      <c r="AN4832">
        <v>1.0000000123946</v>
      </c>
    </row>
    <row r="4833" spans="1:40" x14ac:dyDescent="0.25">
      <c r="A4833" t="str">
        <f>"20190312173027880"</f>
        <v>20190312173027880</v>
      </c>
      <c r="B4833" t="str">
        <f>"1552383027872838"</f>
        <v>1552383027872838</v>
      </c>
      <c r="C4833" t="s">
        <v>40</v>
      </c>
      <c r="D4833">
        <v>3.2943220000000002</v>
      </c>
      <c r="E4833">
        <v>0.46501880000000001</v>
      </c>
      <c r="F4833" t="s">
        <v>41</v>
      </c>
      <c r="G4833">
        <v>-421.17079999999999</v>
      </c>
      <c r="H4833" s="1">
        <v>-6.9593679999999996E-7</v>
      </c>
      <c r="I4833">
        <v>50.485190000000003</v>
      </c>
      <c r="J4833">
        <v>-423.29570000000001</v>
      </c>
      <c r="K4833">
        <v>1.1116919999999999</v>
      </c>
      <c r="L4833">
        <v>66.609560000000002</v>
      </c>
      <c r="M4833">
        <v>-1.7685329999999999E-2</v>
      </c>
      <c r="N4833">
        <v>0</v>
      </c>
      <c r="O4833">
        <v>-0.99974980000000002</v>
      </c>
      <c r="P4833">
        <v>3.7469950000000002E-2</v>
      </c>
      <c r="Q4833">
        <v>0.14940200000000001</v>
      </c>
      <c r="R4833">
        <v>-0.98806640000000001</v>
      </c>
      <c r="S4833">
        <v>0.3944397</v>
      </c>
      <c r="T4833">
        <v>-0.2066984</v>
      </c>
      <c r="U4833">
        <v>-3.0535890000000001</v>
      </c>
      <c r="V4833">
        <v>-5.557165E-2</v>
      </c>
      <c r="W4833">
        <v>0.1627044</v>
      </c>
      <c r="X4833">
        <v>0.98510869999999995</v>
      </c>
      <c r="Y4833">
        <v>-0.1453422</v>
      </c>
      <c r="Z4833">
        <v>6.6884699999999894E-2</v>
      </c>
      <c r="AA4833">
        <v>0.9871181</v>
      </c>
      <c r="AB4833">
        <v>31</v>
      </c>
      <c r="AC4833">
        <v>2.1249000000000202</v>
      </c>
      <c r="AD4833">
        <v>-1.1116926959368001</v>
      </c>
      <c r="AE4833">
        <v>-16.124369999999999</v>
      </c>
      <c r="AF4833">
        <v>-2.3985525102298002</v>
      </c>
      <c r="AG4833">
        <v>-1.1116926959368001</v>
      </c>
      <c r="AH4833">
        <v>16.009464324065199</v>
      </c>
      <c r="AI4833">
        <v>93.928520347017695</v>
      </c>
      <c r="AJ4833">
        <v>98.520730027690703</v>
      </c>
      <c r="AK4833">
        <v>16.226270758804802</v>
      </c>
      <c r="AL4833">
        <v>80.636096108150298</v>
      </c>
      <c r="AM4833">
        <v>93.228729944807498</v>
      </c>
      <c r="AN4833">
        <v>1.0000000404393801</v>
      </c>
    </row>
    <row r="4834" spans="1:40" x14ac:dyDescent="0.25">
      <c r="A4834" t="str">
        <f>"20190312173027903"</f>
        <v>20190312173027903</v>
      </c>
      <c r="B4834" t="str">
        <f>"1552383027892670"</f>
        <v>1552383027892670</v>
      </c>
      <c r="C4834" t="s">
        <v>40</v>
      </c>
      <c r="D4834">
        <v>3.3004020000000001</v>
      </c>
      <c r="E4834">
        <v>0.46490110000000001</v>
      </c>
      <c r="F4834" t="s">
        <v>41</v>
      </c>
      <c r="G4834">
        <v>-421.12810000000002</v>
      </c>
      <c r="H4834" s="1">
        <v>-5.9769650000000002E-7</v>
      </c>
      <c r="I4834">
        <v>50.282699999999998</v>
      </c>
      <c r="J4834">
        <v>-423.29899999999998</v>
      </c>
      <c r="K4834">
        <v>1.111907</v>
      </c>
      <c r="L4834">
        <v>66.290219999999906</v>
      </c>
      <c r="M4834">
        <v>-1.521752E-2</v>
      </c>
      <c r="N4834">
        <v>0</v>
      </c>
      <c r="O4834">
        <v>-0.99979050000000003</v>
      </c>
      <c r="P4834">
        <v>4.1278679999999998E-2</v>
      </c>
      <c r="Q4834">
        <v>0.1500341</v>
      </c>
      <c r="R4834">
        <v>-0.98781920000000001</v>
      </c>
      <c r="S4834">
        <v>0.40524290000000002</v>
      </c>
      <c r="T4834">
        <v>-0.20783090000000001</v>
      </c>
      <c r="U4834">
        <v>-3.0523069999999999</v>
      </c>
      <c r="V4834">
        <v>-5.7024400000000003E-2</v>
      </c>
      <c r="W4834">
        <v>0.16330329999999901</v>
      </c>
      <c r="X4834">
        <v>0.98492650000000004</v>
      </c>
      <c r="Y4834">
        <v>-0.14638429999999999</v>
      </c>
      <c r="Z4834">
        <v>6.7260970000000003E-2</v>
      </c>
      <c r="AA4834">
        <v>0.98693850000000005</v>
      </c>
      <c r="AB4834">
        <v>31</v>
      </c>
      <c r="AC4834">
        <v>2.1709000000000098</v>
      </c>
      <c r="AD4834">
        <v>-1.1119075976965</v>
      </c>
      <c r="AE4834">
        <v>-16.0075199999999</v>
      </c>
      <c r="AF4834">
        <v>-2.4028818501000999</v>
      </c>
      <c r="AG4834">
        <v>-1.1119075976965</v>
      </c>
      <c r="AH4834">
        <v>15.897309435412</v>
      </c>
      <c r="AI4834">
        <v>93.956139050294894</v>
      </c>
      <c r="AJ4834">
        <v>98.595207388926994</v>
      </c>
      <c r="AK4834">
        <v>16.116284527663201</v>
      </c>
      <c r="AL4834">
        <v>80.601315933154694</v>
      </c>
      <c r="AM4834">
        <v>93.313561038511907</v>
      </c>
      <c r="AN4834">
        <v>0.99999998019424896</v>
      </c>
    </row>
    <row r="4835" spans="1:40" x14ac:dyDescent="0.25">
      <c r="A4835" t="str">
        <f>"20190312173027924"</f>
        <v>20190312173027924</v>
      </c>
      <c r="B4835" t="str">
        <f>"1552383027913166"</f>
        <v>1552383027913166</v>
      </c>
      <c r="C4835" t="s">
        <v>40</v>
      </c>
      <c r="D4835">
        <v>3.2769699999999902</v>
      </c>
      <c r="E4835">
        <v>0.46483600000000003</v>
      </c>
      <c r="F4835" t="s">
        <v>41</v>
      </c>
      <c r="G4835">
        <v>-421.06549999999999</v>
      </c>
      <c r="H4835" s="1">
        <v>-4.4754549999999999E-7</v>
      </c>
      <c r="I4835">
        <v>49.971519999999998</v>
      </c>
      <c r="J4835">
        <v>-423.30099999999999</v>
      </c>
      <c r="K4835">
        <v>1.112093</v>
      </c>
      <c r="L4835">
        <v>65.988590000000002</v>
      </c>
      <c r="M4835">
        <v>-1.265661E-2</v>
      </c>
      <c r="N4835">
        <v>0</v>
      </c>
      <c r="O4835">
        <v>-0.99982610000000005</v>
      </c>
      <c r="P4835">
        <v>4.4691990000000001E-2</v>
      </c>
      <c r="Q4835">
        <v>0.15106710000000001</v>
      </c>
      <c r="R4835">
        <v>-0.98751290000000003</v>
      </c>
      <c r="S4835">
        <v>0.41760249999999999</v>
      </c>
      <c r="T4835">
        <v>-0.207894</v>
      </c>
      <c r="U4835">
        <v>-3.0511170000000001</v>
      </c>
      <c r="V4835">
        <v>-5.7982039999999999E-2</v>
      </c>
      <c r="W4835">
        <v>0.16430810000000001</v>
      </c>
      <c r="X4835">
        <v>0.98470349999999995</v>
      </c>
      <c r="Y4835">
        <v>-0.14782699999999999</v>
      </c>
      <c r="Z4835">
        <v>6.7285499999999998E-2</v>
      </c>
      <c r="AA4835">
        <v>0.98672179999999998</v>
      </c>
      <c r="AB4835">
        <v>31</v>
      </c>
      <c r="AC4835">
        <v>2.2355</v>
      </c>
      <c r="AD4835">
        <v>-1.1120934475455</v>
      </c>
      <c r="AE4835">
        <v>-16.01707</v>
      </c>
      <c r="AF4835">
        <v>-2.42658723260582</v>
      </c>
      <c r="AG4835">
        <v>-1.1120934475455</v>
      </c>
      <c r="AH4835">
        <v>15.9122467591852</v>
      </c>
      <c r="AI4835">
        <v>93.952307465895501</v>
      </c>
      <c r="AJ4835">
        <v>98.6706944854905</v>
      </c>
      <c r="AK4835">
        <v>16.1345800800243</v>
      </c>
      <c r="AL4835">
        <v>80.542957287101999</v>
      </c>
      <c r="AM4835">
        <v>93.3698414604481</v>
      </c>
      <c r="AN4835">
        <v>1.00000002580021</v>
      </c>
    </row>
    <row r="4836" spans="1:40" x14ac:dyDescent="0.25">
      <c r="A4836" t="str">
        <f>"20190312173027948"</f>
        <v>20190312173027948</v>
      </c>
      <c r="B4836" t="str">
        <f>"1552383027942446"</f>
        <v>1552383027942446</v>
      </c>
      <c r="C4836" t="s">
        <v>40</v>
      </c>
      <c r="D4836">
        <v>3.340214</v>
      </c>
      <c r="E4836">
        <v>0.46499099999999999</v>
      </c>
      <c r="F4836" t="s">
        <v>41</v>
      </c>
      <c r="G4836">
        <v>-420.98160000000001</v>
      </c>
      <c r="H4836" s="1">
        <v>-4.4239339999999998E-6</v>
      </c>
      <c r="I4836">
        <v>49.475050000000003</v>
      </c>
      <c r="J4836">
        <v>-423.3021</v>
      </c>
      <c r="K4836">
        <v>1.112266</v>
      </c>
      <c r="L4836">
        <v>65.663820000000001</v>
      </c>
      <c r="M4836">
        <v>-9.7157070000000005E-3</v>
      </c>
      <c r="N4836">
        <v>0</v>
      </c>
      <c r="O4836">
        <v>-0.99985889999999999</v>
      </c>
      <c r="P4836">
        <v>4.8181500000000002E-2</v>
      </c>
      <c r="Q4836">
        <v>0.1516998</v>
      </c>
      <c r="R4836">
        <v>-0.98725189999999996</v>
      </c>
      <c r="S4836">
        <v>0.42837520000000001</v>
      </c>
      <c r="T4836">
        <v>-0.2053981</v>
      </c>
      <c r="U4836">
        <v>-3.049957</v>
      </c>
      <c r="V4836">
        <v>-5.8638059999999999E-2</v>
      </c>
      <c r="W4836">
        <v>0.1649158</v>
      </c>
      <c r="X4836">
        <v>0.98456310000000002</v>
      </c>
      <c r="Y4836">
        <v>-0.14839539999999901</v>
      </c>
      <c r="Z4836">
        <v>6.6490759999999996E-2</v>
      </c>
      <c r="AA4836">
        <v>0.98669030000000002</v>
      </c>
      <c r="AB4836">
        <v>31</v>
      </c>
      <c r="AC4836">
        <v>2.32049999999998</v>
      </c>
      <c r="AD4836">
        <v>-1.112270423934</v>
      </c>
      <c r="AE4836">
        <v>-16.188769999999899</v>
      </c>
      <c r="AF4836">
        <v>-2.4662827372719001</v>
      </c>
      <c r="AG4836">
        <v>-1.112270423934</v>
      </c>
      <c r="AH4836">
        <v>16.0910290185832</v>
      </c>
      <c r="AI4836">
        <v>93.908701822234406</v>
      </c>
      <c r="AJ4836">
        <v>98.713948847482101</v>
      </c>
      <c r="AK4836">
        <v>16.3168903567135</v>
      </c>
      <c r="AL4836">
        <v>80.507657519773105</v>
      </c>
      <c r="AM4836">
        <v>93.408363962718397</v>
      </c>
      <c r="AN4836">
        <v>1.0000000705259</v>
      </c>
    </row>
    <row r="4837" spans="1:40" x14ac:dyDescent="0.25">
      <c r="A4837" t="str">
        <f>"20190312173027969"</f>
        <v>20190312173027969</v>
      </c>
      <c r="B4837" t="str">
        <f>"1552383027962945"</f>
        <v>1552383027962945</v>
      </c>
      <c r="C4837" t="s">
        <v>40</v>
      </c>
      <c r="D4837">
        <v>3.3562569999999998</v>
      </c>
      <c r="E4837">
        <v>0.46501870000000001</v>
      </c>
      <c r="F4837" t="s">
        <v>41</v>
      </c>
      <c r="G4837">
        <v>-420.91820000000001</v>
      </c>
      <c r="H4837" s="1">
        <v>-4.2675500000000003E-6</v>
      </c>
      <c r="I4837">
        <v>49.048580000000001</v>
      </c>
      <c r="J4837">
        <v>-423.30220000000003</v>
      </c>
      <c r="K4837">
        <v>1.1123989999999999</v>
      </c>
      <c r="L4837">
        <v>65.367400000000004</v>
      </c>
      <c r="M4837">
        <v>-6.9182419999999998E-3</v>
      </c>
      <c r="N4837">
        <v>0</v>
      </c>
      <c r="O4837">
        <v>-0.99988189999999999</v>
      </c>
      <c r="P4837">
        <v>5.1669279999999998E-2</v>
      </c>
      <c r="Q4837">
        <v>0.15259919999999999</v>
      </c>
      <c r="R4837">
        <v>-0.9869367</v>
      </c>
      <c r="S4837">
        <v>0.43743900000000002</v>
      </c>
      <c r="T4837">
        <v>-0.204093</v>
      </c>
      <c r="U4837">
        <v>-3.0487669999999998</v>
      </c>
      <c r="V4837">
        <v>-5.9417879999999999E-2</v>
      </c>
      <c r="W4837">
        <v>0.16579379999999999</v>
      </c>
      <c r="X4837">
        <v>0.98436880000000004</v>
      </c>
      <c r="Y4837">
        <v>-0.1485609</v>
      </c>
      <c r="Z4837">
        <v>6.6083390000000006E-2</v>
      </c>
      <c r="AA4837">
        <v>0.98669280000000004</v>
      </c>
      <c r="AB4837">
        <v>31</v>
      </c>
      <c r="AC4837">
        <v>2.3840000000000101</v>
      </c>
      <c r="AD4837">
        <v>-1.11240326755</v>
      </c>
      <c r="AE4837">
        <v>-16.318819999999999</v>
      </c>
      <c r="AF4837">
        <v>-2.4855428216474902</v>
      </c>
      <c r="AG4837">
        <v>-1.11240326755</v>
      </c>
      <c r="AH4837">
        <v>16.228102933646099</v>
      </c>
      <c r="AI4837">
        <v>93.876311096722702</v>
      </c>
      <c r="AJ4837">
        <v>98.707914251407104</v>
      </c>
      <c r="AK4837">
        <v>16.454989789511</v>
      </c>
      <c r="AL4837">
        <v>80.456648995526606</v>
      </c>
      <c r="AM4837">
        <v>93.454262398494095</v>
      </c>
      <c r="AN4837">
        <v>1.0000000014977799</v>
      </c>
    </row>
    <row r="4838" spans="1:40" x14ac:dyDescent="0.25">
      <c r="A4838" t="str">
        <f>"20190312173027992"</f>
        <v>20190312173027992</v>
      </c>
      <c r="B4838" t="str">
        <f>"1552383027982463"</f>
        <v>1552383027982463</v>
      </c>
      <c r="C4838" t="s">
        <v>40</v>
      </c>
      <c r="D4838">
        <v>3.357421</v>
      </c>
      <c r="E4838">
        <v>0.46510960000000001</v>
      </c>
      <c r="F4838" t="s">
        <v>41</v>
      </c>
      <c r="G4838">
        <v>-420.8537</v>
      </c>
      <c r="H4838" s="1">
        <v>-4.1259300000000002E-6</v>
      </c>
      <c r="I4838">
        <v>48.677280000000003</v>
      </c>
      <c r="J4838">
        <v>-423.30110000000002</v>
      </c>
      <c r="K4838">
        <v>1.1125020000000001</v>
      </c>
      <c r="L4838">
        <v>65.042299999999997</v>
      </c>
      <c r="M4838">
        <v>-3.7583669999999999E-3</v>
      </c>
      <c r="N4838">
        <v>0</v>
      </c>
      <c r="O4838">
        <v>-0.99989870000000003</v>
      </c>
      <c r="P4838">
        <v>5.5915699999999902E-2</v>
      </c>
      <c r="Q4838">
        <v>0.15383529999999901</v>
      </c>
      <c r="R4838">
        <v>-0.98651310000000003</v>
      </c>
      <c r="S4838">
        <v>0.44711299999999998</v>
      </c>
      <c r="T4838">
        <v>-0.20313049999999999</v>
      </c>
      <c r="U4838">
        <v>-3.0476990000000002</v>
      </c>
      <c r="V4838">
        <v>-6.059233E-2</v>
      </c>
      <c r="W4838">
        <v>0.16700690000000001</v>
      </c>
      <c r="X4838">
        <v>0.98409210000000003</v>
      </c>
      <c r="Y4838">
        <v>-0.14855489999999999</v>
      </c>
      <c r="Z4838">
        <v>6.57827E-2</v>
      </c>
      <c r="AA4838">
        <v>0.98671379999999997</v>
      </c>
      <c r="AB4838">
        <v>31</v>
      </c>
      <c r="AC4838">
        <v>2.4474000000000098</v>
      </c>
      <c r="AD4838">
        <v>-1.11250612593</v>
      </c>
      <c r="AE4838">
        <v>-16.365020000000001</v>
      </c>
      <c r="AF4838">
        <v>-2.49760438146216</v>
      </c>
      <c r="AG4838">
        <v>-1.11250612593</v>
      </c>
      <c r="AH4838">
        <v>16.2821055830712</v>
      </c>
      <c r="AI4838">
        <v>93.863715446261693</v>
      </c>
      <c r="AJ4838">
        <v>98.720946125827695</v>
      </c>
      <c r="AK4838">
        <v>16.510077520860101</v>
      </c>
      <c r="AL4838">
        <v>80.386160721043595</v>
      </c>
      <c r="AM4838">
        <v>93.523356785923795</v>
      </c>
      <c r="AN4838">
        <v>0.99999999819242402</v>
      </c>
    </row>
    <row r="4839" spans="1:40" x14ac:dyDescent="0.25">
      <c r="A4839" t="str">
        <f>"20190312173028014"</f>
        <v>20190312173028014</v>
      </c>
      <c r="B4839" t="str">
        <f>"1552383028002958"</f>
        <v>1552383028002958</v>
      </c>
      <c r="C4839" t="s">
        <v>40</v>
      </c>
      <c r="D4839">
        <v>3.3496999999999999</v>
      </c>
      <c r="E4839">
        <v>0.46513850000000001</v>
      </c>
      <c r="F4839" t="s">
        <v>41</v>
      </c>
      <c r="G4839">
        <v>-420.73039999999997</v>
      </c>
      <c r="H4839" s="1">
        <v>-3.7973149999999998E-6</v>
      </c>
      <c r="I4839">
        <v>47.98771</v>
      </c>
      <c r="J4839">
        <v>-423.29930000000002</v>
      </c>
      <c r="K4839">
        <v>1.1125609999999999</v>
      </c>
      <c r="L4839">
        <v>64.741299999999995</v>
      </c>
      <c r="M4839">
        <v>-7.8069259999999905E-4</v>
      </c>
      <c r="N4839">
        <v>0</v>
      </c>
      <c r="O4839">
        <v>-0.99990559999999995</v>
      </c>
      <c r="P4839">
        <v>5.9064970000000001E-2</v>
      </c>
      <c r="Q4839">
        <v>0.154566799999999</v>
      </c>
      <c r="R4839">
        <v>-0.98621550000000002</v>
      </c>
      <c r="S4839">
        <v>0.45913700000000002</v>
      </c>
      <c r="T4839">
        <v>-0.19869609999999999</v>
      </c>
      <c r="U4839">
        <v>-3.0459900000000002</v>
      </c>
      <c r="V4839">
        <v>-6.0833480000000002E-2</v>
      </c>
      <c r="W4839">
        <v>0.16772709999999999</v>
      </c>
      <c r="X4839">
        <v>0.98395469999999896</v>
      </c>
      <c r="Y4839">
        <v>-0.14951400000000001</v>
      </c>
      <c r="Z4839">
        <v>6.4365800000000001E-2</v>
      </c>
      <c r="AA4839">
        <v>0.98666229999999999</v>
      </c>
      <c r="AB4839">
        <v>31</v>
      </c>
      <c r="AC4839">
        <v>2.5689000000000402</v>
      </c>
      <c r="AD4839">
        <v>-1.1125647973149999</v>
      </c>
      <c r="AE4839">
        <v>-16.7535899999999</v>
      </c>
      <c r="AF4839">
        <v>-2.57090270717931</v>
      </c>
      <c r="AG4839">
        <v>-1.1125647973149999</v>
      </c>
      <c r="AH4839">
        <v>16.679711984003099</v>
      </c>
      <c r="AI4839">
        <v>93.771663856671907</v>
      </c>
      <c r="AJ4839">
        <v>98.762245699423701</v>
      </c>
      <c r="AK4839">
        <v>16.913312302068501</v>
      </c>
      <c r="AL4839">
        <v>80.344305668304997</v>
      </c>
      <c r="AM4839">
        <v>93.537836478702005</v>
      </c>
      <c r="AN4839">
        <v>0.99999997200770396</v>
      </c>
    </row>
    <row r="4840" spans="1:40" x14ac:dyDescent="0.25">
      <c r="A4840" t="str">
        <f>"20190312173028038"</f>
        <v>20190312173028038</v>
      </c>
      <c r="B4840" t="str">
        <f>"1552383028033214"</f>
        <v>1552383028033214</v>
      </c>
      <c r="C4840" t="s">
        <v>40</v>
      </c>
      <c r="D4840">
        <v>3.3409930000000001</v>
      </c>
      <c r="E4840">
        <v>0.46524399999999999</v>
      </c>
      <c r="F4840" t="s">
        <v>41</v>
      </c>
      <c r="G4840">
        <v>-420.63350000000003</v>
      </c>
      <c r="H4840" s="1">
        <v>-3.5286279999999999E-6</v>
      </c>
      <c r="I4840">
        <v>47.421500000000002</v>
      </c>
      <c r="J4840">
        <v>-423.29629999999997</v>
      </c>
      <c r="K4840">
        <v>1.112606</v>
      </c>
      <c r="L4840">
        <v>64.425169999999994</v>
      </c>
      <c r="M4840">
        <v>2.3727039999999998E-3</v>
      </c>
      <c r="N4840">
        <v>0</v>
      </c>
      <c r="O4840">
        <v>-0.99990299999999999</v>
      </c>
      <c r="P4840">
        <v>6.2345659999999997E-2</v>
      </c>
      <c r="Q4840">
        <v>0.15481889999999901</v>
      </c>
      <c r="R4840">
        <v>-0.98597369999999995</v>
      </c>
      <c r="S4840">
        <v>0.4685974</v>
      </c>
      <c r="T4840">
        <v>-0.19556989999999999</v>
      </c>
      <c r="U4840">
        <v>-3.0445250000000001</v>
      </c>
      <c r="V4840">
        <v>-6.1022800000000002E-2</v>
      </c>
      <c r="W4840">
        <v>0.16797200000000001</v>
      </c>
      <c r="X4840">
        <v>0.98390120000000003</v>
      </c>
      <c r="Y4840">
        <v>-0.14947199999999999</v>
      </c>
      <c r="Z4840">
        <v>6.3372520000000002E-2</v>
      </c>
      <c r="AA4840">
        <v>0.98673299999999997</v>
      </c>
      <c r="AB4840">
        <v>31</v>
      </c>
      <c r="AC4840">
        <v>2.6627999999999399</v>
      </c>
      <c r="AD4840">
        <v>-1.112609528628</v>
      </c>
      <c r="AE4840">
        <v>-17.0036699999999</v>
      </c>
      <c r="AF4840">
        <v>-2.6115302988642699</v>
      </c>
      <c r="AG4840">
        <v>-1.112609528628</v>
      </c>
      <c r="AH4840">
        <v>16.939151118290699</v>
      </c>
      <c r="AI4840">
        <v>93.714188051504493</v>
      </c>
      <c r="AJ4840">
        <v>98.7643579877451</v>
      </c>
      <c r="AK4840">
        <v>17.175355340526998</v>
      </c>
      <c r="AL4840">
        <v>80.330072003929402</v>
      </c>
      <c r="AM4840">
        <v>93.549010967856702</v>
      </c>
      <c r="AN4840">
        <v>0.999999973132639</v>
      </c>
    </row>
    <row r="4841" spans="1:40" x14ac:dyDescent="0.25">
      <c r="A4841" t="str">
        <f>"20190312173028060"</f>
        <v>20190312173028060</v>
      </c>
      <c r="B4841" t="str">
        <f>"1552383028052734"</f>
        <v>1552383028052734</v>
      </c>
      <c r="C4841" t="s">
        <v>40</v>
      </c>
      <c r="D4841">
        <v>3.390692</v>
      </c>
      <c r="E4841">
        <v>0.46868359999999898</v>
      </c>
      <c r="F4841" t="s">
        <v>41</v>
      </c>
      <c r="G4841">
        <v>-420.55079999999998</v>
      </c>
      <c r="H4841" s="1">
        <v>-3.3233960000000001E-6</v>
      </c>
      <c r="I4841">
        <v>46.994399999999999</v>
      </c>
      <c r="J4841">
        <v>-423.29239999999999</v>
      </c>
      <c r="K4841">
        <v>1.112628</v>
      </c>
      <c r="L4841">
        <v>64.113190000000003</v>
      </c>
      <c r="M4841">
        <v>5.4904309999999996E-3</v>
      </c>
      <c r="N4841">
        <v>0</v>
      </c>
      <c r="O4841">
        <v>-0.99989090000000003</v>
      </c>
      <c r="P4841">
        <v>6.5536800000000006E-2</v>
      </c>
      <c r="Q4841">
        <v>0.1540166</v>
      </c>
      <c r="R4841">
        <v>-0.98589260000000001</v>
      </c>
      <c r="S4841">
        <v>0.4792786</v>
      </c>
      <c r="T4841">
        <v>-0.19422729999999999</v>
      </c>
      <c r="U4841">
        <v>-3.0428769999999998</v>
      </c>
      <c r="V4841">
        <v>-6.1145289999999998E-2</v>
      </c>
      <c r="W4841">
        <v>0.16716719999999999</v>
      </c>
      <c r="X4841">
        <v>0.98403070000000004</v>
      </c>
      <c r="Y4841">
        <v>-0.14985519999999999</v>
      </c>
      <c r="Z4841">
        <v>6.2952960000000002E-2</v>
      </c>
      <c r="AA4841">
        <v>0.98670170000000001</v>
      </c>
      <c r="AB4841">
        <v>31</v>
      </c>
      <c r="AC4841">
        <v>2.7416</v>
      </c>
      <c r="AD4841">
        <v>-1.1126313233959999</v>
      </c>
      <c r="AE4841">
        <v>-17.118790000000001</v>
      </c>
      <c r="AF4841">
        <v>-2.6367005740248302</v>
      </c>
      <c r="AG4841">
        <v>-1.1126313233959999</v>
      </c>
      <c r="AH4841">
        <v>17.063307632132901</v>
      </c>
      <c r="AI4841">
        <v>93.687113767778797</v>
      </c>
      <c r="AJ4841">
        <v>98.784131012928299</v>
      </c>
      <c r="AK4841">
        <v>17.301635926341401</v>
      </c>
      <c r="AL4841">
        <v>80.376845453175093</v>
      </c>
      <c r="AM4841">
        <v>93.555649783038504</v>
      </c>
      <c r="AN4841">
        <v>1.0000000188937499</v>
      </c>
    </row>
    <row r="4842" spans="1:40" x14ac:dyDescent="0.25">
      <c r="A4842" t="str">
        <f>"20190312173028082"</f>
        <v>20190312173028082</v>
      </c>
      <c r="B4842" t="str">
        <f>"1552383028072254"</f>
        <v>1552383028072254</v>
      </c>
      <c r="C4842" t="s">
        <v>40</v>
      </c>
      <c r="D4842">
        <v>3.420496</v>
      </c>
      <c r="E4842">
        <v>0.46829850000000001</v>
      </c>
      <c r="F4842" t="s">
        <v>41</v>
      </c>
      <c r="G4842">
        <v>-420.505</v>
      </c>
      <c r="H4842" s="1">
        <v>-2.7775009999999999E-6</v>
      </c>
      <c r="I4842">
        <v>45.750309999999999</v>
      </c>
      <c r="J4842">
        <v>-423.28769999999997</v>
      </c>
      <c r="K4842">
        <v>1.112636</v>
      </c>
      <c r="L4842">
        <v>63.813569999999999</v>
      </c>
      <c r="M4842">
        <v>8.4793400000000001E-3</v>
      </c>
      <c r="N4842">
        <v>0</v>
      </c>
      <c r="O4842">
        <v>-0.99987000000000004</v>
      </c>
      <c r="P4842">
        <v>6.8890649999999998E-2</v>
      </c>
      <c r="Q4842">
        <v>0.15316959999999999</v>
      </c>
      <c r="R4842">
        <v>-0.98579570000000005</v>
      </c>
      <c r="S4842">
        <v>0.46160889999999999</v>
      </c>
      <c r="T4842">
        <v>-0.1842608</v>
      </c>
      <c r="U4842">
        <v>-3.0410460000000001</v>
      </c>
      <c r="V4842">
        <v>-6.1551689999999999E-2</v>
      </c>
      <c r="W4842">
        <v>0.1663171</v>
      </c>
      <c r="X4842">
        <v>0.98414939999999995</v>
      </c>
      <c r="Y4842">
        <v>-0.1414154</v>
      </c>
      <c r="Z4842">
        <v>5.9831780000000001E-2</v>
      </c>
      <c r="AA4842">
        <v>0.98814060000000004</v>
      </c>
      <c r="AB4842">
        <v>31</v>
      </c>
      <c r="AC4842">
        <v>2.78269999999997</v>
      </c>
      <c r="AD4842">
        <v>-1.112638777501</v>
      </c>
      <c r="AE4842">
        <v>-18.06326</v>
      </c>
      <c r="AF4842">
        <v>-2.61971181864266</v>
      </c>
      <c r="AG4842">
        <v>-1.112638777501</v>
      </c>
      <c r="AH4842">
        <v>18.0194244571382</v>
      </c>
      <c r="AI4842">
        <v>93.496668409147702</v>
      </c>
      <c r="AJ4842">
        <v>98.2718592609002</v>
      </c>
      <c r="AK4842">
        <v>18.2428208572152</v>
      </c>
      <c r="AL4842">
        <v>80.426244112842696</v>
      </c>
      <c r="AM4842">
        <v>93.5787904766065</v>
      </c>
      <c r="AN4842">
        <v>1.0000000149073101</v>
      </c>
    </row>
    <row r="4843" spans="1:40" x14ac:dyDescent="0.25">
      <c r="A4843" t="str">
        <f>"20190312173028103"</f>
        <v>20190312173028103</v>
      </c>
      <c r="B4843" t="str">
        <f>"1552383028092750"</f>
        <v>1552383028092750</v>
      </c>
      <c r="C4843" t="s">
        <v>40</v>
      </c>
      <c r="D4843">
        <v>3.3876249999999999</v>
      </c>
      <c r="E4843">
        <v>0.46830749999999999</v>
      </c>
      <c r="F4843" t="s">
        <v>41</v>
      </c>
      <c r="G4843">
        <v>-420.56900000000002</v>
      </c>
      <c r="H4843" s="1">
        <v>-3.074433E-6</v>
      </c>
      <c r="I4843">
        <v>46.402790000000003</v>
      </c>
      <c r="J4843">
        <v>-423.28199999999998</v>
      </c>
      <c r="K4843">
        <v>1.112643</v>
      </c>
      <c r="L4843">
        <v>63.510739999999998</v>
      </c>
      <c r="M4843">
        <v>1.149184E-2</v>
      </c>
      <c r="N4843">
        <v>0</v>
      </c>
      <c r="O4843">
        <v>-0.99983999999999995</v>
      </c>
      <c r="P4843">
        <v>7.1852620000000006E-2</v>
      </c>
      <c r="Q4843">
        <v>0.15210670000000001</v>
      </c>
      <c r="R4843">
        <v>-0.98574890000000004</v>
      </c>
      <c r="S4843">
        <v>0.47473140000000003</v>
      </c>
      <c r="T4843">
        <v>-0.19428790000000001</v>
      </c>
      <c r="U4843">
        <v>-3.0402529999999999</v>
      </c>
      <c r="V4843">
        <v>-6.1538900000000001E-2</v>
      </c>
      <c r="W4843">
        <v>0.16525529999999999</v>
      </c>
      <c r="X4843">
        <v>0.98432900000000001</v>
      </c>
      <c r="Y4843">
        <v>-0.1426067</v>
      </c>
      <c r="Z4843">
        <v>6.3062380000000001E-2</v>
      </c>
      <c r="AA4843">
        <v>0.98776839999999999</v>
      </c>
      <c r="AB4843">
        <v>31</v>
      </c>
      <c r="AC4843">
        <v>2.7129999999999601</v>
      </c>
      <c r="AD4843">
        <v>-1.112646074433</v>
      </c>
      <c r="AE4843">
        <v>-17.107949999999999</v>
      </c>
      <c r="AF4843">
        <v>-2.5058612798229101</v>
      </c>
      <c r="AG4843">
        <v>-1.112646074433</v>
      </c>
      <c r="AH4843">
        <v>17.067579172821699</v>
      </c>
      <c r="AI4843">
        <v>93.690417290431995</v>
      </c>
      <c r="AJ4843">
        <v>98.352489462731398</v>
      </c>
      <c r="AK4843">
        <v>17.286398724465499</v>
      </c>
      <c r="AL4843">
        <v>80.4879339860817</v>
      </c>
      <c r="AM4843">
        <v>93.577397608902203</v>
      </c>
      <c r="AN4843">
        <v>0.99999996531614899</v>
      </c>
    </row>
    <row r="4844" spans="1:40" x14ac:dyDescent="0.25">
      <c r="A4844" t="str">
        <f>"20190312173028125"</f>
        <v>20190312173028125</v>
      </c>
      <c r="B4844" t="str">
        <f>"1552383028123007"</f>
        <v>1552383028123007</v>
      </c>
      <c r="C4844" t="s">
        <v>40</v>
      </c>
      <c r="D4844">
        <v>3.3821720000000002</v>
      </c>
      <c r="E4844">
        <v>0.4686458</v>
      </c>
      <c r="F4844" t="s">
        <v>41</v>
      </c>
      <c r="G4844">
        <v>-420.62419999999997</v>
      </c>
      <c r="H4844" s="1">
        <v>-3.269883E-6</v>
      </c>
      <c r="I4844">
        <v>46.824150000000003</v>
      </c>
      <c r="J4844">
        <v>-423.27510000000001</v>
      </c>
      <c r="K4844">
        <v>1.1126469999999999</v>
      </c>
      <c r="L4844">
        <v>63.201779999999999</v>
      </c>
      <c r="M4844">
        <v>1.455474E-2</v>
      </c>
      <c r="N4844">
        <v>0</v>
      </c>
      <c r="O4844">
        <v>-0.99980009999999997</v>
      </c>
      <c r="P4844">
        <v>7.509615E-2</v>
      </c>
      <c r="Q4844">
        <v>0.15137929999999999</v>
      </c>
      <c r="R4844">
        <v>-0.98561940000000003</v>
      </c>
      <c r="S4844">
        <v>0.48410029999999998</v>
      </c>
      <c r="T4844">
        <v>-0.20266010000000001</v>
      </c>
      <c r="U4844">
        <v>-3.0393370000000002</v>
      </c>
      <c r="V4844">
        <v>-6.1758670000000002E-2</v>
      </c>
      <c r="W4844">
        <v>0.164526799999999</v>
      </c>
      <c r="X4844">
        <v>0.98443729999999996</v>
      </c>
      <c r="Y4844">
        <v>-0.14256350000000001</v>
      </c>
      <c r="Z4844">
        <v>6.5768359999999998E-2</v>
      </c>
      <c r="AA4844">
        <v>0.98759819999999998</v>
      </c>
      <c r="AB4844">
        <v>31</v>
      </c>
      <c r="AC4844">
        <v>2.6509000000000298</v>
      </c>
      <c r="AD4844">
        <v>-1.1126502698830001</v>
      </c>
      <c r="AE4844">
        <v>-16.37763</v>
      </c>
      <c r="AF4844">
        <v>-2.4014238868777502</v>
      </c>
      <c r="AG4844">
        <v>-1.1126502698830001</v>
      </c>
      <c r="AH4844">
        <v>16.3409859480279</v>
      </c>
      <c r="AI4844">
        <v>93.853964401188705</v>
      </c>
      <c r="AJ4844">
        <v>98.360181022743703</v>
      </c>
      <c r="AK4844">
        <v>16.5539315288297</v>
      </c>
      <c r="AL4844">
        <v>80.530253564980399</v>
      </c>
      <c r="AM4844">
        <v>93.589746062842195</v>
      </c>
      <c r="AN4844">
        <v>0.99999999943484896</v>
      </c>
    </row>
    <row r="4845" spans="1:40" x14ac:dyDescent="0.25">
      <c r="A4845" t="str">
        <f>"20190312173028148"</f>
        <v>20190312173028148</v>
      </c>
      <c r="B4845" t="str">
        <f>"1552383028142530"</f>
        <v>1552383028142530</v>
      </c>
      <c r="C4845" t="s">
        <v>40</v>
      </c>
      <c r="D4845">
        <v>3.3756490000000001</v>
      </c>
      <c r="E4845">
        <v>0.4689509</v>
      </c>
      <c r="F4845" t="s">
        <v>41</v>
      </c>
      <c r="G4845">
        <v>-420.65260000000001</v>
      </c>
      <c r="H4845" s="1">
        <v>-3.3550909999999998E-6</v>
      </c>
      <c r="I4845">
        <v>47.00517</v>
      </c>
      <c r="J4845">
        <v>-423.26729999999998</v>
      </c>
      <c r="K4845">
        <v>1.1126480000000001</v>
      </c>
      <c r="L4845">
        <v>62.888640000000002</v>
      </c>
      <c r="M4845">
        <v>1.765421E-2</v>
      </c>
      <c r="N4845">
        <v>0</v>
      </c>
      <c r="O4845">
        <v>-0.99975009999999997</v>
      </c>
      <c r="P4845">
        <v>7.8840350000000003E-2</v>
      </c>
      <c r="Q4845">
        <v>0.1513534</v>
      </c>
      <c r="R4845">
        <v>-0.98533079999999995</v>
      </c>
      <c r="S4845">
        <v>0.49197390000000002</v>
      </c>
      <c r="T4845">
        <v>-0.20872260000000001</v>
      </c>
      <c r="U4845">
        <v>-3.0383300000000002</v>
      </c>
      <c r="V4845">
        <v>-6.2449030000000003E-2</v>
      </c>
      <c r="W4845">
        <v>0.16449530000000001</v>
      </c>
      <c r="X4845">
        <v>0.98439900000000002</v>
      </c>
      <c r="Y4845">
        <v>-0.14201989999999901</v>
      </c>
      <c r="Z4845">
        <v>6.7732699999999896E-2</v>
      </c>
      <c r="AA4845">
        <v>0.98754379999999997</v>
      </c>
      <c r="AB4845">
        <v>31</v>
      </c>
      <c r="AC4845">
        <v>2.6146999999999698</v>
      </c>
      <c r="AD4845">
        <v>-1.11265135509099</v>
      </c>
      <c r="AE4845">
        <v>-15.883470000000001</v>
      </c>
      <c r="AF4845">
        <v>-2.3227585938395698</v>
      </c>
      <c r="AG4845">
        <v>-1.11265135509099</v>
      </c>
      <c r="AH4845">
        <v>15.8514262302162</v>
      </c>
      <c r="AI4845">
        <v>93.972860912628406</v>
      </c>
      <c r="AJ4845">
        <v>98.336399677856704</v>
      </c>
      <c r="AK4845">
        <v>16.059293697271599</v>
      </c>
      <c r="AL4845">
        <v>80.5320832039328</v>
      </c>
      <c r="AM4845">
        <v>93.629907656495106</v>
      </c>
      <c r="AN4845">
        <v>0.99999998813551505</v>
      </c>
    </row>
    <row r="4846" spans="1:40" x14ac:dyDescent="0.25">
      <c r="A4846" t="str">
        <f>"20190312173028170"</f>
        <v>20190312173028170</v>
      </c>
      <c r="B4846" t="str">
        <f>"1552383028163026"</f>
        <v>1552383028163026</v>
      </c>
      <c r="C4846" t="s">
        <v>40</v>
      </c>
      <c r="D4846">
        <v>3.360541</v>
      </c>
      <c r="E4846">
        <v>0.46929660000000001</v>
      </c>
      <c r="F4846" t="s">
        <v>41</v>
      </c>
      <c r="G4846">
        <v>-420.63929999999999</v>
      </c>
      <c r="H4846" s="1">
        <v>-3.3151639999999999E-6</v>
      </c>
      <c r="I4846">
        <v>46.92033</v>
      </c>
      <c r="J4846">
        <v>-423.2586</v>
      </c>
      <c r="K4846">
        <v>1.1126499999999999</v>
      </c>
      <c r="L4846">
        <v>62.578740000000003</v>
      </c>
      <c r="M4846">
        <v>2.0719339999999999E-2</v>
      </c>
      <c r="N4846">
        <v>0</v>
      </c>
      <c r="O4846">
        <v>-0.99969140000000001</v>
      </c>
      <c r="P4846">
        <v>8.2691399999999998E-2</v>
      </c>
      <c r="Q4846">
        <v>0.1520273</v>
      </c>
      <c r="R4846">
        <v>-0.98491139999999999</v>
      </c>
      <c r="S4846">
        <v>0.4998474</v>
      </c>
      <c r="T4846">
        <v>-0.21162610000000001</v>
      </c>
      <c r="U4846">
        <v>-3.0371700000000001</v>
      </c>
      <c r="V4846">
        <v>-6.3286770000000006E-2</v>
      </c>
      <c r="W4846">
        <v>0.16516220000000001</v>
      </c>
      <c r="X4846">
        <v>0.98423389999999999</v>
      </c>
      <c r="Y4846">
        <v>-0.14152779999999901</v>
      </c>
      <c r="Z4846">
        <v>6.8678390000000006E-2</v>
      </c>
      <c r="AA4846">
        <v>0.98754909999999996</v>
      </c>
      <c r="AB4846">
        <v>31</v>
      </c>
      <c r="AC4846">
        <v>2.6193</v>
      </c>
      <c r="AD4846">
        <v>-1.1126533151639999</v>
      </c>
      <c r="AE4846">
        <v>-15.65841</v>
      </c>
      <c r="AF4846">
        <v>-2.2830613243214102</v>
      </c>
      <c r="AG4846">
        <v>-1.1126533151639999</v>
      </c>
      <c r="AH4846">
        <v>15.6325396524051</v>
      </c>
      <c r="AI4846">
        <v>94.0285944766716</v>
      </c>
      <c r="AJ4846">
        <v>98.309045040675798</v>
      </c>
      <c r="AK4846">
        <v>15.8375080866396</v>
      </c>
      <c r="AL4846">
        <v>80.493343536707002</v>
      </c>
      <c r="AM4846">
        <v>93.679084603176506</v>
      </c>
      <c r="AN4846">
        <v>1.0000000687375299</v>
      </c>
    </row>
    <row r="4847" spans="1:40" x14ac:dyDescent="0.25">
      <c r="A4847" t="str">
        <f>"20190312173028193"</f>
        <v>20190312173028193</v>
      </c>
      <c r="B4847" t="str">
        <f>"1552383028182542"</f>
        <v>1552383028182542</v>
      </c>
      <c r="C4847" t="s">
        <v>40</v>
      </c>
      <c r="D4847">
        <v>3.382946</v>
      </c>
      <c r="E4847">
        <v>0.4727152</v>
      </c>
      <c r="F4847" t="s">
        <v>41</v>
      </c>
      <c r="G4847">
        <v>-420.57600000000002</v>
      </c>
      <c r="H4847" s="1">
        <v>-3.1445569999999998E-6</v>
      </c>
      <c r="I4847">
        <v>46.561889999999998</v>
      </c>
      <c r="J4847">
        <v>-423.2491</v>
      </c>
      <c r="K4847">
        <v>1.1126499999999999</v>
      </c>
      <c r="L4847">
        <v>62.27646</v>
      </c>
      <c r="M4847">
        <v>2.3706830000000002E-2</v>
      </c>
      <c r="N4847">
        <v>0</v>
      </c>
      <c r="O4847">
        <v>-0.99962490000000004</v>
      </c>
      <c r="P4847">
        <v>8.5875789999999994E-2</v>
      </c>
      <c r="Q4847">
        <v>0.153555</v>
      </c>
      <c r="R4847">
        <v>-0.98440159999999999</v>
      </c>
      <c r="S4847">
        <v>0.50845340000000006</v>
      </c>
      <c r="T4847">
        <v>-0.21089179999999999</v>
      </c>
      <c r="U4847">
        <v>-3.035828</v>
      </c>
      <c r="V4847">
        <v>-6.3542470000000004E-2</v>
      </c>
      <c r="W4847">
        <v>0.16668429999999901</v>
      </c>
      <c r="X4847">
        <v>0.98396070000000002</v>
      </c>
      <c r="Y4847">
        <v>-0.14136650000000001</v>
      </c>
      <c r="Z4847">
        <v>6.844923E-2</v>
      </c>
      <c r="AA4847">
        <v>0.98758809999999997</v>
      </c>
      <c r="AB4847">
        <v>31</v>
      </c>
      <c r="AC4847">
        <v>2.67310000000003</v>
      </c>
      <c r="AD4847">
        <v>-1.11265314455699</v>
      </c>
      <c r="AE4847">
        <v>-15.714569999999901</v>
      </c>
      <c r="AF4847">
        <v>-2.2886202676207201</v>
      </c>
      <c r="AG4847">
        <v>-1.11265314455699</v>
      </c>
      <c r="AH4847">
        <v>15.697049902891001</v>
      </c>
      <c r="AI4847">
        <v>94.012232304148895</v>
      </c>
      <c r="AJ4847">
        <v>98.295240532496393</v>
      </c>
      <c r="AK4847">
        <v>15.9019858949537</v>
      </c>
      <c r="AL4847">
        <v>80.404906933306705</v>
      </c>
      <c r="AM4847">
        <v>93.694931063666104</v>
      </c>
      <c r="AN4847">
        <v>0.99999998025234005</v>
      </c>
    </row>
    <row r="4848" spans="1:40" x14ac:dyDescent="0.25">
      <c r="A4848" t="str">
        <f>"20190312173028215"</f>
        <v>20190312173028215</v>
      </c>
      <c r="B4848" t="str">
        <f>"1552383028212799"</f>
        <v>1552383028212799</v>
      </c>
      <c r="C4848" t="s">
        <v>40</v>
      </c>
      <c r="D4848">
        <v>3.355289</v>
      </c>
      <c r="E4848">
        <v>0.47353289999999998</v>
      </c>
      <c r="F4848" t="s">
        <v>41</v>
      </c>
      <c r="G4848">
        <v>-420.80340000000001</v>
      </c>
      <c r="H4848" s="1">
        <v>-3.4622239999999999E-6</v>
      </c>
      <c r="I4848">
        <v>47.161349999999999</v>
      </c>
      <c r="J4848">
        <v>-423.23869999999999</v>
      </c>
      <c r="K4848">
        <v>1.1126450000000001</v>
      </c>
      <c r="L4848">
        <v>61.969700000000003</v>
      </c>
      <c r="M4848">
        <v>2.6733639999999999E-2</v>
      </c>
      <c r="N4848">
        <v>0</v>
      </c>
      <c r="O4848">
        <v>-0.9995484</v>
      </c>
      <c r="P4848">
        <v>8.963219E-2</v>
      </c>
      <c r="Q4848">
        <v>0.15427449999999901</v>
      </c>
      <c r="R4848">
        <v>-0.98395410000000005</v>
      </c>
      <c r="S4848">
        <v>0.49182130000000002</v>
      </c>
      <c r="T4848">
        <v>-0.22374520000000001</v>
      </c>
      <c r="U4848">
        <v>-3.03952</v>
      </c>
      <c r="V4848">
        <v>-6.4325160000000006E-2</v>
      </c>
      <c r="W4848">
        <v>0.16739709999999999</v>
      </c>
      <c r="X4848">
        <v>0.98378880000000002</v>
      </c>
      <c r="Y4848">
        <v>-0.13286020000000001</v>
      </c>
      <c r="Z4848">
        <v>7.2579400000000002E-2</v>
      </c>
      <c r="AA4848">
        <v>0.98847379999999996</v>
      </c>
      <c r="AB4848">
        <v>31</v>
      </c>
      <c r="AC4848">
        <v>2.4352999999999798</v>
      </c>
      <c r="AD4848">
        <v>-1.112648462224</v>
      </c>
      <c r="AE4848">
        <v>-14.808350000000001</v>
      </c>
      <c r="AF4848">
        <v>-2.0273669546538899</v>
      </c>
      <c r="AG4848">
        <v>-1.112648462224</v>
      </c>
      <c r="AH4848">
        <v>14.7868858208381</v>
      </c>
      <c r="AI4848">
        <v>94.263411537756198</v>
      </c>
      <c r="AJ4848">
        <v>97.806905175605706</v>
      </c>
      <c r="AK4848">
        <v>14.966636083229099</v>
      </c>
      <c r="AL4848">
        <v>80.363484309660507</v>
      </c>
      <c r="AM4848">
        <v>93.740966992240899</v>
      </c>
      <c r="AN4848">
        <v>0.99999995915143702</v>
      </c>
    </row>
    <row r="4849" spans="1:40" x14ac:dyDescent="0.25">
      <c r="A4849" t="str">
        <f>"20190312173028239"</f>
        <v>20190312173028239</v>
      </c>
      <c r="B4849" t="str">
        <f>"1552383028232318"</f>
        <v>1552383028232318</v>
      </c>
      <c r="C4849" t="s">
        <v>40</v>
      </c>
      <c r="D4849">
        <v>3.3153679999999999</v>
      </c>
      <c r="E4849">
        <v>0.47380800000000001</v>
      </c>
      <c r="F4849" t="s">
        <v>41</v>
      </c>
      <c r="G4849">
        <v>-420.75439999999998</v>
      </c>
      <c r="H4849" s="1">
        <v>-3.2870040000000001E-6</v>
      </c>
      <c r="I4849">
        <v>46.783320000000003</v>
      </c>
      <c r="J4849">
        <v>-423.22660000000002</v>
      </c>
      <c r="K4849">
        <v>1.1126339999999999</v>
      </c>
      <c r="L4849">
        <v>61.6464199999999</v>
      </c>
      <c r="M4849">
        <v>2.9909350000000001E-2</v>
      </c>
      <c r="N4849">
        <v>0</v>
      </c>
      <c r="O4849">
        <v>-0.99945839999999997</v>
      </c>
      <c r="P4849">
        <v>9.3540830000000005E-2</v>
      </c>
      <c r="Q4849">
        <v>0.15391759999999999</v>
      </c>
      <c r="R4849">
        <v>-0.98364620000000003</v>
      </c>
      <c r="S4849">
        <v>0.49707030000000002</v>
      </c>
      <c r="T4849">
        <v>-0.2226225</v>
      </c>
      <c r="U4849">
        <v>-3.0385439999999999</v>
      </c>
      <c r="V4849">
        <v>-6.5100859999999997E-2</v>
      </c>
      <c r="W4849">
        <v>0.16703599999999999</v>
      </c>
      <c r="X4849">
        <v>0.98379919999999998</v>
      </c>
      <c r="Y4849">
        <v>-0.13142889999999999</v>
      </c>
      <c r="Z4849">
        <v>7.2227199999999894E-2</v>
      </c>
      <c r="AA4849">
        <v>0.98869090000000004</v>
      </c>
      <c r="AB4849">
        <v>31</v>
      </c>
      <c r="AC4849">
        <v>2.4722000000000399</v>
      </c>
      <c r="AD4849">
        <v>-1.112637287004</v>
      </c>
      <c r="AE4849">
        <v>-14.8630999999999</v>
      </c>
      <c r="AF4849">
        <v>-2.0155156101028</v>
      </c>
      <c r="AG4849">
        <v>-1.112637287004</v>
      </c>
      <c r="AH4849">
        <v>14.849424009701901</v>
      </c>
      <c r="AI4849">
        <v>94.246258832565204</v>
      </c>
      <c r="AJ4849">
        <v>97.729533534949994</v>
      </c>
      <c r="AK4849">
        <v>15.026831280310301</v>
      </c>
      <c r="AL4849">
        <v>80.384469741524399</v>
      </c>
      <c r="AM4849">
        <v>93.785909154771005</v>
      </c>
      <c r="AN4849">
        <v>1.0000000065946799</v>
      </c>
    </row>
    <row r="4850" spans="1:40" x14ac:dyDescent="0.25">
      <c r="A4850" t="str">
        <f>"20190312173028261"</f>
        <v>20190312173028261</v>
      </c>
      <c r="B4850" t="str">
        <f>"1552383028252814"</f>
        <v>1552383028252814</v>
      </c>
      <c r="C4850" t="s">
        <v>40</v>
      </c>
      <c r="D4850">
        <v>3.3475600000000001</v>
      </c>
      <c r="E4850">
        <v>0.47455439999999999</v>
      </c>
      <c r="F4850" t="s">
        <v>41</v>
      </c>
      <c r="G4850">
        <v>-420.7079</v>
      </c>
      <c r="H4850" s="1">
        <v>-3.160926E-6</v>
      </c>
      <c r="I4850">
        <v>46.518219999999999</v>
      </c>
      <c r="J4850">
        <v>-423.21449999999999</v>
      </c>
      <c r="K4850">
        <v>1.112611</v>
      </c>
      <c r="L4850">
        <v>61.344940000000001</v>
      </c>
      <c r="M4850">
        <v>3.2845829999999999E-2</v>
      </c>
      <c r="N4850">
        <v>0</v>
      </c>
      <c r="O4850">
        <v>-0.99936619999999998</v>
      </c>
      <c r="P4850">
        <v>9.7156919999999994E-2</v>
      </c>
      <c r="Q4850">
        <v>0.15407599999999999</v>
      </c>
      <c r="R4850">
        <v>-0.98327050000000005</v>
      </c>
      <c r="S4850">
        <v>0.5055847</v>
      </c>
      <c r="T4850">
        <v>-0.22334399999999999</v>
      </c>
      <c r="U4850">
        <v>-3.036743</v>
      </c>
      <c r="V4850">
        <v>-6.5822459999999999E-2</v>
      </c>
      <c r="W4850">
        <v>0.16719110000000001</v>
      </c>
      <c r="X4850">
        <v>0.98372479999999995</v>
      </c>
      <c r="Y4850">
        <v>-0.13130530000000001</v>
      </c>
      <c r="Z4850">
        <v>7.2476429999999994E-2</v>
      </c>
      <c r="AA4850">
        <v>0.98868909999999999</v>
      </c>
      <c r="AB4850">
        <v>31</v>
      </c>
      <c r="AC4850">
        <v>2.5065999999999899</v>
      </c>
      <c r="AD4850">
        <v>-1.1126141609260001</v>
      </c>
      <c r="AE4850">
        <v>-14.82672</v>
      </c>
      <c r="AF4850">
        <v>-2.0072165544953098</v>
      </c>
      <c r="AG4850">
        <v>-1.1126141609260001</v>
      </c>
      <c r="AH4850">
        <v>14.8199229027377</v>
      </c>
      <c r="AI4850">
        <v>94.254756039377</v>
      </c>
      <c r="AJ4850">
        <v>97.713228761037101</v>
      </c>
      <c r="AK4850">
        <v>14.9965643869128</v>
      </c>
      <c r="AL4850">
        <v>80.375456073301706</v>
      </c>
      <c r="AM4850">
        <v>93.828038020594093</v>
      </c>
      <c r="AN4850">
        <v>0.99999997114734995</v>
      </c>
    </row>
    <row r="4851" spans="1:40" x14ac:dyDescent="0.25">
      <c r="A4851" t="str">
        <f>"20190312173028283"</f>
        <v>20190312173028283</v>
      </c>
      <c r="B4851" t="str">
        <f>"1552383028272334"</f>
        <v>1552383028272334</v>
      </c>
      <c r="C4851" t="s">
        <v>40</v>
      </c>
      <c r="D4851">
        <v>3.3280020000000001</v>
      </c>
      <c r="E4851">
        <v>0.47493770000000002</v>
      </c>
      <c r="F4851" t="s">
        <v>41</v>
      </c>
      <c r="G4851">
        <v>-420.67939999999999</v>
      </c>
      <c r="H4851" s="1">
        <v>-3.0482019999999999E-6</v>
      </c>
      <c r="I4851">
        <v>46.273180000000004</v>
      </c>
      <c r="J4851">
        <v>-423.20150000000001</v>
      </c>
      <c r="K4851">
        <v>1.112584</v>
      </c>
      <c r="L4851">
        <v>61.042909999999999</v>
      </c>
      <c r="M4851">
        <v>3.5749900000000001E-2</v>
      </c>
      <c r="N4851">
        <v>0</v>
      </c>
      <c r="O4851">
        <v>-0.99926689999999996</v>
      </c>
      <c r="P4851">
        <v>0.1006518</v>
      </c>
      <c r="Q4851">
        <v>0.15367999999999901</v>
      </c>
      <c r="R4851">
        <v>-0.9829812</v>
      </c>
      <c r="S4851">
        <v>0.51062010000000002</v>
      </c>
      <c r="T4851">
        <v>-0.2240992</v>
      </c>
      <c r="U4851">
        <v>-3.0357059999999998</v>
      </c>
      <c r="V4851">
        <v>-6.6445219999999999E-2</v>
      </c>
      <c r="W4851">
        <v>0.16679479999999999</v>
      </c>
      <c r="X4851">
        <v>0.98375020000000002</v>
      </c>
      <c r="Y4851">
        <v>-0.1300714</v>
      </c>
      <c r="Z4851">
        <v>7.2729790000000002E-2</v>
      </c>
      <c r="AA4851">
        <v>0.98883350000000003</v>
      </c>
      <c r="AB4851">
        <v>31</v>
      </c>
      <c r="AC4851">
        <v>2.52210000000002</v>
      </c>
      <c r="AD4851">
        <v>-1.1125870482019999</v>
      </c>
      <c r="AE4851">
        <v>-14.769729999999999</v>
      </c>
      <c r="AF4851">
        <v>-1.9814962803726199</v>
      </c>
      <c r="AG4851">
        <v>-1.1125870482019999</v>
      </c>
      <c r="AH4851">
        <v>14.769028778561101</v>
      </c>
      <c r="AI4851">
        <v>94.269978115507499</v>
      </c>
      <c r="AJ4851">
        <v>97.641493249857106</v>
      </c>
      <c r="AK4851">
        <v>14.942837364801999</v>
      </c>
      <c r="AL4851">
        <v>80.398485706010703</v>
      </c>
      <c r="AM4851">
        <v>93.864047205602603</v>
      </c>
      <c r="AN4851">
        <v>0.99999996428396298</v>
      </c>
    </row>
    <row r="4852" spans="1:40" x14ac:dyDescent="0.25">
      <c r="A4852" t="str">
        <f>"20190312173028304"</f>
        <v>20190312173028304</v>
      </c>
      <c r="B4852" t="str">
        <f>"1552383028302924"</f>
        <v>1552383028302924</v>
      </c>
      <c r="C4852" t="s">
        <v>40</v>
      </c>
      <c r="D4852">
        <v>3.3250090000000001</v>
      </c>
      <c r="E4852">
        <v>0.47531319999999999</v>
      </c>
      <c r="F4852" t="s">
        <v>41</v>
      </c>
      <c r="G4852">
        <v>-420.65949999999998</v>
      </c>
      <c r="H4852" s="1">
        <v>-2.990769E-6</v>
      </c>
      <c r="I4852">
        <v>46.151609999999998</v>
      </c>
      <c r="J4852">
        <v>-423.1875</v>
      </c>
      <c r="K4852">
        <v>1.1125350000000001</v>
      </c>
      <c r="L4852">
        <v>60.738860000000003</v>
      </c>
      <c r="M4852">
        <v>3.8615450000000003E-2</v>
      </c>
      <c r="N4852">
        <v>0</v>
      </c>
      <c r="O4852">
        <v>-0.9991603</v>
      </c>
      <c r="P4852">
        <v>0.10431889999999901</v>
      </c>
      <c r="Q4852">
        <v>0.15337919999999999</v>
      </c>
      <c r="R4852">
        <v>-0.98264609999999997</v>
      </c>
      <c r="S4852">
        <v>0.51797490000000002</v>
      </c>
      <c r="T4852">
        <v>-0.2267091</v>
      </c>
      <c r="U4852">
        <v>-3.0343629999999999</v>
      </c>
      <c r="V4852">
        <v>-6.7275199999999993E-2</v>
      </c>
      <c r="W4852">
        <v>0.166493</v>
      </c>
      <c r="X4852">
        <v>0.98374499999999998</v>
      </c>
      <c r="Y4852">
        <v>-0.12961900000000001</v>
      </c>
      <c r="Z4852">
        <v>7.3579889999999995E-2</v>
      </c>
      <c r="AA4852">
        <v>0.98883010000000005</v>
      </c>
      <c r="AB4852">
        <v>31</v>
      </c>
      <c r="AC4852">
        <v>2.52800000000002</v>
      </c>
      <c r="AD4852">
        <v>-1.1125379907690001</v>
      </c>
      <c r="AE4852">
        <v>-14.5872499999999</v>
      </c>
      <c r="AF4852">
        <v>-1.9517462168177</v>
      </c>
      <c r="AG4852">
        <v>-1.1125379907690001</v>
      </c>
      <c r="AH4852">
        <v>14.5915956684068</v>
      </c>
      <c r="AI4852">
        <v>94.321746293399897</v>
      </c>
      <c r="AJ4852">
        <v>97.618562384953293</v>
      </c>
      <c r="AK4852">
        <v>14.763526618868401</v>
      </c>
      <c r="AL4852">
        <v>80.416023604342797</v>
      </c>
      <c r="AM4852">
        <v>93.912185417879897</v>
      </c>
      <c r="AN4852">
        <v>1.0000000483045099</v>
      </c>
    </row>
    <row r="4853" spans="1:40" x14ac:dyDescent="0.25">
      <c r="A4853" t="str">
        <f>"20190312173028328"</f>
        <v>20190312173028328</v>
      </c>
      <c r="B4853" t="str">
        <f>"1552383028322444"</f>
        <v>1552383028322444</v>
      </c>
      <c r="C4853" t="s">
        <v>40</v>
      </c>
      <c r="D4853">
        <v>3.327137</v>
      </c>
      <c r="E4853">
        <v>0.47902240000000001</v>
      </c>
      <c r="F4853" t="s">
        <v>41</v>
      </c>
      <c r="G4853">
        <v>-420.61329999999998</v>
      </c>
      <c r="H4853" s="1">
        <v>-2.876543E-6</v>
      </c>
      <c r="I4853">
        <v>45.913989999999998</v>
      </c>
      <c r="J4853">
        <v>-423.17239999999998</v>
      </c>
      <c r="K4853">
        <v>1.1124769999999999</v>
      </c>
      <c r="L4853">
        <v>60.4276699999999</v>
      </c>
      <c r="M4853">
        <v>4.1474959999999998E-2</v>
      </c>
      <c r="N4853">
        <v>0</v>
      </c>
      <c r="O4853">
        <v>-0.99904539999999997</v>
      </c>
      <c r="P4853">
        <v>0.1077463</v>
      </c>
      <c r="Q4853">
        <v>0.1530368</v>
      </c>
      <c r="R4853">
        <v>-0.98232929999999996</v>
      </c>
      <c r="S4853">
        <v>0.52658079999999996</v>
      </c>
      <c r="T4853">
        <v>-0.22758210000000001</v>
      </c>
      <c r="U4853">
        <v>-3.0325929999999999</v>
      </c>
      <c r="V4853">
        <v>-6.7865949999999994E-2</v>
      </c>
      <c r="W4853">
        <v>0.166154</v>
      </c>
      <c r="X4853">
        <v>0.98376169999999996</v>
      </c>
      <c r="Y4853">
        <v>-0.12959849999999901</v>
      </c>
      <c r="Z4853">
        <v>7.3873739999999993E-2</v>
      </c>
      <c r="AA4853">
        <v>0.98881079999999999</v>
      </c>
      <c r="AB4853">
        <v>31</v>
      </c>
      <c r="AC4853">
        <v>2.5590999999999999</v>
      </c>
      <c r="AD4853">
        <v>-1.112479876543</v>
      </c>
      <c r="AE4853">
        <v>-14.5136799999999</v>
      </c>
      <c r="AF4853">
        <v>-1.94381057317602</v>
      </c>
      <c r="AG4853">
        <v>-1.112479876543</v>
      </c>
      <c r="AH4853">
        <v>14.524574833340299</v>
      </c>
      <c r="AI4853">
        <v>94.341345889061301</v>
      </c>
      <c r="AJ4853">
        <v>97.622549935290905</v>
      </c>
      <c r="AK4853">
        <v>14.696233704912499</v>
      </c>
      <c r="AL4853">
        <v>80.435720872640005</v>
      </c>
      <c r="AM4853">
        <v>93.946363833051194</v>
      </c>
      <c r="AN4853">
        <v>1.00000001063614</v>
      </c>
    </row>
    <row r="4854" spans="1:40" x14ac:dyDescent="0.25">
      <c r="A4854" t="str">
        <f>"20190312173028350"</f>
        <v>20190312173028350</v>
      </c>
      <c r="B4854" t="str">
        <f>"1552383028342941"</f>
        <v>1552383028342941</v>
      </c>
      <c r="C4854" t="s">
        <v>40</v>
      </c>
      <c r="D4854">
        <v>3.3199519999999998</v>
      </c>
      <c r="E4854">
        <v>0.4789717</v>
      </c>
      <c r="F4854" t="s">
        <v>41</v>
      </c>
      <c r="G4854">
        <v>-420.76459999999997</v>
      </c>
      <c r="H4854" s="1">
        <v>-2.9663450000000001E-6</v>
      </c>
      <c r="I4854">
        <v>46.02948</v>
      </c>
      <c r="J4854">
        <v>-423.1567</v>
      </c>
      <c r="K4854">
        <v>1.11242</v>
      </c>
      <c r="L4854">
        <v>60.121549999999999</v>
      </c>
      <c r="M4854">
        <v>4.4220259999999997E-2</v>
      </c>
      <c r="N4854">
        <v>0</v>
      </c>
      <c r="O4854">
        <v>-0.99892800000000004</v>
      </c>
      <c r="P4854">
        <v>0.1113556</v>
      </c>
      <c r="Q4854">
        <v>0.15281649999999999</v>
      </c>
      <c r="R4854">
        <v>-0.98196119999999998</v>
      </c>
      <c r="S4854">
        <v>0.50750729999999999</v>
      </c>
      <c r="T4854">
        <v>-0.23448620000000001</v>
      </c>
      <c r="U4854">
        <v>-3.034821</v>
      </c>
      <c r="V4854">
        <v>-6.8753679999999998E-2</v>
      </c>
      <c r="W4854">
        <v>0.16593440000000001</v>
      </c>
      <c r="X4854">
        <v>0.98373710000000003</v>
      </c>
      <c r="Y4854">
        <v>-0.1206792</v>
      </c>
      <c r="Z4854">
        <v>7.6116409999999995E-2</v>
      </c>
      <c r="AA4854">
        <v>0.98976909999999896</v>
      </c>
      <c r="AB4854">
        <v>31</v>
      </c>
      <c r="AC4854">
        <v>2.3921000000000201</v>
      </c>
      <c r="AD4854">
        <v>-1.112422966345</v>
      </c>
      <c r="AE4854">
        <v>-14.09207</v>
      </c>
      <c r="AF4854">
        <v>-1.7559107731283301</v>
      </c>
      <c r="AG4854">
        <v>-1.112422966345</v>
      </c>
      <c r="AH4854">
        <v>14.098676988426201</v>
      </c>
      <c r="AI4854">
        <v>94.476995947082102</v>
      </c>
      <c r="AJ4854">
        <v>97.099310577847206</v>
      </c>
      <c r="AK4854">
        <v>14.2510841806236</v>
      </c>
      <c r="AL4854">
        <v>80.448479925488897</v>
      </c>
      <c r="AM4854">
        <v>93.997918133664896</v>
      </c>
      <c r="AN4854">
        <v>0.999999987766656</v>
      </c>
    </row>
    <row r="4855" spans="1:40" x14ac:dyDescent="0.25">
      <c r="A4855" t="str">
        <f>"20190312173028373"</f>
        <v>20190312173028373</v>
      </c>
      <c r="B4855" t="str">
        <f>"1552383028362461"</f>
        <v>1552383028362461</v>
      </c>
      <c r="C4855" t="s">
        <v>40</v>
      </c>
      <c r="D4855">
        <v>3.325491</v>
      </c>
      <c r="E4855">
        <v>0.47944769999999998</v>
      </c>
      <c r="F4855" t="s">
        <v>41</v>
      </c>
      <c r="G4855">
        <v>-420.67079999999999</v>
      </c>
      <c r="H4855" s="1">
        <v>-2.7554930000000001E-6</v>
      </c>
      <c r="I4855">
        <v>45.596179999999997</v>
      </c>
      <c r="J4855">
        <v>-423.14010000000002</v>
      </c>
      <c r="K4855">
        <v>1.1123609999999999</v>
      </c>
      <c r="L4855">
        <v>59.811950000000003</v>
      </c>
      <c r="M4855">
        <v>4.6909689999999997E-2</v>
      </c>
      <c r="N4855">
        <v>0</v>
      </c>
      <c r="O4855">
        <v>-0.99880519999999995</v>
      </c>
      <c r="P4855">
        <v>0.1153634</v>
      </c>
      <c r="Q4855">
        <v>0.15237000000000001</v>
      </c>
      <c r="R4855">
        <v>-0.98156759999999998</v>
      </c>
      <c r="S4855">
        <v>0.5189819</v>
      </c>
      <c r="T4855">
        <v>-0.23223650000000001</v>
      </c>
      <c r="U4855">
        <v>-3.03241</v>
      </c>
      <c r="V4855">
        <v>-7.0092080000000001E-2</v>
      </c>
      <c r="W4855">
        <v>0.16548759999999901</v>
      </c>
      <c r="X4855">
        <v>0.98371790000000003</v>
      </c>
      <c r="Y4855">
        <v>-0.1217845</v>
      </c>
      <c r="Z4855">
        <v>7.5406600000000004E-2</v>
      </c>
      <c r="AA4855">
        <v>0.98968800000000001</v>
      </c>
      <c r="AB4855">
        <v>31</v>
      </c>
      <c r="AC4855">
        <v>2.4693000000000298</v>
      </c>
      <c r="AD4855">
        <v>-1.1123637554929999</v>
      </c>
      <c r="AE4855">
        <v>-14.215769999999999</v>
      </c>
      <c r="AF4855">
        <v>-1.7890280730563799</v>
      </c>
      <c r="AG4855">
        <v>-1.1123637554929999</v>
      </c>
      <c r="AH4855">
        <v>14.231378028949999</v>
      </c>
      <c r="AI4855">
        <v>94.434547858208205</v>
      </c>
      <c r="AJ4855">
        <v>97.1650731075366</v>
      </c>
      <c r="AK4855">
        <v>14.386455267841299</v>
      </c>
      <c r="AL4855">
        <v>80.474438463228296</v>
      </c>
      <c r="AM4855">
        <v>94.075563506781904</v>
      </c>
      <c r="AN4855">
        <v>0.99999997610644797</v>
      </c>
    </row>
    <row r="4856" spans="1:40" x14ac:dyDescent="0.25">
      <c r="A4856" t="str">
        <f>"20190312173028393"</f>
        <v>20190312173028393</v>
      </c>
      <c r="B4856" t="str">
        <f>"1552383028382956"</f>
        <v>1552383028382956</v>
      </c>
      <c r="C4856" t="s">
        <v>40</v>
      </c>
      <c r="D4856">
        <v>3.2912659999999998</v>
      </c>
      <c r="E4856">
        <v>0.47970980000000002</v>
      </c>
      <c r="F4856" t="s">
        <v>41</v>
      </c>
      <c r="G4856">
        <v>-420.66180000000003</v>
      </c>
      <c r="H4856" s="1">
        <v>-2.7401249999999999E-6</v>
      </c>
      <c r="I4856">
        <v>45.565959999999997</v>
      </c>
      <c r="J4856">
        <v>-423.12380000000002</v>
      </c>
      <c r="K4856">
        <v>1.1122879999999999</v>
      </c>
      <c r="L4856">
        <v>59.52008</v>
      </c>
      <c r="M4856">
        <v>4.9345519999999997E-2</v>
      </c>
      <c r="N4856">
        <v>0</v>
      </c>
      <c r="O4856">
        <v>-0.99868780000000001</v>
      </c>
      <c r="P4856">
        <v>0.11819449999999999</v>
      </c>
      <c r="Q4856">
        <v>0.15237339999999999</v>
      </c>
      <c r="R4856">
        <v>-0.98123020000000005</v>
      </c>
      <c r="S4856">
        <v>0.52731319999999904</v>
      </c>
      <c r="T4856">
        <v>-0.23667589999999999</v>
      </c>
      <c r="U4856">
        <v>-3.0310969999999999</v>
      </c>
      <c r="V4856">
        <v>-7.0502880000000004E-2</v>
      </c>
      <c r="W4856">
        <v>0.16549659999999999</v>
      </c>
      <c r="X4856">
        <v>0.98368699999999998</v>
      </c>
      <c r="Y4856">
        <v>-0.122058</v>
      </c>
      <c r="Z4856">
        <v>7.6839580000000005E-2</v>
      </c>
      <c r="AA4856">
        <v>0.98954410000000004</v>
      </c>
      <c r="AB4856">
        <v>31</v>
      </c>
      <c r="AC4856">
        <v>2.4619999999999802</v>
      </c>
      <c r="AD4856">
        <v>-1.112290740125</v>
      </c>
      <c r="AE4856">
        <v>-13.95412</v>
      </c>
      <c r="AF4856">
        <v>-1.75952012577691</v>
      </c>
      <c r="AG4856">
        <v>-1.112290740125</v>
      </c>
      <c r="AH4856">
        <v>13.972519479164999</v>
      </c>
      <c r="AI4856">
        <v>94.515950483260198</v>
      </c>
      <c r="AJ4856">
        <v>97.177317188963002</v>
      </c>
      <c r="AK4856">
        <v>14.126726526666699</v>
      </c>
      <c r="AL4856">
        <v>80.4739153147422</v>
      </c>
      <c r="AM4856">
        <v>94.099496956377294</v>
      </c>
      <c r="AN4856">
        <v>0.99999994733442499</v>
      </c>
    </row>
    <row r="4857" spans="1:40" x14ac:dyDescent="0.25">
      <c r="A4857" t="str">
        <f>"20190312173028417"</f>
        <v>20190312173028417</v>
      </c>
      <c r="B4857" t="str">
        <f>"1552383028413213"</f>
        <v>1552383028413213</v>
      </c>
      <c r="C4857" t="s">
        <v>40</v>
      </c>
      <c r="D4857">
        <v>3.170887</v>
      </c>
      <c r="E4857">
        <v>0.47708440000000002</v>
      </c>
      <c r="F4857" t="s">
        <v>41</v>
      </c>
      <c r="G4857">
        <v>-420.63900000000001</v>
      </c>
      <c r="H4857" s="1">
        <v>-2.6603370000000001E-6</v>
      </c>
      <c r="I4857">
        <v>45.394100000000002</v>
      </c>
      <c r="J4857">
        <v>-423.10570000000001</v>
      </c>
      <c r="K4857">
        <v>1.1121989999999999</v>
      </c>
      <c r="L4857">
        <v>59.209440000000001</v>
      </c>
      <c r="M4857">
        <v>5.1816969999999997E-2</v>
      </c>
      <c r="N4857">
        <v>0</v>
      </c>
      <c r="O4857">
        <v>-0.99856270000000003</v>
      </c>
      <c r="P4857">
        <v>0.1211742</v>
      </c>
      <c r="Q4857">
        <v>0.15260960000000001</v>
      </c>
      <c r="R4857">
        <v>-0.98083010000000004</v>
      </c>
      <c r="S4857">
        <v>0.53301999999999905</v>
      </c>
      <c r="T4857">
        <v>-0.23860120000000001</v>
      </c>
      <c r="U4857">
        <v>-3.0302120000000001</v>
      </c>
      <c r="V4857">
        <v>-7.1022909999999995E-2</v>
      </c>
      <c r="W4857">
        <v>0.16574059999999999</v>
      </c>
      <c r="X4857">
        <v>0.9836085</v>
      </c>
      <c r="Y4857">
        <v>-0.1214505</v>
      </c>
      <c r="Z4857">
        <v>7.7459E-2</v>
      </c>
      <c r="AA4857">
        <v>0.98957059999999997</v>
      </c>
      <c r="AB4857">
        <v>31</v>
      </c>
      <c r="AC4857">
        <v>2.4666999999999999</v>
      </c>
      <c r="AD4857">
        <v>-1.112201660337</v>
      </c>
      <c r="AE4857">
        <v>-13.815340000000001</v>
      </c>
      <c r="AF4857">
        <v>-1.7365425388321001</v>
      </c>
      <c r="AG4857">
        <v>-1.112201660337</v>
      </c>
      <c r="AH4857">
        <v>13.8376940778125</v>
      </c>
      <c r="AI4857">
        <v>94.559646249937401</v>
      </c>
      <c r="AJ4857">
        <v>97.152862767477799</v>
      </c>
      <c r="AK4857">
        <v>13.9905092799925</v>
      </c>
      <c r="AL4857">
        <v>80.459739308900296</v>
      </c>
      <c r="AM4857">
        <v>94.129959095490193</v>
      </c>
      <c r="AN4857">
        <v>0.99999994075273702</v>
      </c>
    </row>
    <row r="4858" spans="1:40" x14ac:dyDescent="0.25">
      <c r="A4858" t="str">
        <f>"20190312173028440"</f>
        <v>20190312173028440</v>
      </c>
      <c r="B4858" t="str">
        <f>"1552383028432732"</f>
        <v>1552383028432732</v>
      </c>
      <c r="C4858" t="s">
        <v>40</v>
      </c>
      <c r="D4858">
        <v>3.3004609999999999</v>
      </c>
      <c r="E4858">
        <v>0.45361889999999999</v>
      </c>
      <c r="F4858" t="s">
        <v>41</v>
      </c>
      <c r="G4858">
        <v>-420.37700000000001</v>
      </c>
      <c r="H4858" s="1">
        <v>-2.2242409999999999E-6</v>
      </c>
      <c r="I4858">
        <v>44.540010000000002</v>
      </c>
      <c r="J4858">
        <v>-423.08710000000002</v>
      </c>
      <c r="K4858">
        <v>1.112093</v>
      </c>
      <c r="L4858">
        <v>58.899410000000003</v>
      </c>
      <c r="M4858">
        <v>5.4143200000000002E-2</v>
      </c>
      <c r="N4858">
        <v>0</v>
      </c>
      <c r="O4858">
        <v>-0.99843939999999998</v>
      </c>
      <c r="P4858">
        <v>0.1236066</v>
      </c>
      <c r="Q4858">
        <v>0.152883299999999</v>
      </c>
      <c r="R4858">
        <v>-0.98048369999999996</v>
      </c>
      <c r="S4858">
        <v>0.56265259999999995</v>
      </c>
      <c r="T4858">
        <v>-0.22933390000000001</v>
      </c>
      <c r="U4858">
        <v>-3.0248110000000001</v>
      </c>
      <c r="V4858">
        <v>-7.113013E-2</v>
      </c>
      <c r="W4858">
        <v>0.16602749999999999</v>
      </c>
      <c r="X4858">
        <v>0.98355250000000005</v>
      </c>
      <c r="Y4858">
        <v>-0.12886400000000001</v>
      </c>
      <c r="Z4858">
        <v>7.4484850000000005E-2</v>
      </c>
      <c r="AA4858">
        <v>0.98886099999999999</v>
      </c>
      <c r="AB4858">
        <v>31</v>
      </c>
      <c r="AC4858">
        <v>2.7101000000000601</v>
      </c>
      <c r="AD4858">
        <v>-1.112095224241</v>
      </c>
      <c r="AE4858">
        <v>-14.359400000000001</v>
      </c>
      <c r="AF4858">
        <v>-1.9174817515643301</v>
      </c>
      <c r="AG4858">
        <v>-1.112095224241</v>
      </c>
      <c r="AH4858">
        <v>14.4016695825252</v>
      </c>
      <c r="AI4858">
        <v>94.377136253044497</v>
      </c>
      <c r="AJ4858">
        <v>97.583929300246098</v>
      </c>
      <c r="AK4858">
        <v>14.571258655984201</v>
      </c>
      <c r="AL4858">
        <v>80.443071480319603</v>
      </c>
      <c r="AM4858">
        <v>94.136406962724095</v>
      </c>
      <c r="AN4858">
        <v>1.00000007320315</v>
      </c>
    </row>
    <row r="4859" spans="1:40" x14ac:dyDescent="0.25">
      <c r="A4859" t="str">
        <f>"20190312173028462"</f>
        <v>20190312173028462</v>
      </c>
      <c r="B4859" t="str">
        <f>"1552383028453228"</f>
        <v>1552383028453228</v>
      </c>
      <c r="C4859" t="s">
        <v>40</v>
      </c>
      <c r="D4859">
        <v>3.2883789999999999</v>
      </c>
      <c r="E4859">
        <v>0.45396940000000002</v>
      </c>
      <c r="F4859" t="s">
        <v>54</v>
      </c>
      <c r="G4859">
        <v>-418.06560000000002</v>
      </c>
      <c r="H4859" s="1">
        <v>-9.1325800000000001E-7</v>
      </c>
      <c r="I4859">
        <v>38.969140000000003</v>
      </c>
      <c r="J4859">
        <v>-423.06810000000002</v>
      </c>
      <c r="K4859">
        <v>1.1119709999999901</v>
      </c>
      <c r="L4859">
        <v>58.591639999999998</v>
      </c>
      <c r="M4859">
        <v>5.6299250000000002E-2</v>
      </c>
      <c r="N4859">
        <v>0</v>
      </c>
      <c r="O4859">
        <v>-0.99832030000000005</v>
      </c>
      <c r="P4859">
        <v>0.12630239999999901</v>
      </c>
      <c r="Q4859">
        <v>0.15333920000000001</v>
      </c>
      <c r="R4859">
        <v>-0.98006899999999997</v>
      </c>
      <c r="S4859">
        <v>0.75353999999999999</v>
      </c>
      <c r="T4859">
        <v>-0.16688169999999999</v>
      </c>
      <c r="U4859">
        <v>-2.9907530000000002</v>
      </c>
      <c r="V4859">
        <v>-7.1668430000000005E-2</v>
      </c>
      <c r="W4859">
        <v>0.16649529999999901</v>
      </c>
      <c r="X4859">
        <v>0.98343429999999998</v>
      </c>
      <c r="Y4859">
        <v>-0.1889758</v>
      </c>
      <c r="Z4859">
        <v>5.423385E-2</v>
      </c>
      <c r="AA4859">
        <v>0.98048299999999999</v>
      </c>
      <c r="AB4859">
        <v>31</v>
      </c>
      <c r="AC4859">
        <v>5.0024999999999897</v>
      </c>
      <c r="AD4859">
        <v>-1.1119719132579899</v>
      </c>
      <c r="AE4859">
        <v>-19.622499999999999</v>
      </c>
      <c r="AF4859">
        <v>-3.8780354346739601</v>
      </c>
      <c r="AG4859">
        <v>-1.1119719132579899</v>
      </c>
      <c r="AH4859">
        <v>19.813291774182701</v>
      </c>
      <c r="AI4859">
        <v>93.152519343127906</v>
      </c>
      <c r="AJ4859">
        <v>101.074441061581</v>
      </c>
      <c r="AK4859">
        <v>20.219845976103699</v>
      </c>
      <c r="AL4859">
        <v>80.415889835766293</v>
      </c>
      <c r="AM4859">
        <v>94.168099801171294</v>
      </c>
      <c r="AN4859">
        <v>1.0000000355986201</v>
      </c>
    </row>
    <row r="4860" spans="1:40" x14ac:dyDescent="0.25">
      <c r="A4860" t="str">
        <f>"20190312173028484"</f>
        <v>20190312173028484</v>
      </c>
      <c r="B4860" t="str">
        <f>"1552383028472748"</f>
        <v>1552383028472748</v>
      </c>
      <c r="C4860" t="s">
        <v>40</v>
      </c>
      <c r="D4860">
        <v>3.140126</v>
      </c>
      <c r="E4860">
        <v>0.45357829999999899</v>
      </c>
      <c r="F4860" t="s">
        <v>54</v>
      </c>
      <c r="G4860">
        <v>-417.77019999999999</v>
      </c>
      <c r="H4860" s="1">
        <v>-1.786516E-6</v>
      </c>
      <c r="I4860">
        <v>37.718919999999997</v>
      </c>
      <c r="J4860">
        <v>-423.04919999999998</v>
      </c>
      <c r="K4860">
        <v>1.1118490000000001</v>
      </c>
      <c r="L4860">
        <v>58.294559999999997</v>
      </c>
      <c r="M4860">
        <v>5.821991E-2</v>
      </c>
      <c r="N4860">
        <v>0</v>
      </c>
      <c r="O4860">
        <v>-0.99821009999999999</v>
      </c>
      <c r="P4860">
        <v>0.12833739999999999</v>
      </c>
      <c r="Q4860">
        <v>0.15446779999999999</v>
      </c>
      <c r="R4860">
        <v>-0.97962749999999998</v>
      </c>
      <c r="S4860">
        <v>0.75845340000000006</v>
      </c>
      <c r="T4860">
        <v>-0.15919269999999999</v>
      </c>
      <c r="U4860">
        <v>-2.9881899999999999</v>
      </c>
      <c r="V4860">
        <v>-7.1783280000000005E-2</v>
      </c>
      <c r="W4860">
        <v>0.16763729999999999</v>
      </c>
      <c r="X4860">
        <v>0.98323179999999999</v>
      </c>
      <c r="Y4860">
        <v>-0.18883320000000001</v>
      </c>
      <c r="Z4860">
        <v>5.1766819999999998E-2</v>
      </c>
      <c r="AA4860">
        <v>0.98064370000000001</v>
      </c>
      <c r="AB4860">
        <v>31</v>
      </c>
      <c r="AC4860">
        <v>5.2789999999999901</v>
      </c>
      <c r="AD4860">
        <v>-1.1118507865159999</v>
      </c>
      <c r="AE4860">
        <v>-20.57564</v>
      </c>
      <c r="AF4860">
        <v>-4.0608944818081296</v>
      </c>
      <c r="AG4860">
        <v>-1.1118507865159999</v>
      </c>
      <c r="AH4860">
        <v>20.791143248217502</v>
      </c>
      <c r="AI4860">
        <v>93.004433179626403</v>
      </c>
      <c r="AJ4860">
        <v>101.051787025533</v>
      </c>
      <c r="AK4860">
        <v>21.213173117941501</v>
      </c>
      <c r="AL4860">
        <v>80.349524395049698</v>
      </c>
      <c r="AM4860">
        <v>94.175612426448595</v>
      </c>
      <c r="AN4860">
        <v>0.99999993808504195</v>
      </c>
    </row>
    <row r="4861" spans="1:40" x14ac:dyDescent="0.25">
      <c r="A4861" t="str">
        <f>"20190312173028506"</f>
        <v>20190312173028506</v>
      </c>
      <c r="B4861" t="str">
        <f>"1552383028502535"</f>
        <v>1552383028502535</v>
      </c>
      <c r="C4861" t="s">
        <v>40</v>
      </c>
      <c r="D4861">
        <v>3.1261109999999999</v>
      </c>
      <c r="E4861">
        <v>0.4530653</v>
      </c>
      <c r="F4861" t="s">
        <v>54</v>
      </c>
      <c r="G4861">
        <v>-417.51639999999998</v>
      </c>
      <c r="H4861" s="1">
        <v>-2.452354E-6</v>
      </c>
      <c r="I4861">
        <v>36.777650000000001</v>
      </c>
      <c r="J4861">
        <v>-423.02980000000002</v>
      </c>
      <c r="K4861">
        <v>1.1117300000000001</v>
      </c>
      <c r="L4861">
        <v>57.997619999999998</v>
      </c>
      <c r="M4861">
        <v>5.9990130000000003E-2</v>
      </c>
      <c r="N4861">
        <v>0</v>
      </c>
      <c r="O4861">
        <v>-0.99810560000000004</v>
      </c>
      <c r="P4861">
        <v>0.1301677</v>
      </c>
      <c r="Q4861">
        <v>0.15568280000000001</v>
      </c>
      <c r="R4861">
        <v>-0.9791936</v>
      </c>
      <c r="S4861">
        <v>0.7678528</v>
      </c>
      <c r="T4861">
        <v>-0.15430429999999901</v>
      </c>
      <c r="U4861">
        <v>-2.986145</v>
      </c>
      <c r="V4861">
        <v>-7.1843039999999997E-2</v>
      </c>
      <c r="W4861">
        <v>0.16886499999999999</v>
      </c>
      <c r="X4861">
        <v>0.98301740000000004</v>
      </c>
      <c r="Y4861">
        <v>-0.19016930000000001</v>
      </c>
      <c r="Z4861">
        <v>5.0180849999999999E-2</v>
      </c>
      <c r="AA4861">
        <v>0.98046800000000001</v>
      </c>
      <c r="AB4861">
        <v>31</v>
      </c>
      <c r="AC4861">
        <v>5.5134000000000398</v>
      </c>
      <c r="AD4861">
        <v>-1.111732452354</v>
      </c>
      <c r="AE4861">
        <v>-21.21997</v>
      </c>
      <c r="AF4861">
        <v>-4.2195116165007098</v>
      </c>
      <c r="AG4861">
        <v>-1.111732452354</v>
      </c>
      <c r="AH4861">
        <v>21.4573537772336</v>
      </c>
      <c r="AI4861">
        <v>92.910276671878904</v>
      </c>
      <c r="AJ4861">
        <v>101.125057656575</v>
      </c>
      <c r="AK4861">
        <v>21.896535306955901</v>
      </c>
      <c r="AL4861">
        <v>80.278165772668402</v>
      </c>
      <c r="AM4861">
        <v>94.179984580107202</v>
      </c>
      <c r="AN4861">
        <v>1.0000000096621</v>
      </c>
    </row>
    <row r="4862" spans="1:40" x14ac:dyDescent="0.25">
      <c r="A4862" t="str">
        <f>"20190312173028522"</f>
        <v>20190312173028522</v>
      </c>
      <c r="B4862" t="str">
        <f>"1552383028513271"</f>
        <v>1552383028513271</v>
      </c>
      <c r="C4862" t="s">
        <v>40</v>
      </c>
      <c r="D4862">
        <v>3.1303939999999999</v>
      </c>
      <c r="E4862">
        <v>0.45289400000000002</v>
      </c>
      <c r="F4862" t="s">
        <v>54</v>
      </c>
      <c r="G4862">
        <v>-417.34840000000003</v>
      </c>
      <c r="H4862" s="1">
        <v>-2.8445809999999999E-6</v>
      </c>
      <c r="I4862">
        <v>36.230910000000002</v>
      </c>
      <c r="J4862">
        <v>-423.01519999999999</v>
      </c>
      <c r="K4862">
        <v>1.1116520000000001</v>
      </c>
      <c r="L4862">
        <v>57.776119999999999</v>
      </c>
      <c r="M4862">
        <v>6.1240839999999998E-2</v>
      </c>
      <c r="N4862">
        <v>0</v>
      </c>
      <c r="O4862">
        <v>-0.99802959999999996</v>
      </c>
      <c r="P4862">
        <v>0.13136139999999999</v>
      </c>
      <c r="Q4862">
        <v>0.15620039999999999</v>
      </c>
      <c r="R4862">
        <v>-0.97895189999999999</v>
      </c>
      <c r="S4862">
        <v>0.77899169999999995</v>
      </c>
      <c r="T4862">
        <v>-0.152429799999999</v>
      </c>
      <c r="U4862">
        <v>-2.9844360000000001</v>
      </c>
      <c r="V4862">
        <v>-7.1783940000000004E-2</v>
      </c>
      <c r="W4862">
        <v>0.1693914</v>
      </c>
      <c r="X4862">
        <v>0.98293109999999995</v>
      </c>
      <c r="Y4862">
        <v>-0.19251099999999999</v>
      </c>
      <c r="Z4862">
        <v>4.9560319999999998E-2</v>
      </c>
      <c r="AA4862">
        <v>0.98004250000000004</v>
      </c>
      <c r="AB4862">
        <v>31</v>
      </c>
      <c r="AC4862">
        <v>5.6667999999999603</v>
      </c>
      <c r="AD4862">
        <v>-1.1116548445809999</v>
      </c>
      <c r="AE4862">
        <v>-21.545210000000001</v>
      </c>
      <c r="AF4862">
        <v>-4.3258207218592197</v>
      </c>
      <c r="AG4862">
        <v>-1.1116548445809999</v>
      </c>
      <c r="AH4862">
        <v>21.797559926253001</v>
      </c>
      <c r="AI4862">
        <v>92.863748112536896</v>
      </c>
      <c r="AJ4862">
        <v>101.224754462291</v>
      </c>
      <c r="AK4862">
        <v>22.250440897872998</v>
      </c>
      <c r="AL4862">
        <v>80.247563982459695</v>
      </c>
      <c r="AM4862">
        <v>94.176923584546003</v>
      </c>
      <c r="AN4862">
        <v>0.999999963891546</v>
      </c>
    </row>
    <row r="4863" spans="1:40" x14ac:dyDescent="0.25">
      <c r="A4863" t="str">
        <f>"20190312173028539"</f>
        <v>20190312173028539</v>
      </c>
      <c r="B4863" t="str">
        <f>"1552383028532794"</f>
        <v>1552383028532794</v>
      </c>
      <c r="C4863" t="s">
        <v>40</v>
      </c>
      <c r="D4863">
        <v>3.1482380000000001</v>
      </c>
      <c r="E4863">
        <v>0.45262970000000002</v>
      </c>
      <c r="F4863" t="s">
        <v>54</v>
      </c>
      <c r="G4863">
        <v>-417.22949999999997</v>
      </c>
      <c r="H4863" s="1">
        <v>-3.1460180000000001E-6</v>
      </c>
      <c r="I4863">
        <v>35.778209999999902</v>
      </c>
      <c r="J4863">
        <v>-422.99939999999998</v>
      </c>
      <c r="K4863">
        <v>1.11158</v>
      </c>
      <c r="L4863">
        <v>57.541110000000003</v>
      </c>
      <c r="M4863">
        <v>6.2502940000000007E-2</v>
      </c>
      <c r="N4863">
        <v>0</v>
      </c>
      <c r="O4863">
        <v>-0.99795129999999999</v>
      </c>
      <c r="P4863">
        <v>0.13255810000000001</v>
      </c>
      <c r="Q4863">
        <v>0.15669140000000001</v>
      </c>
      <c r="R4863">
        <v>-0.97871169999999996</v>
      </c>
      <c r="S4863">
        <v>0.78463749999999999</v>
      </c>
      <c r="T4863">
        <v>-0.15075859999999999</v>
      </c>
      <c r="U4863">
        <v>-2.983276</v>
      </c>
      <c r="V4863">
        <v>-7.1720510000000001E-2</v>
      </c>
      <c r="W4863">
        <v>0.1698904</v>
      </c>
      <c r="X4863">
        <v>0.98284970000000005</v>
      </c>
      <c r="Y4863">
        <v>-0.19310540000000001</v>
      </c>
      <c r="Z4863">
        <v>4.9016450000000003E-2</v>
      </c>
      <c r="AA4863">
        <v>0.97995290000000002</v>
      </c>
      <c r="AB4863">
        <v>31</v>
      </c>
      <c r="AC4863">
        <v>5.7698999999999998</v>
      </c>
      <c r="AD4863">
        <v>-1.1115831460179999</v>
      </c>
      <c r="AE4863">
        <v>-21.762899999999998</v>
      </c>
      <c r="AF4863">
        <v>-4.3875495738329402</v>
      </c>
      <c r="AG4863">
        <v>-1.1115831460179999</v>
      </c>
      <c r="AH4863">
        <v>22.027318112419302</v>
      </c>
      <c r="AI4863">
        <v>92.833347701836601</v>
      </c>
      <c r="AJ4863">
        <v>101.265120997103</v>
      </c>
      <c r="AK4863">
        <v>22.4875288010726</v>
      </c>
      <c r="AL4863">
        <v>80.218553810379703</v>
      </c>
      <c r="AM4863">
        <v>94.173590209555499</v>
      </c>
      <c r="AN4863">
        <v>1.0000000561784499</v>
      </c>
    </row>
    <row r="4864" spans="1:40" x14ac:dyDescent="0.25">
      <c r="A4864" t="str">
        <f>"20190312173028563"</f>
        <v>20190312173028563</v>
      </c>
      <c r="B4864" t="str">
        <f>"1552383028552311"</f>
        <v>1552383028552311</v>
      </c>
      <c r="C4864" t="s">
        <v>40</v>
      </c>
      <c r="D4864">
        <v>3.1322839999999998</v>
      </c>
      <c r="E4864">
        <v>0.45227800000000001</v>
      </c>
      <c r="F4864" t="s">
        <v>54</v>
      </c>
      <c r="G4864">
        <v>-417.07139999999998</v>
      </c>
      <c r="H4864" s="1">
        <v>-3.4960079999999999E-6</v>
      </c>
      <c r="I4864">
        <v>35.202390000000001</v>
      </c>
      <c r="J4864">
        <v>-422.97800000000001</v>
      </c>
      <c r="K4864">
        <v>1.111504</v>
      </c>
      <c r="L4864">
        <v>57.227809999999998</v>
      </c>
      <c r="M4864">
        <v>6.412379E-2</v>
      </c>
      <c r="N4864">
        <v>0</v>
      </c>
      <c r="O4864">
        <v>-0.99784859999999997</v>
      </c>
      <c r="P4864">
        <v>0.13449510000000001</v>
      </c>
      <c r="Q4864">
        <v>0.15649289999999999</v>
      </c>
      <c r="R4864">
        <v>-0.97847930000000005</v>
      </c>
      <c r="S4864">
        <v>0.7912903</v>
      </c>
      <c r="T4864">
        <v>-0.1483777</v>
      </c>
      <c r="U4864">
        <v>-2.9818419999999999</v>
      </c>
      <c r="V4864">
        <v>-7.2037409999999996E-2</v>
      </c>
      <c r="W4864">
        <v>0.16969919999999999</v>
      </c>
      <c r="X4864">
        <v>0.9828595</v>
      </c>
      <c r="Y4864">
        <v>-0.1936812</v>
      </c>
      <c r="Z4864">
        <v>4.8242809999999997E-2</v>
      </c>
      <c r="AA4864">
        <v>0.97987769999999996</v>
      </c>
      <c r="AB4864">
        <v>31</v>
      </c>
      <c r="AC4864">
        <v>5.9066000000000196</v>
      </c>
      <c r="AD4864">
        <v>-1.111507496008</v>
      </c>
      <c r="AE4864">
        <v>-22.02542</v>
      </c>
      <c r="AF4864">
        <v>-4.4713335392400797</v>
      </c>
      <c r="AG4864">
        <v>-1.111507496008</v>
      </c>
      <c r="AH4864">
        <v>22.305876044934401</v>
      </c>
      <c r="AI4864">
        <v>92.797150171830495</v>
      </c>
      <c r="AJ4864">
        <v>101.335019794361</v>
      </c>
      <c r="AK4864">
        <v>22.776750836429599</v>
      </c>
      <c r="AL4864">
        <v>80.229669642497299</v>
      </c>
      <c r="AM4864">
        <v>94.191924144342593</v>
      </c>
      <c r="AN4864">
        <v>1.00000000183019</v>
      </c>
    </row>
    <row r="4865" spans="1:40" x14ac:dyDescent="0.25">
      <c r="A4865" t="str">
        <f>"20190312173028584"</f>
        <v>20190312173028584</v>
      </c>
      <c r="B4865" t="str">
        <f>"1552383028572807"</f>
        <v>1552383028572807</v>
      </c>
      <c r="C4865" t="s">
        <v>40</v>
      </c>
      <c r="D4865">
        <v>3.117318</v>
      </c>
      <c r="E4865">
        <v>0.45186569999999998</v>
      </c>
      <c r="F4865" t="s">
        <v>54</v>
      </c>
      <c r="G4865">
        <v>-417.02940000000001</v>
      </c>
      <c r="H4865" s="1">
        <v>-3.5641630000000001E-6</v>
      </c>
      <c r="I4865">
        <v>35.094799999999999</v>
      </c>
      <c r="J4865">
        <v>-422.95780000000002</v>
      </c>
      <c r="K4865">
        <v>1.1114550000000001</v>
      </c>
      <c r="L4865">
        <v>56.938479999999998</v>
      </c>
      <c r="M4865">
        <v>6.5573069999999997E-2</v>
      </c>
      <c r="N4865">
        <v>0</v>
      </c>
      <c r="O4865">
        <v>-0.99775429999999998</v>
      </c>
      <c r="P4865">
        <v>0.13635229999999901</v>
      </c>
      <c r="Q4865">
        <v>0.15601479999999901</v>
      </c>
      <c r="R4865">
        <v>-0.97829849999999996</v>
      </c>
      <c r="S4865">
        <v>0.80087280000000005</v>
      </c>
      <c r="T4865">
        <v>-0.14964530000000001</v>
      </c>
      <c r="U4865">
        <v>-2.9798279999999999</v>
      </c>
      <c r="V4865">
        <v>-7.2450669999999995E-2</v>
      </c>
      <c r="W4865">
        <v>0.16922409999999999</v>
      </c>
      <c r="X4865">
        <v>0.98291110000000004</v>
      </c>
      <c r="Y4865">
        <v>-0.1953561</v>
      </c>
      <c r="Z4865">
        <v>4.8650789999999999E-2</v>
      </c>
      <c r="AA4865">
        <v>0.97952490000000003</v>
      </c>
      <c r="AB4865">
        <v>30</v>
      </c>
      <c r="AC4865">
        <v>5.9284000000000097</v>
      </c>
      <c r="AD4865">
        <v>-1.1114585641629999</v>
      </c>
      <c r="AE4865">
        <v>-21.843679999999999</v>
      </c>
      <c r="AF4865">
        <v>-4.4723629300266703</v>
      </c>
      <c r="AG4865">
        <v>-1.1114585641629999</v>
      </c>
      <c r="AH4865">
        <v>22.132069042115798</v>
      </c>
      <c r="AI4865">
        <v>92.818075308597599</v>
      </c>
      <c r="AJ4865">
        <v>101.424265198765</v>
      </c>
      <c r="AK4865">
        <v>22.606765589148502</v>
      </c>
      <c r="AL4865">
        <v>80.257290954213502</v>
      </c>
      <c r="AM4865">
        <v>94.215665145442898</v>
      </c>
      <c r="AN4865">
        <v>1.00000006305373</v>
      </c>
    </row>
    <row r="4866" spans="1:40" x14ac:dyDescent="0.25">
      <c r="A4866" t="str">
        <f>"20190312173028607"</f>
        <v>20190312173028607</v>
      </c>
      <c r="B4866" t="str">
        <f>"1552383028602593"</f>
        <v>1552383028602593</v>
      </c>
      <c r="C4866" t="s">
        <v>40</v>
      </c>
      <c r="D4866">
        <v>3.1097030000000001</v>
      </c>
      <c r="E4866">
        <v>0.45176169999999999</v>
      </c>
      <c r="F4866" t="s">
        <v>54</v>
      </c>
      <c r="G4866">
        <v>-416.96730000000002</v>
      </c>
      <c r="H4866" s="1">
        <v>-3.6694759999999999E-6</v>
      </c>
      <c r="I4866">
        <v>34.927430000000001</v>
      </c>
      <c r="J4866">
        <v>-422.93599999999998</v>
      </c>
      <c r="K4866">
        <v>1.111421</v>
      </c>
      <c r="L4866">
        <v>56.633609999999997</v>
      </c>
      <c r="M4866">
        <v>6.7080150000000005E-2</v>
      </c>
      <c r="N4866">
        <v>0</v>
      </c>
      <c r="O4866">
        <v>-0.99765429999999999</v>
      </c>
      <c r="P4866">
        <v>0.13913979999999901</v>
      </c>
      <c r="Q4866">
        <v>0.1555356</v>
      </c>
      <c r="R4866">
        <v>-0.97798229999999997</v>
      </c>
      <c r="S4866">
        <v>0.81036379999999997</v>
      </c>
      <c r="T4866">
        <v>-0.15035379999999901</v>
      </c>
      <c r="U4866">
        <v>-2.9775700000000001</v>
      </c>
      <c r="V4866">
        <v>-7.3750350000000006E-2</v>
      </c>
      <c r="W4866">
        <v>0.16874239999999999</v>
      </c>
      <c r="X4866">
        <v>0.98289720000000003</v>
      </c>
      <c r="Y4866">
        <v>-0.19696710000000001</v>
      </c>
      <c r="Z4866">
        <v>4.8880939999999998E-2</v>
      </c>
      <c r="AA4866">
        <v>0.97919080000000003</v>
      </c>
      <c r="AB4866">
        <v>30</v>
      </c>
      <c r="AC4866">
        <v>5.9686999999999504</v>
      </c>
      <c r="AD4866">
        <v>-1.1114246694759999</v>
      </c>
      <c r="AE4866">
        <v>-21.70618</v>
      </c>
      <c r="AF4866">
        <v>-4.4881245587814202</v>
      </c>
      <c r="AG4866">
        <v>-1.1114246694759999</v>
      </c>
      <c r="AH4866">
        <v>22.0040642085523</v>
      </c>
      <c r="AI4866">
        <v>92.833312373094202</v>
      </c>
      <c r="AJ4866">
        <v>101.528369141588</v>
      </c>
      <c r="AK4866">
        <v>22.484602921669499</v>
      </c>
      <c r="AL4866">
        <v>80.285292496818002</v>
      </c>
      <c r="AM4866">
        <v>94.291069702654298</v>
      </c>
      <c r="AN4866">
        <v>1.00000000872536</v>
      </c>
    </row>
    <row r="4867" spans="1:40" x14ac:dyDescent="0.25">
      <c r="A4867" t="str">
        <f>"20190312173028629"</f>
        <v>20190312173028629</v>
      </c>
      <c r="B4867" t="str">
        <f>"1552383028623093"</f>
        <v>1552383028623093</v>
      </c>
      <c r="C4867" t="s">
        <v>40</v>
      </c>
      <c r="D4867">
        <v>3.2003569999999999</v>
      </c>
      <c r="E4867">
        <v>0.45195689999999999</v>
      </c>
      <c r="F4867" t="s">
        <v>54</v>
      </c>
      <c r="G4867">
        <v>-416.94900000000001</v>
      </c>
      <c r="H4867" s="1">
        <v>-3.6840659999999999E-6</v>
      </c>
      <c r="I4867">
        <v>34.908159999999903</v>
      </c>
      <c r="J4867">
        <v>-422.91359999999997</v>
      </c>
      <c r="K4867">
        <v>1.111402</v>
      </c>
      <c r="L4867">
        <v>56.325650000000003</v>
      </c>
      <c r="M4867">
        <v>6.8601910000000002E-2</v>
      </c>
      <c r="N4867">
        <v>0</v>
      </c>
      <c r="O4867">
        <v>-0.99755079999999996</v>
      </c>
      <c r="P4867">
        <v>0.14218029999999901</v>
      </c>
      <c r="Q4867">
        <v>0.15570300000000001</v>
      </c>
      <c r="R4867">
        <v>-0.97751829999999995</v>
      </c>
      <c r="S4867">
        <v>0.81985469999999905</v>
      </c>
      <c r="T4867">
        <v>-0.15219929999999901</v>
      </c>
      <c r="U4867">
        <v>-2.975098</v>
      </c>
      <c r="V4867">
        <v>-7.5304189999999993E-2</v>
      </c>
      <c r="W4867">
        <v>0.16890260000000001</v>
      </c>
      <c r="X4867">
        <v>0.98275179999999995</v>
      </c>
      <c r="Y4867">
        <v>-0.19857520000000001</v>
      </c>
      <c r="Z4867">
        <v>4.9482690000000003E-2</v>
      </c>
      <c r="AA4867">
        <v>0.97883569999999998</v>
      </c>
      <c r="AB4867">
        <v>30</v>
      </c>
      <c r="AC4867">
        <v>5.9645999999999599</v>
      </c>
      <c r="AD4867">
        <v>-1.111405684066</v>
      </c>
      <c r="AE4867">
        <v>-21.417490000000001</v>
      </c>
      <c r="AF4867">
        <v>-4.4699574905738304</v>
      </c>
      <c r="AG4867">
        <v>-1.111405684066</v>
      </c>
      <c r="AH4867">
        <v>21.721961136920601</v>
      </c>
      <c r="AI4867">
        <v>92.868977567366301</v>
      </c>
      <c r="AJ4867">
        <v>101.62803915865</v>
      </c>
      <c r="AK4867">
        <v>22.2049394999401</v>
      </c>
      <c r="AL4867">
        <v>80.275979517606601</v>
      </c>
      <c r="AM4867">
        <v>94.3817751812756</v>
      </c>
      <c r="AN4867">
        <v>0.99999995486077697</v>
      </c>
    </row>
    <row r="4868" spans="1:40" x14ac:dyDescent="0.25">
      <c r="A4868" t="str">
        <f>"20190312173028652"</f>
        <v>20190312173028652</v>
      </c>
      <c r="B4868" t="str">
        <f>"1552383028642610"</f>
        <v>1552383028642610</v>
      </c>
      <c r="C4868" t="s">
        <v>40</v>
      </c>
      <c r="D4868">
        <v>3.204501</v>
      </c>
      <c r="E4868">
        <v>0.45209690000000002</v>
      </c>
      <c r="F4868" t="s">
        <v>54</v>
      </c>
      <c r="G4868">
        <v>-416.83819999999997</v>
      </c>
      <c r="H4868" s="1">
        <v>-3.9225659999999998E-6</v>
      </c>
      <c r="I4868">
        <v>34.509729999999998</v>
      </c>
      <c r="J4868">
        <v>-422.89080000000001</v>
      </c>
      <c r="K4868">
        <v>1.1113919999999999</v>
      </c>
      <c r="L4868">
        <v>56.020479999999999</v>
      </c>
      <c r="M4868">
        <v>7.0116910000000005E-2</v>
      </c>
      <c r="N4868">
        <v>0</v>
      </c>
      <c r="O4868">
        <v>-0.99744549999999998</v>
      </c>
      <c r="P4868">
        <v>0.14511260000000001</v>
      </c>
      <c r="Q4868">
        <v>0.15625720000000001</v>
      </c>
      <c r="R4868">
        <v>-0.9769987</v>
      </c>
      <c r="S4868">
        <v>0.82785030000000004</v>
      </c>
      <c r="T4868">
        <v>-0.1514442</v>
      </c>
      <c r="U4868">
        <v>-2.9727169999999998</v>
      </c>
      <c r="V4868">
        <v>-7.6765429999999996E-2</v>
      </c>
      <c r="W4868">
        <v>0.16944919999999999</v>
      </c>
      <c r="X4868">
        <v>0.98254470000000005</v>
      </c>
      <c r="Y4868">
        <v>-0.19973550000000001</v>
      </c>
      <c r="Z4868">
        <v>4.9244679999999999E-2</v>
      </c>
      <c r="AA4868">
        <v>0.97861160000000003</v>
      </c>
      <c r="AB4868">
        <v>30</v>
      </c>
      <c r="AC4868">
        <v>6.0526000000000399</v>
      </c>
      <c r="AD4868">
        <v>-1.1113959225659999</v>
      </c>
      <c r="AE4868">
        <v>-21.510750000000002</v>
      </c>
      <c r="AF4868">
        <v>-4.5181165926700997</v>
      </c>
      <c r="AG4868">
        <v>-1.1113959225659999</v>
      </c>
      <c r="AH4868">
        <v>21.828231471105699</v>
      </c>
      <c r="AI4868">
        <v>92.8543286519768</v>
      </c>
      <c r="AJ4868">
        <v>101.694229034144</v>
      </c>
      <c r="AK4868">
        <v>22.318608101712499</v>
      </c>
      <c r="AL4868">
        <v>80.244204312404605</v>
      </c>
      <c r="AM4868">
        <v>94.467398164022796</v>
      </c>
      <c r="AN4868">
        <v>1.0000000250609</v>
      </c>
    </row>
    <row r="4869" spans="1:40" x14ac:dyDescent="0.25">
      <c r="A4869" t="str">
        <f>"20190312173028674"</f>
        <v>20190312173028674</v>
      </c>
      <c r="B4869" t="str">
        <f>"1552383028663106"</f>
        <v>1552383028663106</v>
      </c>
      <c r="C4869" t="s">
        <v>40</v>
      </c>
      <c r="D4869">
        <v>3.214915</v>
      </c>
      <c r="E4869">
        <v>0.45227980000000001</v>
      </c>
      <c r="F4869" t="s">
        <v>54</v>
      </c>
      <c r="G4869">
        <v>-416.70499999999998</v>
      </c>
      <c r="H4869" s="1">
        <v>-4.1974389999999998E-6</v>
      </c>
      <c r="I4869">
        <v>34.028260000000003</v>
      </c>
      <c r="J4869">
        <v>-422.86790000000002</v>
      </c>
      <c r="K4869">
        <v>1.1113879999999901</v>
      </c>
      <c r="L4869">
        <v>55.717770000000002</v>
      </c>
      <c r="M4869">
        <v>7.1629479999999995E-2</v>
      </c>
      <c r="N4869">
        <v>0</v>
      </c>
      <c r="O4869">
        <v>-0.99733810000000001</v>
      </c>
      <c r="P4869">
        <v>0.1483989</v>
      </c>
      <c r="Q4869">
        <v>0.1581639</v>
      </c>
      <c r="R4869">
        <v>-0.97619809999999996</v>
      </c>
      <c r="S4869">
        <v>0.83554079999999997</v>
      </c>
      <c r="T4869">
        <v>-0.15011930000000001</v>
      </c>
      <c r="U4869">
        <v>-2.9705509999999999</v>
      </c>
      <c r="V4869">
        <v>-7.8608529999999996E-2</v>
      </c>
      <c r="W4869">
        <v>0.17134269999999999</v>
      </c>
      <c r="X4869">
        <v>0.98207040000000001</v>
      </c>
      <c r="Y4869">
        <v>-0.200789</v>
      </c>
      <c r="Z4869">
        <v>4.8819199999999903E-2</v>
      </c>
      <c r="AA4869">
        <v>0.97841730000000005</v>
      </c>
      <c r="AB4869">
        <v>30</v>
      </c>
      <c r="AC4869">
        <v>6.1629000000000298</v>
      </c>
      <c r="AD4869">
        <v>-1.11139219743899</v>
      </c>
      <c r="AE4869">
        <v>-21.689509999999999</v>
      </c>
      <c r="AF4869">
        <v>-4.5821813262888798</v>
      </c>
      <c r="AG4869">
        <v>-1.11139219743899</v>
      </c>
      <c r="AH4869">
        <v>22.021770662334401</v>
      </c>
      <c r="AI4869">
        <v>92.828662197310194</v>
      </c>
      <c r="AJ4869">
        <v>101.75410597076301</v>
      </c>
      <c r="AK4869">
        <v>22.5208783449485</v>
      </c>
      <c r="AL4869">
        <v>80.134103818686697</v>
      </c>
      <c r="AM4869">
        <v>94.576408083153396</v>
      </c>
      <c r="AN4869">
        <v>0.99999994619410304</v>
      </c>
    </row>
    <row r="4870" spans="1:40" x14ac:dyDescent="0.25">
      <c r="A4870" t="str">
        <f>"20190312173028696"</f>
        <v>20190312173028696</v>
      </c>
      <c r="B4870" t="str">
        <f>"1552383028692386"</f>
        <v>1552383028692386</v>
      </c>
      <c r="C4870" t="s">
        <v>40</v>
      </c>
      <c r="D4870">
        <v>3.1715819999999999</v>
      </c>
      <c r="E4870">
        <v>0.45253120000000002</v>
      </c>
      <c r="F4870" t="s">
        <v>54</v>
      </c>
      <c r="G4870">
        <v>-416.37290000000002</v>
      </c>
      <c r="H4870" s="1">
        <v>-4.8483120000000001E-6</v>
      </c>
      <c r="I4870">
        <v>32.89537</v>
      </c>
      <c r="J4870">
        <v>-422.84570000000002</v>
      </c>
      <c r="K4870">
        <v>1.1113869999999999</v>
      </c>
      <c r="L4870">
        <v>55.430790000000002</v>
      </c>
      <c r="M4870">
        <v>7.3071150000000001E-2</v>
      </c>
      <c r="N4870">
        <v>0</v>
      </c>
      <c r="O4870">
        <v>-0.9972337</v>
      </c>
      <c r="P4870">
        <v>0.15152739999999901</v>
      </c>
      <c r="Q4870">
        <v>0.158806</v>
      </c>
      <c r="R4870">
        <v>-0.97561290000000001</v>
      </c>
      <c r="S4870">
        <v>0.844695999999999</v>
      </c>
      <c r="T4870">
        <v>-0.1445408</v>
      </c>
      <c r="U4870">
        <v>-2.96814</v>
      </c>
      <c r="V4870">
        <v>-8.0347080000000001E-2</v>
      </c>
      <c r="W4870">
        <v>0.17197460000000001</v>
      </c>
      <c r="X4870">
        <v>0.98181929999999995</v>
      </c>
      <c r="Y4870">
        <v>-0.20239770000000001</v>
      </c>
      <c r="Z4870">
        <v>4.7011240000000003E-2</v>
      </c>
      <c r="AA4870">
        <v>0.9781744</v>
      </c>
      <c r="AB4870">
        <v>30</v>
      </c>
      <c r="AC4870">
        <v>6.4728000000000003</v>
      </c>
      <c r="AD4870">
        <v>-1.111391848312</v>
      </c>
      <c r="AE4870">
        <v>-22.535419999999998</v>
      </c>
      <c r="AF4870">
        <v>-4.7978712662364202</v>
      </c>
      <c r="AG4870">
        <v>-1.111391848312</v>
      </c>
      <c r="AH4870">
        <v>22.896738699434099</v>
      </c>
      <c r="AI4870">
        <v>92.719935195787201</v>
      </c>
      <c r="AJ4870">
        <v>101.834746415228</v>
      </c>
      <c r="AK4870">
        <v>23.420405709509701</v>
      </c>
      <c r="AL4870">
        <v>80.097353912348098</v>
      </c>
      <c r="AM4870">
        <v>94.678369123810896</v>
      </c>
      <c r="AN4870">
        <v>1.00000002708108</v>
      </c>
    </row>
    <row r="4871" spans="1:40" x14ac:dyDescent="0.25">
      <c r="A4871" t="str">
        <f>"20190312173028718"</f>
        <v>20190312173028718</v>
      </c>
      <c r="B4871" t="str">
        <f>"1552383028712885"</f>
        <v>1552383028712885</v>
      </c>
      <c r="C4871" t="s">
        <v>40</v>
      </c>
      <c r="D4871">
        <v>3.121302</v>
      </c>
      <c r="E4871">
        <v>0.44639269999999998</v>
      </c>
      <c r="F4871" t="s">
        <v>54</v>
      </c>
      <c r="G4871">
        <v>-417.43959999999998</v>
      </c>
      <c r="H4871" s="1">
        <v>-2.5784819999999999E-6</v>
      </c>
      <c r="I4871">
        <v>36.611350000000002</v>
      </c>
      <c r="J4871">
        <v>-422.82150000000001</v>
      </c>
      <c r="K4871">
        <v>1.1113820000000001</v>
      </c>
      <c r="L4871">
        <v>55.123440000000002</v>
      </c>
      <c r="M4871">
        <v>7.4621110000000004E-2</v>
      </c>
      <c r="N4871">
        <v>0</v>
      </c>
      <c r="O4871">
        <v>-0.99711890000000003</v>
      </c>
      <c r="P4871">
        <v>0.15473509999999999</v>
      </c>
      <c r="Q4871">
        <v>0.15971729999999901</v>
      </c>
      <c r="R4871">
        <v>-0.97496020000000005</v>
      </c>
      <c r="S4871">
        <v>0.85345459999999995</v>
      </c>
      <c r="T4871">
        <v>-0.1754541</v>
      </c>
      <c r="U4871">
        <v>-2.9710079999999999</v>
      </c>
      <c r="V4871">
        <v>-8.2066050000000001E-2</v>
      </c>
      <c r="W4871">
        <v>0.172875</v>
      </c>
      <c r="X4871">
        <v>0.98151889999999997</v>
      </c>
      <c r="Y4871">
        <v>-0.20315</v>
      </c>
      <c r="Z4871">
        <v>5.694544E-2</v>
      </c>
      <c r="AA4871">
        <v>0.97749030000000003</v>
      </c>
      <c r="AB4871">
        <v>30</v>
      </c>
      <c r="AC4871">
        <v>5.3819000000000301</v>
      </c>
      <c r="AD4871">
        <v>-1.11138457848199</v>
      </c>
      <c r="AE4871">
        <v>-18.512090000000001</v>
      </c>
      <c r="AF4871">
        <v>-3.9721703045998198</v>
      </c>
      <c r="AG4871">
        <v>-1.11138457848199</v>
      </c>
      <c r="AH4871">
        <v>18.7996302097437</v>
      </c>
      <c r="AI4871">
        <v>93.310320562052794</v>
      </c>
      <c r="AJ4871">
        <v>101.930540058091</v>
      </c>
      <c r="AK4871">
        <v>19.246802556090699</v>
      </c>
      <c r="AL4871">
        <v>80.044979869539503</v>
      </c>
      <c r="AM4871">
        <v>94.779456577508498</v>
      </c>
      <c r="AN4871">
        <v>0.99999997662240603</v>
      </c>
    </row>
    <row r="4872" spans="1:40" x14ac:dyDescent="0.25">
      <c r="A4872" t="str">
        <f>"20190312173028741"</f>
        <v>20190312173028741</v>
      </c>
      <c r="B4872" t="str">
        <f>"1552383028732402"</f>
        <v>1552383028732402</v>
      </c>
      <c r="C4872" t="s">
        <v>40</v>
      </c>
      <c r="D4872">
        <v>3.1240939999999999</v>
      </c>
      <c r="E4872">
        <v>0.44339479999999998</v>
      </c>
      <c r="F4872" t="s">
        <v>54</v>
      </c>
      <c r="G4872">
        <v>-416.90219999999999</v>
      </c>
      <c r="H4872" s="1">
        <v>-3.1509900000000001E-6</v>
      </c>
      <c r="I4872">
        <v>35.901789999999998</v>
      </c>
      <c r="J4872">
        <v>-422.79759999999999</v>
      </c>
      <c r="K4872">
        <v>1.1113839999999999</v>
      </c>
      <c r="L4872">
        <v>54.827060000000003</v>
      </c>
      <c r="M4872">
        <v>7.6121460000000002E-2</v>
      </c>
      <c r="N4872">
        <v>0</v>
      </c>
      <c r="O4872">
        <v>-0.99700560000000005</v>
      </c>
      <c r="P4872">
        <v>0.15792059999999999</v>
      </c>
      <c r="Q4872">
        <v>0.16014200000000001</v>
      </c>
      <c r="R4872">
        <v>-0.97437980000000002</v>
      </c>
      <c r="S4872">
        <v>0.91165160000000001</v>
      </c>
      <c r="T4872">
        <v>-0.17116979999999901</v>
      </c>
      <c r="U4872">
        <v>-2.9604189999999999</v>
      </c>
      <c r="V4872">
        <v>-8.3806370000000005E-2</v>
      </c>
      <c r="W4872">
        <v>0.17328969999999999</v>
      </c>
      <c r="X4872">
        <v>0.98129869999999997</v>
      </c>
      <c r="Y4872">
        <v>-0.22024389999999999</v>
      </c>
      <c r="Z4872">
        <v>5.5483299999999999E-2</v>
      </c>
      <c r="AA4872">
        <v>0.9738656</v>
      </c>
      <c r="AB4872">
        <v>30</v>
      </c>
      <c r="AC4872">
        <v>5.8953999999999898</v>
      </c>
      <c r="AD4872">
        <v>-1.11138715099</v>
      </c>
      <c r="AE4872">
        <v>-18.925269999999902</v>
      </c>
      <c r="AF4872">
        <v>-4.4236328596219296</v>
      </c>
      <c r="AG4872">
        <v>-1.11138715099</v>
      </c>
      <c r="AH4872">
        <v>19.258616131680601</v>
      </c>
      <c r="AI4872">
        <v>93.219147228407394</v>
      </c>
      <c r="AJ4872">
        <v>102.93623691451501</v>
      </c>
      <c r="AK4872">
        <v>19.791361862780999</v>
      </c>
      <c r="AL4872">
        <v>80.020855270337805</v>
      </c>
      <c r="AM4872">
        <v>94.881416682369704</v>
      </c>
      <c r="AN4872">
        <v>0.99999998320017802</v>
      </c>
    </row>
    <row r="4873" spans="1:40" x14ac:dyDescent="0.25">
      <c r="A4873" t="str">
        <f>"20190312173028763"</f>
        <v>20190312173028763</v>
      </c>
      <c r="B4873" t="str">
        <f>"1552383028752898"</f>
        <v>1552383028752898</v>
      </c>
      <c r="C4873" t="s">
        <v>40</v>
      </c>
      <c r="D4873">
        <v>3.1684019999999999</v>
      </c>
      <c r="E4873">
        <v>0.44155329999999898</v>
      </c>
      <c r="F4873" t="s">
        <v>54</v>
      </c>
      <c r="G4873">
        <v>-416.45389999999998</v>
      </c>
      <c r="H4873" s="1">
        <v>-3.7416100000000002E-6</v>
      </c>
      <c r="I4873">
        <v>35.00367</v>
      </c>
      <c r="J4873">
        <v>-422.77260000000001</v>
      </c>
      <c r="K4873">
        <v>1.1113850000000001</v>
      </c>
      <c r="L4873">
        <v>54.520719999999997</v>
      </c>
      <c r="M4873">
        <v>7.7674590000000002E-2</v>
      </c>
      <c r="N4873">
        <v>0</v>
      </c>
      <c r="O4873">
        <v>-0.99688549999999998</v>
      </c>
      <c r="P4873">
        <v>0.16165209999999999</v>
      </c>
      <c r="Q4873">
        <v>0.16004070000000001</v>
      </c>
      <c r="R4873">
        <v>-0.97378439999999999</v>
      </c>
      <c r="S4873">
        <v>0.94497679999999995</v>
      </c>
      <c r="T4873">
        <v>-0.16555510000000001</v>
      </c>
      <c r="U4873">
        <v>-2.9529420000000002</v>
      </c>
      <c r="V4873">
        <v>-8.6039420000000005E-2</v>
      </c>
      <c r="W4873">
        <v>0.173176</v>
      </c>
      <c r="X4873">
        <v>0.98112549999999998</v>
      </c>
      <c r="Y4873">
        <v>-0.22944059999999999</v>
      </c>
      <c r="Z4873">
        <v>5.3642080000000002E-2</v>
      </c>
      <c r="AA4873">
        <v>0.97184340000000002</v>
      </c>
      <c r="AB4873">
        <v>30</v>
      </c>
      <c r="AC4873">
        <v>6.31870000000003</v>
      </c>
      <c r="AD4873">
        <v>-1.1113887416099999</v>
      </c>
      <c r="AE4873">
        <v>-19.517050000000001</v>
      </c>
      <c r="AF4873">
        <v>-4.7694877088865502</v>
      </c>
      <c r="AG4873">
        <v>-1.1113887416099999</v>
      </c>
      <c r="AH4873">
        <v>19.890542000037598</v>
      </c>
      <c r="AI4873">
        <v>93.110107900818804</v>
      </c>
      <c r="AJ4873">
        <v>103.484177900432</v>
      </c>
      <c r="AK4873">
        <v>20.484551715755401</v>
      </c>
      <c r="AL4873">
        <v>80.027469751637298</v>
      </c>
      <c r="AM4873">
        <v>95.011710132058894</v>
      </c>
      <c r="AN4873">
        <v>0.99999997776009297</v>
      </c>
    </row>
    <row r="4874" spans="1:40" x14ac:dyDescent="0.25">
      <c r="A4874" t="str">
        <f>"20190312173028785"</f>
        <v>20190312173028785</v>
      </c>
      <c r="B4874" t="str">
        <f>"1552383028772418"</f>
        <v>1552383028772418</v>
      </c>
      <c r="C4874" t="s">
        <v>40</v>
      </c>
      <c r="D4874">
        <v>3.1271080000000002</v>
      </c>
      <c r="E4874">
        <v>0.44041039999999998</v>
      </c>
      <c r="F4874" t="s">
        <v>54</v>
      </c>
      <c r="G4874">
        <v>-416.2577</v>
      </c>
      <c r="H4874" s="1">
        <v>-3.9337570000000002E-6</v>
      </c>
      <c r="I4874">
        <v>34.731909999999999</v>
      </c>
      <c r="J4874">
        <v>-422.74799999999999</v>
      </c>
      <c r="K4874">
        <v>1.1113879999999901</v>
      </c>
      <c r="L4874">
        <v>54.227510000000002</v>
      </c>
      <c r="M4874">
        <v>7.9166730000000005E-2</v>
      </c>
      <c r="N4874">
        <v>0</v>
      </c>
      <c r="O4874">
        <v>-0.99676830000000005</v>
      </c>
      <c r="P4874">
        <v>0.16505790000000001</v>
      </c>
      <c r="Q4874">
        <v>0.1598753</v>
      </c>
      <c r="R4874">
        <v>-0.9732402</v>
      </c>
      <c r="S4874">
        <v>0.9701843</v>
      </c>
      <c r="T4874">
        <v>-0.16550529999999999</v>
      </c>
      <c r="U4874">
        <v>-2.9468990000000002</v>
      </c>
      <c r="V4874">
        <v>-8.8005509999999995E-2</v>
      </c>
      <c r="W4874">
        <v>0.1730004</v>
      </c>
      <c r="X4874">
        <v>0.98098209999999997</v>
      </c>
      <c r="Y4874">
        <v>-0.23607649999999999</v>
      </c>
      <c r="Z4874">
        <v>5.3608509999999998E-2</v>
      </c>
      <c r="AA4874">
        <v>0.97025459999999997</v>
      </c>
      <c r="AB4874">
        <v>30</v>
      </c>
      <c r="AC4874">
        <v>6.4903000000000404</v>
      </c>
      <c r="AD4874">
        <v>-1.11139193375699</v>
      </c>
      <c r="AE4874">
        <v>-19.4956</v>
      </c>
      <c r="AF4874">
        <v>-4.91200901373728</v>
      </c>
      <c r="AG4874">
        <v>-1.11139193375699</v>
      </c>
      <c r="AH4874">
        <v>19.890072792922702</v>
      </c>
      <c r="AI4874">
        <v>93.105079816787097</v>
      </c>
      <c r="AJ4874">
        <v>103.872075502897</v>
      </c>
      <c r="AK4874">
        <v>20.5177489089135</v>
      </c>
      <c r="AL4874">
        <v>80.037685244558006</v>
      </c>
      <c r="AM4874">
        <v>95.126374902888799</v>
      </c>
      <c r="AN4874">
        <v>0.99999999435546405</v>
      </c>
    </row>
    <row r="4875" spans="1:40" x14ac:dyDescent="0.25">
      <c r="A4875" t="str">
        <f>"20190312173028808"</f>
        <v>20190312173028808</v>
      </c>
      <c r="B4875" t="str">
        <f>"1552383028802677"</f>
        <v>1552383028802677</v>
      </c>
      <c r="C4875" t="s">
        <v>40</v>
      </c>
      <c r="D4875">
        <v>2.9722840000000001</v>
      </c>
      <c r="E4875">
        <v>0.43985940000000001</v>
      </c>
      <c r="F4875" t="s">
        <v>54</v>
      </c>
      <c r="G4875">
        <v>-416.13650000000001</v>
      </c>
      <c r="H4875" s="1">
        <v>-4.053301E-6</v>
      </c>
      <c r="I4875">
        <v>34.558520000000001</v>
      </c>
      <c r="J4875">
        <v>-422.7217</v>
      </c>
      <c r="K4875">
        <v>1.1113850000000001</v>
      </c>
      <c r="L4875">
        <v>53.91724</v>
      </c>
      <c r="M4875">
        <v>8.074974E-2</v>
      </c>
      <c r="N4875">
        <v>0</v>
      </c>
      <c r="O4875">
        <v>-0.99664129999999995</v>
      </c>
      <c r="P4875">
        <v>0.16880599999999901</v>
      </c>
      <c r="Q4875">
        <v>0.1598533</v>
      </c>
      <c r="R4875">
        <v>-0.97260049999999998</v>
      </c>
      <c r="S4875">
        <v>0.98895259999999996</v>
      </c>
      <c r="T4875">
        <v>-0.16624140000000001</v>
      </c>
      <c r="U4875">
        <v>-2.942078</v>
      </c>
      <c r="V4875">
        <v>-9.0231950000000005E-2</v>
      </c>
      <c r="W4875">
        <v>0.17296610000000001</v>
      </c>
      <c r="X4875">
        <v>0.98078580000000004</v>
      </c>
      <c r="Y4875">
        <v>-0.24057100000000001</v>
      </c>
      <c r="Z4875">
        <v>5.3836450000000001E-2</v>
      </c>
      <c r="AA4875">
        <v>0.96913740000000004</v>
      </c>
      <c r="AB4875">
        <v>30</v>
      </c>
      <c r="AC4875">
        <v>6.58519999999998</v>
      </c>
      <c r="AD4875">
        <v>-1.111389053301</v>
      </c>
      <c r="AE4875">
        <v>-19.358720000000002</v>
      </c>
      <c r="AF4875">
        <v>-4.9856067162401398</v>
      </c>
      <c r="AG4875">
        <v>-1.111389053301</v>
      </c>
      <c r="AH4875">
        <v>19.768893675337299</v>
      </c>
      <c r="AI4875">
        <v>93.120234000422201</v>
      </c>
      <c r="AJ4875">
        <v>104.15452285776099</v>
      </c>
      <c r="AK4875">
        <v>20.418144310970298</v>
      </c>
      <c r="AL4875">
        <v>80.0396799324852</v>
      </c>
      <c r="AM4875">
        <v>95.256395037405298</v>
      </c>
      <c r="AN4875">
        <v>0.99999993101582396</v>
      </c>
    </row>
    <row r="4876" spans="1:40" x14ac:dyDescent="0.25">
      <c r="A4876" t="str">
        <f>"20190312173028830"</f>
        <v>20190312173028830</v>
      </c>
      <c r="B4876" t="str">
        <f>"1552383028823173"</f>
        <v>1552383028823173</v>
      </c>
      <c r="C4876" t="s">
        <v>40</v>
      </c>
      <c r="D4876">
        <v>3.1397900000000001</v>
      </c>
      <c r="E4876">
        <v>0.43951489999999999</v>
      </c>
      <c r="F4876" t="s">
        <v>54</v>
      </c>
      <c r="G4876">
        <v>-415.95</v>
      </c>
      <c r="H4876" s="1">
        <v>-4.3208969999999997E-6</v>
      </c>
      <c r="I4876">
        <v>34.114490000000004</v>
      </c>
      <c r="J4876">
        <v>-422.69670000000002</v>
      </c>
      <c r="K4876">
        <v>1.1113879999999901</v>
      </c>
      <c r="L4876">
        <v>53.62961</v>
      </c>
      <c r="M4876">
        <v>8.2225519999999996E-2</v>
      </c>
      <c r="N4876">
        <v>0</v>
      </c>
      <c r="O4876">
        <v>-0.99652059999999998</v>
      </c>
      <c r="P4876">
        <v>0.17281659999999999</v>
      </c>
      <c r="Q4876">
        <v>0.15999679999999999</v>
      </c>
      <c r="R4876">
        <v>-0.97187219999999996</v>
      </c>
      <c r="S4876">
        <v>1.0044249999999999</v>
      </c>
      <c r="T4876">
        <v>-0.1648493</v>
      </c>
      <c r="U4876">
        <v>-2.9372859999999998</v>
      </c>
      <c r="V4876">
        <v>-9.2834440000000004E-2</v>
      </c>
      <c r="W4876">
        <v>0.17309569999999999</v>
      </c>
      <c r="X4876">
        <v>0.98052010000000001</v>
      </c>
      <c r="Y4876">
        <v>-0.2441951</v>
      </c>
      <c r="Z4876">
        <v>5.3390930000000003E-2</v>
      </c>
      <c r="AA4876">
        <v>0.96825519999999998</v>
      </c>
      <c r="AB4876">
        <v>30</v>
      </c>
      <c r="AC4876">
        <v>6.7467000000000299</v>
      </c>
      <c r="AD4876">
        <v>-1.11139232089699</v>
      </c>
      <c r="AE4876">
        <v>-19.51512</v>
      </c>
      <c r="AF4876">
        <v>-5.1042723746700798</v>
      </c>
      <c r="AG4876">
        <v>-1.11139232089699</v>
      </c>
      <c r="AH4876">
        <v>19.946041744848401</v>
      </c>
      <c r="AI4876">
        <v>93.089853952073895</v>
      </c>
      <c r="AJ4876">
        <v>104.35417570277301</v>
      </c>
      <c r="AK4876">
        <v>20.6187625878229</v>
      </c>
      <c r="AL4876">
        <v>80.032141480772097</v>
      </c>
      <c r="AM4876">
        <v>95.408571616899593</v>
      </c>
      <c r="AN4876">
        <v>1.0000000105563001</v>
      </c>
    </row>
    <row r="4877" spans="1:40" x14ac:dyDescent="0.25">
      <c r="A4877" t="str">
        <f>"20190312173028865"</f>
        <v>20190312173028865</v>
      </c>
      <c r="B4877" t="str">
        <f>"1552383028852450"</f>
        <v>1552383028852450</v>
      </c>
      <c r="C4877" t="s">
        <v>40</v>
      </c>
      <c r="D4877">
        <v>3.1249060000000002</v>
      </c>
      <c r="E4877">
        <v>0.43919520000000001</v>
      </c>
      <c r="F4877" t="s">
        <v>54</v>
      </c>
      <c r="G4877">
        <v>-415.84500000000003</v>
      </c>
      <c r="H4877" s="1">
        <v>-4.4432540000000003E-6</v>
      </c>
      <c r="I4877">
        <v>33.920050000000003</v>
      </c>
      <c r="J4877">
        <v>-422.65589999999997</v>
      </c>
      <c r="K4877">
        <v>1.1113980000000001</v>
      </c>
      <c r="L4877">
        <v>53.168460000000003</v>
      </c>
      <c r="M4877">
        <v>8.461834E-2</v>
      </c>
      <c r="N4877">
        <v>0</v>
      </c>
      <c r="O4877">
        <v>-0.99632039999999999</v>
      </c>
      <c r="P4877">
        <v>0.1777</v>
      </c>
      <c r="Q4877">
        <v>0.15926170000000001</v>
      </c>
      <c r="R4877">
        <v>-0.97111199999999998</v>
      </c>
      <c r="S4877">
        <v>1.019531</v>
      </c>
      <c r="T4877">
        <v>-0.16537449999999901</v>
      </c>
      <c r="U4877">
        <v>-2.9327700000000001</v>
      </c>
      <c r="V4877">
        <v>-9.5406679999999994E-2</v>
      </c>
      <c r="W4877">
        <v>0.1723452</v>
      </c>
      <c r="X4877">
        <v>0.98040539999999998</v>
      </c>
      <c r="Y4877">
        <v>-0.246776</v>
      </c>
      <c r="Z4877">
        <v>5.356056E-2</v>
      </c>
      <c r="AA4877">
        <v>0.96759130000000004</v>
      </c>
      <c r="AB4877">
        <v>30</v>
      </c>
      <c r="AC4877">
        <v>6.8108999999999398</v>
      </c>
      <c r="AD4877">
        <v>-1.1114024432539999</v>
      </c>
      <c r="AE4877">
        <v>-19.24841</v>
      </c>
      <c r="AF4877">
        <v>-5.1423119128385801</v>
      </c>
      <c r="AG4877">
        <v>-1.1114024432539999</v>
      </c>
      <c r="AH4877">
        <v>19.697380031542</v>
      </c>
      <c r="AI4877">
        <v>93.124909105875503</v>
      </c>
      <c r="AJ4877">
        <v>104.631399525082</v>
      </c>
      <c r="AK4877">
        <v>20.387873045189899</v>
      </c>
      <c r="AL4877">
        <v>80.075798233343093</v>
      </c>
      <c r="AM4877">
        <v>95.558151796884403</v>
      </c>
      <c r="AN4877">
        <v>1.00000002545041</v>
      </c>
    </row>
    <row r="4878" spans="1:40" x14ac:dyDescent="0.25">
      <c r="A4878" t="str">
        <f>"20190312173028885"</f>
        <v>20190312173028885</v>
      </c>
      <c r="B4878" t="str">
        <f>"1552383028882706"</f>
        <v>1552383028882706</v>
      </c>
      <c r="C4878" t="s">
        <v>40</v>
      </c>
      <c r="D4878">
        <v>3.0521950000000002</v>
      </c>
      <c r="E4878">
        <v>0.4385598</v>
      </c>
      <c r="F4878" t="s">
        <v>54</v>
      </c>
      <c r="G4878">
        <v>-415.8236</v>
      </c>
      <c r="H4878" s="1">
        <v>-4.468084E-6</v>
      </c>
      <c r="I4878">
        <v>33.880650000000003</v>
      </c>
      <c r="J4878">
        <v>-422.63010000000003</v>
      </c>
      <c r="K4878">
        <v>1.111408</v>
      </c>
      <c r="L4878">
        <v>52.884520000000002</v>
      </c>
      <c r="M4878">
        <v>8.6120749999999996E-2</v>
      </c>
      <c r="N4878">
        <v>0</v>
      </c>
      <c r="O4878">
        <v>-0.99619159999999995</v>
      </c>
      <c r="P4878">
        <v>0.18054609999999999</v>
      </c>
      <c r="Q4878">
        <v>0.1591101</v>
      </c>
      <c r="R4878">
        <v>-0.97061160000000002</v>
      </c>
      <c r="S4878">
        <v>1.03689599999999</v>
      </c>
      <c r="T4878">
        <v>-0.1686703</v>
      </c>
      <c r="U4878">
        <v>-2.9271850000000001</v>
      </c>
      <c r="V4878">
        <v>-9.6809049999999994E-2</v>
      </c>
      <c r="W4878">
        <v>0.17218310000000001</v>
      </c>
      <c r="X4878">
        <v>0.98029639999999996</v>
      </c>
      <c r="Y4878">
        <v>-0.250975</v>
      </c>
      <c r="Z4878">
        <v>5.4630020000000001E-2</v>
      </c>
      <c r="AA4878">
        <v>0.96645080000000005</v>
      </c>
      <c r="AB4878">
        <v>30</v>
      </c>
      <c r="AC4878">
        <v>6.8065000000000202</v>
      </c>
      <c r="AD4878">
        <v>-1.1114124680839901</v>
      </c>
      <c r="AE4878">
        <v>-19.0038699999999</v>
      </c>
      <c r="AF4878">
        <v>-5.1288798952519796</v>
      </c>
      <c r="AG4878">
        <v>-1.1114124680839901</v>
      </c>
      <c r="AH4878">
        <v>19.460493860948201</v>
      </c>
      <c r="AI4878">
        <v>93.160972773444698</v>
      </c>
      <c r="AJ4878">
        <v>104.764755464023</v>
      </c>
      <c r="AK4878">
        <v>20.1556807864714</v>
      </c>
      <c r="AL4878">
        <v>80.085226794154906</v>
      </c>
      <c r="AM4878">
        <v>95.639950487687898</v>
      </c>
      <c r="AN4878">
        <v>1.0000000219702301</v>
      </c>
    </row>
    <row r="4879" spans="1:40" x14ac:dyDescent="0.25">
      <c r="A4879" t="str">
        <f>"20190312173028908"</f>
        <v>20190312173028908</v>
      </c>
      <c r="B4879" t="str">
        <f>"1552383028903220"</f>
        <v>1552383028903220</v>
      </c>
      <c r="C4879" t="s">
        <v>40</v>
      </c>
      <c r="D4879">
        <v>2.967263</v>
      </c>
      <c r="E4879">
        <v>0.43844929999999899</v>
      </c>
      <c r="F4879" t="s">
        <v>54</v>
      </c>
      <c r="G4879">
        <v>-415.76010000000002</v>
      </c>
      <c r="H4879" s="1">
        <v>-4.5439090000000003E-6</v>
      </c>
      <c r="I4879">
        <v>33.759450000000001</v>
      </c>
      <c r="J4879">
        <v>-422.60210000000001</v>
      </c>
      <c r="K4879">
        <v>1.111424</v>
      </c>
      <c r="L4879">
        <v>52.580660000000002</v>
      </c>
      <c r="M4879">
        <v>8.7754589999999993E-2</v>
      </c>
      <c r="N4879">
        <v>0</v>
      </c>
      <c r="O4879">
        <v>-0.99604930000000003</v>
      </c>
      <c r="P4879">
        <v>0.1835155</v>
      </c>
      <c r="Q4879">
        <v>0.1591447</v>
      </c>
      <c r="R4879">
        <v>-0.9700493</v>
      </c>
      <c r="S4879">
        <v>1.0501100000000001</v>
      </c>
      <c r="T4879">
        <v>-0.1698836</v>
      </c>
      <c r="U4879">
        <v>-2.92334</v>
      </c>
      <c r="V4879">
        <v>-9.8212309999999997E-2</v>
      </c>
      <c r="W4879">
        <v>0.1722052</v>
      </c>
      <c r="X4879">
        <v>0.98015289999999999</v>
      </c>
      <c r="Y4879">
        <v>-0.253654299999999</v>
      </c>
      <c r="Z4879">
        <v>5.5017749999999997E-2</v>
      </c>
      <c r="AA4879">
        <v>0.96572910000000001</v>
      </c>
      <c r="AB4879">
        <v>30</v>
      </c>
      <c r="AC4879">
        <v>6.8419999999999801</v>
      </c>
      <c r="AD4879">
        <v>-1.1114285439089999</v>
      </c>
      <c r="AE4879">
        <v>-18.821209999999901</v>
      </c>
      <c r="AF4879">
        <v>-5.1479430861927202</v>
      </c>
      <c r="AG4879">
        <v>-1.1114285439089999</v>
      </c>
      <c r="AH4879">
        <v>19.289645216990699</v>
      </c>
      <c r="AI4879">
        <v>93.186339137094805</v>
      </c>
      <c r="AJ4879">
        <v>104.942613483644</v>
      </c>
      <c r="AK4879">
        <v>19.995674632886601</v>
      </c>
      <c r="AL4879">
        <v>80.083941117433696</v>
      </c>
      <c r="AM4879">
        <v>95.721995874174397</v>
      </c>
      <c r="AN4879">
        <v>0.999999998060493</v>
      </c>
    </row>
    <row r="4880" spans="1:40" x14ac:dyDescent="0.25">
      <c r="A4880" t="str">
        <f>"20190312173028930"</f>
        <v>20190312173028930</v>
      </c>
      <c r="B4880" t="str">
        <f>"1552383028922725"</f>
        <v>1552383028922725</v>
      </c>
      <c r="C4880" t="s">
        <v>40</v>
      </c>
      <c r="D4880">
        <v>2.8234720000000002</v>
      </c>
      <c r="E4880">
        <v>0.4379786</v>
      </c>
      <c r="F4880" t="s">
        <v>54</v>
      </c>
      <c r="G4880">
        <v>-415.65859999999998</v>
      </c>
      <c r="H4880" s="1">
        <v>-4.7233519999999999E-6</v>
      </c>
      <c r="I4880">
        <v>33.451450000000001</v>
      </c>
      <c r="J4880">
        <v>-422.57400000000001</v>
      </c>
      <c r="K4880">
        <v>1.111453</v>
      </c>
      <c r="L4880">
        <v>52.282170000000001</v>
      </c>
      <c r="M4880">
        <v>8.9400590000000002E-2</v>
      </c>
      <c r="N4880">
        <v>0</v>
      </c>
      <c r="O4880">
        <v>-0.99590279999999998</v>
      </c>
      <c r="P4880">
        <v>0.18672659999999999</v>
      </c>
      <c r="Q4880">
        <v>0.15882180000000001</v>
      </c>
      <c r="R4880">
        <v>-0.9694893</v>
      </c>
      <c r="S4880">
        <v>1.0598749999999999</v>
      </c>
      <c r="T4880">
        <v>-0.16965259999999999</v>
      </c>
      <c r="U4880">
        <v>-2.9199519999999999</v>
      </c>
      <c r="V4880">
        <v>-9.984643E-2</v>
      </c>
      <c r="W4880">
        <v>0.1718674</v>
      </c>
      <c r="X4880">
        <v>0.980047</v>
      </c>
      <c r="Y4880">
        <v>-0.2552701</v>
      </c>
      <c r="Z4880">
        <v>5.4948610000000002E-2</v>
      </c>
      <c r="AA4880">
        <v>0.96530709999999997</v>
      </c>
      <c r="AB4880">
        <v>30</v>
      </c>
      <c r="AC4880">
        <v>6.9154000000000302</v>
      </c>
      <c r="AD4880">
        <v>-1.111457723352</v>
      </c>
      <c r="AE4880">
        <v>-18.830719999999999</v>
      </c>
      <c r="AF4880">
        <v>-5.1881440515826398</v>
      </c>
      <c r="AG4880">
        <v>-1.111457723352</v>
      </c>
      <c r="AH4880">
        <v>19.314310443570299</v>
      </c>
      <c r="AI4880">
        <v>93.180981036324397</v>
      </c>
      <c r="AJ4880">
        <v>105.035671138905</v>
      </c>
      <c r="AK4880">
        <v>20.029846851171399</v>
      </c>
      <c r="AL4880">
        <v>80.103587757906297</v>
      </c>
      <c r="AM4880">
        <v>95.817178856272903</v>
      </c>
      <c r="AN4880">
        <v>0.99999991748774897</v>
      </c>
    </row>
    <row r="4881" spans="1:40" x14ac:dyDescent="0.25">
      <c r="A4881" t="str">
        <f>"20190312173029066"</f>
        <v>20190312173029066</v>
      </c>
      <c r="B4881" t="str">
        <f>"1552383029062290"</f>
        <v>1552383029062290</v>
      </c>
      <c r="C4881" t="s">
        <v>40</v>
      </c>
      <c r="D4881">
        <v>3.018815</v>
      </c>
      <c r="E4881">
        <v>0.45370379999999899</v>
      </c>
      <c r="F4881" t="s">
        <v>54</v>
      </c>
      <c r="G4881">
        <v>-415.64109999999999</v>
      </c>
      <c r="H4881" s="1">
        <v>-4.7313870000000004E-6</v>
      </c>
      <c r="I4881">
        <v>33.443300000000001</v>
      </c>
      <c r="J4881">
        <v>-422.39359999999999</v>
      </c>
      <c r="K4881">
        <v>1.111855</v>
      </c>
      <c r="L4881">
        <v>50.499389999999998</v>
      </c>
      <c r="M4881">
        <v>0.1008951</v>
      </c>
      <c r="N4881">
        <v>0</v>
      </c>
      <c r="O4881">
        <v>-0.99480409999999997</v>
      </c>
      <c r="P4881">
        <v>0.20670230000000001</v>
      </c>
      <c r="Q4881">
        <v>0.1610723</v>
      </c>
      <c r="R4881">
        <v>-0.96505479999999999</v>
      </c>
      <c r="S4881">
        <v>1.0730900000000001</v>
      </c>
      <c r="T4881">
        <v>-0.17203399999999999</v>
      </c>
      <c r="U4881">
        <v>-2.915924</v>
      </c>
      <c r="V4881">
        <v>-0.1089873</v>
      </c>
      <c r="W4881">
        <v>0.17396919999999999</v>
      </c>
      <c r="X4881">
        <v>0.97870140000000005</v>
      </c>
      <c r="Y4881">
        <v>-0.24837090000000001</v>
      </c>
      <c r="Z4881">
        <v>5.5705820000000003E-2</v>
      </c>
      <c r="AA4881">
        <v>0.96706190000000003</v>
      </c>
      <c r="AB4881">
        <v>30</v>
      </c>
      <c r="AC4881">
        <v>6.7524999999999897</v>
      </c>
      <c r="AD4881">
        <v>-1.111859731387</v>
      </c>
      <c r="AE4881">
        <v>-17.056090000000001</v>
      </c>
      <c r="AF4881">
        <v>-4.9787105652485204</v>
      </c>
      <c r="AG4881">
        <v>-1.111859731387</v>
      </c>
      <c r="AH4881">
        <v>17.585789650069501</v>
      </c>
      <c r="AI4881">
        <v>93.481237079296406</v>
      </c>
      <c r="AJ4881">
        <v>105.80734103310699</v>
      </c>
      <c r="AK4881">
        <v>18.310756089558101</v>
      </c>
      <c r="AL4881">
        <v>79.981322211895701</v>
      </c>
      <c r="AM4881">
        <v>96.354226394300198</v>
      </c>
      <c r="AN4881">
        <v>0.99999997223594395</v>
      </c>
    </row>
    <row r="4882" spans="1:40" x14ac:dyDescent="0.25">
      <c r="A4882" t="str">
        <f>"20190312173029087"</f>
        <v>20190312173029087</v>
      </c>
      <c r="B4882" t="str">
        <f>"1552383029082786"</f>
        <v>1552383029082786</v>
      </c>
      <c r="C4882" t="s">
        <v>40</v>
      </c>
      <c r="D4882">
        <v>3.1611379999999998</v>
      </c>
      <c r="E4882">
        <v>0.4608643</v>
      </c>
      <c r="F4882" t="s">
        <v>41</v>
      </c>
      <c r="G4882">
        <v>-420.0453</v>
      </c>
      <c r="H4882" s="1">
        <v>-1.773814E-6</v>
      </c>
      <c r="I4882">
        <v>43.695799999999998</v>
      </c>
      <c r="J4882">
        <v>-422.36130000000003</v>
      </c>
      <c r="K4882">
        <v>1.111961</v>
      </c>
      <c r="L4882">
        <v>50.205869999999997</v>
      </c>
      <c r="M4882">
        <v>0.103216</v>
      </c>
      <c r="N4882">
        <v>0</v>
      </c>
      <c r="O4882">
        <v>-0.9945657</v>
      </c>
      <c r="P4882">
        <v>0.2104335</v>
      </c>
      <c r="Q4882">
        <v>0.16093209999999999</v>
      </c>
      <c r="R4882">
        <v>-0.96427090000000004</v>
      </c>
      <c r="S4882">
        <v>1.0251159999999999</v>
      </c>
      <c r="T4882">
        <v>-0.48537849999999999</v>
      </c>
      <c r="U4882">
        <v>-2.9700929999999999</v>
      </c>
      <c r="V4882">
        <v>-0.1105339</v>
      </c>
      <c r="W4882">
        <v>0.173794</v>
      </c>
      <c r="X4882">
        <v>0.97855910000000002</v>
      </c>
      <c r="Y4882">
        <v>-0.22306010000000001</v>
      </c>
      <c r="Z4882">
        <v>0.15365419999999999</v>
      </c>
      <c r="AA4882">
        <v>0.96261859999999999</v>
      </c>
      <c r="AB4882">
        <v>30</v>
      </c>
      <c r="AC4882">
        <v>2.31600000000003</v>
      </c>
      <c r="AD4882">
        <v>-1.1119627738140001</v>
      </c>
      <c r="AE4882">
        <v>-6.5100699999999998</v>
      </c>
      <c r="AF4882">
        <v>-1.5904342489344301</v>
      </c>
      <c r="AG4882">
        <v>-1.1119627738140001</v>
      </c>
      <c r="AH4882">
        <v>6.5448692784324196</v>
      </c>
      <c r="AI4882">
        <v>99.374617095293701</v>
      </c>
      <c r="AJ4882">
        <v>103.658404494957</v>
      </c>
      <c r="AK4882">
        <v>6.8265112746043499</v>
      </c>
      <c r="AL4882">
        <v>79.991516044491206</v>
      </c>
      <c r="AM4882">
        <v>96.444572944216603</v>
      </c>
      <c r="AN4882">
        <v>1.0000000048390101</v>
      </c>
    </row>
    <row r="4883" spans="1:40" x14ac:dyDescent="0.25">
      <c r="A4883" t="str">
        <f>"20190312173029109"</f>
        <v>20190312173029109</v>
      </c>
      <c r="B4883" t="str">
        <f>"1552383029102306"</f>
        <v>1552383029102306</v>
      </c>
      <c r="C4883" t="s">
        <v>40</v>
      </c>
      <c r="D4883">
        <v>3.2325740000000001</v>
      </c>
      <c r="E4883">
        <v>0.46127669999999998</v>
      </c>
      <c r="F4883" t="s">
        <v>54</v>
      </c>
      <c r="G4883">
        <v>-411.98140000000001</v>
      </c>
      <c r="H4883" s="1">
        <v>-1.0615969999999999E-5</v>
      </c>
      <c r="I4883">
        <v>18.737660000000002</v>
      </c>
      <c r="J4883">
        <v>-422.32819999999998</v>
      </c>
      <c r="K4883">
        <v>1.1120639999999999</v>
      </c>
      <c r="L4883">
        <v>49.912840000000003</v>
      </c>
      <c r="M4883">
        <v>0.1056565</v>
      </c>
      <c r="N4883">
        <v>0</v>
      </c>
      <c r="O4883">
        <v>-0.99430940000000001</v>
      </c>
      <c r="P4883">
        <v>0.2136507</v>
      </c>
      <c r="Q4883">
        <v>0.1620325</v>
      </c>
      <c r="R4883">
        <v>-0.96337899999999999</v>
      </c>
      <c r="S4883">
        <v>0.96261600000000003</v>
      </c>
      <c r="T4883">
        <v>-0.1031222</v>
      </c>
      <c r="U4883">
        <v>-2.918304</v>
      </c>
      <c r="V4883">
        <v>-0.1114681</v>
      </c>
      <c r="W4883">
        <v>0.17486170000000001</v>
      </c>
      <c r="X4883">
        <v>0.97826279999999999</v>
      </c>
      <c r="Y4883">
        <v>-0.21097250000000001</v>
      </c>
      <c r="Z4883">
        <v>3.3729530000000001E-2</v>
      </c>
      <c r="AA4883">
        <v>0.9769099</v>
      </c>
      <c r="AB4883">
        <v>30</v>
      </c>
      <c r="AC4883">
        <v>10.346799999999901</v>
      </c>
      <c r="AD4883">
        <v>-1.1120746159699999</v>
      </c>
      <c r="AE4883">
        <v>-31.175179999999902</v>
      </c>
      <c r="AF4883">
        <v>-6.9867006739732602</v>
      </c>
      <c r="AG4883">
        <v>-1.1120746159699999</v>
      </c>
      <c r="AH4883">
        <v>32.057213824505901</v>
      </c>
      <c r="AI4883">
        <v>91.941277229207699</v>
      </c>
      <c r="AJ4883">
        <v>102.29504805705599</v>
      </c>
      <c r="AK4883">
        <v>32.828579842102101</v>
      </c>
      <c r="AL4883">
        <v>79.929389268465997</v>
      </c>
      <c r="AM4883">
        <v>96.500528043006497</v>
      </c>
      <c r="AN4883">
        <v>0.99999992865416698</v>
      </c>
    </row>
    <row r="4884" spans="1:40" x14ac:dyDescent="0.25">
      <c r="A4884" t="str">
        <f>"20190312173029131"</f>
        <v>20190312173029131</v>
      </c>
      <c r="B4884" t="str">
        <f>"1552383029122803"</f>
        <v>1552383029122803</v>
      </c>
      <c r="C4884" t="s">
        <v>40</v>
      </c>
      <c r="D4884">
        <v>3.1987909999999999</v>
      </c>
      <c r="E4884">
        <v>0.46151399999999998</v>
      </c>
      <c r="F4884" t="s">
        <v>54</v>
      </c>
      <c r="G4884">
        <v>-412.0369</v>
      </c>
      <c r="H4884" s="1">
        <v>-1.057798E-5</v>
      </c>
      <c r="I4884">
        <v>18.986750000000001</v>
      </c>
      <c r="J4884">
        <v>-422.29469999999998</v>
      </c>
      <c r="K4884">
        <v>1.1121669999999999</v>
      </c>
      <c r="L4884">
        <v>49.622680000000003</v>
      </c>
      <c r="M4884">
        <v>0.1082032</v>
      </c>
      <c r="N4884">
        <v>0</v>
      </c>
      <c r="O4884">
        <v>-0.99403569999999997</v>
      </c>
      <c r="P4884">
        <v>0.21701699999999999</v>
      </c>
      <c r="Q4884">
        <v>0.1622015</v>
      </c>
      <c r="R4884">
        <v>-0.96259790000000001</v>
      </c>
      <c r="S4884">
        <v>0.97052000000000005</v>
      </c>
      <c r="T4884">
        <v>-0.1048738</v>
      </c>
      <c r="U4884">
        <v>-2.9164729999999999</v>
      </c>
      <c r="V4884">
        <v>-0.112429</v>
      </c>
      <c r="W4884">
        <v>0.17499979999999901</v>
      </c>
      <c r="X4884">
        <v>0.9781282</v>
      </c>
      <c r="Y4884">
        <v>-0.21103060000000001</v>
      </c>
      <c r="Z4884">
        <v>3.4293490000000003E-2</v>
      </c>
      <c r="AA4884">
        <v>0.97687769999999996</v>
      </c>
      <c r="AB4884">
        <v>30</v>
      </c>
      <c r="AC4884">
        <v>10.2577999999999</v>
      </c>
      <c r="AD4884">
        <v>-1.1121775779799901</v>
      </c>
      <c r="AE4884">
        <v>-30.635929999999899</v>
      </c>
      <c r="AF4884">
        <v>-6.87420441070664</v>
      </c>
      <c r="AG4884">
        <v>-1.1121775779799901</v>
      </c>
      <c r="AH4884">
        <v>31.528693188516002</v>
      </c>
      <c r="AI4884">
        <v>91.973941202903703</v>
      </c>
      <c r="AJ4884">
        <v>102.299718236015</v>
      </c>
      <c r="AK4884">
        <v>32.2885447089322</v>
      </c>
      <c r="AL4884">
        <v>79.921353458036606</v>
      </c>
      <c r="AM4884">
        <v>96.556973743438604</v>
      </c>
      <c r="AN4884">
        <v>0.99999999283813901</v>
      </c>
    </row>
    <row r="4885" spans="1:40" x14ac:dyDescent="0.25">
      <c r="A4885" t="str">
        <f>"20190312173029154"</f>
        <v>20190312173029154</v>
      </c>
      <c r="B4885" t="str">
        <f>"1552383029142322"</f>
        <v>1552383029142322</v>
      </c>
      <c r="C4885" t="s">
        <v>40</v>
      </c>
      <c r="D4885">
        <v>3.2118329999999999</v>
      </c>
      <c r="E4885">
        <v>0.46182440000000002</v>
      </c>
      <c r="F4885" t="s">
        <v>54</v>
      </c>
      <c r="G4885">
        <v>-412.8263</v>
      </c>
      <c r="H4885" s="1">
        <v>-8.9394460000000003E-6</v>
      </c>
      <c r="I4885">
        <v>21.4619</v>
      </c>
      <c r="J4885">
        <v>-422.2602</v>
      </c>
      <c r="K4885">
        <v>1.112268</v>
      </c>
      <c r="L4885">
        <v>49.332149999999999</v>
      </c>
      <c r="M4885">
        <v>0.110894699999999</v>
      </c>
      <c r="N4885">
        <v>0</v>
      </c>
      <c r="O4885">
        <v>-0.99373889999999998</v>
      </c>
      <c r="P4885">
        <v>0.22069910000000001</v>
      </c>
      <c r="Q4885">
        <v>0.16221949999999999</v>
      </c>
      <c r="R4885">
        <v>-0.96175719999999998</v>
      </c>
      <c r="S4885">
        <v>0.98010249999999999</v>
      </c>
      <c r="T4885">
        <v>-0.1151247</v>
      </c>
      <c r="U4885">
        <v>-2.915009</v>
      </c>
      <c r="V4885">
        <v>-0.11356860000000001</v>
      </c>
      <c r="W4885">
        <v>0.17498569999999999</v>
      </c>
      <c r="X4885">
        <v>0.97799910000000001</v>
      </c>
      <c r="Y4885">
        <v>-0.21138029999999999</v>
      </c>
      <c r="Z4885">
        <v>3.7621330000000001E-2</v>
      </c>
      <c r="AA4885">
        <v>0.97667959999999998</v>
      </c>
      <c r="AB4885">
        <v>30</v>
      </c>
      <c r="AC4885">
        <v>9.4338999999999906</v>
      </c>
      <c r="AD4885">
        <v>-1.1122769394459999</v>
      </c>
      <c r="AE4885">
        <v>-27.870249999999999</v>
      </c>
      <c r="AF4885">
        <v>-6.2757847797911603</v>
      </c>
      <c r="AG4885">
        <v>-1.1122769394459999</v>
      </c>
      <c r="AH4885">
        <v>28.7035677804319</v>
      </c>
      <c r="AI4885">
        <v>92.167965283304696</v>
      </c>
      <c r="AJ4885">
        <v>102.333142372354</v>
      </c>
      <c r="AK4885">
        <v>29.402677393702199</v>
      </c>
      <c r="AL4885">
        <v>79.922174376697498</v>
      </c>
      <c r="AM4885">
        <v>96.623715340045095</v>
      </c>
      <c r="AN4885">
        <v>1.0000000308556201</v>
      </c>
    </row>
    <row r="4886" spans="1:40" x14ac:dyDescent="0.25">
      <c r="A4886" t="str">
        <f>"20190312173029176"</f>
        <v>20190312173029176</v>
      </c>
      <c r="B4886" t="str">
        <f>"1552383029172578"</f>
        <v>1552383029172578</v>
      </c>
      <c r="C4886" t="s">
        <v>40</v>
      </c>
      <c r="D4886">
        <v>3.1596639999999998</v>
      </c>
      <c r="E4886">
        <v>0.46178079999999999</v>
      </c>
      <c r="F4886" t="s">
        <v>54</v>
      </c>
      <c r="G4886">
        <v>-413.22829999999999</v>
      </c>
      <c r="H4886" s="1">
        <v>-8.9203179999999992E-6</v>
      </c>
      <c r="I4886">
        <v>22.73358</v>
      </c>
      <c r="J4886">
        <v>-422.2244</v>
      </c>
      <c r="K4886">
        <v>1.1123749999999999</v>
      </c>
      <c r="L4886">
        <v>49.037480000000002</v>
      </c>
      <c r="M4886">
        <v>0.11377180000000001</v>
      </c>
      <c r="N4886">
        <v>0</v>
      </c>
      <c r="O4886">
        <v>-0.9934134</v>
      </c>
      <c r="P4886">
        <v>0.22443750000000001</v>
      </c>
      <c r="Q4886">
        <v>0.1620434</v>
      </c>
      <c r="R4886">
        <v>-0.96092149999999998</v>
      </c>
      <c r="S4886">
        <v>0.98910520000000002</v>
      </c>
      <c r="T4886">
        <v>-0.1218081</v>
      </c>
      <c r="U4886">
        <v>-2.9128720000000001</v>
      </c>
      <c r="V4886">
        <v>-0.1145844</v>
      </c>
      <c r="W4886">
        <v>0.1747763</v>
      </c>
      <c r="X4886">
        <v>0.97791799999999995</v>
      </c>
      <c r="Y4886">
        <v>-0.21144850000000001</v>
      </c>
      <c r="Z4886">
        <v>3.979046E-2</v>
      </c>
      <c r="AA4886">
        <v>0.97657879999999997</v>
      </c>
      <c r="AB4886">
        <v>30</v>
      </c>
      <c r="AC4886">
        <v>8.9961000000000109</v>
      </c>
      <c r="AD4886">
        <v>-1.1123839203179999</v>
      </c>
      <c r="AE4886">
        <v>-26.303899999999999</v>
      </c>
      <c r="AF4886">
        <v>-5.9352533654549999</v>
      </c>
      <c r="AG4886">
        <v>-1.1123839203179999</v>
      </c>
      <c r="AH4886">
        <v>27.113260095380799</v>
      </c>
      <c r="AI4886">
        <v>92.295087253771399</v>
      </c>
      <c r="AJ4886">
        <v>102.347613039468</v>
      </c>
      <c r="AK4886">
        <v>27.777571951092</v>
      </c>
      <c r="AL4886">
        <v>79.934359351330997</v>
      </c>
      <c r="AM4886">
        <v>96.682976037081104</v>
      </c>
      <c r="AN4886">
        <v>0.99999997724452405</v>
      </c>
    </row>
    <row r="4887" spans="1:40" x14ac:dyDescent="0.25">
      <c r="A4887" t="str">
        <f>"20190312173029198"</f>
        <v>20190312173029198</v>
      </c>
      <c r="B4887" t="str">
        <f>"1552383029193074"</f>
        <v>1552383029193074</v>
      </c>
      <c r="C4887" t="s">
        <v>40</v>
      </c>
      <c r="D4887">
        <v>3.5095089999999902</v>
      </c>
      <c r="E4887">
        <v>0.46227849999999998</v>
      </c>
      <c r="F4887" t="s">
        <v>54</v>
      </c>
      <c r="G4887">
        <v>-414.11709999999999</v>
      </c>
      <c r="H4887" s="1">
        <v>-8.8702950000000001E-6</v>
      </c>
      <c r="I4887">
        <v>25.466699999999999</v>
      </c>
      <c r="J4887">
        <v>-422.18720000000002</v>
      </c>
      <c r="K4887">
        <v>1.1124879999999999</v>
      </c>
      <c r="L4887">
        <v>48.740879999999997</v>
      </c>
      <c r="M4887">
        <v>0.11681510000000001</v>
      </c>
      <c r="N4887">
        <v>0</v>
      </c>
      <c r="O4887">
        <v>-0.99306030000000001</v>
      </c>
      <c r="P4887">
        <v>0.22745009999999999</v>
      </c>
      <c r="Q4887">
        <v>0.16338050000000001</v>
      </c>
      <c r="R4887">
        <v>-0.95998640000000002</v>
      </c>
      <c r="S4887">
        <v>1.0013430000000001</v>
      </c>
      <c r="T4887">
        <v>-0.13739319999999999</v>
      </c>
      <c r="U4887">
        <v>-2.9112849999999999</v>
      </c>
      <c r="V4887">
        <v>-0.1147387</v>
      </c>
      <c r="W4887">
        <v>0.17608089999999901</v>
      </c>
      <c r="X4887">
        <v>0.97766580000000003</v>
      </c>
      <c r="Y4887">
        <v>-0.21222150000000001</v>
      </c>
      <c r="Z4887">
        <v>4.4837299999999997E-2</v>
      </c>
      <c r="AA4887">
        <v>0.97619239999999996</v>
      </c>
      <c r="AB4887">
        <v>30</v>
      </c>
      <c r="AC4887">
        <v>8.0701000000000196</v>
      </c>
      <c r="AD4887">
        <v>-1.112496870295</v>
      </c>
      <c r="AE4887">
        <v>-23.274180000000001</v>
      </c>
      <c r="AF4887">
        <v>-5.2850321230104598</v>
      </c>
      <c r="AG4887">
        <v>-1.112496870295</v>
      </c>
      <c r="AH4887">
        <v>24.0086371521414</v>
      </c>
      <c r="AI4887">
        <v>92.5910889437789</v>
      </c>
      <c r="AJ4887">
        <v>102.41454756619</v>
      </c>
      <c r="AK4887">
        <v>24.608613771012301</v>
      </c>
      <c r="AL4887">
        <v>79.858433391004695</v>
      </c>
      <c r="AM4887">
        <v>96.693604394299598</v>
      </c>
      <c r="AN4887">
        <v>0.99999993455606695</v>
      </c>
    </row>
    <row r="4888" spans="1:40" x14ac:dyDescent="0.25">
      <c r="A4888" t="str">
        <f>"20190312173029221"</f>
        <v>20190312173029221</v>
      </c>
      <c r="B4888" t="str">
        <f>"1552383029212595"</f>
        <v>1552383029212595</v>
      </c>
      <c r="C4888" t="s">
        <v>40</v>
      </c>
      <c r="D4888">
        <v>3.1645210000000001</v>
      </c>
      <c r="E4888">
        <v>0.46257120000000002</v>
      </c>
      <c r="F4888" t="s">
        <v>54</v>
      </c>
      <c r="G4888">
        <v>-413.87419999999997</v>
      </c>
      <c r="H4888" s="1">
        <v>-8.8850590000000002E-6</v>
      </c>
      <c r="I4888">
        <v>24.731459999999998</v>
      </c>
      <c r="J4888">
        <v>-422.14980000000003</v>
      </c>
      <c r="K4888">
        <v>1.112606</v>
      </c>
      <c r="L4888">
        <v>48.450530000000001</v>
      </c>
      <c r="M4888">
        <v>0.1199373</v>
      </c>
      <c r="N4888">
        <v>0</v>
      </c>
      <c r="O4888">
        <v>-0.99268809999999996</v>
      </c>
      <c r="P4888">
        <v>0.23031560000000001</v>
      </c>
      <c r="Q4888">
        <v>0.1646098</v>
      </c>
      <c r="R4888">
        <v>-0.95909299999999997</v>
      </c>
      <c r="S4888">
        <v>1.0073240000000001</v>
      </c>
      <c r="T4888">
        <v>-0.13480639999999999</v>
      </c>
      <c r="U4888">
        <v>-2.909332</v>
      </c>
      <c r="V4888">
        <v>-0.11466510000000001</v>
      </c>
      <c r="W4888">
        <v>0.17728050000000001</v>
      </c>
      <c r="X4888">
        <v>0.97745769999999998</v>
      </c>
      <c r="Y4888">
        <v>-0.2111558</v>
      </c>
      <c r="Z4888">
        <v>4.3988720000000002E-2</v>
      </c>
      <c r="AA4888">
        <v>0.9764621</v>
      </c>
      <c r="AB4888">
        <v>30</v>
      </c>
      <c r="AC4888">
        <v>8.2756000000000505</v>
      </c>
      <c r="AD4888">
        <v>-1.1126148850589901</v>
      </c>
      <c r="AE4888">
        <v>-23.719069999999999</v>
      </c>
      <c r="AF4888">
        <v>-5.3602716805566999</v>
      </c>
      <c r="AG4888">
        <v>-1.1126148850589901</v>
      </c>
      <c r="AH4888">
        <v>24.4924226352536</v>
      </c>
      <c r="AI4888">
        <v>92.540923407613704</v>
      </c>
      <c r="AJ4888">
        <v>102.344789466085</v>
      </c>
      <c r="AK4888">
        <v>25.0967964273474</v>
      </c>
      <c r="AL4888">
        <v>79.788603563893602</v>
      </c>
      <c r="AM4888">
        <v>96.690760902061299</v>
      </c>
      <c r="AN4888">
        <v>1.0000000080637701</v>
      </c>
    </row>
    <row r="4889" spans="1:40" x14ac:dyDescent="0.25">
      <c r="A4889" t="str">
        <f>"20190312173029242"</f>
        <v>20190312173029242</v>
      </c>
      <c r="B4889" t="str">
        <f>"1552383029233090"</f>
        <v>1552383029233090</v>
      </c>
      <c r="C4889" t="s">
        <v>40</v>
      </c>
      <c r="D4889">
        <v>3.271639</v>
      </c>
      <c r="E4889">
        <v>0.4627908</v>
      </c>
      <c r="F4889" t="s">
        <v>54</v>
      </c>
      <c r="G4889">
        <v>-413.47430000000003</v>
      </c>
      <c r="H4889" s="1">
        <v>-8.918209E-6</v>
      </c>
      <c r="I4889">
        <v>23.60773</v>
      </c>
      <c r="J4889">
        <v>-422.11130000000003</v>
      </c>
      <c r="K4889">
        <v>1.112727</v>
      </c>
      <c r="L4889">
        <v>48.16037</v>
      </c>
      <c r="M4889">
        <v>0.1231983</v>
      </c>
      <c r="N4889">
        <v>0</v>
      </c>
      <c r="O4889">
        <v>-0.99228850000000002</v>
      </c>
      <c r="P4889">
        <v>0.23386009999999999</v>
      </c>
      <c r="Q4889">
        <v>0.1647535</v>
      </c>
      <c r="R4889">
        <v>-0.95821009999999995</v>
      </c>
      <c r="S4889">
        <v>1.015015</v>
      </c>
      <c r="T4889">
        <v>-0.1301736</v>
      </c>
      <c r="U4889">
        <v>-2.906555</v>
      </c>
      <c r="V4889">
        <v>-0.1151213</v>
      </c>
      <c r="W4889">
        <v>0.1773931</v>
      </c>
      <c r="X4889">
        <v>0.97738360000000002</v>
      </c>
      <c r="Y4889">
        <v>-0.2105591</v>
      </c>
      <c r="Z4889">
        <v>4.2477269999999998E-2</v>
      </c>
      <c r="AA4889">
        <v>0.97665789999999997</v>
      </c>
      <c r="AB4889">
        <v>30</v>
      </c>
      <c r="AC4889">
        <v>8.6370000000000005</v>
      </c>
      <c r="AD4889">
        <v>-1.112735918209</v>
      </c>
      <c r="AE4889">
        <v>-24.55264</v>
      </c>
      <c r="AF4889">
        <v>-5.5359488726933996</v>
      </c>
      <c r="AG4889">
        <v>-1.112735918209</v>
      </c>
      <c r="AH4889">
        <v>25.383332728353</v>
      </c>
      <c r="AI4889">
        <v>92.452507072357704</v>
      </c>
      <c r="AJ4889">
        <v>102.303204793323</v>
      </c>
      <c r="AK4889">
        <v>26.003816864895501</v>
      </c>
      <c r="AL4889">
        <v>79.782047698175205</v>
      </c>
      <c r="AM4889">
        <v>96.717642217185201</v>
      </c>
      <c r="AN4889">
        <v>0.99999996359512899</v>
      </c>
    </row>
    <row r="4890" spans="1:40" x14ac:dyDescent="0.25">
      <c r="A4890" t="str">
        <f>"20190312173029266"</f>
        <v>20190312173029266</v>
      </c>
      <c r="B4890" t="str">
        <f>"1552383029262371"</f>
        <v>1552383029262371</v>
      </c>
      <c r="C4890" t="s">
        <v>40</v>
      </c>
      <c r="D4890">
        <v>3.200612</v>
      </c>
      <c r="E4890">
        <v>0.463393</v>
      </c>
      <c r="F4890" t="s">
        <v>54</v>
      </c>
      <c r="G4890">
        <v>-413.49020000000002</v>
      </c>
      <c r="H4890" s="1">
        <v>-8.9259269999999992E-6</v>
      </c>
      <c r="I4890">
        <v>23.742979999999999</v>
      </c>
      <c r="J4890">
        <v>-422.07069999999999</v>
      </c>
      <c r="K4890">
        <v>1.112835</v>
      </c>
      <c r="L4890">
        <v>47.863680000000002</v>
      </c>
      <c r="M4890">
        <v>0.12668550000000001</v>
      </c>
      <c r="N4890">
        <v>0</v>
      </c>
      <c r="O4890">
        <v>-0.99184910000000004</v>
      </c>
      <c r="P4890">
        <v>0.23742949999999999</v>
      </c>
      <c r="Q4890">
        <v>0.16438420000000001</v>
      </c>
      <c r="R4890">
        <v>-0.957395</v>
      </c>
      <c r="S4890">
        <v>1.0251159999999999</v>
      </c>
      <c r="T4890">
        <v>-0.13231270000000001</v>
      </c>
      <c r="U4890">
        <v>-2.9034119999999999</v>
      </c>
      <c r="V4890">
        <v>-0.1153655</v>
      </c>
      <c r="W4890">
        <v>0.17699709999999999</v>
      </c>
      <c r="X4890">
        <v>0.97742660000000003</v>
      </c>
      <c r="Y4890">
        <v>-0.21046670000000001</v>
      </c>
      <c r="Z4890">
        <v>4.3165549999999997E-2</v>
      </c>
      <c r="AA4890">
        <v>0.97664759999999995</v>
      </c>
      <c r="AB4890">
        <v>30</v>
      </c>
      <c r="AC4890">
        <v>8.5804999999999705</v>
      </c>
      <c r="AD4890">
        <v>-1.112843925927</v>
      </c>
      <c r="AE4890">
        <v>-24.120699999999999</v>
      </c>
      <c r="AF4890">
        <v>-5.4450377940791403</v>
      </c>
      <c r="AG4890">
        <v>-1.112843925927</v>
      </c>
      <c r="AH4890">
        <v>24.966274675928499</v>
      </c>
      <c r="AI4890">
        <v>92.493665318697197</v>
      </c>
      <c r="AJ4890">
        <v>102.303307142997</v>
      </c>
      <c r="AK4890">
        <v>25.577367522408</v>
      </c>
      <c r="AL4890">
        <v>79.805101655798097</v>
      </c>
      <c r="AM4890">
        <v>96.7314678810949</v>
      </c>
      <c r="AN4890">
        <v>0.99999996519310896</v>
      </c>
    </row>
    <row r="4891" spans="1:40" x14ac:dyDescent="0.25">
      <c r="A4891" t="str">
        <f>"20190312173029288"</f>
        <v>20190312173029288</v>
      </c>
      <c r="B4891" t="str">
        <f>"1552383029282867"</f>
        <v>1552383029282867</v>
      </c>
      <c r="C4891" t="s">
        <v>40</v>
      </c>
      <c r="D4891">
        <v>3.2639339999999999</v>
      </c>
      <c r="E4891">
        <v>0.46358929999999998</v>
      </c>
      <c r="F4891" t="s">
        <v>54</v>
      </c>
      <c r="G4891">
        <v>-413.6241</v>
      </c>
      <c r="H4891" s="1">
        <v>-8.9129219999999992E-6</v>
      </c>
      <c r="I4891">
        <v>24.10014</v>
      </c>
      <c r="J4891">
        <v>-422.029</v>
      </c>
      <c r="K4891">
        <v>1.112935</v>
      </c>
      <c r="L4891">
        <v>47.567019999999999</v>
      </c>
      <c r="M4891">
        <v>0.13029949999999901</v>
      </c>
      <c r="N4891">
        <v>0</v>
      </c>
      <c r="O4891">
        <v>-0.99138090000000001</v>
      </c>
      <c r="P4891">
        <v>0.24131359999999999</v>
      </c>
      <c r="Q4891">
        <v>0.164239</v>
      </c>
      <c r="R4891">
        <v>-0.95644859999999998</v>
      </c>
      <c r="S4891">
        <v>1.0311889999999999</v>
      </c>
      <c r="T4891">
        <v>-0.13585929999999999</v>
      </c>
      <c r="U4891">
        <v>-2.9011230000000001</v>
      </c>
      <c r="V4891">
        <v>-0.1158096</v>
      </c>
      <c r="W4891">
        <v>0.17682579999999901</v>
      </c>
      <c r="X4891">
        <v>0.97740510000000003</v>
      </c>
      <c r="Y4891">
        <v>-0.20894489999999999</v>
      </c>
      <c r="Z4891">
        <v>4.4314079999999999E-2</v>
      </c>
      <c r="AA4891">
        <v>0.97692290000000004</v>
      </c>
      <c r="AB4891">
        <v>30</v>
      </c>
      <c r="AC4891">
        <v>8.4048999999999907</v>
      </c>
      <c r="AD4891">
        <v>-1.112943912922</v>
      </c>
      <c r="AE4891">
        <v>-23.46688</v>
      </c>
      <c r="AF4891">
        <v>-5.2647297693442301</v>
      </c>
      <c r="AG4891">
        <v>-1.112943912922</v>
      </c>
      <c r="AH4891">
        <v>24.313566608359601</v>
      </c>
      <c r="AI4891">
        <v>92.561579219717103</v>
      </c>
      <c r="AJ4891">
        <v>102.217897946905</v>
      </c>
      <c r="AK4891">
        <v>24.901918498715499</v>
      </c>
      <c r="AL4891">
        <v>79.815073849175505</v>
      </c>
      <c r="AM4891">
        <v>96.757288806498394</v>
      </c>
      <c r="AN4891">
        <v>0.99999997825190401</v>
      </c>
    </row>
    <row r="4892" spans="1:40" x14ac:dyDescent="0.25">
      <c r="A4892" t="str">
        <f>"20190312173029311"</f>
        <v>20190312173029311</v>
      </c>
      <c r="B4892" t="str">
        <f>"1552383029302386"</f>
        <v>1552383029302386</v>
      </c>
      <c r="C4892" t="s">
        <v>40</v>
      </c>
      <c r="D4892">
        <v>3.3778990000000002</v>
      </c>
      <c r="E4892">
        <v>0.46400849999999999</v>
      </c>
      <c r="F4892" t="s">
        <v>54</v>
      </c>
      <c r="G4892">
        <v>-413.53059999999999</v>
      </c>
      <c r="H4892" s="1">
        <v>-8.9290259999999998E-6</v>
      </c>
      <c r="I4892">
        <v>23.921019999999999</v>
      </c>
      <c r="J4892">
        <v>-421.98770000000002</v>
      </c>
      <c r="K4892">
        <v>1.1130100000000001</v>
      </c>
      <c r="L4892">
        <v>47.282559999999997</v>
      </c>
      <c r="M4892">
        <v>0.13385629999999901</v>
      </c>
      <c r="N4892">
        <v>0</v>
      </c>
      <c r="O4892">
        <v>-0.99090650000000002</v>
      </c>
      <c r="P4892">
        <v>0.24479960000000001</v>
      </c>
      <c r="Q4892">
        <v>0.16479340000000001</v>
      </c>
      <c r="R4892">
        <v>-0.95546660000000005</v>
      </c>
      <c r="S4892">
        <v>1.04129</v>
      </c>
      <c r="T4892">
        <v>-0.136367299999999</v>
      </c>
      <c r="U4892">
        <v>-2.8973080000000002</v>
      </c>
      <c r="V4892">
        <v>-0.1159167</v>
      </c>
      <c r="W4892">
        <v>0.17735979999999901</v>
      </c>
      <c r="X4892">
        <v>0.97729569999999999</v>
      </c>
      <c r="Y4892">
        <v>-0.20885880000000001</v>
      </c>
      <c r="Z4892">
        <v>4.4477679999999999E-2</v>
      </c>
      <c r="AA4892">
        <v>0.97693379999999996</v>
      </c>
      <c r="AB4892">
        <v>30</v>
      </c>
      <c r="AC4892">
        <v>8.45710000000002</v>
      </c>
      <c r="AD4892">
        <v>-1.113018929026</v>
      </c>
      <c r="AE4892">
        <v>-23.361539999999898</v>
      </c>
      <c r="AF4892">
        <v>-5.2430745733692001</v>
      </c>
      <c r="AG4892">
        <v>-1.113018929026</v>
      </c>
      <c r="AH4892">
        <v>24.234769997494698</v>
      </c>
      <c r="AI4892">
        <v>92.570170317178096</v>
      </c>
      <c r="AJ4892">
        <v>102.207525118677</v>
      </c>
      <c r="AK4892">
        <v>24.820409322768</v>
      </c>
      <c r="AL4892">
        <v>79.783987102077106</v>
      </c>
      <c r="AM4892">
        <v>96.764230140140697</v>
      </c>
      <c r="AN4892">
        <v>1.0000000326167</v>
      </c>
    </row>
    <row r="4893" spans="1:40" x14ac:dyDescent="0.25">
      <c r="A4893" t="str">
        <f>"20190312173029333"</f>
        <v>20190312173029333</v>
      </c>
      <c r="B4893" t="str">
        <f>"1552383029322883"</f>
        <v>1552383029322883</v>
      </c>
      <c r="C4893" t="s">
        <v>40</v>
      </c>
      <c r="D4893">
        <v>3.2599740000000001</v>
      </c>
      <c r="E4893">
        <v>0.46437210000000001</v>
      </c>
      <c r="F4893" t="s">
        <v>54</v>
      </c>
      <c r="G4893">
        <v>-413.40649999999999</v>
      </c>
      <c r="H4893" s="1">
        <v>-8.9438810000000006E-6</v>
      </c>
      <c r="I4893">
        <v>23.61814</v>
      </c>
      <c r="J4893">
        <v>-421.94409999999999</v>
      </c>
      <c r="K4893">
        <v>1.1130850000000001</v>
      </c>
      <c r="L4893">
        <v>46.989350000000002</v>
      </c>
      <c r="M4893">
        <v>0.13760649999999999</v>
      </c>
      <c r="N4893">
        <v>0</v>
      </c>
      <c r="O4893">
        <v>-0.99039290000000002</v>
      </c>
      <c r="P4893">
        <v>0.24796470000000001</v>
      </c>
      <c r="Q4893">
        <v>0.16511679999999901</v>
      </c>
      <c r="R4893">
        <v>-0.9545941</v>
      </c>
      <c r="S4893">
        <v>1.049561</v>
      </c>
      <c r="T4893">
        <v>-0.13613259999999999</v>
      </c>
      <c r="U4893">
        <v>-2.8943789999999998</v>
      </c>
      <c r="V4893">
        <v>-0.1154934</v>
      </c>
      <c r="W4893">
        <v>0.17767089999999999</v>
      </c>
      <c r="X4893">
        <v>0.97728930000000003</v>
      </c>
      <c r="Y4893">
        <v>-0.20794199999999999</v>
      </c>
      <c r="Z4893">
        <v>4.439245E-2</v>
      </c>
      <c r="AA4893">
        <v>0.97713329999999998</v>
      </c>
      <c r="AB4893">
        <v>30</v>
      </c>
      <c r="AC4893">
        <v>8.5375999999999905</v>
      </c>
      <c r="AD4893">
        <v>-1.1130939438809999</v>
      </c>
      <c r="AE4893">
        <v>-23.371210000000001</v>
      </c>
      <c r="AF4893">
        <v>-5.2295706444839398</v>
      </c>
      <c r="AG4893">
        <v>-1.1130939438809999</v>
      </c>
      <c r="AH4893">
        <v>24.275195651846399</v>
      </c>
      <c r="AI4893">
        <v>92.566553169173801</v>
      </c>
      <c r="AJ4893">
        <v>102.15734834531</v>
      </c>
      <c r="AK4893">
        <v>24.857041481016498</v>
      </c>
      <c r="AL4893">
        <v>79.765874646840999</v>
      </c>
      <c r="AM4893">
        <v>96.7398001668777</v>
      </c>
      <c r="AN4893">
        <v>1.0000000250224199</v>
      </c>
    </row>
    <row r="4894" spans="1:40" x14ac:dyDescent="0.25">
      <c r="A4894" t="str">
        <f>"20190312173029355"</f>
        <v>20190312173029355</v>
      </c>
      <c r="B4894" t="str">
        <f>"1552383029342402"</f>
        <v>1552383029342402</v>
      </c>
      <c r="C4894" t="s">
        <v>40</v>
      </c>
      <c r="D4894">
        <v>3.2579220000000002</v>
      </c>
      <c r="E4894">
        <v>0.46469009999999999</v>
      </c>
      <c r="F4894" t="s">
        <v>54</v>
      </c>
      <c r="G4894">
        <v>-413.31319999999999</v>
      </c>
      <c r="H4894" s="1">
        <v>-8.9537720000000006E-6</v>
      </c>
      <c r="I4894">
        <v>23.377610000000001</v>
      </c>
      <c r="J4894">
        <v>-421.90089999999998</v>
      </c>
      <c r="K4894">
        <v>1.1131420000000001</v>
      </c>
      <c r="L4894">
        <v>46.70673</v>
      </c>
      <c r="M4894">
        <v>0.14129259999999999</v>
      </c>
      <c r="N4894">
        <v>0</v>
      </c>
      <c r="O4894">
        <v>-0.98987360000000002</v>
      </c>
      <c r="P4894">
        <v>0.25140580000000001</v>
      </c>
      <c r="Q4894">
        <v>0.16568820000000001</v>
      </c>
      <c r="R4894">
        <v>-0.95359470000000002</v>
      </c>
      <c r="S4894">
        <v>1.057007</v>
      </c>
      <c r="T4894">
        <v>-0.13631889999999999</v>
      </c>
      <c r="U4894">
        <v>-2.8916930000000001</v>
      </c>
      <c r="V4894">
        <v>-0.115422</v>
      </c>
      <c r="W4894">
        <v>0.17822879999999899</v>
      </c>
      <c r="X4894">
        <v>0.97719610000000001</v>
      </c>
      <c r="Y4894">
        <v>-0.206812</v>
      </c>
      <c r="Z4894">
        <v>4.444331E-2</v>
      </c>
      <c r="AA4894">
        <v>0.97737070000000004</v>
      </c>
      <c r="AB4894">
        <v>30</v>
      </c>
      <c r="AC4894">
        <v>8.5876999999999803</v>
      </c>
      <c r="AD4894">
        <v>-1.1131509537719999</v>
      </c>
      <c r="AE4894">
        <v>-23.32912</v>
      </c>
      <c r="AF4894">
        <v>-5.1945759799979001</v>
      </c>
      <c r="AG4894">
        <v>-1.1131509537719999</v>
      </c>
      <c r="AH4894">
        <v>24.259885305483699</v>
      </c>
      <c r="AI4894">
        <v>92.568990190290904</v>
      </c>
      <c r="AJ4894">
        <v>102.08579029817901</v>
      </c>
      <c r="AK4894">
        <v>24.834749036241099</v>
      </c>
      <c r="AL4894">
        <v>79.733390414869703</v>
      </c>
      <c r="AM4894">
        <v>96.736308312910595</v>
      </c>
      <c r="AN4894">
        <v>0.99999998054432404</v>
      </c>
    </row>
    <row r="4895" spans="1:40" x14ac:dyDescent="0.25">
      <c r="A4895" t="str">
        <f>"20190312173029377"</f>
        <v>20190312173029377</v>
      </c>
      <c r="B4895" t="str">
        <f>"1552383029372658"</f>
        <v>1552383029372658</v>
      </c>
      <c r="C4895" t="s">
        <v>40</v>
      </c>
      <c r="D4895">
        <v>3.1815560000000001</v>
      </c>
      <c r="E4895">
        <v>0.46500239999999998</v>
      </c>
      <c r="F4895" t="s">
        <v>54</v>
      </c>
      <c r="G4895">
        <v>-413.18709999999999</v>
      </c>
      <c r="H4895" s="1">
        <v>-8.9696839999999994E-6</v>
      </c>
      <c r="I4895">
        <v>23.077719999999999</v>
      </c>
      <c r="J4895">
        <v>-421.8553</v>
      </c>
      <c r="K4895">
        <v>1.1131899999999999</v>
      </c>
      <c r="L4895">
        <v>46.416719999999998</v>
      </c>
      <c r="M4895">
        <v>0.14513980000000001</v>
      </c>
      <c r="N4895">
        <v>0</v>
      </c>
      <c r="O4895">
        <v>-0.98931690000000005</v>
      </c>
      <c r="P4895">
        <v>0.25524780000000002</v>
      </c>
      <c r="Q4895">
        <v>0.165518</v>
      </c>
      <c r="R4895">
        <v>-0.95260290000000003</v>
      </c>
      <c r="S4895">
        <v>1.0653079999999999</v>
      </c>
      <c r="T4895">
        <v>-0.136088299999999</v>
      </c>
      <c r="U4895">
        <v>-2.888763</v>
      </c>
      <c r="V4895">
        <v>-0.1155805</v>
      </c>
      <c r="W4895">
        <v>0.17804629999999999</v>
      </c>
      <c r="X4895">
        <v>0.97721060000000004</v>
      </c>
      <c r="Y4895">
        <v>-0.20580380000000001</v>
      </c>
      <c r="Z4895">
        <v>4.4356520000000003E-2</v>
      </c>
      <c r="AA4895">
        <v>0.97758750000000005</v>
      </c>
      <c r="AB4895">
        <v>29</v>
      </c>
      <c r="AC4895">
        <v>8.6682000000000095</v>
      </c>
      <c r="AD4895">
        <v>-1.1131989696839999</v>
      </c>
      <c r="AE4895">
        <v>-23.338999999999899</v>
      </c>
      <c r="AF4895">
        <v>-5.1783102514410801</v>
      </c>
      <c r="AG4895">
        <v>-1.1131989696839999</v>
      </c>
      <c r="AH4895">
        <v>24.301454769419198</v>
      </c>
      <c r="AI4895">
        <v>92.565254002806796</v>
      </c>
      <c r="AJ4895">
        <v>102.02904376501699</v>
      </c>
      <c r="AK4895">
        <v>24.871968416601302</v>
      </c>
      <c r="AL4895">
        <v>79.7440165090579</v>
      </c>
      <c r="AM4895">
        <v>96.7453744067641</v>
      </c>
      <c r="AN4895">
        <v>0.99999994683814797</v>
      </c>
    </row>
    <row r="4896" spans="1:40" x14ac:dyDescent="0.25">
      <c r="A4896" t="str">
        <f>"20190312173029399"</f>
        <v>20190312173029399</v>
      </c>
      <c r="B4896" t="str">
        <f>"1552383029393158"</f>
        <v>1552383029393158</v>
      </c>
      <c r="C4896" t="s">
        <v>40</v>
      </c>
      <c r="D4896">
        <v>3.1997260000000001</v>
      </c>
      <c r="E4896">
        <v>0.46524080000000001</v>
      </c>
      <c r="F4896" t="s">
        <v>54</v>
      </c>
      <c r="G4896">
        <v>-413.22160000000002</v>
      </c>
      <c r="H4896" s="1">
        <v>-8.9726109999999995E-6</v>
      </c>
      <c r="I4896">
        <v>23.23263</v>
      </c>
      <c r="J4896">
        <v>-421.80869999999999</v>
      </c>
      <c r="K4896">
        <v>1.1132379999999999</v>
      </c>
      <c r="L4896">
        <v>46.12717</v>
      </c>
      <c r="M4896">
        <v>0.1490398</v>
      </c>
      <c r="N4896">
        <v>0</v>
      </c>
      <c r="O4896">
        <v>-0.98873670000000002</v>
      </c>
      <c r="P4896">
        <v>0.25914340000000002</v>
      </c>
      <c r="Q4896">
        <v>0.16530739999999999</v>
      </c>
      <c r="R4896">
        <v>-0.95158739999999997</v>
      </c>
      <c r="S4896">
        <v>1.074524</v>
      </c>
      <c r="T4896">
        <v>-0.13854469999999999</v>
      </c>
      <c r="U4896">
        <v>-2.8854060000000001</v>
      </c>
      <c r="V4896">
        <v>-0.11574089999999999</v>
      </c>
      <c r="W4896">
        <v>0.1778235</v>
      </c>
      <c r="X4896">
        <v>0.9772322</v>
      </c>
      <c r="Y4896">
        <v>-0.2050469</v>
      </c>
      <c r="Z4896">
        <v>4.5144370000000003E-2</v>
      </c>
      <c r="AA4896">
        <v>0.97771050000000004</v>
      </c>
      <c r="AB4896">
        <v>29</v>
      </c>
      <c r="AC4896">
        <v>8.5870999999999604</v>
      </c>
      <c r="AD4896">
        <v>-1.1132469726109999</v>
      </c>
      <c r="AE4896">
        <v>-22.894539999999999</v>
      </c>
      <c r="AF4896">
        <v>-5.0681525887786201</v>
      </c>
      <c r="AG4896">
        <v>-1.1132469726109999</v>
      </c>
      <c r="AH4896">
        <v>23.869250621287101</v>
      </c>
      <c r="AI4896">
        <v>92.612153799889597</v>
      </c>
      <c r="AJ4896">
        <v>101.987567141844</v>
      </c>
      <c r="AK4896">
        <v>24.426760217167299</v>
      </c>
      <c r="AL4896">
        <v>79.756989187738299</v>
      </c>
      <c r="AM4896">
        <v>96.754501129110807</v>
      </c>
      <c r="AN4896">
        <v>0.99999996290094895</v>
      </c>
    </row>
    <row r="4897" spans="1:40" x14ac:dyDescent="0.25">
      <c r="A4897" t="str">
        <f>"20190312173029422"</f>
        <v>20190312173029422</v>
      </c>
      <c r="B4897" t="str">
        <f>"1552383029412674"</f>
        <v>1552383029412674</v>
      </c>
      <c r="C4897" t="s">
        <v>40</v>
      </c>
      <c r="D4897">
        <v>3.194903</v>
      </c>
      <c r="E4897">
        <v>0.4654933</v>
      </c>
      <c r="F4897" t="s">
        <v>54</v>
      </c>
      <c r="G4897">
        <v>-413.173</v>
      </c>
      <c r="H4897" s="1">
        <v>-8.9867430000000008E-6</v>
      </c>
      <c r="I4897">
        <v>23.197179999999999</v>
      </c>
      <c r="J4897">
        <v>-421.76029999999997</v>
      </c>
      <c r="K4897">
        <v>1.1132879999999901</v>
      </c>
      <c r="L4897">
        <v>45.834139999999998</v>
      </c>
      <c r="M4897">
        <v>0.15304229999999899</v>
      </c>
      <c r="N4897">
        <v>0</v>
      </c>
      <c r="O4897">
        <v>-0.98812509999999998</v>
      </c>
      <c r="P4897">
        <v>0.26289289999999998</v>
      </c>
      <c r="Q4897">
        <v>0.1652102</v>
      </c>
      <c r="R4897">
        <v>-0.95057510000000001</v>
      </c>
      <c r="S4897">
        <v>1.085175</v>
      </c>
      <c r="T4897">
        <v>-0.13989190000000001</v>
      </c>
      <c r="U4897">
        <v>-2.8814090000000001</v>
      </c>
      <c r="V4897">
        <v>-0.1156533</v>
      </c>
      <c r="W4897">
        <v>0.1777165</v>
      </c>
      <c r="X4897">
        <v>0.97726210000000002</v>
      </c>
      <c r="Y4897">
        <v>-0.20468919999999999</v>
      </c>
      <c r="Z4897">
        <v>4.5572410000000001E-2</v>
      </c>
      <c r="AA4897">
        <v>0.97776560000000001</v>
      </c>
      <c r="AB4897">
        <v>29</v>
      </c>
      <c r="AC4897">
        <v>8.5872999999999706</v>
      </c>
      <c r="AD4897">
        <v>-1.11329698674299</v>
      </c>
      <c r="AE4897">
        <v>-22.636959999999998</v>
      </c>
      <c r="AF4897">
        <v>-5.0107883495108796</v>
      </c>
      <c r="AG4897">
        <v>-1.11329698674299</v>
      </c>
      <c r="AH4897">
        <v>23.634607233652702</v>
      </c>
      <c r="AI4897">
        <v>92.638339745738406</v>
      </c>
      <c r="AJ4897">
        <v>101.970070111788</v>
      </c>
      <c r="AK4897">
        <v>24.185576055850198</v>
      </c>
      <c r="AL4897">
        <v>79.763219719765999</v>
      </c>
      <c r="AM4897">
        <v>96.749231479664601</v>
      </c>
      <c r="AN4897">
        <v>1.0000000261347699</v>
      </c>
    </row>
    <row r="4898" spans="1:40" x14ac:dyDescent="0.25">
      <c r="A4898" t="str">
        <f>"20190312173029444"</f>
        <v>20190312173029444</v>
      </c>
      <c r="B4898" t="str">
        <f>"1552383029433170"</f>
        <v>1552383029433170</v>
      </c>
      <c r="C4898" t="s">
        <v>40</v>
      </c>
      <c r="D4898">
        <v>3.2208939999999999</v>
      </c>
      <c r="E4898">
        <v>0.46584209999999898</v>
      </c>
      <c r="F4898" t="s">
        <v>54</v>
      </c>
      <c r="G4898">
        <v>-413.07889999999998</v>
      </c>
      <c r="H4898" s="1">
        <v>-9.004327E-6</v>
      </c>
      <c r="I4898">
        <v>23.03078</v>
      </c>
      <c r="J4898">
        <v>-421.71199999999999</v>
      </c>
      <c r="K4898">
        <v>1.11334</v>
      </c>
      <c r="L4898">
        <v>45.550109999999997</v>
      </c>
      <c r="M4898">
        <v>0.15698210000000001</v>
      </c>
      <c r="N4898">
        <v>0</v>
      </c>
      <c r="O4898">
        <v>-0.98750700000000002</v>
      </c>
      <c r="P4898">
        <v>0.26683299999999999</v>
      </c>
      <c r="Q4898">
        <v>0.16580639999999999</v>
      </c>
      <c r="R4898">
        <v>-0.94937289999999996</v>
      </c>
      <c r="S4898">
        <v>1.095459</v>
      </c>
      <c r="T4898">
        <v>-0.14048139999999901</v>
      </c>
      <c r="U4898">
        <v>-2.8774410000000001</v>
      </c>
      <c r="V4898">
        <v>-0.1158496</v>
      </c>
      <c r="W4898">
        <v>0.17830009999999999</v>
      </c>
      <c r="X4898">
        <v>0.97713249999999996</v>
      </c>
      <c r="Y4898">
        <v>-0.20428279999999999</v>
      </c>
      <c r="Z4898">
        <v>4.5753990000000001E-2</v>
      </c>
      <c r="AA4898">
        <v>0.97784199999999999</v>
      </c>
      <c r="AB4898">
        <v>29</v>
      </c>
      <c r="AC4898">
        <v>8.6331000000000095</v>
      </c>
      <c r="AD4898">
        <v>-1.113349004327</v>
      </c>
      <c r="AE4898">
        <v>-22.51933</v>
      </c>
      <c r="AF4898">
        <v>-4.9799677474521902</v>
      </c>
      <c r="AG4898">
        <v>-1.113349004327</v>
      </c>
      <c r="AH4898">
        <v>23.545262172083799</v>
      </c>
      <c r="AI4898">
        <v>92.648730974887897</v>
      </c>
      <c r="AJ4898">
        <v>101.942405144964</v>
      </c>
      <c r="AK4898">
        <v>24.091886508184899</v>
      </c>
      <c r="AL4898">
        <v>79.729238814492604</v>
      </c>
      <c r="AM4898">
        <v>96.761469477652597</v>
      </c>
      <c r="AN4898">
        <v>0.99999998901820897</v>
      </c>
    </row>
    <row r="4899" spans="1:40" x14ac:dyDescent="0.25">
      <c r="A4899" t="str">
        <f>"20190312173029467"</f>
        <v>20190312173029467</v>
      </c>
      <c r="B4899" t="str">
        <f>"1552383029462451"</f>
        <v>1552383029462451</v>
      </c>
      <c r="C4899" t="s">
        <v>40</v>
      </c>
      <c r="D4899">
        <v>3.2110080000000001</v>
      </c>
      <c r="E4899">
        <v>0.46614800000000001</v>
      </c>
      <c r="F4899" t="s">
        <v>54</v>
      </c>
      <c r="G4899">
        <v>-412.93180000000001</v>
      </c>
      <c r="H4899" s="1">
        <v>-9.0286920000000003E-6</v>
      </c>
      <c r="I4899">
        <v>22.739070000000002</v>
      </c>
      <c r="J4899">
        <v>-421.6619</v>
      </c>
      <c r="K4899">
        <v>1.1133869999999999</v>
      </c>
      <c r="L4899">
        <v>45.262819999999998</v>
      </c>
      <c r="M4899">
        <v>0.161028</v>
      </c>
      <c r="N4899">
        <v>0</v>
      </c>
      <c r="O4899">
        <v>-0.98685529999999999</v>
      </c>
      <c r="P4899">
        <v>0.27029370000000003</v>
      </c>
      <c r="Q4899">
        <v>0.16619909999999999</v>
      </c>
      <c r="R4899">
        <v>-0.94832470000000002</v>
      </c>
      <c r="S4899">
        <v>1.106079</v>
      </c>
      <c r="T4899">
        <v>-0.14025290000000001</v>
      </c>
      <c r="U4899">
        <v>-2.873596</v>
      </c>
      <c r="V4899">
        <v>-0.1154406</v>
      </c>
      <c r="W4899">
        <v>0.17868629999999999</v>
      </c>
      <c r="X4899">
        <v>0.97711040000000005</v>
      </c>
      <c r="Y4899">
        <v>-0.20385890000000001</v>
      </c>
      <c r="Z4899">
        <v>4.5664499999999997E-2</v>
      </c>
      <c r="AA4899">
        <v>0.97793470000000005</v>
      </c>
      <c r="AB4899">
        <v>29</v>
      </c>
      <c r="AC4899">
        <v>8.7300999999999895</v>
      </c>
      <c r="AD4899">
        <v>-1.1133960286919999</v>
      </c>
      <c r="AE4899">
        <v>-22.52375</v>
      </c>
      <c r="AF4899">
        <v>-4.97828073746948</v>
      </c>
      <c r="AG4899">
        <v>-1.1133960286919999</v>
      </c>
      <c r="AH4899">
        <v>23.585573084085802</v>
      </c>
      <c r="AI4899">
        <v>92.6445531710811</v>
      </c>
      <c r="AJ4899">
        <v>101.91865522402099</v>
      </c>
      <c r="AK4899">
        <v>24.130938388768001</v>
      </c>
      <c r="AL4899">
        <v>79.706750465076993</v>
      </c>
      <c r="AM4899">
        <v>96.737969362626103</v>
      </c>
      <c r="AN4899">
        <v>1.0000000298620999</v>
      </c>
    </row>
    <row r="4900" spans="1:40" x14ac:dyDescent="0.25">
      <c r="A4900" t="str">
        <f>"20190312173029490"</f>
        <v>20190312173029490</v>
      </c>
      <c r="B4900" t="str">
        <f>"1552383029482946"</f>
        <v>1552383029482946</v>
      </c>
      <c r="C4900" t="s">
        <v>40</v>
      </c>
      <c r="D4900">
        <v>3.253314</v>
      </c>
      <c r="E4900">
        <v>0.4663947</v>
      </c>
      <c r="F4900" t="s">
        <v>54</v>
      </c>
      <c r="G4900">
        <v>-412.81920000000002</v>
      </c>
      <c r="H4900" s="1">
        <v>-9.0455410000000005E-6</v>
      </c>
      <c r="I4900">
        <v>22.49803</v>
      </c>
      <c r="J4900">
        <v>-421.60860000000002</v>
      </c>
      <c r="K4900">
        <v>1.1134299999999999</v>
      </c>
      <c r="L4900">
        <v>44.965449999999997</v>
      </c>
      <c r="M4900">
        <v>0.1652692</v>
      </c>
      <c r="N4900">
        <v>0</v>
      </c>
      <c r="O4900">
        <v>-0.98615359999999996</v>
      </c>
      <c r="P4900">
        <v>0.27398549999999999</v>
      </c>
      <c r="Q4900">
        <v>0.1658442</v>
      </c>
      <c r="R4900">
        <v>-0.94732649999999996</v>
      </c>
      <c r="S4900">
        <v>1.1149290000000001</v>
      </c>
      <c r="T4900">
        <v>-0.1403826</v>
      </c>
      <c r="U4900">
        <v>-2.8702999999999999</v>
      </c>
      <c r="V4900">
        <v>-0.1150499</v>
      </c>
      <c r="W4900">
        <v>0.1783274</v>
      </c>
      <c r="X4900">
        <v>0.97722200000000004</v>
      </c>
      <c r="Y4900">
        <v>-0.20264860000000001</v>
      </c>
      <c r="Z4900">
        <v>4.5688199999999998E-2</v>
      </c>
      <c r="AA4900">
        <v>0.97818510000000003</v>
      </c>
      <c r="AB4900">
        <v>29</v>
      </c>
      <c r="AC4900">
        <v>8.7894000000000005</v>
      </c>
      <c r="AD4900">
        <v>-1.1134390455409999</v>
      </c>
      <c r="AE4900">
        <v>-22.467420000000001</v>
      </c>
      <c r="AF4900">
        <v>-4.9444579202824901</v>
      </c>
      <c r="AG4900">
        <v>-1.1134390455409999</v>
      </c>
      <c r="AH4900">
        <v>23.5609689156584</v>
      </c>
      <c r="AI4900">
        <v>92.648060517350601</v>
      </c>
      <c r="AJ4900">
        <v>101.85198678664101</v>
      </c>
      <c r="AK4900">
        <v>24.099930847996198</v>
      </c>
      <c r="AL4900">
        <v>79.727649165145394</v>
      </c>
      <c r="AM4900">
        <v>96.714613929757505</v>
      </c>
      <c r="AN4900">
        <v>0.99999998918238497</v>
      </c>
    </row>
    <row r="4901" spans="1:40" x14ac:dyDescent="0.25">
      <c r="A4901" t="str">
        <f>"20190312173029512"</f>
        <v>20190312173029512</v>
      </c>
      <c r="B4901" t="str">
        <f>"1552383029502466"</f>
        <v>1552383029502466</v>
      </c>
      <c r="C4901" t="s">
        <v>40</v>
      </c>
      <c r="D4901">
        <v>3.1572260000000001</v>
      </c>
      <c r="E4901">
        <v>0.46650789999999998</v>
      </c>
      <c r="F4901" t="s">
        <v>54</v>
      </c>
      <c r="G4901">
        <v>-412.83150000000001</v>
      </c>
      <c r="H4901" s="1">
        <v>-9.0521150000000003E-6</v>
      </c>
      <c r="I4901">
        <v>22.608740000000001</v>
      </c>
      <c r="J4901">
        <v>-421.55869999999999</v>
      </c>
      <c r="K4901">
        <v>1.1134599999999999</v>
      </c>
      <c r="L4901">
        <v>44.693210000000001</v>
      </c>
      <c r="M4901">
        <v>0.16920299999999999</v>
      </c>
      <c r="N4901">
        <v>0</v>
      </c>
      <c r="O4901">
        <v>-0.98548639999999998</v>
      </c>
      <c r="P4901">
        <v>0.27720220000000001</v>
      </c>
      <c r="Q4901">
        <v>0.1655722</v>
      </c>
      <c r="R4901">
        <v>-0.94643829999999995</v>
      </c>
      <c r="S4901">
        <v>1.125305</v>
      </c>
      <c r="T4901">
        <v>-0.14275289999999999</v>
      </c>
      <c r="U4901">
        <v>-2.866333</v>
      </c>
      <c r="V4901">
        <v>-0.11447359999999999</v>
      </c>
      <c r="W4901">
        <v>0.1780543</v>
      </c>
      <c r="X4901">
        <v>0.97733950000000003</v>
      </c>
      <c r="Y4901">
        <v>-0.2022571</v>
      </c>
      <c r="Z4901">
        <v>4.6443020000000002E-2</v>
      </c>
      <c r="AA4901">
        <v>0.97823059999999995</v>
      </c>
      <c r="AB4901">
        <v>29</v>
      </c>
      <c r="AC4901">
        <v>8.7271999999999803</v>
      </c>
      <c r="AD4901">
        <v>-1.1134690521149999</v>
      </c>
      <c r="AE4901">
        <v>-22.08447</v>
      </c>
      <c r="AF4901">
        <v>-4.85356145040224</v>
      </c>
      <c r="AG4901">
        <v>-1.1134690521149999</v>
      </c>
      <c r="AH4901">
        <v>23.1917938846284</v>
      </c>
      <c r="AI4901">
        <v>92.690536337347496</v>
      </c>
      <c r="AJ4901">
        <v>101.820222210704</v>
      </c>
      <c r="AK4901">
        <v>23.720374694973501</v>
      </c>
      <c r="AL4901">
        <v>79.743551443307894</v>
      </c>
      <c r="AM4901">
        <v>96.680488390578105</v>
      </c>
      <c r="AN4901">
        <v>1.0000000185528499</v>
      </c>
    </row>
    <row r="4902" spans="1:40" x14ac:dyDescent="0.25">
      <c r="A4902" t="str">
        <f>"20190312173029533"</f>
        <v>20190312173029533</v>
      </c>
      <c r="B4902" t="str">
        <f>"1552383029522963"</f>
        <v>1552383029522963</v>
      </c>
      <c r="C4902" t="s">
        <v>40</v>
      </c>
      <c r="D4902">
        <v>3.0349409999999999</v>
      </c>
      <c r="E4902">
        <v>0.44857730000000001</v>
      </c>
      <c r="F4902" t="s">
        <v>54</v>
      </c>
      <c r="G4902">
        <v>-412.81889999999999</v>
      </c>
      <c r="H4902" s="1">
        <v>-9.0603940000000008E-6</v>
      </c>
      <c r="I4902">
        <v>22.645620000000001</v>
      </c>
      <c r="J4902">
        <v>-421.50599999999997</v>
      </c>
      <c r="K4902">
        <v>1.113499</v>
      </c>
      <c r="L4902">
        <v>44.412019999999998</v>
      </c>
      <c r="M4902">
        <v>0.1733249</v>
      </c>
      <c r="N4902">
        <v>0</v>
      </c>
      <c r="O4902">
        <v>-0.98476960000000002</v>
      </c>
      <c r="P4902">
        <v>0.28073530000000002</v>
      </c>
      <c r="Q4902">
        <v>0.16510620000000001</v>
      </c>
      <c r="R4902">
        <v>-0.94547740000000002</v>
      </c>
      <c r="S4902">
        <v>1.1347959999999999</v>
      </c>
      <c r="T4902">
        <v>-0.14457490000000001</v>
      </c>
      <c r="U4902">
        <v>-2.8627009999999999</v>
      </c>
      <c r="V4902">
        <v>-0.1140323</v>
      </c>
      <c r="W4902">
        <v>0.17758499999999999</v>
      </c>
      <c r="X4902">
        <v>0.97747640000000002</v>
      </c>
      <c r="Y4902">
        <v>-0.20137740000000001</v>
      </c>
      <c r="Z4902">
        <v>4.7015410000000001E-2</v>
      </c>
      <c r="AA4902">
        <v>0.9783847</v>
      </c>
      <c r="AB4902">
        <v>29</v>
      </c>
      <c r="AC4902">
        <v>8.6870999999999796</v>
      </c>
      <c r="AD4902">
        <v>-1.113508060394</v>
      </c>
      <c r="AE4902">
        <v>-21.766400000000001</v>
      </c>
      <c r="AF4902">
        <v>-4.77180858979108</v>
      </c>
      <c r="AG4902">
        <v>-1.113508060394</v>
      </c>
      <c r="AH4902">
        <v>22.891052611907298</v>
      </c>
      <c r="AI4902">
        <v>92.726374574820994</v>
      </c>
      <c r="AJ4902">
        <v>101.77509983570501</v>
      </c>
      <c r="AK4902">
        <v>23.4096208234836</v>
      </c>
      <c r="AL4902">
        <v>79.770875162486305</v>
      </c>
      <c r="AM4902">
        <v>96.654042603865904</v>
      </c>
      <c r="AN4902">
        <v>0.99999995511262396</v>
      </c>
    </row>
    <row r="4903" spans="1:40" x14ac:dyDescent="0.25">
      <c r="A4903" t="str">
        <f>"20190312173029556"</f>
        <v>20190312173029556</v>
      </c>
      <c r="B4903" t="str">
        <f>"1552383029552243"</f>
        <v>1552383029552243</v>
      </c>
      <c r="C4903" t="s">
        <v>40</v>
      </c>
      <c r="D4903">
        <v>3.0209160000000002</v>
      </c>
      <c r="E4903">
        <v>0.44231759999999898</v>
      </c>
      <c r="F4903" t="s">
        <v>54</v>
      </c>
      <c r="G4903">
        <v>-414.74759999999998</v>
      </c>
      <c r="H4903" s="1">
        <v>-9.1111330000000002E-6</v>
      </c>
      <c r="I4903">
        <v>29.575230000000001</v>
      </c>
      <c r="J4903">
        <v>-421.45069999999998</v>
      </c>
      <c r="K4903">
        <v>1.1135440000000001</v>
      </c>
      <c r="L4903">
        <v>44.124659999999999</v>
      </c>
      <c r="M4903">
        <v>0.177607399999999</v>
      </c>
      <c r="N4903">
        <v>0</v>
      </c>
      <c r="O4903">
        <v>-0.9840063</v>
      </c>
      <c r="P4903">
        <v>0.2845393</v>
      </c>
      <c r="Q4903">
        <v>0.1651811</v>
      </c>
      <c r="R4903">
        <v>-0.94432660000000002</v>
      </c>
      <c r="S4903">
        <v>1.288025</v>
      </c>
      <c r="T4903">
        <v>-0.21221319999999999</v>
      </c>
      <c r="U4903">
        <v>-2.8276059999999998</v>
      </c>
      <c r="V4903">
        <v>-0.1137382</v>
      </c>
      <c r="W4903">
        <v>0.1776527</v>
      </c>
      <c r="X4903">
        <v>0.97749839999999999</v>
      </c>
      <c r="Y4903">
        <v>-0.24531559999999999</v>
      </c>
      <c r="Z4903">
        <v>6.8568169999999998E-2</v>
      </c>
      <c r="AA4903">
        <v>0.96701530000000002</v>
      </c>
      <c r="AB4903">
        <v>29</v>
      </c>
      <c r="AC4903">
        <v>6.7031000000000001</v>
      </c>
      <c r="AD4903">
        <v>-1.1135531111329999</v>
      </c>
      <c r="AE4903">
        <v>-14.549429999999999</v>
      </c>
      <c r="AF4903">
        <v>-3.99288775780603</v>
      </c>
      <c r="AG4903">
        <v>-1.1135531111329999</v>
      </c>
      <c r="AH4903">
        <v>15.434123542294399</v>
      </c>
      <c r="AI4903">
        <v>93.995573814260794</v>
      </c>
      <c r="AJ4903">
        <v>104.50470429699099</v>
      </c>
      <c r="AK4903">
        <v>15.9810926627862</v>
      </c>
      <c r="AL4903">
        <v>79.766933935064401</v>
      </c>
      <c r="AM4903">
        <v>96.636886463834102</v>
      </c>
      <c r="AN4903">
        <v>0.99999999097954495</v>
      </c>
    </row>
    <row r="4904" spans="1:40" x14ac:dyDescent="0.25">
      <c r="A4904" t="str">
        <f>"20190312173029578"</f>
        <v>20190312173029578</v>
      </c>
      <c r="B4904" t="str">
        <f>"1552383029572738"</f>
        <v>1552383029572738</v>
      </c>
      <c r="C4904" t="s">
        <v>40</v>
      </c>
      <c r="D4904">
        <v>3.0133540000000001</v>
      </c>
      <c r="E4904">
        <v>0.44068819999999997</v>
      </c>
      <c r="F4904" t="s">
        <v>54</v>
      </c>
      <c r="G4904">
        <v>-414.26889999999997</v>
      </c>
      <c r="H4904" s="1">
        <v>-9.2331589999999995E-6</v>
      </c>
      <c r="I4904">
        <v>29.166239999999998</v>
      </c>
      <c r="J4904">
        <v>-421.3938</v>
      </c>
      <c r="K4904">
        <v>1.1135969999999999</v>
      </c>
      <c r="L4904">
        <v>43.835880000000003</v>
      </c>
      <c r="M4904">
        <v>0.18199070000000001</v>
      </c>
      <c r="N4904">
        <v>0</v>
      </c>
      <c r="O4904">
        <v>-0.983205</v>
      </c>
      <c r="P4904">
        <v>0.28853109999999998</v>
      </c>
      <c r="Q4904">
        <v>0.165011299999999</v>
      </c>
      <c r="R4904">
        <v>-0.94314430000000005</v>
      </c>
      <c r="S4904">
        <v>1.347839</v>
      </c>
      <c r="T4904">
        <v>-0.20898530000000001</v>
      </c>
      <c r="U4904">
        <v>-2.807312</v>
      </c>
      <c r="V4904">
        <v>-0.1135331</v>
      </c>
      <c r="W4904">
        <v>0.17747389999999999</v>
      </c>
      <c r="X4904">
        <v>0.9775547</v>
      </c>
      <c r="Y4904">
        <v>-0.26051550000000001</v>
      </c>
      <c r="Z4904">
        <v>6.7460069999999997E-2</v>
      </c>
      <c r="AA4904">
        <v>0.96311000000000002</v>
      </c>
      <c r="AB4904">
        <v>29</v>
      </c>
      <c r="AC4904">
        <v>7.1249000000000198</v>
      </c>
      <c r="AD4904">
        <v>-1.113606233159</v>
      </c>
      <c r="AE4904">
        <v>-14.6696399999999</v>
      </c>
      <c r="AF4904">
        <v>-4.3157819121974796</v>
      </c>
      <c r="AG4904">
        <v>-1.113606233159</v>
      </c>
      <c r="AH4904">
        <v>15.6484365493616</v>
      </c>
      <c r="AI4904">
        <v>93.924500851518204</v>
      </c>
      <c r="AJ4904">
        <v>105.41866290233401</v>
      </c>
      <c r="AK4904">
        <v>16.2708223146705</v>
      </c>
      <c r="AL4904">
        <v>79.777343631204801</v>
      </c>
      <c r="AM4904">
        <v>96.624646728776696</v>
      </c>
      <c r="AN4904">
        <v>0.99999997073445401</v>
      </c>
    </row>
    <row r="4905" spans="1:40" x14ac:dyDescent="0.25">
      <c r="A4905" t="str">
        <f>"20190312173029593"</f>
        <v>20190312173029593</v>
      </c>
      <c r="B4905" t="str">
        <f>"1552383029582499"</f>
        <v>1552383029582499</v>
      </c>
      <c r="C4905" t="s">
        <v>40</v>
      </c>
      <c r="D4905">
        <v>3.0085899999999999</v>
      </c>
      <c r="E4905">
        <v>0.44019580000000003</v>
      </c>
      <c r="F4905" t="s">
        <v>54</v>
      </c>
      <c r="G4905">
        <v>-414.16090000000003</v>
      </c>
      <c r="H4905" s="1">
        <v>-9.2621030000000005E-6</v>
      </c>
      <c r="I4905">
        <v>29.086739999999999</v>
      </c>
      <c r="J4905">
        <v>-421.35610000000003</v>
      </c>
      <c r="K4905">
        <v>1.113639</v>
      </c>
      <c r="L4905">
        <v>43.648899999999998</v>
      </c>
      <c r="M4905">
        <v>0.1848795</v>
      </c>
      <c r="N4905">
        <v>0</v>
      </c>
      <c r="O4905">
        <v>-0.98266589999999998</v>
      </c>
      <c r="P4905">
        <v>0.29149619999999998</v>
      </c>
      <c r="Q4905">
        <v>0.16484299999999999</v>
      </c>
      <c r="R4905">
        <v>-0.94226169999999998</v>
      </c>
      <c r="S4905">
        <v>1.372131</v>
      </c>
      <c r="T4905">
        <v>-0.21126059999999999</v>
      </c>
      <c r="U4905">
        <v>-2.798035</v>
      </c>
      <c r="V4905">
        <v>-0.1137456</v>
      </c>
      <c r="W4905">
        <v>0.17729510000000001</v>
      </c>
      <c r="X4905">
        <v>0.9775625</v>
      </c>
      <c r="Y4905">
        <v>-0.26566230000000002</v>
      </c>
      <c r="Z4905">
        <v>6.8165619999999996E-2</v>
      </c>
      <c r="AA4905">
        <v>0.96165319999999999</v>
      </c>
      <c r="AB4905">
        <v>29</v>
      </c>
      <c r="AC4905">
        <v>7.1951999999999998</v>
      </c>
      <c r="AD4905">
        <v>-1.1136482621029999</v>
      </c>
      <c r="AE4905">
        <v>-14.562159999999899</v>
      </c>
      <c r="AF4905">
        <v>-4.3581558749804197</v>
      </c>
      <c r="AG4905">
        <v>-1.1136482621029999</v>
      </c>
      <c r="AH4905">
        <v>15.568263889621599</v>
      </c>
      <c r="AI4905">
        <v>93.940596508734302</v>
      </c>
      <c r="AJ4905">
        <v>105.63897695666</v>
      </c>
      <c r="AK4905">
        <v>16.205078698334301</v>
      </c>
      <c r="AL4905">
        <v>79.787753783713498</v>
      </c>
      <c r="AM4905">
        <v>96.636883084046701</v>
      </c>
      <c r="AN4905">
        <v>1.0000000277048</v>
      </c>
    </row>
    <row r="4906" spans="1:40" x14ac:dyDescent="0.25">
      <c r="A4906" t="str">
        <f>"20190312173029613"</f>
        <v>20190312173029613</v>
      </c>
      <c r="B4906" t="str">
        <f>"1552383029602995"</f>
        <v>1552383029602995</v>
      </c>
      <c r="C4906" t="s">
        <v>40</v>
      </c>
      <c r="D4906">
        <v>3.010364</v>
      </c>
      <c r="E4906">
        <v>0.43963760000000002</v>
      </c>
      <c r="F4906" t="s">
        <v>54</v>
      </c>
      <c r="G4906">
        <v>-414.11439999999999</v>
      </c>
      <c r="H4906" s="1">
        <v>-9.274097E-6</v>
      </c>
      <c r="I4906">
        <v>29.048190000000002</v>
      </c>
      <c r="J4906">
        <v>-421.30489999999998</v>
      </c>
      <c r="K4906">
        <v>1.113699</v>
      </c>
      <c r="L4906">
        <v>43.399380000000001</v>
      </c>
      <c r="M4906">
        <v>0.18879190000000001</v>
      </c>
      <c r="N4906">
        <v>0</v>
      </c>
      <c r="O4906">
        <v>-0.98192190000000001</v>
      </c>
      <c r="P4906">
        <v>0.29516619999999999</v>
      </c>
      <c r="Q4906">
        <v>0.16509209999999999</v>
      </c>
      <c r="R4906">
        <v>-0.94107499999999999</v>
      </c>
      <c r="S4906">
        <v>1.3850709999999999</v>
      </c>
      <c r="T4906">
        <v>-0.21299950000000001</v>
      </c>
      <c r="U4906">
        <v>-2.7925719999999998</v>
      </c>
      <c r="V4906">
        <v>-0.1136964</v>
      </c>
      <c r="W4906">
        <v>0.17753250000000001</v>
      </c>
      <c r="X4906">
        <v>0.97752510000000004</v>
      </c>
      <c r="Y4906">
        <v>-0.26613290000000001</v>
      </c>
      <c r="Z4906">
        <v>6.8694820000000004E-2</v>
      </c>
      <c r="AA4906">
        <v>0.96148540000000005</v>
      </c>
      <c r="AB4906">
        <v>29</v>
      </c>
      <c r="AC4906">
        <v>7.1904999999999797</v>
      </c>
      <c r="AD4906">
        <v>-1.1137082740969999</v>
      </c>
      <c r="AE4906">
        <v>-14.351190000000001</v>
      </c>
      <c r="AF4906">
        <v>-4.3306804723719097</v>
      </c>
      <c r="AG4906">
        <v>-1.1137082740969999</v>
      </c>
      <c r="AH4906">
        <v>15.3766790123818</v>
      </c>
      <c r="AI4906">
        <v>93.9879905753792</v>
      </c>
      <c r="AJ4906">
        <v>105.729317529052</v>
      </c>
      <c r="AK4906">
        <v>16.0136628203356</v>
      </c>
      <c r="AL4906">
        <v>79.773932125834705</v>
      </c>
      <c r="AM4906">
        <v>96.6342894879472</v>
      </c>
      <c r="AN4906">
        <v>0.99999999052960997</v>
      </c>
    </row>
    <row r="4907" spans="1:40" x14ac:dyDescent="0.25">
      <c r="A4907" t="str">
        <f>"20190312173029634"</f>
        <v>20190312173029634</v>
      </c>
      <c r="B4907" t="str">
        <f>"1552383029622514"</f>
        <v>1552383029622514</v>
      </c>
      <c r="C4907" t="s">
        <v>40</v>
      </c>
      <c r="D4907">
        <v>3.023987</v>
      </c>
      <c r="E4907">
        <v>0.43930760000000002</v>
      </c>
      <c r="F4907" t="s">
        <v>54</v>
      </c>
      <c r="G4907">
        <v>-413.99400000000003</v>
      </c>
      <c r="H4907" s="1">
        <v>-9.2949779999999998E-6</v>
      </c>
      <c r="I4907">
        <v>28.858149999999998</v>
      </c>
      <c r="J4907">
        <v>-421.24970000000002</v>
      </c>
      <c r="K4907">
        <v>1.113758</v>
      </c>
      <c r="L4907">
        <v>43.136110000000002</v>
      </c>
      <c r="M4907">
        <v>0.19299949999999999</v>
      </c>
      <c r="N4907">
        <v>0</v>
      </c>
      <c r="O4907">
        <v>-0.98110319999999995</v>
      </c>
      <c r="P4907">
        <v>0.29938769999999998</v>
      </c>
      <c r="Q4907">
        <v>0.16493910000000001</v>
      </c>
      <c r="R4907">
        <v>-0.93976709999999997</v>
      </c>
      <c r="S4907">
        <v>1.4006959999999999</v>
      </c>
      <c r="T4907">
        <v>-0.21337500000000001</v>
      </c>
      <c r="U4907">
        <v>-2.7859500000000001</v>
      </c>
      <c r="V4907">
        <v>-0.1139143</v>
      </c>
      <c r="W4907">
        <v>0.17736499999999999</v>
      </c>
      <c r="X4907">
        <v>0.97753009999999996</v>
      </c>
      <c r="Y4907">
        <v>-0.26722180000000001</v>
      </c>
      <c r="Z4907">
        <v>6.8782990000000002E-2</v>
      </c>
      <c r="AA4907">
        <v>0.96117710000000001</v>
      </c>
      <c r="AB4907">
        <v>29</v>
      </c>
      <c r="AC4907">
        <v>7.2556999999999903</v>
      </c>
      <c r="AD4907">
        <v>-1.113767294978</v>
      </c>
      <c r="AE4907">
        <v>-14.277959999999901</v>
      </c>
      <c r="AF4907">
        <v>-4.3423609170783202</v>
      </c>
      <c r="AG4907">
        <v>-1.113767294978</v>
      </c>
      <c r="AH4907">
        <v>15.335780139947399</v>
      </c>
      <c r="AI4907">
        <v>93.997226225515405</v>
      </c>
      <c r="AJ4907">
        <v>105.80959010884899</v>
      </c>
      <c r="AK4907">
        <v>15.9775695405257</v>
      </c>
      <c r="AL4907">
        <v>79.783683549291595</v>
      </c>
      <c r="AM4907">
        <v>96.646856794137804</v>
      </c>
      <c r="AN4907">
        <v>0.99999995368774797</v>
      </c>
    </row>
    <row r="4908" spans="1:40" x14ac:dyDescent="0.25">
      <c r="A4908" t="str">
        <f>"20190312173029648"</f>
        <v>20190312173029648</v>
      </c>
      <c r="B4908" t="str">
        <f>"1552383029643011"</f>
        <v>1552383029643011</v>
      </c>
      <c r="C4908" t="s">
        <v>40</v>
      </c>
      <c r="D4908">
        <v>3.0093420000000002</v>
      </c>
      <c r="E4908">
        <v>0.4391215</v>
      </c>
      <c r="F4908" t="s">
        <v>54</v>
      </c>
      <c r="G4908">
        <v>-413.91239999999999</v>
      </c>
      <c r="H4908" s="1">
        <v>-9.3099830000000008E-6</v>
      </c>
      <c r="I4908">
        <v>28.736740000000001</v>
      </c>
      <c r="J4908">
        <v>-421.2097</v>
      </c>
      <c r="K4908">
        <v>1.113801</v>
      </c>
      <c r="L4908">
        <v>42.948819999999998</v>
      </c>
      <c r="M4908">
        <v>0.19603979999999999</v>
      </c>
      <c r="N4908">
        <v>0</v>
      </c>
      <c r="O4908">
        <v>-0.98050029999999999</v>
      </c>
      <c r="P4908">
        <v>0.30236039999999997</v>
      </c>
      <c r="Q4908">
        <v>0.16498470000000001</v>
      </c>
      <c r="R4908">
        <v>-0.93880680000000005</v>
      </c>
      <c r="S4908">
        <v>1.4160159999999999</v>
      </c>
      <c r="T4908">
        <v>-0.2149433</v>
      </c>
      <c r="U4908">
        <v>-2.7789000000000001</v>
      </c>
      <c r="V4908">
        <v>-0.1139984</v>
      </c>
      <c r="W4908">
        <v>0.17740069999999999</v>
      </c>
      <c r="X4908">
        <v>0.97751379999999999</v>
      </c>
      <c r="Y4908">
        <v>-0.26941300000000001</v>
      </c>
      <c r="Z4908">
        <v>6.9275119999999996E-2</v>
      </c>
      <c r="AA4908">
        <v>0.96052990000000005</v>
      </c>
      <c r="AB4908">
        <v>29</v>
      </c>
      <c r="AC4908">
        <v>7.2972999999999999</v>
      </c>
      <c r="AD4908">
        <v>-1.1138103099829999</v>
      </c>
      <c r="AE4908">
        <v>-14.212079999999901</v>
      </c>
      <c r="AF4908">
        <v>-4.3481469555205399</v>
      </c>
      <c r="AG4908">
        <v>-1.1138103099829999</v>
      </c>
      <c r="AH4908">
        <v>15.292620752859399</v>
      </c>
      <c r="AI4908">
        <v>94.007389669815197</v>
      </c>
      <c r="AJ4908">
        <v>105.872027801054</v>
      </c>
      <c r="AK4908">
        <v>15.937728973859899</v>
      </c>
      <c r="AL4908">
        <v>79.781604951343596</v>
      </c>
      <c r="AM4908">
        <v>96.651829962973494</v>
      </c>
      <c r="AN4908">
        <v>0.999999936376742</v>
      </c>
    </row>
    <row r="4909" spans="1:40" x14ac:dyDescent="0.25">
      <c r="A4909" t="str">
        <f>"20190312173029669"</f>
        <v>20190312173029669</v>
      </c>
      <c r="B4909" t="str">
        <f>"1552383029662530"</f>
        <v>1552383029662530</v>
      </c>
      <c r="C4909" t="s">
        <v>40</v>
      </c>
      <c r="D4909">
        <v>3.0024959999999998</v>
      </c>
      <c r="E4909">
        <v>0.43899559999999999</v>
      </c>
      <c r="F4909" t="s">
        <v>54</v>
      </c>
      <c r="G4909">
        <v>-413.85849999999999</v>
      </c>
      <c r="H4909" s="1">
        <v>-9.3197669999999998E-6</v>
      </c>
      <c r="I4909">
        <v>28.655650000000001</v>
      </c>
      <c r="J4909">
        <v>-421.15570000000002</v>
      </c>
      <c r="K4909">
        <v>1.113856</v>
      </c>
      <c r="L4909">
        <v>42.70129</v>
      </c>
      <c r="M4909">
        <v>0.20012379999999999</v>
      </c>
      <c r="N4909">
        <v>0</v>
      </c>
      <c r="O4909">
        <v>-0.97967479999999996</v>
      </c>
      <c r="P4909">
        <v>0.30640200000000001</v>
      </c>
      <c r="Q4909">
        <v>0.1644678</v>
      </c>
      <c r="R4909">
        <v>-0.9375867</v>
      </c>
      <c r="S4909">
        <v>1.4267270000000001</v>
      </c>
      <c r="T4909">
        <v>-0.21617049999999999</v>
      </c>
      <c r="U4909">
        <v>-2.7740480000000001</v>
      </c>
      <c r="V4909">
        <v>-0.11413810000000001</v>
      </c>
      <c r="W4909">
        <v>0.17687220000000001</v>
      </c>
      <c r="X4909">
        <v>0.97759339999999995</v>
      </c>
      <c r="Y4909">
        <v>-0.26900610000000003</v>
      </c>
      <c r="Z4909">
        <v>6.9635240000000001E-2</v>
      </c>
      <c r="AA4909">
        <v>0.96061779999999997</v>
      </c>
      <c r="AB4909">
        <v>29</v>
      </c>
      <c r="AC4909">
        <v>7.2972000000000303</v>
      </c>
      <c r="AD4909">
        <v>-1.1138653197670001</v>
      </c>
      <c r="AE4909">
        <v>-14.045640000000001</v>
      </c>
      <c r="AF4909">
        <v>-4.3170440842819104</v>
      </c>
      <c r="AG4909">
        <v>-1.1138653197670001</v>
      </c>
      <c r="AH4909">
        <v>15.1469198605424</v>
      </c>
      <c r="AI4909">
        <v>94.045285475948702</v>
      </c>
      <c r="AJ4909">
        <v>105.908153405417</v>
      </c>
      <c r="AK4909">
        <v>15.7894504919553</v>
      </c>
      <c r="AL4909">
        <v>79.812373678038298</v>
      </c>
      <c r="AM4909">
        <v>96.659370896181301</v>
      </c>
      <c r="AN4909">
        <v>1.000000068364</v>
      </c>
    </row>
    <row r="4910" spans="1:40" x14ac:dyDescent="0.25">
      <c r="A4910" t="str">
        <f>"20190312173029690"</f>
        <v>20190312173029690</v>
      </c>
      <c r="B4910" t="str">
        <f>"1552383029683027"</f>
        <v>1552383029683027</v>
      </c>
      <c r="C4910" t="s">
        <v>40</v>
      </c>
      <c r="D4910">
        <v>2.9727839999999999</v>
      </c>
      <c r="E4910">
        <v>0.43894420000000001</v>
      </c>
      <c r="F4910" t="s">
        <v>54</v>
      </c>
      <c r="G4910">
        <v>-413.81029999999998</v>
      </c>
      <c r="H4910" s="1">
        <v>-9.328671E-6</v>
      </c>
      <c r="I4910">
        <v>28.584399999999999</v>
      </c>
      <c r="J4910">
        <v>-421.0924</v>
      </c>
      <c r="K4910">
        <v>1.1139220000000001</v>
      </c>
      <c r="L4910">
        <v>42.417140000000003</v>
      </c>
      <c r="M4910">
        <v>0.20490549999999999</v>
      </c>
      <c r="N4910">
        <v>0</v>
      </c>
      <c r="O4910">
        <v>-0.97868569999999999</v>
      </c>
      <c r="P4910">
        <v>0.31153769999999997</v>
      </c>
      <c r="Q4910">
        <v>0.16423360000000001</v>
      </c>
      <c r="R4910">
        <v>-0.93593360000000003</v>
      </c>
      <c r="S4910">
        <v>1.439972</v>
      </c>
      <c r="T4910">
        <v>-0.2183582</v>
      </c>
      <c r="U4910">
        <v>-2.7674259999999999</v>
      </c>
      <c r="V4910">
        <v>-0.11474280000000001</v>
      </c>
      <c r="W4910">
        <v>0.17661879999999999</v>
      </c>
      <c r="X4910">
        <v>0.9775684</v>
      </c>
      <c r="Y4910">
        <v>-0.26884069999999999</v>
      </c>
      <c r="Z4910">
        <v>7.0307729999999999E-2</v>
      </c>
      <c r="AA4910">
        <v>0.9606152</v>
      </c>
      <c r="AB4910">
        <v>29</v>
      </c>
      <c r="AC4910">
        <v>7.2821000000000096</v>
      </c>
      <c r="AD4910">
        <v>-1.11393132867099</v>
      </c>
      <c r="AE4910">
        <v>-13.832739999999999</v>
      </c>
      <c r="AF4910">
        <v>-4.2711986245783402</v>
      </c>
      <c r="AG4910">
        <v>-1.11393132867099</v>
      </c>
      <c r="AH4910">
        <v>14.955521627163799</v>
      </c>
      <c r="AI4910">
        <v>94.096496145481694</v>
      </c>
      <c r="AJ4910">
        <v>105.938993445421</v>
      </c>
      <c r="AK4910">
        <v>15.5933193334889</v>
      </c>
      <c r="AL4910">
        <v>79.827124404505298</v>
      </c>
      <c r="AM4910">
        <v>96.694502296410107</v>
      </c>
      <c r="AN4910">
        <v>1.0000000436719101</v>
      </c>
    </row>
    <row r="4911" spans="1:40" x14ac:dyDescent="0.25">
      <c r="A4911" t="str">
        <f>"20190312173029713"</f>
        <v>20190312173029713</v>
      </c>
      <c r="B4911" t="str">
        <f>"1552383029702547"</f>
        <v>1552383029702547</v>
      </c>
      <c r="C4911" t="s">
        <v>40</v>
      </c>
      <c r="D4911">
        <v>2.9941580000000001</v>
      </c>
      <c r="E4911">
        <v>0.4390172</v>
      </c>
      <c r="F4911" t="s">
        <v>54</v>
      </c>
      <c r="G4911">
        <v>-413.71969999999999</v>
      </c>
      <c r="H4911" s="1">
        <v>-9.3441489999999999E-6</v>
      </c>
      <c r="I4911">
        <v>28.4392</v>
      </c>
      <c r="J4911">
        <v>-421.02940000000001</v>
      </c>
      <c r="K4911">
        <v>1.113985</v>
      </c>
      <c r="L4911">
        <v>42.141269999999999</v>
      </c>
      <c r="M4911">
        <v>0.2096343</v>
      </c>
      <c r="N4911">
        <v>0</v>
      </c>
      <c r="O4911">
        <v>-0.97768370000000004</v>
      </c>
      <c r="P4911">
        <v>0.31610159999999998</v>
      </c>
      <c r="Q4911">
        <v>0.16433519999999999</v>
      </c>
      <c r="R4911">
        <v>-0.93438399999999999</v>
      </c>
      <c r="S4911">
        <v>1.4555049999999901</v>
      </c>
      <c r="T4911">
        <v>-0.2199094</v>
      </c>
      <c r="U4911">
        <v>-2.7594910000000001</v>
      </c>
      <c r="V4911">
        <v>-0.1148188</v>
      </c>
      <c r="W4911">
        <v>0.176707</v>
      </c>
      <c r="X4911">
        <v>0.97754350000000001</v>
      </c>
      <c r="Y4911">
        <v>-0.2695398</v>
      </c>
      <c r="Z4911">
        <v>7.0781549999999999E-2</v>
      </c>
      <c r="AA4911">
        <v>0.96038440000000003</v>
      </c>
      <c r="AB4911">
        <v>29</v>
      </c>
      <c r="AC4911">
        <v>7.3097000000000198</v>
      </c>
      <c r="AD4911">
        <v>-1.1139943441489999</v>
      </c>
      <c r="AE4911">
        <v>-13.702070000000001</v>
      </c>
      <c r="AF4911">
        <v>-4.2526704959636401</v>
      </c>
      <c r="AG4911">
        <v>-1.1139943441489999</v>
      </c>
      <c r="AH4911">
        <v>14.8536288185998</v>
      </c>
      <c r="AI4911">
        <v>94.123959867447496</v>
      </c>
      <c r="AJ4911">
        <v>105.976690268252</v>
      </c>
      <c r="AK4911">
        <v>15.490528681319301</v>
      </c>
      <c r="AL4911">
        <v>79.821989790925898</v>
      </c>
      <c r="AM4911">
        <v>96.6990652043784</v>
      </c>
      <c r="AN4911">
        <v>1.0000000075373401</v>
      </c>
    </row>
    <row r="4912" spans="1:40" x14ac:dyDescent="0.25">
      <c r="A4912" t="str">
        <f>"20190312173029734"</f>
        <v>20190312173029734</v>
      </c>
      <c r="B4912" t="str">
        <f>"1552383029723046"</f>
        <v>1552383029723046</v>
      </c>
      <c r="C4912" t="s">
        <v>40</v>
      </c>
      <c r="D4912">
        <v>3.148555</v>
      </c>
      <c r="E4912">
        <v>0.43924960000000002</v>
      </c>
      <c r="F4912" t="s">
        <v>54</v>
      </c>
      <c r="G4912">
        <v>-413.59789999999998</v>
      </c>
      <c r="H4912" s="1">
        <v>-9.3619629999999999E-6</v>
      </c>
      <c r="I4912">
        <v>28.217490000000002</v>
      </c>
      <c r="J4912">
        <v>-420.9658</v>
      </c>
      <c r="K4912">
        <v>1.114045</v>
      </c>
      <c r="L4912">
        <v>41.869419999999998</v>
      </c>
      <c r="M4912">
        <v>0.2143803</v>
      </c>
      <c r="N4912">
        <v>0</v>
      </c>
      <c r="O4912">
        <v>-0.97665400000000002</v>
      </c>
      <c r="P4912">
        <v>0.32114510000000002</v>
      </c>
      <c r="Q4912">
        <v>0.1641899</v>
      </c>
      <c r="R4912">
        <v>-0.93268870000000004</v>
      </c>
      <c r="S4912">
        <v>1.469055</v>
      </c>
      <c r="T4912">
        <v>-0.22021370000000001</v>
      </c>
      <c r="U4912">
        <v>-2.7524410000000001</v>
      </c>
      <c r="V4912">
        <v>-0.1153732</v>
      </c>
      <c r="W4912">
        <v>0.1765437</v>
      </c>
      <c r="X4912">
        <v>0.97750769999999998</v>
      </c>
      <c r="Y4912">
        <v>-0.26956259999999999</v>
      </c>
      <c r="Z4912">
        <v>7.085002E-2</v>
      </c>
      <c r="AA4912">
        <v>0.96037300000000003</v>
      </c>
      <c r="AB4912">
        <v>29</v>
      </c>
      <c r="AC4912">
        <v>7.3679000000000103</v>
      </c>
      <c r="AD4912">
        <v>-1.1140543619629999</v>
      </c>
      <c r="AE4912">
        <v>-13.651929999999901</v>
      </c>
      <c r="AF4912">
        <v>-4.2476798547033301</v>
      </c>
      <c r="AG4912">
        <v>-1.1140543619629999</v>
      </c>
      <c r="AH4912">
        <v>14.837627684568</v>
      </c>
      <c r="AI4912">
        <v>94.128643536819297</v>
      </c>
      <c r="AJ4912">
        <v>105.97522900024801</v>
      </c>
      <c r="AK4912">
        <v>15.4738197150968</v>
      </c>
      <c r="AL4912">
        <v>79.831495341975696</v>
      </c>
      <c r="AM4912">
        <v>96.731359650285</v>
      </c>
      <c r="AN4912">
        <v>0.99999997842360899</v>
      </c>
    </row>
    <row r="4913" spans="1:40" x14ac:dyDescent="0.25">
      <c r="A4913" t="str">
        <f>"20190312173029748"</f>
        <v>20190312173029748</v>
      </c>
      <c r="B4913" t="str">
        <f>"1552383029742563"</f>
        <v>1552383029742563</v>
      </c>
      <c r="C4913" t="s">
        <v>40</v>
      </c>
      <c r="D4913">
        <v>2.9883920000000002</v>
      </c>
      <c r="E4913">
        <v>0.43939299999999998</v>
      </c>
      <c r="F4913" t="s">
        <v>54</v>
      </c>
      <c r="G4913">
        <v>-413.42270000000002</v>
      </c>
      <c r="H4913" s="1">
        <v>-9.3877449999999997E-6</v>
      </c>
      <c r="I4913">
        <v>27.90015</v>
      </c>
      <c r="J4913">
        <v>-420.92419999999998</v>
      </c>
      <c r="K4913">
        <v>1.1140859999999999</v>
      </c>
      <c r="L4913">
        <v>41.694369999999999</v>
      </c>
      <c r="M4913">
        <v>0.2174799</v>
      </c>
      <c r="N4913">
        <v>0</v>
      </c>
      <c r="O4913">
        <v>-0.97596850000000002</v>
      </c>
      <c r="P4913">
        <v>0.32428430000000003</v>
      </c>
      <c r="Q4913">
        <v>0.16423470000000001</v>
      </c>
      <c r="R4913">
        <v>-0.93159380000000003</v>
      </c>
      <c r="S4913">
        <v>1.482086</v>
      </c>
      <c r="T4913">
        <v>-0.21889259999999999</v>
      </c>
      <c r="U4913">
        <v>-2.74472</v>
      </c>
      <c r="V4913">
        <v>-0.1155818</v>
      </c>
      <c r="W4913">
        <v>0.17657790000000001</v>
      </c>
      <c r="X4913">
        <v>0.97747689999999998</v>
      </c>
      <c r="Y4913">
        <v>-0.27117819999999998</v>
      </c>
      <c r="Z4913">
        <v>7.0436360000000003E-2</v>
      </c>
      <c r="AA4913">
        <v>0.95994849999999998</v>
      </c>
      <c r="AB4913">
        <v>29</v>
      </c>
      <c r="AC4913">
        <v>7.5014999999999601</v>
      </c>
      <c r="AD4913">
        <v>-1.1140953877449999</v>
      </c>
      <c r="AE4913">
        <v>-13.794219999999999</v>
      </c>
      <c r="AF4913">
        <v>-4.3000209654434602</v>
      </c>
      <c r="AG4913">
        <v>-1.1140953877449999</v>
      </c>
      <c r="AH4913">
        <v>15.0199544239372</v>
      </c>
      <c r="AI4913">
        <v>94.078835549853096</v>
      </c>
      <c r="AJ4913">
        <v>105.975740424473</v>
      </c>
      <c r="AK4913">
        <v>15.6630271573984</v>
      </c>
      <c r="AL4913">
        <v>79.829504758277096</v>
      </c>
      <c r="AM4913">
        <v>96.743628799779799</v>
      </c>
      <c r="AN4913">
        <v>0.99999999864663003</v>
      </c>
    </row>
    <row r="4914" spans="1:40" x14ac:dyDescent="0.25">
      <c r="A4914" t="str">
        <f>"20190312173029764"</f>
        <v>20190312173029764</v>
      </c>
      <c r="B4914" t="str">
        <f>"1552383029753299"</f>
        <v>1552383029753299</v>
      </c>
      <c r="C4914" t="s">
        <v>40</v>
      </c>
      <c r="D4914">
        <v>2.9759709999999999</v>
      </c>
      <c r="E4914">
        <v>0.43946629999999998</v>
      </c>
      <c r="F4914" t="s">
        <v>54</v>
      </c>
      <c r="G4914">
        <v>-413.34989999999999</v>
      </c>
      <c r="H4914" s="1">
        <v>-9.3987550000000008E-6</v>
      </c>
      <c r="I4914">
        <v>27.77084</v>
      </c>
      <c r="J4914">
        <v>-420.87810000000002</v>
      </c>
      <c r="K4914">
        <v>1.1141350000000001</v>
      </c>
      <c r="L4914">
        <v>41.503570000000003</v>
      </c>
      <c r="M4914">
        <v>0.2208966</v>
      </c>
      <c r="N4914">
        <v>0</v>
      </c>
      <c r="O4914">
        <v>-0.97520050000000003</v>
      </c>
      <c r="P4914">
        <v>0.32797599999999999</v>
      </c>
      <c r="Q4914">
        <v>0.16399330000000001</v>
      </c>
      <c r="R4914">
        <v>-0.93034300000000003</v>
      </c>
      <c r="S4914">
        <v>1.49057</v>
      </c>
      <c r="T4914">
        <v>-0.21924840000000001</v>
      </c>
      <c r="U4914">
        <v>-2.7400820000000001</v>
      </c>
      <c r="V4914">
        <v>-0.11604299999999999</v>
      </c>
      <c r="W4914">
        <v>0.1763226</v>
      </c>
      <c r="X4914">
        <v>0.97746840000000002</v>
      </c>
      <c r="Y4914">
        <v>-0.27078000000000002</v>
      </c>
      <c r="Z4914">
        <v>7.0527300000000001E-2</v>
      </c>
      <c r="AA4914">
        <v>0.96005419999999997</v>
      </c>
      <c r="AB4914">
        <v>29</v>
      </c>
      <c r="AC4914">
        <v>7.5282000000000204</v>
      </c>
      <c r="AD4914">
        <v>-1.1141443987549999</v>
      </c>
      <c r="AE4914">
        <v>-13.732729999999901</v>
      </c>
      <c r="AF4914">
        <v>-4.28670166142137</v>
      </c>
      <c r="AG4914">
        <v>-1.1141443987549999</v>
      </c>
      <c r="AH4914">
        <v>14.980719046489</v>
      </c>
      <c r="AI4914">
        <v>94.089811547563798</v>
      </c>
      <c r="AJ4914">
        <v>105.968363791572</v>
      </c>
      <c r="AK4914">
        <v>15.6217499667978</v>
      </c>
      <c r="AL4914">
        <v>79.844366122090705</v>
      </c>
      <c r="AM4914">
        <v>96.770346584473202</v>
      </c>
      <c r="AN4914">
        <v>1.0000000550591499</v>
      </c>
    </row>
    <row r="4915" spans="1:40" x14ac:dyDescent="0.25">
      <c r="A4915" t="str">
        <f>"20190312173029776"</f>
        <v>20190312173029776</v>
      </c>
      <c r="B4915" t="str">
        <f>"1552383029772819"</f>
        <v>1552383029772819</v>
      </c>
      <c r="C4915" t="s">
        <v>40</v>
      </c>
      <c r="D4915">
        <v>2.9821490000000002</v>
      </c>
      <c r="E4915">
        <v>0.4396853</v>
      </c>
      <c r="F4915" t="s">
        <v>54</v>
      </c>
      <c r="G4915">
        <v>-413.30009999999999</v>
      </c>
      <c r="H4915" s="1">
        <v>-9.4075540000000004E-6</v>
      </c>
      <c r="I4915">
        <v>27.693560000000002</v>
      </c>
      <c r="J4915">
        <v>-420.83789999999999</v>
      </c>
      <c r="K4915">
        <v>1.114174</v>
      </c>
      <c r="L4915">
        <v>41.34064</v>
      </c>
      <c r="M4915">
        <v>0.22386400000000001</v>
      </c>
      <c r="N4915">
        <v>0</v>
      </c>
      <c r="O4915">
        <v>-0.97452380000000005</v>
      </c>
      <c r="P4915">
        <v>0.3310823</v>
      </c>
      <c r="Q4915">
        <v>0.1641667</v>
      </c>
      <c r="R4915">
        <v>-0.92921140000000002</v>
      </c>
      <c r="S4915">
        <v>1.5005189999999999</v>
      </c>
      <c r="T4915">
        <v>-0.22061230000000001</v>
      </c>
      <c r="U4915">
        <v>-2.7345280000000001</v>
      </c>
      <c r="V4915">
        <v>-0.1163603</v>
      </c>
      <c r="W4915">
        <v>0.1764841</v>
      </c>
      <c r="X4915">
        <v>0.97740150000000003</v>
      </c>
      <c r="Y4915">
        <v>-0.27134229999999998</v>
      </c>
      <c r="Z4915">
        <v>7.0952280000000006E-2</v>
      </c>
      <c r="AA4915">
        <v>0.9598641</v>
      </c>
      <c r="AB4915">
        <v>29</v>
      </c>
      <c r="AC4915">
        <v>7.5377999999999998</v>
      </c>
      <c r="AD4915">
        <v>-1.114183407554</v>
      </c>
      <c r="AE4915">
        <v>-13.647080000000001</v>
      </c>
      <c r="AF4915">
        <v>-4.2692747634423602</v>
      </c>
      <c r="AG4915">
        <v>-1.114183407554</v>
      </c>
      <c r="AH4915">
        <v>14.9120956701934</v>
      </c>
      <c r="AI4915">
        <v>94.108550839988993</v>
      </c>
      <c r="AJ4915">
        <v>105.976210530389</v>
      </c>
      <c r="AK4915">
        <v>15.551164231286201</v>
      </c>
      <c r="AL4915">
        <v>79.834965119219703</v>
      </c>
      <c r="AM4915">
        <v>96.789146739783007</v>
      </c>
      <c r="AN4915">
        <v>1.00000002458557</v>
      </c>
    </row>
    <row r="4916" spans="1:40" x14ac:dyDescent="0.25">
      <c r="A4916" t="str">
        <f>"20190312173029790"</f>
        <v>20190312173029790</v>
      </c>
      <c r="B4916" t="str">
        <f>"1552383029782579"</f>
        <v>1552383029782579</v>
      </c>
      <c r="C4916" t="s">
        <v>40</v>
      </c>
      <c r="D4916">
        <v>2.947292</v>
      </c>
      <c r="E4916">
        <v>0.43975069999999999</v>
      </c>
      <c r="F4916" t="s">
        <v>54</v>
      </c>
      <c r="G4916">
        <v>-413.24599999999998</v>
      </c>
      <c r="H4916" s="1">
        <v>-9.4161949999999994E-6</v>
      </c>
      <c r="I4916">
        <v>27.601410000000001</v>
      </c>
      <c r="J4916">
        <v>-420.7953</v>
      </c>
      <c r="K4916">
        <v>1.11422</v>
      </c>
      <c r="L4916">
        <v>41.169400000000003</v>
      </c>
      <c r="M4916">
        <v>0.22700999999999999</v>
      </c>
      <c r="N4916">
        <v>0</v>
      </c>
      <c r="O4916">
        <v>-0.97379559999999998</v>
      </c>
      <c r="P4916">
        <v>0.33417350000000001</v>
      </c>
      <c r="Q4916">
        <v>0.1646437</v>
      </c>
      <c r="R4916">
        <v>-0.9280195</v>
      </c>
      <c r="S4916">
        <v>1.5086059999999999</v>
      </c>
      <c r="T4916">
        <v>-0.2214004</v>
      </c>
      <c r="U4916">
        <v>-2.7301329999999999</v>
      </c>
      <c r="V4916">
        <v>-0.11649950000000001</v>
      </c>
      <c r="W4916">
        <v>0.1769501</v>
      </c>
      <c r="X4916">
        <v>0.97730059999999996</v>
      </c>
      <c r="Y4916">
        <v>-0.27105859999999998</v>
      </c>
      <c r="Z4916">
        <v>7.1180370000000007E-2</v>
      </c>
      <c r="AA4916">
        <v>0.95992739999999999</v>
      </c>
      <c r="AB4916">
        <v>29</v>
      </c>
      <c r="AC4916">
        <v>7.5493000000000103</v>
      </c>
      <c r="AD4916">
        <v>-1.1142294161949999</v>
      </c>
      <c r="AE4916">
        <v>-13.56799</v>
      </c>
      <c r="AF4916">
        <v>-4.2499226129153103</v>
      </c>
      <c r="AG4916">
        <v>-1.1142294161949999</v>
      </c>
      <c r="AH4916">
        <v>14.8511439267619</v>
      </c>
      <c r="AI4916">
        <v>94.125664023287698</v>
      </c>
      <c r="AJ4916">
        <v>105.969428609422</v>
      </c>
      <c r="AK4916">
        <v>15.4874086063835</v>
      </c>
      <c r="AL4916">
        <v>79.807837764451605</v>
      </c>
      <c r="AM4916">
        <v>96.797887744860503</v>
      </c>
      <c r="AN4916">
        <v>0.99999996707530903</v>
      </c>
    </row>
    <row r="4917" spans="1:40" x14ac:dyDescent="0.25">
      <c r="A4917" t="str">
        <f>"20190312173029813"</f>
        <v>20190312173029813</v>
      </c>
      <c r="B4917" t="str">
        <f>"1552383029803075"</f>
        <v>1552383029803075</v>
      </c>
      <c r="C4917" t="s">
        <v>40</v>
      </c>
      <c r="D4917">
        <v>3.075469</v>
      </c>
      <c r="E4917">
        <v>0.43996269999999998</v>
      </c>
      <c r="F4917" t="s">
        <v>54</v>
      </c>
      <c r="G4917">
        <v>-413.11869999999999</v>
      </c>
      <c r="H4917" s="1">
        <v>-9.4362279999999995E-6</v>
      </c>
      <c r="I4917">
        <v>27.382300000000001</v>
      </c>
      <c r="J4917">
        <v>-420.72230000000002</v>
      </c>
      <c r="K4917">
        <v>1.1142939999999999</v>
      </c>
      <c r="L4917">
        <v>40.882420000000003</v>
      </c>
      <c r="M4917">
        <v>0.2323672</v>
      </c>
      <c r="N4917">
        <v>0</v>
      </c>
      <c r="O4917">
        <v>-0.97253120000000004</v>
      </c>
      <c r="P4917">
        <v>0.33972170000000002</v>
      </c>
      <c r="Q4917">
        <v>0.1650691</v>
      </c>
      <c r="R4917">
        <v>-0.92592730000000001</v>
      </c>
      <c r="S4917">
        <v>1.5174559999999999</v>
      </c>
      <c r="T4917">
        <v>-0.22025330000000001</v>
      </c>
      <c r="U4917">
        <v>-2.7253419999999999</v>
      </c>
      <c r="V4917">
        <v>-0.1170235</v>
      </c>
      <c r="W4917">
        <v>0.1773546</v>
      </c>
      <c r="X4917">
        <v>0.9771647</v>
      </c>
      <c r="Y4917">
        <v>-0.26887139999999998</v>
      </c>
      <c r="Z4917">
        <v>7.0755390000000001E-2</v>
      </c>
      <c r="AA4917">
        <v>0.96057369999999997</v>
      </c>
      <c r="AB4917">
        <v>29</v>
      </c>
      <c r="AC4917">
        <v>7.6036000000000197</v>
      </c>
      <c r="AD4917">
        <v>-1.114303436228</v>
      </c>
      <c r="AE4917">
        <v>-13.500120000000001</v>
      </c>
      <c r="AF4917">
        <v>-4.2362440329867903</v>
      </c>
      <c r="AG4917">
        <v>-1.114303436228</v>
      </c>
      <c r="AH4917">
        <v>14.820863658183301</v>
      </c>
      <c r="AI4917">
        <v>94.134706045507002</v>
      </c>
      <c r="AJ4917">
        <v>105.95151303516801</v>
      </c>
      <c r="AK4917">
        <v>15.454625043315099</v>
      </c>
      <c r="AL4917">
        <v>79.784289526625102</v>
      </c>
      <c r="AM4917">
        <v>96.829116403859899</v>
      </c>
      <c r="AN4917">
        <v>1.0000000023097499</v>
      </c>
    </row>
    <row r="4918" spans="1:40" x14ac:dyDescent="0.25">
      <c r="A4918" t="str">
        <f>"20190312173029846"</f>
        <v>20190312173029846</v>
      </c>
      <c r="B4918" t="str">
        <f>"1552383029843092"</f>
        <v>1552383029843092</v>
      </c>
      <c r="C4918" t="s">
        <v>40</v>
      </c>
      <c r="D4918">
        <v>2.930469</v>
      </c>
      <c r="E4918">
        <v>0.44022420000000001</v>
      </c>
      <c r="F4918" t="s">
        <v>54</v>
      </c>
      <c r="G4918">
        <v>-412.9049</v>
      </c>
      <c r="H4918" s="1">
        <v>-9.4715609999999992E-6</v>
      </c>
      <c r="I4918">
        <v>27.02947</v>
      </c>
      <c r="J4918">
        <v>-420.61599999999999</v>
      </c>
      <c r="K4918">
        <v>1.1144019999999999</v>
      </c>
      <c r="L4918">
        <v>40.475859999999997</v>
      </c>
      <c r="M4918">
        <v>0.24014530000000001</v>
      </c>
      <c r="N4918">
        <v>0</v>
      </c>
      <c r="O4918">
        <v>-0.97063960000000005</v>
      </c>
      <c r="P4918">
        <v>0.34684300000000001</v>
      </c>
      <c r="Q4918">
        <v>0.1647285</v>
      </c>
      <c r="R4918">
        <v>-0.9233441</v>
      </c>
      <c r="S4918">
        <v>1.532959</v>
      </c>
      <c r="T4918">
        <v>-0.21851180000000001</v>
      </c>
      <c r="U4918">
        <v>-2.7165219999999999</v>
      </c>
      <c r="V4918">
        <v>-0.11675530000000001</v>
      </c>
      <c r="W4918">
        <v>0.1769966</v>
      </c>
      <c r="X4918">
        <v>0.97726170000000001</v>
      </c>
      <c r="Y4918">
        <v>-0.266675299999999</v>
      </c>
      <c r="Z4918">
        <v>7.0124249999999999E-2</v>
      </c>
      <c r="AA4918">
        <v>0.96123190000000003</v>
      </c>
      <c r="AB4918">
        <v>29</v>
      </c>
      <c r="AC4918">
        <v>7.7110999999999796</v>
      </c>
      <c r="AD4918">
        <v>-1.1144114715610001</v>
      </c>
      <c r="AE4918">
        <v>-13.4463899999999</v>
      </c>
      <c r="AF4918">
        <v>-4.23412809782105</v>
      </c>
      <c r="AG4918">
        <v>-1.1144114715610001</v>
      </c>
      <c r="AH4918">
        <v>14.828146436125801</v>
      </c>
      <c r="AI4918">
        <v>94.133389601931995</v>
      </c>
      <c r="AJ4918">
        <v>105.93651757180299</v>
      </c>
      <c r="AK4918">
        <v>15.461037494550499</v>
      </c>
      <c r="AL4918">
        <v>79.805131259849702</v>
      </c>
      <c r="AM4918">
        <v>96.812942479955794</v>
      </c>
      <c r="AN4918">
        <v>1.00000001338827</v>
      </c>
    </row>
    <row r="4919" spans="1:40" x14ac:dyDescent="0.25">
      <c r="A4919" t="str">
        <f>"20190312173029869"</f>
        <v>20190312173029869</v>
      </c>
      <c r="B4919" t="str">
        <f>"1552383029862612"</f>
        <v>1552383029862612</v>
      </c>
      <c r="C4919" t="s">
        <v>40</v>
      </c>
      <c r="D4919">
        <v>2.9256090000000001</v>
      </c>
      <c r="E4919">
        <v>0.44037520000000002</v>
      </c>
      <c r="F4919" t="s">
        <v>54</v>
      </c>
      <c r="G4919">
        <v>-412.72269999999997</v>
      </c>
      <c r="H4919" s="1">
        <v>-9.5025340000000006E-6</v>
      </c>
      <c r="I4919">
        <v>26.721630000000001</v>
      </c>
      <c r="J4919">
        <v>-420.53980000000001</v>
      </c>
      <c r="K4919">
        <v>1.1144769999999999</v>
      </c>
      <c r="L4919">
        <v>40.193600000000004</v>
      </c>
      <c r="M4919">
        <v>0.24569150000000001</v>
      </c>
      <c r="N4919">
        <v>0</v>
      </c>
      <c r="O4919">
        <v>-0.96925059999999996</v>
      </c>
      <c r="P4919">
        <v>0.35230610000000001</v>
      </c>
      <c r="Q4919">
        <v>0.16469529999999999</v>
      </c>
      <c r="R4919">
        <v>-0.92127950000000003</v>
      </c>
      <c r="S4919">
        <v>1.552368</v>
      </c>
      <c r="T4919">
        <v>-0.21917159999999999</v>
      </c>
      <c r="U4919">
        <v>-2.7050480000000001</v>
      </c>
      <c r="V4919">
        <v>-0.11698840000000001</v>
      </c>
      <c r="W4919">
        <v>0.1769454</v>
      </c>
      <c r="X4919">
        <v>0.97724310000000003</v>
      </c>
      <c r="Y4919">
        <v>-0.2681057</v>
      </c>
      <c r="Z4919">
        <v>7.0312159999999999E-2</v>
      </c>
      <c r="AA4919">
        <v>0.96082029999999996</v>
      </c>
      <c r="AB4919">
        <v>29</v>
      </c>
      <c r="AC4919">
        <v>7.8171000000000301</v>
      </c>
      <c r="AD4919">
        <v>-1.1144865025339901</v>
      </c>
      <c r="AE4919">
        <v>-13.471970000000001</v>
      </c>
      <c r="AF4919">
        <v>-4.2454474912466802</v>
      </c>
      <c r="AG4919">
        <v>-1.1144865025339901</v>
      </c>
      <c r="AH4919">
        <v>14.903422148534</v>
      </c>
      <c r="AI4919">
        <v>94.113598170071398</v>
      </c>
      <c r="AJ4919">
        <v>105.900341424255</v>
      </c>
      <c r="AK4919">
        <v>15.536341149147001</v>
      </c>
      <c r="AL4919">
        <v>79.808111900837702</v>
      </c>
      <c r="AM4919">
        <v>96.826544877346294</v>
      </c>
      <c r="AN4919">
        <v>1.00000001840666</v>
      </c>
    </row>
    <row r="4920" spans="1:40" x14ac:dyDescent="0.25">
      <c r="A4920" t="str">
        <f>"20190312173029892"</f>
        <v>20190312173029892</v>
      </c>
      <c r="B4920" t="str">
        <f>"1552383029883108"</f>
        <v>1552383029883108</v>
      </c>
      <c r="C4920" t="s">
        <v>40</v>
      </c>
      <c r="D4920">
        <v>3.014726</v>
      </c>
      <c r="E4920">
        <v>0.4405289</v>
      </c>
      <c r="F4920" t="s">
        <v>54</v>
      </c>
      <c r="G4920">
        <v>-412.5926</v>
      </c>
      <c r="H4920" s="1">
        <v>-9.5298279999999997E-6</v>
      </c>
      <c r="I4920">
        <v>26.521380000000001</v>
      </c>
      <c r="J4920">
        <v>-420.4622</v>
      </c>
      <c r="K4920">
        <v>1.114555</v>
      </c>
      <c r="L4920">
        <v>39.912570000000002</v>
      </c>
      <c r="M4920">
        <v>0.25131979999999998</v>
      </c>
      <c r="N4920">
        <v>0</v>
      </c>
      <c r="O4920">
        <v>-0.96780619999999995</v>
      </c>
      <c r="P4920">
        <v>0.35788540000000002</v>
      </c>
      <c r="Q4920">
        <v>0.16495660000000001</v>
      </c>
      <c r="R4920">
        <v>-0.91907969999999894</v>
      </c>
      <c r="S4920">
        <v>1.567261</v>
      </c>
      <c r="T4920">
        <v>-0.21978700000000001</v>
      </c>
      <c r="U4920">
        <v>-2.6962890000000002</v>
      </c>
      <c r="V4920">
        <v>-0.11728280000000001</v>
      </c>
      <c r="W4920">
        <v>0.17718800000000001</v>
      </c>
      <c r="X4920">
        <v>0.97716389999999997</v>
      </c>
      <c r="Y4920">
        <v>-0.26782479999999997</v>
      </c>
      <c r="Z4920">
        <v>7.0461889999999999E-2</v>
      </c>
      <c r="AA4920">
        <v>0.96088759999999995</v>
      </c>
      <c r="AB4920">
        <v>29</v>
      </c>
      <c r="AC4920">
        <v>7.8695999999999904</v>
      </c>
      <c r="AD4920">
        <v>-1.114564529828</v>
      </c>
      <c r="AE4920">
        <v>-13.39119</v>
      </c>
      <c r="AF4920">
        <v>-4.2294015445086002</v>
      </c>
      <c r="AG4920">
        <v>-1.114564529828</v>
      </c>
      <c r="AH4920">
        <v>14.8627482954429</v>
      </c>
      <c r="AI4920">
        <v>94.125429409213496</v>
      </c>
      <c r="AJ4920">
        <v>105.88443939567701</v>
      </c>
      <c r="AK4920">
        <v>15.492946085542799</v>
      </c>
      <c r="AL4920">
        <v>79.793989264049898</v>
      </c>
      <c r="AM4920">
        <v>96.844110494331503</v>
      </c>
      <c r="AN4920">
        <v>1.0000000649915199</v>
      </c>
    </row>
    <row r="4921" spans="1:40" x14ac:dyDescent="0.25">
      <c r="A4921" t="str">
        <f>"20190312173029913"</f>
        <v>20190312173029913</v>
      </c>
      <c r="B4921" t="str">
        <f>"1552383029902627"</f>
        <v>1552383029902627</v>
      </c>
      <c r="C4921" t="s">
        <v>40</v>
      </c>
      <c r="D4921">
        <v>2.9593759999999998</v>
      </c>
      <c r="E4921">
        <v>0.43984529999999999</v>
      </c>
      <c r="F4921" t="s">
        <v>54</v>
      </c>
      <c r="G4921">
        <v>-412.38819999999998</v>
      </c>
      <c r="H4921" s="1">
        <v>-9.5726390000000005E-6</v>
      </c>
      <c r="I4921">
        <v>26.205950000000001</v>
      </c>
      <c r="J4921">
        <v>-420.38709999999998</v>
      </c>
      <c r="K4921">
        <v>1.1146320000000001</v>
      </c>
      <c r="L4921">
        <v>39.647129999999997</v>
      </c>
      <c r="M4921">
        <v>0.25675229999999999</v>
      </c>
      <c r="N4921">
        <v>0</v>
      </c>
      <c r="O4921">
        <v>-0.96637919999999999</v>
      </c>
      <c r="P4921">
        <v>0.36286249999999998</v>
      </c>
      <c r="Q4921">
        <v>0.16559409999999999</v>
      </c>
      <c r="R4921">
        <v>-0.91701129999999997</v>
      </c>
      <c r="S4921">
        <v>1.582794</v>
      </c>
      <c r="T4921">
        <v>-0.21849640000000001</v>
      </c>
      <c r="U4921">
        <v>-2.6870120000000002</v>
      </c>
      <c r="V4921">
        <v>-0.1171609</v>
      </c>
      <c r="W4921">
        <v>0.17781079999999999</v>
      </c>
      <c r="X4921">
        <v>0.97706530000000003</v>
      </c>
      <c r="Y4921">
        <v>-0.26800420000000003</v>
      </c>
      <c r="Z4921">
        <v>7.0007760000000002E-2</v>
      </c>
      <c r="AA4921">
        <v>0.96087080000000002</v>
      </c>
      <c r="AB4921">
        <v>29</v>
      </c>
      <c r="AC4921">
        <v>7.9988999999999901</v>
      </c>
      <c r="AD4921">
        <v>-1.114641572639</v>
      </c>
      <c r="AE4921">
        <v>-13.4411799999999</v>
      </c>
      <c r="AF4921">
        <v>-4.2576997627404403</v>
      </c>
      <c r="AG4921">
        <v>-1.114641572639</v>
      </c>
      <c r="AH4921">
        <v>14.9684222084426</v>
      </c>
      <c r="AI4921">
        <v>94.096813706699606</v>
      </c>
      <c r="AJ4921">
        <v>105.87816178621399</v>
      </c>
      <c r="AK4921">
        <v>15.6020542402368</v>
      </c>
      <c r="AL4921">
        <v>79.757728792564095</v>
      </c>
      <c r="AM4921">
        <v>96.837747741958694</v>
      </c>
      <c r="AN4921">
        <v>0.99999997877476898</v>
      </c>
    </row>
    <row r="4922" spans="1:40" x14ac:dyDescent="0.25">
      <c r="A4922" t="str">
        <f>"20190312173029935"</f>
        <v>20190312173029935</v>
      </c>
      <c r="B4922" t="str">
        <f>"1552383029932883"</f>
        <v>1552383029932883</v>
      </c>
      <c r="C4922" t="s">
        <v>40</v>
      </c>
      <c r="D4922">
        <v>2.8847019999999999</v>
      </c>
      <c r="E4922">
        <v>0.41449249999999999</v>
      </c>
      <c r="F4922" t="s">
        <v>54</v>
      </c>
      <c r="G4922">
        <v>-412.07979999999998</v>
      </c>
      <c r="H4922" s="1">
        <v>-9.6417919999999995E-6</v>
      </c>
      <c r="I4922">
        <v>25.775680000000001</v>
      </c>
      <c r="J4922">
        <v>-420.31009999999998</v>
      </c>
      <c r="K4922">
        <v>1.1147210000000001</v>
      </c>
      <c r="L4922">
        <v>39.380890000000001</v>
      </c>
      <c r="M4922">
        <v>0.26233060000000002</v>
      </c>
      <c r="N4922">
        <v>0</v>
      </c>
      <c r="O4922">
        <v>-0.96487990000000001</v>
      </c>
      <c r="P4922">
        <v>0.36803989999999998</v>
      </c>
      <c r="Q4922">
        <v>0.1656772</v>
      </c>
      <c r="R4922">
        <v>-0.91493069999999999</v>
      </c>
      <c r="S4922">
        <v>1.602692</v>
      </c>
      <c r="T4922">
        <v>-0.21504210000000001</v>
      </c>
      <c r="U4922">
        <v>-2.6761469999999998</v>
      </c>
      <c r="V4922">
        <v>-0.11708209999999999</v>
      </c>
      <c r="W4922">
        <v>0.17787790000000001</v>
      </c>
      <c r="X4922">
        <v>0.9770626</v>
      </c>
      <c r="Y4922">
        <v>-0.2694609</v>
      </c>
      <c r="Z4922">
        <v>6.8851410000000002E-2</v>
      </c>
      <c r="AA4922">
        <v>0.96054689999999998</v>
      </c>
      <c r="AB4922">
        <v>29</v>
      </c>
      <c r="AC4922">
        <v>8.2302999999999997</v>
      </c>
      <c r="AD4922">
        <v>-1.11473064179199</v>
      </c>
      <c r="AE4922">
        <v>-13.60521</v>
      </c>
      <c r="AF4922">
        <v>-4.3512174990568804</v>
      </c>
      <c r="AG4922">
        <v>-1.11473064179199</v>
      </c>
      <c r="AH4922">
        <v>15.2131336898171</v>
      </c>
      <c r="AI4922">
        <v>94.029788844386403</v>
      </c>
      <c r="AJ4922">
        <v>105.961439061928</v>
      </c>
      <c r="AK4922">
        <v>15.8623817502951</v>
      </c>
      <c r="AL4922">
        <v>79.753822650176701</v>
      </c>
      <c r="AM4922">
        <v>96.833211016987804</v>
      </c>
      <c r="AN4922">
        <v>1.00000004488378</v>
      </c>
    </row>
    <row r="4923" spans="1:40" x14ac:dyDescent="0.25">
      <c r="A4923" t="str">
        <f>"20190312173029959"</f>
        <v>20190312173029959</v>
      </c>
      <c r="B4923" t="str">
        <f>"1552383029953379"</f>
        <v>1552383029953379</v>
      </c>
      <c r="C4923" t="s">
        <v>40</v>
      </c>
      <c r="D4923">
        <v>2.9037999999999999</v>
      </c>
      <c r="E4923">
        <v>0.41473090000000001</v>
      </c>
      <c r="F4923" t="s">
        <v>54</v>
      </c>
      <c r="G4923">
        <v>-408.35750000000002</v>
      </c>
      <c r="H4923" s="1">
        <v>-2.4007339999999998E-6</v>
      </c>
      <c r="I4923">
        <v>22.225919999999999</v>
      </c>
      <c r="J4923">
        <v>-420.22629999999998</v>
      </c>
      <c r="K4923">
        <v>1.11483</v>
      </c>
      <c r="L4923">
        <v>39.098329999999997</v>
      </c>
      <c r="M4923">
        <v>0.26840310000000001</v>
      </c>
      <c r="N4923">
        <v>0</v>
      </c>
      <c r="O4923">
        <v>-0.96320810000000001</v>
      </c>
      <c r="P4923">
        <v>0.37419029999999998</v>
      </c>
      <c r="Q4923">
        <v>0.16582820000000001</v>
      </c>
      <c r="R4923">
        <v>-0.91240500000000002</v>
      </c>
      <c r="S4923">
        <v>1.8009949999999999</v>
      </c>
      <c r="T4923">
        <v>-0.1679639</v>
      </c>
      <c r="U4923">
        <v>-2.5848689999999999</v>
      </c>
      <c r="V4923">
        <v>-0.1175621</v>
      </c>
      <c r="W4923">
        <v>0.17800270000000001</v>
      </c>
      <c r="X4923">
        <v>0.97698220000000002</v>
      </c>
      <c r="Y4923">
        <v>-0.32960080000000003</v>
      </c>
      <c r="Z4923">
        <v>5.3712950000000002E-2</v>
      </c>
      <c r="AA4923">
        <v>0.94259119999999996</v>
      </c>
      <c r="AB4923">
        <v>29</v>
      </c>
      <c r="AC4923">
        <v>11.868799999999901</v>
      </c>
      <c r="AD4923">
        <v>-1.114832400734</v>
      </c>
      <c r="AE4923">
        <v>-16.872409999999899</v>
      </c>
      <c r="AF4923">
        <v>-6.88406723831823</v>
      </c>
      <c r="AG4923">
        <v>-1.114832400734</v>
      </c>
      <c r="AH4923">
        <v>19.382502307600099</v>
      </c>
      <c r="AI4923">
        <v>93.102419019340502</v>
      </c>
      <c r="AJ4923">
        <v>109.553469732743</v>
      </c>
      <c r="AK4923">
        <v>20.5988987260857</v>
      </c>
      <c r="AL4923">
        <v>79.746555851842203</v>
      </c>
      <c r="AM4923">
        <v>96.861517785217103</v>
      </c>
      <c r="AN4923">
        <v>1.00000001384027</v>
      </c>
    </row>
    <row r="4924" spans="1:40" x14ac:dyDescent="0.25">
      <c r="A4924" t="str">
        <f>"20190312173029980"</f>
        <v>20190312173029980</v>
      </c>
      <c r="B4924" t="str">
        <f>"1552383029972902"</f>
        <v>1552383029972902</v>
      </c>
      <c r="C4924" t="s">
        <v>40</v>
      </c>
      <c r="D4924">
        <v>2.881173</v>
      </c>
      <c r="E4924">
        <v>0.41505379999999997</v>
      </c>
      <c r="F4924" t="s">
        <v>54</v>
      </c>
      <c r="G4924">
        <v>-408.33210000000003</v>
      </c>
      <c r="H4924" s="1">
        <v>-2.4211800000000001E-6</v>
      </c>
      <c r="I4924">
        <v>22.250419999999998</v>
      </c>
      <c r="J4924">
        <v>-420.14589999999998</v>
      </c>
      <c r="K4924">
        <v>1.114938</v>
      </c>
      <c r="L4924">
        <v>38.833129999999997</v>
      </c>
      <c r="M4924">
        <v>0.27425939999999999</v>
      </c>
      <c r="N4924">
        <v>0</v>
      </c>
      <c r="O4924">
        <v>-0.96155659999999998</v>
      </c>
      <c r="P4924">
        <v>0.37988919999999998</v>
      </c>
      <c r="Q4924">
        <v>0.16589179999999901</v>
      </c>
      <c r="R4924">
        <v>-0.91003520000000004</v>
      </c>
      <c r="S4924">
        <v>1.8170170000000001</v>
      </c>
      <c r="T4924">
        <v>-0.17030670000000001</v>
      </c>
      <c r="U4924">
        <v>-2.5737610000000002</v>
      </c>
      <c r="V4924">
        <v>-0.1177802</v>
      </c>
      <c r="W4924">
        <v>0.17804300000000001</v>
      </c>
      <c r="X4924">
        <v>0.97694859999999994</v>
      </c>
      <c r="Y4924">
        <v>-0.32966620000000002</v>
      </c>
      <c r="Z4924">
        <v>5.4423470000000002E-2</v>
      </c>
      <c r="AA4924">
        <v>0.94252760000000002</v>
      </c>
      <c r="AB4924">
        <v>29</v>
      </c>
      <c r="AC4924">
        <v>11.813799999999899</v>
      </c>
      <c r="AD4924">
        <v>-1.11494042117999</v>
      </c>
      <c r="AE4924">
        <v>-16.582709999999899</v>
      </c>
      <c r="AF4924">
        <v>-6.7919561826440402</v>
      </c>
      <c r="AG4924">
        <v>-1.11494042117999</v>
      </c>
      <c r="AH4924">
        <v>19.129726253161799</v>
      </c>
      <c r="AI4924">
        <v>93.143756645199602</v>
      </c>
      <c r="AJ4924">
        <v>109.547265148449</v>
      </c>
      <c r="AK4924">
        <v>20.330277603875601</v>
      </c>
      <c r="AL4924">
        <v>79.744209477912307</v>
      </c>
      <c r="AM4924">
        <v>96.874359669080306</v>
      </c>
      <c r="AN4924">
        <v>1.0000000262014901</v>
      </c>
    </row>
    <row r="4925" spans="1:40" x14ac:dyDescent="0.25">
      <c r="A4925" t="str">
        <f>"20190312173030003"</f>
        <v>20190312173030003</v>
      </c>
      <c r="B4925" t="str">
        <f>"1552383029992420"</f>
        <v>1552383029992420</v>
      </c>
      <c r="C4925" t="s">
        <v>40</v>
      </c>
      <c r="D4925">
        <v>2.9031210000000001</v>
      </c>
      <c r="E4925">
        <v>0.41547309999999998</v>
      </c>
      <c r="F4925" t="s">
        <v>54</v>
      </c>
      <c r="G4925">
        <v>-408.2439</v>
      </c>
      <c r="H4925" s="1">
        <v>-2.4541220000000001E-6</v>
      </c>
      <c r="I4925">
        <v>22.163799999999998</v>
      </c>
      <c r="J4925">
        <v>-420.06049999999999</v>
      </c>
      <c r="K4925">
        <v>1.11507</v>
      </c>
      <c r="L4925">
        <v>38.558410000000002</v>
      </c>
      <c r="M4925">
        <v>0.28049459999999998</v>
      </c>
      <c r="N4925">
        <v>0</v>
      </c>
      <c r="O4925">
        <v>-0.9597561</v>
      </c>
      <c r="P4925">
        <v>0.38586160000000003</v>
      </c>
      <c r="Q4925">
        <v>0.16611799999999999</v>
      </c>
      <c r="R4925">
        <v>-0.9074776</v>
      </c>
      <c r="S4925">
        <v>1.830505</v>
      </c>
      <c r="T4925">
        <v>-0.1714764</v>
      </c>
      <c r="U4925">
        <v>-2.5637210000000001</v>
      </c>
      <c r="V4925">
        <v>-0.1179291</v>
      </c>
      <c r="W4925">
        <v>0.17824389999999901</v>
      </c>
      <c r="X4925">
        <v>0.97689400000000004</v>
      </c>
      <c r="Y4925">
        <v>-0.32855759999999901</v>
      </c>
      <c r="Z4925">
        <v>5.4753360000000001E-2</v>
      </c>
      <c r="AA4925">
        <v>0.9428955</v>
      </c>
      <c r="AB4925">
        <v>29</v>
      </c>
      <c r="AC4925">
        <v>11.8165999999999</v>
      </c>
      <c r="AD4925">
        <v>-1.1150724541220001</v>
      </c>
      <c r="AE4925">
        <v>-16.394609999999901</v>
      </c>
      <c r="AF4925">
        <v>-6.7226318826504903</v>
      </c>
      <c r="AG4925">
        <v>-1.1150724541220001</v>
      </c>
      <c r="AH4925">
        <v>18.9933154100991</v>
      </c>
      <c r="AI4925">
        <v>93.167758560916099</v>
      </c>
      <c r="AJ4925">
        <v>109.491277580702</v>
      </c>
      <c r="AK4925">
        <v>20.178780842139101</v>
      </c>
      <c r="AL4925">
        <v>79.732511619572705</v>
      </c>
      <c r="AM4925">
        <v>96.883348055854199</v>
      </c>
      <c r="AN4925">
        <v>1.000000023875</v>
      </c>
    </row>
    <row r="4926" spans="1:40" x14ac:dyDescent="0.25">
      <c r="A4926" t="str">
        <f>"20190312173030025"</f>
        <v>20190312173030025</v>
      </c>
      <c r="B4926" t="str">
        <f>"1552383030022675"</f>
        <v>1552383030022675</v>
      </c>
      <c r="C4926" t="s">
        <v>40</v>
      </c>
      <c r="D4926">
        <v>2.9067370000000001</v>
      </c>
      <c r="E4926">
        <v>0.41613460000000002</v>
      </c>
      <c r="F4926" t="s">
        <v>54</v>
      </c>
      <c r="G4926">
        <v>-408.05599999999998</v>
      </c>
      <c r="H4926" s="1">
        <v>-2.5177180000000001E-6</v>
      </c>
      <c r="I4926">
        <v>21.949649999999998</v>
      </c>
      <c r="J4926">
        <v>-419.97750000000002</v>
      </c>
      <c r="K4926">
        <v>1.1151930000000001</v>
      </c>
      <c r="L4926">
        <v>38.298490000000001</v>
      </c>
      <c r="M4926">
        <v>0.28658</v>
      </c>
      <c r="N4926">
        <v>0</v>
      </c>
      <c r="O4926">
        <v>-0.95795660000000005</v>
      </c>
      <c r="P4926">
        <v>0.39213920000000002</v>
      </c>
      <c r="Q4926">
        <v>0.16611899999999999</v>
      </c>
      <c r="R4926">
        <v>-0.90478250000000005</v>
      </c>
      <c r="S4926">
        <v>1.845062</v>
      </c>
      <c r="T4926">
        <v>-0.1713845</v>
      </c>
      <c r="U4926">
        <v>-2.5527340000000001</v>
      </c>
      <c r="V4926">
        <v>-0.11855250000000001</v>
      </c>
      <c r="W4926">
        <v>0.17821380000000001</v>
      </c>
      <c r="X4926">
        <v>0.97682400000000003</v>
      </c>
      <c r="Y4926">
        <v>-0.32802389999999998</v>
      </c>
      <c r="Z4926">
        <v>5.4685280000000003E-2</v>
      </c>
      <c r="AA4926">
        <v>0.94308530000000002</v>
      </c>
      <c r="AB4926">
        <v>29</v>
      </c>
      <c r="AC4926">
        <v>11.9215</v>
      </c>
      <c r="AD4926">
        <v>-1.115195517718</v>
      </c>
      <c r="AE4926">
        <v>-16.348839999999999</v>
      </c>
      <c r="AF4926">
        <v>-6.7152734281325399</v>
      </c>
      <c r="AG4926">
        <v>-1.115195517718</v>
      </c>
      <c r="AH4926">
        <v>19.021982026821</v>
      </c>
      <c r="AI4926">
        <v>93.164255735741506</v>
      </c>
      <c r="AJ4926">
        <v>109.44440782780499</v>
      </c>
      <c r="AK4926">
        <v>20.203325431374498</v>
      </c>
      <c r="AL4926">
        <v>79.734263936629205</v>
      </c>
      <c r="AM4926">
        <v>96.919874192836005</v>
      </c>
      <c r="AN4926">
        <v>0.99999999037134402</v>
      </c>
    </row>
    <row r="4927" spans="1:40" x14ac:dyDescent="0.25">
      <c r="A4927" t="str">
        <f>"20190312173030048"</f>
        <v>20190312173030048</v>
      </c>
      <c r="B4927" t="str">
        <f>"1552383030043174"</f>
        <v>1552383030043174</v>
      </c>
      <c r="C4927" t="s">
        <v>40</v>
      </c>
      <c r="D4927">
        <v>2.8753850000000001</v>
      </c>
      <c r="E4927">
        <v>0.4166686</v>
      </c>
      <c r="F4927" t="s">
        <v>54</v>
      </c>
      <c r="G4927">
        <v>-407.90039999999999</v>
      </c>
      <c r="H4927" s="1">
        <v>-2.5701390000000002E-6</v>
      </c>
      <c r="I4927">
        <v>21.770990000000001</v>
      </c>
      <c r="J4927">
        <v>-419.88589999999999</v>
      </c>
      <c r="K4927">
        <v>1.1153310000000001</v>
      </c>
      <c r="L4927">
        <v>38.018799999999999</v>
      </c>
      <c r="M4927">
        <v>0.29332550000000002</v>
      </c>
      <c r="N4927">
        <v>0</v>
      </c>
      <c r="O4927">
        <v>-0.95591250000000005</v>
      </c>
      <c r="P4927">
        <v>0.3990785</v>
      </c>
      <c r="Q4927">
        <v>0.1659562</v>
      </c>
      <c r="R4927">
        <v>-0.9017733</v>
      </c>
      <c r="S4927">
        <v>1.8575740000000001</v>
      </c>
      <c r="T4927">
        <v>-0.1715275</v>
      </c>
      <c r="U4927">
        <v>-2.542084</v>
      </c>
      <c r="V4927">
        <v>-0.11922049999999999</v>
      </c>
      <c r="W4927">
        <v>0.17801910000000001</v>
      </c>
      <c r="X4927">
        <v>0.97677820000000004</v>
      </c>
      <c r="Y4927">
        <v>-0.32627080000000003</v>
      </c>
      <c r="Z4927">
        <v>5.4688309999999997E-2</v>
      </c>
      <c r="AA4927">
        <v>0.943693</v>
      </c>
      <c r="AB4927">
        <v>29</v>
      </c>
      <c r="AC4927">
        <v>11.9855</v>
      </c>
      <c r="AD4927">
        <v>-1.1153335701389999</v>
      </c>
      <c r="AE4927">
        <v>-16.247809999999902</v>
      </c>
      <c r="AF4927">
        <v>-6.6714741258308097</v>
      </c>
      <c r="AG4927">
        <v>-1.1153335701389999</v>
      </c>
      <c r="AH4927">
        <v>18.9910077997861</v>
      </c>
      <c r="AI4927">
        <v>93.171513232116197</v>
      </c>
      <c r="AJ4927">
        <v>109.35619551458799</v>
      </c>
      <c r="AK4927">
        <v>20.1596357416459</v>
      </c>
      <c r="AL4927">
        <v>79.745600700582699</v>
      </c>
      <c r="AM4927">
        <v>96.9588070101819</v>
      </c>
      <c r="AN4927">
        <v>0.99999998979015003</v>
      </c>
    </row>
    <row r="4928" spans="1:40" x14ac:dyDescent="0.25">
      <c r="A4928" t="str">
        <f>"20190312173030070"</f>
        <v>20190312173030070</v>
      </c>
      <c r="B4928" t="str">
        <f>"1552383030062695"</f>
        <v>1552383030062695</v>
      </c>
      <c r="C4928" t="s">
        <v>40</v>
      </c>
      <c r="D4928">
        <v>2.8607269999999998</v>
      </c>
      <c r="E4928">
        <v>0.41719869999999998</v>
      </c>
      <c r="F4928" t="s">
        <v>54</v>
      </c>
      <c r="G4928">
        <v>-407.75409999999999</v>
      </c>
      <c r="H4928" s="1">
        <v>-2.6263510000000001E-6</v>
      </c>
      <c r="I4928">
        <v>21.634329999999999</v>
      </c>
      <c r="J4928">
        <v>-419.79590000000002</v>
      </c>
      <c r="K4928">
        <v>1.1154489999999999</v>
      </c>
      <c r="L4928">
        <v>37.750729999999997</v>
      </c>
      <c r="M4928">
        <v>0.2999462</v>
      </c>
      <c r="N4928">
        <v>0</v>
      </c>
      <c r="O4928">
        <v>-0.95385569999999997</v>
      </c>
      <c r="P4928">
        <v>0.40558670000000002</v>
      </c>
      <c r="Q4928">
        <v>0.1657797</v>
      </c>
      <c r="R4928">
        <v>-0.89889779999999997</v>
      </c>
      <c r="S4928">
        <v>1.873016</v>
      </c>
      <c r="T4928">
        <v>-0.1721945</v>
      </c>
      <c r="U4928">
        <v>-2.5295719999999999</v>
      </c>
      <c r="V4928">
        <v>-0.11954910000000001</v>
      </c>
      <c r="W4928">
        <v>0.1778187</v>
      </c>
      <c r="X4928">
        <v>0.97677460000000005</v>
      </c>
      <c r="Y4928">
        <v>-0.32566309999999998</v>
      </c>
      <c r="Z4928">
        <v>5.4859650000000003E-2</v>
      </c>
      <c r="AA4928">
        <v>0.94389299999999998</v>
      </c>
      <c r="AB4928">
        <v>29</v>
      </c>
      <c r="AC4928">
        <v>12.0418</v>
      </c>
      <c r="AD4928">
        <v>-1.1154516263509999</v>
      </c>
      <c r="AE4928">
        <v>-16.116399999999999</v>
      </c>
      <c r="AF4928">
        <v>-6.6323352862388196</v>
      </c>
      <c r="AG4928">
        <v>-1.1154516263509999</v>
      </c>
      <c r="AH4928">
        <v>18.928243133508001</v>
      </c>
      <c r="AI4928">
        <v>93.183240143869099</v>
      </c>
      <c r="AJ4928">
        <v>109.310134371053</v>
      </c>
      <c r="AK4928">
        <v>20.0875705798639</v>
      </c>
      <c r="AL4928">
        <v>79.757269545595307</v>
      </c>
      <c r="AM4928">
        <v>96.977823766159602</v>
      </c>
      <c r="AN4928">
        <v>1.00000004829282</v>
      </c>
    </row>
    <row r="4929" spans="1:40" x14ac:dyDescent="0.25">
      <c r="A4929" t="str">
        <f>"20190312173030092"</f>
        <v>20190312173030092</v>
      </c>
      <c r="B4929" t="str">
        <f>"1552383030083187"</f>
        <v>1552383030083187</v>
      </c>
      <c r="C4929" t="s">
        <v>40</v>
      </c>
      <c r="D4929">
        <v>2.8675359999999999</v>
      </c>
      <c r="E4929">
        <v>0.4218363</v>
      </c>
      <c r="F4929" t="s">
        <v>54</v>
      </c>
      <c r="G4929">
        <v>-407.66699999999997</v>
      </c>
      <c r="H4929" s="1">
        <v>-2.6640630000000001E-6</v>
      </c>
      <c r="I4929">
        <v>21.572179999999999</v>
      </c>
      <c r="J4929">
        <v>-419.70280000000002</v>
      </c>
      <c r="K4929">
        <v>1.1155619999999999</v>
      </c>
      <c r="L4929">
        <v>37.480260000000001</v>
      </c>
      <c r="M4929">
        <v>0.30678420000000001</v>
      </c>
      <c r="N4929">
        <v>0</v>
      </c>
      <c r="O4929">
        <v>-0.95167800000000002</v>
      </c>
      <c r="P4929">
        <v>0.41221609999999997</v>
      </c>
      <c r="Q4929">
        <v>0.1656466</v>
      </c>
      <c r="R4929">
        <v>-0.89590139999999996</v>
      </c>
      <c r="S4929">
        <v>1.887543</v>
      </c>
      <c r="T4929">
        <v>-0.173590299999999</v>
      </c>
      <c r="U4929">
        <v>-2.5177610000000001</v>
      </c>
      <c r="V4929">
        <v>-0.1197937</v>
      </c>
      <c r="W4929">
        <v>0.17766479999999901</v>
      </c>
      <c r="X4929">
        <v>0.97677259999999999</v>
      </c>
      <c r="Y4929">
        <v>-0.32447399999999998</v>
      </c>
      <c r="Z4929">
        <v>5.5249390000000002E-2</v>
      </c>
      <c r="AA4929">
        <v>0.94427969999999894</v>
      </c>
      <c r="AB4929">
        <v>29</v>
      </c>
      <c r="AC4929">
        <v>12.0358</v>
      </c>
      <c r="AD4929">
        <v>-1.1155646640629999</v>
      </c>
      <c r="AE4929">
        <v>-15.908079999999901</v>
      </c>
      <c r="AF4929">
        <v>-6.5539940393971801</v>
      </c>
      <c r="AG4929">
        <v>-1.1155646640629999</v>
      </c>
      <c r="AH4929">
        <v>18.774858496938201</v>
      </c>
      <c r="AI4929">
        <v>93.210824394287798</v>
      </c>
      <c r="AJ4929">
        <v>109.243253905456</v>
      </c>
      <c r="AK4929">
        <v>19.917194430145301</v>
      </c>
      <c r="AL4929">
        <v>79.766229665828604</v>
      </c>
      <c r="AM4929">
        <v>96.991973540555307</v>
      </c>
      <c r="AN4929">
        <v>1.0000000119147401</v>
      </c>
    </row>
    <row r="4930" spans="1:40" x14ac:dyDescent="0.25">
      <c r="A4930" t="str">
        <f>"20190312173030114"</f>
        <v>20190312173030114</v>
      </c>
      <c r="B4930" t="str">
        <f>"1552383030103214"</f>
        <v>1552383030103214</v>
      </c>
      <c r="C4930" t="s">
        <v>40</v>
      </c>
      <c r="D4930">
        <v>2.868827</v>
      </c>
      <c r="E4930">
        <v>0.42246919999999999</v>
      </c>
      <c r="F4930" t="s">
        <v>54</v>
      </c>
      <c r="G4930">
        <v>-407.60539999999997</v>
      </c>
      <c r="H4930" s="1">
        <v>-2.6192260000000001E-6</v>
      </c>
      <c r="I4930">
        <v>21.206669999999999</v>
      </c>
      <c r="J4930">
        <v>-419.61130000000003</v>
      </c>
      <c r="K4930">
        <v>1.1156619999999999</v>
      </c>
      <c r="L4930">
        <v>37.220489999999998</v>
      </c>
      <c r="M4930">
        <v>0.31350709999999998</v>
      </c>
      <c r="N4930">
        <v>0</v>
      </c>
      <c r="O4930">
        <v>-0.94948449999999995</v>
      </c>
      <c r="P4930">
        <v>0.41878969999999999</v>
      </c>
      <c r="Q4930">
        <v>0.16618089999999999</v>
      </c>
      <c r="R4930">
        <v>-0.89274819999999999</v>
      </c>
      <c r="S4930">
        <v>1.872528</v>
      </c>
      <c r="T4930">
        <v>-0.17267560000000001</v>
      </c>
      <c r="U4930">
        <v>-2.5189509999999999</v>
      </c>
      <c r="V4930">
        <v>-0.1201494</v>
      </c>
      <c r="W4930">
        <v>0.178175799999999</v>
      </c>
      <c r="X4930">
        <v>0.97663580000000005</v>
      </c>
      <c r="Y4930">
        <v>-0.31394539999999999</v>
      </c>
      <c r="Z4930">
        <v>5.4942190000000002E-2</v>
      </c>
      <c r="AA4930">
        <v>0.94784999999999997</v>
      </c>
      <c r="AB4930">
        <v>29</v>
      </c>
      <c r="AC4930">
        <v>12.0059</v>
      </c>
      <c r="AD4930">
        <v>-1.115664619226</v>
      </c>
      <c r="AE4930">
        <v>-16.013819999999999</v>
      </c>
      <c r="AF4930">
        <v>-6.3598222572386103</v>
      </c>
      <c r="AG4930">
        <v>-1.115664619226</v>
      </c>
      <c r="AH4930">
        <v>18.911871046356801</v>
      </c>
      <c r="AI4930">
        <v>93.200404068463897</v>
      </c>
      <c r="AJ4930">
        <v>108.58713899458201</v>
      </c>
      <c r="AK4930">
        <v>19.983766240633699</v>
      </c>
      <c r="AL4930">
        <v>79.736476584729203</v>
      </c>
      <c r="AM4930">
        <v>97.013500680093699</v>
      </c>
      <c r="AN4930">
        <v>0.999999989933819</v>
      </c>
    </row>
    <row r="4931" spans="1:40" x14ac:dyDescent="0.25">
      <c r="A4931" t="str">
        <f>"20190312173030137"</f>
        <v>20190312173030137</v>
      </c>
      <c r="B4931" t="str">
        <f>"1552383030132493"</f>
        <v>1552383030132493</v>
      </c>
      <c r="C4931" t="s">
        <v>40</v>
      </c>
      <c r="D4931">
        <v>2.919667</v>
      </c>
      <c r="E4931">
        <v>0.42381459999999999</v>
      </c>
      <c r="F4931" t="s">
        <v>54</v>
      </c>
      <c r="G4931">
        <v>-407.42500000000001</v>
      </c>
      <c r="H4931" s="1">
        <v>-2.6854370000000001E-6</v>
      </c>
      <c r="I4931">
        <v>21.024069999999998</v>
      </c>
      <c r="J4931">
        <v>-419.51710000000003</v>
      </c>
      <c r="K4931">
        <v>1.115777</v>
      </c>
      <c r="L4931">
        <v>36.959719999999997</v>
      </c>
      <c r="M4931">
        <v>0.32041380000000003</v>
      </c>
      <c r="N4931">
        <v>0</v>
      </c>
      <c r="O4931">
        <v>-0.94717569999999995</v>
      </c>
      <c r="P4931">
        <v>0.42551030000000001</v>
      </c>
      <c r="Q4931">
        <v>0.1663386</v>
      </c>
      <c r="R4931">
        <v>-0.88953479999999996</v>
      </c>
      <c r="S4931">
        <v>1.8866879999999999</v>
      </c>
      <c r="T4931">
        <v>-0.17272770000000001</v>
      </c>
      <c r="U4931">
        <v>-2.5075379999999998</v>
      </c>
      <c r="V4931">
        <v>-0.1204631</v>
      </c>
      <c r="W4931">
        <v>0.17831140000000001</v>
      </c>
      <c r="X4931">
        <v>0.97657240000000001</v>
      </c>
      <c r="Y4931">
        <v>-0.3125214</v>
      </c>
      <c r="Z4931">
        <v>5.4891160000000001E-2</v>
      </c>
      <c r="AA4931">
        <v>0.94832340000000004</v>
      </c>
      <c r="AB4931">
        <v>29</v>
      </c>
      <c r="AC4931">
        <v>12.0921</v>
      </c>
      <c r="AD4931">
        <v>-1.1157796854369999</v>
      </c>
      <c r="AE4931">
        <v>-15.935650000000001</v>
      </c>
      <c r="AF4931">
        <v>-6.3282662200915496</v>
      </c>
      <c r="AG4931">
        <v>-1.1157796854369999</v>
      </c>
      <c r="AH4931">
        <v>18.911332928038298</v>
      </c>
      <c r="AI4931">
        <v>93.202422631657996</v>
      </c>
      <c r="AJ4931">
        <v>108.50169673455299</v>
      </c>
      <c r="AK4931">
        <v>19.973242870748098</v>
      </c>
      <c r="AL4931">
        <v>79.728580766962807</v>
      </c>
      <c r="AM4931">
        <v>97.032081192625697</v>
      </c>
      <c r="AN4931">
        <v>0.99999998313666405</v>
      </c>
    </row>
    <row r="4932" spans="1:40" x14ac:dyDescent="0.25">
      <c r="A4932" t="str">
        <f>"20190312173030159"</f>
        <v>20190312173030159</v>
      </c>
      <c r="B4932" t="str">
        <f>"1552383030152993"</f>
        <v>1552383030152993</v>
      </c>
      <c r="C4932" t="s">
        <v>40</v>
      </c>
      <c r="D4932">
        <v>2.9272450000000001</v>
      </c>
      <c r="E4932">
        <v>0.42443150000000002</v>
      </c>
      <c r="F4932" t="s">
        <v>54</v>
      </c>
      <c r="G4932">
        <v>-407.57909999999998</v>
      </c>
      <c r="H4932" s="1">
        <v>-2.63995E-6</v>
      </c>
      <c r="I4932">
        <v>21.229690000000002</v>
      </c>
      <c r="J4932">
        <v>-419.41820000000001</v>
      </c>
      <c r="K4932">
        <v>1.1158980000000001</v>
      </c>
      <c r="L4932">
        <v>36.692349999999998</v>
      </c>
      <c r="M4932">
        <v>0.32765909999999998</v>
      </c>
      <c r="N4932">
        <v>0</v>
      </c>
      <c r="O4932">
        <v>-0.94469340000000002</v>
      </c>
      <c r="P4932">
        <v>0.43234280000000003</v>
      </c>
      <c r="Q4932">
        <v>0.16639789999999999</v>
      </c>
      <c r="R4932">
        <v>-0.88622339999999999</v>
      </c>
      <c r="S4932">
        <v>1.896271</v>
      </c>
      <c r="T4932">
        <v>-0.17723320000000001</v>
      </c>
      <c r="U4932">
        <v>-2.498596</v>
      </c>
      <c r="V4932">
        <v>-0.1205558</v>
      </c>
      <c r="W4932">
        <v>0.178350799999999</v>
      </c>
      <c r="X4932">
        <v>0.97655380000000003</v>
      </c>
      <c r="Y4932">
        <v>-0.30913679999999999</v>
      </c>
      <c r="Z4932">
        <v>5.6235090000000001E-2</v>
      </c>
      <c r="AA4932">
        <v>0.94935349999999996</v>
      </c>
      <c r="AB4932">
        <v>28</v>
      </c>
      <c r="AC4932">
        <v>11.8391</v>
      </c>
      <c r="AD4932">
        <v>-1.11590063995</v>
      </c>
      <c r="AE4932">
        <v>-15.46266</v>
      </c>
      <c r="AF4932">
        <v>-6.0984084044138296</v>
      </c>
      <c r="AG4932">
        <v>-1.11590063995</v>
      </c>
      <c r="AH4932">
        <v>18.427948926984001</v>
      </c>
      <c r="AI4932">
        <v>93.290232201156897</v>
      </c>
      <c r="AJ4932">
        <v>108.31106127977699</v>
      </c>
      <c r="AK4932">
        <v>19.442868125891199</v>
      </c>
      <c r="AL4932">
        <v>79.726286884796394</v>
      </c>
      <c r="AM4932">
        <v>97.037571045863203</v>
      </c>
      <c r="AN4932">
        <v>1.0000000165343499</v>
      </c>
    </row>
    <row r="4933" spans="1:40" x14ac:dyDescent="0.25">
      <c r="A4933" t="str">
        <f>"20190312173030181"</f>
        <v>20190312173030181</v>
      </c>
      <c r="B4933" t="str">
        <f>"1552383030172510"</f>
        <v>1552383030172510</v>
      </c>
      <c r="C4933" t="s">
        <v>40</v>
      </c>
      <c r="D4933">
        <v>2.9350960000000001</v>
      </c>
      <c r="E4933">
        <v>0.42462339999999998</v>
      </c>
      <c r="F4933" t="s">
        <v>54</v>
      </c>
      <c r="G4933">
        <v>-407.483</v>
      </c>
      <c r="H4933" s="1">
        <v>-2.6830009999999998E-6</v>
      </c>
      <c r="I4933">
        <v>21.167580000000001</v>
      </c>
      <c r="J4933">
        <v>-419.31889999999999</v>
      </c>
      <c r="K4933">
        <v>1.116026</v>
      </c>
      <c r="L4933">
        <v>36.430729999999997</v>
      </c>
      <c r="M4933">
        <v>0.33491589999999999</v>
      </c>
      <c r="N4933">
        <v>0</v>
      </c>
      <c r="O4933">
        <v>-0.94214509999999996</v>
      </c>
      <c r="P4933">
        <v>0.43900729999999999</v>
      </c>
      <c r="Q4933">
        <v>0.16650529999999999</v>
      </c>
      <c r="R4933">
        <v>-0.88292090000000001</v>
      </c>
      <c r="S4933">
        <v>1.9113770000000001</v>
      </c>
      <c r="T4933">
        <v>-0.17870749999999999</v>
      </c>
      <c r="U4933">
        <v>-2.486237</v>
      </c>
      <c r="V4933">
        <v>-0.120463899999999</v>
      </c>
      <c r="W4933">
        <v>0.1784405</v>
      </c>
      <c r="X4933">
        <v>0.97654870000000005</v>
      </c>
      <c r="Y4933">
        <v>-0.30771199999999999</v>
      </c>
      <c r="Z4933">
        <v>5.6619290000000003E-2</v>
      </c>
      <c r="AA4933">
        <v>0.94979349999999996</v>
      </c>
      <c r="AB4933">
        <v>28</v>
      </c>
      <c r="AC4933">
        <v>11.835899999999899</v>
      </c>
      <c r="AD4933">
        <v>-1.116028683001</v>
      </c>
      <c r="AE4933">
        <v>-15.26315</v>
      </c>
      <c r="AF4933">
        <v>-6.0197510039703399</v>
      </c>
      <c r="AG4933">
        <v>-1.116028683001</v>
      </c>
      <c r="AH4933">
        <v>18.284864084600802</v>
      </c>
      <c r="AI4933">
        <v>93.317988385436394</v>
      </c>
      <c r="AJ4933">
        <v>108.22260151205199</v>
      </c>
      <c r="AK4933">
        <v>19.282613328161901</v>
      </c>
      <c r="AL4933">
        <v>79.721063114427693</v>
      </c>
      <c r="AM4933">
        <v>97.032296380301801</v>
      </c>
      <c r="AN4933">
        <v>0.99999996335757402</v>
      </c>
    </row>
    <row r="4934" spans="1:40" x14ac:dyDescent="0.25">
      <c r="A4934" t="str">
        <f>"20190312173030204"</f>
        <v>20190312173030204</v>
      </c>
      <c r="B4934" t="str">
        <f>"1552383030193006"</f>
        <v>1552383030193006</v>
      </c>
      <c r="C4934" t="s">
        <v>40</v>
      </c>
      <c r="D4934">
        <v>2.9644339999999998</v>
      </c>
      <c r="E4934">
        <v>0.42828759999999999</v>
      </c>
      <c r="F4934" t="s">
        <v>54</v>
      </c>
      <c r="G4934">
        <v>-407.30399999999997</v>
      </c>
      <c r="H4934" s="1">
        <v>-2.7583279999999998E-6</v>
      </c>
      <c r="I4934">
        <v>21.029990000000002</v>
      </c>
      <c r="J4934">
        <v>-419.21929999999998</v>
      </c>
      <c r="K4934">
        <v>1.116144</v>
      </c>
      <c r="L4934">
        <v>36.174770000000002</v>
      </c>
      <c r="M4934">
        <v>0.34218599999999999</v>
      </c>
      <c r="N4934">
        <v>0</v>
      </c>
      <c r="O4934">
        <v>-0.93952880000000005</v>
      </c>
      <c r="P4934">
        <v>0.44604009999999999</v>
      </c>
      <c r="Q4934">
        <v>0.16697029999999999</v>
      </c>
      <c r="R4934">
        <v>-0.87930049999999904</v>
      </c>
      <c r="S4934">
        <v>1.928925</v>
      </c>
      <c r="T4934">
        <v>-0.17917239999999901</v>
      </c>
      <c r="U4934">
        <v>-2.4725039999999998</v>
      </c>
      <c r="V4934">
        <v>-0.1208052</v>
      </c>
      <c r="W4934">
        <v>0.17888009999999999</v>
      </c>
      <c r="X4934">
        <v>0.97642609999999996</v>
      </c>
      <c r="Y4934">
        <v>-0.3071062</v>
      </c>
      <c r="Z4934">
        <v>5.6678249999999999E-2</v>
      </c>
      <c r="AA4934">
        <v>0.949986</v>
      </c>
      <c r="AB4934">
        <v>28</v>
      </c>
      <c r="AC4934">
        <v>11.915299999999901</v>
      </c>
      <c r="AD4934">
        <v>-1.116146758328</v>
      </c>
      <c r="AE4934">
        <v>-15.144780000000001</v>
      </c>
      <c r="AF4934">
        <v>-5.9929149458083497</v>
      </c>
      <c r="AG4934">
        <v>-1.116146758328</v>
      </c>
      <c r="AH4934">
        <v>18.246770152467601</v>
      </c>
      <c r="AI4934">
        <v>93.326022217695396</v>
      </c>
      <c r="AJ4934">
        <v>108.182095140968</v>
      </c>
      <c r="AK4934">
        <v>19.2381244961873</v>
      </c>
      <c r="AL4934">
        <v>79.695463960536301</v>
      </c>
      <c r="AM4934">
        <v>97.052896584051695</v>
      </c>
      <c r="AN4934">
        <v>0.99999995764212901</v>
      </c>
    </row>
    <row r="4935" spans="1:40" x14ac:dyDescent="0.25">
      <c r="A4935" t="str">
        <f>"20190312173030226"</f>
        <v>20190312173030226</v>
      </c>
      <c r="B4935" t="str">
        <f>"1552383030223263"</f>
        <v>1552383030223263</v>
      </c>
      <c r="C4935" t="s">
        <v>40</v>
      </c>
      <c r="D4935">
        <v>2.964782</v>
      </c>
      <c r="E4935">
        <v>0.43205290000000002</v>
      </c>
      <c r="F4935" t="s">
        <v>54</v>
      </c>
      <c r="G4935">
        <v>-408.0489</v>
      </c>
      <c r="H4935" s="1">
        <v>-2.4935029999999998E-6</v>
      </c>
      <c r="I4935">
        <v>21.82178</v>
      </c>
      <c r="J4935">
        <v>-419.11419999999998</v>
      </c>
      <c r="K4935">
        <v>1.116277</v>
      </c>
      <c r="L4935">
        <v>35.911650000000002</v>
      </c>
      <c r="M4935">
        <v>0.3498501</v>
      </c>
      <c r="N4935">
        <v>0</v>
      </c>
      <c r="O4935">
        <v>-0.93670140000000002</v>
      </c>
      <c r="P4935">
        <v>0.45325670000000001</v>
      </c>
      <c r="Q4935">
        <v>0.166877</v>
      </c>
      <c r="R4935">
        <v>-0.87562030000000002</v>
      </c>
      <c r="S4935">
        <v>1.924072</v>
      </c>
      <c r="T4935">
        <v>-0.1922529</v>
      </c>
      <c r="U4935">
        <v>-2.4722599999999999</v>
      </c>
      <c r="V4935">
        <v>-0.120907399999999</v>
      </c>
      <c r="W4935">
        <v>0.1787675</v>
      </c>
      <c r="X4935">
        <v>0.97643409999999997</v>
      </c>
      <c r="Y4935">
        <v>-0.29805090000000001</v>
      </c>
      <c r="Z4935">
        <v>6.0660499999999999E-2</v>
      </c>
      <c r="AA4935">
        <v>0.95262060000000004</v>
      </c>
      <c r="AB4935">
        <v>28</v>
      </c>
      <c r="AC4935">
        <v>11.065299999999899</v>
      </c>
      <c r="AD4935">
        <v>-1.116279493503</v>
      </c>
      <c r="AE4935">
        <v>-14.089869999999999</v>
      </c>
      <c r="AF4935">
        <v>-5.41504791033615</v>
      </c>
      <c r="AG4935">
        <v>-1.116279493503</v>
      </c>
      <c r="AH4935">
        <v>17.0048474025511</v>
      </c>
      <c r="AI4935">
        <v>93.579182934827401</v>
      </c>
      <c r="AJ4935">
        <v>107.663630362698</v>
      </c>
      <c r="AK4935">
        <v>17.881097812016499</v>
      </c>
      <c r="AL4935">
        <v>79.702021445533404</v>
      </c>
      <c r="AM4935">
        <v>97.058745847516505</v>
      </c>
      <c r="AN4935">
        <v>0.99999998503690901</v>
      </c>
    </row>
    <row r="4936" spans="1:40" x14ac:dyDescent="0.25">
      <c r="A4936" t="str">
        <f>"20190312173030248"</f>
        <v>20190312173030248</v>
      </c>
      <c r="B4936" t="str">
        <f>"1552383030242781"</f>
        <v>1552383030242781</v>
      </c>
      <c r="C4936" t="s">
        <v>40</v>
      </c>
      <c r="D4936">
        <v>2.9656609999999999</v>
      </c>
      <c r="E4936">
        <v>0.43228620000000001</v>
      </c>
      <c r="F4936" t="s">
        <v>54</v>
      </c>
      <c r="G4936">
        <v>-408.21640000000002</v>
      </c>
      <c r="H4936" s="1">
        <v>-2.4050350000000002E-6</v>
      </c>
      <c r="I4936">
        <v>21.869800000000001</v>
      </c>
      <c r="J4936">
        <v>-419.00740000000002</v>
      </c>
      <c r="K4936">
        <v>1.11639</v>
      </c>
      <c r="L4936">
        <v>35.650849999999998</v>
      </c>
      <c r="M4936">
        <v>0.3575972</v>
      </c>
      <c r="N4936">
        <v>0</v>
      </c>
      <c r="O4936">
        <v>-0.93377120000000002</v>
      </c>
      <c r="P4936">
        <v>0.46110859999999898</v>
      </c>
      <c r="Q4936">
        <v>0.1672448</v>
      </c>
      <c r="R4936">
        <v>-0.8714402</v>
      </c>
      <c r="S4936">
        <v>1.917664</v>
      </c>
      <c r="T4936">
        <v>-0.1964294</v>
      </c>
      <c r="U4936">
        <v>-2.470917</v>
      </c>
      <c r="V4936">
        <v>-0.1216782</v>
      </c>
      <c r="W4936">
        <v>0.17910709999999999</v>
      </c>
      <c r="X4936">
        <v>0.97627609999999998</v>
      </c>
      <c r="Y4936">
        <v>-0.2887923</v>
      </c>
      <c r="Z4936">
        <v>6.185185E-2</v>
      </c>
      <c r="AA4936">
        <v>0.95539180000000001</v>
      </c>
      <c r="AB4936">
        <v>28</v>
      </c>
      <c r="AC4936">
        <v>10.790999999999899</v>
      </c>
      <c r="AD4936">
        <v>-1.116392405035</v>
      </c>
      <c r="AE4936">
        <v>-13.781049999999899</v>
      </c>
      <c r="AF4936">
        <v>-5.1279025722054001</v>
      </c>
      <c r="AG4936">
        <v>-1.116392405035</v>
      </c>
      <c r="AH4936">
        <v>16.6610353829414</v>
      </c>
      <c r="AI4936">
        <v>93.664307006267506</v>
      </c>
      <c r="AJ4936">
        <v>107.107221651538</v>
      </c>
      <c r="AK4936">
        <v>17.468022693587098</v>
      </c>
      <c r="AL4936">
        <v>79.682244562725899</v>
      </c>
      <c r="AM4936">
        <v>97.104425837151993</v>
      </c>
      <c r="AN4936">
        <v>0.99999998052842898</v>
      </c>
    </row>
    <row r="4937" spans="1:40" x14ac:dyDescent="0.25">
      <c r="A4937" t="str">
        <f>"20190312173030271"</f>
        <v>20190312173030271</v>
      </c>
      <c r="B4937" t="str">
        <f>"1552383030263280"</f>
        <v>1552383030263280</v>
      </c>
      <c r="C4937" t="s">
        <v>40</v>
      </c>
      <c r="D4937">
        <v>2.977071</v>
      </c>
      <c r="E4937">
        <v>0.43273509999999998</v>
      </c>
      <c r="F4937" t="s">
        <v>54</v>
      </c>
      <c r="G4937">
        <v>-408.09570000000002</v>
      </c>
      <c r="H4937" s="1">
        <v>-2.468179E-6</v>
      </c>
      <c r="I4937">
        <v>21.832450000000001</v>
      </c>
      <c r="J4937">
        <v>-418.90159999999997</v>
      </c>
      <c r="K4937">
        <v>1.116492</v>
      </c>
      <c r="L4937">
        <v>35.398959999999903</v>
      </c>
      <c r="M4937">
        <v>0.36521920000000002</v>
      </c>
      <c r="N4937">
        <v>0</v>
      </c>
      <c r="O4937">
        <v>-0.93081630000000004</v>
      </c>
      <c r="P4937">
        <v>0.46869129999999998</v>
      </c>
      <c r="Q4937">
        <v>0.16699029999999901</v>
      </c>
      <c r="R4937">
        <v>-0.8674347</v>
      </c>
      <c r="S4937">
        <v>1.938507</v>
      </c>
      <c r="T4937">
        <v>-0.1983317</v>
      </c>
      <c r="U4937">
        <v>-2.454895</v>
      </c>
      <c r="V4937">
        <v>-0.1222347</v>
      </c>
      <c r="W4937">
        <v>0.1788312</v>
      </c>
      <c r="X4937">
        <v>0.97625709999999999</v>
      </c>
      <c r="Y4937">
        <v>-0.28897489999999998</v>
      </c>
      <c r="Z4937">
        <v>6.2330900000000002E-2</v>
      </c>
      <c r="AA4937">
        <v>0.95530539999999997</v>
      </c>
      <c r="AB4937">
        <v>28</v>
      </c>
      <c r="AC4937">
        <v>10.8058999999999</v>
      </c>
      <c r="AD4937">
        <v>-1.1164944681790001</v>
      </c>
      <c r="AE4937">
        <v>-13.5665099999999</v>
      </c>
      <c r="AF4937">
        <v>-5.08299457824402</v>
      </c>
      <c r="AG4937">
        <v>-1.1164944681790001</v>
      </c>
      <c r="AH4937">
        <v>16.507668715135001</v>
      </c>
      <c r="AI4937">
        <v>93.698449668438599</v>
      </c>
      <c r="AJ4937">
        <v>107.114497446708</v>
      </c>
      <c r="AK4937">
        <v>17.308567826038601</v>
      </c>
      <c r="AL4937">
        <v>79.698311277688802</v>
      </c>
      <c r="AM4937">
        <v>97.136721391437007</v>
      </c>
      <c r="AN4937">
        <v>0.99999992263896698</v>
      </c>
    </row>
    <row r="4938" spans="1:40" x14ac:dyDescent="0.25">
      <c r="A4938" t="str">
        <f>"20190312173030294"</f>
        <v>20190312173030294</v>
      </c>
      <c r="B4938" t="str">
        <f>"1552383030282798"</f>
        <v>1552383030282798</v>
      </c>
      <c r="C4938" t="s">
        <v>40</v>
      </c>
      <c r="D4938">
        <v>2.9625020000000002</v>
      </c>
      <c r="E4938">
        <v>0.43294189999999999</v>
      </c>
      <c r="F4938" t="s">
        <v>54</v>
      </c>
      <c r="G4938">
        <v>-407.976</v>
      </c>
      <c r="H4938" s="1">
        <v>-2.5269560000000002E-6</v>
      </c>
      <c r="I4938">
        <v>21.77815</v>
      </c>
      <c r="J4938">
        <v>-418.78719999999998</v>
      </c>
      <c r="K4938">
        <v>1.116592</v>
      </c>
      <c r="L4938">
        <v>35.13306</v>
      </c>
      <c r="M4938">
        <v>0.37341669999999999</v>
      </c>
      <c r="N4938">
        <v>0</v>
      </c>
      <c r="O4938">
        <v>-0.92755750000000003</v>
      </c>
      <c r="P4938">
        <v>0.47666350000000002</v>
      </c>
      <c r="Q4938">
        <v>0.16714389999999901</v>
      </c>
      <c r="R4938">
        <v>-0.86304959999999997</v>
      </c>
      <c r="S4938">
        <v>1.956879</v>
      </c>
      <c r="T4938">
        <v>-0.19997390000000001</v>
      </c>
      <c r="U4938">
        <v>-2.4396059999999999</v>
      </c>
      <c r="V4938">
        <v>-0.1226753</v>
      </c>
      <c r="W4938">
        <v>0.17896500000000001</v>
      </c>
      <c r="X4938">
        <v>0.97617739999999997</v>
      </c>
      <c r="Y4938">
        <v>-0.28781050000000002</v>
      </c>
      <c r="Z4938">
        <v>6.2710520000000006E-2</v>
      </c>
      <c r="AA4938">
        <v>0.95563200000000004</v>
      </c>
      <c r="AB4938">
        <v>28</v>
      </c>
      <c r="AC4938">
        <v>10.8111999999999</v>
      </c>
      <c r="AD4938">
        <v>-1.116594526956</v>
      </c>
      <c r="AE4938">
        <v>-13.35491</v>
      </c>
      <c r="AF4938">
        <v>-5.0203589442696099</v>
      </c>
      <c r="AG4938">
        <v>-1.116594526956</v>
      </c>
      <c r="AH4938">
        <v>16.357071957065902</v>
      </c>
      <c r="AI4938">
        <v>93.733778079608001</v>
      </c>
      <c r="AJ4938">
        <v>107.062445851733</v>
      </c>
      <c r="AK4938">
        <v>17.146562054113598</v>
      </c>
      <c r="AL4938">
        <v>79.690520293579198</v>
      </c>
      <c r="AM4938">
        <v>97.162758007760701</v>
      </c>
      <c r="AN4938">
        <v>1.0000000083629199</v>
      </c>
    </row>
    <row r="4939" spans="1:40" x14ac:dyDescent="0.25">
      <c r="A4939" t="str">
        <f>"20190312173030316"</f>
        <v>20190312173030316</v>
      </c>
      <c r="B4939" t="str">
        <f>"1552383030312584"</f>
        <v>1552383030312584</v>
      </c>
      <c r="C4939" t="s">
        <v>40</v>
      </c>
      <c r="D4939">
        <v>3.011063</v>
      </c>
      <c r="E4939">
        <v>0.43316060000000001</v>
      </c>
      <c r="F4939" t="s">
        <v>54</v>
      </c>
      <c r="G4939">
        <v>-407.7901</v>
      </c>
      <c r="H4939" s="1">
        <v>-2.6120690000000001E-6</v>
      </c>
      <c r="I4939">
        <v>21.666060000000002</v>
      </c>
      <c r="J4939">
        <v>-418.67419999999998</v>
      </c>
      <c r="K4939">
        <v>1.116689</v>
      </c>
      <c r="L4939">
        <v>34.876890000000003</v>
      </c>
      <c r="M4939">
        <v>0.38145820000000003</v>
      </c>
      <c r="N4939">
        <v>0</v>
      </c>
      <c r="O4939">
        <v>-0.92427950000000003</v>
      </c>
      <c r="P4939">
        <v>0.48444179999999998</v>
      </c>
      <c r="Q4939">
        <v>0.16728309999999999</v>
      </c>
      <c r="R4939">
        <v>-0.85868080000000002</v>
      </c>
      <c r="S4939">
        <v>1.9781489999999999</v>
      </c>
      <c r="T4939">
        <v>-0.20085130000000001</v>
      </c>
      <c r="U4939">
        <v>-2.4224239999999999</v>
      </c>
      <c r="V4939">
        <v>-0.1230733</v>
      </c>
      <c r="W4939">
        <v>0.17908650000000001</v>
      </c>
      <c r="X4939">
        <v>0.976105</v>
      </c>
      <c r="Y4939">
        <v>-0.28784149999999997</v>
      </c>
      <c r="Z4939">
        <v>6.2850649999999994E-2</v>
      </c>
      <c r="AA4939">
        <v>0.95561339999999995</v>
      </c>
      <c r="AB4939">
        <v>28</v>
      </c>
      <c r="AC4939">
        <v>10.884099999999901</v>
      </c>
      <c r="AD4939">
        <v>-1.116691612069</v>
      </c>
      <c r="AE4939">
        <v>-13.21083</v>
      </c>
      <c r="AF4939">
        <v>-4.9997860857797596</v>
      </c>
      <c r="AG4939">
        <v>-1.116691612069</v>
      </c>
      <c r="AH4939">
        <v>16.294589076277401</v>
      </c>
      <c r="AI4939">
        <v>93.748469542331705</v>
      </c>
      <c r="AJ4939">
        <v>107.057961475618</v>
      </c>
      <c r="AK4939">
        <v>17.080939500646899</v>
      </c>
      <c r="AL4939">
        <v>79.683444365812093</v>
      </c>
      <c r="AM4939">
        <v>97.186281294795606</v>
      </c>
      <c r="AN4939">
        <v>0.99999999134007</v>
      </c>
    </row>
    <row r="4940" spans="1:40" x14ac:dyDescent="0.25">
      <c r="A4940" t="str">
        <f>"20190312173030338"</f>
        <v>20190312173030338</v>
      </c>
      <c r="B4940" t="str">
        <f>"1552383030333080"</f>
        <v>1552383030333080</v>
      </c>
      <c r="C4940" t="s">
        <v>40</v>
      </c>
      <c r="D4940">
        <v>3.0671460000000002</v>
      </c>
      <c r="E4940">
        <v>0.4311603</v>
      </c>
      <c r="F4940" t="s">
        <v>54</v>
      </c>
      <c r="G4940">
        <v>-407.66520000000003</v>
      </c>
      <c r="H4940" s="1">
        <v>-2.6769140000000001E-6</v>
      </c>
      <c r="I4940">
        <v>21.625139999999998</v>
      </c>
      <c r="J4940">
        <v>-418.55889999999999</v>
      </c>
      <c r="K4940">
        <v>1.1167929999999999</v>
      </c>
      <c r="L4940">
        <v>34.621670000000002</v>
      </c>
      <c r="M4940">
        <v>0.38961370000000001</v>
      </c>
      <c r="N4940">
        <v>0</v>
      </c>
      <c r="O4940">
        <v>-0.92087110000000005</v>
      </c>
      <c r="P4940">
        <v>0.49193809999999899</v>
      </c>
      <c r="Q4940">
        <v>0.16727339999999999</v>
      </c>
      <c r="R4940">
        <v>-0.85441019999999901</v>
      </c>
      <c r="S4940">
        <v>1.9985660000000001</v>
      </c>
      <c r="T4940">
        <v>-0.2027224</v>
      </c>
      <c r="U4940">
        <v>-2.4057010000000001</v>
      </c>
      <c r="V4940">
        <v>-0.123030399999999</v>
      </c>
      <c r="W4940">
        <v>0.17906629999999901</v>
      </c>
      <c r="X4940">
        <v>0.97611409999999998</v>
      </c>
      <c r="Y4940">
        <v>-0.2874197</v>
      </c>
      <c r="Z4940">
        <v>6.3284430000000003E-2</v>
      </c>
      <c r="AA4940">
        <v>0.9557118</v>
      </c>
      <c r="AB4940">
        <v>28</v>
      </c>
      <c r="AC4940">
        <v>10.8936999999999</v>
      </c>
      <c r="AD4940">
        <v>-1.1167956769139999</v>
      </c>
      <c r="AE4940">
        <v>-12.99653</v>
      </c>
      <c r="AF4940">
        <v>-4.9471028676221396</v>
      </c>
      <c r="AG4940">
        <v>-1.1167956769139999</v>
      </c>
      <c r="AH4940">
        <v>16.144049492819601</v>
      </c>
      <c r="AI4940">
        <v>93.784098912090698</v>
      </c>
      <c r="AJ4940">
        <v>107.036901101989</v>
      </c>
      <c r="AK4940">
        <v>16.9219204995597</v>
      </c>
      <c r="AL4940">
        <v>79.684620614164501</v>
      </c>
      <c r="AM4940">
        <v>97.183736254784506</v>
      </c>
      <c r="AN4940">
        <v>0.99999997766932902</v>
      </c>
    </row>
    <row r="4941" spans="1:40" x14ac:dyDescent="0.25">
      <c r="A4941" t="str">
        <f>"20190312173030361"</f>
        <v>20190312173030361</v>
      </c>
      <c r="B4941" t="str">
        <f>"1552383030352601"</f>
        <v>1552383030352601</v>
      </c>
      <c r="C4941" t="s">
        <v>40</v>
      </c>
      <c r="D4941">
        <v>3.0537239999999999</v>
      </c>
      <c r="E4941">
        <v>0.42913089999999998</v>
      </c>
      <c r="F4941" t="s">
        <v>54</v>
      </c>
      <c r="G4941">
        <v>-407.46780000000001</v>
      </c>
      <c r="H4941" s="1">
        <v>-2.797479E-6</v>
      </c>
      <c r="I4941">
        <v>21.641970000000001</v>
      </c>
      <c r="J4941">
        <v>-418.44240000000002</v>
      </c>
      <c r="K4941">
        <v>1.116895</v>
      </c>
      <c r="L4941">
        <v>34.370359999999998</v>
      </c>
      <c r="M4941">
        <v>0.39778269999999999</v>
      </c>
      <c r="N4941">
        <v>0</v>
      </c>
      <c r="O4941">
        <v>-0.91737150000000001</v>
      </c>
      <c r="P4941">
        <v>0.499587</v>
      </c>
      <c r="Q4941">
        <v>0.1672138</v>
      </c>
      <c r="R4941">
        <v>-0.84997239999999996</v>
      </c>
      <c r="S4941">
        <v>2.0339049999999999</v>
      </c>
      <c r="T4941">
        <v>-0.2048006</v>
      </c>
      <c r="U4941">
        <v>-2.3802490000000001</v>
      </c>
      <c r="V4941">
        <v>-0.1231559</v>
      </c>
      <c r="W4941">
        <v>0.17899309999999999</v>
      </c>
      <c r="X4941">
        <v>0.97611170000000003</v>
      </c>
      <c r="Y4941">
        <v>-0.292143599999999</v>
      </c>
      <c r="Z4941">
        <v>6.3779429999999998E-2</v>
      </c>
      <c r="AA4941">
        <v>0.95424540000000002</v>
      </c>
      <c r="AB4941">
        <v>28</v>
      </c>
      <c r="AC4941">
        <v>10.974600000000001</v>
      </c>
      <c r="AD4941">
        <v>-1.116897797479</v>
      </c>
      <c r="AE4941">
        <v>-12.7283899999999</v>
      </c>
      <c r="AF4941">
        <v>-4.98314049024233</v>
      </c>
      <c r="AG4941">
        <v>-1.116897797479</v>
      </c>
      <c r="AH4941">
        <v>15.973214395052601</v>
      </c>
      <c r="AI4941">
        <v>93.818848761724496</v>
      </c>
      <c r="AJ4941">
        <v>107.326279517263</v>
      </c>
      <c r="AK4941">
        <v>16.769696715976199</v>
      </c>
      <c r="AL4941">
        <v>79.688883544221099</v>
      </c>
      <c r="AM4941">
        <v>97.191005014543293</v>
      </c>
      <c r="AN4941">
        <v>0.99999997821465403</v>
      </c>
    </row>
    <row r="4942" spans="1:40" x14ac:dyDescent="0.25">
      <c r="A4942" t="str">
        <f>"20190312173030382"</f>
        <v>20190312173030382</v>
      </c>
      <c r="B4942" t="str">
        <f>"1552383030373097"</f>
        <v>1552383030373097</v>
      </c>
      <c r="C4942" t="s">
        <v>40</v>
      </c>
      <c r="D4942">
        <v>3.0426709999999999</v>
      </c>
      <c r="E4942">
        <v>0.42775200000000002</v>
      </c>
      <c r="F4942" t="s">
        <v>54</v>
      </c>
      <c r="G4942">
        <v>-407.11349999999999</v>
      </c>
      <c r="H4942" s="1">
        <v>-2.9722390000000001E-6</v>
      </c>
      <c r="I4942">
        <v>21.484639999999999</v>
      </c>
      <c r="J4942">
        <v>-418.32440000000003</v>
      </c>
      <c r="K4942">
        <v>1.1169990000000001</v>
      </c>
      <c r="L4942">
        <v>34.121670000000002</v>
      </c>
      <c r="M4942">
        <v>0.40600589999999998</v>
      </c>
      <c r="N4942">
        <v>0</v>
      </c>
      <c r="O4942">
        <v>-0.91376190000000002</v>
      </c>
      <c r="P4942">
        <v>0.50729929999999901</v>
      </c>
      <c r="Q4942">
        <v>0.1674485</v>
      </c>
      <c r="R4942">
        <v>-0.84534569999999998</v>
      </c>
      <c r="S4942">
        <v>2.069153</v>
      </c>
      <c r="T4942">
        <v>-0.2039936</v>
      </c>
      <c r="U4942">
        <v>-2.353485</v>
      </c>
      <c r="V4942">
        <v>-0.1233375</v>
      </c>
      <c r="W4942">
        <v>0.1792127</v>
      </c>
      <c r="X4942">
        <v>0.97604849999999999</v>
      </c>
      <c r="Y4942">
        <v>-0.29702220000000001</v>
      </c>
      <c r="Z4942">
        <v>6.3385990000000003E-2</v>
      </c>
      <c r="AA4942">
        <v>0.95276439999999996</v>
      </c>
      <c r="AB4942">
        <v>28</v>
      </c>
      <c r="AC4942">
        <v>11.210900000000001</v>
      </c>
      <c r="AD4942">
        <v>-1.1170019722390001</v>
      </c>
      <c r="AE4942">
        <v>-12.637029999999999</v>
      </c>
      <c r="AF4942">
        <v>-5.0916309490495397</v>
      </c>
      <c r="AG4942">
        <v>-1.1170019722390001</v>
      </c>
      <c r="AH4942">
        <v>16.030439282540499</v>
      </c>
      <c r="AI4942">
        <v>93.799470588395096</v>
      </c>
      <c r="AJ4942">
        <v>107.62102798965</v>
      </c>
      <c r="AK4942">
        <v>16.856671756860099</v>
      </c>
      <c r="AL4942">
        <v>79.676094851890298</v>
      </c>
      <c r="AM4942">
        <v>97.201958702570707</v>
      </c>
      <c r="AN4942">
        <v>1.0000000025498901</v>
      </c>
    </row>
    <row r="4943" spans="1:40" x14ac:dyDescent="0.25">
      <c r="A4943" t="str">
        <f>"20190312173030395"</f>
        <v>20190312173030395</v>
      </c>
      <c r="B4943" t="str">
        <f>"1552383030382857"</f>
        <v>1552383030382857</v>
      </c>
      <c r="C4943" t="s">
        <v>40</v>
      </c>
      <c r="D4943">
        <v>3.059733</v>
      </c>
      <c r="E4943">
        <v>0.42727730000000003</v>
      </c>
      <c r="F4943" t="s">
        <v>54</v>
      </c>
      <c r="G4943">
        <v>-406.7586</v>
      </c>
      <c r="H4943" s="1">
        <v>-3.1402649999999999E-6</v>
      </c>
      <c r="I4943">
        <v>21.295649999999998</v>
      </c>
      <c r="J4943">
        <v>-418.25979999999998</v>
      </c>
      <c r="K4943">
        <v>1.117054</v>
      </c>
      <c r="L4943">
        <v>33.98892</v>
      </c>
      <c r="M4943">
        <v>0.41047519999999998</v>
      </c>
      <c r="N4943">
        <v>0</v>
      </c>
      <c r="O4943">
        <v>-0.91176270000000004</v>
      </c>
      <c r="P4943">
        <v>0.51139880000000004</v>
      </c>
      <c r="Q4943">
        <v>0.1674891</v>
      </c>
      <c r="R4943">
        <v>-0.84286369999999899</v>
      </c>
      <c r="S4943">
        <v>2.0999759999999998</v>
      </c>
      <c r="T4943">
        <v>-0.20281179999999999</v>
      </c>
      <c r="U4943">
        <v>-2.3287960000000001</v>
      </c>
      <c r="V4943">
        <v>-0.1233269</v>
      </c>
      <c r="W4943">
        <v>0.17924779999999901</v>
      </c>
      <c r="X4943">
        <v>0.97604340000000001</v>
      </c>
      <c r="Y4943">
        <v>-0.30434270000000002</v>
      </c>
      <c r="Z4943">
        <v>6.2998289999999998E-2</v>
      </c>
      <c r="AA4943">
        <v>0.95047709999999996</v>
      </c>
      <c r="AB4943">
        <v>28</v>
      </c>
      <c r="AC4943">
        <v>11.5011999999999</v>
      </c>
      <c r="AD4943">
        <v>-1.117057140265</v>
      </c>
      <c r="AE4943">
        <v>-12.69327</v>
      </c>
      <c r="AF4943">
        <v>-5.2542709574129303</v>
      </c>
      <c r="AG4943">
        <v>-1.117057140265</v>
      </c>
      <c r="AH4943">
        <v>16.2268154369185</v>
      </c>
      <c r="AI4943">
        <v>93.747086871693995</v>
      </c>
      <c r="AJ4943">
        <v>107.942043063272</v>
      </c>
      <c r="AK4943">
        <v>17.092826541340301</v>
      </c>
      <c r="AL4943">
        <v>79.674050729715404</v>
      </c>
      <c r="AM4943">
        <v>97.201383475882906</v>
      </c>
      <c r="AN4943">
        <v>1.0000000083759999</v>
      </c>
    </row>
    <row r="4944" spans="1:40" x14ac:dyDescent="0.25">
      <c r="A4944" t="str">
        <f>"20190312173030407"</f>
        <v>20190312173030407</v>
      </c>
      <c r="B4944" t="str">
        <f>"1552383030403352"</f>
        <v>1552383030403352</v>
      </c>
      <c r="C4944" t="s">
        <v>40</v>
      </c>
      <c r="D4944">
        <v>3.0829140000000002</v>
      </c>
      <c r="E4944">
        <v>0.42668430000000002</v>
      </c>
      <c r="F4944" t="s">
        <v>54</v>
      </c>
      <c r="G4944">
        <v>-406.65100000000001</v>
      </c>
      <c r="H4944" s="1">
        <v>-3.1981349999999998E-6</v>
      </c>
      <c r="I4944">
        <v>21.26953</v>
      </c>
      <c r="J4944">
        <v>-418.19319999999999</v>
      </c>
      <c r="K4944">
        <v>1.11711</v>
      </c>
      <c r="L4944">
        <v>33.853029999999997</v>
      </c>
      <c r="M4944">
        <v>0.41506949999999998</v>
      </c>
      <c r="N4944">
        <v>0</v>
      </c>
      <c r="O4944">
        <v>-0.90968020000000005</v>
      </c>
      <c r="P4944">
        <v>0.51571</v>
      </c>
      <c r="Q4944">
        <v>0.16736519999999999</v>
      </c>
      <c r="R4944">
        <v>-0.84025740000000004</v>
      </c>
      <c r="S4944">
        <v>2.1145019999999999</v>
      </c>
      <c r="T4944">
        <v>-0.20346880000000001</v>
      </c>
      <c r="U4944">
        <v>-2.3168030000000002</v>
      </c>
      <c r="V4944">
        <v>-0.1234156</v>
      </c>
      <c r="W4944">
        <v>0.179117</v>
      </c>
      <c r="X4944">
        <v>0.97605620000000004</v>
      </c>
      <c r="Y4944">
        <v>-0.30523430000000001</v>
      </c>
      <c r="Z4944">
        <v>6.3108750000000005E-2</v>
      </c>
      <c r="AA4944">
        <v>0.95018389999999997</v>
      </c>
      <c r="AB4944">
        <v>28</v>
      </c>
      <c r="AC4944">
        <v>11.5421999999999</v>
      </c>
      <c r="AD4944">
        <v>-1.117113198135</v>
      </c>
      <c r="AE4944">
        <v>-12.5834999999999</v>
      </c>
      <c r="AF4944">
        <v>-5.2547186628066997</v>
      </c>
      <c r="AG4944">
        <v>-1.117113198135</v>
      </c>
      <c r="AH4944">
        <v>16.170183491333201</v>
      </c>
      <c r="AI4944">
        <v>93.759082409563604</v>
      </c>
      <c r="AJ4944">
        <v>108.00226764368399</v>
      </c>
      <c r="AK4944">
        <v>17.039214895824301</v>
      </c>
      <c r="AL4944">
        <v>79.681668295220604</v>
      </c>
      <c r="AM4944">
        <v>97.206414956968203</v>
      </c>
      <c r="AN4944">
        <v>1.0000000077853901</v>
      </c>
    </row>
    <row r="4945" spans="1:40" x14ac:dyDescent="0.25">
      <c r="A4945" t="str">
        <f>"20190312173030419"</f>
        <v>20190312173030419</v>
      </c>
      <c r="B4945" t="str">
        <f>"1552383030413113"</f>
        <v>1552383030413113</v>
      </c>
      <c r="C4945" t="s">
        <v>40</v>
      </c>
      <c r="D4945">
        <v>3.049226</v>
      </c>
      <c r="E4945">
        <v>0.42638110000000001</v>
      </c>
      <c r="F4945" t="s">
        <v>54</v>
      </c>
      <c r="G4945">
        <v>-406.63459999999998</v>
      </c>
      <c r="H4945" s="1">
        <v>-3.2275680000000002E-6</v>
      </c>
      <c r="I4945">
        <v>21.358170000000001</v>
      </c>
      <c r="J4945">
        <v>-418.1234</v>
      </c>
      <c r="K4945">
        <v>1.1171660000000001</v>
      </c>
      <c r="L4945">
        <v>33.712800000000001</v>
      </c>
      <c r="M4945">
        <v>0.4198597</v>
      </c>
      <c r="N4945">
        <v>0</v>
      </c>
      <c r="O4945">
        <v>-0.90747900000000004</v>
      </c>
      <c r="P4945">
        <v>0.52019179999999998</v>
      </c>
      <c r="Q4945">
        <v>0.1675982</v>
      </c>
      <c r="R4945">
        <v>-0.83744359999999995</v>
      </c>
      <c r="S4945">
        <v>2.13089</v>
      </c>
      <c r="T4945">
        <v>-0.20594609999999999</v>
      </c>
      <c r="U4945">
        <v>-2.3034970000000001</v>
      </c>
      <c r="V4945">
        <v>-0.1235333</v>
      </c>
      <c r="W4945">
        <v>0.17934120000000001</v>
      </c>
      <c r="X4945">
        <v>0.97600010000000004</v>
      </c>
      <c r="Y4945">
        <v>-0.30656299999999997</v>
      </c>
      <c r="Z4945">
        <v>6.3772969999999998E-2</v>
      </c>
      <c r="AA4945">
        <v>0.94971159999999999</v>
      </c>
      <c r="AB4945">
        <v>28</v>
      </c>
      <c r="AC4945">
        <v>11.488799999999999</v>
      </c>
      <c r="AD4945">
        <v>-1.1171692275680001</v>
      </c>
      <c r="AE4945">
        <v>-12.35463</v>
      </c>
      <c r="AF4945">
        <v>-5.2162838352982703</v>
      </c>
      <c r="AG4945">
        <v>-1.1171692275680001</v>
      </c>
      <c r="AH4945">
        <v>15.9668399843705</v>
      </c>
      <c r="AI4945">
        <v>93.805070857042793</v>
      </c>
      <c r="AJ4945">
        <v>108.09194663154</v>
      </c>
      <c r="AK4945">
        <v>16.834419004525</v>
      </c>
      <c r="AL4945">
        <v>79.668610743857101</v>
      </c>
      <c r="AM4945">
        <v>97.213625519721901</v>
      </c>
      <c r="AN4945">
        <v>0.99999996871316899</v>
      </c>
    </row>
    <row r="4946" spans="1:40" x14ac:dyDescent="0.25">
      <c r="A4946" t="str">
        <f>"20190312173030432"</f>
        <v>20190312173030432</v>
      </c>
      <c r="B4946" t="str">
        <f>"1552383030422873"</f>
        <v>1552383030422873</v>
      </c>
      <c r="C4946" t="s">
        <v>40</v>
      </c>
      <c r="D4946">
        <v>3.0374279999999998</v>
      </c>
      <c r="E4946">
        <v>0.42607200000000001</v>
      </c>
      <c r="F4946" t="s">
        <v>54</v>
      </c>
      <c r="G4946">
        <v>-406.46789999999999</v>
      </c>
      <c r="H4946" s="1">
        <v>-3.305815E-6</v>
      </c>
      <c r="I4946">
        <v>21.26641</v>
      </c>
      <c r="J4946">
        <v>-418.05430000000001</v>
      </c>
      <c r="K4946">
        <v>1.117219</v>
      </c>
      <c r="L4946">
        <v>33.575959999999903</v>
      </c>
      <c r="M4946">
        <v>0.42458560000000001</v>
      </c>
      <c r="N4946">
        <v>0</v>
      </c>
      <c r="O4946">
        <v>-0.9052772</v>
      </c>
      <c r="P4946">
        <v>0.52460240000000002</v>
      </c>
      <c r="Q4946">
        <v>0.1676301</v>
      </c>
      <c r="R4946">
        <v>-0.83468120000000001</v>
      </c>
      <c r="S4946">
        <v>2.1453250000000001</v>
      </c>
      <c r="T4946">
        <v>-0.20562720000000001</v>
      </c>
      <c r="U4946">
        <v>-2.2908940000000002</v>
      </c>
      <c r="V4946">
        <v>-0.1236202</v>
      </c>
      <c r="W4946">
        <v>0.179367</v>
      </c>
      <c r="X4946">
        <v>0.97598439999999997</v>
      </c>
      <c r="Y4946">
        <v>-0.30740450000000002</v>
      </c>
      <c r="Z4946">
        <v>6.3579789999999997E-2</v>
      </c>
      <c r="AA4946">
        <v>0.94945250000000003</v>
      </c>
      <c r="AB4946">
        <v>28</v>
      </c>
      <c r="AC4946">
        <v>11.586399999999999</v>
      </c>
      <c r="AD4946">
        <v>-1.1172223058149999</v>
      </c>
      <c r="AE4946">
        <v>-12.3095499999999</v>
      </c>
      <c r="AF4946">
        <v>-5.24008542337425</v>
      </c>
      <c r="AG4946">
        <v>-1.1172223058149999</v>
      </c>
      <c r="AH4946">
        <v>15.994720388666099</v>
      </c>
      <c r="AI4946">
        <v>93.797609526956194</v>
      </c>
      <c r="AJ4946">
        <v>108.139491447048</v>
      </c>
      <c r="AK4946">
        <v>16.868247129932701</v>
      </c>
      <c r="AL4946">
        <v>79.667108597471099</v>
      </c>
      <c r="AM4946">
        <v>97.218761360266001</v>
      </c>
      <c r="AN4946">
        <v>1.0000000117901999</v>
      </c>
    </row>
    <row r="4947" spans="1:40" x14ac:dyDescent="0.25">
      <c r="A4947" t="str">
        <f>"20190312173030445"</f>
        <v>20190312173030445</v>
      </c>
      <c r="B4947" t="str">
        <f>"1552383030432633"</f>
        <v>1552383030432633</v>
      </c>
      <c r="C4947" t="s">
        <v>40</v>
      </c>
      <c r="D4947">
        <v>3.0430489999999999</v>
      </c>
      <c r="E4947">
        <v>0.42586669999999999</v>
      </c>
      <c r="F4947" t="s">
        <v>54</v>
      </c>
      <c r="G4947">
        <v>-406.33280000000002</v>
      </c>
      <c r="H4947" s="1">
        <v>-3.3737730000000001E-6</v>
      </c>
      <c r="I4947">
        <v>21.212389999999999</v>
      </c>
      <c r="J4947">
        <v>-417.98669999999998</v>
      </c>
      <c r="K4947">
        <v>1.117265</v>
      </c>
      <c r="L4947">
        <v>33.443359999999998</v>
      </c>
      <c r="M4947">
        <v>0.42918230000000002</v>
      </c>
      <c r="N4947">
        <v>0</v>
      </c>
      <c r="O4947">
        <v>-0.90310679999999999</v>
      </c>
      <c r="P4947">
        <v>0.52900950000000002</v>
      </c>
      <c r="Q4947">
        <v>0.16758679999999901</v>
      </c>
      <c r="R4947">
        <v>-0.83190350000000002</v>
      </c>
      <c r="S4947">
        <v>2.1597599999999999</v>
      </c>
      <c r="T4947">
        <v>-0.20585629999999999</v>
      </c>
      <c r="U4947">
        <v>-2.278076</v>
      </c>
      <c r="V4947">
        <v>-0.1238378</v>
      </c>
      <c r="W4947">
        <v>0.1793149</v>
      </c>
      <c r="X4947">
        <v>0.97596640000000001</v>
      </c>
      <c r="Y4947">
        <v>-0.3084037</v>
      </c>
      <c r="Z4947">
        <v>6.3559640000000001E-2</v>
      </c>
      <c r="AA4947">
        <v>0.94912980000000002</v>
      </c>
      <c r="AB4947">
        <v>28</v>
      </c>
      <c r="AC4947">
        <v>11.653899999999901</v>
      </c>
      <c r="AD4947">
        <v>-1.117268373773</v>
      </c>
      <c r="AE4947">
        <v>-12.230969999999999</v>
      </c>
      <c r="AF4947">
        <v>-5.2529551827097096</v>
      </c>
      <c r="AG4947">
        <v>-1.117268373773</v>
      </c>
      <c r="AH4947">
        <v>15.9792421837376</v>
      </c>
      <c r="AI4947">
        <v>93.800172998804797</v>
      </c>
      <c r="AJ4947">
        <v>108.197565535763</v>
      </c>
      <c r="AK4947">
        <v>16.857580121035401</v>
      </c>
      <c r="AL4947">
        <v>79.670143030307202</v>
      </c>
      <c r="AM4947">
        <v>97.231465606980905</v>
      </c>
      <c r="AN4947">
        <v>1.0000000239999001</v>
      </c>
    </row>
    <row r="4948" spans="1:40" x14ac:dyDescent="0.25">
      <c r="A4948" t="str">
        <f>"20190312173030456"</f>
        <v>20190312173030456</v>
      </c>
      <c r="B4948" t="str">
        <f>"1552383030453129"</f>
        <v>1552383030453129</v>
      </c>
      <c r="C4948" t="s">
        <v>40</v>
      </c>
      <c r="D4948">
        <v>3.047396</v>
      </c>
      <c r="E4948">
        <v>0.42562800000000001</v>
      </c>
      <c r="F4948" t="s">
        <v>54</v>
      </c>
      <c r="G4948">
        <v>-406.24130000000002</v>
      </c>
      <c r="H4948" s="1">
        <v>-3.424424E-6</v>
      </c>
      <c r="I4948">
        <v>21.1965</v>
      </c>
      <c r="J4948">
        <v>-417.9178</v>
      </c>
      <c r="K4948">
        <v>1.1173120000000001</v>
      </c>
      <c r="L4948">
        <v>33.310670000000002</v>
      </c>
      <c r="M4948">
        <v>0.43384529999999899</v>
      </c>
      <c r="N4948">
        <v>0</v>
      </c>
      <c r="O4948">
        <v>-0.90087600000000001</v>
      </c>
      <c r="P4948">
        <v>0.53336519999999898</v>
      </c>
      <c r="Q4948">
        <v>0.16758819999999999</v>
      </c>
      <c r="R4948">
        <v>-0.82911769999999996</v>
      </c>
      <c r="S4948">
        <v>2.1731569999999998</v>
      </c>
      <c r="T4948">
        <v>-0.20671829999999999</v>
      </c>
      <c r="U4948">
        <v>-2.26593</v>
      </c>
      <c r="V4948">
        <v>-0.1239328</v>
      </c>
      <c r="W4948">
        <v>0.17931069999999999</v>
      </c>
      <c r="X4948">
        <v>0.97595509999999996</v>
      </c>
      <c r="Y4948">
        <v>-0.30894270000000001</v>
      </c>
      <c r="Z4948">
        <v>6.3726050000000006E-2</v>
      </c>
      <c r="AA4948">
        <v>0.94894330000000005</v>
      </c>
      <c r="AB4948">
        <v>28</v>
      </c>
      <c r="AC4948">
        <v>11.6764999999999</v>
      </c>
      <c r="AD4948">
        <v>-1.117315424424</v>
      </c>
      <c r="AE4948">
        <v>-12.11417</v>
      </c>
      <c r="AF4948">
        <v>-5.2408200320322003</v>
      </c>
      <c r="AG4948">
        <v>-1.117315424424</v>
      </c>
      <c r="AH4948">
        <v>15.9106003636343</v>
      </c>
      <c r="AI4948">
        <v>93.815939080469903</v>
      </c>
      <c r="AJ4948">
        <v>108.231455060812</v>
      </c>
      <c r="AK4948">
        <v>16.788740044955301</v>
      </c>
      <c r="AL4948">
        <v>79.670387507989403</v>
      </c>
      <c r="AM4948">
        <v>97.237037210629495</v>
      </c>
      <c r="AN4948">
        <v>1.00000001163317</v>
      </c>
    </row>
    <row r="4949" spans="1:40" x14ac:dyDescent="0.25">
      <c r="A4949" t="str">
        <f>"20190312173030468"</f>
        <v>20190312173030468</v>
      </c>
      <c r="B4949" t="str">
        <f>"1552383030462889"</f>
        <v>1552383030462889</v>
      </c>
      <c r="C4949" t="s">
        <v>40</v>
      </c>
      <c r="D4949">
        <v>3.0301840000000002</v>
      </c>
      <c r="E4949">
        <v>0.42555349999999997</v>
      </c>
      <c r="F4949" t="s">
        <v>54</v>
      </c>
      <c r="G4949">
        <v>-406.16770000000002</v>
      </c>
      <c r="H4949" s="1">
        <v>-3.469008E-6</v>
      </c>
      <c r="I4949">
        <v>21.2012</v>
      </c>
      <c r="J4949">
        <v>-417.8458</v>
      </c>
      <c r="K4949">
        <v>1.1173599999999999</v>
      </c>
      <c r="L4949">
        <v>33.173549999999999</v>
      </c>
      <c r="M4949">
        <v>0.43868740000000001</v>
      </c>
      <c r="N4949">
        <v>0</v>
      </c>
      <c r="O4949">
        <v>-0.89852799999999999</v>
      </c>
      <c r="P4949">
        <v>0.53769540000000005</v>
      </c>
      <c r="Q4949">
        <v>0.1673422</v>
      </c>
      <c r="R4949">
        <v>-0.82636559999999903</v>
      </c>
      <c r="S4949">
        <v>2.1867369999999999</v>
      </c>
      <c r="T4949">
        <v>-0.2079377</v>
      </c>
      <c r="U4949">
        <v>-2.2536320000000001</v>
      </c>
      <c r="V4949">
        <v>-0.1237803</v>
      </c>
      <c r="W4949">
        <v>0.17906440000000001</v>
      </c>
      <c r="X4949">
        <v>0.97601970000000005</v>
      </c>
      <c r="Y4949">
        <v>-0.30934460000000003</v>
      </c>
      <c r="Z4949">
        <v>6.3990920000000007E-2</v>
      </c>
      <c r="AA4949">
        <v>0.94879449999999999</v>
      </c>
      <c r="AB4949">
        <v>28</v>
      </c>
      <c r="AC4949">
        <v>11.678099999999899</v>
      </c>
      <c r="AD4949">
        <v>-1.1173634690080001</v>
      </c>
      <c r="AE4949">
        <v>-11.97235</v>
      </c>
      <c r="AF4949">
        <v>-5.2182156489504301</v>
      </c>
      <c r="AG4949">
        <v>-1.1173634690080001</v>
      </c>
      <c r="AH4949">
        <v>15.811547246899</v>
      </c>
      <c r="AI4949">
        <v>93.839216132203603</v>
      </c>
      <c r="AJ4949">
        <v>108.264213580166</v>
      </c>
      <c r="AK4949">
        <v>16.687818971385799</v>
      </c>
      <c r="AL4949">
        <v>79.684731897899397</v>
      </c>
      <c r="AM4949">
        <v>97.227752883176805</v>
      </c>
      <c r="AN4949">
        <v>1.00000003840176</v>
      </c>
    </row>
    <row r="4950" spans="1:40" x14ac:dyDescent="0.25">
      <c r="A4950" t="str">
        <f>"20190312173030483"</f>
        <v>20190312173030483</v>
      </c>
      <c r="B4950" t="str">
        <f>"1552383030472648"</f>
        <v>1552383030472648</v>
      </c>
      <c r="C4950" t="s">
        <v>40</v>
      </c>
      <c r="D4950">
        <v>3.052648</v>
      </c>
      <c r="E4950">
        <v>0.42553089999999999</v>
      </c>
      <c r="F4950" t="s">
        <v>54</v>
      </c>
      <c r="G4950">
        <v>-406.12299999999999</v>
      </c>
      <c r="H4950" s="1">
        <v>-3.4998069999999999E-6</v>
      </c>
      <c r="I4950">
        <v>21.22053</v>
      </c>
      <c r="J4950">
        <v>-417.76229999999998</v>
      </c>
      <c r="K4950">
        <v>1.1174059999999999</v>
      </c>
      <c r="L4950">
        <v>33.016449999999999</v>
      </c>
      <c r="M4950">
        <v>0.44427100000000003</v>
      </c>
      <c r="N4950">
        <v>0</v>
      </c>
      <c r="O4950">
        <v>-0.89577999999999902</v>
      </c>
      <c r="P4950">
        <v>0.54298269999999904</v>
      </c>
      <c r="Q4950">
        <v>0.16757849999999999</v>
      </c>
      <c r="R4950">
        <v>-0.82285359999999996</v>
      </c>
      <c r="S4950">
        <v>2.1988530000000002</v>
      </c>
      <c r="T4950">
        <v>-0.2095842</v>
      </c>
      <c r="U4950">
        <v>-2.242035</v>
      </c>
      <c r="V4950">
        <v>-0.12401239999999999</v>
      </c>
      <c r="W4950">
        <v>0.17929200000000001</v>
      </c>
      <c r="X4950">
        <v>0.97594840000000005</v>
      </c>
      <c r="Y4950">
        <v>-0.30847380000000002</v>
      </c>
      <c r="Z4950">
        <v>6.4354899999999896E-2</v>
      </c>
      <c r="AA4950">
        <v>0.94905340000000005</v>
      </c>
      <c r="AB4950">
        <v>28</v>
      </c>
      <c r="AC4950">
        <v>11.639299999999899</v>
      </c>
      <c r="AD4950">
        <v>-1.1174094998070001</v>
      </c>
      <c r="AE4950">
        <v>-11.795920000000001</v>
      </c>
      <c r="AF4950">
        <v>-5.1627160648271904</v>
      </c>
      <c r="AG4950">
        <v>-1.1174094998070001</v>
      </c>
      <c r="AH4950">
        <v>15.667900830887101</v>
      </c>
      <c r="AI4950">
        <v>93.875060666814804</v>
      </c>
      <c r="AJ4950">
        <v>108.237522452731</v>
      </c>
      <c r="AK4950">
        <v>16.5343689810889</v>
      </c>
      <c r="AL4950">
        <v>79.671476342119902</v>
      </c>
      <c r="AM4950">
        <v>97.241685298855899</v>
      </c>
      <c r="AN4950">
        <v>0.99999998804015999</v>
      </c>
    </row>
    <row r="4951" spans="1:40" x14ac:dyDescent="0.25">
      <c r="A4951" t="str">
        <f>"20190312173030498"</f>
        <v>20190312173030498</v>
      </c>
      <c r="B4951" t="str">
        <f>"1552383030493144"</f>
        <v>1552383030493144</v>
      </c>
      <c r="C4951" t="s">
        <v>40</v>
      </c>
      <c r="D4951">
        <v>3.05504</v>
      </c>
      <c r="E4951">
        <v>0.42565209999999998</v>
      </c>
      <c r="F4951" t="s">
        <v>54</v>
      </c>
      <c r="G4951">
        <v>-405.95490000000001</v>
      </c>
      <c r="H4951" s="1">
        <v>-3.5802640000000001E-6</v>
      </c>
      <c r="I4951">
        <v>21.13503</v>
      </c>
      <c r="J4951">
        <v>-417.67720000000003</v>
      </c>
      <c r="K4951">
        <v>1.117456</v>
      </c>
      <c r="L4951">
        <v>32.85962</v>
      </c>
      <c r="M4951">
        <v>0.44991750000000003</v>
      </c>
      <c r="N4951">
        <v>0</v>
      </c>
      <c r="O4951">
        <v>-0.89295720000000001</v>
      </c>
      <c r="P4951">
        <v>0.54832799999999904</v>
      </c>
      <c r="Q4951">
        <v>0.16750570000000001</v>
      </c>
      <c r="R4951">
        <v>-0.81931589999999999</v>
      </c>
      <c r="S4951">
        <v>2.2138059999999999</v>
      </c>
      <c r="T4951">
        <v>-0.20950730000000001</v>
      </c>
      <c r="U4951">
        <v>-2.2276919999999998</v>
      </c>
      <c r="V4951">
        <v>-0.124219</v>
      </c>
      <c r="W4951">
        <v>0.17921219999999999</v>
      </c>
      <c r="X4951">
        <v>0.97593680000000005</v>
      </c>
      <c r="Y4951">
        <v>-0.3087357</v>
      </c>
      <c r="Z4951">
        <v>6.4201439999999999E-2</v>
      </c>
      <c r="AA4951">
        <v>0.94897869999999995</v>
      </c>
      <c r="AB4951">
        <v>28</v>
      </c>
      <c r="AC4951">
        <v>11.722300000000001</v>
      </c>
      <c r="AD4951">
        <v>-1.1174595802639999</v>
      </c>
      <c r="AE4951">
        <v>-11.724589999999999</v>
      </c>
      <c r="AF4951">
        <v>-5.16945388246726</v>
      </c>
      <c r="AG4951">
        <v>-1.1174595802639999</v>
      </c>
      <c r="AH4951">
        <v>15.6740090012993</v>
      </c>
      <c r="AI4951">
        <v>93.873382066971402</v>
      </c>
      <c r="AJ4951">
        <v>108.253101857923</v>
      </c>
      <c r="AK4951">
        <v>16.542264885114399</v>
      </c>
      <c r="AL4951">
        <v>79.676123997742707</v>
      </c>
      <c r="AM4951">
        <v>97.253706583057706</v>
      </c>
      <c r="AN4951">
        <v>1.0000000050920399</v>
      </c>
    </row>
    <row r="4952" spans="1:40" x14ac:dyDescent="0.25">
      <c r="A4952" t="str">
        <f>"20190312173030518"</f>
        <v>20190312173030518</v>
      </c>
      <c r="B4952" t="str">
        <f>"1552383030512664"</f>
        <v>1552383030512664</v>
      </c>
      <c r="C4952" t="s">
        <v>40</v>
      </c>
      <c r="D4952">
        <v>3.0078330000000002</v>
      </c>
      <c r="E4952">
        <v>0.42586570000000001</v>
      </c>
      <c r="F4952" t="s">
        <v>54</v>
      </c>
      <c r="G4952">
        <v>-405.92169999999999</v>
      </c>
      <c r="H4952" s="1">
        <v>-3.6090460000000001E-6</v>
      </c>
      <c r="I4952">
        <v>21.17615</v>
      </c>
      <c r="J4952">
        <v>-417.56049999999999</v>
      </c>
      <c r="K4952">
        <v>1.1175219999999999</v>
      </c>
      <c r="L4952">
        <v>32.648099999999999</v>
      </c>
      <c r="M4952">
        <v>0.45759080000000002</v>
      </c>
      <c r="N4952">
        <v>0</v>
      </c>
      <c r="O4952">
        <v>-0.88904919999999998</v>
      </c>
      <c r="P4952">
        <v>0.55537959999999997</v>
      </c>
      <c r="Q4952">
        <v>0.16812969999999999</v>
      </c>
      <c r="R4952">
        <v>-0.81442369999999897</v>
      </c>
      <c r="S4952">
        <v>2.2276609999999999</v>
      </c>
      <c r="T4952">
        <v>-0.2117589</v>
      </c>
      <c r="U4952">
        <v>-2.2140200000000001</v>
      </c>
      <c r="V4952">
        <v>-0.124336</v>
      </c>
      <c r="W4952">
        <v>0.17982909999999999</v>
      </c>
      <c r="X4952">
        <v>0.97580840000000002</v>
      </c>
      <c r="Y4952">
        <v>-0.30639889999999997</v>
      </c>
      <c r="Z4952">
        <v>6.4666589999999996E-2</v>
      </c>
      <c r="AA4952">
        <v>0.94970410000000005</v>
      </c>
      <c r="AB4952">
        <v>28</v>
      </c>
      <c r="AC4952">
        <v>11.6388</v>
      </c>
      <c r="AD4952">
        <v>-1.117525609046</v>
      </c>
      <c r="AE4952">
        <v>-11.47195</v>
      </c>
      <c r="AF4952">
        <v>-5.0747916810559399</v>
      </c>
      <c r="AG4952">
        <v>-1.117525609046</v>
      </c>
      <c r="AH4952">
        <v>15.454238121490601</v>
      </c>
      <c r="AI4952">
        <v>93.930193862131105</v>
      </c>
      <c r="AJ4952">
        <v>108.17890809315701</v>
      </c>
      <c r="AK4952">
        <v>16.304473312828001</v>
      </c>
      <c r="AL4952">
        <v>79.640194368017006</v>
      </c>
      <c r="AM4952">
        <v>97.261411027758498</v>
      </c>
      <c r="AN4952">
        <v>0.99999998980668503</v>
      </c>
    </row>
    <row r="4953" spans="1:40" x14ac:dyDescent="0.25">
      <c r="A4953" t="str">
        <f>"20190312173030539"</f>
        <v>20190312173030539</v>
      </c>
      <c r="B4953" t="str">
        <f>"1552383030533160"</f>
        <v>1552383030533160</v>
      </c>
      <c r="C4953" t="s">
        <v>40</v>
      </c>
      <c r="D4953">
        <v>3.0001289999999998</v>
      </c>
      <c r="E4953">
        <v>0.42610799999999999</v>
      </c>
      <c r="F4953" t="s">
        <v>54</v>
      </c>
      <c r="G4953">
        <v>-405.69290000000001</v>
      </c>
      <c r="H4953" s="1">
        <v>-3.7153499999999999E-6</v>
      </c>
      <c r="I4953">
        <v>21.045100000000001</v>
      </c>
      <c r="J4953">
        <v>-417.42649999999998</v>
      </c>
      <c r="K4953">
        <v>1.117597</v>
      </c>
      <c r="L4953">
        <v>32.410220000000002</v>
      </c>
      <c r="M4953">
        <v>0.4663175</v>
      </c>
      <c r="N4953">
        <v>0</v>
      </c>
      <c r="O4953">
        <v>-0.88450280000000003</v>
      </c>
      <c r="P4953">
        <v>0.56362309999999904</v>
      </c>
      <c r="Q4953">
        <v>0.16834579999999999</v>
      </c>
      <c r="R4953">
        <v>-0.80869559999999996</v>
      </c>
      <c r="S4953">
        <v>2.245819</v>
      </c>
      <c r="T4953">
        <v>-0.21147940000000001</v>
      </c>
      <c r="U4953">
        <v>-2.1957399999999998</v>
      </c>
      <c r="V4953">
        <v>-0.1247016</v>
      </c>
      <c r="W4953">
        <v>0.18003359999999999</v>
      </c>
      <c r="X4953">
        <v>0.97572400000000004</v>
      </c>
      <c r="Y4953">
        <v>-0.30483569999999999</v>
      </c>
      <c r="Z4953">
        <v>6.4340410000000001E-2</v>
      </c>
      <c r="AA4953">
        <v>0.9502292</v>
      </c>
      <c r="AB4953">
        <v>28</v>
      </c>
      <c r="AC4953">
        <v>11.7335999999999</v>
      </c>
      <c r="AD4953">
        <v>-1.1176007153500001</v>
      </c>
      <c r="AE4953">
        <v>-11.365119999999999</v>
      </c>
      <c r="AF4953">
        <v>-5.0554991137204199</v>
      </c>
      <c r="AG4953">
        <v>-1.1176007153500001</v>
      </c>
      <c r="AH4953">
        <v>15.453304436756699</v>
      </c>
      <c r="AI4953">
        <v>93.932118980141894</v>
      </c>
      <c r="AJ4953">
        <v>108.11534299082901</v>
      </c>
      <c r="AK4953">
        <v>16.2975986164485</v>
      </c>
      <c r="AL4953">
        <v>79.628282613995097</v>
      </c>
      <c r="AM4953">
        <v>97.283156905743397</v>
      </c>
      <c r="AN4953">
        <v>0.99999995517375895</v>
      </c>
    </row>
    <row r="4954" spans="1:40" x14ac:dyDescent="0.25">
      <c r="A4954" t="str">
        <f>"20190312173030552"</f>
        <v>20190312173030552</v>
      </c>
      <c r="B4954" t="str">
        <f>"1552383030542921"</f>
        <v>1552383030542921</v>
      </c>
      <c r="C4954" t="s">
        <v>40</v>
      </c>
      <c r="D4954">
        <v>3.017109</v>
      </c>
      <c r="E4954">
        <v>0.42626180000000002</v>
      </c>
      <c r="F4954" t="s">
        <v>54</v>
      </c>
      <c r="G4954">
        <v>-405.5095</v>
      </c>
      <c r="H4954" s="1">
        <v>-3.797443E-6</v>
      </c>
      <c r="I4954">
        <v>20.977519999999998</v>
      </c>
      <c r="J4954">
        <v>-417.35059999999999</v>
      </c>
      <c r="K4954">
        <v>1.1176360000000001</v>
      </c>
      <c r="L4954">
        <v>32.278379999999999</v>
      </c>
      <c r="M4954">
        <v>0.47120879999999998</v>
      </c>
      <c r="N4954">
        <v>0</v>
      </c>
      <c r="O4954">
        <v>-0.88190669999999904</v>
      </c>
      <c r="P4954">
        <v>0.56820479999999995</v>
      </c>
      <c r="Q4954">
        <v>0.16849739999999999</v>
      </c>
      <c r="R4954">
        <v>-0.80545169999999999</v>
      </c>
      <c r="S4954">
        <v>2.2664179999999998</v>
      </c>
      <c r="T4954">
        <v>-0.21254970000000001</v>
      </c>
      <c r="U4954">
        <v>-2.1743160000000001</v>
      </c>
      <c r="V4954">
        <v>-0.12487230000000001</v>
      </c>
      <c r="W4954">
        <v>0.18017939999999999</v>
      </c>
      <c r="X4954">
        <v>0.97567530000000002</v>
      </c>
      <c r="Y4954">
        <v>-0.30853589999999997</v>
      </c>
      <c r="Z4954">
        <v>6.4607079999999997E-2</v>
      </c>
      <c r="AA4954">
        <v>0.94901610000000003</v>
      </c>
      <c r="AB4954">
        <v>28</v>
      </c>
      <c r="AC4954">
        <v>11.8410999999999</v>
      </c>
      <c r="AD4954">
        <v>-1.1176397974429999</v>
      </c>
      <c r="AE4954">
        <v>-11.300859999999901</v>
      </c>
      <c r="AF4954">
        <v>-5.0944481979519196</v>
      </c>
      <c r="AG4954">
        <v>-1.1176397974429999</v>
      </c>
      <c r="AH4954">
        <v>15.475361361173499</v>
      </c>
      <c r="AI4954">
        <v>93.924291666663194</v>
      </c>
      <c r="AJ4954">
        <v>108.221408726646</v>
      </c>
      <c r="AK4954">
        <v>16.330625536621199</v>
      </c>
      <c r="AL4954">
        <v>79.6197904730912</v>
      </c>
      <c r="AM4954">
        <v>97.293379424222493</v>
      </c>
      <c r="AN4954">
        <v>0.99999999926087002</v>
      </c>
    </row>
    <row r="4955" spans="1:40" x14ac:dyDescent="0.25">
      <c r="A4955" t="str">
        <f>"20190312173030564"</f>
        <v>20190312173030564</v>
      </c>
      <c r="B4955" t="str">
        <f>"1552383030552681"</f>
        <v>1552383030552681</v>
      </c>
      <c r="C4955" t="s">
        <v>40</v>
      </c>
      <c r="D4955">
        <v>3.0044759999999999</v>
      </c>
      <c r="E4955">
        <v>0.42642469999999999</v>
      </c>
      <c r="F4955" t="s">
        <v>54</v>
      </c>
      <c r="G4955">
        <v>-405.37580000000003</v>
      </c>
      <c r="H4955" s="1">
        <v>-3.8527929999999998E-6</v>
      </c>
      <c r="I4955">
        <v>20.910350000000001</v>
      </c>
      <c r="J4955">
        <v>-417.27480000000003</v>
      </c>
      <c r="K4955">
        <v>1.1176759999999999</v>
      </c>
      <c r="L4955">
        <v>32.147799999999997</v>
      </c>
      <c r="M4955">
        <v>0.47606809999999999</v>
      </c>
      <c r="N4955">
        <v>0</v>
      </c>
      <c r="O4955">
        <v>-0.87929310000000005</v>
      </c>
      <c r="P4955">
        <v>0.57274239999999998</v>
      </c>
      <c r="Q4955">
        <v>0.16833219999999999</v>
      </c>
      <c r="R4955">
        <v>-0.80226640000000005</v>
      </c>
      <c r="S4955">
        <v>2.2777099999999999</v>
      </c>
      <c r="T4955">
        <v>-0.2125841</v>
      </c>
      <c r="U4955">
        <v>-2.1622919999999999</v>
      </c>
      <c r="V4955">
        <v>-0.12499390000000001</v>
      </c>
      <c r="W4955">
        <v>0.18000959999999999</v>
      </c>
      <c r="X4955">
        <v>0.97569110000000003</v>
      </c>
      <c r="Y4955">
        <v>-0.30827529999999997</v>
      </c>
      <c r="Z4955">
        <v>6.4491439999999997E-2</v>
      </c>
      <c r="AA4955">
        <v>0.94910859999999997</v>
      </c>
      <c r="AB4955">
        <v>28</v>
      </c>
      <c r="AC4955">
        <v>11.898999999999999</v>
      </c>
      <c r="AD4955">
        <v>-1.1176798527930001</v>
      </c>
      <c r="AE4955">
        <v>-11.2374499999999</v>
      </c>
      <c r="AF4955">
        <v>-5.0896996174218199</v>
      </c>
      <c r="AG4955">
        <v>-1.1176798527930001</v>
      </c>
      <c r="AH4955">
        <v>15.475154085964499</v>
      </c>
      <c r="AI4955">
        <v>93.924835585378801</v>
      </c>
      <c r="AJ4955">
        <v>108.205772948367</v>
      </c>
      <c r="AK4955">
        <v>16.3289511124648</v>
      </c>
      <c r="AL4955">
        <v>79.629681303133395</v>
      </c>
      <c r="AM4955">
        <v>97.300288150939096</v>
      </c>
      <c r="AN4955">
        <v>1.0000000268742799</v>
      </c>
    </row>
    <row r="4956" spans="1:40" x14ac:dyDescent="0.25">
      <c r="A4956" t="str">
        <f>"20190312173030576"</f>
        <v>20190312173030576</v>
      </c>
      <c r="B4956" t="str">
        <f>"1552383030573177"</f>
        <v>1552383030573177</v>
      </c>
      <c r="C4956" t="s">
        <v>40</v>
      </c>
      <c r="D4956">
        <v>3.1226989999999999</v>
      </c>
      <c r="E4956">
        <v>0.42683789999999999</v>
      </c>
      <c r="F4956" t="s">
        <v>54</v>
      </c>
      <c r="G4956">
        <v>-405.31349999999998</v>
      </c>
      <c r="H4956" s="1">
        <v>-3.8843969999999997E-6</v>
      </c>
      <c r="I4956">
        <v>20.911940000000001</v>
      </c>
      <c r="J4956">
        <v>-417.19959999999998</v>
      </c>
      <c r="K4956">
        <v>1.1177109999999999</v>
      </c>
      <c r="L4956">
        <v>32.020690000000002</v>
      </c>
      <c r="M4956">
        <v>0.48085020000000001</v>
      </c>
      <c r="N4956">
        <v>0</v>
      </c>
      <c r="O4956">
        <v>-0.87668679999999999</v>
      </c>
      <c r="P4956">
        <v>0.5771984</v>
      </c>
      <c r="Q4956">
        <v>0.16846069999999999</v>
      </c>
      <c r="R4956">
        <v>-0.79903880000000005</v>
      </c>
      <c r="S4956">
        <v>2.2889710000000001</v>
      </c>
      <c r="T4956">
        <v>-0.21388460000000001</v>
      </c>
      <c r="U4956">
        <v>-2.1501459999999999</v>
      </c>
      <c r="V4956">
        <v>-0.1251427</v>
      </c>
      <c r="W4956">
        <v>0.18013299999999999</v>
      </c>
      <c r="X4956">
        <v>0.97564919999999999</v>
      </c>
      <c r="Y4956">
        <v>-0.30808340000000001</v>
      </c>
      <c r="Z4956">
        <v>6.4758780000000002E-2</v>
      </c>
      <c r="AA4956">
        <v>0.94915269999999996</v>
      </c>
      <c r="AB4956">
        <v>28</v>
      </c>
      <c r="AC4956">
        <v>11.886100000000001</v>
      </c>
      <c r="AD4956">
        <v>-1.117714884397</v>
      </c>
      <c r="AE4956">
        <v>-11.108750000000001</v>
      </c>
      <c r="AF4956">
        <v>-5.0553976629586401</v>
      </c>
      <c r="AG4956">
        <v>-1.117714884397</v>
      </c>
      <c r="AH4956">
        <v>15.3832915870445</v>
      </c>
      <c r="AI4956">
        <v>93.948632887221606</v>
      </c>
      <c r="AJ4956">
        <v>108.192029328636</v>
      </c>
      <c r="AK4956">
        <v>16.231204272803801</v>
      </c>
      <c r="AL4956">
        <v>79.622492988680307</v>
      </c>
      <c r="AM4956">
        <v>97.309195410606407</v>
      </c>
      <c r="AN4956">
        <v>0.99999997725646395</v>
      </c>
    </row>
    <row r="4957" spans="1:40" x14ac:dyDescent="0.25">
      <c r="A4957" t="str">
        <f>"20190312173030588"</f>
        <v>20190312173030588</v>
      </c>
      <c r="B4957" t="str">
        <f>"1552383030582936"</f>
        <v>1552383030582936</v>
      </c>
      <c r="C4957" t="s">
        <v>40</v>
      </c>
      <c r="D4957">
        <v>2.9903580000000001</v>
      </c>
      <c r="E4957">
        <v>0.42707079999999997</v>
      </c>
      <c r="F4957" t="s">
        <v>54</v>
      </c>
      <c r="G4957">
        <v>-405.23860000000002</v>
      </c>
      <c r="H4957" s="1">
        <v>-3.9175420000000001E-6</v>
      </c>
      <c r="I4957">
        <v>20.886320000000001</v>
      </c>
      <c r="J4957">
        <v>-417.1268</v>
      </c>
      <c r="K4957">
        <v>1.1177490000000001</v>
      </c>
      <c r="L4957">
        <v>31.898800000000001</v>
      </c>
      <c r="M4957">
        <v>0.48545319999999997</v>
      </c>
      <c r="N4957">
        <v>0</v>
      </c>
      <c r="O4957">
        <v>-0.87414609999999904</v>
      </c>
      <c r="P4957">
        <v>0.58142660000000002</v>
      </c>
      <c r="Q4957">
        <v>0.16852400000000001</v>
      </c>
      <c r="R4957">
        <v>-0.79595389999999999</v>
      </c>
      <c r="S4957">
        <v>2.29834</v>
      </c>
      <c r="T4957">
        <v>-0.2147715</v>
      </c>
      <c r="U4957">
        <v>-2.1394959999999998</v>
      </c>
      <c r="V4957">
        <v>-0.12520970000000001</v>
      </c>
      <c r="W4957">
        <v>0.18019260000000001</v>
      </c>
      <c r="X4957">
        <v>0.97562959999999999</v>
      </c>
      <c r="Y4957">
        <v>-0.3073572</v>
      </c>
      <c r="Z4957">
        <v>6.4898750000000005E-2</v>
      </c>
      <c r="AA4957">
        <v>0.94937859999999996</v>
      </c>
      <c r="AB4957">
        <v>28</v>
      </c>
      <c r="AC4957">
        <v>11.8881999999999</v>
      </c>
      <c r="AD4957">
        <v>-1.11775291754199</v>
      </c>
      <c r="AE4957">
        <v>-11.01248</v>
      </c>
      <c r="AF4957">
        <v>-5.0225985962278097</v>
      </c>
      <c r="AG4957">
        <v>-1.11775291754199</v>
      </c>
      <c r="AH4957">
        <v>15.326333378852199</v>
      </c>
      <c r="AI4957">
        <v>93.964470691461301</v>
      </c>
      <c r="AJ4957">
        <v>108.144507224055</v>
      </c>
      <c r="AK4957">
        <v>16.167014662058701</v>
      </c>
      <c r="AL4957">
        <v>79.619021373833505</v>
      </c>
      <c r="AM4957">
        <v>97.313211646179099</v>
      </c>
      <c r="AN4957">
        <v>0.99999997923250405</v>
      </c>
    </row>
    <row r="4958" spans="1:40" x14ac:dyDescent="0.25">
      <c r="A4958" t="str">
        <f>"20190312173030599"</f>
        <v>20190312173030599</v>
      </c>
      <c r="B4958" t="str">
        <f>"1552383030592697"</f>
        <v>1552383030592697</v>
      </c>
      <c r="C4958" t="s">
        <v>40</v>
      </c>
      <c r="D4958">
        <v>2.9876040000000001</v>
      </c>
      <c r="E4958">
        <v>0.42725940000000001</v>
      </c>
      <c r="F4958" t="s">
        <v>54</v>
      </c>
      <c r="G4958">
        <v>-405.1592</v>
      </c>
      <c r="H4958" s="1">
        <v>-3.9533799999999996E-6</v>
      </c>
      <c r="I4958">
        <v>20.86326</v>
      </c>
      <c r="J4958">
        <v>-417.05160000000001</v>
      </c>
      <c r="K4958">
        <v>1.1177870000000001</v>
      </c>
      <c r="L4958">
        <v>31.774260000000002</v>
      </c>
      <c r="M4958">
        <v>0.49018060000000002</v>
      </c>
      <c r="N4958">
        <v>0</v>
      </c>
      <c r="O4958">
        <v>-0.87150380000000005</v>
      </c>
      <c r="P4958">
        <v>0.58579060000000005</v>
      </c>
      <c r="Q4958">
        <v>0.16861889999999999</v>
      </c>
      <c r="R4958">
        <v>-0.79272759999999998</v>
      </c>
      <c r="S4958">
        <v>2.308319</v>
      </c>
      <c r="T4958">
        <v>-0.2155926</v>
      </c>
      <c r="U4958">
        <v>-2.1285400000000001</v>
      </c>
      <c r="V4958">
        <v>-0.12531310000000001</v>
      </c>
      <c r="W4958">
        <v>0.180284</v>
      </c>
      <c r="X4958">
        <v>0.97559949999999995</v>
      </c>
      <c r="Y4958">
        <v>-0.3066759</v>
      </c>
      <c r="Z4958">
        <v>6.5006519999999998E-2</v>
      </c>
      <c r="AA4958">
        <v>0.94959150000000003</v>
      </c>
      <c r="AB4958">
        <v>28</v>
      </c>
      <c r="AC4958">
        <v>11.8924</v>
      </c>
      <c r="AD4958">
        <v>-1.1177909533799999</v>
      </c>
      <c r="AE4958">
        <v>-10.9109999999999</v>
      </c>
      <c r="AF4958">
        <v>-4.9924755076629701</v>
      </c>
      <c r="AG4958">
        <v>-1.1177909533799999</v>
      </c>
      <c r="AH4958">
        <v>15.266736375818599</v>
      </c>
      <c r="AI4958">
        <v>93.980846178229399</v>
      </c>
      <c r="AJ4958">
        <v>108.108601546752</v>
      </c>
      <c r="AK4958">
        <v>16.101164798821699</v>
      </c>
      <c r="AL4958">
        <v>79.613697975873393</v>
      </c>
      <c r="AM4958">
        <v>97.319408910480703</v>
      </c>
      <c r="AN4958">
        <v>1.0000000390439201</v>
      </c>
    </row>
    <row r="4959" spans="1:40" x14ac:dyDescent="0.25">
      <c r="A4959" t="str">
        <f>"20190312173030612"</f>
        <v>20190312173030612</v>
      </c>
      <c r="B4959" t="str">
        <f>"1552383030602457"</f>
        <v>1552383030602457</v>
      </c>
      <c r="C4959" t="s">
        <v>40</v>
      </c>
      <c r="D4959">
        <v>2.98786</v>
      </c>
      <c r="E4959">
        <v>0.42746800000000001</v>
      </c>
      <c r="F4959" t="s">
        <v>54</v>
      </c>
      <c r="G4959">
        <v>-405.05950000000001</v>
      </c>
      <c r="H4959" s="1">
        <v>-3.9969359999999999E-6</v>
      </c>
      <c r="I4959">
        <v>20.826049999999999</v>
      </c>
      <c r="J4959">
        <v>-416.97649999999999</v>
      </c>
      <c r="K4959">
        <v>1.1178189999999999</v>
      </c>
      <c r="L4959">
        <v>31.651949999999999</v>
      </c>
      <c r="M4959">
        <v>0.49486069999999999</v>
      </c>
      <c r="N4959">
        <v>0</v>
      </c>
      <c r="O4959">
        <v>-0.86885480000000004</v>
      </c>
      <c r="P4959">
        <v>0.58995839999999999</v>
      </c>
      <c r="Q4959">
        <v>0.16892699999999999</v>
      </c>
      <c r="R4959">
        <v>-0.78956499999999996</v>
      </c>
      <c r="S4959">
        <v>2.3187869999999999</v>
      </c>
      <c r="T4959">
        <v>-0.21613589999999999</v>
      </c>
      <c r="U4959">
        <v>-2.116943</v>
      </c>
      <c r="V4959">
        <v>-0.1252586</v>
      </c>
      <c r="W4959">
        <v>0.18059030000000001</v>
      </c>
      <c r="X4959">
        <v>0.97554980000000002</v>
      </c>
      <c r="Y4959">
        <v>-0.30627779999999999</v>
      </c>
      <c r="Z4959">
        <v>6.5033939999999998E-2</v>
      </c>
      <c r="AA4959">
        <v>0.94971810000000001</v>
      </c>
      <c r="AB4959">
        <v>28</v>
      </c>
      <c r="AC4959">
        <v>11.9169999999999</v>
      </c>
      <c r="AD4959">
        <v>-1.1178229969360001</v>
      </c>
      <c r="AE4959">
        <v>-10.825900000000001</v>
      </c>
      <c r="AF4959">
        <v>-4.9733667385944402</v>
      </c>
      <c r="AG4959">
        <v>-1.1178229969360001</v>
      </c>
      <c r="AH4959">
        <v>15.231530485896901</v>
      </c>
      <c r="AI4959">
        <v>93.990717395310298</v>
      </c>
      <c r="AJ4959">
        <v>108.082785127695</v>
      </c>
      <c r="AK4959">
        <v>16.061862467093999</v>
      </c>
      <c r="AL4959">
        <v>79.595854934304896</v>
      </c>
      <c r="AM4959">
        <v>97.316628812393404</v>
      </c>
      <c r="AN4959">
        <v>0.99999999280404495</v>
      </c>
    </row>
    <row r="4960" spans="1:40" x14ac:dyDescent="0.25">
      <c r="A4960" t="str">
        <f>"20190312173030623"</f>
        <v>20190312173030623</v>
      </c>
      <c r="B4960" t="str">
        <f>"1552383030613194"</f>
        <v>1552383030613194</v>
      </c>
      <c r="C4960" t="s">
        <v>40</v>
      </c>
      <c r="D4960">
        <v>2.9769389999999998</v>
      </c>
      <c r="E4960">
        <v>0.42746800000000001</v>
      </c>
      <c r="F4960" t="s">
        <v>54</v>
      </c>
      <c r="G4960">
        <v>-404.90410000000003</v>
      </c>
      <c r="H4960" s="1">
        <v>-4.0574229999999999E-6</v>
      </c>
      <c r="I4960">
        <v>20.73781</v>
      </c>
      <c r="J4960">
        <v>-416.89949999999999</v>
      </c>
      <c r="K4960">
        <v>1.117853</v>
      </c>
      <c r="L4960">
        <v>31.527249999999999</v>
      </c>
      <c r="M4960">
        <v>0.49963950000000001</v>
      </c>
      <c r="N4960">
        <v>0</v>
      </c>
      <c r="O4960">
        <v>-0.86611559999999899</v>
      </c>
      <c r="P4960">
        <v>0.59431859999999903</v>
      </c>
      <c r="Q4960">
        <v>0.1690151</v>
      </c>
      <c r="R4960">
        <v>-0.78626969999999996</v>
      </c>
      <c r="S4960">
        <v>2.3289490000000002</v>
      </c>
      <c r="T4960">
        <v>-0.21564469999999999</v>
      </c>
      <c r="U4960">
        <v>-2.105499</v>
      </c>
      <c r="V4960">
        <v>-0.12530959999999999</v>
      </c>
      <c r="W4960">
        <v>0.18067559999999999</v>
      </c>
      <c r="X4960">
        <v>0.97552749999999999</v>
      </c>
      <c r="Y4960">
        <v>-0.30567670000000002</v>
      </c>
      <c r="Z4960">
        <v>6.4743239999999994E-2</v>
      </c>
      <c r="AA4960">
        <v>0.94993159999999999</v>
      </c>
      <c r="AB4960">
        <v>28</v>
      </c>
      <c r="AC4960">
        <v>11.995399999999901</v>
      </c>
      <c r="AD4960">
        <v>-1.117857057423</v>
      </c>
      <c r="AE4960">
        <v>-10.789440000000001</v>
      </c>
      <c r="AF4960">
        <v>-4.97519899026413</v>
      </c>
      <c r="AG4960">
        <v>-1.117857057423</v>
      </c>
      <c r="AH4960">
        <v>15.2665551101744</v>
      </c>
      <c r="AI4960">
        <v>93.982448469194594</v>
      </c>
      <c r="AJ4960">
        <v>108.050207888366</v>
      </c>
      <c r="AK4960">
        <v>16.095648925270002</v>
      </c>
      <c r="AL4960">
        <v>79.590886318210593</v>
      </c>
      <c r="AM4960">
        <v>97.319741040504198</v>
      </c>
      <c r="AN4960">
        <v>1.0000000357718799</v>
      </c>
    </row>
    <row r="4961" spans="1:40" x14ac:dyDescent="0.25">
      <c r="A4961" t="str">
        <f>"20190312173030635"</f>
        <v>20190312173030635</v>
      </c>
      <c r="B4961" t="str">
        <f>"1552383030632713"</f>
        <v>1552383030632713</v>
      </c>
      <c r="C4961" t="s">
        <v>40</v>
      </c>
      <c r="D4961">
        <v>3.0325869999999999</v>
      </c>
      <c r="E4961">
        <v>0.43679449999999997</v>
      </c>
      <c r="F4961" t="s">
        <v>54</v>
      </c>
      <c r="G4961">
        <v>-404.73860000000002</v>
      </c>
      <c r="H4961" s="1">
        <v>-4.1200679999999997E-6</v>
      </c>
      <c r="I4961">
        <v>20.656580000000002</v>
      </c>
      <c r="J4961">
        <v>-416.82100000000003</v>
      </c>
      <c r="K4961">
        <v>1.1178870000000001</v>
      </c>
      <c r="L4961">
        <v>31.402950000000001</v>
      </c>
      <c r="M4961">
        <v>0.50445870000000004</v>
      </c>
      <c r="N4961">
        <v>0</v>
      </c>
      <c r="O4961">
        <v>-0.86331729999999995</v>
      </c>
      <c r="P4961">
        <v>0.59866549999999996</v>
      </c>
      <c r="Q4961">
        <v>0.168934</v>
      </c>
      <c r="R4961">
        <v>-0.78298219999999996</v>
      </c>
      <c r="S4961">
        <v>2.3407900000000001</v>
      </c>
      <c r="T4961">
        <v>-0.21517040000000001</v>
      </c>
      <c r="U4961">
        <v>-2.092438</v>
      </c>
      <c r="V4961">
        <v>-0.1252817</v>
      </c>
      <c r="W4961">
        <v>0.18059410000000001</v>
      </c>
      <c r="X4961">
        <v>0.97554609999999997</v>
      </c>
      <c r="Y4961">
        <v>-0.30571769999999998</v>
      </c>
      <c r="Z4961">
        <v>6.4461290000000004E-2</v>
      </c>
      <c r="AA4961">
        <v>0.94993760000000005</v>
      </c>
      <c r="AB4961">
        <v>28</v>
      </c>
      <c r="AC4961">
        <v>12.0823999999999</v>
      </c>
      <c r="AD4961">
        <v>-1.117891120068</v>
      </c>
      <c r="AE4961">
        <v>-10.746370000000001</v>
      </c>
      <c r="AF4961">
        <v>-4.98652493247919</v>
      </c>
      <c r="AG4961">
        <v>-1.117891120068</v>
      </c>
      <c r="AH4961">
        <v>15.3010414945067</v>
      </c>
      <c r="AI4961">
        <v>93.973615416631603</v>
      </c>
      <c r="AJ4961">
        <v>108.05050312134</v>
      </c>
      <c r="AK4961">
        <v>16.1318623312741</v>
      </c>
      <c r="AL4961">
        <v>79.595633259961303</v>
      </c>
      <c r="AM4961">
        <v>97.317990963002501</v>
      </c>
      <c r="AN4961">
        <v>0.999999963267454</v>
      </c>
    </row>
    <row r="4962" spans="1:40" x14ac:dyDescent="0.25">
      <c r="A4962" t="str">
        <f>"20190312173030651"</f>
        <v>20190312173030651</v>
      </c>
      <c r="B4962" t="str">
        <f>"1552383030642473"</f>
        <v>1552383030642473</v>
      </c>
      <c r="C4962" t="s">
        <v>40</v>
      </c>
      <c r="D4962">
        <v>3.04637</v>
      </c>
      <c r="E4962">
        <v>0.43679449999999997</v>
      </c>
      <c r="F4962" t="s">
        <v>54</v>
      </c>
      <c r="G4962">
        <v>-406.35379999999998</v>
      </c>
      <c r="H4962" s="1">
        <v>-3.4714459999999999E-6</v>
      </c>
      <c r="I4962">
        <v>21.707380000000001</v>
      </c>
      <c r="J4962">
        <v>-416.72109999999998</v>
      </c>
      <c r="K4962">
        <v>1.1179300000000001</v>
      </c>
      <c r="L4962">
        <v>31.246120000000001</v>
      </c>
      <c r="M4962">
        <v>0.51056120000000005</v>
      </c>
      <c r="N4962">
        <v>0</v>
      </c>
      <c r="O4962">
        <v>-0.85972209999999905</v>
      </c>
      <c r="P4962">
        <v>0.60411459999999995</v>
      </c>
      <c r="Q4962">
        <v>0.16883239999999999</v>
      </c>
      <c r="R4962">
        <v>-0.77880760000000004</v>
      </c>
      <c r="S4962">
        <v>2.2973330000000001</v>
      </c>
      <c r="T4962">
        <v>-0.24535180000000001</v>
      </c>
      <c r="U4962">
        <v>-2.1279599999999999</v>
      </c>
      <c r="V4962">
        <v>-0.12518399999999999</v>
      </c>
      <c r="W4962">
        <v>0.18049319999999999</v>
      </c>
      <c r="X4962">
        <v>0.97557740000000004</v>
      </c>
      <c r="Y4962">
        <v>-0.28156360000000002</v>
      </c>
      <c r="Z4962">
        <v>7.293057E-2</v>
      </c>
      <c r="AA4962">
        <v>0.95676700000000003</v>
      </c>
      <c r="AB4962">
        <v>28</v>
      </c>
      <c r="AC4962">
        <v>10.3673</v>
      </c>
      <c r="AD4962">
        <v>-1.1179334714460001</v>
      </c>
      <c r="AE4962">
        <v>-9.53873999999999</v>
      </c>
      <c r="AF4962">
        <v>-4.01799946032616</v>
      </c>
      <c r="AG4962">
        <v>-1.1179334714460001</v>
      </c>
      <c r="AH4962">
        <v>13.4107424517436</v>
      </c>
      <c r="AI4962">
        <v>94.565606484452005</v>
      </c>
      <c r="AJ4962">
        <v>106.67876881679</v>
      </c>
      <c r="AK4962">
        <v>14.044290940334299</v>
      </c>
      <c r="AL4962">
        <v>79.601511865743404</v>
      </c>
      <c r="AM4962">
        <v>97.312113806585202</v>
      </c>
      <c r="AN4962">
        <v>1.00000004624649</v>
      </c>
    </row>
    <row r="4963" spans="1:40" x14ac:dyDescent="0.25">
      <c r="A4963" t="str">
        <f>"20190312173030662"</f>
        <v>20190312173030662</v>
      </c>
      <c r="B4963" t="str">
        <f>"1552383030653209"</f>
        <v>1552383030653209</v>
      </c>
      <c r="C4963" t="s">
        <v>40</v>
      </c>
      <c r="D4963">
        <v>3.0616940000000001</v>
      </c>
      <c r="E4963">
        <v>0.4210853</v>
      </c>
      <c r="F4963" t="s">
        <v>54</v>
      </c>
      <c r="G4963">
        <v>-406.21350000000001</v>
      </c>
      <c r="H4963" s="1">
        <v>-3.5407950000000001E-6</v>
      </c>
      <c r="I4963">
        <v>21.645849999999999</v>
      </c>
      <c r="J4963">
        <v>-416.64019999999999</v>
      </c>
      <c r="K4963">
        <v>1.117961</v>
      </c>
      <c r="L4963">
        <v>31.12067</v>
      </c>
      <c r="M4963">
        <v>0.51545959999999902</v>
      </c>
      <c r="N4963">
        <v>0</v>
      </c>
      <c r="O4963">
        <v>-0.85679439999999996</v>
      </c>
      <c r="P4963">
        <v>0.60857280000000002</v>
      </c>
      <c r="Q4963">
        <v>0.16890729999999901</v>
      </c>
      <c r="R4963">
        <v>-0.77531300000000003</v>
      </c>
      <c r="S4963">
        <v>2.3117679999999998</v>
      </c>
      <c r="T4963">
        <v>-0.24595610000000001</v>
      </c>
      <c r="U4963">
        <v>-2.112152</v>
      </c>
      <c r="V4963">
        <v>-0.12523679999999901</v>
      </c>
      <c r="W4963">
        <v>0.18056639999999999</v>
      </c>
      <c r="X4963">
        <v>0.97555700000000001</v>
      </c>
      <c r="Y4963">
        <v>-0.28262280000000001</v>
      </c>
      <c r="Z4963">
        <v>7.2960300000000006E-2</v>
      </c>
      <c r="AA4963">
        <v>0.95645239999999998</v>
      </c>
      <c r="AB4963">
        <v>28</v>
      </c>
      <c r="AC4963">
        <v>10.426699999999901</v>
      </c>
      <c r="AD4963">
        <v>-1.1179645407950001</v>
      </c>
      <c r="AE4963">
        <v>-9.4748199999999994</v>
      </c>
      <c r="AF4963">
        <v>-4.0247229539973901</v>
      </c>
      <c r="AG4963">
        <v>-1.1179645407950001</v>
      </c>
      <c r="AH4963">
        <v>13.409459947979601</v>
      </c>
      <c r="AI4963">
        <v>94.565504614236502</v>
      </c>
      <c r="AJ4963">
        <v>106.706633008176</v>
      </c>
      <c r="AK4963">
        <v>14.0449939717814</v>
      </c>
      <c r="AL4963">
        <v>79.597246957399406</v>
      </c>
      <c r="AM4963">
        <v>97.315315816048695</v>
      </c>
      <c r="AN4963">
        <v>0.99999997056609902</v>
      </c>
    </row>
    <row r="4964" spans="1:40" x14ac:dyDescent="0.25">
      <c r="A4964" t="str">
        <f>"20190312173030674"</f>
        <v>20190312173030674</v>
      </c>
      <c r="B4964" t="str">
        <f>"1552383030662970"</f>
        <v>1552383030662970</v>
      </c>
      <c r="C4964" t="s">
        <v>40</v>
      </c>
      <c r="D4964">
        <v>3.0458419999999999</v>
      </c>
      <c r="E4964">
        <v>0.41921029999999998</v>
      </c>
      <c r="F4964" t="s">
        <v>54</v>
      </c>
      <c r="G4964">
        <v>-403.88440000000003</v>
      </c>
      <c r="H4964" s="1">
        <v>-4.4860620000000004E-6</v>
      </c>
      <c r="I4964">
        <v>20.477499999999999</v>
      </c>
      <c r="J4964">
        <v>-416.56659999999999</v>
      </c>
      <c r="K4964">
        <v>1.1179840000000001</v>
      </c>
      <c r="L4964">
        <v>31.008700000000001</v>
      </c>
      <c r="M4964">
        <v>0.51987759999999905</v>
      </c>
      <c r="N4964">
        <v>0</v>
      </c>
      <c r="O4964">
        <v>-0.8541204</v>
      </c>
      <c r="P4964">
        <v>0.61260459999999906</v>
      </c>
      <c r="Q4964">
        <v>0.1686165</v>
      </c>
      <c r="R4964">
        <v>-0.77219459999999995</v>
      </c>
      <c r="S4964">
        <v>2.4180600000000001</v>
      </c>
      <c r="T4964">
        <v>-0.2119278</v>
      </c>
      <c r="U4964">
        <v>-2.0175779999999999</v>
      </c>
      <c r="V4964">
        <v>-0.1252548</v>
      </c>
      <c r="W4964">
        <v>0.18027560000000001</v>
      </c>
      <c r="X4964">
        <v>0.97560849999999999</v>
      </c>
      <c r="Y4964">
        <v>-0.32102740000000002</v>
      </c>
      <c r="Z4964">
        <v>6.3136769999999995E-2</v>
      </c>
      <c r="AA4964">
        <v>0.944963</v>
      </c>
      <c r="AB4964">
        <v>28</v>
      </c>
      <c r="AC4964">
        <v>12.6821999999999</v>
      </c>
      <c r="AD4964">
        <v>-1.117988486062</v>
      </c>
      <c r="AE4964">
        <v>-10.5312</v>
      </c>
      <c r="AF4964">
        <v>-5.33321132020078</v>
      </c>
      <c r="AG4964">
        <v>-1.117988486062</v>
      </c>
      <c r="AH4964">
        <v>15.5183302090857</v>
      </c>
      <c r="AI4964">
        <v>93.897642628448907</v>
      </c>
      <c r="AJ4964">
        <v>108.96639685409301</v>
      </c>
      <c r="AK4964">
        <v>16.447237267064299</v>
      </c>
      <c r="AL4964">
        <v>79.614186878716097</v>
      </c>
      <c r="AM4964">
        <v>97.315973809992002</v>
      </c>
      <c r="AN4964">
        <v>1.0000000010753201</v>
      </c>
    </row>
    <row r="4965" spans="1:40" x14ac:dyDescent="0.25">
      <c r="A4965" t="str">
        <f>"20190312173030686"</f>
        <v>20190312173030686</v>
      </c>
      <c r="B4965" t="str">
        <f>"1552383030682489"</f>
        <v>1552383030682489</v>
      </c>
      <c r="C4965" t="s">
        <v>40</v>
      </c>
      <c r="D4965">
        <v>3.0660810000000001</v>
      </c>
      <c r="E4965">
        <v>0.41797220000000002</v>
      </c>
      <c r="F4965" t="s">
        <v>54</v>
      </c>
      <c r="G4965">
        <v>-403.39170000000001</v>
      </c>
      <c r="H4965" s="1">
        <v>-4.67225E-6</v>
      </c>
      <c r="I4965">
        <v>20.23413</v>
      </c>
      <c r="J4965">
        <v>-416.48700000000002</v>
      </c>
      <c r="K4965">
        <v>1.1180099999999999</v>
      </c>
      <c r="L4965">
        <v>30.888339999999999</v>
      </c>
      <c r="M4965">
        <v>0.52462810000000004</v>
      </c>
      <c r="N4965">
        <v>0</v>
      </c>
      <c r="O4965">
        <v>-0.85121080000000005</v>
      </c>
      <c r="P4965">
        <v>0.61678409999999995</v>
      </c>
      <c r="Q4965">
        <v>0.16865269999999999</v>
      </c>
      <c r="R4965">
        <v>-0.76885249999999905</v>
      </c>
      <c r="S4965">
        <v>2.4393919999999998</v>
      </c>
      <c r="T4965">
        <v>-0.2070012</v>
      </c>
      <c r="U4965">
        <v>-1.9949650000000001</v>
      </c>
      <c r="V4965">
        <v>-0.1251283</v>
      </c>
      <c r="W4965">
        <v>0.18031359999999999</v>
      </c>
      <c r="X4965">
        <v>0.97561770000000003</v>
      </c>
      <c r="Y4965">
        <v>-0.32513890000000001</v>
      </c>
      <c r="Z4965">
        <v>6.1572269999999998E-2</v>
      </c>
      <c r="AA4965">
        <v>0.94365969999999999</v>
      </c>
      <c r="AB4965">
        <v>28</v>
      </c>
      <c r="AC4965">
        <v>13.0952999999999</v>
      </c>
      <c r="AD4965">
        <v>-1.11801467225</v>
      </c>
      <c r="AE4965">
        <v>-10.654210000000001</v>
      </c>
      <c r="AF4965">
        <v>-5.53366433427869</v>
      </c>
      <c r="AG4965">
        <v>-1.11801467225</v>
      </c>
      <c r="AH4965">
        <v>15.8711709987193</v>
      </c>
      <c r="AI4965">
        <v>93.805482398101802</v>
      </c>
      <c r="AJ4965">
        <v>109.22169037020601</v>
      </c>
      <c r="AK4965">
        <v>16.845339611964601</v>
      </c>
      <c r="AL4965">
        <v>79.611973261555704</v>
      </c>
      <c r="AM4965">
        <v>97.308596860726595</v>
      </c>
      <c r="AN4965">
        <v>0.99999999117956995</v>
      </c>
    </row>
    <row r="4966" spans="1:40" x14ac:dyDescent="0.25">
      <c r="A4966" t="str">
        <f>"20190312173030700"</f>
        <v>20190312173030700</v>
      </c>
      <c r="B4966" t="str">
        <f>"1552383030693225"</f>
        <v>1552383030693225</v>
      </c>
      <c r="C4966" t="s">
        <v>40</v>
      </c>
      <c r="D4966">
        <v>3.0683950000000002</v>
      </c>
      <c r="E4966">
        <v>0.41808260000000003</v>
      </c>
      <c r="F4966" t="s">
        <v>54</v>
      </c>
      <c r="G4966">
        <v>-403.15929999999997</v>
      </c>
      <c r="H4966" s="1">
        <v>-4.7707260000000002E-6</v>
      </c>
      <c r="I4966">
        <v>20.179110000000001</v>
      </c>
      <c r="J4966">
        <v>-416.39339999999999</v>
      </c>
      <c r="K4966">
        <v>1.1180380000000001</v>
      </c>
      <c r="L4966">
        <v>30.749110000000002</v>
      </c>
      <c r="M4966">
        <v>0.53016169999999996</v>
      </c>
      <c r="N4966">
        <v>0</v>
      </c>
      <c r="O4966">
        <v>-0.84777539999999996</v>
      </c>
      <c r="P4966">
        <v>0.62148590000000004</v>
      </c>
      <c r="Q4966">
        <v>0.168761299999999</v>
      </c>
      <c r="R4966">
        <v>-0.76503330000000003</v>
      </c>
      <c r="S4966">
        <v>2.4581300000000001</v>
      </c>
      <c r="T4966">
        <v>-0.20620450000000001</v>
      </c>
      <c r="U4966">
        <v>-1.9751890000000001</v>
      </c>
      <c r="V4966">
        <v>-0.1247813</v>
      </c>
      <c r="W4966">
        <v>0.18042939999999999</v>
      </c>
      <c r="X4966">
        <v>0.97564070000000003</v>
      </c>
      <c r="Y4966">
        <v>-0.32712940000000001</v>
      </c>
      <c r="Z4966">
        <v>6.116941E-2</v>
      </c>
      <c r="AA4966">
        <v>0.94299770000000005</v>
      </c>
      <c r="AB4966">
        <v>28</v>
      </c>
      <c r="AC4966">
        <v>13.2341</v>
      </c>
      <c r="AD4966">
        <v>-1.1180427707259999</v>
      </c>
      <c r="AE4966">
        <v>-10.569999999999901</v>
      </c>
      <c r="AF4966">
        <v>-5.59194530156398</v>
      </c>
      <c r="AG4966">
        <v>-1.1180427707259999</v>
      </c>
      <c r="AH4966">
        <v>15.9095146919071</v>
      </c>
      <c r="AI4966">
        <v>93.793101772339696</v>
      </c>
      <c r="AJ4966">
        <v>109.365776405245</v>
      </c>
      <c r="AK4966">
        <v>16.900666543804299</v>
      </c>
      <c r="AL4966">
        <v>79.605227429509696</v>
      </c>
      <c r="AM4966">
        <v>97.288377267518698</v>
      </c>
      <c r="AN4966">
        <v>0.999999958355269</v>
      </c>
    </row>
    <row r="4967" spans="1:40" x14ac:dyDescent="0.25">
      <c r="A4967" t="str">
        <f>"20190312173030713"</f>
        <v>20190312173030713</v>
      </c>
      <c r="B4967" t="str">
        <f>"1552383030702985"</f>
        <v>1552383030702985</v>
      </c>
      <c r="C4967" t="s">
        <v>40</v>
      </c>
      <c r="D4967">
        <v>3.070916</v>
      </c>
      <c r="E4967">
        <v>0.41821269999999999</v>
      </c>
      <c r="F4967" t="s">
        <v>54</v>
      </c>
      <c r="G4967">
        <v>-403.06479999999999</v>
      </c>
      <c r="H4967" s="1">
        <v>-4.8123490000000004E-6</v>
      </c>
      <c r="I4967">
        <v>20.16574</v>
      </c>
      <c r="J4967">
        <v>-416.30070000000001</v>
      </c>
      <c r="K4967">
        <v>1.1180639999999999</v>
      </c>
      <c r="L4967">
        <v>30.61337</v>
      </c>
      <c r="M4967">
        <v>0.53558839999999996</v>
      </c>
      <c r="N4967">
        <v>0</v>
      </c>
      <c r="O4967">
        <v>-0.84435720000000003</v>
      </c>
      <c r="P4967">
        <v>0.62646299999999999</v>
      </c>
      <c r="Q4967">
        <v>0.16873460000000001</v>
      </c>
      <c r="R4967">
        <v>-0.76096869999999905</v>
      </c>
      <c r="S4967">
        <v>2.4695740000000002</v>
      </c>
      <c r="T4967">
        <v>-0.20715629999999999</v>
      </c>
      <c r="U4967">
        <v>-1.9609380000000001</v>
      </c>
      <c r="V4967">
        <v>-0.124895899999999</v>
      </c>
      <c r="W4967">
        <v>0.1804008</v>
      </c>
      <c r="X4967">
        <v>0.97563140000000004</v>
      </c>
      <c r="Y4967">
        <v>-0.32652540000000002</v>
      </c>
      <c r="Z4967">
        <v>6.1274439999999999E-2</v>
      </c>
      <c r="AA4967">
        <v>0.94320020000000004</v>
      </c>
      <c r="AB4967">
        <v>28</v>
      </c>
      <c r="AC4967">
        <v>13.235900000000001</v>
      </c>
      <c r="AD4967">
        <v>-1.1180688123489999</v>
      </c>
      <c r="AE4967">
        <v>-10.44763</v>
      </c>
      <c r="AF4967">
        <v>-5.55634498542753</v>
      </c>
      <c r="AG4967">
        <v>-1.1180688123489999</v>
      </c>
      <c r="AH4967">
        <v>15.8425151871464</v>
      </c>
      <c r="AI4967">
        <v>93.810087632236304</v>
      </c>
      <c r="AJ4967">
        <v>109.32697590921001</v>
      </c>
      <c r="AK4967">
        <v>16.825823454476001</v>
      </c>
      <c r="AL4967">
        <v>79.606894196361395</v>
      </c>
      <c r="AM4967">
        <v>97.295067678489801</v>
      </c>
      <c r="AN4967">
        <v>1.0000000315716999</v>
      </c>
    </row>
    <row r="4968" spans="1:40" x14ac:dyDescent="0.25">
      <c r="A4968" t="str">
        <f>"20190312173030726"</f>
        <v>20190312173030726</v>
      </c>
      <c r="B4968" t="str">
        <f>"1552383030722505"</f>
        <v>1552383030722505</v>
      </c>
      <c r="C4968" t="s">
        <v>40</v>
      </c>
      <c r="D4968">
        <v>3.034748</v>
      </c>
      <c r="E4968">
        <v>0.41843940000000002</v>
      </c>
      <c r="F4968" t="s">
        <v>54</v>
      </c>
      <c r="G4968">
        <v>-403.02260000000001</v>
      </c>
      <c r="H4968" s="1">
        <v>-4.8392369999999997E-6</v>
      </c>
      <c r="I4968">
        <v>20.206379999999999</v>
      </c>
      <c r="J4968">
        <v>-416.21350000000001</v>
      </c>
      <c r="K4968">
        <v>1.1180870000000001</v>
      </c>
      <c r="L4968">
        <v>30.486820000000002</v>
      </c>
      <c r="M4968">
        <v>0.54065730000000001</v>
      </c>
      <c r="N4968">
        <v>0</v>
      </c>
      <c r="O4968">
        <v>-0.84112039999999999</v>
      </c>
      <c r="P4968">
        <v>0.6309766</v>
      </c>
      <c r="Q4968">
        <v>0.16848160000000001</v>
      </c>
      <c r="R4968">
        <v>-0.75728629999999997</v>
      </c>
      <c r="S4968">
        <v>2.4820250000000001</v>
      </c>
      <c r="T4968">
        <v>-0.20899680000000001</v>
      </c>
      <c r="U4968">
        <v>-1.945343</v>
      </c>
      <c r="V4968">
        <v>-0.124804</v>
      </c>
      <c r="W4968">
        <v>0.1801508</v>
      </c>
      <c r="X4968">
        <v>0.97568929999999998</v>
      </c>
      <c r="Y4968">
        <v>-0.32678449999999998</v>
      </c>
      <c r="Z4968">
        <v>6.1662260000000003E-2</v>
      </c>
      <c r="AA4968">
        <v>0.94308519999999896</v>
      </c>
      <c r="AB4968">
        <v>28</v>
      </c>
      <c r="AC4968">
        <v>13.190899999999999</v>
      </c>
      <c r="AD4968">
        <v>-1.1180918392370001</v>
      </c>
      <c r="AE4968">
        <v>-10.28044</v>
      </c>
      <c r="AF4968">
        <v>-5.51286988496466</v>
      </c>
      <c r="AG4968">
        <v>-1.1180918392370001</v>
      </c>
      <c r="AH4968">
        <v>15.710250164250899</v>
      </c>
      <c r="AI4968">
        <v>93.8419261879679</v>
      </c>
      <c r="AJ4968">
        <v>109.336436711838</v>
      </c>
      <c r="AK4968">
        <v>16.686935726875198</v>
      </c>
      <c r="AL4968">
        <v>79.621456187022702</v>
      </c>
      <c r="AM4968">
        <v>97.289329695067494</v>
      </c>
      <c r="AN4968">
        <v>0.99999997964556397</v>
      </c>
    </row>
    <row r="4969" spans="1:40" x14ac:dyDescent="0.25">
      <c r="A4969" t="str">
        <f>"20190312173030741"</f>
        <v>20190312173030741</v>
      </c>
      <c r="B4969" t="str">
        <f>"1552383030733240"</f>
        <v>1552383030733240</v>
      </c>
      <c r="C4969" t="s">
        <v>40</v>
      </c>
      <c r="D4969">
        <v>3.0357059999999998</v>
      </c>
      <c r="E4969">
        <v>0.41861209999999999</v>
      </c>
      <c r="F4969" t="s">
        <v>54</v>
      </c>
      <c r="G4969">
        <v>-403.0523</v>
      </c>
      <c r="H4969" s="1">
        <v>-4.8394090000000002E-6</v>
      </c>
      <c r="I4969">
        <v>20.285019999999999</v>
      </c>
      <c r="J4969">
        <v>-416.10899999999998</v>
      </c>
      <c r="K4969">
        <v>1.1181099999999999</v>
      </c>
      <c r="L4969">
        <v>30.337800000000001</v>
      </c>
      <c r="M4969">
        <v>0.54665969999999997</v>
      </c>
      <c r="N4969">
        <v>0</v>
      </c>
      <c r="O4969">
        <v>-0.83723150000000002</v>
      </c>
      <c r="P4969">
        <v>0.63609079999999996</v>
      </c>
      <c r="Q4969">
        <v>0.16843559999999999</v>
      </c>
      <c r="R4969">
        <v>-0.75300599999999995</v>
      </c>
      <c r="S4969">
        <v>2.4923709999999999</v>
      </c>
      <c r="T4969">
        <v>-0.21173639999999999</v>
      </c>
      <c r="U4969">
        <v>-1.9319459999999999</v>
      </c>
      <c r="V4969">
        <v>-0.1244364</v>
      </c>
      <c r="W4969">
        <v>0.18011379999999999</v>
      </c>
      <c r="X4969">
        <v>0.97574309999999997</v>
      </c>
      <c r="Y4969">
        <v>-0.32504929999999999</v>
      </c>
      <c r="Z4969">
        <v>6.224205E-2</v>
      </c>
      <c r="AA4969">
        <v>0.9436466</v>
      </c>
      <c r="AB4969">
        <v>28</v>
      </c>
      <c r="AC4969">
        <v>13.056699999999999</v>
      </c>
      <c r="AD4969">
        <v>-1.1181148394089999</v>
      </c>
      <c r="AE4969">
        <v>-10.052779999999901</v>
      </c>
      <c r="AF4969">
        <v>-5.4116764672192996</v>
      </c>
      <c r="AG4969">
        <v>-1.1181148394089999</v>
      </c>
      <c r="AH4969">
        <v>15.484390829400301</v>
      </c>
      <c r="AI4969">
        <v>93.899591649679493</v>
      </c>
      <c r="AJ4969">
        <v>109.264131215734</v>
      </c>
      <c r="AK4969">
        <v>16.440887516724199</v>
      </c>
      <c r="AL4969">
        <v>79.623611576267393</v>
      </c>
      <c r="AM4969">
        <v>97.267693026869296</v>
      </c>
      <c r="AN4969">
        <v>0.99999999789650396</v>
      </c>
    </row>
    <row r="4970" spans="1:40" x14ac:dyDescent="0.25">
      <c r="A4970" t="str">
        <f>"20190312173030752"</f>
        <v>20190312173030752</v>
      </c>
      <c r="B4970" t="str">
        <f>"1552383030743001"</f>
        <v>1552383030743001</v>
      </c>
      <c r="C4970" t="s">
        <v>40</v>
      </c>
      <c r="D4970">
        <v>3.0267740000000001</v>
      </c>
      <c r="E4970">
        <v>0.41889399999999899</v>
      </c>
      <c r="F4970" t="s">
        <v>54</v>
      </c>
      <c r="G4970">
        <v>-402.93709999999999</v>
      </c>
      <c r="H4970" s="1">
        <v>-4.888897E-6</v>
      </c>
      <c r="I4970">
        <v>20.261410000000001</v>
      </c>
      <c r="J4970">
        <v>-416.02719999999999</v>
      </c>
      <c r="K4970">
        <v>1.118125</v>
      </c>
      <c r="L4970">
        <v>30.222899999999999</v>
      </c>
      <c r="M4970">
        <v>0.551311199999999</v>
      </c>
      <c r="N4970">
        <v>0</v>
      </c>
      <c r="O4970">
        <v>-0.83417569999999996</v>
      </c>
      <c r="P4970">
        <v>0.63999899999999998</v>
      </c>
      <c r="Q4970">
        <v>0.16849210000000001</v>
      </c>
      <c r="R4970">
        <v>-0.74967430000000002</v>
      </c>
      <c r="S4970">
        <v>2.5045169999999999</v>
      </c>
      <c r="T4970">
        <v>-0.21259819999999999</v>
      </c>
      <c r="U4970">
        <v>-1.915924</v>
      </c>
      <c r="V4970">
        <v>-0.1240957</v>
      </c>
      <c r="W4970">
        <v>0.18017849999999999</v>
      </c>
      <c r="X4970">
        <v>0.97577449999999999</v>
      </c>
      <c r="Y4970">
        <v>-0.32579239999999998</v>
      </c>
      <c r="Z4970">
        <v>6.2359530000000003E-2</v>
      </c>
      <c r="AA4970">
        <v>0.94338250000000001</v>
      </c>
      <c r="AB4970">
        <v>28</v>
      </c>
      <c r="AC4970">
        <v>13.0901</v>
      </c>
      <c r="AD4970">
        <v>-1.1181298888969999</v>
      </c>
      <c r="AE4970">
        <v>-9.9614899999999906</v>
      </c>
      <c r="AF4970">
        <v>-5.40315868967983</v>
      </c>
      <c r="AG4970">
        <v>-1.1181298888969999</v>
      </c>
      <c r="AH4970">
        <v>15.4565413942478</v>
      </c>
      <c r="AI4970">
        <v>93.9065531901296</v>
      </c>
      <c r="AJ4970">
        <v>109.26814603061</v>
      </c>
      <c r="AK4970">
        <v>16.411855780087802</v>
      </c>
      <c r="AL4970">
        <v>79.619842429970703</v>
      </c>
      <c r="AM4970">
        <v>97.247775620118404</v>
      </c>
      <c r="AN4970">
        <v>0.99999995473549297</v>
      </c>
    </row>
    <row r="4971" spans="1:40" x14ac:dyDescent="0.25">
      <c r="A4971" t="str">
        <f>"20190312173030764"</f>
        <v>20190312173030764</v>
      </c>
      <c r="B4971" t="str">
        <f>"1552383030752761"</f>
        <v>1552383030752761</v>
      </c>
      <c r="C4971" t="s">
        <v>40</v>
      </c>
      <c r="D4971">
        <v>3.031428</v>
      </c>
      <c r="E4971">
        <v>0.41911330000000002</v>
      </c>
      <c r="F4971" t="s">
        <v>54</v>
      </c>
      <c r="G4971">
        <v>-402.88060000000002</v>
      </c>
      <c r="H4971" s="1">
        <v>-4.9149680000000003E-6</v>
      </c>
      <c r="I4971">
        <v>20.260020000000001</v>
      </c>
      <c r="J4971">
        <v>-415.9443</v>
      </c>
      <c r="K4971">
        <v>1.1181410000000001</v>
      </c>
      <c r="L4971">
        <v>30.10727</v>
      </c>
      <c r="M4971">
        <v>0.55599030000000005</v>
      </c>
      <c r="N4971">
        <v>0</v>
      </c>
      <c r="O4971">
        <v>-0.83106420000000003</v>
      </c>
      <c r="P4971">
        <v>0.644192599999999</v>
      </c>
      <c r="Q4971">
        <v>0.16840169999999999</v>
      </c>
      <c r="R4971">
        <v>-0.74609440000000005</v>
      </c>
      <c r="S4971">
        <v>2.5129999999999999</v>
      </c>
      <c r="T4971">
        <v>-0.21373200000000001</v>
      </c>
      <c r="U4971">
        <v>-1.9044190000000001</v>
      </c>
      <c r="V4971">
        <v>-0.1240773</v>
      </c>
      <c r="W4971">
        <v>0.1800899</v>
      </c>
      <c r="X4971">
        <v>0.97579320000000003</v>
      </c>
      <c r="Y4971">
        <v>-0.32474320000000001</v>
      </c>
      <c r="Z4971">
        <v>6.2516669999999996E-2</v>
      </c>
      <c r="AA4971">
        <v>0.94373379999999996</v>
      </c>
      <c r="AB4971">
        <v>28</v>
      </c>
      <c r="AC4971">
        <v>13.0636999999999</v>
      </c>
      <c r="AD4971">
        <v>-1.118145914968</v>
      </c>
      <c r="AE4971">
        <v>-9.8472500000000007</v>
      </c>
      <c r="AF4971">
        <v>-5.3573280058319597</v>
      </c>
      <c r="AG4971">
        <v>-1.118145914968</v>
      </c>
      <c r="AH4971">
        <v>15.3767532258594</v>
      </c>
      <c r="AI4971">
        <v>93.928237677563402</v>
      </c>
      <c r="AJ4971">
        <v>109.208559925507</v>
      </c>
      <c r="AK4971">
        <v>16.321634520421402</v>
      </c>
      <c r="AL4971">
        <v>79.625003299615699</v>
      </c>
      <c r="AM4971">
        <v>97.246574999079698</v>
      </c>
      <c r="AN4971">
        <v>0.99999995881176895</v>
      </c>
    </row>
    <row r="4972" spans="1:40" x14ac:dyDescent="0.25">
      <c r="A4972" t="str">
        <f>"20190312173030775"</f>
        <v>20190312173030775</v>
      </c>
      <c r="B4972" t="str">
        <f>"1552383030772547"</f>
        <v>1552383030772547</v>
      </c>
      <c r="C4972" t="s">
        <v>40</v>
      </c>
      <c r="D4972">
        <v>3.0106220000000001</v>
      </c>
      <c r="E4972">
        <v>0.41976370000000002</v>
      </c>
      <c r="F4972" t="s">
        <v>54</v>
      </c>
      <c r="G4972">
        <v>-402.70929999999998</v>
      </c>
      <c r="H4972" s="1">
        <v>-4.9806479999999999E-6</v>
      </c>
      <c r="I4972">
        <v>20.18085</v>
      </c>
      <c r="J4972">
        <v>-415.85980000000001</v>
      </c>
      <c r="K4972">
        <v>1.118155</v>
      </c>
      <c r="L4972">
        <v>29.991579999999999</v>
      </c>
      <c r="M4972">
        <v>0.560704599999999</v>
      </c>
      <c r="N4972">
        <v>0</v>
      </c>
      <c r="O4972">
        <v>-0.82789080000000004</v>
      </c>
      <c r="P4972">
        <v>0.64817139999999995</v>
      </c>
      <c r="Q4972">
        <v>0.1684726</v>
      </c>
      <c r="R4972">
        <v>-0.74262450000000002</v>
      </c>
      <c r="S4972">
        <v>2.521973</v>
      </c>
      <c r="T4972">
        <v>-0.21306610000000001</v>
      </c>
      <c r="U4972">
        <v>-1.89151</v>
      </c>
      <c r="V4972">
        <v>-0.12376280000000001</v>
      </c>
      <c r="W4972">
        <v>0.1801691</v>
      </c>
      <c r="X4972">
        <v>0.97581859999999998</v>
      </c>
      <c r="Y4972">
        <v>-0.32408799999999999</v>
      </c>
      <c r="Z4972">
        <v>6.2160470000000002E-2</v>
      </c>
      <c r="AA4972">
        <v>0.94398249999999995</v>
      </c>
      <c r="AB4972">
        <v>28</v>
      </c>
      <c r="AC4972">
        <v>13.150499999999999</v>
      </c>
      <c r="AD4972">
        <v>-1.118159980648</v>
      </c>
      <c r="AE4972">
        <v>-9.8107299999999995</v>
      </c>
      <c r="AF4972">
        <v>-5.3619102313498397</v>
      </c>
      <c r="AG4972">
        <v>-1.118159980648</v>
      </c>
      <c r="AH4972">
        <v>15.425716928515399</v>
      </c>
      <c r="AI4972">
        <v>93.916836998156697</v>
      </c>
      <c r="AJ4972">
        <v>109.167222869319</v>
      </c>
      <c r="AK4972">
        <v>16.369273222414702</v>
      </c>
      <c r="AL4972">
        <v>79.620390841445101</v>
      </c>
      <c r="AM4972">
        <v>97.228215392227199</v>
      </c>
      <c r="AN4972">
        <v>1.0000000376822999</v>
      </c>
    </row>
    <row r="4973" spans="1:40" x14ac:dyDescent="0.25">
      <c r="A4973" t="str">
        <f>"20190312173030788"</f>
        <v>20190312173030788</v>
      </c>
      <c r="B4973" t="str">
        <f>"1552383030783284"</f>
        <v>1552383030783284</v>
      </c>
      <c r="C4973" t="s">
        <v>40</v>
      </c>
      <c r="D4973">
        <v>3.0286339999999998</v>
      </c>
      <c r="E4973">
        <v>0.42011300000000001</v>
      </c>
      <c r="F4973" t="s">
        <v>54</v>
      </c>
      <c r="G4973">
        <v>-402.64510000000001</v>
      </c>
      <c r="H4973" s="1">
        <v>-5.0068330000000003E-6</v>
      </c>
      <c r="I4973">
        <v>20.15992</v>
      </c>
      <c r="J4973">
        <v>-415.7756</v>
      </c>
      <c r="K4973">
        <v>1.118163</v>
      </c>
      <c r="L4973">
        <v>29.877140000000001</v>
      </c>
      <c r="M4973">
        <v>0.56536999999999904</v>
      </c>
      <c r="N4973">
        <v>0</v>
      </c>
      <c r="O4973">
        <v>-0.82471170000000005</v>
      </c>
      <c r="P4973">
        <v>0.65214259999999902</v>
      </c>
      <c r="Q4973">
        <v>0.16883529999999999</v>
      </c>
      <c r="R4973">
        <v>-0.73905679999999996</v>
      </c>
      <c r="S4973">
        <v>2.5285950000000001</v>
      </c>
      <c r="T4973">
        <v>-0.21395639999999999</v>
      </c>
      <c r="U4973">
        <v>-1.881256</v>
      </c>
      <c r="V4973">
        <v>-0.1235417</v>
      </c>
      <c r="W4973">
        <v>0.18053730000000001</v>
      </c>
      <c r="X4973">
        <v>0.97577849999999999</v>
      </c>
      <c r="Y4973">
        <v>-0.32238529999999999</v>
      </c>
      <c r="Z4973">
        <v>6.2237809999999998E-2</v>
      </c>
      <c r="AA4973">
        <v>0.94456030000000002</v>
      </c>
      <c r="AB4973">
        <v>28</v>
      </c>
      <c r="AC4973">
        <v>13.1304999999999</v>
      </c>
      <c r="AD4973">
        <v>-1.118168006833</v>
      </c>
      <c r="AE4973">
        <v>-9.7172199999999993</v>
      </c>
      <c r="AF4973">
        <v>-5.3107212471799903</v>
      </c>
      <c r="AG4973">
        <v>-1.118168006833</v>
      </c>
      <c r="AH4973">
        <v>15.3670915128959</v>
      </c>
      <c r="AI4973">
        <v>93.934193413897603</v>
      </c>
      <c r="AJ4973">
        <v>109.064664703446</v>
      </c>
      <c r="AK4973">
        <v>16.297286934409399</v>
      </c>
      <c r="AL4973">
        <v>79.598942167338294</v>
      </c>
      <c r="AM4973">
        <v>97.2157319267166</v>
      </c>
      <c r="AN4973">
        <v>0.99999997469621404</v>
      </c>
    </row>
    <row r="4974" spans="1:40" x14ac:dyDescent="0.25">
      <c r="A4974" t="str">
        <f>"20190312173030798"</f>
        <v>20190312173030798</v>
      </c>
      <c r="B4974" t="str">
        <f>"1552383030793044"</f>
        <v>1552383030793044</v>
      </c>
      <c r="C4974" t="s">
        <v>40</v>
      </c>
      <c r="D4974">
        <v>3.0408409999999999</v>
      </c>
      <c r="E4974">
        <v>0.42011300000000001</v>
      </c>
      <c r="F4974" t="s">
        <v>54</v>
      </c>
      <c r="G4974">
        <v>-402.51179999999999</v>
      </c>
      <c r="H4974" s="1">
        <v>-5.0586850000000002E-6</v>
      </c>
      <c r="I4974">
        <v>20.102450000000001</v>
      </c>
      <c r="J4974">
        <v>-415.68950000000001</v>
      </c>
      <c r="K4974">
        <v>1.1181730000000001</v>
      </c>
      <c r="L4974">
        <v>29.76172</v>
      </c>
      <c r="M4974">
        <v>0.57008829999999999</v>
      </c>
      <c r="N4974">
        <v>0</v>
      </c>
      <c r="O4974">
        <v>-0.8214574</v>
      </c>
      <c r="P4974">
        <v>0.65620290000000003</v>
      </c>
      <c r="Q4974">
        <v>0.16899810000000001</v>
      </c>
      <c r="R4974">
        <v>-0.73541730000000005</v>
      </c>
      <c r="S4974">
        <v>2.5368650000000001</v>
      </c>
      <c r="T4974">
        <v>-0.21386440000000001</v>
      </c>
      <c r="U4974">
        <v>-1.869537</v>
      </c>
      <c r="V4974">
        <v>-0.1233498</v>
      </c>
      <c r="W4974">
        <v>0.18070610000000001</v>
      </c>
      <c r="X4974">
        <v>0.97577150000000001</v>
      </c>
      <c r="Y4974">
        <v>-0.32126579999999999</v>
      </c>
      <c r="Z4974">
        <v>6.2026999999999999E-2</v>
      </c>
      <c r="AA4974">
        <v>0.94495549999999995</v>
      </c>
      <c r="AB4974">
        <v>28</v>
      </c>
      <c r="AC4974">
        <v>13.1777</v>
      </c>
      <c r="AD4974">
        <v>-1.1181780586850001</v>
      </c>
      <c r="AE4974">
        <v>-9.6592699999999994</v>
      </c>
      <c r="AF4974">
        <v>-5.2940375336677699</v>
      </c>
      <c r="AG4974">
        <v>-1.1181780586850001</v>
      </c>
      <c r="AH4974">
        <v>15.376711472379201</v>
      </c>
      <c r="AI4974">
        <v>93.933347513450499</v>
      </c>
      <c r="AJ4974">
        <v>108.99803847987801</v>
      </c>
      <c r="AK4974">
        <v>16.3009328347676</v>
      </c>
      <c r="AL4974">
        <v>79.589108584964407</v>
      </c>
      <c r="AM4974">
        <v>97.204692581566505</v>
      </c>
      <c r="AN4974">
        <v>0.99999994397474801</v>
      </c>
    </row>
    <row r="4975" spans="1:40" x14ac:dyDescent="0.25">
      <c r="A4975" t="str">
        <f>"20190312173030810"</f>
        <v>20190312173030810</v>
      </c>
      <c r="B4975" t="str">
        <f>"1552383030802803"</f>
        <v>1552383030802803</v>
      </c>
      <c r="C4975" t="s">
        <v>40</v>
      </c>
      <c r="D4975">
        <v>2.9933100000000001</v>
      </c>
      <c r="E4975">
        <v>0.42682629999999999</v>
      </c>
      <c r="F4975" t="s">
        <v>54</v>
      </c>
      <c r="G4975">
        <v>-402.32909999999998</v>
      </c>
      <c r="H4975" s="1">
        <v>-5.1309380000000001E-6</v>
      </c>
      <c r="I4975">
        <v>20.030110000000001</v>
      </c>
      <c r="J4975">
        <v>-415.61160000000001</v>
      </c>
      <c r="K4975">
        <v>1.118179</v>
      </c>
      <c r="L4975">
        <v>29.6586</v>
      </c>
      <c r="M4975">
        <v>0.57431390000000004</v>
      </c>
      <c r="N4975">
        <v>0</v>
      </c>
      <c r="O4975">
        <v>-0.81850829999999997</v>
      </c>
      <c r="P4975">
        <v>0.65982989999999997</v>
      </c>
      <c r="Q4975">
        <v>0.16918520000000001</v>
      </c>
      <c r="R4975">
        <v>-0.73212080000000002</v>
      </c>
      <c r="S4975">
        <v>2.547272</v>
      </c>
      <c r="T4975">
        <v>-0.2131894</v>
      </c>
      <c r="U4975">
        <v>-1.8554079999999999</v>
      </c>
      <c r="V4975">
        <v>-0.12317599999999999</v>
      </c>
      <c r="W4975">
        <v>0.1808989</v>
      </c>
      <c r="X4975">
        <v>0.97575780000000001</v>
      </c>
      <c r="Y4975">
        <v>-0.32166509999999998</v>
      </c>
      <c r="Z4975">
        <v>6.1687789999999999E-2</v>
      </c>
      <c r="AA4975">
        <v>0.94484190000000001</v>
      </c>
      <c r="AB4975">
        <v>28</v>
      </c>
      <c r="AC4975">
        <v>13.282500000000001</v>
      </c>
      <c r="AD4975">
        <v>-1.1181841309379901</v>
      </c>
      <c r="AE4975">
        <v>-9.6284899999999993</v>
      </c>
      <c r="AF4975">
        <v>-5.3179097967363997</v>
      </c>
      <c r="AG4975">
        <v>-1.1181841309379901</v>
      </c>
      <c r="AH4975">
        <v>15.439206874733699</v>
      </c>
      <c r="AI4975">
        <v>93.917313400615498</v>
      </c>
      <c r="AJ4975">
        <v>109.00585402553899</v>
      </c>
      <c r="AK4975">
        <v>16.367639086860699</v>
      </c>
      <c r="AL4975">
        <v>79.577877565570304</v>
      </c>
      <c r="AM4975">
        <v>97.194747567787402</v>
      </c>
      <c r="AN4975">
        <v>1.00000001162902</v>
      </c>
    </row>
    <row r="4976" spans="1:40" x14ac:dyDescent="0.25">
      <c r="A4976" t="str">
        <f>"20190312173030821"</f>
        <v>20190312173030821</v>
      </c>
      <c r="B4976" t="str">
        <f>"1552383030812564"</f>
        <v>1552383030812564</v>
      </c>
      <c r="C4976" t="s">
        <v>40</v>
      </c>
      <c r="D4976">
        <v>2.9980099999999998</v>
      </c>
      <c r="E4976">
        <v>0.42777850000000001</v>
      </c>
      <c r="F4976" t="s">
        <v>54</v>
      </c>
      <c r="G4976">
        <v>-403.02679999999998</v>
      </c>
      <c r="H4976" s="1">
        <v>-4.8476430000000001E-6</v>
      </c>
      <c r="I4976">
        <v>20.264420000000001</v>
      </c>
      <c r="J4976">
        <v>-415.52870000000001</v>
      </c>
      <c r="K4976">
        <v>1.1181890000000001</v>
      </c>
      <c r="L4976">
        <v>29.54974</v>
      </c>
      <c r="M4976">
        <v>0.5787776</v>
      </c>
      <c r="N4976">
        <v>0</v>
      </c>
      <c r="O4976">
        <v>-0.81535800000000003</v>
      </c>
      <c r="P4976">
        <v>0.66360779999999997</v>
      </c>
      <c r="Q4976">
        <v>0.1690931</v>
      </c>
      <c r="R4976">
        <v>-0.72871949999999996</v>
      </c>
      <c r="S4976">
        <v>2.5182500000000001</v>
      </c>
      <c r="T4976">
        <v>-0.22375049999999999</v>
      </c>
      <c r="U4976">
        <v>-1.879791</v>
      </c>
      <c r="V4976">
        <v>-0.12287869999999999</v>
      </c>
      <c r="W4976">
        <v>0.18081539999999999</v>
      </c>
      <c r="X4976">
        <v>0.97581079999999998</v>
      </c>
      <c r="Y4976">
        <v>-0.30521029999999999</v>
      </c>
      <c r="Z4976">
        <v>6.4377160000000003E-2</v>
      </c>
      <c r="AA4976">
        <v>0.95010640000000002</v>
      </c>
      <c r="AB4976">
        <v>28</v>
      </c>
      <c r="AC4976">
        <v>12.501899999999999</v>
      </c>
      <c r="AD4976">
        <v>-1.11819384764299</v>
      </c>
      <c r="AE4976">
        <v>-9.2853200000000005</v>
      </c>
      <c r="AF4976">
        <v>-4.7951668917619497</v>
      </c>
      <c r="AG4976">
        <v>-1.11819384764299</v>
      </c>
      <c r="AH4976">
        <v>14.7322618194694</v>
      </c>
      <c r="AI4976">
        <v>94.128114246179294</v>
      </c>
      <c r="AJ4976">
        <v>108.029420622</v>
      </c>
      <c r="AK4976">
        <v>15.5333036189392</v>
      </c>
      <c r="AL4976">
        <v>79.582742390780197</v>
      </c>
      <c r="AM4976">
        <v>97.177177733031002</v>
      </c>
      <c r="AN4976">
        <v>1.0000000505937401</v>
      </c>
    </row>
    <row r="4977" spans="1:40" x14ac:dyDescent="0.25">
      <c r="A4977" t="str">
        <f>"20190312173030832"</f>
        <v>20190312173030832</v>
      </c>
      <c r="B4977" t="str">
        <f>"1552383030823300"</f>
        <v>1552383030823300</v>
      </c>
      <c r="C4977" t="s">
        <v>40</v>
      </c>
      <c r="D4977">
        <v>3.0093049999999999</v>
      </c>
      <c r="E4977">
        <v>0.42820720000000001</v>
      </c>
      <c r="F4977" t="s">
        <v>54</v>
      </c>
      <c r="G4977">
        <v>-403.04360000000003</v>
      </c>
      <c r="H4977" s="1">
        <v>-4.8436779999999997E-6</v>
      </c>
      <c r="I4977">
        <v>20.28622</v>
      </c>
      <c r="J4977">
        <v>-415.45339999999999</v>
      </c>
      <c r="K4977">
        <v>1.1181920000000001</v>
      </c>
      <c r="L4977">
        <v>29.452300000000001</v>
      </c>
      <c r="M4977">
        <v>0.582790699999999</v>
      </c>
      <c r="N4977">
        <v>0</v>
      </c>
      <c r="O4977">
        <v>-0.81249450000000001</v>
      </c>
      <c r="P4977">
        <v>0.66698919999999995</v>
      </c>
      <c r="Q4977">
        <v>0.16921429999999901</v>
      </c>
      <c r="R4977">
        <v>-0.72559810000000002</v>
      </c>
      <c r="S4977">
        <v>2.5227970000000002</v>
      </c>
      <c r="T4977">
        <v>-0.22594690000000001</v>
      </c>
      <c r="U4977">
        <v>-1.871826</v>
      </c>
      <c r="V4977">
        <v>-0.1226255</v>
      </c>
      <c r="W4977">
        <v>0.18094389999999999</v>
      </c>
      <c r="X4977">
        <v>0.97581879999999999</v>
      </c>
      <c r="Y4977">
        <v>-0.3032357</v>
      </c>
      <c r="Z4977">
        <v>6.482483E-2</v>
      </c>
      <c r="AA4977">
        <v>0.95070809999999994</v>
      </c>
      <c r="AB4977">
        <v>28</v>
      </c>
      <c r="AC4977">
        <v>12.409799999999899</v>
      </c>
      <c r="AD4977">
        <v>-1.1181968436779901</v>
      </c>
      <c r="AE4977">
        <v>-9.1660799999999991</v>
      </c>
      <c r="AF4977">
        <v>-4.7167027480711203</v>
      </c>
      <c r="AG4977">
        <v>-1.1181968436779901</v>
      </c>
      <c r="AH4977">
        <v>14.6045100396423</v>
      </c>
      <c r="AI4977">
        <v>94.167184770311195</v>
      </c>
      <c r="AJ4977">
        <v>107.89848850247201</v>
      </c>
      <c r="AK4977">
        <v>15.3879616094168</v>
      </c>
      <c r="AL4977">
        <v>79.575256074202201</v>
      </c>
      <c r="AM4977">
        <v>97.162484307404497</v>
      </c>
      <c r="AN4977">
        <v>1.0000000193154499</v>
      </c>
    </row>
    <row r="4978" spans="1:40" x14ac:dyDescent="0.25">
      <c r="A4978" t="str">
        <f>"20190312173030841"</f>
        <v>20190312173030841</v>
      </c>
      <c r="B4978" t="str">
        <f>"1552383030833060"</f>
        <v>1552383030833060</v>
      </c>
      <c r="C4978" t="s">
        <v>40</v>
      </c>
      <c r="D4978">
        <v>3.0101900000000001</v>
      </c>
      <c r="E4978">
        <v>0.4284559</v>
      </c>
      <c r="F4978" t="s">
        <v>54</v>
      </c>
      <c r="G4978">
        <v>-403.00990000000002</v>
      </c>
      <c r="H4978" s="1">
        <v>-4.8596799999999997E-6</v>
      </c>
      <c r="I4978">
        <v>20.28792</v>
      </c>
      <c r="J4978">
        <v>-415.37310000000002</v>
      </c>
      <c r="K4978">
        <v>1.1182030000000001</v>
      </c>
      <c r="L4978">
        <v>29.348880000000001</v>
      </c>
      <c r="M4978">
        <v>0.58704219999999996</v>
      </c>
      <c r="N4978">
        <v>0</v>
      </c>
      <c r="O4978">
        <v>-0.80942780000000003</v>
      </c>
      <c r="P4978">
        <v>0.67071530000000001</v>
      </c>
      <c r="Q4978">
        <v>0.16919110000000001</v>
      </c>
      <c r="R4978">
        <v>-0.72216029999999998</v>
      </c>
      <c r="S4978">
        <v>2.5291440000000001</v>
      </c>
      <c r="T4978">
        <v>-0.2272748</v>
      </c>
      <c r="U4978">
        <v>-1.862671</v>
      </c>
      <c r="V4978">
        <v>-0.1225305</v>
      </c>
      <c r="W4978">
        <v>0.18092469999999999</v>
      </c>
      <c r="X4978">
        <v>0.97583430000000004</v>
      </c>
      <c r="Y4978">
        <v>-0.30159439999999998</v>
      </c>
      <c r="Z4978">
        <v>6.5000500000000003E-2</v>
      </c>
      <c r="AA4978">
        <v>0.95121809999999996</v>
      </c>
      <c r="AB4978">
        <v>28</v>
      </c>
      <c r="AC4978">
        <v>12.363200000000001</v>
      </c>
      <c r="AD4978">
        <v>-1.11820785968</v>
      </c>
      <c r="AE4978">
        <v>-9.0609599999999908</v>
      </c>
      <c r="AF4978">
        <v>-4.6636202052929896</v>
      </c>
      <c r="AG4978">
        <v>-1.11820785968</v>
      </c>
      <c r="AH4978">
        <v>14.516177254227101</v>
      </c>
      <c r="AI4978">
        <v>94.1945563609018</v>
      </c>
      <c r="AJ4978">
        <v>107.810682242157</v>
      </c>
      <c r="AK4978">
        <v>15.287875729244</v>
      </c>
      <c r="AL4978">
        <v>79.576374682567405</v>
      </c>
      <c r="AM4978">
        <v>97.1568804734965</v>
      </c>
      <c r="AN4978">
        <v>1.0000000257784101</v>
      </c>
    </row>
    <row r="4979" spans="1:40" x14ac:dyDescent="0.25">
      <c r="A4979" t="str">
        <f>"20190312173030852"</f>
        <v>20190312173030852</v>
      </c>
      <c r="B4979" t="str">
        <f>"1552383030842820"</f>
        <v>1552383030842820</v>
      </c>
      <c r="C4979" t="s">
        <v>40</v>
      </c>
      <c r="D4979">
        <v>2.9558089999999999</v>
      </c>
      <c r="E4979">
        <v>0.428761</v>
      </c>
      <c r="F4979" t="s">
        <v>54</v>
      </c>
      <c r="G4979">
        <v>-402.98039999999997</v>
      </c>
      <c r="H4979" s="1">
        <v>-4.8772429999999998E-6</v>
      </c>
      <c r="I4979">
        <v>20.309360000000002</v>
      </c>
      <c r="J4979">
        <v>-415.29640000000001</v>
      </c>
      <c r="K4979">
        <v>1.1182049999999999</v>
      </c>
      <c r="L4979">
        <v>29.251950000000001</v>
      </c>
      <c r="M4979">
        <v>0.59104609999999902</v>
      </c>
      <c r="N4979">
        <v>0</v>
      </c>
      <c r="O4979">
        <v>-0.80650900000000003</v>
      </c>
      <c r="P4979">
        <v>0.67415409999999998</v>
      </c>
      <c r="Q4979">
        <v>0.16898360000000001</v>
      </c>
      <c r="R4979">
        <v>-0.71899990000000003</v>
      </c>
      <c r="S4979">
        <v>2.537598</v>
      </c>
      <c r="T4979">
        <v>-0.22897039999999999</v>
      </c>
      <c r="U4979">
        <v>-1.850983</v>
      </c>
      <c r="V4979">
        <v>-0.1223201</v>
      </c>
      <c r="W4979">
        <v>0.18072440000000001</v>
      </c>
      <c r="X4979">
        <v>0.97589780000000004</v>
      </c>
      <c r="Y4979">
        <v>-0.3012145</v>
      </c>
      <c r="Z4979">
        <v>6.5309640000000002E-2</v>
      </c>
      <c r="AA4979">
        <v>0.95131730000000003</v>
      </c>
      <c r="AB4979">
        <v>28</v>
      </c>
      <c r="AC4979">
        <v>12.316000000000001</v>
      </c>
      <c r="AD4979">
        <v>-1.11820987724299</v>
      </c>
      <c r="AE4979">
        <v>-8.9425899999999992</v>
      </c>
      <c r="AF4979">
        <v>-4.6230111682859096</v>
      </c>
      <c r="AG4979">
        <v>-1.11820987724299</v>
      </c>
      <c r="AH4979">
        <v>14.415299369722</v>
      </c>
      <c r="AI4979">
        <v>94.224508191465702</v>
      </c>
      <c r="AJ4979">
        <v>107.781134677566</v>
      </c>
      <c r="AK4979">
        <v>15.1797062392646</v>
      </c>
      <c r="AL4979">
        <v>79.588043276387396</v>
      </c>
      <c r="AM4979">
        <v>97.144258243977404</v>
      </c>
      <c r="AN4979">
        <v>1.0000000158321001</v>
      </c>
    </row>
    <row r="4980" spans="1:40" x14ac:dyDescent="0.25">
      <c r="A4980" t="str">
        <f>"20190312173030864"</f>
        <v>20190312173030864</v>
      </c>
      <c r="B4980" t="str">
        <f>"1552383030852580"</f>
        <v>1552383030852580</v>
      </c>
      <c r="C4980" t="s">
        <v>40</v>
      </c>
      <c r="D4980">
        <v>2.9920740000000001</v>
      </c>
      <c r="E4980">
        <v>0.42919209999999902</v>
      </c>
      <c r="F4980" t="s">
        <v>54</v>
      </c>
      <c r="G4980">
        <v>-402.96280000000002</v>
      </c>
      <c r="H4980" s="1">
        <v>-4.8890799999999998E-6</v>
      </c>
      <c r="I4980">
        <v>20.329730000000001</v>
      </c>
      <c r="J4980">
        <v>-415.21350000000001</v>
      </c>
      <c r="K4980">
        <v>1.118206</v>
      </c>
      <c r="L4980">
        <v>29.147490000000001</v>
      </c>
      <c r="M4980">
        <v>0.59535179999999999</v>
      </c>
      <c r="N4980">
        <v>0</v>
      </c>
      <c r="O4980">
        <v>-0.80333559999999904</v>
      </c>
      <c r="P4980">
        <v>0.67773779999999995</v>
      </c>
      <c r="Q4980">
        <v>0.1691983</v>
      </c>
      <c r="R4980">
        <v>-0.7155724</v>
      </c>
      <c r="S4980">
        <v>2.5446170000000001</v>
      </c>
      <c r="T4980">
        <v>-0.23070379999999999</v>
      </c>
      <c r="U4980">
        <v>-1.8407899999999999</v>
      </c>
      <c r="V4980">
        <v>-0.1220097</v>
      </c>
      <c r="W4980">
        <v>0.18094769999999999</v>
      </c>
      <c r="X4980">
        <v>0.97589530000000002</v>
      </c>
      <c r="Y4980">
        <v>-0.29983779999999999</v>
      </c>
      <c r="Z4980">
        <v>6.559276E-2</v>
      </c>
      <c r="AA4980">
        <v>0.95173260000000004</v>
      </c>
      <c r="AB4980">
        <v>27</v>
      </c>
      <c r="AC4980">
        <v>12.250699999999901</v>
      </c>
      <c r="AD4980">
        <v>-1.11821088908</v>
      </c>
      <c r="AE4980">
        <v>-8.8177599999999998</v>
      </c>
      <c r="AF4980">
        <v>-4.5671664797842997</v>
      </c>
      <c r="AG4980">
        <v>-1.11821088908</v>
      </c>
      <c r="AH4980">
        <v>14.300111146105699</v>
      </c>
      <c r="AI4980">
        <v>94.260044522730595</v>
      </c>
      <c r="AJ4980">
        <v>107.712431176411</v>
      </c>
      <c r="AK4980">
        <v>15.053324683853001</v>
      </c>
      <c r="AL4980">
        <v>79.575034880238604</v>
      </c>
      <c r="AM4980">
        <v>97.126333639089395</v>
      </c>
      <c r="AN4980">
        <v>1.00000003679573</v>
      </c>
    </row>
    <row r="4981" spans="1:40" x14ac:dyDescent="0.25">
      <c r="A4981" t="str">
        <f>"20190312173030875"</f>
        <v>20190312173030875</v>
      </c>
      <c r="B4981" t="str">
        <f>"1552383030863316"</f>
        <v>1552383030863316</v>
      </c>
      <c r="C4981" t="s">
        <v>40</v>
      </c>
      <c r="D4981">
        <v>3.0146440000000001</v>
      </c>
      <c r="E4981">
        <v>0.42956270000000002</v>
      </c>
      <c r="F4981" t="s">
        <v>54</v>
      </c>
      <c r="G4981">
        <v>-402.87009999999998</v>
      </c>
      <c r="H4981" s="1">
        <v>-4.9255490000000004E-6</v>
      </c>
      <c r="I4981">
        <v>20.29194</v>
      </c>
      <c r="J4981">
        <v>-415.1275</v>
      </c>
      <c r="K4981">
        <v>1.118204</v>
      </c>
      <c r="L4981">
        <v>29.041139999999999</v>
      </c>
      <c r="M4981">
        <v>0.5997574</v>
      </c>
      <c r="N4981">
        <v>0</v>
      </c>
      <c r="O4981">
        <v>-0.80005199999999999</v>
      </c>
      <c r="P4981">
        <v>0.68159780000000003</v>
      </c>
      <c r="Q4981">
        <v>0.16890539999999901</v>
      </c>
      <c r="R4981">
        <v>-0.71196619999999899</v>
      </c>
      <c r="S4981">
        <v>2.5514830000000002</v>
      </c>
      <c r="T4981">
        <v>-0.23114199999999999</v>
      </c>
      <c r="U4981">
        <v>-1.830505</v>
      </c>
      <c r="V4981">
        <v>-0.1218776</v>
      </c>
      <c r="W4981">
        <v>0.18066070000000001</v>
      </c>
      <c r="X4981">
        <v>0.97596499999999997</v>
      </c>
      <c r="Y4981">
        <v>-0.29834149999999998</v>
      </c>
      <c r="Z4981">
        <v>6.5499539999999995E-2</v>
      </c>
      <c r="AA4981">
        <v>0.95220910000000003</v>
      </c>
      <c r="AB4981">
        <v>27</v>
      </c>
      <c r="AC4981">
        <v>12.257400000000001</v>
      </c>
      <c r="AD4981">
        <v>-1.118208925549</v>
      </c>
      <c r="AE4981">
        <v>-8.7492000000000001</v>
      </c>
      <c r="AF4981">
        <v>-4.5346327159141602</v>
      </c>
      <c r="AG4981">
        <v>-1.118208925549</v>
      </c>
      <c r="AH4981">
        <v>14.274074742739799</v>
      </c>
      <c r="AI4981">
        <v>94.269865622436598</v>
      </c>
      <c r="AJ4981">
        <v>107.62417442014301</v>
      </c>
      <c r="AK4981">
        <v>15.018738123781899</v>
      </c>
      <c r="AL4981">
        <v>79.591754559262398</v>
      </c>
      <c r="AM4981">
        <v>97.118193975625104</v>
      </c>
      <c r="AN4981">
        <v>1.00000005956562</v>
      </c>
    </row>
    <row r="4982" spans="1:40" x14ac:dyDescent="0.25">
      <c r="A4982" t="str">
        <f>"20190312173030885"</f>
        <v>20190312173030885</v>
      </c>
      <c r="B4982" t="str">
        <f>"1552383030882836"</f>
        <v>1552383030882836</v>
      </c>
      <c r="C4982" t="s">
        <v>40</v>
      </c>
      <c r="D4982">
        <v>3.0460410000000002</v>
      </c>
      <c r="E4982">
        <v>0.43408370000000002</v>
      </c>
      <c r="F4982" t="s">
        <v>54</v>
      </c>
      <c r="G4982">
        <v>-402.80509999999998</v>
      </c>
      <c r="H4982" s="1">
        <v>-4.9540560000000002E-6</v>
      </c>
      <c r="I4982">
        <v>20.282039999999999</v>
      </c>
      <c r="J4982">
        <v>-415.04700000000003</v>
      </c>
      <c r="K4982">
        <v>1.118204</v>
      </c>
      <c r="L4982">
        <v>28.941929999999999</v>
      </c>
      <c r="M4982">
        <v>0.60385840000000002</v>
      </c>
      <c r="N4982">
        <v>0</v>
      </c>
      <c r="O4982">
        <v>-0.79696109999999998</v>
      </c>
      <c r="P4982">
        <v>0.68528230000000001</v>
      </c>
      <c r="Q4982">
        <v>0.168854799999999</v>
      </c>
      <c r="R4982">
        <v>-0.70843259999999997</v>
      </c>
      <c r="S4982">
        <v>2.5589599999999999</v>
      </c>
      <c r="T4982">
        <v>-0.23221430000000001</v>
      </c>
      <c r="U4982">
        <v>-1.81897</v>
      </c>
      <c r="V4982">
        <v>-0.12192020000000001</v>
      </c>
      <c r="W4982">
        <v>0.18061189999999999</v>
      </c>
      <c r="X4982">
        <v>0.97596870000000002</v>
      </c>
      <c r="Y4982">
        <v>-0.29759200000000002</v>
      </c>
      <c r="Z4982">
        <v>6.5615679999999996E-2</v>
      </c>
      <c r="AA4982">
        <v>0.95243560000000005</v>
      </c>
      <c r="AB4982">
        <v>27</v>
      </c>
      <c r="AC4982">
        <v>12.2418999999999</v>
      </c>
      <c r="AD4982">
        <v>-1.1182089540560001</v>
      </c>
      <c r="AE4982">
        <v>-8.6598899999999901</v>
      </c>
      <c r="AF4982">
        <v>-4.5024047233152</v>
      </c>
      <c r="AG4982">
        <v>-1.1182089540560001</v>
      </c>
      <c r="AH4982">
        <v>14.2164019908725</v>
      </c>
      <c r="AI4982">
        <v>94.288327419865993</v>
      </c>
      <c r="AJ4982">
        <v>107.573251739542</v>
      </c>
      <c r="AK4982">
        <v>14.954200918923901</v>
      </c>
      <c r="AL4982">
        <v>79.594597240680599</v>
      </c>
      <c r="AM4982">
        <v>97.120629751659806</v>
      </c>
      <c r="AN4982">
        <v>1.0000000484846601</v>
      </c>
    </row>
    <row r="4983" spans="1:40" x14ac:dyDescent="0.25">
      <c r="A4983" t="str">
        <f>"20190312173030896"</f>
        <v>20190312173030896</v>
      </c>
      <c r="B4983" t="str">
        <f>"1552383030892596"</f>
        <v>1552383030892596</v>
      </c>
      <c r="C4983" t="s">
        <v>40</v>
      </c>
      <c r="D4983">
        <v>3.007873</v>
      </c>
      <c r="E4983">
        <v>0.4346431</v>
      </c>
      <c r="F4983" t="s">
        <v>54</v>
      </c>
      <c r="G4983">
        <v>-403.16480000000001</v>
      </c>
      <c r="H4983" s="1">
        <v>-4.8048080000000004E-6</v>
      </c>
      <c r="I4983">
        <v>20.385020000000001</v>
      </c>
      <c r="J4983">
        <v>-414.96499999999997</v>
      </c>
      <c r="K4983">
        <v>1.118201</v>
      </c>
      <c r="L4983">
        <v>28.842469999999999</v>
      </c>
      <c r="M4983">
        <v>0.60798350000000001</v>
      </c>
      <c r="N4983">
        <v>0</v>
      </c>
      <c r="O4983">
        <v>-0.79381829999999998</v>
      </c>
      <c r="P4983">
        <v>0.68872119999999903</v>
      </c>
      <c r="Q4983">
        <v>0.16904439999999901</v>
      </c>
      <c r="R4983">
        <v>-0.70504419999999901</v>
      </c>
      <c r="S4983">
        <v>2.5433349999999999</v>
      </c>
      <c r="T4983">
        <v>-0.23934839999999999</v>
      </c>
      <c r="U4983">
        <v>-1.8315729999999999</v>
      </c>
      <c r="V4983">
        <v>-0.1216373</v>
      </c>
      <c r="W4983">
        <v>0.18080930000000001</v>
      </c>
      <c r="X4983">
        <v>0.97596740000000004</v>
      </c>
      <c r="Y4983">
        <v>-0.2866302</v>
      </c>
      <c r="Z4983">
        <v>6.7275109999999999E-2</v>
      </c>
      <c r="AA4983">
        <v>0.95567630000000003</v>
      </c>
      <c r="AB4983">
        <v>27</v>
      </c>
      <c r="AC4983">
        <v>11.800199999999901</v>
      </c>
      <c r="AD4983">
        <v>-1.1182058048079999</v>
      </c>
      <c r="AE4983">
        <v>-8.4574499999999997</v>
      </c>
      <c r="AF4983">
        <v>-4.2007449806404003</v>
      </c>
      <c r="AG4983">
        <v>-1.1182058048079999</v>
      </c>
      <c r="AH4983">
        <v>13.807542583819099</v>
      </c>
      <c r="AI4983">
        <v>94.430356942808004</v>
      </c>
      <c r="AJ4983">
        <v>106.92162402861599</v>
      </c>
      <c r="AK4983">
        <v>14.475664918001501</v>
      </c>
      <c r="AL4983">
        <v>79.5830972276312</v>
      </c>
      <c r="AM4983">
        <v>97.104285641481098</v>
      </c>
      <c r="AN4983">
        <v>1.0000000007902701</v>
      </c>
    </row>
    <row r="4984" spans="1:40" x14ac:dyDescent="0.25">
      <c r="A4984" t="str">
        <f>"20190312173030909"</f>
        <v>20190312173030909</v>
      </c>
      <c r="B4984" t="str">
        <f>"1552383030903331"</f>
        <v>1552383030903331</v>
      </c>
      <c r="C4984" t="s">
        <v>40</v>
      </c>
      <c r="D4984">
        <v>3.053715</v>
      </c>
      <c r="E4984">
        <v>0.43524869999999999</v>
      </c>
      <c r="F4984" t="s">
        <v>54</v>
      </c>
      <c r="G4984">
        <v>-403.22640000000001</v>
      </c>
      <c r="H4984" s="1">
        <v>-4.7878960000000002E-6</v>
      </c>
      <c r="I4984">
        <v>20.451219999999999</v>
      </c>
      <c r="J4984">
        <v>-414.87090000000001</v>
      </c>
      <c r="K4984">
        <v>1.118204</v>
      </c>
      <c r="L4984">
        <v>28.729399999999998</v>
      </c>
      <c r="M4984">
        <v>0.61267109999999902</v>
      </c>
      <c r="N4984">
        <v>0</v>
      </c>
      <c r="O4984">
        <v>-0.79020610000000002</v>
      </c>
      <c r="P4984">
        <v>0.69274290000000005</v>
      </c>
      <c r="Q4984">
        <v>0.1689175</v>
      </c>
      <c r="R4984">
        <v>-0.70112339999999995</v>
      </c>
      <c r="S4984">
        <v>2.5496829999999999</v>
      </c>
      <c r="T4984">
        <v>-0.24288109999999999</v>
      </c>
      <c r="U4984">
        <v>-1.822632</v>
      </c>
      <c r="V4984">
        <v>-0.121420899999999</v>
      </c>
      <c r="W4984">
        <v>0.1806902</v>
      </c>
      <c r="X4984">
        <v>0.97601640000000001</v>
      </c>
      <c r="Y4984">
        <v>-0.28424840000000001</v>
      </c>
      <c r="Z4984">
        <v>6.7978899999999995E-2</v>
      </c>
      <c r="AA4984">
        <v>0.95633769999999996</v>
      </c>
      <c r="AB4984">
        <v>27</v>
      </c>
      <c r="AC4984">
        <v>11.644499999999899</v>
      </c>
      <c r="AD4984">
        <v>-1.1182087878960001</v>
      </c>
      <c r="AE4984">
        <v>-8.2781799999999901</v>
      </c>
      <c r="AF4984">
        <v>-4.1050375960467296</v>
      </c>
      <c r="AG4984">
        <v>-1.1182087878960001</v>
      </c>
      <c r="AH4984">
        <v>13.5938707202376</v>
      </c>
      <c r="AI4984">
        <v>94.502532933050205</v>
      </c>
      <c r="AJ4984">
        <v>106.803113493776</v>
      </c>
      <c r="AK4984">
        <v>14.244123199299301</v>
      </c>
      <c r="AL4984">
        <v>79.590035406075103</v>
      </c>
      <c r="AM4984">
        <v>97.091423088623102</v>
      </c>
      <c r="AN4984">
        <v>0.99999999820090502</v>
      </c>
    </row>
    <row r="4985" spans="1:40" x14ac:dyDescent="0.25">
      <c r="A4985" t="str">
        <f>"20190312173030921"</f>
        <v>20190312173030921</v>
      </c>
      <c r="B4985" t="str">
        <f>"1552383030913092"</f>
        <v>1552383030913092</v>
      </c>
      <c r="C4985" t="s">
        <v>40</v>
      </c>
      <c r="D4985">
        <v>3.0329079999999999</v>
      </c>
      <c r="E4985">
        <v>0.43591449999999998</v>
      </c>
      <c r="F4985" t="s">
        <v>54</v>
      </c>
      <c r="G4985">
        <v>-403.24549999999999</v>
      </c>
      <c r="H4985" s="1">
        <v>-4.786699E-6</v>
      </c>
      <c r="I4985">
        <v>20.49446</v>
      </c>
      <c r="J4985">
        <v>-414.76729999999998</v>
      </c>
      <c r="K4985">
        <v>1.118196</v>
      </c>
      <c r="L4985">
        <v>28.606259999999999</v>
      </c>
      <c r="M4985">
        <v>0.61777609999999905</v>
      </c>
      <c r="N4985">
        <v>0</v>
      </c>
      <c r="O4985">
        <v>-0.78622159999999996</v>
      </c>
      <c r="P4985">
        <v>0.69713269999999905</v>
      </c>
      <c r="Q4985">
        <v>0.16916779999999901</v>
      </c>
      <c r="R4985">
        <v>-0.69669829999999999</v>
      </c>
      <c r="S4985">
        <v>2.55722</v>
      </c>
      <c r="T4985">
        <v>-0.24597140000000001</v>
      </c>
      <c r="U4985">
        <v>-1.8114319999999999</v>
      </c>
      <c r="V4985">
        <v>-0.1212698</v>
      </c>
      <c r="W4985">
        <v>0.18094669999999999</v>
      </c>
      <c r="X4985">
        <v>0.97598770000000001</v>
      </c>
      <c r="Y4985">
        <v>-0.28211019999999998</v>
      </c>
      <c r="Z4985">
        <v>6.8539059999999999E-2</v>
      </c>
      <c r="AA4985">
        <v>0.95693059999999996</v>
      </c>
      <c r="AB4985">
        <v>27</v>
      </c>
      <c r="AC4985">
        <v>11.521799999999899</v>
      </c>
      <c r="AD4985">
        <v>-1.118200786699</v>
      </c>
      <c r="AE4985">
        <v>-8.1117999999999899</v>
      </c>
      <c r="AF4985">
        <v>-4.0225020480311304</v>
      </c>
      <c r="AG4985">
        <v>-1.118200786699</v>
      </c>
      <c r="AH4985">
        <v>13.4125065269162</v>
      </c>
      <c r="AI4985">
        <v>94.565724960300003</v>
      </c>
      <c r="AJ4985">
        <v>106.69434558768</v>
      </c>
      <c r="AK4985">
        <v>14.0472853982667</v>
      </c>
      <c r="AL4985">
        <v>79.575093082828602</v>
      </c>
      <c r="AM4985">
        <v>97.082894138333401</v>
      </c>
      <c r="AN4985">
        <v>1.0000000315921</v>
      </c>
    </row>
    <row r="4986" spans="1:40" x14ac:dyDescent="0.25">
      <c r="A4986" t="str">
        <f>"20190312173030934"</f>
        <v>20190312173030934</v>
      </c>
      <c r="B4986" t="str">
        <f>"1552383030922851"</f>
        <v>1552383030922851</v>
      </c>
      <c r="C4986" t="s">
        <v>40</v>
      </c>
      <c r="D4986">
        <v>3.0080960000000001</v>
      </c>
      <c r="E4986">
        <v>0.43630219999999997</v>
      </c>
      <c r="F4986" t="s">
        <v>54</v>
      </c>
      <c r="G4986">
        <v>-403.08819999999997</v>
      </c>
      <c r="H4986" s="1">
        <v>-4.845767E-6</v>
      </c>
      <c r="I4986">
        <v>20.414670000000001</v>
      </c>
      <c r="J4986">
        <v>-414.66890000000001</v>
      </c>
      <c r="K4986">
        <v>1.1181920000000001</v>
      </c>
      <c r="L4986">
        <v>28.49146</v>
      </c>
      <c r="M4986">
        <v>0.62255090000000002</v>
      </c>
      <c r="N4986">
        <v>0</v>
      </c>
      <c r="O4986">
        <v>-0.78244609999999903</v>
      </c>
      <c r="P4986">
        <v>0.70125439999999895</v>
      </c>
      <c r="Q4986">
        <v>0.16909370000000001</v>
      </c>
      <c r="R4986">
        <v>-0.69256759999999995</v>
      </c>
      <c r="S4986">
        <v>2.5650019999999998</v>
      </c>
      <c r="T4986">
        <v>-0.2455841</v>
      </c>
      <c r="U4986">
        <v>-1.799072</v>
      </c>
      <c r="V4986">
        <v>-0.1211038</v>
      </c>
      <c r="W4986">
        <v>0.18087919999999999</v>
      </c>
      <c r="X4986">
        <v>0.97602080000000002</v>
      </c>
      <c r="Y4986">
        <v>-0.28074280000000001</v>
      </c>
      <c r="Z4986">
        <v>6.8171839999999997E-2</v>
      </c>
      <c r="AA4986">
        <v>0.95735890000000001</v>
      </c>
      <c r="AB4986">
        <v>27</v>
      </c>
      <c r="AC4986">
        <v>11.5807</v>
      </c>
      <c r="AD4986">
        <v>-1.118196845767</v>
      </c>
      <c r="AE4986">
        <v>-8.0767899999999901</v>
      </c>
      <c r="AF4986">
        <v>-4.0083396437276502</v>
      </c>
      <c r="AG4986">
        <v>-1.118196845767</v>
      </c>
      <c r="AH4986">
        <v>13.4462993737493</v>
      </c>
      <c r="AI4986">
        <v>94.556532613146999</v>
      </c>
      <c r="AJ4986">
        <v>106.599310095776</v>
      </c>
      <c r="AK4986">
        <v>14.0755148301528</v>
      </c>
      <c r="AL4986">
        <v>79.579025193897195</v>
      </c>
      <c r="AM4986">
        <v>97.073059554683198</v>
      </c>
      <c r="AN4986">
        <v>1.0000000086998599</v>
      </c>
    </row>
    <row r="4987" spans="1:40" x14ac:dyDescent="0.25">
      <c r="A4987" t="str">
        <f>"20190312173030948"</f>
        <v>20190312173030948</v>
      </c>
      <c r="B4987" t="str">
        <f>"1552383030943348"</f>
        <v>1552383030943348</v>
      </c>
      <c r="C4987" t="s">
        <v>40</v>
      </c>
      <c r="D4987">
        <v>3.0508869999999999</v>
      </c>
      <c r="E4987">
        <v>0.43691590000000002</v>
      </c>
      <c r="F4987" t="s">
        <v>54</v>
      </c>
      <c r="G4987">
        <v>-403.03120000000001</v>
      </c>
      <c r="H4987" s="1">
        <v>-4.8722349999999996E-6</v>
      </c>
      <c r="I4987">
        <v>20.414000000000001</v>
      </c>
      <c r="J4987">
        <v>-414.56729999999999</v>
      </c>
      <c r="K4987">
        <v>1.1181859999999999</v>
      </c>
      <c r="L4987">
        <v>28.373750000000001</v>
      </c>
      <c r="M4987">
        <v>0.62744</v>
      </c>
      <c r="N4987">
        <v>0</v>
      </c>
      <c r="O4987">
        <v>-0.77853099999999997</v>
      </c>
      <c r="P4987">
        <v>0.70543659999999997</v>
      </c>
      <c r="Q4987">
        <v>0.16907800000000001</v>
      </c>
      <c r="R4987">
        <v>-0.68831119999999901</v>
      </c>
      <c r="S4987">
        <v>2.573547</v>
      </c>
      <c r="T4987">
        <v>-0.24727460000000001</v>
      </c>
      <c r="U4987">
        <v>-1.786224</v>
      </c>
      <c r="V4987">
        <v>-0.120896</v>
      </c>
      <c r="W4987">
        <v>0.1808707</v>
      </c>
      <c r="X4987">
        <v>0.97604809999999997</v>
      </c>
      <c r="Y4987">
        <v>-0.2794238</v>
      </c>
      <c r="Z4987">
        <v>6.8359260000000005E-2</v>
      </c>
      <c r="AA4987">
        <v>0.95773140000000001</v>
      </c>
      <c r="AB4987">
        <v>27</v>
      </c>
      <c r="AC4987">
        <v>11.5360999999999</v>
      </c>
      <c r="AD4987">
        <v>-1.118190872235</v>
      </c>
      <c r="AE4987">
        <v>-7.9597499999999997</v>
      </c>
      <c r="AF4987">
        <v>-3.9621423478971298</v>
      </c>
      <c r="AG4987">
        <v>-1.118190872235</v>
      </c>
      <c r="AH4987">
        <v>13.3515401487912</v>
      </c>
      <c r="AI4987">
        <v>94.590388242128995</v>
      </c>
      <c r="AJ4987">
        <v>106.52854291102101</v>
      </c>
      <c r="AK4987">
        <v>13.971848380100999</v>
      </c>
      <c r="AL4987">
        <v>79.579520001687897</v>
      </c>
      <c r="AM4987">
        <v>97.060850120995596</v>
      </c>
      <c r="AN4987">
        <v>0.99999997322404899</v>
      </c>
    </row>
    <row r="4988" spans="1:40" x14ac:dyDescent="0.25">
      <c r="A4988" t="str">
        <f>"20190312173030957"</f>
        <v>20190312173030957</v>
      </c>
      <c r="B4988" t="str">
        <f>"1552383030953107"</f>
        <v>1552383030953107</v>
      </c>
      <c r="C4988" t="s">
        <v>40</v>
      </c>
      <c r="D4988">
        <v>3.0387300000000002</v>
      </c>
      <c r="E4988">
        <v>0.43724010000000002</v>
      </c>
      <c r="F4988" t="s">
        <v>54</v>
      </c>
      <c r="G4988">
        <v>-402.98450000000003</v>
      </c>
      <c r="H4988" s="1">
        <v>-4.8935010000000001E-6</v>
      </c>
      <c r="I4988">
        <v>20.411290000000001</v>
      </c>
      <c r="J4988">
        <v>-414.4785</v>
      </c>
      <c r="K4988">
        <v>1.1181779999999999</v>
      </c>
      <c r="L4988">
        <v>28.27225</v>
      </c>
      <c r="M4988">
        <v>0.63166180000000005</v>
      </c>
      <c r="N4988">
        <v>0</v>
      </c>
      <c r="O4988">
        <v>-0.77510939999999995</v>
      </c>
      <c r="P4988">
        <v>0.70876709999999998</v>
      </c>
      <c r="Q4988">
        <v>0.1691009</v>
      </c>
      <c r="R4988">
        <v>-0.68487519999999902</v>
      </c>
      <c r="S4988">
        <v>2.5811160000000002</v>
      </c>
      <c r="T4988">
        <v>-0.2491776</v>
      </c>
      <c r="U4988">
        <v>-1.7743529999999901</v>
      </c>
      <c r="V4988">
        <v>-0.1203259</v>
      </c>
      <c r="W4988">
        <v>0.18090829999999999</v>
      </c>
      <c r="X4988">
        <v>0.97611159999999997</v>
      </c>
      <c r="Y4988">
        <v>-0.27848000000000001</v>
      </c>
      <c r="Z4988">
        <v>6.8645860000000003E-2</v>
      </c>
      <c r="AA4988">
        <v>0.95798570000000005</v>
      </c>
      <c r="AB4988">
        <v>27</v>
      </c>
      <c r="AC4988">
        <v>11.4939999999999</v>
      </c>
      <c r="AD4988">
        <v>-1.1181828935009901</v>
      </c>
      <c r="AE4988">
        <v>-7.8609599999999897</v>
      </c>
      <c r="AF4988">
        <v>-3.9187822969695998</v>
      </c>
      <c r="AG4988">
        <v>-1.1181828935009901</v>
      </c>
      <c r="AH4988">
        <v>13.269257253340401</v>
      </c>
      <c r="AI4988">
        <v>94.620484912264303</v>
      </c>
      <c r="AJ4988">
        <v>106.453342559882</v>
      </c>
      <c r="AK4988">
        <v>13.8809356935938</v>
      </c>
      <c r="AL4988">
        <v>79.577329779399903</v>
      </c>
      <c r="AM4988">
        <v>97.027434934386605</v>
      </c>
      <c r="AN4988">
        <v>0.99999999543713003</v>
      </c>
    </row>
    <row r="4989" spans="1:40" x14ac:dyDescent="0.25">
      <c r="A4989" t="str">
        <f>"20190312173030970"</f>
        <v>20190312173030970</v>
      </c>
      <c r="B4989" t="str">
        <f>"1552383030962867"</f>
        <v>1552383030962867</v>
      </c>
      <c r="C4989" t="s">
        <v>40</v>
      </c>
      <c r="D4989">
        <v>3.136117</v>
      </c>
      <c r="E4989">
        <v>0.43750739999999999</v>
      </c>
      <c r="F4989" t="s">
        <v>54</v>
      </c>
      <c r="G4989">
        <v>-402.87729999999999</v>
      </c>
      <c r="H4989" s="1">
        <v>-4.935806E-6</v>
      </c>
      <c r="I4989">
        <v>20.368590000000001</v>
      </c>
      <c r="J4989">
        <v>-414.3879</v>
      </c>
      <c r="K4989">
        <v>1.1181700000000001</v>
      </c>
      <c r="L4989">
        <v>28.169979999999999</v>
      </c>
      <c r="M4989">
        <v>0.63591799999999998</v>
      </c>
      <c r="N4989">
        <v>0</v>
      </c>
      <c r="O4989">
        <v>-0.77162159999999902</v>
      </c>
      <c r="P4989">
        <v>0.71226849999999997</v>
      </c>
      <c r="Q4989">
        <v>0.16902619999999999</v>
      </c>
      <c r="R4989">
        <v>-0.68125219999999997</v>
      </c>
      <c r="S4989">
        <v>2.588257</v>
      </c>
      <c r="T4989">
        <v>-0.2494709</v>
      </c>
      <c r="U4989">
        <v>-1.763336</v>
      </c>
      <c r="V4989">
        <v>-0.11994009999999999</v>
      </c>
      <c r="W4989">
        <v>0.1808449</v>
      </c>
      <c r="X4989">
        <v>0.97617080000000001</v>
      </c>
      <c r="Y4989">
        <v>-0.27721430000000002</v>
      </c>
      <c r="Z4989">
        <v>6.8470929999999999E-2</v>
      </c>
      <c r="AA4989">
        <v>0.95836529999999998</v>
      </c>
      <c r="AB4989">
        <v>27</v>
      </c>
      <c r="AC4989">
        <v>11.5106</v>
      </c>
      <c r="AD4989">
        <v>-1.118174935806</v>
      </c>
      <c r="AE4989">
        <v>-7.8013899999999898</v>
      </c>
      <c r="AF4989">
        <v>-3.89599878212606</v>
      </c>
      <c r="AG4989">
        <v>-1.118174935806</v>
      </c>
      <c r="AH4989">
        <v>13.2551955506287</v>
      </c>
      <c r="AI4989">
        <v>94.627087580603202</v>
      </c>
      <c r="AJ4989">
        <v>106.379243204792</v>
      </c>
      <c r="AK4989">
        <v>13.861072497566701</v>
      </c>
      <c r="AL4989">
        <v>79.581022964813599</v>
      </c>
      <c r="AM4989">
        <v>97.0047065428911</v>
      </c>
      <c r="AN4989">
        <v>0.99999996810832903</v>
      </c>
    </row>
    <row r="4990" spans="1:40" x14ac:dyDescent="0.25">
      <c r="A4990" t="str">
        <f>"20190312173030980"</f>
        <v>20190312173030980</v>
      </c>
      <c r="B4990" t="str">
        <f>"1552383030972627"</f>
        <v>1552383030972627</v>
      </c>
      <c r="C4990" t="s">
        <v>40</v>
      </c>
      <c r="D4990">
        <v>3.0239220000000002</v>
      </c>
      <c r="E4990">
        <v>0.43750739999999999</v>
      </c>
      <c r="F4990" t="s">
        <v>54</v>
      </c>
      <c r="G4990">
        <v>-402.84449999999998</v>
      </c>
      <c r="H4990" s="1">
        <v>-4.9533719999999999E-6</v>
      </c>
      <c r="I4990">
        <v>20.3813</v>
      </c>
      <c r="J4990">
        <v>-414.30200000000002</v>
      </c>
      <c r="K4990">
        <v>1.1181680000000001</v>
      </c>
      <c r="L4990">
        <v>28.07367</v>
      </c>
      <c r="M4990">
        <v>0.63992299999999902</v>
      </c>
      <c r="N4990">
        <v>0</v>
      </c>
      <c r="O4990">
        <v>-0.76830330000000002</v>
      </c>
      <c r="P4990">
        <v>0.71563399999999999</v>
      </c>
      <c r="Q4990">
        <v>0.16872989999999999</v>
      </c>
      <c r="R4990">
        <v>-0.67778919999999998</v>
      </c>
      <c r="S4990">
        <v>2.5961609999999999</v>
      </c>
      <c r="T4990">
        <v>-0.25148239999999999</v>
      </c>
      <c r="U4990">
        <v>-1.751709</v>
      </c>
      <c r="V4990">
        <v>-0.1196411</v>
      </c>
      <c r="W4990">
        <v>0.18055789999999999</v>
      </c>
      <c r="X4990">
        <v>0.97626069999999998</v>
      </c>
      <c r="Y4990">
        <v>-0.27648979999999901</v>
      </c>
      <c r="Z4990">
        <v>6.8780359999999999E-2</v>
      </c>
      <c r="AA4990">
        <v>0.95855239999999997</v>
      </c>
      <c r="AB4990">
        <v>27</v>
      </c>
      <c r="AC4990">
        <v>11.4574999999999</v>
      </c>
      <c r="AD4990">
        <v>-1.118172953372</v>
      </c>
      <c r="AE4990">
        <v>-7.6923699999999897</v>
      </c>
      <c r="AF4990">
        <v>-3.8554040626052299</v>
      </c>
      <c r="AG4990">
        <v>-1.118172953372</v>
      </c>
      <c r="AH4990">
        <v>13.1569947964498</v>
      </c>
      <c r="AI4990">
        <v>94.662581472567695</v>
      </c>
      <c r="AJ4990">
        <v>106.332207078759</v>
      </c>
      <c r="AK4990">
        <v>13.755761095388801</v>
      </c>
      <c r="AL4990">
        <v>79.597742958329903</v>
      </c>
      <c r="AM4990">
        <v>96.986780185338404</v>
      </c>
      <c r="AN4990">
        <v>1.00000005121305</v>
      </c>
    </row>
    <row r="4991" spans="1:40" x14ac:dyDescent="0.25">
      <c r="A4991" t="str">
        <f>"20190312173030994"</f>
        <v>20190312173030994</v>
      </c>
      <c r="B4991" t="str">
        <f>"1552383030982387"</f>
        <v>1552383030982387</v>
      </c>
      <c r="C4991" t="s">
        <v>40</v>
      </c>
      <c r="D4991">
        <v>3.0512600000000001</v>
      </c>
      <c r="E4991">
        <v>0.44291190000000003</v>
      </c>
      <c r="F4991" t="s">
        <v>54</v>
      </c>
      <c r="G4991">
        <v>-402.75450000000001</v>
      </c>
      <c r="H4991" s="1">
        <v>-4.9925570000000001E-6</v>
      </c>
      <c r="I4991">
        <v>20.36591</v>
      </c>
      <c r="J4991">
        <v>-414.20049999999998</v>
      </c>
      <c r="K4991">
        <v>1.1181620000000001</v>
      </c>
      <c r="L4991">
        <v>27.961760000000002</v>
      </c>
      <c r="M4991">
        <v>0.64458719999999903</v>
      </c>
      <c r="N4991">
        <v>0</v>
      </c>
      <c r="O4991">
        <v>-0.76439440000000003</v>
      </c>
      <c r="P4991">
        <v>0.71939370000000002</v>
      </c>
      <c r="Q4991">
        <v>0.16833419999999999</v>
      </c>
      <c r="R4991">
        <v>-0.67389659999999996</v>
      </c>
      <c r="S4991">
        <v>2.6048279999999999</v>
      </c>
      <c r="T4991">
        <v>-0.25223210000000001</v>
      </c>
      <c r="U4991">
        <v>-1.7386779999999999</v>
      </c>
      <c r="V4991">
        <v>-0.1190541</v>
      </c>
      <c r="W4991">
        <v>0.180178</v>
      </c>
      <c r="X4991">
        <v>0.97640260000000001</v>
      </c>
      <c r="Y4991">
        <v>-0.27542879999999997</v>
      </c>
      <c r="Z4991">
        <v>6.8696090000000001E-2</v>
      </c>
      <c r="AA4991">
        <v>0.95886389999999999</v>
      </c>
      <c r="AB4991">
        <v>27</v>
      </c>
      <c r="AC4991">
        <v>11.4459999999999</v>
      </c>
      <c r="AD4991">
        <v>-1.1181669925569999</v>
      </c>
      <c r="AE4991">
        <v>-7.5958499999999898</v>
      </c>
      <c r="AF4991">
        <v>-3.8281090361588701</v>
      </c>
      <c r="AG4991">
        <v>-1.1181669925569999</v>
      </c>
      <c r="AH4991">
        <v>13.0987584774229</v>
      </c>
      <c r="AI4991">
        <v>94.684175804627003</v>
      </c>
      <c r="AJ4991">
        <v>106.29098947822899</v>
      </c>
      <c r="AK4991">
        <v>13.6924135880357</v>
      </c>
      <c r="AL4991">
        <v>79.6198721749209</v>
      </c>
      <c r="AM4991">
        <v>96.951836451510403</v>
      </c>
      <c r="AN4991">
        <v>1.0000000138487799</v>
      </c>
    </row>
    <row r="4992" spans="1:40" x14ac:dyDescent="0.25">
      <c r="A4992" t="str">
        <f>"20190312173031009"</f>
        <v>20190312173031009</v>
      </c>
      <c r="B4992" t="str">
        <f>"1552383031002887"</f>
        <v>1552383031002887</v>
      </c>
      <c r="C4992" t="s">
        <v>40</v>
      </c>
      <c r="D4992">
        <v>3.0183140000000002</v>
      </c>
      <c r="E4992">
        <v>0.44320850000000001</v>
      </c>
      <c r="F4992" t="s">
        <v>54</v>
      </c>
      <c r="G4992">
        <v>-403.32350000000002</v>
      </c>
      <c r="H4992" s="1">
        <v>-4.7645849999999999E-6</v>
      </c>
      <c r="I4992">
        <v>20.574349999999999</v>
      </c>
      <c r="J4992">
        <v>-414.07389999999998</v>
      </c>
      <c r="K4992">
        <v>1.1181490000000001</v>
      </c>
      <c r="L4992">
        <v>27.823699999999999</v>
      </c>
      <c r="M4992">
        <v>0.65033839999999998</v>
      </c>
      <c r="N4992">
        <v>0</v>
      </c>
      <c r="O4992">
        <v>-0.75950740000000005</v>
      </c>
      <c r="P4992">
        <v>0.72408839999999997</v>
      </c>
      <c r="Q4992">
        <v>0.168010299999999</v>
      </c>
      <c r="R4992">
        <v>-0.6689311</v>
      </c>
      <c r="S4992">
        <v>2.5866699999999998</v>
      </c>
      <c r="T4992">
        <v>-0.26591229999999999</v>
      </c>
      <c r="U4992">
        <v>-1.7568049999999999</v>
      </c>
      <c r="V4992">
        <v>-0.1184468</v>
      </c>
      <c r="W4992">
        <v>0.1798708</v>
      </c>
      <c r="X4992">
        <v>0.97653310000000004</v>
      </c>
      <c r="Y4992">
        <v>-0.26018170000000002</v>
      </c>
      <c r="Z4992">
        <v>7.1725780000000003E-2</v>
      </c>
      <c r="AA4992">
        <v>0.96289190000000002</v>
      </c>
      <c r="AB4992">
        <v>27</v>
      </c>
      <c r="AC4992">
        <v>10.7503999999999</v>
      </c>
      <c r="AD4992">
        <v>-1.1181537645849999</v>
      </c>
      <c r="AE4992">
        <v>-7.2493499999999997</v>
      </c>
      <c r="AF4992">
        <v>-3.42536442267915</v>
      </c>
      <c r="AG4992">
        <v>-1.1181537645849999</v>
      </c>
      <c r="AH4992">
        <v>12.4063748764449</v>
      </c>
      <c r="AI4992">
        <v>94.965211169951601</v>
      </c>
      <c r="AJ4992">
        <v>105.434675816789</v>
      </c>
      <c r="AK4992">
        <v>12.9190373807143</v>
      </c>
      <c r="AL4992">
        <v>79.637765869476397</v>
      </c>
      <c r="AM4992">
        <v>96.915803859563994</v>
      </c>
      <c r="AN4992">
        <v>1.00000002225924</v>
      </c>
    </row>
    <row r="4993" spans="1:40" x14ac:dyDescent="0.25">
      <c r="A4993" t="str">
        <f>"20190312173031019"</f>
        <v>20190312173031019</v>
      </c>
      <c r="B4993" t="str">
        <f>"1552383031012644"</f>
        <v>1552383031012644</v>
      </c>
      <c r="C4993" t="s">
        <v>40</v>
      </c>
      <c r="D4993">
        <v>3.0524049999999998</v>
      </c>
      <c r="E4993">
        <v>0.44342429999999999</v>
      </c>
      <c r="F4993" t="s">
        <v>54</v>
      </c>
      <c r="G4993">
        <v>-403.21660000000003</v>
      </c>
      <c r="H4993" s="1">
        <v>-4.8101160000000003E-6</v>
      </c>
      <c r="I4993">
        <v>20.550249999999998</v>
      </c>
      <c r="J4993">
        <v>-413.98590000000002</v>
      </c>
      <c r="K4993">
        <v>1.118142</v>
      </c>
      <c r="L4993">
        <v>27.728819999999999</v>
      </c>
      <c r="M4993">
        <v>0.65429040000000005</v>
      </c>
      <c r="N4993">
        <v>0</v>
      </c>
      <c r="O4993">
        <v>-0.75610549999999999</v>
      </c>
      <c r="P4993">
        <v>0.72735059999999996</v>
      </c>
      <c r="Q4993">
        <v>0.16774749999999999</v>
      </c>
      <c r="R4993">
        <v>-0.66544899999999996</v>
      </c>
      <c r="S4993">
        <v>2.597626</v>
      </c>
      <c r="T4993">
        <v>-0.26751829999999999</v>
      </c>
      <c r="U4993">
        <v>-1.740173</v>
      </c>
      <c r="V4993">
        <v>-0.1180761</v>
      </c>
      <c r="W4993">
        <v>0.1796189</v>
      </c>
      <c r="X4993">
        <v>0.9766243</v>
      </c>
      <c r="Y4993">
        <v>-0.261254299999999</v>
      </c>
      <c r="Z4993">
        <v>7.194834E-2</v>
      </c>
      <c r="AA4993">
        <v>0.96258489999999997</v>
      </c>
      <c r="AB4993">
        <v>27</v>
      </c>
      <c r="AC4993">
        <v>10.7692999999999</v>
      </c>
      <c r="AD4993">
        <v>-1.1181468101159999</v>
      </c>
      <c r="AE4993">
        <v>-7.1785699999999997</v>
      </c>
      <c r="AF4993">
        <v>-3.4206857088125702</v>
      </c>
      <c r="AG4993">
        <v>-1.1181468101159999</v>
      </c>
      <c r="AH4993">
        <v>12.382883879474999</v>
      </c>
      <c r="AI4993">
        <v>94.974367095796794</v>
      </c>
      <c r="AJ4993">
        <v>105.442444683857</v>
      </c>
      <c r="AK4993">
        <v>12.8952377325899</v>
      </c>
      <c r="AL4993">
        <v>79.652437073848006</v>
      </c>
      <c r="AM4993">
        <v>96.893730664901696</v>
      </c>
      <c r="AN4993">
        <v>0.99999996898945398</v>
      </c>
    </row>
    <row r="4994" spans="1:40" x14ac:dyDescent="0.25">
      <c r="A4994" t="str">
        <f>"20190312173031031"</f>
        <v>20190312173031031</v>
      </c>
      <c r="B4994" t="str">
        <f>"1552383031022404"</f>
        <v>1552383031022404</v>
      </c>
      <c r="C4994" t="s">
        <v>40</v>
      </c>
      <c r="D4994">
        <v>3.0176669999999999</v>
      </c>
      <c r="E4994">
        <v>0.4437335</v>
      </c>
      <c r="F4994" t="s">
        <v>54</v>
      </c>
      <c r="G4994">
        <v>-403.1046</v>
      </c>
      <c r="H4994" s="1">
        <v>-4.8543960000000004E-6</v>
      </c>
      <c r="I4994">
        <v>20.505839999999999</v>
      </c>
      <c r="J4994">
        <v>-413.89460000000003</v>
      </c>
      <c r="K4994">
        <v>1.118131</v>
      </c>
      <c r="L4994">
        <v>27.63165</v>
      </c>
      <c r="M4994">
        <v>0.65834579999999998</v>
      </c>
      <c r="N4994">
        <v>0</v>
      </c>
      <c r="O4994">
        <v>-0.7525771</v>
      </c>
      <c r="P4994">
        <v>0.73085359999999999</v>
      </c>
      <c r="Q4994">
        <v>0.1674206</v>
      </c>
      <c r="R4994">
        <v>-0.6616824</v>
      </c>
      <c r="S4994">
        <v>2.6045530000000001</v>
      </c>
      <c r="T4994">
        <v>-0.26763799999999999</v>
      </c>
      <c r="U4994">
        <v>-1.728882</v>
      </c>
      <c r="V4994">
        <v>-0.1179173</v>
      </c>
      <c r="W4994">
        <v>0.1792985</v>
      </c>
      <c r="X4994">
        <v>0.97670239999999997</v>
      </c>
      <c r="Y4994">
        <v>-0.26015090000000002</v>
      </c>
      <c r="Z4994">
        <v>7.1704569999999995E-2</v>
      </c>
      <c r="AA4994">
        <v>0.96290180000000003</v>
      </c>
      <c r="AB4994">
        <v>27</v>
      </c>
      <c r="AC4994">
        <v>10.79</v>
      </c>
      <c r="AD4994">
        <v>-1.1181358543960001</v>
      </c>
      <c r="AE4994">
        <v>-7.1258100000000004</v>
      </c>
      <c r="AF4994">
        <v>-3.4039646423671299</v>
      </c>
      <c r="AG4994">
        <v>-1.1181358543960001</v>
      </c>
      <c r="AH4994">
        <v>12.375039618843299</v>
      </c>
      <c r="AI4994">
        <v>94.978948270475499</v>
      </c>
      <c r="AJ4994">
        <v>105.37981846786001</v>
      </c>
      <c r="AK4994">
        <v>12.883276316345601</v>
      </c>
      <c r="AL4994">
        <v>79.671098013976902</v>
      </c>
      <c r="AM4994">
        <v>96.884003133785498</v>
      </c>
      <c r="AN4994">
        <v>1.0000000099536499</v>
      </c>
    </row>
    <row r="4995" spans="1:40" x14ac:dyDescent="0.25">
      <c r="A4995" t="str">
        <f>"20190312173031041"</f>
        <v>20190312173031041</v>
      </c>
      <c r="B4995" t="str">
        <f>"1552383031033140"</f>
        <v>1552383031033140</v>
      </c>
      <c r="C4995" t="s">
        <v>40</v>
      </c>
      <c r="D4995">
        <v>3.0230070000000002</v>
      </c>
      <c r="E4995">
        <v>0.44428499999999999</v>
      </c>
      <c r="F4995" t="s">
        <v>54</v>
      </c>
      <c r="G4995">
        <v>-403.0308</v>
      </c>
      <c r="H4995" s="1">
        <v>-4.8859619999999997E-6</v>
      </c>
      <c r="I4995">
        <v>20.490179999999999</v>
      </c>
      <c r="J4995">
        <v>-413.80220000000003</v>
      </c>
      <c r="K4995">
        <v>1.118123</v>
      </c>
      <c r="L4995">
        <v>27.534089999999999</v>
      </c>
      <c r="M4995">
        <v>0.66241000000000005</v>
      </c>
      <c r="N4995">
        <v>0</v>
      </c>
      <c r="O4995">
        <v>-0.7490021</v>
      </c>
      <c r="P4995">
        <v>0.73438230000000004</v>
      </c>
      <c r="Q4995">
        <v>0.16728419999999999</v>
      </c>
      <c r="R4995">
        <v>-0.65779840000000001</v>
      </c>
      <c r="S4995">
        <v>2.6119080000000001</v>
      </c>
      <c r="T4995">
        <v>-0.26882660000000003</v>
      </c>
      <c r="U4995">
        <v>-1.71698</v>
      </c>
      <c r="V4995">
        <v>-0.1178251</v>
      </c>
      <c r="W4995">
        <v>0.1791662</v>
      </c>
      <c r="X4995">
        <v>0.97673779999999999</v>
      </c>
      <c r="Y4995">
        <v>-0.25921959999999999</v>
      </c>
      <c r="Z4995">
        <v>7.1743299999999996E-2</v>
      </c>
      <c r="AA4995">
        <v>0.96315010000000001</v>
      </c>
      <c r="AB4995">
        <v>27</v>
      </c>
      <c r="AC4995">
        <v>10.7714</v>
      </c>
      <c r="AD4995">
        <v>-1.1181278859620001</v>
      </c>
      <c r="AE4995">
        <v>-7.0439100000000003</v>
      </c>
      <c r="AF4995">
        <v>-3.3767134390393698</v>
      </c>
      <c r="AG4995">
        <v>-1.1181278859620001</v>
      </c>
      <c r="AH4995">
        <v>12.319299456974599</v>
      </c>
      <c r="AI4995">
        <v>95.002556037971601</v>
      </c>
      <c r="AJ4995">
        <v>105.32827123881501</v>
      </c>
      <c r="AK4995">
        <v>12.8225404163672</v>
      </c>
      <c r="AL4995">
        <v>79.678802969776598</v>
      </c>
      <c r="AM4995">
        <v>96.878425180855402</v>
      </c>
      <c r="AN4995">
        <v>1.00000000568064</v>
      </c>
    </row>
    <row r="4996" spans="1:40" x14ac:dyDescent="0.25">
      <c r="A4996" t="str">
        <f>"20190312173031053"</f>
        <v>20190312173031053</v>
      </c>
      <c r="B4996" t="str">
        <f>"1552383031042900"</f>
        <v>1552383031042900</v>
      </c>
      <c r="C4996" t="s">
        <v>40</v>
      </c>
      <c r="D4996">
        <v>3.121502</v>
      </c>
      <c r="E4996">
        <v>0.44428499999999999</v>
      </c>
      <c r="F4996" t="s">
        <v>54</v>
      </c>
      <c r="G4996">
        <v>-402.94170000000003</v>
      </c>
      <c r="H4996" s="1">
        <v>-4.9217550000000003E-6</v>
      </c>
      <c r="I4996">
        <v>20.458020000000001</v>
      </c>
      <c r="J4996">
        <v>-413.70920000000001</v>
      </c>
      <c r="K4996">
        <v>1.118115</v>
      </c>
      <c r="L4996">
        <v>27.4375</v>
      </c>
      <c r="M4996">
        <v>0.66644780000000003</v>
      </c>
      <c r="N4996">
        <v>0</v>
      </c>
      <c r="O4996">
        <v>-0.74541179999999996</v>
      </c>
      <c r="P4996">
        <v>0.73778339999999998</v>
      </c>
      <c r="Q4996">
        <v>0.16711280000000001</v>
      </c>
      <c r="R4996">
        <v>-0.65402519999999997</v>
      </c>
      <c r="S4996">
        <v>2.6184080000000001</v>
      </c>
      <c r="T4996">
        <v>-0.26957350000000002</v>
      </c>
      <c r="U4996">
        <v>-1.70599399999999</v>
      </c>
      <c r="V4996">
        <v>-0.11757529999999999</v>
      </c>
      <c r="W4996">
        <v>0.179003</v>
      </c>
      <c r="X4996">
        <v>0.97679780000000005</v>
      </c>
      <c r="Y4996">
        <v>-0.2579282</v>
      </c>
      <c r="Z4996">
        <v>7.1653359999999999E-2</v>
      </c>
      <c r="AA4996">
        <v>0.96350340000000001</v>
      </c>
      <c r="AB4996">
        <v>27</v>
      </c>
      <c r="AC4996">
        <v>10.767499999999901</v>
      </c>
      <c r="AD4996">
        <v>-1.118119921755</v>
      </c>
      <c r="AE4996">
        <v>-6.9794799999999899</v>
      </c>
      <c r="AF4996">
        <v>-3.3496805904172602</v>
      </c>
      <c r="AG4996">
        <v>-1.118119921755</v>
      </c>
      <c r="AH4996">
        <v>12.2865636043108</v>
      </c>
      <c r="AI4996">
        <v>95.017647277141606</v>
      </c>
      <c r="AJ4996">
        <v>105.249908336376</v>
      </c>
      <c r="AK4996">
        <v>12.783982064287301</v>
      </c>
      <c r="AL4996">
        <v>79.688307061018605</v>
      </c>
      <c r="AM4996">
        <v>96.863563963278196</v>
      </c>
      <c r="AN4996">
        <v>0.99999998363196496</v>
      </c>
    </row>
    <row r="4997" spans="1:40" x14ac:dyDescent="0.25">
      <c r="A4997" t="str">
        <f>"20190312173031065"</f>
        <v>20190312173031065</v>
      </c>
      <c r="B4997" t="str">
        <f>"1552383031052660"</f>
        <v>1552383031052660</v>
      </c>
      <c r="C4997" t="s">
        <v>40</v>
      </c>
      <c r="D4997">
        <v>3.1366200000000002</v>
      </c>
      <c r="E4997">
        <v>0.44931919999999997</v>
      </c>
      <c r="F4997" t="s">
        <v>54</v>
      </c>
      <c r="G4997">
        <v>-402.83150000000001</v>
      </c>
      <c r="H4997" s="1">
        <v>-4.9681659999999996E-6</v>
      </c>
      <c r="I4997">
        <v>20.430319999999998</v>
      </c>
      <c r="J4997">
        <v>-413.61500000000001</v>
      </c>
      <c r="K4997">
        <v>1.1181049999999999</v>
      </c>
      <c r="L4997">
        <v>27.34009</v>
      </c>
      <c r="M4997">
        <v>0.67050900000000002</v>
      </c>
      <c r="N4997">
        <v>0</v>
      </c>
      <c r="O4997">
        <v>-0.74176070000000005</v>
      </c>
      <c r="P4997">
        <v>0.74128649999999996</v>
      </c>
      <c r="Q4997">
        <v>0.16694349999999999</v>
      </c>
      <c r="R4997">
        <v>-0.6500956</v>
      </c>
      <c r="S4997">
        <v>2.627167</v>
      </c>
      <c r="T4997">
        <v>-0.27004470000000003</v>
      </c>
      <c r="U4997">
        <v>-1.6923520000000001</v>
      </c>
      <c r="V4997">
        <v>-0.11745170000000001</v>
      </c>
      <c r="W4997">
        <v>0.17883829999999901</v>
      </c>
      <c r="X4997">
        <v>0.97684280000000001</v>
      </c>
      <c r="Y4997">
        <v>-0.2576522</v>
      </c>
      <c r="Z4997">
        <v>7.1503040000000004E-2</v>
      </c>
      <c r="AA4997">
        <v>0.96358840000000001</v>
      </c>
      <c r="AB4997">
        <v>27</v>
      </c>
      <c r="AC4997">
        <v>10.7835</v>
      </c>
      <c r="AD4997">
        <v>-1.1181099681659901</v>
      </c>
      <c r="AE4997">
        <v>-6.90977</v>
      </c>
      <c r="AF4997">
        <v>-3.3406039671405301</v>
      </c>
      <c r="AG4997">
        <v>-1.1181099681659901</v>
      </c>
      <c r="AH4997">
        <v>12.263650205374899</v>
      </c>
      <c r="AI4997">
        <v>95.027222479380299</v>
      </c>
      <c r="AJ4997">
        <v>105.23760167067501</v>
      </c>
      <c r="AK4997">
        <v>12.759581541962</v>
      </c>
      <c r="AL4997">
        <v>79.697898072631901</v>
      </c>
      <c r="AM4997">
        <v>96.856104576787601</v>
      </c>
      <c r="AN4997">
        <v>0.99999994764580802</v>
      </c>
    </row>
    <row r="4998" spans="1:40" x14ac:dyDescent="0.25">
      <c r="A4998" t="str">
        <f>"20190312173031075"</f>
        <v>20190312173031075</v>
      </c>
      <c r="B4998" t="str">
        <f>"1552383031062420"</f>
        <v>1552383031062420</v>
      </c>
      <c r="C4998" t="s">
        <v>40</v>
      </c>
      <c r="D4998">
        <v>3.0243229999999999</v>
      </c>
      <c r="E4998">
        <v>0.44984209999999902</v>
      </c>
      <c r="F4998" t="s">
        <v>54</v>
      </c>
      <c r="G4998">
        <v>-402.37819999999999</v>
      </c>
      <c r="H4998" s="1">
        <v>-5.0995299999999996E-6</v>
      </c>
      <c r="I4998">
        <v>19.982150000000001</v>
      </c>
      <c r="J4998">
        <v>-413.52879999999999</v>
      </c>
      <c r="K4998">
        <v>1.118098</v>
      </c>
      <c r="L4998">
        <v>27.252410000000001</v>
      </c>
      <c r="M4998">
        <v>0.67417729999999998</v>
      </c>
      <c r="N4998">
        <v>0</v>
      </c>
      <c r="O4998">
        <v>-0.73842839999999998</v>
      </c>
      <c r="P4998">
        <v>0.7444288</v>
      </c>
      <c r="Q4998">
        <v>0.16679359999999999</v>
      </c>
      <c r="R4998">
        <v>-0.64653389999999999</v>
      </c>
      <c r="S4998">
        <v>2.60791</v>
      </c>
      <c r="T4998">
        <v>-0.25949719999999998</v>
      </c>
      <c r="U4998">
        <v>-1.7076720000000001</v>
      </c>
      <c r="V4998">
        <v>-0.11731229999999999</v>
      </c>
      <c r="W4998">
        <v>0.17869279999999901</v>
      </c>
      <c r="X4998">
        <v>0.97688620000000004</v>
      </c>
      <c r="Y4998">
        <v>-0.2458747</v>
      </c>
      <c r="Z4998">
        <v>6.831255E-2</v>
      </c>
      <c r="AA4998">
        <v>0.96689139999999996</v>
      </c>
      <c r="AB4998">
        <v>27</v>
      </c>
      <c r="AC4998">
        <v>11.150599999999899</v>
      </c>
      <c r="AD4998">
        <v>-1.1181030995299901</v>
      </c>
      <c r="AE4998">
        <v>-7.2702599999999897</v>
      </c>
      <c r="AF4998">
        <v>-3.30947339400505</v>
      </c>
      <c r="AG4998">
        <v>-1.1181030995299901</v>
      </c>
      <c r="AH4998">
        <v>12.797103253032301</v>
      </c>
      <c r="AI4998">
        <v>94.835066470824799</v>
      </c>
      <c r="AJ4998">
        <v>104.499653631423</v>
      </c>
      <c r="AK4998">
        <v>13.265316443853701</v>
      </c>
      <c r="AL4998">
        <v>79.706371328925997</v>
      </c>
      <c r="AM4998">
        <v>96.847743237590905</v>
      </c>
      <c r="AN4998">
        <v>0.99999997012678399</v>
      </c>
    </row>
    <row r="4999" spans="1:40" x14ac:dyDescent="0.25">
      <c r="A4999" t="str">
        <f>"20190312173031086"</f>
        <v>20190312173031086</v>
      </c>
      <c r="B4999" t="str">
        <f>"1552383031082916"</f>
        <v>1552383031082916</v>
      </c>
      <c r="C4999" t="s">
        <v>40</v>
      </c>
      <c r="D4999">
        <v>3.1870210000000001</v>
      </c>
      <c r="E4999">
        <v>0.45030520000000002</v>
      </c>
      <c r="F4999" t="s">
        <v>54</v>
      </c>
      <c r="G4999">
        <v>-402.3365</v>
      </c>
      <c r="H4999" s="1">
        <v>-5.1185290000000004E-6</v>
      </c>
      <c r="I4999">
        <v>19.979759999999999</v>
      </c>
      <c r="J4999">
        <v>-413.43380000000002</v>
      </c>
      <c r="K4999">
        <v>1.11809</v>
      </c>
      <c r="L4999">
        <v>27.15634</v>
      </c>
      <c r="M4999">
        <v>0.67818869999999998</v>
      </c>
      <c r="N4999">
        <v>0</v>
      </c>
      <c r="O4999">
        <v>-0.73474569999999995</v>
      </c>
      <c r="P4999">
        <v>0.7478051</v>
      </c>
      <c r="Q4999">
        <v>0.1666888</v>
      </c>
      <c r="R4999">
        <v>-0.64265249999999996</v>
      </c>
      <c r="S4999">
        <v>2.6135250000000001</v>
      </c>
      <c r="T4999">
        <v>-0.26108940000000003</v>
      </c>
      <c r="U4999">
        <v>-1.69824199999999</v>
      </c>
      <c r="V4999">
        <v>-0.1170853</v>
      </c>
      <c r="W4999">
        <v>0.17859529999999901</v>
      </c>
      <c r="X4999">
        <v>0.97693129999999995</v>
      </c>
      <c r="Y4999">
        <v>-0.24397940000000001</v>
      </c>
      <c r="Z4999">
        <v>6.841788E-2</v>
      </c>
      <c r="AA4999">
        <v>0.967364</v>
      </c>
      <c r="AB4999">
        <v>27</v>
      </c>
      <c r="AC4999">
        <v>11.097300000000001</v>
      </c>
      <c r="AD4999">
        <v>-1.118095118529</v>
      </c>
      <c r="AE4999">
        <v>-7.1765800000000004</v>
      </c>
      <c r="AF4999">
        <v>-3.2636009883560599</v>
      </c>
      <c r="AG4999">
        <v>-1.118095118529</v>
      </c>
      <c r="AH4999">
        <v>12.709389985594701</v>
      </c>
      <c r="AI4999">
        <v>94.870377612706804</v>
      </c>
      <c r="AJ4999">
        <v>104.401625206852</v>
      </c>
      <c r="AK4999">
        <v>13.169275679064899</v>
      </c>
      <c r="AL4999">
        <v>79.712049381219899</v>
      </c>
      <c r="AM4999">
        <v>96.834305736575999</v>
      </c>
      <c r="AN4999">
        <v>1.0000000067889301</v>
      </c>
    </row>
    <row r="5000" spans="1:40" x14ac:dyDescent="0.25">
      <c r="A5000" t="str">
        <f>"20190312173031097"</f>
        <v>20190312173031097</v>
      </c>
      <c r="B5000" t="str">
        <f>"1552383031092676"</f>
        <v>1552383031092676</v>
      </c>
      <c r="C5000" t="s">
        <v>40</v>
      </c>
      <c r="D5000">
        <v>3.184148</v>
      </c>
      <c r="E5000">
        <v>0.4499322</v>
      </c>
      <c r="F5000" t="s">
        <v>54</v>
      </c>
      <c r="G5000">
        <v>-402.25779999999997</v>
      </c>
      <c r="H5000" s="1">
        <v>-5.1519440000000001E-6</v>
      </c>
      <c r="I5000">
        <v>19.96143</v>
      </c>
      <c r="J5000">
        <v>-413.33370000000002</v>
      </c>
      <c r="K5000">
        <v>1.1180810000000001</v>
      </c>
      <c r="L5000">
        <v>27.056460000000001</v>
      </c>
      <c r="M5000">
        <v>0.68236649999999999</v>
      </c>
      <c r="N5000">
        <v>0</v>
      </c>
      <c r="O5000">
        <v>-0.73086770000000001</v>
      </c>
      <c r="P5000">
        <v>0.75142200000000003</v>
      </c>
      <c r="Q5000">
        <v>0.166579799999999</v>
      </c>
      <c r="R5000">
        <v>-0.63844849999999997</v>
      </c>
      <c r="S5000">
        <v>2.6203919999999998</v>
      </c>
      <c r="T5000">
        <v>-0.26215369999999999</v>
      </c>
      <c r="U5000">
        <v>-1.6869510000000001</v>
      </c>
      <c r="V5000">
        <v>-0.1170065</v>
      </c>
      <c r="W5000">
        <v>0.17848919999999999</v>
      </c>
      <c r="X5000">
        <v>0.9769601</v>
      </c>
      <c r="Y5000">
        <v>-0.24254390000000001</v>
      </c>
      <c r="Z5000">
        <v>6.8379019999999999E-2</v>
      </c>
      <c r="AA5000">
        <v>0.96772760000000002</v>
      </c>
      <c r="AB5000">
        <v>27</v>
      </c>
      <c r="AC5000">
        <v>11.075900000000001</v>
      </c>
      <c r="AD5000">
        <v>-1.118086151944</v>
      </c>
      <c r="AE5000">
        <v>-7.0950299999999897</v>
      </c>
      <c r="AF5000">
        <v>-3.2306031305556902</v>
      </c>
      <c r="AG5000">
        <v>-1.118086151944</v>
      </c>
      <c r="AH5000">
        <v>12.653253375878499</v>
      </c>
      <c r="AI5000">
        <v>94.893559823799393</v>
      </c>
      <c r="AJ5000">
        <v>104.32265726423201</v>
      </c>
      <c r="AK5000">
        <v>13.1069345853447</v>
      </c>
      <c r="AL5000">
        <v>79.718227418521096</v>
      </c>
      <c r="AM5000">
        <v>96.8295501831103</v>
      </c>
      <c r="AN5000">
        <v>0.99999997627544901</v>
      </c>
    </row>
    <row r="5001" spans="1:40" x14ac:dyDescent="0.25">
      <c r="A5001" t="str">
        <f>"20190312173031110"</f>
        <v>20190312173031110</v>
      </c>
      <c r="B5001" t="str">
        <f>"1552383031102436"</f>
        <v>1552383031102436</v>
      </c>
      <c r="C5001" t="s">
        <v>40</v>
      </c>
      <c r="D5001">
        <v>3.0656789999999998</v>
      </c>
      <c r="E5001">
        <v>0.4499322</v>
      </c>
      <c r="F5001" t="s">
        <v>54</v>
      </c>
      <c r="G5001">
        <v>-400.50439999999998</v>
      </c>
      <c r="H5001" s="1">
        <v>-7.4615769999999901E-6</v>
      </c>
      <c r="I5001">
        <v>18.912099999999999</v>
      </c>
      <c r="J5001">
        <v>-413.23570000000001</v>
      </c>
      <c r="K5001">
        <v>1.118072</v>
      </c>
      <c r="L5001">
        <v>26.959810000000001</v>
      </c>
      <c r="M5001">
        <v>0.68641030000000003</v>
      </c>
      <c r="N5001">
        <v>0</v>
      </c>
      <c r="O5001">
        <v>-0.72707100000000002</v>
      </c>
      <c r="P5001">
        <v>0.75479980000000002</v>
      </c>
      <c r="Q5001">
        <v>0.1665365</v>
      </c>
      <c r="R5001">
        <v>-0.63446250000000004</v>
      </c>
      <c r="S5001">
        <v>2.6265260000000001</v>
      </c>
      <c r="T5001">
        <v>-0.22890569999999999</v>
      </c>
      <c r="U5001">
        <v>-1.667389</v>
      </c>
      <c r="V5001">
        <v>-0.1167599</v>
      </c>
      <c r="W5001">
        <v>0.1784531</v>
      </c>
      <c r="X5001">
        <v>0.97699619999999998</v>
      </c>
      <c r="Y5001">
        <v>-0.24394189999999999</v>
      </c>
      <c r="Z5001">
        <v>5.9640690000000003E-2</v>
      </c>
      <c r="AA5001">
        <v>0.96795419999999999</v>
      </c>
      <c r="AB5001">
        <v>27</v>
      </c>
      <c r="AC5001">
        <v>12.731299999999999</v>
      </c>
      <c r="AD5001">
        <v>-1.118079461577</v>
      </c>
      <c r="AE5001">
        <v>-8.0477099999999897</v>
      </c>
      <c r="AF5001">
        <v>-3.71245937207257</v>
      </c>
      <c r="AG5001">
        <v>-1.118079461577</v>
      </c>
      <c r="AH5001">
        <v>14.511705406908399</v>
      </c>
      <c r="AI5001">
        <v>94.268805794636293</v>
      </c>
      <c r="AJ5001">
        <v>104.34993474303501</v>
      </c>
      <c r="AK5001">
        <v>15.020720691384399</v>
      </c>
      <c r="AL5001">
        <v>79.720329573671606</v>
      </c>
      <c r="AM5001">
        <v>96.815042464248805</v>
      </c>
      <c r="AN5001">
        <v>0.99999997898102899</v>
      </c>
    </row>
    <row r="5002" spans="1:40" x14ac:dyDescent="0.25">
      <c r="A5002" t="str">
        <f>"20190312173031123"</f>
        <v>20190312173031123</v>
      </c>
      <c r="B5002" t="str">
        <f>"1552383031113172"</f>
        <v>1552383031113172</v>
      </c>
      <c r="C5002" t="s">
        <v>40</v>
      </c>
      <c r="D5002">
        <v>3.0644589999999998</v>
      </c>
      <c r="E5002">
        <v>0.44570470000000001</v>
      </c>
      <c r="F5002" t="s">
        <v>54</v>
      </c>
      <c r="G5002">
        <v>-400.37689999999998</v>
      </c>
      <c r="H5002" s="1">
        <v>-7.501882E-6</v>
      </c>
      <c r="I5002">
        <v>18.890820000000001</v>
      </c>
      <c r="J5002">
        <v>-413.11680000000001</v>
      </c>
      <c r="K5002">
        <v>1.1180619999999999</v>
      </c>
      <c r="L5002">
        <v>26.843540000000001</v>
      </c>
      <c r="M5002">
        <v>0.69127079999999996</v>
      </c>
      <c r="N5002">
        <v>0</v>
      </c>
      <c r="O5002">
        <v>-0.72245170000000003</v>
      </c>
      <c r="P5002">
        <v>0.75912489999999999</v>
      </c>
      <c r="Q5002">
        <v>0.1665336</v>
      </c>
      <c r="R5002">
        <v>-0.62928219999999901</v>
      </c>
      <c r="S5002">
        <v>2.6351930000000001</v>
      </c>
      <c r="T5002">
        <v>-0.22913049999999999</v>
      </c>
      <c r="U5002">
        <v>-1.6535949999999999</v>
      </c>
      <c r="V5002">
        <v>-0.11688999999999999</v>
      </c>
      <c r="W5002">
        <v>0.17844889999999999</v>
      </c>
      <c r="X5002">
        <v>0.97698149999999995</v>
      </c>
      <c r="Y5002">
        <v>-0.24251619999999999</v>
      </c>
      <c r="Z5002">
        <v>5.9366929999999998E-2</v>
      </c>
      <c r="AA5002">
        <v>0.96832929999999995</v>
      </c>
      <c r="AB5002">
        <v>27</v>
      </c>
      <c r="AC5002">
        <v>12.7399</v>
      </c>
      <c r="AD5002">
        <v>-1.1180695018819999</v>
      </c>
      <c r="AE5002">
        <v>-7.9527199999999896</v>
      </c>
      <c r="AF5002">
        <v>-3.6864337704471901</v>
      </c>
      <c r="AG5002">
        <v>-1.1180695018819999</v>
      </c>
      <c r="AH5002">
        <v>14.473475297933801</v>
      </c>
      <c r="AI5002">
        <v>94.281148691152495</v>
      </c>
      <c r="AJ5002">
        <v>104.289558668567</v>
      </c>
      <c r="AK5002">
        <v>14.9773616019255</v>
      </c>
      <c r="AL5002">
        <v>79.720575052818504</v>
      </c>
      <c r="AM5002">
        <v>96.822666290035599</v>
      </c>
      <c r="AN5002">
        <v>1.0000000666767199</v>
      </c>
    </row>
    <row r="5003" spans="1:40" x14ac:dyDescent="0.25">
      <c r="A5003" t="str">
        <f>"20190312173031137"</f>
        <v>20190312173031137</v>
      </c>
      <c r="B5003" t="str">
        <f>"1552383031132692"</f>
        <v>1552383031132692</v>
      </c>
      <c r="C5003" t="s">
        <v>40</v>
      </c>
      <c r="D5003">
        <v>3.049604</v>
      </c>
      <c r="E5003">
        <v>0.44245509999999899</v>
      </c>
      <c r="F5003" t="s">
        <v>54</v>
      </c>
      <c r="G5003">
        <v>-401.06939999999997</v>
      </c>
      <c r="H5003" s="1">
        <v>-7.3471159999999999E-6</v>
      </c>
      <c r="I5003">
        <v>19.575780000000002</v>
      </c>
      <c r="J5003">
        <v>-412.99759999999998</v>
      </c>
      <c r="K5003">
        <v>1.118052</v>
      </c>
      <c r="L5003">
        <v>26.729189999999999</v>
      </c>
      <c r="M5003">
        <v>0.6960672</v>
      </c>
      <c r="N5003">
        <v>0</v>
      </c>
      <c r="O5003">
        <v>-0.71783140000000001</v>
      </c>
      <c r="P5003">
        <v>0.76327480000000003</v>
      </c>
      <c r="Q5003">
        <v>0.16641049999999999</v>
      </c>
      <c r="R5003">
        <v>-0.62427500000000002</v>
      </c>
      <c r="S5003">
        <v>2.670715</v>
      </c>
      <c r="T5003">
        <v>-0.24785789999999999</v>
      </c>
      <c r="U5003">
        <v>-1.611145</v>
      </c>
      <c r="V5003">
        <v>-0.1168222</v>
      </c>
      <c r="W5003">
        <v>0.17832919999999999</v>
      </c>
      <c r="X5003">
        <v>0.97701139999999997</v>
      </c>
      <c r="Y5003">
        <v>-0.2527238</v>
      </c>
      <c r="Z5003">
        <v>6.4010960000000006E-2</v>
      </c>
      <c r="AA5003">
        <v>0.96541869999999996</v>
      </c>
      <c r="AB5003">
        <v>27</v>
      </c>
      <c r="AC5003">
        <v>11.9282</v>
      </c>
      <c r="AD5003">
        <v>-1.1180593471160001</v>
      </c>
      <c r="AE5003">
        <v>-7.15341</v>
      </c>
      <c r="AF5003">
        <v>-3.5605485389028901</v>
      </c>
      <c r="AG5003">
        <v>-1.1180593471160001</v>
      </c>
      <c r="AH5003">
        <v>13.3528886879811</v>
      </c>
      <c r="AI5003">
        <v>94.625427741635093</v>
      </c>
      <c r="AJ5003">
        <v>104.930528728271</v>
      </c>
      <c r="AK5003">
        <v>13.864602371333</v>
      </c>
      <c r="AL5003">
        <v>79.727544494711296</v>
      </c>
      <c r="AM5003">
        <v>96.818539479930806</v>
      </c>
      <c r="AN5003">
        <v>1.0000000028577101</v>
      </c>
    </row>
    <row r="5004" spans="1:40" x14ac:dyDescent="0.25">
      <c r="A5004" t="str">
        <f>"20190312173031155"</f>
        <v>20190312173031155</v>
      </c>
      <c r="B5004" t="str">
        <f>"1552383031142454"</f>
        <v>1552383031142454</v>
      </c>
      <c r="C5004" t="s">
        <v>40</v>
      </c>
      <c r="D5004">
        <v>3.0398130000000001</v>
      </c>
      <c r="E5004">
        <v>0.44172280000000003</v>
      </c>
      <c r="F5004" t="s">
        <v>54</v>
      </c>
      <c r="G5004">
        <v>-400.95069999999998</v>
      </c>
      <c r="H5004" s="1">
        <v>-5.7148069999999999E-6</v>
      </c>
      <c r="I5004">
        <v>19.702950000000001</v>
      </c>
      <c r="J5004">
        <v>-412.85039999999998</v>
      </c>
      <c r="K5004">
        <v>1.1180369999999999</v>
      </c>
      <c r="L5004">
        <v>26.589780000000001</v>
      </c>
      <c r="M5004">
        <v>0.70191199999999998</v>
      </c>
      <c r="N5004">
        <v>0</v>
      </c>
      <c r="O5004">
        <v>-0.71211740000000001</v>
      </c>
      <c r="P5004">
        <v>0.76829799999999904</v>
      </c>
      <c r="Q5004">
        <v>0.1664726</v>
      </c>
      <c r="R5004">
        <v>-0.618066</v>
      </c>
      <c r="S5004">
        <v>2.6979980000000001</v>
      </c>
      <c r="T5004">
        <v>-0.25039739999999999</v>
      </c>
      <c r="U5004">
        <v>-1.5735779999999999</v>
      </c>
      <c r="V5004">
        <v>-0.116743</v>
      </c>
      <c r="W5004">
        <v>0.178395</v>
      </c>
      <c r="X5004">
        <v>0.97700889999999996</v>
      </c>
      <c r="Y5004">
        <v>-0.25907049999999998</v>
      </c>
      <c r="Z5004">
        <v>6.4366880000000001E-2</v>
      </c>
      <c r="AA5004">
        <v>0.96371130000000005</v>
      </c>
      <c r="AB5004">
        <v>27</v>
      </c>
      <c r="AC5004">
        <v>11.8996999999999</v>
      </c>
      <c r="AD5004">
        <v>-1.118042714807</v>
      </c>
      <c r="AE5004">
        <v>-6.88682999999999</v>
      </c>
      <c r="AF5004">
        <v>-3.6164990122773002</v>
      </c>
      <c r="AG5004">
        <v>-1.118042714807</v>
      </c>
      <c r="AH5004">
        <v>13.171057847098901</v>
      </c>
      <c r="AI5004">
        <v>94.679607434962506</v>
      </c>
      <c r="AJ5004">
        <v>105.35383586741899</v>
      </c>
      <c r="AK5004">
        <v>13.7042274291389</v>
      </c>
      <c r="AL5004">
        <v>79.723713456462704</v>
      </c>
      <c r="AM5004">
        <v>96.813977578266602</v>
      </c>
      <c r="AN5004">
        <v>1.0000000473766</v>
      </c>
    </row>
    <row r="5005" spans="1:40" x14ac:dyDescent="0.25">
      <c r="A5005" t="str">
        <f>"20190312173031165"</f>
        <v>20190312173031165</v>
      </c>
      <c r="B5005" t="str">
        <f>"1552383031162948"</f>
        <v>1552383031162948</v>
      </c>
      <c r="C5005" t="s">
        <v>40</v>
      </c>
      <c r="D5005">
        <v>3.0078070000000001</v>
      </c>
      <c r="E5005">
        <v>0.44100260000000002</v>
      </c>
      <c r="F5005" t="s">
        <v>54</v>
      </c>
      <c r="G5005">
        <v>-400.77330000000001</v>
      </c>
      <c r="H5005" s="1">
        <v>-5.7980399999999996E-6</v>
      </c>
      <c r="I5005">
        <v>19.70646</v>
      </c>
      <c r="J5005">
        <v>-412.75349999999997</v>
      </c>
      <c r="K5005">
        <v>1.1180300000000001</v>
      </c>
      <c r="L5005">
        <v>26.498989999999999</v>
      </c>
      <c r="M5005">
        <v>0.70571399999999995</v>
      </c>
      <c r="N5005">
        <v>0</v>
      </c>
      <c r="O5005">
        <v>-0.70834989999999998</v>
      </c>
      <c r="P5005">
        <v>0.77147010000000005</v>
      </c>
      <c r="Q5005">
        <v>0.16654849999999999</v>
      </c>
      <c r="R5005">
        <v>-0.61408109999999905</v>
      </c>
      <c r="S5005">
        <v>2.7145389999999998</v>
      </c>
      <c r="T5005">
        <v>-0.25130019999999997</v>
      </c>
      <c r="U5005">
        <v>-1.54715</v>
      </c>
      <c r="V5005">
        <v>-0.1165559</v>
      </c>
      <c r="W5005">
        <v>0.17847560000000001</v>
      </c>
      <c r="X5005">
        <v>0.97701640000000001</v>
      </c>
      <c r="Y5005">
        <v>-0.26349610000000001</v>
      </c>
      <c r="Z5005">
        <v>6.4445470000000005E-2</v>
      </c>
      <c r="AA5005">
        <v>0.96250539999999996</v>
      </c>
      <c r="AB5005">
        <v>27</v>
      </c>
      <c r="AC5005">
        <v>11.9801999999999</v>
      </c>
      <c r="AD5005">
        <v>-1.11803579803999</v>
      </c>
      <c r="AE5005">
        <v>-6.7925300000000002</v>
      </c>
      <c r="AF5005">
        <v>-3.6687946688253801</v>
      </c>
      <c r="AG5005">
        <v>-1.11803579803999</v>
      </c>
      <c r="AH5005">
        <v>13.180595319754801</v>
      </c>
      <c r="AI5005">
        <v>94.671703214154604</v>
      </c>
      <c r="AJ5005">
        <v>105.554446879208</v>
      </c>
      <c r="AK5005">
        <v>13.727277638003899</v>
      </c>
      <c r="AL5005">
        <v>79.719018894419605</v>
      </c>
      <c r="AM5005">
        <v>96.803107750372405</v>
      </c>
      <c r="AN5005">
        <v>0.99999993174456203</v>
      </c>
    </row>
    <row r="5006" spans="1:40" x14ac:dyDescent="0.25">
      <c r="A5006" t="str">
        <f>"20190312173031175"</f>
        <v>20190312173031175</v>
      </c>
      <c r="B5006" t="str">
        <f>"1552383031172709"</f>
        <v>1552383031172709</v>
      </c>
      <c r="C5006" t="s">
        <v>40</v>
      </c>
      <c r="D5006">
        <v>3.0380039999999999</v>
      </c>
      <c r="E5006">
        <v>0.44097760000000003</v>
      </c>
      <c r="F5006" t="s">
        <v>54</v>
      </c>
      <c r="G5006">
        <v>-400.69049999999999</v>
      </c>
      <c r="H5006" s="1">
        <v>-5.8417619999999999E-6</v>
      </c>
      <c r="I5006">
        <v>19.73535</v>
      </c>
      <c r="J5006">
        <v>-412.66449999999998</v>
      </c>
      <c r="K5006">
        <v>1.1180270000000001</v>
      </c>
      <c r="L5006">
        <v>26.416840000000001</v>
      </c>
      <c r="M5006">
        <v>0.70916699999999999</v>
      </c>
      <c r="N5006">
        <v>0</v>
      </c>
      <c r="O5006">
        <v>-0.70489290000000004</v>
      </c>
      <c r="P5006">
        <v>0.77447650000000001</v>
      </c>
      <c r="Q5006">
        <v>0.16678490000000001</v>
      </c>
      <c r="R5006">
        <v>-0.61022109999999996</v>
      </c>
      <c r="S5006">
        <v>2.7263790000000001</v>
      </c>
      <c r="T5006">
        <v>-0.25268780000000002</v>
      </c>
      <c r="U5006">
        <v>-1.528656</v>
      </c>
      <c r="V5006">
        <v>-0.1166263</v>
      </c>
      <c r="W5006">
        <v>0.1787107</v>
      </c>
      <c r="X5006">
        <v>0.97696510000000003</v>
      </c>
      <c r="Y5006">
        <v>-0.26551560000000002</v>
      </c>
      <c r="Z5006">
        <v>6.459492E-2</v>
      </c>
      <c r="AA5006">
        <v>0.96194020000000002</v>
      </c>
      <c r="AB5006">
        <v>27</v>
      </c>
      <c r="AC5006">
        <v>11.973999999999901</v>
      </c>
      <c r="AD5006">
        <v>-1.118032841762</v>
      </c>
      <c r="AE5006">
        <v>-6.6814900000000002</v>
      </c>
      <c r="AF5006">
        <v>-3.6780282945379601</v>
      </c>
      <c r="AG5006">
        <v>-1.118032841762</v>
      </c>
      <c r="AH5006">
        <v>13.1154797598544</v>
      </c>
      <c r="AI5006">
        <v>94.692255459061201</v>
      </c>
      <c r="AJ5006">
        <v>105.66530990037</v>
      </c>
      <c r="AK5006">
        <v>13.667249134402701</v>
      </c>
      <c r="AL5006">
        <v>79.705329343373606</v>
      </c>
      <c r="AM5006">
        <v>96.807532381976799</v>
      </c>
      <c r="AN5006">
        <v>1.0000000073820901</v>
      </c>
    </row>
    <row r="5007" spans="1:40" x14ac:dyDescent="0.25">
      <c r="A5007" t="str">
        <f>"20190312173031188"</f>
        <v>20190312173031188</v>
      </c>
      <c r="B5007" t="str">
        <f>"1552383031182467"</f>
        <v>1552383031182467</v>
      </c>
      <c r="C5007" t="s">
        <v>40</v>
      </c>
      <c r="D5007">
        <v>3.0270280000000001</v>
      </c>
      <c r="E5007">
        <v>0.44096439999999998</v>
      </c>
      <c r="F5007" t="s">
        <v>54</v>
      </c>
      <c r="G5007">
        <v>-400.57249999999999</v>
      </c>
      <c r="H5007" s="1">
        <v>-5.8933300000000004E-6</v>
      </c>
      <c r="I5007">
        <v>19.716449999999998</v>
      </c>
      <c r="J5007">
        <v>-412.56049999999999</v>
      </c>
      <c r="K5007">
        <v>1.1180159999999999</v>
      </c>
      <c r="L5007">
        <v>26.321529999999999</v>
      </c>
      <c r="M5007">
        <v>0.71316569999999901</v>
      </c>
      <c r="N5007">
        <v>0</v>
      </c>
      <c r="O5007">
        <v>-0.700847</v>
      </c>
      <c r="P5007">
        <v>0.77794799999999997</v>
      </c>
      <c r="Q5007">
        <v>0.1668837</v>
      </c>
      <c r="R5007">
        <v>-0.60576169999999996</v>
      </c>
      <c r="S5007">
        <v>2.7342529999999998</v>
      </c>
      <c r="T5007">
        <v>-0.25281179999999998</v>
      </c>
      <c r="U5007">
        <v>-1.5151059999999901</v>
      </c>
      <c r="V5007">
        <v>-0.1166642</v>
      </c>
      <c r="W5007">
        <v>0.1788102</v>
      </c>
      <c r="X5007">
        <v>0.97694239999999999</v>
      </c>
      <c r="Y5007">
        <v>-0.2648645</v>
      </c>
      <c r="Z5007">
        <v>6.4318630000000002E-2</v>
      </c>
      <c r="AA5007">
        <v>0.96213820000000005</v>
      </c>
      <c r="AB5007">
        <v>27</v>
      </c>
      <c r="AC5007">
        <v>11.988</v>
      </c>
      <c r="AD5007">
        <v>-1.1180218933299999</v>
      </c>
      <c r="AE5007">
        <v>-6.6050800000000001</v>
      </c>
      <c r="AF5007">
        <v>-3.6671534498121998</v>
      </c>
      <c r="AG5007">
        <v>-1.1180218933299999</v>
      </c>
      <c r="AH5007">
        <v>13.0925958120822</v>
      </c>
      <c r="AI5007">
        <v>94.700788283034697</v>
      </c>
      <c r="AJ5007">
        <v>105.647224026663</v>
      </c>
      <c r="AK5007">
        <v>13.6423624228719</v>
      </c>
      <c r="AL5007">
        <v>79.699535402399903</v>
      </c>
      <c r="AM5007">
        <v>96.809880595075498</v>
      </c>
      <c r="AN5007">
        <v>1.00000003805171</v>
      </c>
    </row>
    <row r="5008" spans="1:40" x14ac:dyDescent="0.25">
      <c r="A5008" t="str">
        <f>"20190312173031198"</f>
        <v>20190312173031198</v>
      </c>
      <c r="B5008" t="str">
        <f>"1552383031193204"</f>
        <v>1552383031193204</v>
      </c>
      <c r="C5008" t="s">
        <v>40</v>
      </c>
      <c r="D5008">
        <v>3.0546289999999998</v>
      </c>
      <c r="E5008">
        <v>0.44111499999999998</v>
      </c>
      <c r="F5008" t="s">
        <v>54</v>
      </c>
      <c r="G5008">
        <v>-400.47340000000003</v>
      </c>
      <c r="H5008" s="1">
        <v>-5.9392480000000003E-6</v>
      </c>
      <c r="I5008">
        <v>19.714860000000002</v>
      </c>
      <c r="J5008">
        <v>-412.46109999999999</v>
      </c>
      <c r="K5008">
        <v>1.1180099999999999</v>
      </c>
      <c r="L5008">
        <v>26.23151</v>
      </c>
      <c r="M5008">
        <v>0.71694820000000004</v>
      </c>
      <c r="N5008">
        <v>0</v>
      </c>
      <c r="O5008">
        <v>-0.69697699999999996</v>
      </c>
      <c r="P5008">
        <v>0.78125659999999997</v>
      </c>
      <c r="Q5008">
        <v>0.1666126</v>
      </c>
      <c r="R5008">
        <v>-0.60156359999999998</v>
      </c>
      <c r="S5008">
        <v>2.7431950000000001</v>
      </c>
      <c r="T5008">
        <v>-0.25373610000000002</v>
      </c>
      <c r="U5008">
        <v>-1.49939</v>
      </c>
      <c r="V5008">
        <v>-0.1166691</v>
      </c>
      <c r="W5008">
        <v>0.17854039999999999</v>
      </c>
      <c r="X5008">
        <v>0.9769911</v>
      </c>
      <c r="Y5008">
        <v>-0.26520349999999998</v>
      </c>
      <c r="Z5008">
        <v>6.4286369999999995E-2</v>
      </c>
      <c r="AA5008">
        <v>0.96204699999999999</v>
      </c>
      <c r="AB5008">
        <v>27</v>
      </c>
      <c r="AC5008">
        <v>11.987699999999901</v>
      </c>
      <c r="AD5008">
        <v>-1.118015939248</v>
      </c>
      <c r="AE5008">
        <v>-6.5166499999999896</v>
      </c>
      <c r="AF5008">
        <v>-3.6588687153628001</v>
      </c>
      <c r="AG5008">
        <v>-1.118015939248</v>
      </c>
      <c r="AH5008">
        <v>13.0502640661543</v>
      </c>
      <c r="AI5008">
        <v>94.715608908343896</v>
      </c>
      <c r="AJ5008">
        <v>105.661765135591</v>
      </c>
      <c r="AK5008">
        <v>13.5995099953282</v>
      </c>
      <c r="AL5008">
        <v>79.7152460377485</v>
      </c>
      <c r="AM5008">
        <v>96.8098276521564</v>
      </c>
      <c r="AN5008">
        <v>0.99999998140308899</v>
      </c>
    </row>
    <row r="5009" spans="1:40" x14ac:dyDescent="0.25">
      <c r="A5009" t="str">
        <f>"20190312173031209"</f>
        <v>20190312173031209</v>
      </c>
      <c r="B5009" t="str">
        <f>"1552383031202964"</f>
        <v>1552383031202964</v>
      </c>
      <c r="C5009" t="s">
        <v>40</v>
      </c>
      <c r="D5009">
        <v>3.0410729999999999</v>
      </c>
      <c r="E5009">
        <v>0.441272</v>
      </c>
      <c r="F5009" t="s">
        <v>54</v>
      </c>
      <c r="G5009">
        <v>-400.43669999999997</v>
      </c>
      <c r="H5009" s="1">
        <v>-5.9603609999999997E-6</v>
      </c>
      <c r="I5009">
        <v>19.73752</v>
      </c>
      <c r="J5009">
        <v>-412.36660000000001</v>
      </c>
      <c r="K5009">
        <v>1.1180030000000001</v>
      </c>
      <c r="L5009">
        <v>26.146909999999998</v>
      </c>
      <c r="M5009">
        <v>0.72050579999999997</v>
      </c>
      <c r="N5009">
        <v>0</v>
      </c>
      <c r="O5009">
        <v>-0.69329879999999999</v>
      </c>
      <c r="P5009">
        <v>0.78438940000000001</v>
      </c>
      <c r="Q5009">
        <v>0.16668050000000001</v>
      </c>
      <c r="R5009">
        <v>-0.59745400000000004</v>
      </c>
      <c r="S5009">
        <v>2.7506409999999999</v>
      </c>
      <c r="T5009">
        <v>-0.25575199999999998</v>
      </c>
      <c r="U5009">
        <v>-1.485535</v>
      </c>
      <c r="V5009">
        <v>-0.116786</v>
      </c>
      <c r="W5009">
        <v>0.1786065</v>
      </c>
      <c r="X5009">
        <v>0.97696510000000003</v>
      </c>
      <c r="Y5009">
        <v>-0.2650807</v>
      </c>
      <c r="Z5009">
        <v>6.4531939999999996E-2</v>
      </c>
      <c r="AA5009">
        <v>0.96206440000000004</v>
      </c>
      <c r="AB5009">
        <v>27</v>
      </c>
      <c r="AC5009">
        <v>11.9299</v>
      </c>
      <c r="AD5009">
        <v>-1.1180089603609999</v>
      </c>
      <c r="AE5009">
        <v>-6.4093900000000001</v>
      </c>
      <c r="AF5009">
        <v>-3.6286327570854202</v>
      </c>
      <c r="AG5009">
        <v>-1.1180089603609999</v>
      </c>
      <c r="AH5009">
        <v>12.9522683869163</v>
      </c>
      <c r="AI5009">
        <v>94.751356523473206</v>
      </c>
      <c r="AJ5009">
        <v>105.650440343936</v>
      </c>
      <c r="AK5009">
        <v>13.497339592969899</v>
      </c>
      <c r="AL5009">
        <v>79.711397414519794</v>
      </c>
      <c r="AM5009">
        <v>96.816766487679402</v>
      </c>
      <c r="AN5009">
        <v>1.0000000291281199</v>
      </c>
    </row>
    <row r="5010" spans="1:40" x14ac:dyDescent="0.25">
      <c r="A5010" t="str">
        <f>"20190312173031220"</f>
        <v>20190312173031220</v>
      </c>
      <c r="B5010" t="str">
        <f>"1552383031212724"</f>
        <v>1552383031212724</v>
      </c>
      <c r="C5010" t="s">
        <v>40</v>
      </c>
      <c r="D5010">
        <v>3.0201289999999998</v>
      </c>
      <c r="E5010">
        <v>0.44136189999999997</v>
      </c>
      <c r="F5010" t="s">
        <v>54</v>
      </c>
      <c r="G5010">
        <v>-400.32859999999999</v>
      </c>
      <c r="H5010" s="1">
        <v>-6.0072419999999997E-6</v>
      </c>
      <c r="I5010">
        <v>19.717970000000001</v>
      </c>
      <c r="J5010">
        <v>-412.2679</v>
      </c>
      <c r="K5010">
        <v>1.1179950000000001</v>
      </c>
      <c r="L5010">
        <v>26.0593</v>
      </c>
      <c r="M5010">
        <v>0.72418719999999903</v>
      </c>
      <c r="N5010">
        <v>0</v>
      </c>
      <c r="O5010">
        <v>-0.68945230000000002</v>
      </c>
      <c r="P5010">
        <v>0.78772969999999998</v>
      </c>
      <c r="Q5010">
        <v>0.16683609999999999</v>
      </c>
      <c r="R5010">
        <v>-0.59299880000000005</v>
      </c>
      <c r="S5010">
        <v>2.7573850000000002</v>
      </c>
      <c r="T5010">
        <v>-0.25608799999999998</v>
      </c>
      <c r="U5010">
        <v>-1.4725950000000001</v>
      </c>
      <c r="V5010">
        <v>-0.1170981</v>
      </c>
      <c r="W5010">
        <v>0.17875669999999999</v>
      </c>
      <c r="X5010">
        <v>0.9769002</v>
      </c>
      <c r="Y5010">
        <v>-0.26444319999999999</v>
      </c>
      <c r="Z5010">
        <v>6.4326900000000006E-2</v>
      </c>
      <c r="AA5010">
        <v>0.96225349999999998</v>
      </c>
      <c r="AB5010">
        <v>27</v>
      </c>
      <c r="AC5010">
        <v>11.939299999999999</v>
      </c>
      <c r="AD5010">
        <v>-1.1180010072419999</v>
      </c>
      <c r="AE5010">
        <v>-6.3413299999999904</v>
      </c>
      <c r="AF5010">
        <v>-3.6149239871149002</v>
      </c>
      <c r="AG5010">
        <v>-1.1180010072419999</v>
      </c>
      <c r="AH5010">
        <v>12.931250376590301</v>
      </c>
      <c r="AI5010">
        <v>94.759753650931899</v>
      </c>
      <c r="AJ5010">
        <v>105.61830600686299</v>
      </c>
      <c r="AK5010">
        <v>13.473486482231699</v>
      </c>
      <c r="AL5010">
        <v>79.702650128478595</v>
      </c>
      <c r="AM5010">
        <v>96.835261346430798</v>
      </c>
      <c r="AN5010">
        <v>0.99999996178926898</v>
      </c>
    </row>
    <row r="5011" spans="1:40" x14ac:dyDescent="0.25">
      <c r="A5011" t="str">
        <f>"20190312173031233"</f>
        <v>20190312173031233</v>
      </c>
      <c r="B5011" t="str">
        <f>"1552383031222484"</f>
        <v>1552383031222484</v>
      </c>
      <c r="C5011" t="s">
        <v>40</v>
      </c>
      <c r="D5011">
        <v>3.0235910000000001</v>
      </c>
      <c r="E5011">
        <v>0.4415289</v>
      </c>
      <c r="F5011" t="s">
        <v>54</v>
      </c>
      <c r="G5011">
        <v>-400.21390000000002</v>
      </c>
      <c r="H5011" s="1">
        <v>-6.0584560000000002E-6</v>
      </c>
      <c r="I5011">
        <v>19.70543</v>
      </c>
      <c r="J5011">
        <v>-412.16140000000001</v>
      </c>
      <c r="K5011">
        <v>1.11799</v>
      </c>
      <c r="L5011">
        <v>25.966090000000001</v>
      </c>
      <c r="M5011">
        <v>0.72811440000000005</v>
      </c>
      <c r="N5011">
        <v>0</v>
      </c>
      <c r="O5011">
        <v>-0.68530369999999996</v>
      </c>
      <c r="P5011">
        <v>0.79119169999999905</v>
      </c>
      <c r="Q5011">
        <v>0.16685039999999901</v>
      </c>
      <c r="R5011">
        <v>-0.58836790000000005</v>
      </c>
      <c r="S5011">
        <v>2.7653810000000001</v>
      </c>
      <c r="T5011">
        <v>-0.2564863</v>
      </c>
      <c r="U5011">
        <v>-1.4576720000000001</v>
      </c>
      <c r="V5011">
        <v>-0.11724270000000001</v>
      </c>
      <c r="W5011">
        <v>0.17876839999999999</v>
      </c>
      <c r="X5011">
        <v>0.97688070000000005</v>
      </c>
      <c r="Y5011">
        <v>-0.26415090000000002</v>
      </c>
      <c r="Z5011">
        <v>6.4120140000000006E-2</v>
      </c>
      <c r="AA5011">
        <v>0.96234759999999997</v>
      </c>
      <c r="AB5011">
        <v>27</v>
      </c>
      <c r="AC5011">
        <v>11.9474999999999</v>
      </c>
      <c r="AD5011">
        <v>-1.117996058456</v>
      </c>
      <c r="AE5011">
        <v>-6.2606599999999899</v>
      </c>
      <c r="AF5011">
        <v>-3.6048022917605902</v>
      </c>
      <c r="AG5011">
        <v>-1.117996058456</v>
      </c>
      <c r="AH5011">
        <v>12.902314392364101</v>
      </c>
      <c r="AI5011">
        <v>94.770552030329796</v>
      </c>
      <c r="AJ5011">
        <v>105.60993344323801</v>
      </c>
      <c r="AK5011">
        <v>13.4429993464558</v>
      </c>
      <c r="AL5011">
        <v>79.701968636870504</v>
      </c>
      <c r="AM5011">
        <v>96.843757261621505</v>
      </c>
      <c r="AN5011">
        <v>0.99999994678716797</v>
      </c>
    </row>
    <row r="5012" spans="1:40" x14ac:dyDescent="0.25">
      <c r="A5012" t="str">
        <f>"20190312173031243"</f>
        <v>20190312173031243</v>
      </c>
      <c r="B5012" t="str">
        <f>"1552383031233220"</f>
        <v>1552383031233220</v>
      </c>
      <c r="C5012" t="s">
        <v>40</v>
      </c>
      <c r="D5012">
        <v>3.0499010000000002</v>
      </c>
      <c r="E5012">
        <v>0.44180659999999999</v>
      </c>
      <c r="F5012" t="s">
        <v>54</v>
      </c>
      <c r="G5012">
        <v>-400.10270000000003</v>
      </c>
      <c r="H5012" s="1">
        <v>-6.1078689999999998E-6</v>
      </c>
      <c r="I5012">
        <v>19.692019999999999</v>
      </c>
      <c r="J5012">
        <v>-412.06209999999999</v>
      </c>
      <c r="K5012">
        <v>1.1179829999999999</v>
      </c>
      <c r="L5012">
        <v>25.879729999999999</v>
      </c>
      <c r="M5012">
        <v>0.73174229999999996</v>
      </c>
      <c r="N5012">
        <v>0</v>
      </c>
      <c r="O5012">
        <v>-0.68142860000000005</v>
      </c>
      <c r="P5012">
        <v>0.79435869999999997</v>
      </c>
      <c r="Q5012">
        <v>0.16692000000000001</v>
      </c>
      <c r="R5012">
        <v>-0.5840651</v>
      </c>
      <c r="S5012">
        <v>2.7730100000000002</v>
      </c>
      <c r="T5012">
        <v>-0.25709320000000002</v>
      </c>
      <c r="U5012">
        <v>-1.44278</v>
      </c>
      <c r="V5012">
        <v>-0.11734600000000001</v>
      </c>
      <c r="W5012">
        <v>0.17883740000000001</v>
      </c>
      <c r="X5012">
        <v>0.97685580000000005</v>
      </c>
      <c r="Y5012">
        <v>-0.26418180000000002</v>
      </c>
      <c r="Z5012">
        <v>6.3997849999999995E-2</v>
      </c>
      <c r="AA5012">
        <v>0.96234730000000002</v>
      </c>
      <c r="AB5012">
        <v>27</v>
      </c>
      <c r="AC5012">
        <v>11.959399999999899</v>
      </c>
      <c r="AD5012">
        <v>-1.1179891078690001</v>
      </c>
      <c r="AE5012">
        <v>-6.1877099999999903</v>
      </c>
      <c r="AF5012">
        <v>-3.5972475335998699</v>
      </c>
      <c r="AG5012">
        <v>-1.1179891078690001</v>
      </c>
      <c r="AH5012">
        <v>12.880241744148</v>
      </c>
      <c r="AI5012">
        <v>94.778792647914997</v>
      </c>
      <c r="AJ5012">
        <v>105.604206710833</v>
      </c>
      <c r="AK5012">
        <v>13.4197882565634</v>
      </c>
      <c r="AL5012">
        <v>79.697951827548593</v>
      </c>
      <c r="AM5012">
        <v>96.849902822955897</v>
      </c>
      <c r="AN5012">
        <v>1.0000000766741901</v>
      </c>
    </row>
    <row r="5013" spans="1:40" x14ac:dyDescent="0.25">
      <c r="A5013" t="str">
        <f>"20190312173031254"</f>
        <v>20190312173031254</v>
      </c>
      <c r="B5013" t="str">
        <f>"1552383031242980"</f>
        <v>1552383031242980</v>
      </c>
      <c r="C5013" t="s">
        <v>40</v>
      </c>
      <c r="D5013">
        <v>3.2801999999999998</v>
      </c>
      <c r="E5013">
        <v>0.44215989999999999</v>
      </c>
      <c r="F5013" t="s">
        <v>54</v>
      </c>
      <c r="G5013">
        <v>-399.96499999999997</v>
      </c>
      <c r="H5013" s="1">
        <v>-6.1641169999999998E-6</v>
      </c>
      <c r="I5013">
        <v>19.657689999999999</v>
      </c>
      <c r="J5013">
        <v>-411.96010000000001</v>
      </c>
      <c r="K5013">
        <v>1.1179749999999999</v>
      </c>
      <c r="L5013">
        <v>25.792660000000001</v>
      </c>
      <c r="M5013">
        <v>0.73541889999999999</v>
      </c>
      <c r="N5013">
        <v>0</v>
      </c>
      <c r="O5013">
        <v>-0.67745919999999904</v>
      </c>
      <c r="P5013">
        <v>0.79740769999999905</v>
      </c>
      <c r="Q5013">
        <v>0.1671446</v>
      </c>
      <c r="R5013">
        <v>-0.57983050000000003</v>
      </c>
      <c r="S5013">
        <v>2.77948</v>
      </c>
      <c r="T5013">
        <v>-0.25687290000000002</v>
      </c>
      <c r="U5013">
        <v>-1.4295960000000001</v>
      </c>
      <c r="V5013">
        <v>-0.1172265</v>
      </c>
      <c r="W5013">
        <v>0.17906440000000001</v>
      </c>
      <c r="X5013">
        <v>0.97682849999999999</v>
      </c>
      <c r="Y5013">
        <v>-0.2635014</v>
      </c>
      <c r="Z5013">
        <v>6.3643539999999998E-2</v>
      </c>
      <c r="AA5013">
        <v>0.96255729999999995</v>
      </c>
      <c r="AB5013">
        <v>27</v>
      </c>
      <c r="AC5013">
        <v>11.995100000000001</v>
      </c>
      <c r="AD5013">
        <v>-1.1179811641170001</v>
      </c>
      <c r="AE5013">
        <v>-6.13497</v>
      </c>
      <c r="AF5013">
        <v>-3.59007412279959</v>
      </c>
      <c r="AG5013">
        <v>-1.1179811641170001</v>
      </c>
      <c r="AH5013">
        <v>12.8902082451736</v>
      </c>
      <c r="AI5013">
        <v>94.776031223932804</v>
      </c>
      <c r="AJ5013">
        <v>105.563143308669</v>
      </c>
      <c r="AK5013">
        <v>13.4274339579258</v>
      </c>
      <c r="AL5013">
        <v>79.684731654184006</v>
      </c>
      <c r="AM5013">
        <v>96.843182793887806</v>
      </c>
      <c r="AN5013">
        <v>1.0000000150309201</v>
      </c>
    </row>
    <row r="5014" spans="1:40" x14ac:dyDescent="0.25">
      <c r="A5014" t="str">
        <f>"20190312173031265"</f>
        <v>20190312173031265</v>
      </c>
      <c r="B5014" t="str">
        <f>"1552383031252740"</f>
        <v>1552383031252740</v>
      </c>
      <c r="C5014" t="s">
        <v>40</v>
      </c>
      <c r="D5014">
        <v>3.027291</v>
      </c>
      <c r="E5014">
        <v>0.44250539999999999</v>
      </c>
      <c r="F5014" t="s">
        <v>41</v>
      </c>
      <c r="G5014">
        <v>-399.7842</v>
      </c>
      <c r="H5014" s="1">
        <v>-8.5989700000000001E-8</v>
      </c>
      <c r="I5014">
        <v>19.596499999999999</v>
      </c>
      <c r="J5014">
        <v>-411.86799999999999</v>
      </c>
      <c r="K5014">
        <v>1.1179699999999999</v>
      </c>
      <c r="L5014">
        <v>25.714259999999999</v>
      </c>
      <c r="M5014">
        <v>0.73871799999999999</v>
      </c>
      <c r="N5014">
        <v>0</v>
      </c>
      <c r="O5014">
        <v>-0.67386040000000003</v>
      </c>
      <c r="P5014">
        <v>0.80027320000000002</v>
      </c>
      <c r="Q5014">
        <v>0.167326799999999</v>
      </c>
      <c r="R5014">
        <v>-0.57581649999999995</v>
      </c>
      <c r="S5014">
        <v>2.7851560000000002</v>
      </c>
      <c r="T5014">
        <v>-0.25572859999999997</v>
      </c>
      <c r="U5014">
        <v>-1.4173279999999999</v>
      </c>
      <c r="V5014">
        <v>-0.11734</v>
      </c>
      <c r="W5014">
        <v>0.17924499999999999</v>
      </c>
      <c r="X5014">
        <v>0.97678169999999997</v>
      </c>
      <c r="Y5014">
        <v>-0.26298630000000001</v>
      </c>
      <c r="Z5014">
        <v>6.3098470000000004E-2</v>
      </c>
      <c r="AA5014">
        <v>0.96273399999999998</v>
      </c>
      <c r="AB5014">
        <v>27</v>
      </c>
      <c r="AC5014">
        <v>12.0838</v>
      </c>
      <c r="AD5014">
        <v>-1.1179700859896999</v>
      </c>
      <c r="AE5014">
        <v>-6.1177599999999996</v>
      </c>
      <c r="AF5014">
        <v>-3.59934830963976</v>
      </c>
      <c r="AG5014">
        <v>-1.1179700859896999</v>
      </c>
      <c r="AH5014">
        <v>12.9620794631828</v>
      </c>
      <c r="AI5014">
        <v>94.750635647106904</v>
      </c>
      <c r="AJ5014">
        <v>105.519066210633</v>
      </c>
      <c r="AK5014">
        <v>13.4989136369242</v>
      </c>
      <c r="AL5014">
        <v>79.674213372641404</v>
      </c>
      <c r="AM5014">
        <v>96.850070588729807</v>
      </c>
      <c r="AN5014">
        <v>0.99999996753994402</v>
      </c>
    </row>
    <row r="5015" spans="1:40" x14ac:dyDescent="0.25">
      <c r="A5015" t="str">
        <f>"20190312173031276"</f>
        <v>20190312173031276</v>
      </c>
      <c r="B5015" t="str">
        <f>"1552383031273236"</f>
        <v>1552383031273236</v>
      </c>
      <c r="C5015" t="s">
        <v>40</v>
      </c>
      <c r="D5015">
        <v>3.028025</v>
      </c>
      <c r="E5015">
        <v>0.44312610000000002</v>
      </c>
      <c r="F5015" t="s">
        <v>41</v>
      </c>
      <c r="G5015">
        <v>-399.66140000000001</v>
      </c>
      <c r="H5015" s="1">
        <v>-1.4934339999999901E-7</v>
      </c>
      <c r="I5015">
        <v>19.56663</v>
      </c>
      <c r="J5015">
        <v>-411.76740000000001</v>
      </c>
      <c r="K5015">
        <v>1.1179619999999999</v>
      </c>
      <c r="L5015">
        <v>25.629940000000001</v>
      </c>
      <c r="M5015">
        <v>0.7422803</v>
      </c>
      <c r="N5015">
        <v>0</v>
      </c>
      <c r="O5015">
        <v>-0.66993440000000004</v>
      </c>
      <c r="P5015">
        <v>0.80322839999999995</v>
      </c>
      <c r="Q5015">
        <v>0.16725489999999901</v>
      </c>
      <c r="R5015">
        <v>-0.57170810000000005</v>
      </c>
      <c r="S5015">
        <v>2.7908330000000001</v>
      </c>
      <c r="T5015">
        <v>-0.25560389999999999</v>
      </c>
      <c r="U5015">
        <v>-1.405548</v>
      </c>
      <c r="V5015">
        <v>-0.1171719</v>
      </c>
      <c r="W5015">
        <v>0.17917749999999999</v>
      </c>
      <c r="X5015">
        <v>0.97681430000000002</v>
      </c>
      <c r="Y5015">
        <v>-0.26191569999999997</v>
      </c>
      <c r="Z5015">
        <v>6.2757750000000001E-2</v>
      </c>
      <c r="AA5015">
        <v>0.96304809999999996</v>
      </c>
      <c r="AB5015">
        <v>27</v>
      </c>
      <c r="AC5015">
        <v>12.1059999999999</v>
      </c>
      <c r="AD5015">
        <v>-1.1179621493434</v>
      </c>
      <c r="AE5015">
        <v>-6.0633099999999898</v>
      </c>
      <c r="AF5015">
        <v>-3.5854802416837201</v>
      </c>
      <c r="AG5015">
        <v>-1.1179621493434</v>
      </c>
      <c r="AH5015">
        <v>12.961055128804601</v>
      </c>
      <c r="AI5015">
        <v>94.752251686911904</v>
      </c>
      <c r="AJ5015">
        <v>105.463301931808</v>
      </c>
      <c r="AK5015">
        <v>13.4942379548747</v>
      </c>
      <c r="AL5015">
        <v>79.678144857116294</v>
      </c>
      <c r="AM5015">
        <v>96.840124174711804</v>
      </c>
      <c r="AN5015">
        <v>1.0000000036701699</v>
      </c>
    </row>
    <row r="5016" spans="1:40" x14ac:dyDescent="0.25">
      <c r="A5016" t="str">
        <f>"20190312173031287"</f>
        <v>20190312173031287</v>
      </c>
      <c r="B5016" t="str">
        <f>"1552383031282999"</f>
        <v>1552383031282999</v>
      </c>
      <c r="C5016" t="s">
        <v>40</v>
      </c>
      <c r="D5016">
        <v>3.0298250000000002</v>
      </c>
      <c r="E5016">
        <v>0.4433995</v>
      </c>
      <c r="F5016" t="s">
        <v>41</v>
      </c>
      <c r="G5016">
        <v>-399.5908</v>
      </c>
      <c r="H5016" s="1">
        <v>-1.8525549999999999E-7</v>
      </c>
      <c r="I5016">
        <v>19.552350000000001</v>
      </c>
      <c r="J5016">
        <v>-411.66120000000001</v>
      </c>
      <c r="K5016">
        <v>1.117953</v>
      </c>
      <c r="L5016">
        <v>25.541720000000002</v>
      </c>
      <c r="M5016">
        <v>0.74600169999999999</v>
      </c>
      <c r="N5016">
        <v>0</v>
      </c>
      <c r="O5016">
        <v>-0.66578789999999999</v>
      </c>
      <c r="P5016">
        <v>0.80639709999999998</v>
      </c>
      <c r="Q5016">
        <v>0.1674197</v>
      </c>
      <c r="R5016">
        <v>-0.56718119999999905</v>
      </c>
      <c r="S5016">
        <v>2.7953190000000001</v>
      </c>
      <c r="T5016">
        <v>-0.25664520000000002</v>
      </c>
      <c r="U5016">
        <v>-1.395203</v>
      </c>
      <c r="V5016">
        <v>-0.117199499999999</v>
      </c>
      <c r="W5016">
        <v>0.17934169999999999</v>
      </c>
      <c r="X5016">
        <v>0.9767808</v>
      </c>
      <c r="Y5016">
        <v>-0.2600035</v>
      </c>
      <c r="Z5016">
        <v>6.2664490000000003E-2</v>
      </c>
      <c r="AA5016">
        <v>0.96357210000000004</v>
      </c>
      <c r="AB5016">
        <v>27</v>
      </c>
      <c r="AC5016">
        <v>12.070399999999999</v>
      </c>
      <c r="AD5016">
        <v>-1.1179531852555</v>
      </c>
      <c r="AE5016">
        <v>-5.9893700000000001</v>
      </c>
      <c r="AF5016">
        <v>-3.54422042432547</v>
      </c>
      <c r="AG5016">
        <v>-1.1179531852555</v>
      </c>
      <c r="AH5016">
        <v>12.904710251370901</v>
      </c>
      <c r="AI5016">
        <v>94.775289168200104</v>
      </c>
      <c r="AJ5016">
        <v>105.35736551136399</v>
      </c>
      <c r="AK5016">
        <v>13.4291795882126</v>
      </c>
      <c r="AL5016">
        <v>79.668581425290895</v>
      </c>
      <c r="AM5016">
        <v>96.841952526317399</v>
      </c>
      <c r="AN5016">
        <v>0.99999994970388795</v>
      </c>
    </row>
    <row r="5017" spans="1:40" x14ac:dyDescent="0.25">
      <c r="A5017" t="str">
        <f>"20190312173031299"</f>
        <v>20190312173031299</v>
      </c>
      <c r="B5017" t="str">
        <f>"1552383031292756"</f>
        <v>1552383031292756</v>
      </c>
      <c r="C5017" t="s">
        <v>40</v>
      </c>
      <c r="D5017">
        <v>3.1780390000000001</v>
      </c>
      <c r="E5017">
        <v>0.4433995</v>
      </c>
      <c r="F5017" t="s">
        <v>41</v>
      </c>
      <c r="G5017">
        <v>-399.45260000000002</v>
      </c>
      <c r="H5017" s="1">
        <v>-2.5604340000000001E-7</v>
      </c>
      <c r="I5017">
        <v>19.5214</v>
      </c>
      <c r="J5017">
        <v>-411.55410000000001</v>
      </c>
      <c r="K5017">
        <v>1.1179410000000001</v>
      </c>
      <c r="L5017">
        <v>25.453669999999999</v>
      </c>
      <c r="M5017">
        <v>0.74971769999999904</v>
      </c>
      <c r="N5017">
        <v>0</v>
      </c>
      <c r="O5017">
        <v>-0.66160079999999999</v>
      </c>
      <c r="P5017">
        <v>0.80956070000000002</v>
      </c>
      <c r="Q5017">
        <v>0.16737009999999999</v>
      </c>
      <c r="R5017">
        <v>-0.56267119999999904</v>
      </c>
      <c r="S5017">
        <v>2.8017880000000002</v>
      </c>
      <c r="T5017">
        <v>-0.25656279999999998</v>
      </c>
      <c r="U5017">
        <v>-1.3816219999999999</v>
      </c>
      <c r="V5017">
        <v>-0.1171857</v>
      </c>
      <c r="W5017">
        <v>0.179293799999999</v>
      </c>
      <c r="X5017">
        <v>0.97679130000000003</v>
      </c>
      <c r="Y5017">
        <v>-0.25925290000000001</v>
      </c>
      <c r="Z5017">
        <v>6.232265E-2</v>
      </c>
      <c r="AA5017">
        <v>0.9637966</v>
      </c>
      <c r="AB5017">
        <v>27</v>
      </c>
      <c r="AC5017">
        <v>12.1014999999999</v>
      </c>
      <c r="AD5017">
        <v>-1.1179412560433999</v>
      </c>
      <c r="AE5017">
        <v>-5.9322699999999999</v>
      </c>
      <c r="AF5017">
        <v>-3.5348816295462302</v>
      </c>
      <c r="AG5017">
        <v>-1.1179412560433999</v>
      </c>
      <c r="AH5017">
        <v>12.9100240026593</v>
      </c>
      <c r="AI5017">
        <v>94.774295719364702</v>
      </c>
      <c r="AJ5017">
        <v>105.31279402297901</v>
      </c>
      <c r="AK5017">
        <v>13.431824170085999</v>
      </c>
      <c r="AL5017">
        <v>79.671371629408</v>
      </c>
      <c r="AM5017">
        <v>96.841081694144904</v>
      </c>
      <c r="AN5017">
        <v>0.99999999937930995</v>
      </c>
    </row>
    <row r="5018" spans="1:40" x14ac:dyDescent="0.25">
      <c r="A5018" t="str">
        <f>"20190312173031311"</f>
        <v>20190312173031311</v>
      </c>
      <c r="B5018" t="str">
        <f>"1552383031302516"</f>
        <v>1552383031302516</v>
      </c>
      <c r="C5018" t="s">
        <v>40</v>
      </c>
      <c r="D5018">
        <v>3.0621239999999998</v>
      </c>
      <c r="E5018">
        <v>0.45002130000000001</v>
      </c>
      <c r="F5018" t="s">
        <v>41</v>
      </c>
      <c r="G5018">
        <v>-399.3186</v>
      </c>
      <c r="H5018" s="1">
        <v>-3.22267099999999E-7</v>
      </c>
      <c r="I5018">
        <v>19.50526</v>
      </c>
      <c r="J5018">
        <v>-411.45260000000002</v>
      </c>
      <c r="K5018">
        <v>1.117934</v>
      </c>
      <c r="L5018">
        <v>25.371459999999999</v>
      </c>
      <c r="M5018">
        <v>0.75319499999999995</v>
      </c>
      <c r="N5018">
        <v>0</v>
      </c>
      <c r="O5018">
        <v>-0.65763919999999998</v>
      </c>
      <c r="P5018">
        <v>0.81250880000000003</v>
      </c>
      <c r="Q5018">
        <v>0.16731499999999999</v>
      </c>
      <c r="R5018">
        <v>-0.55842199999999997</v>
      </c>
      <c r="S5018">
        <v>2.8094480000000002</v>
      </c>
      <c r="T5018">
        <v>-0.25669629999999999</v>
      </c>
      <c r="U5018">
        <v>-1.365845</v>
      </c>
      <c r="V5018">
        <v>-0.1171566</v>
      </c>
      <c r="W5018">
        <v>0.17923939999999999</v>
      </c>
      <c r="X5018">
        <v>0.97680480000000003</v>
      </c>
      <c r="Y5018">
        <v>-0.25958199999999998</v>
      </c>
      <c r="Z5018">
        <v>6.2080169999999997E-2</v>
      </c>
      <c r="AA5018">
        <v>0.96372369999999996</v>
      </c>
      <c r="AB5018">
        <v>27</v>
      </c>
      <c r="AC5018">
        <v>12.134</v>
      </c>
      <c r="AD5018">
        <v>-1.1179343222671001</v>
      </c>
      <c r="AE5018">
        <v>-5.8661999999999903</v>
      </c>
      <c r="AF5018">
        <v>-3.5374334091854198</v>
      </c>
      <c r="AG5018">
        <v>-1.1179343222671001</v>
      </c>
      <c r="AH5018">
        <v>12.9096410034544</v>
      </c>
      <c r="AI5018">
        <v>94.774158054897001</v>
      </c>
      <c r="AJ5018">
        <v>105.323761906996</v>
      </c>
      <c r="AK5018">
        <v>13.4321272742405</v>
      </c>
      <c r="AL5018">
        <v>79.674540104059901</v>
      </c>
      <c r="AM5018">
        <v>96.839305355376993</v>
      </c>
      <c r="AN5018">
        <v>1.00000002436947</v>
      </c>
    </row>
    <row r="5019" spans="1:40" x14ac:dyDescent="0.25">
      <c r="A5019" t="str">
        <f>"20190312173031323"</f>
        <v>20190312173031323</v>
      </c>
      <c r="B5019" t="str">
        <f>"1552383031313252"</f>
        <v>1552383031313252</v>
      </c>
      <c r="C5019" t="s">
        <v>40</v>
      </c>
      <c r="D5019">
        <v>3.051393</v>
      </c>
      <c r="E5019">
        <v>0.44984980000000002</v>
      </c>
      <c r="F5019" t="s">
        <v>41</v>
      </c>
      <c r="G5019">
        <v>-397.8657</v>
      </c>
      <c r="H5019" s="1">
        <v>-1.1751819999999999E-6</v>
      </c>
      <c r="I5019">
        <v>18.568760000000001</v>
      </c>
      <c r="J5019">
        <v>-411.33429999999998</v>
      </c>
      <c r="K5019">
        <v>1.117929</v>
      </c>
      <c r="L5019">
        <v>25.276150000000001</v>
      </c>
      <c r="M5019">
        <v>0.7572179</v>
      </c>
      <c r="N5019">
        <v>0</v>
      </c>
      <c r="O5019">
        <v>-0.65300319999999901</v>
      </c>
      <c r="P5019">
        <v>0.8158938</v>
      </c>
      <c r="Q5019">
        <v>0.16720009999999999</v>
      </c>
      <c r="R5019">
        <v>-0.55349950000000003</v>
      </c>
      <c r="S5019">
        <v>2.7821039999999999</v>
      </c>
      <c r="T5019">
        <v>-0.22891220000000001</v>
      </c>
      <c r="U5019">
        <v>-1.392944</v>
      </c>
      <c r="V5019">
        <v>-0.1170752</v>
      </c>
      <c r="W5019">
        <v>0.17912729999999999</v>
      </c>
      <c r="X5019">
        <v>0.97683509999999996</v>
      </c>
      <c r="Y5019">
        <v>-0.24290999999999999</v>
      </c>
      <c r="Z5019">
        <v>5.4819920000000001E-2</v>
      </c>
      <c r="AA5019">
        <v>0.96849859999999999</v>
      </c>
      <c r="AB5019">
        <v>27</v>
      </c>
      <c r="AC5019">
        <v>13.468599999999901</v>
      </c>
      <c r="AD5019">
        <v>-1.1179301751819899</v>
      </c>
      <c r="AE5019">
        <v>-6.7073899999999904</v>
      </c>
      <c r="AF5019">
        <v>-3.6960657944614099</v>
      </c>
      <c r="AG5019">
        <v>-1.1179301751819899</v>
      </c>
      <c r="AH5019">
        <v>14.500081885487299</v>
      </c>
      <c r="AI5019">
        <v>94.272591120120694</v>
      </c>
      <c r="AJ5019">
        <v>104.30015311707299</v>
      </c>
      <c r="AK5019">
        <v>15.005433846423999</v>
      </c>
      <c r="AL5019">
        <v>79.681068390310102</v>
      </c>
      <c r="AM5019">
        <v>96.834388400379495</v>
      </c>
      <c r="AN5019">
        <v>1.0000000023261699</v>
      </c>
    </row>
    <row r="5020" spans="1:40" x14ac:dyDescent="0.25">
      <c r="A5020" t="str">
        <f>"20190312173031337"</f>
        <v>20190312173031337</v>
      </c>
      <c r="B5020" t="str">
        <f>"1552383031332772"</f>
        <v>1552383031332772</v>
      </c>
      <c r="C5020" t="s">
        <v>40</v>
      </c>
      <c r="D5020">
        <v>3.1684450000000002</v>
      </c>
      <c r="E5020">
        <v>0.44964579999999998</v>
      </c>
      <c r="F5020" t="s">
        <v>41</v>
      </c>
      <c r="G5020">
        <v>-397.64049999999997</v>
      </c>
      <c r="H5020" s="1">
        <v>-1.288337E-6</v>
      </c>
      <c r="I5020">
        <v>18.530940000000001</v>
      </c>
      <c r="J5020">
        <v>-411.20870000000002</v>
      </c>
      <c r="K5020">
        <v>1.11792</v>
      </c>
      <c r="L5020">
        <v>25.176970000000001</v>
      </c>
      <c r="M5020">
        <v>0.76142119999999902</v>
      </c>
      <c r="N5020">
        <v>0</v>
      </c>
      <c r="O5020">
        <v>-0.64809729999999999</v>
      </c>
      <c r="P5020">
        <v>0.81948099999999902</v>
      </c>
      <c r="Q5020">
        <v>0.1671965</v>
      </c>
      <c r="R5020">
        <v>-0.54817609999999894</v>
      </c>
      <c r="S5020">
        <v>2.7910159999999999</v>
      </c>
      <c r="T5020">
        <v>-0.22785269999999999</v>
      </c>
      <c r="U5020">
        <v>-1.3747860000000001</v>
      </c>
      <c r="V5020">
        <v>-0.11712</v>
      </c>
      <c r="W5020">
        <v>0.17912400000000001</v>
      </c>
      <c r="X5020">
        <v>0.97683039999999999</v>
      </c>
      <c r="Y5020">
        <v>-0.24296970000000001</v>
      </c>
      <c r="Z5020">
        <v>5.4250159999999999E-2</v>
      </c>
      <c r="AA5020">
        <v>0.96851569999999998</v>
      </c>
      <c r="AB5020">
        <v>27</v>
      </c>
      <c r="AC5020">
        <v>13.568199999999999</v>
      </c>
      <c r="AD5020">
        <v>-1.117921288337</v>
      </c>
      <c r="AE5020">
        <v>-6.6460299999999997</v>
      </c>
      <c r="AF5020">
        <v>-3.7131439402042599</v>
      </c>
      <c r="AG5020">
        <v>-1.117921288337</v>
      </c>
      <c r="AH5020">
        <v>14.5601926578601</v>
      </c>
      <c r="AI5020">
        <v>94.254860840093102</v>
      </c>
      <c r="AJ5020">
        <v>104.306641126353</v>
      </c>
      <c r="AK5020">
        <v>15.067726973953199</v>
      </c>
      <c r="AL5020">
        <v>79.681261239695104</v>
      </c>
      <c r="AM5020">
        <v>96.837011481660099</v>
      </c>
      <c r="AN5020">
        <v>1.0000000660700701</v>
      </c>
    </row>
    <row r="5021" spans="1:40" x14ac:dyDescent="0.25">
      <c r="A5021" t="str">
        <f>"20190312173031352"</f>
        <v>20190312173031352</v>
      </c>
      <c r="B5021" t="str">
        <f>"1552383031342532"</f>
        <v>1552383031342532</v>
      </c>
      <c r="C5021" t="s">
        <v>40</v>
      </c>
      <c r="D5021">
        <v>3.1684990000000002</v>
      </c>
      <c r="E5021">
        <v>0.45399689999999998</v>
      </c>
      <c r="F5021" t="s">
        <v>41</v>
      </c>
      <c r="G5021">
        <v>-397.47699999999998</v>
      </c>
      <c r="H5021" s="1">
        <v>-1.365644E-6</v>
      </c>
      <c r="I5021">
        <v>18.53097</v>
      </c>
      <c r="J5021">
        <v>-411.07850000000002</v>
      </c>
      <c r="K5021">
        <v>1.1179110000000001</v>
      </c>
      <c r="L5021">
        <v>25.07526</v>
      </c>
      <c r="M5021">
        <v>0.76573009999999997</v>
      </c>
      <c r="N5021">
        <v>0</v>
      </c>
      <c r="O5021">
        <v>-0.64300049999999997</v>
      </c>
      <c r="P5021">
        <v>0.82307009999999903</v>
      </c>
      <c r="Q5021">
        <v>0.1674457</v>
      </c>
      <c r="R5021">
        <v>-0.54269489999999998</v>
      </c>
      <c r="S5021">
        <v>2.8006899999999999</v>
      </c>
      <c r="T5021">
        <v>-0.22800790000000001</v>
      </c>
      <c r="U5021">
        <v>-1.355499</v>
      </c>
      <c r="V5021">
        <v>-0.1170861</v>
      </c>
      <c r="W5021">
        <v>0.17937449999999999</v>
      </c>
      <c r="X5021">
        <v>0.9767884</v>
      </c>
      <c r="Y5021">
        <v>-0.2432214</v>
      </c>
      <c r="Z5021">
        <v>5.3956869999999997E-2</v>
      </c>
      <c r="AA5021">
        <v>0.96846889999999997</v>
      </c>
      <c r="AB5021">
        <v>27</v>
      </c>
      <c r="AC5021">
        <v>13.6015</v>
      </c>
      <c r="AD5021">
        <v>-1.117912365644</v>
      </c>
      <c r="AE5021">
        <v>-6.5442900000000002</v>
      </c>
      <c r="AF5021">
        <v>-3.7146233441928902</v>
      </c>
      <c r="AG5021">
        <v>-1.117912365644</v>
      </c>
      <c r="AH5021">
        <v>14.5447952028419</v>
      </c>
      <c r="AI5021">
        <v>94.258936790860204</v>
      </c>
      <c r="AJ5021">
        <v>104.32663485286599</v>
      </c>
      <c r="AK5021">
        <v>15.0532130171301</v>
      </c>
      <c r="AL5021">
        <v>79.666671381474004</v>
      </c>
      <c r="AM5021">
        <v>96.835342368854995</v>
      </c>
      <c r="AN5021">
        <v>0.99999997221900905</v>
      </c>
    </row>
    <row r="5022" spans="1:40" x14ac:dyDescent="0.25">
      <c r="A5022" t="str">
        <f>"20190312173031367"</f>
        <v>20190312173031367</v>
      </c>
      <c r="B5022" t="str">
        <f>"1552383031363028"</f>
        <v>1552383031363028</v>
      </c>
      <c r="C5022" t="s">
        <v>40</v>
      </c>
      <c r="D5022">
        <v>3.1537229999999998</v>
      </c>
      <c r="E5022">
        <v>0.45404719999999998</v>
      </c>
      <c r="F5022" t="s">
        <v>41</v>
      </c>
      <c r="G5022">
        <v>-397.42270000000002</v>
      </c>
      <c r="H5022" s="1">
        <v>-1.4159019999999999E-6</v>
      </c>
      <c r="I5022">
        <v>18.392199999999999</v>
      </c>
      <c r="J5022">
        <v>-410.92680000000001</v>
      </c>
      <c r="K5022">
        <v>1.1178939999999999</v>
      </c>
      <c r="L5022">
        <v>24.958310000000001</v>
      </c>
      <c r="M5022">
        <v>0.77068349999999997</v>
      </c>
      <c r="N5022">
        <v>0</v>
      </c>
      <c r="O5022">
        <v>-0.63705500000000004</v>
      </c>
      <c r="P5022">
        <v>0.827082599999999</v>
      </c>
      <c r="Q5022">
        <v>0.16737560000000001</v>
      </c>
      <c r="R5022">
        <v>-0.53658149999999905</v>
      </c>
      <c r="S5022">
        <v>2.7908330000000001</v>
      </c>
      <c r="T5022">
        <v>-0.22846759999999999</v>
      </c>
      <c r="U5022">
        <v>-1.3658140000000001</v>
      </c>
      <c r="V5022">
        <v>-0.1167652</v>
      </c>
      <c r="W5022">
        <v>0.1793121</v>
      </c>
      <c r="X5022">
        <v>0.97683830000000005</v>
      </c>
      <c r="Y5022">
        <v>-0.23148779999999999</v>
      </c>
      <c r="Z5022">
        <v>5.3402619999999998E-2</v>
      </c>
      <c r="AA5022">
        <v>0.97137099999999998</v>
      </c>
      <c r="AB5022">
        <v>27</v>
      </c>
      <c r="AC5022">
        <v>13.5040999999999</v>
      </c>
      <c r="AD5022">
        <v>-1.117895415902</v>
      </c>
      <c r="AE5022">
        <v>-6.5661100000000001</v>
      </c>
      <c r="AF5022">
        <v>-3.5233021666285902</v>
      </c>
      <c r="AG5022">
        <v>-1.117895415902</v>
      </c>
      <c r="AH5022">
        <v>14.5114473966571</v>
      </c>
      <c r="AI5022">
        <v>94.281206620880198</v>
      </c>
      <c r="AJ5022">
        <v>103.64703932669801</v>
      </c>
      <c r="AK5022">
        <v>14.9748273400467</v>
      </c>
      <c r="AL5022">
        <v>79.670305879550696</v>
      </c>
      <c r="AM5022">
        <v>96.816440200030996</v>
      </c>
      <c r="AN5022">
        <v>1.00000000274217</v>
      </c>
    </row>
    <row r="5023" spans="1:40" x14ac:dyDescent="0.25">
      <c r="A5023" t="str">
        <f>"20190312173031380"</f>
        <v>20190312173031380</v>
      </c>
      <c r="B5023" t="str">
        <f>"1552383031372787"</f>
        <v>1552383031372787</v>
      </c>
      <c r="C5023" t="s">
        <v>40</v>
      </c>
      <c r="D5023">
        <v>3.227036</v>
      </c>
      <c r="E5023">
        <v>0.45776280000000003</v>
      </c>
      <c r="F5023" t="s">
        <v>41</v>
      </c>
      <c r="G5023">
        <v>-397.36149999999998</v>
      </c>
      <c r="H5023" s="1">
        <v>-1.435682E-6</v>
      </c>
      <c r="I5023">
        <v>18.443770000000001</v>
      </c>
      <c r="J5023">
        <v>-410.80599999999998</v>
      </c>
      <c r="K5023">
        <v>1.1178840000000001</v>
      </c>
      <c r="L5023">
        <v>24.866520000000001</v>
      </c>
      <c r="M5023">
        <v>0.77457319999999996</v>
      </c>
      <c r="N5023">
        <v>0</v>
      </c>
      <c r="O5023">
        <v>-0.63231999999999999</v>
      </c>
      <c r="P5023">
        <v>0.83032309999999998</v>
      </c>
      <c r="Q5023">
        <v>0.16738020000000001</v>
      </c>
      <c r="R5023">
        <v>-0.53155200000000002</v>
      </c>
      <c r="S5023">
        <v>2.8012079999999999</v>
      </c>
      <c r="T5023">
        <v>-0.23084399999999999</v>
      </c>
      <c r="U5023">
        <v>-1.345245</v>
      </c>
      <c r="V5023">
        <v>-0.1167026</v>
      </c>
      <c r="W5023">
        <v>0.1793187</v>
      </c>
      <c r="X5023">
        <v>0.9768445</v>
      </c>
      <c r="Y5023">
        <v>-0.23269580000000001</v>
      </c>
      <c r="Z5023">
        <v>5.366916E-2</v>
      </c>
      <c r="AA5023">
        <v>0.97106760000000003</v>
      </c>
      <c r="AB5023">
        <v>27</v>
      </c>
      <c r="AC5023">
        <v>13.4445</v>
      </c>
      <c r="AD5023">
        <v>-1.1178854356820001</v>
      </c>
      <c r="AE5023">
        <v>-6.4227499999999997</v>
      </c>
      <c r="AF5023">
        <v>-3.5069620191349</v>
      </c>
      <c r="AG5023">
        <v>-1.1178854356820001</v>
      </c>
      <c r="AH5023">
        <v>14.395455021735399</v>
      </c>
      <c r="AI5023">
        <v>94.314723892874994</v>
      </c>
      <c r="AJ5023">
        <v>103.691465400216</v>
      </c>
      <c r="AK5023">
        <v>14.8585859264525</v>
      </c>
      <c r="AL5023">
        <v>79.669920790761594</v>
      </c>
      <c r="AM5023">
        <v>96.812777302639901</v>
      </c>
      <c r="AN5023">
        <v>0.99999993509834695</v>
      </c>
    </row>
    <row r="5024" spans="1:40" x14ac:dyDescent="0.25">
      <c r="A5024" t="str">
        <f>"20190312173031392"</f>
        <v>20190312173031392</v>
      </c>
      <c r="B5024" t="str">
        <f>"1552383031382548"</f>
        <v>1552383031382548</v>
      </c>
      <c r="C5024" t="s">
        <v>40</v>
      </c>
      <c r="D5024">
        <v>3.156571</v>
      </c>
      <c r="E5024">
        <v>0.45756839999999999</v>
      </c>
      <c r="F5024" t="s">
        <v>41</v>
      </c>
      <c r="G5024">
        <v>-398.00940000000003</v>
      </c>
      <c r="H5024" s="1">
        <v>-1.089743E-6</v>
      </c>
      <c r="I5024">
        <v>18.667570000000001</v>
      </c>
      <c r="J5024">
        <v>-410.69380000000001</v>
      </c>
      <c r="K5024">
        <v>1.1178729999999999</v>
      </c>
      <c r="L5024">
        <v>24.782679999999999</v>
      </c>
      <c r="M5024">
        <v>0.77813569999999999</v>
      </c>
      <c r="N5024">
        <v>0</v>
      </c>
      <c r="O5024">
        <v>-0.62793109999999996</v>
      </c>
      <c r="P5024">
        <v>0.83322510000000005</v>
      </c>
      <c r="Q5024">
        <v>0.167270899999999</v>
      </c>
      <c r="R5024">
        <v>-0.52702649999999995</v>
      </c>
      <c r="S5024">
        <v>2.79541</v>
      </c>
      <c r="T5024">
        <v>-0.24420140000000001</v>
      </c>
      <c r="U5024">
        <v>-1.3541559999999999</v>
      </c>
      <c r="V5024">
        <v>-0.1165017</v>
      </c>
      <c r="W5024">
        <v>0.1792145</v>
      </c>
      <c r="X5024">
        <v>0.97688759999999997</v>
      </c>
      <c r="Y5024">
        <v>-0.22368370000000001</v>
      </c>
      <c r="Z5024">
        <v>5.6189339999999997E-2</v>
      </c>
      <c r="AA5024">
        <v>0.97304080000000004</v>
      </c>
      <c r="AB5024">
        <v>27</v>
      </c>
      <c r="AC5024">
        <v>12.684399999999901</v>
      </c>
      <c r="AD5024">
        <v>-1.117874089743</v>
      </c>
      <c r="AE5024">
        <v>-6.1151099999999898</v>
      </c>
      <c r="AF5024">
        <v>-3.1867927441796802</v>
      </c>
      <c r="AG5024">
        <v>-1.117874089743</v>
      </c>
      <c r="AH5024">
        <v>13.625603473198501</v>
      </c>
      <c r="AI5024">
        <v>94.567449516489702</v>
      </c>
      <c r="AJ5024">
        <v>103.163869098102</v>
      </c>
      <c r="AK5024">
        <v>14.037890172091901</v>
      </c>
      <c r="AL5024">
        <v>79.675989297175803</v>
      </c>
      <c r="AM5024">
        <v>96.800862008338896</v>
      </c>
      <c r="AN5024">
        <v>0.99999993307344703</v>
      </c>
    </row>
    <row r="5025" spans="1:40" x14ac:dyDescent="0.25">
      <c r="A5025" t="str">
        <f>"20190312173031404"</f>
        <v>20190312173031404</v>
      </c>
      <c r="B5025" t="str">
        <f>"1552383031393285"</f>
        <v>1552383031393285</v>
      </c>
      <c r="C5025" t="s">
        <v>40</v>
      </c>
      <c r="D5025">
        <v>3.120717</v>
      </c>
      <c r="E5025">
        <v>0.45810299999999998</v>
      </c>
      <c r="F5025" t="s">
        <v>41</v>
      </c>
      <c r="G5025">
        <v>-397.86680000000001</v>
      </c>
      <c r="H5025" s="1">
        <v>-1.158048E-6</v>
      </c>
      <c r="I5025">
        <v>18.662510000000001</v>
      </c>
      <c r="J5025">
        <v>-410.5856</v>
      </c>
      <c r="K5025">
        <v>1.117864</v>
      </c>
      <c r="L5025">
        <v>24.702120000000001</v>
      </c>
      <c r="M5025">
        <v>0.78154519999999905</v>
      </c>
      <c r="N5025">
        <v>0</v>
      </c>
      <c r="O5025">
        <v>-0.62368230000000002</v>
      </c>
      <c r="P5025">
        <v>0.83608899999999997</v>
      </c>
      <c r="Q5025">
        <v>0.16705739999999999</v>
      </c>
      <c r="R5025">
        <v>-0.52253930000000004</v>
      </c>
      <c r="S5025">
        <v>2.8034669999999999</v>
      </c>
      <c r="T5025">
        <v>-0.24432110000000001</v>
      </c>
      <c r="U5025">
        <v>-1.3376159999999999</v>
      </c>
      <c r="V5025">
        <v>-0.1164499</v>
      </c>
      <c r="W5025">
        <v>0.17900350000000001</v>
      </c>
      <c r="X5025">
        <v>0.97693249999999998</v>
      </c>
      <c r="Y5025">
        <v>-0.22414629999999999</v>
      </c>
      <c r="Z5025">
        <v>5.5927079999999997E-2</v>
      </c>
      <c r="AA5025">
        <v>0.97294939999999996</v>
      </c>
      <c r="AB5025">
        <v>27</v>
      </c>
      <c r="AC5025">
        <v>12.7187999999999</v>
      </c>
      <c r="AD5025">
        <v>-1.1178651580479999</v>
      </c>
      <c r="AE5025">
        <v>-6.0396099999999997</v>
      </c>
      <c r="AF5025">
        <v>-3.1924720059790301</v>
      </c>
      <c r="AG5025">
        <v>-1.1178651580479999</v>
      </c>
      <c r="AH5025">
        <v>13.6226676367324</v>
      </c>
      <c r="AI5025">
        <v>94.567921543806705</v>
      </c>
      <c r="AJ5025">
        <v>103.189252280053</v>
      </c>
      <c r="AK5025">
        <v>14.036330487752601</v>
      </c>
      <c r="AL5025">
        <v>79.688277809988705</v>
      </c>
      <c r="AM5025">
        <v>96.797556945870099</v>
      </c>
      <c r="AN5025">
        <v>0.99999997088925396</v>
      </c>
    </row>
    <row r="5026" spans="1:40" x14ac:dyDescent="0.25">
      <c r="A5026" t="str">
        <f>"20190312173031414"</f>
        <v>20190312173031414</v>
      </c>
      <c r="B5026" t="str">
        <f>"1552383031403044"</f>
        <v>1552383031403044</v>
      </c>
      <c r="C5026" t="s">
        <v>40</v>
      </c>
      <c r="D5026">
        <v>3.2226509999999999</v>
      </c>
      <c r="E5026">
        <v>0.45838390000000001</v>
      </c>
      <c r="F5026" t="s">
        <v>41</v>
      </c>
      <c r="G5026">
        <v>-397.83530000000002</v>
      </c>
      <c r="H5026" s="1">
        <v>-1.169653E-6</v>
      </c>
      <c r="I5026">
        <v>18.680900000000001</v>
      </c>
      <c r="J5026">
        <v>-410.4787</v>
      </c>
      <c r="K5026">
        <v>1.117853</v>
      </c>
      <c r="L5026">
        <v>24.624110000000002</v>
      </c>
      <c r="M5026">
        <v>0.78486369999999905</v>
      </c>
      <c r="N5026">
        <v>0</v>
      </c>
      <c r="O5026">
        <v>-0.61950099999999997</v>
      </c>
      <c r="P5026">
        <v>0.83884509999999901</v>
      </c>
      <c r="Q5026">
        <v>0.167117299999999</v>
      </c>
      <c r="R5026">
        <v>-0.51808399999999999</v>
      </c>
      <c r="S5026">
        <v>2.8084410000000002</v>
      </c>
      <c r="T5026">
        <v>-0.2462268</v>
      </c>
      <c r="U5026">
        <v>-1.326263</v>
      </c>
      <c r="V5026">
        <v>-0.1164202</v>
      </c>
      <c r="W5026">
        <v>0.17906440000000001</v>
      </c>
      <c r="X5026">
        <v>0.97692489999999998</v>
      </c>
      <c r="Y5026">
        <v>-0.22280420000000001</v>
      </c>
      <c r="Z5026">
        <v>5.6024350000000001E-2</v>
      </c>
      <c r="AA5026">
        <v>0.97325209999999995</v>
      </c>
      <c r="AB5026">
        <v>27</v>
      </c>
      <c r="AC5026">
        <v>12.6433999999999</v>
      </c>
      <c r="AD5026">
        <v>-1.117854169653</v>
      </c>
      <c r="AE5026">
        <v>-5.9432099999999997</v>
      </c>
      <c r="AF5026">
        <v>-3.14816214813527</v>
      </c>
      <c r="AG5026">
        <v>-1.117854169653</v>
      </c>
      <c r="AH5026">
        <v>13.520021663511301</v>
      </c>
      <c r="AI5026">
        <v>94.603929410068403</v>
      </c>
      <c r="AJ5026">
        <v>103.107857332207</v>
      </c>
      <c r="AK5026">
        <v>13.9266474299229</v>
      </c>
      <c r="AL5026">
        <v>79.684731406481106</v>
      </c>
      <c r="AM5026">
        <v>96.795891851090204</v>
      </c>
      <c r="AN5026">
        <v>0.999999991277704</v>
      </c>
    </row>
    <row r="5027" spans="1:40" x14ac:dyDescent="0.25">
      <c r="A5027" t="str">
        <f>"20190312173031425"</f>
        <v>20190312173031425</v>
      </c>
      <c r="B5027" t="str">
        <f>"1552383031422564"</f>
        <v>1552383031422564</v>
      </c>
      <c r="C5027" t="s">
        <v>40</v>
      </c>
      <c r="D5027">
        <v>3.2094399999999998</v>
      </c>
      <c r="E5027">
        <v>0.45957989999999999</v>
      </c>
      <c r="F5027" t="s">
        <v>41</v>
      </c>
      <c r="G5027">
        <v>-397.53980000000001</v>
      </c>
      <c r="H5027" s="1">
        <v>-1.3263699999999999E-6</v>
      </c>
      <c r="I5027">
        <v>18.584890000000001</v>
      </c>
      <c r="J5027">
        <v>-410.38080000000002</v>
      </c>
      <c r="K5027">
        <v>1.117842</v>
      </c>
      <c r="L5027">
        <v>24.55292</v>
      </c>
      <c r="M5027">
        <v>0.78787719999999895</v>
      </c>
      <c r="N5027">
        <v>0</v>
      </c>
      <c r="O5027">
        <v>-0.61566379999999998</v>
      </c>
      <c r="P5027">
        <v>0.84129469999999995</v>
      </c>
      <c r="Q5027">
        <v>0.16696920000000001</v>
      </c>
      <c r="R5027">
        <v>-0.51414439999999995</v>
      </c>
      <c r="S5027">
        <v>2.8136899999999998</v>
      </c>
      <c r="T5027">
        <v>-0.24308930000000001</v>
      </c>
      <c r="U5027">
        <v>-1.313293</v>
      </c>
      <c r="V5027">
        <v>-0.1162444</v>
      </c>
      <c r="W5027">
        <v>0.17892130000000001</v>
      </c>
      <c r="X5027">
        <v>0.97697199999999995</v>
      </c>
      <c r="Y5027">
        <v>-0.22249350000000001</v>
      </c>
      <c r="Z5027">
        <v>5.5044009999999997E-2</v>
      </c>
      <c r="AA5027">
        <v>0.97337910000000005</v>
      </c>
      <c r="AB5027">
        <v>27</v>
      </c>
      <c r="AC5027">
        <v>12.840999999999999</v>
      </c>
      <c r="AD5027">
        <v>-1.1178433263700001</v>
      </c>
      <c r="AE5027">
        <v>-5.9680299999999997</v>
      </c>
      <c r="AF5027">
        <v>-3.1841529865609699</v>
      </c>
      <c r="AG5027">
        <v>-1.1178433263700001</v>
      </c>
      <c r="AH5027">
        <v>13.707437941161199</v>
      </c>
      <c r="AI5027">
        <v>94.541759819877498</v>
      </c>
      <c r="AJ5027">
        <v>103.077524330815</v>
      </c>
      <c r="AK5027">
        <v>14.1167368345138</v>
      </c>
      <c r="AL5027">
        <v>79.693064487748202</v>
      </c>
      <c r="AM5027">
        <v>96.785401405735101</v>
      </c>
      <c r="AN5027">
        <v>0.99999994045452301</v>
      </c>
    </row>
    <row r="5028" spans="1:40" x14ac:dyDescent="0.25">
      <c r="A5028" t="str">
        <f>"20190312173031435"</f>
        <v>20190312173031435</v>
      </c>
      <c r="B5028" t="str">
        <f>"1552383031422564"</f>
        <v>1552383031422564</v>
      </c>
      <c r="C5028" t="s">
        <v>40</v>
      </c>
      <c r="D5028">
        <v>3.2094399999999998</v>
      </c>
      <c r="E5028">
        <v>0.45957989999999999</v>
      </c>
      <c r="F5028" t="s">
        <v>41</v>
      </c>
      <c r="G5028">
        <v>-397.50740000000002</v>
      </c>
      <c r="H5028" s="1">
        <v>-1.344437E-6</v>
      </c>
      <c r="I5028">
        <v>18.569459999999999</v>
      </c>
      <c r="J5028">
        <v>-410.28550000000001</v>
      </c>
      <c r="K5028">
        <v>1.117831</v>
      </c>
      <c r="L5028">
        <v>24.484739999999999</v>
      </c>
      <c r="M5028">
        <v>0.79077379999999997</v>
      </c>
      <c r="N5028">
        <v>0</v>
      </c>
      <c r="O5028">
        <v>-0.61193920000000002</v>
      </c>
      <c r="P5028">
        <v>0.84368539999999903</v>
      </c>
      <c r="Q5028">
        <v>0.1671126</v>
      </c>
      <c r="R5028">
        <v>-0.51016519999999999</v>
      </c>
      <c r="S5028">
        <v>2.8148499999999999</v>
      </c>
      <c r="T5028">
        <v>-0.24442349999999999</v>
      </c>
      <c r="U5028">
        <v>-1.308319</v>
      </c>
      <c r="V5028">
        <v>-0.1162287</v>
      </c>
      <c r="W5028">
        <v>0.17906629999999901</v>
      </c>
      <c r="X5028">
        <v>0.97694740000000002</v>
      </c>
      <c r="Y5028">
        <v>-0.21945129999999999</v>
      </c>
      <c r="Z5028">
        <v>5.4998560000000002E-2</v>
      </c>
      <c r="AA5028">
        <v>0.97407200000000005</v>
      </c>
      <c r="AB5028">
        <v>27</v>
      </c>
      <c r="AC5028">
        <v>12.778099999999901</v>
      </c>
      <c r="AD5028">
        <v>-1.117832344437</v>
      </c>
      <c r="AE5028">
        <v>-5.9152799999999903</v>
      </c>
      <c r="AF5028">
        <v>-3.1224191452211998</v>
      </c>
      <c r="AG5028">
        <v>-1.117832344437</v>
      </c>
      <c r="AH5028">
        <v>13.6398389069895</v>
      </c>
      <c r="AI5028">
        <v>94.567488853467196</v>
      </c>
      <c r="AJ5028">
        <v>102.893929182061</v>
      </c>
      <c r="AK5028">
        <v>14.0372453094379</v>
      </c>
      <c r="AL5028">
        <v>79.684621226970194</v>
      </c>
      <c r="AM5028">
        <v>96.784662754909505</v>
      </c>
      <c r="AN5028">
        <v>1.0000000364330599</v>
      </c>
    </row>
    <row r="5029" spans="1:40" x14ac:dyDescent="0.25">
      <c r="A5029" t="str">
        <f>"20190312173031445"</f>
        <v>20190312173031445</v>
      </c>
      <c r="B5029" t="str">
        <f>"1552383031433300"</f>
        <v>1552383031433300</v>
      </c>
      <c r="C5029" t="s">
        <v>40</v>
      </c>
      <c r="D5029">
        <v>3.3390680000000001</v>
      </c>
      <c r="E5029">
        <v>0.45979199999999998</v>
      </c>
      <c r="F5029" t="s">
        <v>41</v>
      </c>
      <c r="G5029">
        <v>-397.3655</v>
      </c>
      <c r="H5029" s="1">
        <v>-1.414446E-6</v>
      </c>
      <c r="I5029">
        <v>18.552849999999999</v>
      </c>
      <c r="J5029">
        <v>-410.19319999999999</v>
      </c>
      <c r="K5029">
        <v>1.117821</v>
      </c>
      <c r="L5029">
        <v>24.41891</v>
      </c>
      <c r="M5029">
        <v>0.79355810000000004</v>
      </c>
      <c r="N5029">
        <v>0</v>
      </c>
      <c r="O5029">
        <v>-0.60832419999999998</v>
      </c>
      <c r="P5029">
        <v>0.84594780000000003</v>
      </c>
      <c r="Q5029">
        <v>0.1670867</v>
      </c>
      <c r="R5029">
        <v>-0.50641340000000001</v>
      </c>
      <c r="S5029">
        <v>2.8210139999999999</v>
      </c>
      <c r="T5029">
        <v>-0.24407280000000001</v>
      </c>
      <c r="U5029">
        <v>-1.2951969999999999</v>
      </c>
      <c r="V5029">
        <v>-0.11610620000000001</v>
      </c>
      <c r="W5029">
        <v>0.17904419999999999</v>
      </c>
      <c r="X5029">
        <v>0.976966</v>
      </c>
      <c r="Y5029">
        <v>-0.2195655</v>
      </c>
      <c r="Z5029">
        <v>5.4662969999999998E-2</v>
      </c>
      <c r="AA5029">
        <v>0.97406519999999996</v>
      </c>
      <c r="AB5029">
        <v>27</v>
      </c>
      <c r="AC5029">
        <v>12.827699999999901</v>
      </c>
      <c r="AD5029">
        <v>-1.1178224144460001</v>
      </c>
      <c r="AE5029">
        <v>-5.8660600000000001</v>
      </c>
      <c r="AF5029">
        <v>-3.1290160648538499</v>
      </c>
      <c r="AG5029">
        <v>-1.1178224144460001</v>
      </c>
      <c r="AH5029">
        <v>13.6636048793487</v>
      </c>
      <c r="AI5029">
        <v>94.559453925271796</v>
      </c>
      <c r="AJ5029">
        <v>102.89853692554399</v>
      </c>
      <c r="AK5029">
        <v>14.061805246244599</v>
      </c>
      <c r="AL5029">
        <v>79.685908094096206</v>
      </c>
      <c r="AM5029">
        <v>96.777450734225596</v>
      </c>
      <c r="AN5029">
        <v>1.00000002019403</v>
      </c>
    </row>
    <row r="5030" spans="1:40" x14ac:dyDescent="0.25">
      <c r="A5030" t="str">
        <f>"20190312173031455"</f>
        <v>20190312173031455</v>
      </c>
      <c r="B5030" t="str">
        <f>"1552383031452820"</f>
        <v>1552383031452820</v>
      </c>
      <c r="C5030" t="s">
        <v>40</v>
      </c>
      <c r="D5030">
        <v>3.2856369999999999</v>
      </c>
      <c r="E5030">
        <v>0.46071410000000002</v>
      </c>
      <c r="F5030" t="s">
        <v>41</v>
      </c>
      <c r="G5030">
        <v>-397.41840000000002</v>
      </c>
      <c r="H5030" s="1">
        <v>-1.3787170000000001E-6</v>
      </c>
      <c r="I5030">
        <v>18.613399999999999</v>
      </c>
      <c r="J5030">
        <v>-410.08690000000001</v>
      </c>
      <c r="K5030">
        <v>1.1178030000000001</v>
      </c>
      <c r="L5030">
        <v>24.344360000000002</v>
      </c>
      <c r="M5030">
        <v>0.79671939999999997</v>
      </c>
      <c r="N5030">
        <v>0</v>
      </c>
      <c r="O5030">
        <v>-0.60417779999999999</v>
      </c>
      <c r="P5030">
        <v>0.84857359999999904</v>
      </c>
      <c r="Q5030">
        <v>0.1672392</v>
      </c>
      <c r="R5030">
        <v>-0.50195000000000001</v>
      </c>
      <c r="S5030">
        <v>2.826263</v>
      </c>
      <c r="T5030">
        <v>-0.2473031</v>
      </c>
      <c r="U5030">
        <v>-1.2843929999999999</v>
      </c>
      <c r="V5030">
        <v>-0.116135</v>
      </c>
      <c r="W5030">
        <v>0.1791972</v>
      </c>
      <c r="X5030">
        <v>0.97693450000000004</v>
      </c>
      <c r="Y5030">
        <v>-0.21820349999999999</v>
      </c>
      <c r="Z5030">
        <v>5.5032320000000003E-2</v>
      </c>
      <c r="AA5030">
        <v>0.97435039999999995</v>
      </c>
      <c r="AB5030">
        <v>27</v>
      </c>
      <c r="AC5030">
        <v>12.6684999999999</v>
      </c>
      <c r="AD5030">
        <v>-1.117804378717</v>
      </c>
      <c r="AE5030">
        <v>-5.7309599999999996</v>
      </c>
      <c r="AF5030">
        <v>-3.0685482494275398</v>
      </c>
      <c r="AG5030">
        <v>-1.117804378717</v>
      </c>
      <c r="AH5030">
        <v>13.4701095641125</v>
      </c>
      <c r="AI5030">
        <v>94.625792193389103</v>
      </c>
      <c r="AJ5030">
        <v>102.83322114225901</v>
      </c>
      <c r="AK5030">
        <v>13.860350885072799</v>
      </c>
      <c r="AL5030">
        <v>79.676997481214002</v>
      </c>
      <c r="AM5030">
        <v>96.779332778201393</v>
      </c>
      <c r="AN5030">
        <v>0.99999999600154499</v>
      </c>
    </row>
    <row r="5031" spans="1:40" x14ac:dyDescent="0.25">
      <c r="A5031" t="str">
        <f>"20190312173031467"</f>
        <v>20190312173031467</v>
      </c>
      <c r="B5031" t="str">
        <f>"1552383031462580"</f>
        <v>1552383031462580</v>
      </c>
      <c r="C5031" t="s">
        <v>40</v>
      </c>
      <c r="D5031">
        <v>3.2566130000000002</v>
      </c>
      <c r="E5031">
        <v>0.46071410000000002</v>
      </c>
      <c r="F5031" t="s">
        <v>41</v>
      </c>
      <c r="G5031">
        <v>-397.28719999999998</v>
      </c>
      <c r="H5031" s="1">
        <v>-1.4480069999999999E-6</v>
      </c>
      <c r="I5031">
        <v>18.572340000000001</v>
      </c>
      <c r="J5031">
        <v>-409.98250000000002</v>
      </c>
      <c r="K5031">
        <v>1.1177889999999999</v>
      </c>
      <c r="L5031">
        <v>24.271550000000001</v>
      </c>
      <c r="M5031">
        <v>0.79979440000000002</v>
      </c>
      <c r="N5031">
        <v>0</v>
      </c>
      <c r="O5031">
        <v>-0.60010160000000001</v>
      </c>
      <c r="P5031">
        <v>0.85099089999999999</v>
      </c>
      <c r="Q5031">
        <v>0.16753029999999999</v>
      </c>
      <c r="R5031">
        <v>-0.4977432</v>
      </c>
      <c r="S5031">
        <v>2.8293149999999998</v>
      </c>
      <c r="T5031">
        <v>-0.24708550000000001</v>
      </c>
      <c r="U5031">
        <v>-1.275879</v>
      </c>
      <c r="V5031">
        <v>-0.1159451</v>
      </c>
      <c r="W5031">
        <v>0.17949370000000001</v>
      </c>
      <c r="X5031">
        <v>0.97690259999999995</v>
      </c>
      <c r="Y5031">
        <v>-0.2160695</v>
      </c>
      <c r="Z5031">
        <v>5.4630100000000001E-2</v>
      </c>
      <c r="AA5031">
        <v>0.97484839999999995</v>
      </c>
      <c r="AB5031">
        <v>27</v>
      </c>
      <c r="AC5031">
        <v>12.6953</v>
      </c>
      <c r="AD5031">
        <v>-1.117790448007</v>
      </c>
      <c r="AE5031">
        <v>-5.6992099999999999</v>
      </c>
      <c r="AF5031">
        <v>-3.0409697936492299</v>
      </c>
      <c r="AG5031">
        <v>-1.117790448007</v>
      </c>
      <c r="AH5031">
        <v>13.488113538195901</v>
      </c>
      <c r="AI5031">
        <v>94.621916385973293</v>
      </c>
      <c r="AJ5031">
        <v>102.70522340084401</v>
      </c>
      <c r="AK5031">
        <v>13.8717756466433</v>
      </c>
      <c r="AL5031">
        <v>79.659729050300697</v>
      </c>
      <c r="AM5031">
        <v>96.768569332535705</v>
      </c>
      <c r="AN5031">
        <v>0.99999997222022896</v>
      </c>
    </row>
    <row r="5032" spans="1:40" x14ac:dyDescent="0.25">
      <c r="A5032" t="str">
        <f>"20190312173031478"</f>
        <v>20190312173031478</v>
      </c>
      <c r="B5032" t="str">
        <f>"1552383031473316"</f>
        <v>1552383031473316</v>
      </c>
      <c r="C5032" t="s">
        <v>40</v>
      </c>
      <c r="D5032">
        <v>3.3235619999999999</v>
      </c>
      <c r="E5032">
        <v>0.46165109999999898</v>
      </c>
      <c r="F5032" t="s">
        <v>41</v>
      </c>
      <c r="G5032">
        <v>-397.10860000000002</v>
      </c>
      <c r="H5032" s="1">
        <v>-1.5378370000000001E-6</v>
      </c>
      <c r="I5032">
        <v>18.541799999999999</v>
      </c>
      <c r="J5032">
        <v>-409.8698</v>
      </c>
      <c r="K5032">
        <v>1.1177680000000001</v>
      </c>
      <c r="L5032">
        <v>24.194089999999999</v>
      </c>
      <c r="M5032">
        <v>0.80306639999999996</v>
      </c>
      <c r="N5032">
        <v>0</v>
      </c>
      <c r="O5032">
        <v>-0.59571589999999996</v>
      </c>
      <c r="P5032">
        <v>0.85357150000000004</v>
      </c>
      <c r="Q5032">
        <v>0.16764200000000001</v>
      </c>
      <c r="R5032">
        <v>-0.4932667</v>
      </c>
      <c r="S5032">
        <v>2.8356319999999999</v>
      </c>
      <c r="T5032">
        <v>-0.2462087</v>
      </c>
      <c r="U5032">
        <v>-1.262054</v>
      </c>
      <c r="V5032">
        <v>-0.1157078</v>
      </c>
      <c r="W5032">
        <v>0.17961279999999999</v>
      </c>
      <c r="X5032">
        <v>0.97690889999999997</v>
      </c>
      <c r="Y5032">
        <v>-0.21553069999999999</v>
      </c>
      <c r="Z5032">
        <v>5.4098830000000001E-2</v>
      </c>
      <c r="AA5032">
        <v>0.97499729999999996</v>
      </c>
      <c r="AB5032">
        <v>27</v>
      </c>
      <c r="AC5032">
        <v>12.761199999999899</v>
      </c>
      <c r="AD5032">
        <v>-1.1177695378370001</v>
      </c>
      <c r="AE5032">
        <v>-5.6522899999999998</v>
      </c>
      <c r="AF5032">
        <v>-3.04368059561153</v>
      </c>
      <c r="AG5032">
        <v>-1.1177695378370001</v>
      </c>
      <c r="AH5032">
        <v>13.529879359392201</v>
      </c>
      <c r="AI5032">
        <v>94.608111923161999</v>
      </c>
      <c r="AJ5032">
        <v>102.678197782136</v>
      </c>
      <c r="AK5032">
        <v>13.9129808376036</v>
      </c>
      <c r="AL5032">
        <v>79.652792951503102</v>
      </c>
      <c r="AM5032">
        <v>96.754801360073103</v>
      </c>
      <c r="AN5032">
        <v>1.0000000259019399</v>
      </c>
    </row>
    <row r="5033" spans="1:40" x14ac:dyDescent="0.25">
      <c r="A5033" t="str">
        <f>"20190312173031489"</f>
        <v>20190312173031489</v>
      </c>
      <c r="B5033" t="str">
        <f>"1552383031483077"</f>
        <v>1552383031483077</v>
      </c>
      <c r="C5033" t="s">
        <v>40</v>
      </c>
      <c r="D5033">
        <v>3.264688</v>
      </c>
      <c r="E5033">
        <v>0.46165109999999898</v>
      </c>
      <c r="F5033" t="s">
        <v>41</v>
      </c>
      <c r="G5033">
        <v>-396.91910000000001</v>
      </c>
      <c r="H5033" s="1">
        <v>-1.6395379999999999E-6</v>
      </c>
      <c r="I5033">
        <v>18.473500000000001</v>
      </c>
      <c r="J5033">
        <v>-409.7636</v>
      </c>
      <c r="K5033">
        <v>1.117745</v>
      </c>
      <c r="L5033">
        <v>24.121919999999999</v>
      </c>
      <c r="M5033">
        <v>0.80610470000000001</v>
      </c>
      <c r="N5033">
        <v>0</v>
      </c>
      <c r="O5033">
        <v>-0.59159799999999996</v>
      </c>
      <c r="P5033">
        <v>0.85594419999999904</v>
      </c>
      <c r="Q5033">
        <v>0.1678316</v>
      </c>
      <c r="R5033">
        <v>-0.48907270000000003</v>
      </c>
      <c r="S5033">
        <v>2.838257</v>
      </c>
      <c r="T5033">
        <v>-0.2449701</v>
      </c>
      <c r="U5033">
        <v>-1.2537229999999999</v>
      </c>
      <c r="V5033">
        <v>-0.11547159999999999</v>
      </c>
      <c r="W5033">
        <v>0.17980940000000001</v>
      </c>
      <c r="X5033">
        <v>0.97690060000000001</v>
      </c>
      <c r="Y5033">
        <v>-0.2132975</v>
      </c>
      <c r="Z5033">
        <v>5.3473090000000001E-2</v>
      </c>
      <c r="AA5033">
        <v>0.97552289999999997</v>
      </c>
      <c r="AB5033">
        <v>27</v>
      </c>
      <c r="AC5033">
        <v>12.844499999999901</v>
      </c>
      <c r="AD5033">
        <v>-1.117746639538</v>
      </c>
      <c r="AE5033">
        <v>-5.6484199999999998</v>
      </c>
      <c r="AF5033">
        <v>-3.0266718640186201</v>
      </c>
      <c r="AG5033">
        <v>-1.117746639538</v>
      </c>
      <c r="AH5033">
        <v>13.610655942163101</v>
      </c>
      <c r="AI5033">
        <v>94.583299020735296</v>
      </c>
      <c r="AJ5033">
        <v>102.537158051513</v>
      </c>
      <c r="AK5033">
        <v>13.987853848914099</v>
      </c>
      <c r="AL5033">
        <v>79.641341344909307</v>
      </c>
      <c r="AM5033">
        <v>96.7411962272122</v>
      </c>
      <c r="AN5033">
        <v>0.99999994650763802</v>
      </c>
    </row>
    <row r="5034" spans="1:40" x14ac:dyDescent="0.25">
      <c r="A5034" t="str">
        <f>"20190312173031500"</f>
        <v>20190312173031500</v>
      </c>
      <c r="B5034" t="str">
        <f>"1552383031492836"</f>
        <v>1552383031492836</v>
      </c>
      <c r="C5034" t="s">
        <v>40</v>
      </c>
      <c r="D5034">
        <v>3.2951199999999998</v>
      </c>
      <c r="E5034">
        <v>0.47008919999999998</v>
      </c>
      <c r="F5034" t="s">
        <v>41</v>
      </c>
      <c r="G5034">
        <v>-396.75850000000003</v>
      </c>
      <c r="H5034" s="1">
        <v>-1.719271E-6</v>
      </c>
      <c r="I5034">
        <v>18.451979999999999</v>
      </c>
      <c r="J5034">
        <v>-409.6533</v>
      </c>
      <c r="K5034">
        <v>1.1177189999999999</v>
      </c>
      <c r="L5034">
        <v>24.04749</v>
      </c>
      <c r="M5034">
        <v>0.80922959999999899</v>
      </c>
      <c r="N5034">
        <v>0</v>
      </c>
      <c r="O5034">
        <v>-0.58731679999999997</v>
      </c>
      <c r="P5034">
        <v>0.8584484</v>
      </c>
      <c r="Q5034">
        <v>0.16814589999999999</v>
      </c>
      <c r="R5034">
        <v>-0.48455480000000001</v>
      </c>
      <c r="S5034">
        <v>2.8442989999999999</v>
      </c>
      <c r="T5034">
        <v>-0.24445819999999999</v>
      </c>
      <c r="U5034">
        <v>-1.240051</v>
      </c>
      <c r="V5034">
        <v>-0.1153986</v>
      </c>
      <c r="W5034">
        <v>0.18012739999999999</v>
      </c>
      <c r="X5034">
        <v>0.97685069999999996</v>
      </c>
      <c r="Y5034">
        <v>-0.2128408</v>
      </c>
      <c r="Z5034">
        <v>5.3036300000000001E-2</v>
      </c>
      <c r="AA5034">
        <v>0.97564640000000002</v>
      </c>
      <c r="AB5034">
        <v>27</v>
      </c>
      <c r="AC5034">
        <v>12.894799999999901</v>
      </c>
      <c r="AD5034">
        <v>-1.1177207192709999</v>
      </c>
      <c r="AE5034">
        <v>-5.59551</v>
      </c>
      <c r="AF5034">
        <v>-3.0264589452111199</v>
      </c>
      <c r="AG5034">
        <v>-1.1177207192709999</v>
      </c>
      <c r="AH5034">
        <v>13.6363868141644</v>
      </c>
      <c r="AI5034">
        <v>94.575001507085801</v>
      </c>
      <c r="AJ5034">
        <v>102.51339461359299</v>
      </c>
      <c r="AK5034">
        <v>14.012844061747501</v>
      </c>
      <c r="AL5034">
        <v>79.622819457065503</v>
      </c>
      <c r="AM5034">
        <v>96.737314672306894</v>
      </c>
      <c r="AN5034">
        <v>1.0000000036015999</v>
      </c>
    </row>
    <row r="5035" spans="1:40" x14ac:dyDescent="0.25">
      <c r="A5035" t="str">
        <f>"20190312173031513"</f>
        <v>20190312173031513</v>
      </c>
      <c r="B5035" t="str">
        <f>"1552383031502598"</f>
        <v>1552383031502598</v>
      </c>
      <c r="C5035" t="s">
        <v>40</v>
      </c>
      <c r="D5035">
        <v>3.2538170000000002</v>
      </c>
      <c r="E5035">
        <v>0.4709699</v>
      </c>
      <c r="F5035" t="s">
        <v>41</v>
      </c>
      <c r="G5035">
        <v>-396.16320000000002</v>
      </c>
      <c r="H5035" s="1">
        <v>-2.098543E-6</v>
      </c>
      <c r="I5035">
        <v>17.900300000000001</v>
      </c>
      <c r="J5035">
        <v>-409.5369</v>
      </c>
      <c r="K5035">
        <v>1.117688</v>
      </c>
      <c r="L5035">
        <v>23.97025</v>
      </c>
      <c r="M5035">
        <v>0.81246660000000004</v>
      </c>
      <c r="N5035">
        <v>0</v>
      </c>
      <c r="O5035">
        <v>-0.58283069999999904</v>
      </c>
      <c r="P5035">
        <v>0.86106839999999996</v>
      </c>
      <c r="Q5035">
        <v>0.16816159999999999</v>
      </c>
      <c r="R5035">
        <v>-0.47987829999999898</v>
      </c>
      <c r="S5035">
        <v>2.816071</v>
      </c>
      <c r="T5035">
        <v>-0.23332600000000001</v>
      </c>
      <c r="U5035">
        <v>-1.283234</v>
      </c>
      <c r="V5035">
        <v>-0.115291</v>
      </c>
      <c r="W5035">
        <v>0.18014849999999999</v>
      </c>
      <c r="X5035">
        <v>0.97685949999999999</v>
      </c>
      <c r="Y5035">
        <v>-0.1915838</v>
      </c>
      <c r="Z5035">
        <v>4.9781209999999999E-2</v>
      </c>
      <c r="AA5035">
        <v>0.980213</v>
      </c>
      <c r="AB5035">
        <v>27</v>
      </c>
      <c r="AC5035">
        <v>13.3736999999999</v>
      </c>
      <c r="AD5035">
        <v>-1.1176900985430001</v>
      </c>
      <c r="AE5035">
        <v>-6.0699499999999897</v>
      </c>
      <c r="AF5035">
        <v>-2.8467796229806601</v>
      </c>
      <c r="AG5035">
        <v>-1.1176900985430001</v>
      </c>
      <c r="AH5035">
        <v>14.3219784453784</v>
      </c>
      <c r="AI5035">
        <v>94.377042711545002</v>
      </c>
      <c r="AJ5035">
        <v>101.242153070041</v>
      </c>
      <c r="AK5035">
        <v>14.6448780113759</v>
      </c>
      <c r="AL5035">
        <v>79.621590265099698</v>
      </c>
      <c r="AM5035">
        <v>96.731030250626901</v>
      </c>
      <c r="AN5035">
        <v>0.99999998973674997</v>
      </c>
    </row>
    <row r="5036" spans="1:40" x14ac:dyDescent="0.25">
      <c r="A5036" t="str">
        <f>"20190312173031526"</f>
        <v>20190312173031526</v>
      </c>
      <c r="B5036" t="str">
        <f>"1552383031523092"</f>
        <v>1552383031523092</v>
      </c>
      <c r="C5036" t="s">
        <v>40</v>
      </c>
      <c r="D5036">
        <v>3.2830110000000001</v>
      </c>
      <c r="E5036">
        <v>0.47191149999999998</v>
      </c>
      <c r="F5036" t="s">
        <v>41</v>
      </c>
      <c r="G5036">
        <v>-396.08699999999999</v>
      </c>
      <c r="H5036" s="1">
        <v>-2.1358899999999999E-6</v>
      </c>
      <c r="I5036">
        <v>17.89292</v>
      </c>
      <c r="J5036">
        <v>-409.40309999999999</v>
      </c>
      <c r="K5036">
        <v>1.1176459999999999</v>
      </c>
      <c r="L5036">
        <v>23.882200000000001</v>
      </c>
      <c r="M5036">
        <v>0.81613610000000003</v>
      </c>
      <c r="N5036">
        <v>0</v>
      </c>
      <c r="O5036">
        <v>-0.57768109999999995</v>
      </c>
      <c r="P5036">
        <v>0.8638825</v>
      </c>
      <c r="Q5036">
        <v>0.1682805</v>
      </c>
      <c r="R5036">
        <v>-0.4747516</v>
      </c>
      <c r="S5036">
        <v>2.819763</v>
      </c>
      <c r="T5036">
        <v>-0.234323</v>
      </c>
      <c r="U5036">
        <v>-1.2741089999999999</v>
      </c>
      <c r="V5036">
        <v>-0.11488950000000001</v>
      </c>
      <c r="W5036">
        <v>0.18027979999999999</v>
      </c>
      <c r="X5036">
        <v>0.97688260000000005</v>
      </c>
      <c r="Y5036">
        <v>-0.1884951</v>
      </c>
      <c r="Z5036">
        <v>4.9539619999999999E-2</v>
      </c>
      <c r="AA5036">
        <v>0.98082389999999997</v>
      </c>
      <c r="AB5036">
        <v>27</v>
      </c>
      <c r="AC5036">
        <v>13.3161</v>
      </c>
      <c r="AD5036">
        <v>-1.1176481358899999</v>
      </c>
      <c r="AE5036">
        <v>-5.9892799999999999</v>
      </c>
      <c r="AF5036">
        <v>-2.7883434985129898</v>
      </c>
      <c r="AG5036">
        <v>-1.1176481358899999</v>
      </c>
      <c r="AH5036">
        <v>14.2456536092487</v>
      </c>
      <c r="AI5036">
        <v>94.402765506250503</v>
      </c>
      <c r="AJ5036">
        <v>101.07465881739</v>
      </c>
      <c r="AK5036">
        <v>14.558936897179599</v>
      </c>
      <c r="AL5036">
        <v>79.613942309570206</v>
      </c>
      <c r="AM5036">
        <v>96.7076462887714</v>
      </c>
      <c r="AN5036">
        <v>1.0000000088405201</v>
      </c>
    </row>
    <row r="5037" spans="1:40" x14ac:dyDescent="0.25">
      <c r="A5037" t="str">
        <f>"20190312173031539"</f>
        <v>20190312173031539</v>
      </c>
      <c r="B5037" t="str">
        <f>"1552383031532852"</f>
        <v>1552383031532852</v>
      </c>
      <c r="C5037" t="s">
        <v>40</v>
      </c>
      <c r="D5037">
        <v>3.265072</v>
      </c>
      <c r="E5037">
        <v>0.47244659999999999</v>
      </c>
      <c r="F5037" t="s">
        <v>41</v>
      </c>
      <c r="G5037">
        <v>-396.02319999999997</v>
      </c>
      <c r="H5037" s="1">
        <v>-2.1657400000000001E-6</v>
      </c>
      <c r="I5037">
        <v>17.8947</v>
      </c>
      <c r="J5037">
        <v>-409.27019999999999</v>
      </c>
      <c r="K5037">
        <v>1.117604</v>
      </c>
      <c r="L5037">
        <v>23.79608</v>
      </c>
      <c r="M5037">
        <v>0.81971059999999996</v>
      </c>
      <c r="N5037">
        <v>0</v>
      </c>
      <c r="O5037">
        <v>-0.57259799999999905</v>
      </c>
      <c r="P5037">
        <v>0.86672199999999899</v>
      </c>
      <c r="Q5037">
        <v>0.1684919</v>
      </c>
      <c r="R5037">
        <v>-0.46947159999999899</v>
      </c>
      <c r="S5037">
        <v>2.8241269999999998</v>
      </c>
      <c r="T5037">
        <v>-0.23590420000000001</v>
      </c>
      <c r="U5037">
        <v>-1.2637940000000001</v>
      </c>
      <c r="V5037">
        <v>-0.11473899999999999</v>
      </c>
      <c r="W5037">
        <v>0.18049879999999999</v>
      </c>
      <c r="X5037">
        <v>0.97685979999999994</v>
      </c>
      <c r="Y5037">
        <v>-0.18593409999999999</v>
      </c>
      <c r="Z5037">
        <v>4.9433959999999999E-2</v>
      </c>
      <c r="AA5037">
        <v>0.98131789999999997</v>
      </c>
      <c r="AB5037">
        <v>27</v>
      </c>
      <c r="AC5037">
        <v>13.247</v>
      </c>
      <c r="AD5037">
        <v>-1.11760616574</v>
      </c>
      <c r="AE5037">
        <v>-5.9013799999999996</v>
      </c>
      <c r="AF5037">
        <v>-2.7318404998742398</v>
      </c>
      <c r="AG5037">
        <v>-1.11760616574</v>
      </c>
      <c r="AH5037">
        <v>14.155222883450801</v>
      </c>
      <c r="AI5037">
        <v>94.432881407328907</v>
      </c>
      <c r="AJ5037">
        <v>100.92331522623201</v>
      </c>
      <c r="AK5037">
        <v>14.459679489484699</v>
      </c>
      <c r="AL5037">
        <v>79.601184764583905</v>
      </c>
      <c r="AM5037">
        <v>96.699094420060206</v>
      </c>
      <c r="AN5037">
        <v>0.99999996188923901</v>
      </c>
    </row>
    <row r="5038" spans="1:40" x14ac:dyDescent="0.25">
      <c r="A5038" t="str">
        <f>"20190312173031558"</f>
        <v>20190312173031558</v>
      </c>
      <c r="B5038" t="str">
        <f>"1552383031553348"</f>
        <v>1552383031553348</v>
      </c>
      <c r="C5038" t="s">
        <v>40</v>
      </c>
      <c r="D5038">
        <v>3.2965770000000001</v>
      </c>
      <c r="E5038">
        <v>0.47760780000000003</v>
      </c>
      <c r="F5038" t="s">
        <v>41</v>
      </c>
      <c r="G5038">
        <v>-395.86279999999999</v>
      </c>
      <c r="H5038" s="1">
        <v>-2.2455419999999998E-6</v>
      </c>
      <c r="I5038">
        <v>17.87219</v>
      </c>
      <c r="J5038">
        <v>-409.0992</v>
      </c>
      <c r="K5038">
        <v>1.117542</v>
      </c>
      <c r="L5038">
        <v>23.687010000000001</v>
      </c>
      <c r="M5038">
        <v>0.82421270000000002</v>
      </c>
      <c r="N5038">
        <v>0</v>
      </c>
      <c r="O5038">
        <v>-0.56609860000000001</v>
      </c>
      <c r="P5038">
        <v>0.87023119999999998</v>
      </c>
      <c r="Q5038">
        <v>0.16831779999999999</v>
      </c>
      <c r="R5038">
        <v>-0.46299770000000001</v>
      </c>
      <c r="S5038">
        <v>2.8299259999999999</v>
      </c>
      <c r="T5038">
        <v>-0.23589489999999999</v>
      </c>
      <c r="U5038">
        <v>-1.2503660000000001</v>
      </c>
      <c r="V5038">
        <v>-0.114284</v>
      </c>
      <c r="W5038">
        <v>0.18033979999999999</v>
      </c>
      <c r="X5038">
        <v>0.97694250000000005</v>
      </c>
      <c r="Y5038">
        <v>-0.18282699999999999</v>
      </c>
      <c r="Z5038">
        <v>4.8872350000000002E-2</v>
      </c>
      <c r="AA5038">
        <v>0.98192959999999996</v>
      </c>
      <c r="AB5038">
        <v>27</v>
      </c>
      <c r="AC5038">
        <v>13.2364</v>
      </c>
      <c r="AD5038">
        <v>-1.1175442455419999</v>
      </c>
      <c r="AE5038">
        <v>-5.8148200000000001</v>
      </c>
      <c r="AF5038">
        <v>-2.6846953175731598</v>
      </c>
      <c r="AG5038">
        <v>-1.1175442455419999</v>
      </c>
      <c r="AH5038">
        <v>14.1184711544648</v>
      </c>
      <c r="AI5038">
        <v>94.446450211387798</v>
      </c>
      <c r="AJ5038">
        <v>100.766528217049</v>
      </c>
      <c r="AK5038">
        <v>14.4148438017343</v>
      </c>
      <c r="AL5038">
        <v>79.610446789003205</v>
      </c>
      <c r="AM5038">
        <v>96.672209276042594</v>
      </c>
      <c r="AN5038">
        <v>0.99999996221314402</v>
      </c>
    </row>
    <row r="5039" spans="1:40" x14ac:dyDescent="0.25">
      <c r="A5039" t="str">
        <f>"20190312173031569"</f>
        <v>20190312173031569</v>
      </c>
      <c r="B5039" t="str">
        <f>"1552383031563109"</f>
        <v>1552383031563109</v>
      </c>
      <c r="C5039" t="s">
        <v>40</v>
      </c>
      <c r="D5039">
        <v>3.3711060000000002</v>
      </c>
      <c r="E5039">
        <v>0.47653289999999998</v>
      </c>
      <c r="F5039" t="s">
        <v>41</v>
      </c>
      <c r="G5039">
        <v>-396.37310000000002</v>
      </c>
      <c r="H5039" s="1">
        <v>-1.9854749999999998E-6</v>
      </c>
      <c r="I5039">
        <v>17.978259999999999</v>
      </c>
      <c r="J5039">
        <v>-408.98070000000001</v>
      </c>
      <c r="K5039">
        <v>1.1174980000000001</v>
      </c>
      <c r="L5039">
        <v>23.612369999999999</v>
      </c>
      <c r="M5039">
        <v>0.82727469999999903</v>
      </c>
      <c r="N5039">
        <v>0</v>
      </c>
      <c r="O5039">
        <v>-0.56161470000000002</v>
      </c>
      <c r="P5039">
        <v>0.8726064</v>
      </c>
      <c r="Q5039">
        <v>0.1681848</v>
      </c>
      <c r="R5039">
        <v>-0.45855439999999997</v>
      </c>
      <c r="S5039">
        <v>2.8218380000000001</v>
      </c>
      <c r="T5039">
        <v>-0.2478001</v>
      </c>
      <c r="U5039">
        <v>-1.2658389999999999</v>
      </c>
      <c r="V5039">
        <v>-0.1139521</v>
      </c>
      <c r="W5039">
        <v>0.1802183</v>
      </c>
      <c r="X5039">
        <v>0.97700370000000003</v>
      </c>
      <c r="Y5039">
        <v>-0.171789</v>
      </c>
      <c r="Z5039">
        <v>5.063732E-2</v>
      </c>
      <c r="AA5039">
        <v>0.98383149999999997</v>
      </c>
      <c r="AB5039">
        <v>27</v>
      </c>
      <c r="AC5039">
        <v>12.6075999999999</v>
      </c>
      <c r="AD5039">
        <v>-1.1174999854749901</v>
      </c>
      <c r="AE5039">
        <v>-5.6341099999999997</v>
      </c>
      <c r="AF5039">
        <v>-2.4041613156256001</v>
      </c>
      <c r="AG5039">
        <v>-1.1174999854749901</v>
      </c>
      <c r="AH5039">
        <v>13.5070903950276</v>
      </c>
      <c r="AI5039">
        <v>94.656695415296099</v>
      </c>
      <c r="AJ5039">
        <v>100.09252548311299</v>
      </c>
      <c r="AK5039">
        <v>13.764820695836701</v>
      </c>
      <c r="AL5039">
        <v>79.617524302250104</v>
      </c>
      <c r="AM5039">
        <v>96.652593000851397</v>
      </c>
      <c r="AN5039">
        <v>0.99999997328149404</v>
      </c>
    </row>
    <row r="5040" spans="1:40" x14ac:dyDescent="0.25">
      <c r="A5040" t="str">
        <f>"20190312173031579"</f>
        <v>20190312173031579</v>
      </c>
      <c r="B5040" t="str">
        <f>"1552383031572868"</f>
        <v>1552383031572868</v>
      </c>
      <c r="C5040" t="s">
        <v>40</v>
      </c>
      <c r="D5040">
        <v>3.2146300000000001</v>
      </c>
      <c r="E5040">
        <v>0.47653289999999998</v>
      </c>
      <c r="F5040" t="s">
        <v>41</v>
      </c>
      <c r="G5040">
        <v>-396.38929999999999</v>
      </c>
      <c r="H5040" s="1">
        <v>-1.9593859999999999E-6</v>
      </c>
      <c r="I5040">
        <v>18.082249999999998</v>
      </c>
      <c r="J5040">
        <v>-408.87400000000002</v>
      </c>
      <c r="K5040">
        <v>1.1174569999999999</v>
      </c>
      <c r="L5040">
        <v>23.5459</v>
      </c>
      <c r="M5040">
        <v>0.82998700000000003</v>
      </c>
      <c r="N5040">
        <v>0</v>
      </c>
      <c r="O5040">
        <v>-0.5575985</v>
      </c>
      <c r="P5040">
        <v>0.87479359999999995</v>
      </c>
      <c r="Q5040">
        <v>0.1678907</v>
      </c>
      <c r="R5040">
        <v>-0.45447700000000002</v>
      </c>
      <c r="S5040">
        <v>2.8326720000000001</v>
      </c>
      <c r="T5040">
        <v>-0.25140380000000001</v>
      </c>
      <c r="U5040">
        <v>-1.24411</v>
      </c>
      <c r="V5040">
        <v>-0.11378439999999999</v>
      </c>
      <c r="W5040">
        <v>0.1799327</v>
      </c>
      <c r="X5040">
        <v>0.9770759</v>
      </c>
      <c r="Y5040">
        <v>-0.17467479999999999</v>
      </c>
      <c r="Z5040">
        <v>5.1145910000000003E-2</v>
      </c>
      <c r="AA5040">
        <v>0.98329690000000003</v>
      </c>
      <c r="AB5040">
        <v>27</v>
      </c>
      <c r="AC5040">
        <v>12.4847</v>
      </c>
      <c r="AD5040">
        <v>-1.11745895938599</v>
      </c>
      <c r="AE5040">
        <v>-5.4636500000000003</v>
      </c>
      <c r="AF5040">
        <v>-2.41073192810939</v>
      </c>
      <c r="AG5040">
        <v>-1.11745895938599</v>
      </c>
      <c r="AH5040">
        <v>13.3204771625712</v>
      </c>
      <c r="AI5040">
        <v>94.719027437625996</v>
      </c>
      <c r="AJ5040">
        <v>100.258318677303</v>
      </c>
      <c r="AK5040">
        <v>13.582910394819599</v>
      </c>
      <c r="AL5040">
        <v>79.634160101582594</v>
      </c>
      <c r="AM5040">
        <v>96.642403654194197</v>
      </c>
      <c r="AN5040">
        <v>0.99999999028673003</v>
      </c>
    </row>
    <row r="5041" spans="1:40" x14ac:dyDescent="0.25">
      <c r="A5041" t="str">
        <f>"20190312173031590"</f>
        <v>20190312173031590</v>
      </c>
      <c r="B5041" t="str">
        <f>"1552383031582628"</f>
        <v>1552383031582628</v>
      </c>
      <c r="C5041" t="s">
        <v>40</v>
      </c>
      <c r="D5041">
        <v>3.1840470000000001</v>
      </c>
      <c r="E5041">
        <v>0.45784589999999997</v>
      </c>
      <c r="F5041" t="s">
        <v>41</v>
      </c>
      <c r="G5041">
        <v>-396.30380000000002</v>
      </c>
      <c r="H5041" s="1">
        <v>-1.9974449999999999E-6</v>
      </c>
      <c r="I5041">
        <v>18.095549999999999</v>
      </c>
      <c r="J5041">
        <v>-408.77480000000003</v>
      </c>
      <c r="K5041">
        <v>1.1174170000000001</v>
      </c>
      <c r="L5041">
        <v>23.484860000000001</v>
      </c>
      <c r="M5041">
        <v>0.83246739999999997</v>
      </c>
      <c r="N5041">
        <v>0</v>
      </c>
      <c r="O5041">
        <v>-0.55388890000000002</v>
      </c>
      <c r="P5041">
        <v>0.87668939999999995</v>
      </c>
      <c r="Q5041">
        <v>0.16780719999999999</v>
      </c>
      <c r="R5041">
        <v>-0.45083990000000002</v>
      </c>
      <c r="S5041">
        <v>2.838409</v>
      </c>
      <c r="T5041">
        <v>-0.25232719999999997</v>
      </c>
      <c r="U5041">
        <v>-1.2307129999999999</v>
      </c>
      <c r="V5041">
        <v>-0.113471</v>
      </c>
      <c r="W5041">
        <v>0.17985909999999999</v>
      </c>
      <c r="X5041">
        <v>0.97712589999999999</v>
      </c>
      <c r="Y5041">
        <v>-0.1749078</v>
      </c>
      <c r="Z5041">
        <v>5.1058869999999999E-2</v>
      </c>
      <c r="AA5041">
        <v>0.98326000000000002</v>
      </c>
      <c r="AB5041">
        <v>27</v>
      </c>
      <c r="AC5041">
        <v>12.471</v>
      </c>
      <c r="AD5041">
        <v>-1.117418997445</v>
      </c>
      <c r="AE5041">
        <v>-5.38931</v>
      </c>
      <c r="AF5041">
        <v>-2.40510134459032</v>
      </c>
      <c r="AG5041">
        <v>-1.117418997445</v>
      </c>
      <c r="AH5041">
        <v>13.2783227356885</v>
      </c>
      <c r="AI5041">
        <v>94.733648003336299</v>
      </c>
      <c r="AJ5041">
        <v>100.266668461501</v>
      </c>
      <c r="AK5041">
        <v>13.540568391567</v>
      </c>
      <c r="AL5041">
        <v>79.638447048749896</v>
      </c>
      <c r="AM5041">
        <v>96.6239351364664</v>
      </c>
      <c r="AN5041">
        <v>0.99999999407230999</v>
      </c>
    </row>
    <row r="5042" spans="1:40" x14ac:dyDescent="0.25">
      <c r="A5042" t="str">
        <f>"20190312173031601"</f>
        <v>20190312173031601</v>
      </c>
      <c r="B5042" t="str">
        <f>"1552383031592389"</f>
        <v>1552383031592389</v>
      </c>
      <c r="C5042" t="s">
        <v>40</v>
      </c>
      <c r="D5042">
        <v>3.2647759999999999</v>
      </c>
      <c r="E5042">
        <v>0.45346330000000001</v>
      </c>
      <c r="F5042" t="s">
        <v>41</v>
      </c>
      <c r="G5042">
        <v>-395.14780000000002</v>
      </c>
      <c r="H5042" s="1">
        <v>-2.4899679999999998E-6</v>
      </c>
      <c r="I5042">
        <v>18.39959</v>
      </c>
      <c r="J5042">
        <v>-408.65949999999998</v>
      </c>
      <c r="K5042">
        <v>1.1173679999999999</v>
      </c>
      <c r="L5042">
        <v>23.414339999999999</v>
      </c>
      <c r="M5042">
        <v>0.83531639999999996</v>
      </c>
      <c r="N5042">
        <v>0</v>
      </c>
      <c r="O5042">
        <v>-0.54958300000000004</v>
      </c>
      <c r="P5042">
        <v>0.87888840000000001</v>
      </c>
      <c r="Q5042">
        <v>0.16768429999999901</v>
      </c>
      <c r="R5042">
        <v>-0.44658429999999999</v>
      </c>
      <c r="S5042">
        <v>2.909332</v>
      </c>
      <c r="T5042">
        <v>-0.23856630000000001</v>
      </c>
      <c r="U5042">
        <v>-1.085693</v>
      </c>
      <c r="V5042">
        <v>-0.1131528</v>
      </c>
      <c r="W5042">
        <v>0.17974699999999999</v>
      </c>
      <c r="X5042">
        <v>0.97718349999999998</v>
      </c>
      <c r="Y5042">
        <v>-0.2208531</v>
      </c>
      <c r="Z5042">
        <v>4.9313219999999998E-2</v>
      </c>
      <c r="AA5042">
        <v>0.97405960000000003</v>
      </c>
      <c r="AB5042">
        <v>27</v>
      </c>
      <c r="AC5042">
        <v>13.5116999999999</v>
      </c>
      <c r="AD5042">
        <v>-1.1173704899679999</v>
      </c>
      <c r="AE5042">
        <v>-5.0147499999999896</v>
      </c>
      <c r="AF5042">
        <v>-3.21788765940508</v>
      </c>
      <c r="AG5042">
        <v>-1.1173704899679999</v>
      </c>
      <c r="AH5042">
        <v>13.960095069390301</v>
      </c>
      <c r="AI5042">
        <v>94.459760133711498</v>
      </c>
      <c r="AJ5042">
        <v>102.980304265074</v>
      </c>
      <c r="AK5042">
        <v>14.369675436377101</v>
      </c>
      <c r="AL5042">
        <v>79.644977072926494</v>
      </c>
      <c r="AM5042">
        <v>96.605138489153504</v>
      </c>
      <c r="AN5042">
        <v>1.0000000664145401</v>
      </c>
    </row>
    <row r="5043" spans="1:40" x14ac:dyDescent="0.25">
      <c r="A5043" t="str">
        <f>"20190312173031612"</f>
        <v>20190312173031612</v>
      </c>
      <c r="B5043" t="str">
        <f>"1552383031603124"</f>
        <v>1552383031603124</v>
      </c>
      <c r="C5043" t="s">
        <v>40</v>
      </c>
      <c r="D5043">
        <v>3.1831640000000001</v>
      </c>
      <c r="E5043">
        <v>0.4504727</v>
      </c>
      <c r="F5043" t="s">
        <v>41</v>
      </c>
      <c r="G5043">
        <v>-395.13729999999998</v>
      </c>
      <c r="H5043" s="1">
        <v>-2.45697E-6</v>
      </c>
      <c r="I5043">
        <v>18.613689999999998</v>
      </c>
      <c r="J5043">
        <v>-408.55259999999998</v>
      </c>
      <c r="K5043">
        <v>1.1173249999999999</v>
      </c>
      <c r="L5043">
        <v>23.350069999999999</v>
      </c>
      <c r="M5043">
        <v>0.83790239999999905</v>
      </c>
      <c r="N5043">
        <v>0</v>
      </c>
      <c r="O5043">
        <v>-0.54563249999999996</v>
      </c>
      <c r="P5043">
        <v>0.88088429999999995</v>
      </c>
      <c r="Q5043">
        <v>0.16764860000000001</v>
      </c>
      <c r="R5043">
        <v>-0.44264759999999997</v>
      </c>
      <c r="S5043">
        <v>2.9309080000000001</v>
      </c>
      <c r="T5043">
        <v>-0.24218729999999999</v>
      </c>
      <c r="U5043">
        <v>-1.040527</v>
      </c>
      <c r="V5043">
        <v>-0.1128938</v>
      </c>
      <c r="W5043">
        <v>0.1797202</v>
      </c>
      <c r="X5043">
        <v>0.97721829999999998</v>
      </c>
      <c r="Y5043">
        <v>-0.2317794</v>
      </c>
      <c r="Z5043">
        <v>5.0067880000000002E-2</v>
      </c>
      <c r="AA5043">
        <v>0.97147899999999998</v>
      </c>
      <c r="AB5043">
        <v>27</v>
      </c>
      <c r="AC5043">
        <v>13.4153</v>
      </c>
      <c r="AD5043">
        <v>-1.11732745696999</v>
      </c>
      <c r="AE5043">
        <v>-4.7363799999999996</v>
      </c>
      <c r="AF5043">
        <v>-3.3309971130134701</v>
      </c>
      <c r="AG5043">
        <v>-1.11732745696999</v>
      </c>
      <c r="AH5043">
        <v>13.7416919882863</v>
      </c>
      <c r="AI5043">
        <v>94.518174422809395</v>
      </c>
      <c r="AJ5043">
        <v>103.625726183878</v>
      </c>
      <c r="AK5043">
        <v>14.1837252199108</v>
      </c>
      <c r="AL5043">
        <v>79.646537147225999</v>
      </c>
      <c r="AM5043">
        <v>96.589920243385507</v>
      </c>
      <c r="AN5043">
        <v>0.99999998311068405</v>
      </c>
    </row>
    <row r="5044" spans="1:40" x14ac:dyDescent="0.25">
      <c r="A5044" t="str">
        <f>"20190312173031624"</f>
        <v>20190312173031624</v>
      </c>
      <c r="B5044" t="str">
        <f>"1552383031612885"</f>
        <v>1552383031612885</v>
      </c>
      <c r="C5044" t="s">
        <v>40</v>
      </c>
      <c r="D5044">
        <v>3.2110910000000001</v>
      </c>
      <c r="E5044">
        <v>0.44855620000000002</v>
      </c>
      <c r="F5044" t="s">
        <v>41</v>
      </c>
      <c r="G5044">
        <v>-394.91379999999998</v>
      </c>
      <c r="H5044" s="1">
        <v>-2.548239E-6</v>
      </c>
      <c r="I5044">
        <v>18.694600000000001</v>
      </c>
      <c r="J5044">
        <v>-408.43630000000002</v>
      </c>
      <c r="K5044">
        <v>1.1172789999999999</v>
      </c>
      <c r="L5044">
        <v>23.280360000000002</v>
      </c>
      <c r="M5044">
        <v>0.84068759999999998</v>
      </c>
      <c r="N5044">
        <v>0</v>
      </c>
      <c r="O5044">
        <v>-0.54133149999999997</v>
      </c>
      <c r="P5044">
        <v>0.88299349999999999</v>
      </c>
      <c r="Q5044">
        <v>0.16739679999999901</v>
      </c>
      <c r="R5044">
        <v>-0.43852170000000001</v>
      </c>
      <c r="S5044">
        <v>2.946259</v>
      </c>
      <c r="T5044">
        <v>-0.24136579999999999</v>
      </c>
      <c r="U5044">
        <v>-1.005676</v>
      </c>
      <c r="V5044">
        <v>-0.1124575</v>
      </c>
      <c r="W5044">
        <v>0.179481</v>
      </c>
      <c r="X5044">
        <v>0.97731259999999998</v>
      </c>
      <c r="Y5044">
        <v>-0.23865529999999999</v>
      </c>
      <c r="Z5044">
        <v>4.9776649999999999E-2</v>
      </c>
      <c r="AA5044">
        <v>0.96982780000000002</v>
      </c>
      <c r="AB5044">
        <v>26</v>
      </c>
      <c r="AC5044">
        <v>13.522500000000001</v>
      </c>
      <c r="AD5044">
        <v>-1.1172815482389999</v>
      </c>
      <c r="AE5044">
        <v>-4.5857599999999996</v>
      </c>
      <c r="AF5044">
        <v>-3.4442304854463099</v>
      </c>
      <c r="AG5044">
        <v>-1.1172815482389999</v>
      </c>
      <c r="AH5044">
        <v>13.767737081421</v>
      </c>
      <c r="AI5044">
        <v>94.501387036162996</v>
      </c>
      <c r="AJ5044">
        <v>104.04523692467799</v>
      </c>
      <c r="AK5044">
        <v>14.235927298144199</v>
      </c>
      <c r="AL5044">
        <v>79.660469201384103</v>
      </c>
      <c r="AM5044">
        <v>96.564047054296694</v>
      </c>
      <c r="AN5044">
        <v>1.000000018393</v>
      </c>
    </row>
    <row r="5045" spans="1:40" x14ac:dyDescent="0.25">
      <c r="A5045" t="str">
        <f>"20190312173031634"</f>
        <v>20190312173031634</v>
      </c>
      <c r="B5045" t="str">
        <f>"1552383031622645"</f>
        <v>1552383031622645</v>
      </c>
      <c r="C5045" t="s">
        <v>40</v>
      </c>
      <c r="D5045">
        <v>3.2909069999999998</v>
      </c>
      <c r="E5045">
        <v>0.44724259999999899</v>
      </c>
      <c r="F5045" t="s">
        <v>41</v>
      </c>
      <c r="G5045">
        <v>-394.89049999999997</v>
      </c>
      <c r="H5045" s="1">
        <v>-2.5403079999999999E-6</v>
      </c>
      <c r="I5045">
        <v>18.801570000000002</v>
      </c>
      <c r="J5045">
        <v>-408.32819999999998</v>
      </c>
      <c r="K5045">
        <v>1.117235</v>
      </c>
      <c r="L5045">
        <v>23.21686</v>
      </c>
      <c r="M5045">
        <v>0.84321780000000002</v>
      </c>
      <c r="N5045">
        <v>0</v>
      </c>
      <c r="O5045">
        <v>-0.53738219999999903</v>
      </c>
      <c r="P5045">
        <v>0.88480419999999904</v>
      </c>
      <c r="Q5045">
        <v>0.1673103</v>
      </c>
      <c r="R5045">
        <v>-0.43488919999999998</v>
      </c>
      <c r="S5045">
        <v>2.9580690000000001</v>
      </c>
      <c r="T5045">
        <v>-0.2439865</v>
      </c>
      <c r="U5045">
        <v>-0.97805790000000004</v>
      </c>
      <c r="V5045">
        <v>-0.111876</v>
      </c>
      <c r="W5045">
        <v>0.17940919999999999</v>
      </c>
      <c r="X5045">
        <v>0.9773925</v>
      </c>
      <c r="Y5045">
        <v>-0.24337900000000001</v>
      </c>
      <c r="Z5045">
        <v>5.0155070000000003E-2</v>
      </c>
      <c r="AA5045">
        <v>0.96863370000000004</v>
      </c>
      <c r="AB5045">
        <v>26</v>
      </c>
      <c r="AC5045">
        <v>13.4377</v>
      </c>
      <c r="AD5045">
        <v>-1.1172375403079999</v>
      </c>
      <c r="AE5045">
        <v>-4.4152899999999899</v>
      </c>
      <c r="AF5045">
        <v>-3.4767949299144201</v>
      </c>
      <c r="AG5045">
        <v>-1.1172375403079999</v>
      </c>
      <c r="AH5045">
        <v>13.6200291780954</v>
      </c>
      <c r="AI5045">
        <v>94.5443319225772</v>
      </c>
      <c r="AJ5045">
        <v>104.320116073091</v>
      </c>
      <c r="AK5045">
        <v>14.101117598202</v>
      </c>
      <c r="AL5045">
        <v>79.664650720992199</v>
      </c>
      <c r="AM5045">
        <v>96.529870105250396</v>
      </c>
      <c r="AN5045">
        <v>0.999999999738445</v>
      </c>
    </row>
    <row r="5046" spans="1:40" x14ac:dyDescent="0.25">
      <c r="A5046" t="str">
        <f>"20190312173031646"</f>
        <v>20190312173031646</v>
      </c>
      <c r="B5046" t="str">
        <f>"1552383031643140"</f>
        <v>1552383031643140</v>
      </c>
      <c r="C5046" t="s">
        <v>40</v>
      </c>
      <c r="D5046">
        <v>3.1378879999999998</v>
      </c>
      <c r="E5046">
        <v>0.44662659999999998</v>
      </c>
      <c r="F5046" t="s">
        <v>41</v>
      </c>
      <c r="G5046">
        <v>-394.49299999999999</v>
      </c>
      <c r="H5046" s="1">
        <v>-2.7361029999999998E-6</v>
      </c>
      <c r="I5046">
        <v>18.757079999999998</v>
      </c>
      <c r="J5046">
        <v>-408.22109999999998</v>
      </c>
      <c r="K5046">
        <v>1.117191</v>
      </c>
      <c r="L5046">
        <v>23.154050000000002</v>
      </c>
      <c r="M5046">
        <v>0.84570009999999995</v>
      </c>
      <c r="N5046">
        <v>0</v>
      </c>
      <c r="O5046">
        <v>-0.53346719999999903</v>
      </c>
      <c r="P5046">
        <v>0.88674750000000002</v>
      </c>
      <c r="Q5046">
        <v>0.16723250000000001</v>
      </c>
      <c r="R5046">
        <v>-0.43094369999999999</v>
      </c>
      <c r="S5046">
        <v>2.9660030000000002</v>
      </c>
      <c r="T5046">
        <v>-0.2395129</v>
      </c>
      <c r="U5046">
        <v>-0.95608519999999997</v>
      </c>
      <c r="V5046">
        <v>-0.1116859</v>
      </c>
      <c r="W5046">
        <v>0.1793389</v>
      </c>
      <c r="X5046">
        <v>0.97742709999999999</v>
      </c>
      <c r="Y5046">
        <v>-0.24622430000000001</v>
      </c>
      <c r="Z5046">
        <v>4.904758E-2</v>
      </c>
      <c r="AA5046">
        <v>0.96797100000000003</v>
      </c>
      <c r="AB5046">
        <v>26</v>
      </c>
      <c r="AC5046">
        <v>13.7280999999999</v>
      </c>
      <c r="AD5046">
        <v>-1.117193736103</v>
      </c>
      <c r="AE5046">
        <v>-4.3969699999999996</v>
      </c>
      <c r="AF5046">
        <v>-3.5838147214437299</v>
      </c>
      <c r="AG5046">
        <v>-1.117193736103</v>
      </c>
      <c r="AH5046">
        <v>13.8735869557868</v>
      </c>
      <c r="AI5046">
        <v>94.458180451077098</v>
      </c>
      <c r="AJ5046">
        <v>104.48397768197999</v>
      </c>
      <c r="AK5046">
        <v>14.372482903847899</v>
      </c>
      <c r="AL5046">
        <v>79.668744589886003</v>
      </c>
      <c r="AM5046">
        <v>96.518641343516506</v>
      </c>
      <c r="AN5046">
        <v>0.999999958563214</v>
      </c>
    </row>
    <row r="5047" spans="1:40" x14ac:dyDescent="0.25">
      <c r="A5047" t="str">
        <f>"20190312173031656"</f>
        <v>20190312173031656</v>
      </c>
      <c r="B5047" t="str">
        <f>"1552383031652901"</f>
        <v>1552383031652901</v>
      </c>
      <c r="C5047" t="s">
        <v>40</v>
      </c>
      <c r="D5047">
        <v>3.156339</v>
      </c>
      <c r="E5047">
        <v>0.44631559999999998</v>
      </c>
      <c r="F5047" t="s">
        <v>41</v>
      </c>
      <c r="G5047">
        <v>-394.5446</v>
      </c>
      <c r="H5047" s="1">
        <v>-2.6975520000000002E-6</v>
      </c>
      <c r="I5047">
        <v>18.836659999999998</v>
      </c>
      <c r="J5047">
        <v>-408.1071</v>
      </c>
      <c r="K5047">
        <v>1.1171469999999999</v>
      </c>
      <c r="L5047">
        <v>23.088229999999999</v>
      </c>
      <c r="M5047">
        <v>0.84829549999999998</v>
      </c>
      <c r="N5047">
        <v>0</v>
      </c>
      <c r="O5047">
        <v>-0.52933050000000004</v>
      </c>
      <c r="P5047">
        <v>0.88870869999999902</v>
      </c>
      <c r="Q5047">
        <v>0.16696449999999999</v>
      </c>
      <c r="R5047">
        <v>-0.42698910000000001</v>
      </c>
      <c r="S5047">
        <v>2.9728699999999999</v>
      </c>
      <c r="T5047">
        <v>-0.24284549999999999</v>
      </c>
      <c r="U5047">
        <v>-0.93847659999999999</v>
      </c>
      <c r="V5047">
        <v>-0.11126800000000001</v>
      </c>
      <c r="W5047">
        <v>0.17908180000000001</v>
      </c>
      <c r="X5047">
        <v>0.977522</v>
      </c>
      <c r="Y5047">
        <v>-0.24730199999999999</v>
      </c>
      <c r="Z5047">
        <v>4.9449840000000002E-2</v>
      </c>
      <c r="AA5047">
        <v>0.96767579999999997</v>
      </c>
      <c r="AB5047">
        <v>26</v>
      </c>
      <c r="AC5047">
        <v>13.5625</v>
      </c>
      <c r="AD5047">
        <v>-1.1171496975520001</v>
      </c>
      <c r="AE5047">
        <v>-4.2515699999999903</v>
      </c>
      <c r="AF5047">
        <v>-3.55088491484734</v>
      </c>
      <c r="AG5047">
        <v>-1.1171496975520001</v>
      </c>
      <c r="AH5047">
        <v>13.672430808737399</v>
      </c>
      <c r="AI5047">
        <v>94.521801964907198</v>
      </c>
      <c r="AJ5047">
        <v>104.558721736678</v>
      </c>
      <c r="AK5047">
        <v>14.170115431602699</v>
      </c>
      <c r="AL5047">
        <v>79.683718793859697</v>
      </c>
      <c r="AM5047">
        <v>96.493833918487994</v>
      </c>
      <c r="AN5047">
        <v>1.0000000596996099</v>
      </c>
    </row>
    <row r="5048" spans="1:40" x14ac:dyDescent="0.25">
      <c r="A5048" t="str">
        <f>"20190312173031668"</f>
        <v>20190312173031668</v>
      </c>
      <c r="B5048" t="str">
        <f>"1552383031662664"</f>
        <v>1552383031662664</v>
      </c>
      <c r="C5048" t="s">
        <v>40</v>
      </c>
      <c r="D5048">
        <v>3.2086429999999999</v>
      </c>
      <c r="E5048">
        <v>0.44625219999999999</v>
      </c>
      <c r="F5048" t="s">
        <v>41</v>
      </c>
      <c r="G5048">
        <v>-394.53590000000003</v>
      </c>
      <c r="H5048" s="1">
        <v>-2.6934400000000002E-6</v>
      </c>
      <c r="I5048">
        <v>18.88317</v>
      </c>
      <c r="J5048">
        <v>-407.99090000000001</v>
      </c>
      <c r="K5048">
        <v>1.1171059999999999</v>
      </c>
      <c r="L5048">
        <v>23.021789999999999</v>
      </c>
      <c r="M5048">
        <v>0.85090080000000001</v>
      </c>
      <c r="N5048">
        <v>0</v>
      </c>
      <c r="O5048">
        <v>-0.52513279999999996</v>
      </c>
      <c r="P5048">
        <v>0.89070490000000002</v>
      </c>
      <c r="Q5048">
        <v>0.16661570000000001</v>
      </c>
      <c r="R5048">
        <v>-0.42294739999999997</v>
      </c>
      <c r="S5048">
        <v>2.9783629999999999</v>
      </c>
      <c r="T5048">
        <v>-0.24517269999999999</v>
      </c>
      <c r="U5048">
        <v>-0.92285159999999999</v>
      </c>
      <c r="V5048">
        <v>-0.1108876</v>
      </c>
      <c r="W5048">
        <v>0.17874399999999999</v>
      </c>
      <c r="X5048">
        <v>0.97762700000000002</v>
      </c>
      <c r="Y5048">
        <v>-0.24762400000000001</v>
      </c>
      <c r="Z5048">
        <v>4.9620579999999997E-2</v>
      </c>
      <c r="AA5048">
        <v>0.96758469999999996</v>
      </c>
      <c r="AB5048">
        <v>26</v>
      </c>
      <c r="AC5048">
        <v>13.454999999999901</v>
      </c>
      <c r="AD5048">
        <v>-1.1171086934400001</v>
      </c>
      <c r="AE5048">
        <v>-4.1386200000000004</v>
      </c>
      <c r="AF5048">
        <v>-3.5222858394020098</v>
      </c>
      <c r="AG5048">
        <v>-1.1171086934400001</v>
      </c>
      <c r="AH5048">
        <v>13.5383240907898</v>
      </c>
      <c r="AI5048">
        <v>94.565728776663093</v>
      </c>
      <c r="AJ5048">
        <v>104.583418868866</v>
      </c>
      <c r="AK5048">
        <v>14.033554380650401</v>
      </c>
      <c r="AL5048">
        <v>79.703390242092993</v>
      </c>
      <c r="AM5048">
        <v>96.471132454948105</v>
      </c>
      <c r="AN5048">
        <v>1.0000000142493799</v>
      </c>
    </row>
    <row r="5049" spans="1:40" x14ac:dyDescent="0.25">
      <c r="A5049" t="str">
        <f>"20190312173031679"</f>
        <v>20190312173031679</v>
      </c>
      <c r="B5049" t="str">
        <f>"1552383031672420"</f>
        <v>1552383031672420</v>
      </c>
      <c r="C5049" t="s">
        <v>40</v>
      </c>
      <c r="D5049">
        <v>3.218124</v>
      </c>
      <c r="E5049">
        <v>0.44611709999999899</v>
      </c>
      <c r="F5049" t="s">
        <v>41</v>
      </c>
      <c r="G5049">
        <v>-394.52330000000001</v>
      </c>
      <c r="H5049" s="1">
        <v>-2.6930529999999999E-6</v>
      </c>
      <c r="I5049">
        <v>18.919</v>
      </c>
      <c r="J5049">
        <v>-407.87700000000001</v>
      </c>
      <c r="K5049">
        <v>1.117065</v>
      </c>
      <c r="L5049">
        <v>22.957239999999999</v>
      </c>
      <c r="M5049">
        <v>0.85341880000000003</v>
      </c>
      <c r="N5049">
        <v>0</v>
      </c>
      <c r="O5049">
        <v>-0.52103100000000002</v>
      </c>
      <c r="P5049">
        <v>0.89248329999999998</v>
      </c>
      <c r="Q5049">
        <v>0.16671830000000001</v>
      </c>
      <c r="R5049">
        <v>-0.41914089999999998</v>
      </c>
      <c r="S5049">
        <v>2.9829409999999998</v>
      </c>
      <c r="T5049">
        <v>-0.24742749999999999</v>
      </c>
      <c r="U5049">
        <v>-0.90872189999999997</v>
      </c>
      <c r="V5049">
        <v>-0.1103276</v>
      </c>
      <c r="W5049">
        <v>0.1788594</v>
      </c>
      <c r="X5049">
        <v>0.97766920000000002</v>
      </c>
      <c r="Y5049">
        <v>-0.2475425</v>
      </c>
      <c r="Z5049">
        <v>4.9769239999999999E-2</v>
      </c>
      <c r="AA5049">
        <v>0.96759790000000001</v>
      </c>
      <c r="AB5049">
        <v>26</v>
      </c>
      <c r="AC5049">
        <v>13.3536999999999</v>
      </c>
      <c r="AD5049">
        <v>-1.1170676930529999</v>
      </c>
      <c r="AE5049">
        <v>-4.0382399999999903</v>
      </c>
      <c r="AF5049">
        <v>-3.48936658826941</v>
      </c>
      <c r="AG5049">
        <v>-1.1170676930529999</v>
      </c>
      <c r="AH5049">
        <v>13.415704378210499</v>
      </c>
      <c r="AI5049">
        <v>94.607197113048002</v>
      </c>
      <c r="AJ5049">
        <v>104.579350358054</v>
      </c>
      <c r="AK5049">
        <v>13.9069997980057</v>
      </c>
      <c r="AL5049">
        <v>79.696669495027606</v>
      </c>
      <c r="AM5049">
        <v>96.4384517510493</v>
      </c>
      <c r="AN5049">
        <v>0.999999964459379</v>
      </c>
    </row>
    <row r="5050" spans="1:40" x14ac:dyDescent="0.25">
      <c r="A5050" t="str">
        <f>"20190312173031690"</f>
        <v>20190312173031690</v>
      </c>
      <c r="B5050" t="str">
        <f>"1552383031683156"</f>
        <v>1552383031683156</v>
      </c>
      <c r="C5050" t="s">
        <v>40</v>
      </c>
      <c r="D5050">
        <v>3.404255</v>
      </c>
      <c r="E5050">
        <v>0.44597829999999999</v>
      </c>
      <c r="F5050" t="s">
        <v>41</v>
      </c>
      <c r="G5050">
        <v>-394.45679999999999</v>
      </c>
      <c r="H5050" s="1">
        <v>-2.7213309999999999E-6</v>
      </c>
      <c r="I5050">
        <v>18.936710000000001</v>
      </c>
      <c r="J5050">
        <v>-407.76159999999999</v>
      </c>
      <c r="K5050">
        <v>1.1170279999999999</v>
      </c>
      <c r="L5050">
        <v>22.892759999999999</v>
      </c>
      <c r="M5050">
        <v>0.85592369999999995</v>
      </c>
      <c r="N5050">
        <v>0</v>
      </c>
      <c r="O5050">
        <v>-0.51690579999999997</v>
      </c>
      <c r="P5050">
        <v>0.89436939999999998</v>
      </c>
      <c r="Q5050">
        <v>0.16681000000000001</v>
      </c>
      <c r="R5050">
        <v>-0.41506369999999998</v>
      </c>
      <c r="S5050">
        <v>2.9874879999999999</v>
      </c>
      <c r="T5050">
        <v>-0.2486728</v>
      </c>
      <c r="U5050">
        <v>-0.89501949999999997</v>
      </c>
      <c r="V5050">
        <v>-0.11004410000000001</v>
      </c>
      <c r="W5050">
        <v>0.17895839999999999</v>
      </c>
      <c r="X5050">
        <v>0.97768310000000003</v>
      </c>
      <c r="Y5050">
        <v>-0.24733620000000001</v>
      </c>
      <c r="Z5050">
        <v>4.9702240000000002E-2</v>
      </c>
      <c r="AA5050">
        <v>0.96765409999999996</v>
      </c>
      <c r="AB5050">
        <v>26</v>
      </c>
      <c r="AC5050">
        <v>13.3048</v>
      </c>
      <c r="AD5050">
        <v>-1.117030721331</v>
      </c>
      <c r="AE5050">
        <v>-3.9560499999999901</v>
      </c>
      <c r="AF5050">
        <v>-3.46913892055812</v>
      </c>
      <c r="AG5050">
        <v>-1.117030721331</v>
      </c>
      <c r="AH5050">
        <v>13.347719995590399</v>
      </c>
      <c r="AI5050">
        <v>94.630622821691404</v>
      </c>
      <c r="AJ5050">
        <v>104.569116651157</v>
      </c>
      <c r="AK5050">
        <v>13.8363402517867</v>
      </c>
      <c r="AL5050">
        <v>79.690904860116007</v>
      </c>
      <c r="AM5050">
        <v>96.421955230981396</v>
      </c>
      <c r="AN5050">
        <v>1.00000002845048</v>
      </c>
    </row>
    <row r="5051" spans="1:40" x14ac:dyDescent="0.25">
      <c r="A5051" t="str">
        <f>"20190312173031701"</f>
        <v>20190312173031701</v>
      </c>
      <c r="B5051" t="str">
        <f>"1552383031692916"</f>
        <v>1552383031692916</v>
      </c>
      <c r="C5051" t="s">
        <v>40</v>
      </c>
      <c r="D5051">
        <v>3.145823</v>
      </c>
      <c r="E5051">
        <v>0.44606050000000003</v>
      </c>
      <c r="F5051" t="s">
        <v>41</v>
      </c>
      <c r="G5051">
        <v>-394.53649999999999</v>
      </c>
      <c r="H5051" s="1">
        <v>-2.672301E-6</v>
      </c>
      <c r="I5051">
        <v>19.000810000000001</v>
      </c>
      <c r="J5051">
        <v>-407.64370000000002</v>
      </c>
      <c r="K5051">
        <v>1.116987</v>
      </c>
      <c r="L5051">
        <v>22.827300000000001</v>
      </c>
      <c r="M5051">
        <v>0.85845249999999995</v>
      </c>
      <c r="N5051">
        <v>0</v>
      </c>
      <c r="O5051">
        <v>-0.51269540000000002</v>
      </c>
      <c r="P5051">
        <v>0.89608809999999905</v>
      </c>
      <c r="Q5051">
        <v>0.16710320000000001</v>
      </c>
      <c r="R5051">
        <v>-0.41122150000000002</v>
      </c>
      <c r="S5051">
        <v>2.9927060000000001</v>
      </c>
      <c r="T5051">
        <v>-0.25277230000000001</v>
      </c>
      <c r="U5051">
        <v>-0.88070680000000001</v>
      </c>
      <c r="V5051">
        <v>-0.1093949</v>
      </c>
      <c r="W5051">
        <v>0.1792647</v>
      </c>
      <c r="X5051">
        <v>0.97769980000000001</v>
      </c>
      <c r="Y5051">
        <v>-0.2472364</v>
      </c>
      <c r="Z5051">
        <v>5.018537E-2</v>
      </c>
      <c r="AA5051">
        <v>0.96765469999999998</v>
      </c>
      <c r="AB5051">
        <v>26</v>
      </c>
      <c r="AC5051">
        <v>13.107200000000001</v>
      </c>
      <c r="AD5051">
        <v>-1.116989672301</v>
      </c>
      <c r="AE5051">
        <v>-3.8264900000000002</v>
      </c>
      <c r="AF5051">
        <v>-3.4126519478642798</v>
      </c>
      <c r="AG5051">
        <v>-1.116989672301</v>
      </c>
      <c r="AH5051">
        <v>13.127224344011999</v>
      </c>
      <c r="AI5051">
        <v>94.707812192792403</v>
      </c>
      <c r="AJ5051">
        <v>104.572473014851</v>
      </c>
      <c r="AK5051">
        <v>13.6094775147068</v>
      </c>
      <c r="AL5051">
        <v>79.673066274596906</v>
      </c>
      <c r="AM5051">
        <v>96.3842747982291</v>
      </c>
      <c r="AN5051">
        <v>0.99999998786606903</v>
      </c>
    </row>
    <row r="5052" spans="1:40" x14ac:dyDescent="0.25">
      <c r="A5052" t="str">
        <f>"20190312173031713"</f>
        <v>20190312173031713</v>
      </c>
      <c r="B5052" t="str">
        <f>"1552383031702678"</f>
        <v>1552383031702678</v>
      </c>
      <c r="C5052" t="s">
        <v>40</v>
      </c>
      <c r="D5052">
        <v>3.193317</v>
      </c>
      <c r="E5052">
        <v>0.44636219999999999</v>
      </c>
      <c r="F5052" t="s">
        <v>41</v>
      </c>
      <c r="G5052">
        <v>-394.3689</v>
      </c>
      <c r="H5052" s="1">
        <v>-2.7553940000000002E-6</v>
      </c>
      <c r="I5052">
        <v>18.978899999999999</v>
      </c>
      <c r="J5052">
        <v>-407.52870000000001</v>
      </c>
      <c r="K5052">
        <v>1.1169480000000001</v>
      </c>
      <c r="L5052">
        <v>22.764620000000001</v>
      </c>
      <c r="M5052">
        <v>0.86086759999999996</v>
      </c>
      <c r="N5052">
        <v>0</v>
      </c>
      <c r="O5052">
        <v>-0.50863019999999903</v>
      </c>
      <c r="P5052">
        <v>0.89772199999999902</v>
      </c>
      <c r="Q5052">
        <v>0.16762579999999999</v>
      </c>
      <c r="R5052">
        <v>-0.40742780000000001</v>
      </c>
      <c r="S5052">
        <v>2.9962460000000002</v>
      </c>
      <c r="T5052">
        <v>-0.2521156</v>
      </c>
      <c r="U5052">
        <v>-0.8686218</v>
      </c>
      <c r="V5052">
        <v>-0.1088471</v>
      </c>
      <c r="W5052">
        <v>0.17979809999999999</v>
      </c>
      <c r="X5052">
        <v>0.97766299999999995</v>
      </c>
      <c r="Y5052">
        <v>-0.24658759999999999</v>
      </c>
      <c r="Z5052">
        <v>4.9728519999999998E-2</v>
      </c>
      <c r="AA5052">
        <v>0.96784380000000003</v>
      </c>
      <c r="AB5052">
        <v>26</v>
      </c>
      <c r="AC5052">
        <v>13.159800000000001</v>
      </c>
      <c r="AD5052">
        <v>-1.1169507553939999</v>
      </c>
      <c r="AE5052">
        <v>-3.78572</v>
      </c>
      <c r="AF5052">
        <v>-3.41211354385314</v>
      </c>
      <c r="AG5052">
        <v>-1.1169507553939999</v>
      </c>
      <c r="AH5052">
        <v>13.168106079380401</v>
      </c>
      <c r="AI5052">
        <v>94.694062396906006</v>
      </c>
      <c r="AJ5052">
        <v>104.526953505452</v>
      </c>
      <c r="AK5052">
        <v>13.648777071369301</v>
      </c>
      <c r="AL5052">
        <v>79.642000019027293</v>
      </c>
      <c r="AM5052">
        <v>96.352804412830295</v>
      </c>
      <c r="AN5052">
        <v>0.99999999475550905</v>
      </c>
    </row>
    <row r="5053" spans="1:40" x14ac:dyDescent="0.25">
      <c r="A5053" t="str">
        <f>"20190312173031726"</f>
        <v>20190312173031726</v>
      </c>
      <c r="B5053" t="str">
        <f>"1552383031722523"</f>
        <v>1552383031722523</v>
      </c>
      <c r="C5053" t="s">
        <v>40</v>
      </c>
      <c r="D5053">
        <v>3.1294059999999999</v>
      </c>
      <c r="E5053">
        <v>0.44679790000000003</v>
      </c>
      <c r="F5053" t="s">
        <v>41</v>
      </c>
      <c r="G5053">
        <v>-394.04570000000001</v>
      </c>
      <c r="H5053" s="1">
        <v>-2.920989E-6</v>
      </c>
      <c r="I5053">
        <v>18.90671</v>
      </c>
      <c r="J5053">
        <v>-407.40690000000001</v>
      </c>
      <c r="K5053">
        <v>1.1169089999999999</v>
      </c>
      <c r="L5053">
        <v>22.698550000000001</v>
      </c>
      <c r="M5053">
        <v>0.86339739999999998</v>
      </c>
      <c r="N5053">
        <v>0</v>
      </c>
      <c r="O5053">
        <v>-0.50432399999999999</v>
      </c>
      <c r="P5053">
        <v>0.89957039999999999</v>
      </c>
      <c r="Q5053">
        <v>0.16782900000000001</v>
      </c>
      <c r="R5053">
        <v>-0.40324539999999998</v>
      </c>
      <c r="S5053">
        <v>2.9987490000000001</v>
      </c>
      <c r="T5053">
        <v>-0.24841959999999999</v>
      </c>
      <c r="U5053">
        <v>-0.85803220000000002</v>
      </c>
      <c r="V5053">
        <v>-0.1084792</v>
      </c>
      <c r="W5053">
        <v>0.18000920000000001</v>
      </c>
      <c r="X5053">
        <v>0.97766509999999995</v>
      </c>
      <c r="Y5053">
        <v>-0.24520149999999999</v>
      </c>
      <c r="Z5053">
        <v>4.8643690000000003E-2</v>
      </c>
      <c r="AA5053">
        <v>0.96825099999999997</v>
      </c>
      <c r="AB5053">
        <v>26</v>
      </c>
      <c r="AC5053">
        <v>13.361199999999901</v>
      </c>
      <c r="AD5053">
        <v>-1.1169119209889999</v>
      </c>
      <c r="AE5053">
        <v>-3.7918400000000001</v>
      </c>
      <c r="AF5053">
        <v>-3.44259596068982</v>
      </c>
      <c r="AG5053">
        <v>-1.1169119209889999</v>
      </c>
      <c r="AH5053">
        <v>13.3632802995744</v>
      </c>
      <c r="AI5053">
        <v>94.627321321972403</v>
      </c>
      <c r="AJ5053">
        <v>104.446202564297</v>
      </c>
      <c r="AK5053">
        <v>13.8447181102686</v>
      </c>
      <c r="AL5053">
        <v>79.629704827078797</v>
      </c>
      <c r="AM5053">
        <v>96.331493302394193</v>
      </c>
      <c r="AN5053">
        <v>1.0000000483376399</v>
      </c>
    </row>
    <row r="5054" spans="1:40" x14ac:dyDescent="0.25">
      <c r="A5054" t="str">
        <f>"20190312173031740"</f>
        <v>20190312173031740</v>
      </c>
      <c r="B5054" t="str">
        <f>"1552383031733257"</f>
        <v>1552383031733257</v>
      </c>
      <c r="C5054" t="s">
        <v>40</v>
      </c>
      <c r="D5054">
        <v>3.2081040000000001</v>
      </c>
      <c r="E5054">
        <v>0.44689859999999998</v>
      </c>
      <c r="F5054" t="s">
        <v>41</v>
      </c>
      <c r="G5054">
        <v>-393.82100000000003</v>
      </c>
      <c r="H5054" s="1">
        <v>-3.0348589999999999E-6</v>
      </c>
      <c r="I5054">
        <v>18.86355</v>
      </c>
      <c r="J5054">
        <v>-407.2654</v>
      </c>
      <c r="K5054">
        <v>1.1168579999999999</v>
      </c>
      <c r="L5054">
        <v>22.622959999999999</v>
      </c>
      <c r="M5054">
        <v>0.86628059999999996</v>
      </c>
      <c r="N5054">
        <v>0</v>
      </c>
      <c r="O5054">
        <v>-0.49935570000000001</v>
      </c>
      <c r="P5054">
        <v>0.90164690000000003</v>
      </c>
      <c r="Q5054">
        <v>0.168103</v>
      </c>
      <c r="R5054">
        <v>-0.39846540000000003</v>
      </c>
      <c r="S5054">
        <v>3.0011899999999998</v>
      </c>
      <c r="T5054">
        <v>-0.2467308</v>
      </c>
      <c r="U5054">
        <v>-0.84716800000000003</v>
      </c>
      <c r="V5054">
        <v>-0.1080087</v>
      </c>
      <c r="W5054">
        <v>0.18029290000000001</v>
      </c>
      <c r="X5054">
        <v>0.97766489999999995</v>
      </c>
      <c r="Y5054">
        <v>-0.24313299999999999</v>
      </c>
      <c r="Z5054">
        <v>4.788589E-2</v>
      </c>
      <c r="AA5054">
        <v>0.96881030000000001</v>
      </c>
      <c r="AB5054">
        <v>26</v>
      </c>
      <c r="AC5054">
        <v>13.4444</v>
      </c>
      <c r="AD5054">
        <v>-1.116861034859</v>
      </c>
      <c r="AE5054">
        <v>-3.7594099999999901</v>
      </c>
      <c r="AF5054">
        <v>-3.4351954179650002</v>
      </c>
      <c r="AG5054">
        <v>-1.116861034859</v>
      </c>
      <c r="AH5054">
        <v>13.439251440571899</v>
      </c>
      <c r="AI5054">
        <v>94.603281481845102</v>
      </c>
      <c r="AJ5054">
        <v>104.338316988803</v>
      </c>
      <c r="AK5054">
        <v>13.916228850292301</v>
      </c>
      <c r="AL5054">
        <v>79.613179483647002</v>
      </c>
      <c r="AM5054">
        <v>96.304254974988297</v>
      </c>
      <c r="AN5054">
        <v>1.0000000328790499</v>
      </c>
    </row>
    <row r="5055" spans="1:40" x14ac:dyDescent="0.25">
      <c r="A5055" t="str">
        <f>"20190312173031752"</f>
        <v>20190312173031752</v>
      </c>
      <c r="B5055" t="str">
        <f>"1552383031743017"</f>
        <v>1552383031743017</v>
      </c>
      <c r="C5055" t="s">
        <v>40</v>
      </c>
      <c r="D5055">
        <v>3.233088</v>
      </c>
      <c r="E5055">
        <v>0.44702409999999998</v>
      </c>
      <c r="F5055" t="s">
        <v>41</v>
      </c>
      <c r="G5055">
        <v>-393.5367</v>
      </c>
      <c r="H5055" s="1">
        <v>-3.1764050000000001E-6</v>
      </c>
      <c r="I5055">
        <v>18.823270000000001</v>
      </c>
      <c r="J5055">
        <v>-407.13690000000003</v>
      </c>
      <c r="K5055">
        <v>1.116819</v>
      </c>
      <c r="L5055">
        <v>22.555240000000001</v>
      </c>
      <c r="M5055">
        <v>0.86885499999999904</v>
      </c>
      <c r="N5055">
        <v>0</v>
      </c>
      <c r="O5055">
        <v>-0.49486249999999998</v>
      </c>
      <c r="P5055">
        <v>0.9035031</v>
      </c>
      <c r="Q5055">
        <v>0.168189899999999</v>
      </c>
      <c r="R5055">
        <v>-0.39420090000000002</v>
      </c>
      <c r="S5055">
        <v>3.0052490000000001</v>
      </c>
      <c r="T5055">
        <v>-0.24448259999999999</v>
      </c>
      <c r="U5055">
        <v>-0.83175659999999896</v>
      </c>
      <c r="V5055">
        <v>-0.1075387</v>
      </c>
      <c r="W5055">
        <v>0.1803891</v>
      </c>
      <c r="X5055">
        <v>0.97769890000000004</v>
      </c>
      <c r="Y5055">
        <v>-0.24311279999999999</v>
      </c>
      <c r="Z5055">
        <v>4.7127530000000001E-2</v>
      </c>
      <c r="AA5055">
        <v>0.96885250000000001</v>
      </c>
      <c r="AB5055">
        <v>26</v>
      </c>
      <c r="AC5055">
        <v>13.600199999999999</v>
      </c>
      <c r="AD5055">
        <v>-1.1168221764049999</v>
      </c>
      <c r="AE5055">
        <v>-3.7319699999999898</v>
      </c>
      <c r="AF5055">
        <v>-3.4663028843094499</v>
      </c>
      <c r="AG5055">
        <v>-1.1168221764049999</v>
      </c>
      <c r="AH5055">
        <v>13.5796344624339</v>
      </c>
      <c r="AI5055">
        <v>94.556119966027495</v>
      </c>
      <c r="AJ5055">
        <v>104.319401259727</v>
      </c>
      <c r="AK5055">
        <v>14.0594814837818</v>
      </c>
      <c r="AL5055">
        <v>79.607575083066294</v>
      </c>
      <c r="AM5055">
        <v>96.276824908146295</v>
      </c>
      <c r="AN5055">
        <v>0.99999996922885404</v>
      </c>
    </row>
    <row r="5056" spans="1:40" x14ac:dyDescent="0.25">
      <c r="A5056" t="str">
        <f>"20190312173031770"</f>
        <v>20190312173031770</v>
      </c>
      <c r="B5056" t="str">
        <f>"1552383031762537"</f>
        <v>1552383031762537</v>
      </c>
      <c r="C5056" t="s">
        <v>40</v>
      </c>
      <c r="D5056">
        <v>3.1661280000000001</v>
      </c>
      <c r="E5056">
        <v>0.44737850000000001</v>
      </c>
      <c r="F5056" t="s">
        <v>41</v>
      </c>
      <c r="G5056">
        <v>-393.3295</v>
      </c>
      <c r="H5056" s="1">
        <v>-3.2786869999999999E-6</v>
      </c>
      <c r="I5056">
        <v>18.798839999999998</v>
      </c>
      <c r="J5056">
        <v>-406.95100000000002</v>
      </c>
      <c r="K5056">
        <v>1.1167670000000001</v>
      </c>
      <c r="L5056">
        <v>22.458590000000001</v>
      </c>
      <c r="M5056">
        <v>0.87250849999999902</v>
      </c>
      <c r="N5056">
        <v>0</v>
      </c>
      <c r="O5056">
        <v>-0.48839270000000001</v>
      </c>
      <c r="P5056">
        <v>0.9061437</v>
      </c>
      <c r="Q5056">
        <v>0.16808600000000001</v>
      </c>
      <c r="R5056">
        <v>-0.38813740000000002</v>
      </c>
      <c r="S5056">
        <v>3.0086059999999999</v>
      </c>
      <c r="T5056">
        <v>-0.2433534</v>
      </c>
      <c r="U5056">
        <v>-0.81851200000000002</v>
      </c>
      <c r="V5056">
        <v>-0.1068066</v>
      </c>
      <c r="W5056">
        <v>0.18029999999999999</v>
      </c>
      <c r="X5056">
        <v>0.97779559999999999</v>
      </c>
      <c r="Y5056">
        <v>-0.24019509999999999</v>
      </c>
      <c r="Z5056">
        <v>4.6342170000000002E-2</v>
      </c>
      <c r="AA5056">
        <v>0.96961779999999997</v>
      </c>
      <c r="AB5056">
        <v>26</v>
      </c>
      <c r="AC5056">
        <v>13.6214999999999</v>
      </c>
      <c r="AD5056">
        <v>-1.116770278687</v>
      </c>
      <c r="AE5056">
        <v>-3.6597499999999998</v>
      </c>
      <c r="AF5056">
        <v>-3.43827176116499</v>
      </c>
      <c r="AG5056">
        <v>-1.116770278687</v>
      </c>
      <c r="AH5056">
        <v>13.5884594234247</v>
      </c>
      <c r="AI5056">
        <v>94.555375528205303</v>
      </c>
      <c r="AJ5056">
        <v>104.199456793474</v>
      </c>
      <c r="AK5056">
        <v>14.0611207967588</v>
      </c>
      <c r="AL5056">
        <v>79.612765430412594</v>
      </c>
      <c r="AM5056">
        <v>96.233819578971904</v>
      </c>
      <c r="AN5056">
        <v>0.99999998759145903</v>
      </c>
    </row>
    <row r="5057" spans="1:40" x14ac:dyDescent="0.25">
      <c r="A5057" t="str">
        <f>"20190312173031781"</f>
        <v>20190312173031781</v>
      </c>
      <c r="B5057" t="str">
        <f>"1552383031773273"</f>
        <v>1552383031773273</v>
      </c>
      <c r="C5057" t="s">
        <v>40</v>
      </c>
      <c r="D5057">
        <v>3.1831700000000001</v>
      </c>
      <c r="E5057">
        <v>0.44751570000000002</v>
      </c>
      <c r="F5057" t="s">
        <v>41</v>
      </c>
      <c r="G5057">
        <v>-393.04820000000001</v>
      </c>
      <c r="H5057" s="1">
        <v>-3.41781E-6</v>
      </c>
      <c r="I5057">
        <v>18.76407</v>
      </c>
      <c r="J5057">
        <v>-406.83420000000001</v>
      </c>
      <c r="K5057">
        <v>1.116733</v>
      </c>
      <c r="L5057">
        <v>22.39856</v>
      </c>
      <c r="M5057">
        <v>0.87476469999999995</v>
      </c>
      <c r="N5057">
        <v>0</v>
      </c>
      <c r="O5057">
        <v>-0.4843401</v>
      </c>
      <c r="P5057">
        <v>0.90784299999999996</v>
      </c>
      <c r="Q5057">
        <v>0.167936</v>
      </c>
      <c r="R5057">
        <v>-0.38421169999999999</v>
      </c>
      <c r="S5057">
        <v>3.0127259999999998</v>
      </c>
      <c r="T5057">
        <v>-0.2420031</v>
      </c>
      <c r="U5057">
        <v>-0.80059809999999998</v>
      </c>
      <c r="V5057">
        <v>-0.1064985</v>
      </c>
      <c r="W5057">
        <v>0.18015690000000001</v>
      </c>
      <c r="X5057">
        <v>0.97785560000000005</v>
      </c>
      <c r="Y5057">
        <v>-0.24143609999999999</v>
      </c>
      <c r="Z5057">
        <v>4.5847350000000002E-2</v>
      </c>
      <c r="AA5057">
        <v>0.96933309999999995</v>
      </c>
      <c r="AB5057">
        <v>26</v>
      </c>
      <c r="AC5057">
        <v>13.786</v>
      </c>
      <c r="AD5057">
        <v>-1.1167364178100001</v>
      </c>
      <c r="AE5057">
        <v>-3.63449</v>
      </c>
      <c r="AF5057">
        <v>-3.4768097295812699</v>
      </c>
      <c r="AG5057">
        <v>-1.1167364178100001</v>
      </c>
      <c r="AH5057">
        <v>13.7369456288551</v>
      </c>
      <c r="AI5057">
        <v>94.506128028559701</v>
      </c>
      <c r="AJ5057">
        <v>104.203246073505</v>
      </c>
      <c r="AK5057">
        <v>14.214041695896899</v>
      </c>
      <c r="AL5057">
        <v>79.621101154014198</v>
      </c>
      <c r="AM5057">
        <v>96.215599722514099</v>
      </c>
      <c r="AN5057">
        <v>1.0000000067856001</v>
      </c>
    </row>
    <row r="5058" spans="1:40" x14ac:dyDescent="0.25">
      <c r="A5058" t="str">
        <f>"20190312173031791"</f>
        <v>20190312173031791</v>
      </c>
      <c r="B5058" t="str">
        <f>"1552383031783034"</f>
        <v>1552383031783034</v>
      </c>
      <c r="C5058" t="s">
        <v>40</v>
      </c>
      <c r="D5058">
        <v>3.3451930000000001</v>
      </c>
      <c r="E5058">
        <v>0.44757570000000002</v>
      </c>
      <c r="F5058" t="s">
        <v>41</v>
      </c>
      <c r="G5058">
        <v>-392.90410000000003</v>
      </c>
      <c r="H5058" s="1">
        <v>-3.4873309999999998E-6</v>
      </c>
      <c r="I5058">
        <v>18.7562</v>
      </c>
      <c r="J5058">
        <v>-406.7278</v>
      </c>
      <c r="K5058">
        <v>1.116703</v>
      </c>
      <c r="L5058">
        <v>22.344729999999998</v>
      </c>
      <c r="M5058">
        <v>0.87678869999999898</v>
      </c>
      <c r="N5058">
        <v>0</v>
      </c>
      <c r="O5058">
        <v>-0.48066700000000001</v>
      </c>
      <c r="P5058">
        <v>0.90931799999999996</v>
      </c>
      <c r="Q5058">
        <v>0.16789189999999901</v>
      </c>
      <c r="R5058">
        <v>-0.3807276</v>
      </c>
      <c r="S5058">
        <v>3.015533</v>
      </c>
      <c r="T5058">
        <v>-0.24174590000000001</v>
      </c>
      <c r="U5058">
        <v>-0.78848269999999998</v>
      </c>
      <c r="V5058">
        <v>-0.10613690000000001</v>
      </c>
      <c r="W5058">
        <v>0.18011940000000001</v>
      </c>
      <c r="X5058">
        <v>0.97790180000000004</v>
      </c>
      <c r="Y5058">
        <v>-0.24124719999999999</v>
      </c>
      <c r="Z5058">
        <v>4.553256E-2</v>
      </c>
      <c r="AA5058">
        <v>0.96939489999999995</v>
      </c>
      <c r="AB5058">
        <v>26</v>
      </c>
      <c r="AC5058">
        <v>13.823699999999899</v>
      </c>
      <c r="AD5058">
        <v>-1.116706487331</v>
      </c>
      <c r="AE5058">
        <v>-3.5885299999999898</v>
      </c>
      <c r="AF5058">
        <v>-3.47730579951733</v>
      </c>
      <c r="AG5058">
        <v>-1.116706487331</v>
      </c>
      <c r="AH5058">
        <v>13.7626012786817</v>
      </c>
      <c r="AI5058">
        <v>94.498106300205805</v>
      </c>
      <c r="AJ5058">
        <v>104.17977888832201</v>
      </c>
      <c r="AK5058">
        <v>14.238956526311</v>
      </c>
      <c r="AL5058">
        <v>79.623285251091801</v>
      </c>
      <c r="AM5058">
        <v>96.194369536325794</v>
      </c>
      <c r="AN5058">
        <v>0.99999998512060495</v>
      </c>
    </row>
    <row r="5059" spans="1:40" x14ac:dyDescent="0.25">
      <c r="A5059" t="str">
        <f>"20190312173031802"</f>
        <v>20190312173031802</v>
      </c>
      <c r="B5059" t="str">
        <f>"1552383031792794"</f>
        <v>1552383031792794</v>
      </c>
      <c r="C5059" t="s">
        <v>40</v>
      </c>
      <c r="D5059">
        <v>3.2279589999999998</v>
      </c>
      <c r="E5059">
        <v>0.4478046</v>
      </c>
      <c r="F5059" t="s">
        <v>41</v>
      </c>
      <c r="G5059">
        <v>-392.83870000000002</v>
      </c>
      <c r="H5059" s="1">
        <v>-3.5161800000000002E-6</v>
      </c>
      <c r="I5059">
        <v>18.767910000000001</v>
      </c>
      <c r="J5059">
        <v>-406.61559999999997</v>
      </c>
      <c r="K5059">
        <v>1.116665</v>
      </c>
      <c r="L5059">
        <v>22.288239999999998</v>
      </c>
      <c r="M5059">
        <v>0.8788994</v>
      </c>
      <c r="N5059">
        <v>0</v>
      </c>
      <c r="O5059">
        <v>-0.47679670000000002</v>
      </c>
      <c r="P5059">
        <v>0.91089399999999998</v>
      </c>
      <c r="Q5059">
        <v>0.1679592</v>
      </c>
      <c r="R5059">
        <v>-0.37691140000000001</v>
      </c>
      <c r="S5059">
        <v>3.018494</v>
      </c>
      <c r="T5059">
        <v>-0.24269199999999999</v>
      </c>
      <c r="U5059">
        <v>-0.77734380000000003</v>
      </c>
      <c r="V5059">
        <v>-0.105908</v>
      </c>
      <c r="W5059">
        <v>0.18019070000000001</v>
      </c>
      <c r="X5059">
        <v>0.97791349999999999</v>
      </c>
      <c r="Y5059">
        <v>-0.24055119999999999</v>
      </c>
      <c r="Z5059">
        <v>4.5403730000000003E-2</v>
      </c>
      <c r="AA5059">
        <v>0.96957389999999999</v>
      </c>
      <c r="AB5059">
        <v>26</v>
      </c>
      <c r="AC5059">
        <v>13.7768999999999</v>
      </c>
      <c r="AD5059">
        <v>-1.1166685161799901</v>
      </c>
      <c r="AE5059">
        <v>-3.5203299999999902</v>
      </c>
      <c r="AF5059">
        <v>-3.4538135661339302</v>
      </c>
      <c r="AG5059">
        <v>-1.1166685161799901</v>
      </c>
      <c r="AH5059">
        <v>13.7038627149979</v>
      </c>
      <c r="AI5059">
        <v>94.5178276150247</v>
      </c>
      <c r="AJ5059">
        <v>104.14577390305701</v>
      </c>
      <c r="AK5059">
        <v>14.1764463119693</v>
      </c>
      <c r="AL5059">
        <v>79.619132298478505</v>
      </c>
      <c r="AM5059">
        <v>96.181040598175102</v>
      </c>
      <c r="AN5059">
        <v>1.0000000031563601</v>
      </c>
    </row>
    <row r="5060" spans="1:40" x14ac:dyDescent="0.25">
      <c r="A5060" t="str">
        <f>"20190312173031814"</f>
        <v>20190312173031814</v>
      </c>
      <c r="B5060" t="str">
        <f>"1552383031802554"</f>
        <v>1552383031802554</v>
      </c>
      <c r="C5060" t="s">
        <v>40</v>
      </c>
      <c r="D5060">
        <v>3.2965949999999902</v>
      </c>
      <c r="E5060">
        <v>0.44818659999999999</v>
      </c>
      <c r="F5060" t="s">
        <v>41</v>
      </c>
      <c r="G5060">
        <v>-392.68830000000003</v>
      </c>
      <c r="H5060" s="1">
        <v>-3.5897499999999998E-6</v>
      </c>
      <c r="I5060">
        <v>18.75395</v>
      </c>
      <c r="J5060">
        <v>-406.49509999999998</v>
      </c>
      <c r="K5060">
        <v>1.116635</v>
      </c>
      <c r="L5060">
        <v>22.228639999999999</v>
      </c>
      <c r="M5060">
        <v>0.88112829999999998</v>
      </c>
      <c r="N5060">
        <v>0</v>
      </c>
      <c r="O5060">
        <v>-0.47266520000000001</v>
      </c>
      <c r="P5060">
        <v>0.91254190000000002</v>
      </c>
      <c r="Q5060">
        <v>0.1679012</v>
      </c>
      <c r="R5060">
        <v>-0.37293019999999999</v>
      </c>
      <c r="S5060">
        <v>3.020905</v>
      </c>
      <c r="T5060">
        <v>-0.24221029999999999</v>
      </c>
      <c r="U5060">
        <v>-0.76660159999999999</v>
      </c>
      <c r="V5060">
        <v>-0.105577</v>
      </c>
      <c r="W5060">
        <v>0.18013860000000001</v>
      </c>
      <c r="X5060">
        <v>0.97795889999999996</v>
      </c>
      <c r="Y5060">
        <v>-0.2394406</v>
      </c>
      <c r="Z5060">
        <v>4.4979690000000003E-2</v>
      </c>
      <c r="AA5060">
        <v>0.96986850000000002</v>
      </c>
      <c r="AB5060">
        <v>26</v>
      </c>
      <c r="AC5060">
        <v>13.8067999999999</v>
      </c>
      <c r="AD5060">
        <v>-1.11663858975</v>
      </c>
      <c r="AE5060">
        <v>-3.4746899999999901</v>
      </c>
      <c r="AF5060">
        <v>-3.4435114199938801</v>
      </c>
      <c r="AG5060">
        <v>-1.11663858975</v>
      </c>
      <c r="AH5060">
        <v>13.7248856138647</v>
      </c>
      <c r="AI5060">
        <v>94.512023487622699</v>
      </c>
      <c r="AJ5060">
        <v>104.084521085484</v>
      </c>
      <c r="AK5060">
        <v>14.1942642554455</v>
      </c>
      <c r="AL5060">
        <v>79.622167183113206</v>
      </c>
      <c r="AM5060">
        <v>96.1615876432287</v>
      </c>
      <c r="AN5060">
        <v>1.0000000141140799</v>
      </c>
    </row>
    <row r="5061" spans="1:40" x14ac:dyDescent="0.25">
      <c r="A5061" t="str">
        <f>"20190312173031825"</f>
        <v>20190312173031825</v>
      </c>
      <c r="B5061" t="str">
        <f>"1552383031812983"</f>
        <v>1552383031812983</v>
      </c>
      <c r="C5061" t="s">
        <v>40</v>
      </c>
      <c r="D5061">
        <v>3.2712430000000001</v>
      </c>
      <c r="E5061">
        <v>0.44853969999999999</v>
      </c>
      <c r="F5061" t="s">
        <v>41</v>
      </c>
      <c r="G5061">
        <v>-392.52379999999999</v>
      </c>
      <c r="H5061" s="1">
        <v>-3.6705350000000002E-6</v>
      </c>
      <c r="I5061">
        <v>18.73668</v>
      </c>
      <c r="J5061">
        <v>-406.38350000000003</v>
      </c>
      <c r="K5061">
        <v>1.116608</v>
      </c>
      <c r="L5061">
        <v>22.173770000000001</v>
      </c>
      <c r="M5061">
        <v>0.88316819999999896</v>
      </c>
      <c r="N5061">
        <v>0</v>
      </c>
      <c r="O5061">
        <v>-0.4688428</v>
      </c>
      <c r="P5061">
        <v>0.91402229999999995</v>
      </c>
      <c r="Q5061">
        <v>0.16783319999999999</v>
      </c>
      <c r="R5061">
        <v>-0.36931730000000002</v>
      </c>
      <c r="S5061">
        <v>3.023193</v>
      </c>
      <c r="T5061">
        <v>-0.24162649999999999</v>
      </c>
      <c r="U5061">
        <v>-0.75561519999999904</v>
      </c>
      <c r="V5061">
        <v>-0.1051995</v>
      </c>
      <c r="W5061">
        <v>0.18007770000000001</v>
      </c>
      <c r="X5061">
        <v>0.97801079999999996</v>
      </c>
      <c r="Y5061">
        <v>-0.23874570000000001</v>
      </c>
      <c r="Z5061">
        <v>4.4576959999999999E-2</v>
      </c>
      <c r="AA5061">
        <v>0.97005839999999999</v>
      </c>
      <c r="AB5061">
        <v>26</v>
      </c>
      <c r="AC5061">
        <v>13.8597</v>
      </c>
      <c r="AD5061">
        <v>-1.116611670535</v>
      </c>
      <c r="AE5061">
        <v>-3.43709</v>
      </c>
      <c r="AF5061">
        <v>-3.4417932807668299</v>
      </c>
      <c r="AG5061">
        <v>-1.116611670535</v>
      </c>
      <c r="AH5061">
        <v>13.769094900148501</v>
      </c>
      <c r="AI5061">
        <v>94.498470087357802</v>
      </c>
      <c r="AJ5061">
        <v>104.03436183508499</v>
      </c>
      <c r="AK5061">
        <v>14.236598504544601</v>
      </c>
      <c r="AL5061">
        <v>79.625714556028001</v>
      </c>
      <c r="AM5061">
        <v>96.139401575241607</v>
      </c>
      <c r="AN5061">
        <v>1.0000000188770899</v>
      </c>
    </row>
    <row r="5062" spans="1:40" x14ac:dyDescent="0.25">
      <c r="A5062" t="str">
        <f>"20190312173031835"</f>
        <v>20190312173031835</v>
      </c>
      <c r="B5062" t="str">
        <f>"1552383031822742"</f>
        <v>1552383031822742</v>
      </c>
      <c r="C5062" t="s">
        <v>40</v>
      </c>
      <c r="D5062">
        <v>3.2002199999999998</v>
      </c>
      <c r="E5062">
        <v>0.44890790000000003</v>
      </c>
      <c r="F5062" t="s">
        <v>41</v>
      </c>
      <c r="G5062">
        <v>-392.39080000000001</v>
      </c>
      <c r="H5062" s="1">
        <v>-3.7358019999999999E-6</v>
      </c>
      <c r="I5062">
        <v>18.723389999999998</v>
      </c>
      <c r="J5062">
        <v>-406.27609999999999</v>
      </c>
      <c r="K5062">
        <v>1.1165849999999999</v>
      </c>
      <c r="L5062">
        <v>22.121770000000001</v>
      </c>
      <c r="M5062">
        <v>0.88510180000000005</v>
      </c>
      <c r="N5062">
        <v>0</v>
      </c>
      <c r="O5062">
        <v>-0.4651824</v>
      </c>
      <c r="P5062">
        <v>0.91542939999999995</v>
      </c>
      <c r="Q5062">
        <v>0.1678154</v>
      </c>
      <c r="R5062">
        <v>-0.36582399999999998</v>
      </c>
      <c r="S5062">
        <v>3.0251160000000001</v>
      </c>
      <c r="T5062">
        <v>-0.24140159999999999</v>
      </c>
      <c r="U5062">
        <v>-0.74594119999999997</v>
      </c>
      <c r="V5062">
        <v>-0.1048747</v>
      </c>
      <c r="W5062">
        <v>0.18006549999999999</v>
      </c>
      <c r="X5062">
        <v>0.97804789999999997</v>
      </c>
      <c r="Y5062">
        <v>-0.2378093</v>
      </c>
      <c r="Z5062">
        <v>4.4243869999999998E-2</v>
      </c>
      <c r="AA5062">
        <v>0.97030369999999999</v>
      </c>
      <c r="AB5062">
        <v>26</v>
      </c>
      <c r="AC5062">
        <v>13.8852999999999</v>
      </c>
      <c r="AD5062">
        <v>-1.1165887358019999</v>
      </c>
      <c r="AE5062">
        <v>-3.39838</v>
      </c>
      <c r="AF5062">
        <v>-3.4306991812732499</v>
      </c>
      <c r="AG5062">
        <v>-1.1165887358019999</v>
      </c>
      <c r="AH5062">
        <v>13.7880361526123</v>
      </c>
      <c r="AI5062">
        <v>94.493429785211404</v>
      </c>
      <c r="AJ5062">
        <v>103.97243737611601</v>
      </c>
      <c r="AK5062">
        <v>14.252242217386501</v>
      </c>
      <c r="AL5062">
        <v>79.626424886707298</v>
      </c>
      <c r="AM5062">
        <v>96.120360061914099</v>
      </c>
      <c r="AN5062">
        <v>0.99999999084237401</v>
      </c>
    </row>
    <row r="5063" spans="1:40" x14ac:dyDescent="0.25">
      <c r="A5063" t="str">
        <f>"20190312173031847"</f>
        <v>20190312173031847</v>
      </c>
      <c r="B5063" t="str">
        <f>"1552383031843238"</f>
        <v>1552383031843238</v>
      </c>
      <c r="C5063" t="s">
        <v>40</v>
      </c>
      <c r="D5063">
        <v>3.2704749999999998</v>
      </c>
      <c r="E5063">
        <v>0.44952490000000001</v>
      </c>
      <c r="F5063" t="s">
        <v>41</v>
      </c>
      <c r="G5063">
        <v>-392.35829999999999</v>
      </c>
      <c r="H5063" s="1">
        <v>-3.7494909999999998E-6</v>
      </c>
      <c r="I5063">
        <v>18.732800000000001</v>
      </c>
      <c r="J5063">
        <v>-406.1567</v>
      </c>
      <c r="K5063">
        <v>1.1165560000000001</v>
      </c>
      <c r="L5063">
        <v>22.064299999999999</v>
      </c>
      <c r="M5063">
        <v>0.88722690000000004</v>
      </c>
      <c r="N5063">
        <v>0</v>
      </c>
      <c r="O5063">
        <v>-0.46111629999999998</v>
      </c>
      <c r="P5063">
        <v>0.9170838</v>
      </c>
      <c r="Q5063">
        <v>0.1673886</v>
      </c>
      <c r="R5063">
        <v>-0.36185440000000002</v>
      </c>
      <c r="S5063">
        <v>3.0270999999999999</v>
      </c>
      <c r="T5063">
        <v>-0.2428554</v>
      </c>
      <c r="U5063">
        <v>-0.7370911</v>
      </c>
      <c r="V5063">
        <v>-0.10463989999999999</v>
      </c>
      <c r="W5063">
        <v>0.17964379999999999</v>
      </c>
      <c r="X5063">
        <v>0.97815059999999998</v>
      </c>
      <c r="Y5063">
        <v>-0.2361692</v>
      </c>
      <c r="Z5063">
        <v>4.4156559999999997E-2</v>
      </c>
      <c r="AA5063">
        <v>0.97070809999999996</v>
      </c>
      <c r="AB5063">
        <v>26</v>
      </c>
      <c r="AC5063">
        <v>13.798400000000001</v>
      </c>
      <c r="AD5063">
        <v>-1.11655974949099</v>
      </c>
      <c r="AE5063">
        <v>-3.3314999999999899</v>
      </c>
      <c r="AF5063">
        <v>-3.3862600299993799</v>
      </c>
      <c r="AG5063">
        <v>-1.11655974949099</v>
      </c>
      <c r="AH5063">
        <v>13.6951640444475</v>
      </c>
      <c r="AI5063">
        <v>94.525298247215105</v>
      </c>
      <c r="AJ5063">
        <v>103.888368202444</v>
      </c>
      <c r="AK5063">
        <v>14.1517130012335</v>
      </c>
      <c r="AL5063">
        <v>79.650987142624004</v>
      </c>
      <c r="AM5063">
        <v>96.106124743122805</v>
      </c>
      <c r="AN5063">
        <v>0.999999999915405</v>
      </c>
    </row>
    <row r="5064" spans="1:40" x14ac:dyDescent="0.25">
      <c r="A5064" t="str">
        <f>"20190312173031858"</f>
        <v>20190312173031858</v>
      </c>
      <c r="B5064" t="str">
        <f>"1552383031852997"</f>
        <v>1552383031852997</v>
      </c>
      <c r="C5064" t="s">
        <v>40</v>
      </c>
      <c r="D5064">
        <v>3.1733180000000001</v>
      </c>
      <c r="E5064">
        <v>0.44996789999999998</v>
      </c>
      <c r="F5064" t="s">
        <v>41</v>
      </c>
      <c r="G5064">
        <v>-392.28840000000002</v>
      </c>
      <c r="H5064" s="1">
        <v>-3.7832160000000001E-6</v>
      </c>
      <c r="I5064">
        <v>18.728819999999999</v>
      </c>
      <c r="J5064">
        <v>-406.03160000000003</v>
      </c>
      <c r="K5064">
        <v>1.1165259999999999</v>
      </c>
      <c r="L5064">
        <v>22.00497</v>
      </c>
      <c r="M5064">
        <v>0.88941719999999902</v>
      </c>
      <c r="N5064">
        <v>0</v>
      </c>
      <c r="O5064">
        <v>-0.45687749999999999</v>
      </c>
      <c r="P5064">
        <v>0.91878130000000002</v>
      </c>
      <c r="Q5064">
        <v>0.16707089999999999</v>
      </c>
      <c r="R5064">
        <v>-0.3576705</v>
      </c>
      <c r="S5064">
        <v>3.028381</v>
      </c>
      <c r="T5064">
        <v>-0.24382090000000001</v>
      </c>
      <c r="U5064">
        <v>-0.72836299999999998</v>
      </c>
      <c r="V5064">
        <v>-0.1044384</v>
      </c>
      <c r="W5064">
        <v>0.179330399999999</v>
      </c>
      <c r="X5064">
        <v>0.97822960000000003</v>
      </c>
      <c r="Y5064">
        <v>-0.23427120000000001</v>
      </c>
      <c r="Z5064">
        <v>4.3963519999999999E-2</v>
      </c>
      <c r="AA5064">
        <v>0.9711767</v>
      </c>
      <c r="AB5064">
        <v>26</v>
      </c>
      <c r="AC5064">
        <v>13.7432</v>
      </c>
      <c r="AD5064">
        <v>-1.1165297832159999</v>
      </c>
      <c r="AE5064">
        <v>-3.2761499999999901</v>
      </c>
      <c r="AF5064">
        <v>-3.34454319583971</v>
      </c>
      <c r="AG5064">
        <v>-1.1165297832159999</v>
      </c>
      <c r="AH5064">
        <v>13.636444649781399</v>
      </c>
      <c r="AI5064">
        <v>94.546677746825793</v>
      </c>
      <c r="AJ5064">
        <v>103.78062578821999</v>
      </c>
      <c r="AK5064">
        <v>14.084929202243</v>
      </c>
      <c r="AL5064">
        <v>79.669239655393099</v>
      </c>
      <c r="AM5064">
        <v>96.093966574699095</v>
      </c>
      <c r="AN5064">
        <v>0.99999996103743904</v>
      </c>
    </row>
    <row r="5065" spans="1:40" x14ac:dyDescent="0.25">
      <c r="A5065" t="str">
        <f>"20190312173031870"</f>
        <v>20190312173031870</v>
      </c>
      <c r="B5065" t="str">
        <f>"1552383031862758"</f>
        <v>1552383031862758</v>
      </c>
      <c r="C5065" t="s">
        <v>40</v>
      </c>
      <c r="D5065">
        <v>3.3058380000000001</v>
      </c>
      <c r="E5065">
        <v>0.45031120000000002</v>
      </c>
      <c r="F5065" t="s">
        <v>41</v>
      </c>
      <c r="G5065">
        <v>-392.30470000000003</v>
      </c>
      <c r="H5065" s="1">
        <v>-3.771345E-6</v>
      </c>
      <c r="I5065">
        <v>18.752510000000001</v>
      </c>
      <c r="J5065">
        <v>-405.9128</v>
      </c>
      <c r="K5065">
        <v>1.1164989999999999</v>
      </c>
      <c r="L5065">
        <v>21.949280000000002</v>
      </c>
      <c r="M5065">
        <v>0.89146800000000004</v>
      </c>
      <c r="N5065">
        <v>0</v>
      </c>
      <c r="O5065">
        <v>-0.45286340000000003</v>
      </c>
      <c r="P5065">
        <v>0.92040259999999996</v>
      </c>
      <c r="Q5065">
        <v>0.16679639999999901</v>
      </c>
      <c r="R5065">
        <v>-0.35360740000000002</v>
      </c>
      <c r="S5065">
        <v>3.0305179999999998</v>
      </c>
      <c r="T5065">
        <v>-0.24649699999999999</v>
      </c>
      <c r="U5065">
        <v>-0.71804809999999997</v>
      </c>
      <c r="V5065">
        <v>-0.104356</v>
      </c>
      <c r="W5065">
        <v>0.179058299999999</v>
      </c>
      <c r="X5065">
        <v>0.9782883</v>
      </c>
      <c r="Y5065">
        <v>-0.2331434</v>
      </c>
      <c r="Z5065">
        <v>4.4109719999999998E-2</v>
      </c>
      <c r="AA5065">
        <v>0.97144140000000001</v>
      </c>
      <c r="AB5065">
        <v>26</v>
      </c>
      <c r="AC5065">
        <v>13.608099999999901</v>
      </c>
      <c r="AD5065">
        <v>-1.116502771345</v>
      </c>
      <c r="AE5065">
        <v>-3.1967699999999901</v>
      </c>
      <c r="AF5065">
        <v>-3.29212033372308</v>
      </c>
      <c r="AG5065">
        <v>-1.116502771345</v>
      </c>
      <c r="AH5065">
        <v>13.49415309221</v>
      </c>
      <c r="AI5065">
        <v>94.595677497767099</v>
      </c>
      <c r="AJ5065">
        <v>103.71042141494</v>
      </c>
      <c r="AK5065">
        <v>13.9347336682885</v>
      </c>
      <c r="AL5065">
        <v>79.685086990617094</v>
      </c>
      <c r="AM5065">
        <v>96.088832057866398</v>
      </c>
      <c r="AN5065">
        <v>1.0000000237258799</v>
      </c>
    </row>
    <row r="5066" spans="1:40" x14ac:dyDescent="0.25">
      <c r="A5066" t="str">
        <f>"20190312173031881"</f>
        <v>20190312173031881</v>
      </c>
      <c r="B5066" t="str">
        <f>"1552383031873494"</f>
        <v>1552383031873494</v>
      </c>
      <c r="C5066" t="s">
        <v>40</v>
      </c>
      <c r="D5066">
        <v>3.2773780000000001</v>
      </c>
      <c r="E5066">
        <v>0.45066850000000003</v>
      </c>
      <c r="F5066" t="s">
        <v>41</v>
      </c>
      <c r="G5066">
        <v>-392.20139999999998</v>
      </c>
      <c r="H5066" s="1">
        <v>-3.820153E-6</v>
      </c>
      <c r="I5066">
        <v>18.752389999999998</v>
      </c>
      <c r="J5066">
        <v>-405.79910000000001</v>
      </c>
      <c r="K5066">
        <v>1.1164700000000001</v>
      </c>
      <c r="L5066">
        <v>21.896360000000001</v>
      </c>
      <c r="M5066">
        <v>0.89340589999999998</v>
      </c>
      <c r="N5066">
        <v>0</v>
      </c>
      <c r="O5066">
        <v>-0.44902829999999999</v>
      </c>
      <c r="P5066">
        <v>0.92189109999999996</v>
      </c>
      <c r="Q5066">
        <v>0.16666549999999999</v>
      </c>
      <c r="R5066">
        <v>-0.34977059999999999</v>
      </c>
      <c r="S5066">
        <v>3.032562</v>
      </c>
      <c r="T5066">
        <v>-0.24693909999999999</v>
      </c>
      <c r="U5066">
        <v>-0.70706179999999996</v>
      </c>
      <c r="V5066">
        <v>-0.1042227</v>
      </c>
      <c r="W5066">
        <v>0.17893029999999999</v>
      </c>
      <c r="X5066">
        <v>0.97832589999999997</v>
      </c>
      <c r="Y5066">
        <v>-0.2324531</v>
      </c>
      <c r="Z5066">
        <v>4.3885189999999998E-2</v>
      </c>
      <c r="AA5066">
        <v>0.97161699999999995</v>
      </c>
      <c r="AB5066">
        <v>26</v>
      </c>
      <c r="AC5066">
        <v>13.5977</v>
      </c>
      <c r="AD5066">
        <v>-1.116473820153</v>
      </c>
      <c r="AE5066">
        <v>-3.1439699999999999</v>
      </c>
      <c r="AF5066">
        <v>-3.27627303912826</v>
      </c>
      <c r="AG5066">
        <v>-1.116473820153</v>
      </c>
      <c r="AH5066">
        <v>13.4751151676808</v>
      </c>
      <c r="AI5066">
        <v>94.602899611571104</v>
      </c>
      <c r="AJ5066">
        <v>103.665455220265</v>
      </c>
      <c r="AK5066">
        <v>13.912555753716299</v>
      </c>
      <c r="AL5066">
        <v>79.692540936455998</v>
      </c>
      <c r="AM5066">
        <v>96.080880787466498</v>
      </c>
      <c r="AN5066">
        <v>0.99999999503209402</v>
      </c>
    </row>
    <row r="5067" spans="1:40" x14ac:dyDescent="0.25">
      <c r="A5067" t="str">
        <f>"20190312173031893"</f>
        <v>20190312173031893</v>
      </c>
      <c r="B5067" t="str">
        <f>"1552383031883254"</f>
        <v>1552383031883254</v>
      </c>
      <c r="C5067" t="s">
        <v>40</v>
      </c>
      <c r="D5067">
        <v>3.2879499999999999</v>
      </c>
      <c r="E5067">
        <v>0.45101289999999999</v>
      </c>
      <c r="F5067" t="s">
        <v>41</v>
      </c>
      <c r="G5067">
        <v>-392.0788</v>
      </c>
      <c r="H5067" s="1">
        <v>-3.8796680000000003E-6</v>
      </c>
      <c r="I5067">
        <v>18.743690000000001</v>
      </c>
      <c r="J5067">
        <v>-405.68040000000002</v>
      </c>
      <c r="K5067">
        <v>1.116439</v>
      </c>
      <c r="L5067">
        <v>21.842099999999999</v>
      </c>
      <c r="M5067">
        <v>0.89539249999999904</v>
      </c>
      <c r="N5067">
        <v>0</v>
      </c>
      <c r="O5067">
        <v>-0.44505400000000001</v>
      </c>
      <c r="P5067">
        <v>0.92334530000000004</v>
      </c>
      <c r="Q5067">
        <v>0.16642270000000001</v>
      </c>
      <c r="R5067">
        <v>-0.34603070000000002</v>
      </c>
      <c r="S5067">
        <v>3.034332</v>
      </c>
      <c r="T5067">
        <v>-0.24691589999999999</v>
      </c>
      <c r="U5067">
        <v>-0.6972351</v>
      </c>
      <c r="V5067">
        <v>-0.1038419</v>
      </c>
      <c r="W5067">
        <v>0.1786952</v>
      </c>
      <c r="X5067">
        <v>0.97840930000000004</v>
      </c>
      <c r="Y5067">
        <v>-0.23125899999999999</v>
      </c>
      <c r="Z5067">
        <v>4.354794E-2</v>
      </c>
      <c r="AA5067">
        <v>0.97191709999999998</v>
      </c>
      <c r="AB5067">
        <v>26</v>
      </c>
      <c r="AC5067">
        <v>13.601599999999999</v>
      </c>
      <c r="AD5067">
        <v>-1.1164428796679999</v>
      </c>
      <c r="AE5067">
        <v>-3.0984099999999901</v>
      </c>
      <c r="AF5067">
        <v>-3.2586085507823199</v>
      </c>
      <c r="AG5067">
        <v>-1.1164428796679999</v>
      </c>
      <c r="AH5067">
        <v>13.472787227307199</v>
      </c>
      <c r="AI5067">
        <v>94.604897033223907</v>
      </c>
      <c r="AJ5067">
        <v>103.596779036014</v>
      </c>
      <c r="AK5067">
        <v>13.906148642348301</v>
      </c>
      <c r="AL5067">
        <v>79.706231219793494</v>
      </c>
      <c r="AM5067">
        <v>96.058315929138303</v>
      </c>
      <c r="AN5067">
        <v>0.99999993651256802</v>
      </c>
    </row>
    <row r="5068" spans="1:40" x14ac:dyDescent="0.25">
      <c r="A5068" t="str">
        <f>"20190312173031903"</f>
        <v>20190312173031903</v>
      </c>
      <c r="B5068" t="str">
        <f>"1552383031893013"</f>
        <v>1552383031893013</v>
      </c>
      <c r="C5068" t="s">
        <v>40</v>
      </c>
      <c r="D5068">
        <v>3.3064939999999998</v>
      </c>
      <c r="E5068">
        <v>0.45136880000000001</v>
      </c>
      <c r="F5068" t="s">
        <v>41</v>
      </c>
      <c r="G5068">
        <v>-391.95949999999999</v>
      </c>
      <c r="H5068" s="1">
        <v>-3.9373679999999997E-6</v>
      </c>
      <c r="I5068">
        <v>18.736339999999998</v>
      </c>
      <c r="J5068">
        <v>-405.5675</v>
      </c>
      <c r="K5068">
        <v>1.1164069999999999</v>
      </c>
      <c r="L5068">
        <v>21.790649999999999</v>
      </c>
      <c r="M5068">
        <v>0.897262</v>
      </c>
      <c r="N5068">
        <v>0</v>
      </c>
      <c r="O5068">
        <v>-0.44127319999999998</v>
      </c>
      <c r="P5068">
        <v>0.9247398</v>
      </c>
      <c r="Q5068">
        <v>0.16631940000000001</v>
      </c>
      <c r="R5068">
        <v>-0.34233709999999901</v>
      </c>
      <c r="S5068">
        <v>3.0360719999999999</v>
      </c>
      <c r="T5068">
        <v>-0.24704000000000001</v>
      </c>
      <c r="U5068">
        <v>-0.68722530000000004</v>
      </c>
      <c r="V5068">
        <v>-0.1036189</v>
      </c>
      <c r="W5068">
        <v>0.1785967</v>
      </c>
      <c r="X5068">
        <v>0.97845099999999996</v>
      </c>
      <c r="Y5068">
        <v>-0.23033480000000001</v>
      </c>
      <c r="Z5068">
        <v>4.3260899999999998E-2</v>
      </c>
      <c r="AA5068">
        <v>0.97214940000000005</v>
      </c>
      <c r="AB5068">
        <v>26</v>
      </c>
      <c r="AC5068">
        <v>13.608000000000001</v>
      </c>
      <c r="AD5068">
        <v>-1.116410937368</v>
      </c>
      <c r="AE5068">
        <v>-3.0543100000000001</v>
      </c>
      <c r="AF5068">
        <v>-3.24386773489146</v>
      </c>
      <c r="AG5068">
        <v>-1.116410937368</v>
      </c>
      <c r="AH5068">
        <v>13.472743064034001</v>
      </c>
      <c r="AI5068">
        <v>94.605924155752902</v>
      </c>
      <c r="AJ5068">
        <v>103.53758320003899</v>
      </c>
      <c r="AK5068">
        <v>13.902656470330401</v>
      </c>
      <c r="AL5068">
        <v>79.711967874671799</v>
      </c>
      <c r="AM5068">
        <v>96.045146434114599</v>
      </c>
      <c r="AN5068">
        <v>1.00000000854455</v>
      </c>
    </row>
    <row r="5069" spans="1:40" x14ac:dyDescent="0.25">
      <c r="A5069" t="str">
        <f>"20190312173031914"</f>
        <v>20190312173031914</v>
      </c>
      <c r="B5069" t="str">
        <f>"1552383031902774"</f>
        <v>1552383031902774</v>
      </c>
      <c r="C5069" t="s">
        <v>40</v>
      </c>
      <c r="D5069">
        <v>3.3050639999999998</v>
      </c>
      <c r="E5069">
        <v>0.45136880000000001</v>
      </c>
      <c r="F5069" t="s">
        <v>41</v>
      </c>
      <c r="G5069">
        <v>-391.83069999999998</v>
      </c>
      <c r="H5069" s="1">
        <v>-3.9998619999999998E-6</v>
      </c>
      <c r="I5069">
        <v>18.727219999999999</v>
      </c>
      <c r="J5069">
        <v>-405.4502</v>
      </c>
      <c r="K5069">
        <v>1.1163700000000001</v>
      </c>
      <c r="L5069">
        <v>21.738219999999998</v>
      </c>
      <c r="M5069">
        <v>0.89916469999999904</v>
      </c>
      <c r="N5069">
        <v>0</v>
      </c>
      <c r="O5069">
        <v>-0.43738329999999997</v>
      </c>
      <c r="P5069">
        <v>0.92615250000000005</v>
      </c>
      <c r="Q5069">
        <v>0.16636280000000001</v>
      </c>
      <c r="R5069">
        <v>-0.33847519999999998</v>
      </c>
      <c r="S5069">
        <v>3.037811</v>
      </c>
      <c r="T5069">
        <v>-0.24688789999999999</v>
      </c>
      <c r="U5069">
        <v>-0.6774597</v>
      </c>
      <c r="V5069">
        <v>-0.1034453</v>
      </c>
      <c r="W5069">
        <v>0.17864449999999901</v>
      </c>
      <c r="X5069">
        <v>0.97846060000000001</v>
      </c>
      <c r="Y5069">
        <v>-0.22923279999999999</v>
      </c>
      <c r="Z5069">
        <v>4.2909339999999997E-2</v>
      </c>
      <c r="AA5069">
        <v>0.9724254</v>
      </c>
      <c r="AB5069">
        <v>26</v>
      </c>
      <c r="AC5069">
        <v>13.6195</v>
      </c>
      <c r="AD5069">
        <v>-1.1163739998619999</v>
      </c>
      <c r="AE5069">
        <v>-3.0109999999999899</v>
      </c>
      <c r="AF5069">
        <v>-3.2291942752459</v>
      </c>
      <c r="AG5069">
        <v>-1.1163739998619999</v>
      </c>
      <c r="AH5069">
        <v>13.4781442071766</v>
      </c>
      <c r="AI5069">
        <v>94.6051685598446</v>
      </c>
      <c r="AJ5069">
        <v>103.473381473412</v>
      </c>
      <c r="AK5069">
        <v>13.904472584183001</v>
      </c>
      <c r="AL5069">
        <v>79.709183936002702</v>
      </c>
      <c r="AM5069">
        <v>96.035034609146294</v>
      </c>
      <c r="AN5069">
        <v>0.99999996661234902</v>
      </c>
    </row>
    <row r="5070" spans="1:40" x14ac:dyDescent="0.25">
      <c r="A5070" t="str">
        <f>"20190312173031925"</f>
        <v>20190312173031925</v>
      </c>
      <c r="B5070" t="str">
        <f>"1552383031912534"</f>
        <v>1552383031912534</v>
      </c>
      <c r="C5070" t="s">
        <v>40</v>
      </c>
      <c r="D5070">
        <v>3.4088880000000001</v>
      </c>
      <c r="E5070">
        <v>0.46630110000000002</v>
      </c>
      <c r="F5070" t="s">
        <v>41</v>
      </c>
      <c r="G5070">
        <v>-391.69619999999998</v>
      </c>
      <c r="H5070" s="1">
        <v>-4.0628539999999997E-6</v>
      </c>
      <c r="I5070">
        <v>18.730599999999999</v>
      </c>
      <c r="J5070">
        <v>-405.33730000000003</v>
      </c>
      <c r="K5070">
        <v>1.1163379999999901</v>
      </c>
      <c r="L5070">
        <v>21.687989999999999</v>
      </c>
      <c r="M5070">
        <v>0.90097459999999996</v>
      </c>
      <c r="N5070">
        <v>0</v>
      </c>
      <c r="O5070">
        <v>-0.4336431</v>
      </c>
      <c r="P5070">
        <v>0.92748169999999996</v>
      </c>
      <c r="Q5070">
        <v>0.1661763</v>
      </c>
      <c r="R5070">
        <v>-0.33490819999999999</v>
      </c>
      <c r="S5070">
        <v>3.0405579999999999</v>
      </c>
      <c r="T5070">
        <v>-0.24679419999999999</v>
      </c>
      <c r="U5070">
        <v>-0.66488649999999905</v>
      </c>
      <c r="V5070">
        <v>-0.1031408</v>
      </c>
      <c r="W5070">
        <v>0.1784644</v>
      </c>
      <c r="X5070">
        <v>0.9785256</v>
      </c>
      <c r="Y5070">
        <v>-0.2292225</v>
      </c>
      <c r="Z5070">
        <v>4.2613900000000003E-2</v>
      </c>
      <c r="AA5070">
        <v>0.97244079999999999</v>
      </c>
      <c r="AB5070">
        <v>26</v>
      </c>
      <c r="AC5070">
        <v>13.6411</v>
      </c>
      <c r="AD5070">
        <v>-1.11634206285399</v>
      </c>
      <c r="AE5070">
        <v>-2.9573900000000002</v>
      </c>
      <c r="AF5070">
        <v>-3.2304940714705599</v>
      </c>
      <c r="AG5070">
        <v>-1.11634206285399</v>
      </c>
      <c r="AH5070">
        <v>13.4878073080408</v>
      </c>
      <c r="AI5070">
        <v>94.601830504634293</v>
      </c>
      <c r="AJ5070">
        <v>103.46930232787901</v>
      </c>
      <c r="AK5070">
        <v>13.9141387633566</v>
      </c>
      <c r="AL5070">
        <v>79.719671353461294</v>
      </c>
      <c r="AM5070">
        <v>96.017003722206994</v>
      </c>
      <c r="AN5070">
        <v>0.99999995827367905</v>
      </c>
    </row>
    <row r="5071" spans="1:40" x14ac:dyDescent="0.25">
      <c r="A5071" t="str">
        <f>"20190312173031937"</f>
        <v>20190312173031937</v>
      </c>
      <c r="B5071" t="str">
        <f>"1552383031933029"</f>
        <v>1552383031933029</v>
      </c>
      <c r="C5071" t="s">
        <v>40</v>
      </c>
      <c r="D5071">
        <v>3.2988789999999999</v>
      </c>
      <c r="E5071">
        <v>0.46652470000000001</v>
      </c>
      <c r="F5071" t="s">
        <v>41</v>
      </c>
      <c r="G5071">
        <v>-391.16640000000001</v>
      </c>
      <c r="H5071" s="1">
        <v>-4.4296949999999998E-6</v>
      </c>
      <c r="I5071">
        <v>18.074380000000001</v>
      </c>
      <c r="J5071">
        <v>-405.20850000000002</v>
      </c>
      <c r="K5071">
        <v>1.1162970000000001</v>
      </c>
      <c r="L5071">
        <v>21.631589999999999</v>
      </c>
      <c r="M5071">
        <v>0.90300069999999999</v>
      </c>
      <c r="N5071">
        <v>0</v>
      </c>
      <c r="O5071">
        <v>-0.42940820000000002</v>
      </c>
      <c r="P5071">
        <v>0.92901509999999998</v>
      </c>
      <c r="Q5071">
        <v>0.16605249999999999</v>
      </c>
      <c r="R5071">
        <v>-0.3306925</v>
      </c>
      <c r="S5071">
        <v>3.0006409999999999</v>
      </c>
      <c r="T5071">
        <v>-0.2363809</v>
      </c>
      <c r="U5071">
        <v>-0.76516719999999905</v>
      </c>
      <c r="V5071">
        <v>-0.1029788</v>
      </c>
      <c r="W5071">
        <v>0.1783457</v>
      </c>
      <c r="X5071">
        <v>0.97856430000000005</v>
      </c>
      <c r="Y5071">
        <v>-0.1912904</v>
      </c>
      <c r="Z5071">
        <v>3.9372339999999999E-2</v>
      </c>
      <c r="AA5071">
        <v>0.98074349999999999</v>
      </c>
      <c r="AB5071">
        <v>26</v>
      </c>
      <c r="AC5071">
        <v>14.0421</v>
      </c>
      <c r="AD5071">
        <v>-1.11630142969499</v>
      </c>
      <c r="AE5071">
        <v>-3.55721</v>
      </c>
      <c r="AF5071">
        <v>-2.8012734882933601</v>
      </c>
      <c r="AG5071">
        <v>-1.11630142969499</v>
      </c>
      <c r="AH5071">
        <v>14.125046933847999</v>
      </c>
      <c r="AI5071">
        <v>94.4327134267145</v>
      </c>
      <c r="AJ5071">
        <v>101.217325208913</v>
      </c>
      <c r="AK5071">
        <v>14.443344935352201</v>
      </c>
      <c r="AL5071">
        <v>79.726583221614405</v>
      </c>
      <c r="AM5071">
        <v>96.007386323649996</v>
      </c>
      <c r="AN5071">
        <v>0.99999995559620902</v>
      </c>
    </row>
    <row r="5072" spans="1:40" x14ac:dyDescent="0.25">
      <c r="A5072" t="str">
        <f>"20190312173031950"</f>
        <v>20190312173031950</v>
      </c>
      <c r="B5072" t="str">
        <f>"1552383031942790"</f>
        <v>1552383031942790</v>
      </c>
      <c r="C5072" t="s">
        <v>40</v>
      </c>
      <c r="D5072">
        <v>3.2894000000000001</v>
      </c>
      <c r="E5072">
        <v>0.46667229999999998</v>
      </c>
      <c r="F5072" t="s">
        <v>41</v>
      </c>
      <c r="G5072">
        <v>-391.35079999999999</v>
      </c>
      <c r="H5072" s="1">
        <v>-4.3279950000000004E-6</v>
      </c>
      <c r="I5072">
        <v>18.15624</v>
      </c>
      <c r="J5072">
        <v>-405.0779</v>
      </c>
      <c r="K5072">
        <v>1.1162540000000001</v>
      </c>
      <c r="L5072">
        <v>21.57498</v>
      </c>
      <c r="M5072">
        <v>0.90501889999999996</v>
      </c>
      <c r="N5072">
        <v>0</v>
      </c>
      <c r="O5072">
        <v>-0.42513849999999997</v>
      </c>
      <c r="P5072">
        <v>0.93052570000000001</v>
      </c>
      <c r="Q5072">
        <v>0.16593829999999901</v>
      </c>
      <c r="R5072">
        <v>-0.3264763</v>
      </c>
      <c r="S5072">
        <v>3.0043030000000002</v>
      </c>
      <c r="T5072">
        <v>-0.24201139999999999</v>
      </c>
      <c r="U5072">
        <v>-0.75344849999999997</v>
      </c>
      <c r="V5072">
        <v>-0.1027816</v>
      </c>
      <c r="W5072">
        <v>0.17823729999999999</v>
      </c>
      <c r="X5072">
        <v>0.9786049</v>
      </c>
      <c r="Y5072">
        <v>-0.190471</v>
      </c>
      <c r="Z5072">
        <v>3.9950800000000002E-2</v>
      </c>
      <c r="AA5072">
        <v>0.98087959999999996</v>
      </c>
      <c r="AB5072">
        <v>26</v>
      </c>
      <c r="AC5072">
        <v>13.7271</v>
      </c>
      <c r="AD5072">
        <v>-1.116258327995</v>
      </c>
      <c r="AE5072">
        <v>-3.4187400000000001</v>
      </c>
      <c r="AF5072">
        <v>-2.72519778421051</v>
      </c>
      <c r="AG5072">
        <v>-1.116258327995</v>
      </c>
      <c r="AH5072">
        <v>13.792221447814001</v>
      </c>
      <c r="AI5072">
        <v>94.539693331718993</v>
      </c>
      <c r="AJ5072">
        <v>101.177070205188</v>
      </c>
      <c r="AK5072">
        <v>14.1031240540323</v>
      </c>
      <c r="AL5072">
        <v>79.732896418413603</v>
      </c>
      <c r="AM5072">
        <v>95.995719374766793</v>
      </c>
      <c r="AN5072">
        <v>1.0000000713569199</v>
      </c>
    </row>
    <row r="5073" spans="1:40" x14ac:dyDescent="0.25">
      <c r="A5073" t="str">
        <f>"20190312173031962"</f>
        <v>20190312173031962</v>
      </c>
      <c r="B5073" t="str">
        <f>"1552383031952552"</f>
        <v>1552383031952552</v>
      </c>
      <c r="C5073" t="s">
        <v>40</v>
      </c>
      <c r="D5073">
        <v>3.3851439999999999</v>
      </c>
      <c r="E5073">
        <v>0.46673779999999998</v>
      </c>
      <c r="F5073" t="s">
        <v>41</v>
      </c>
      <c r="G5073">
        <v>-391.10599999999999</v>
      </c>
      <c r="H5073" s="1">
        <v>-4.4480329999999999E-6</v>
      </c>
      <c r="I5073">
        <v>18.131789999999999</v>
      </c>
      <c r="J5073">
        <v>-404.94459999999998</v>
      </c>
      <c r="K5073">
        <v>1.116209</v>
      </c>
      <c r="L5073">
        <v>21.517759999999999</v>
      </c>
      <c r="M5073">
        <v>0.90704560000000001</v>
      </c>
      <c r="N5073">
        <v>0</v>
      </c>
      <c r="O5073">
        <v>-0.42079749999999999</v>
      </c>
      <c r="P5073">
        <v>0.93196279999999998</v>
      </c>
      <c r="Q5073">
        <v>0.16583519999999999</v>
      </c>
      <c r="R5073">
        <v>-0.32240400000000002</v>
      </c>
      <c r="S5073">
        <v>3.0068359999999998</v>
      </c>
      <c r="T5073">
        <v>-0.2402261</v>
      </c>
      <c r="U5073">
        <v>-0.74099729999999997</v>
      </c>
      <c r="V5073">
        <v>-0.1023573</v>
      </c>
      <c r="W5073">
        <v>0.17814389999999999</v>
      </c>
      <c r="X5073">
        <v>0.97866629999999999</v>
      </c>
      <c r="Y5073">
        <v>-0.189828</v>
      </c>
      <c r="Z5073">
        <v>3.9319880000000001E-2</v>
      </c>
      <c r="AA5073">
        <v>0.9810297</v>
      </c>
      <c r="AB5073">
        <v>26</v>
      </c>
      <c r="AC5073">
        <v>13.8385999999999</v>
      </c>
      <c r="AD5073">
        <v>-1.1162134480329999</v>
      </c>
      <c r="AE5073">
        <v>-3.3859699999999999</v>
      </c>
      <c r="AF5073">
        <v>-2.7354994878469201</v>
      </c>
      <c r="AG5073">
        <v>-1.1162134480329999</v>
      </c>
      <c r="AH5073">
        <v>13.893148612683399</v>
      </c>
      <c r="AI5073">
        <v>94.507261813014097</v>
      </c>
      <c r="AJ5073">
        <v>101.138801550134</v>
      </c>
      <c r="AK5073">
        <v>14.203818792271599</v>
      </c>
      <c r="AL5073">
        <v>79.738334103136395</v>
      </c>
      <c r="AM5073">
        <v>95.970775300957598</v>
      </c>
      <c r="AN5073">
        <v>0.999999996363095</v>
      </c>
    </row>
    <row r="5074" spans="1:40" x14ac:dyDescent="0.25">
      <c r="A5074" t="str">
        <f>"20190312173031974"</f>
        <v>20190312173031974</v>
      </c>
      <c r="B5074" t="str">
        <f>"1552383031963286"</f>
        <v>1552383031963286</v>
      </c>
      <c r="C5074" t="s">
        <v>40</v>
      </c>
      <c r="D5074">
        <v>3.3313950000000001</v>
      </c>
      <c r="E5074">
        <v>0.46709420000000001</v>
      </c>
      <c r="F5074" t="s">
        <v>41</v>
      </c>
      <c r="G5074">
        <v>-391.15519999999998</v>
      </c>
      <c r="H5074" s="1">
        <v>-4.4161339999999996E-6</v>
      </c>
      <c r="I5074">
        <v>18.180769999999999</v>
      </c>
      <c r="J5074">
        <v>-404.82060000000001</v>
      </c>
      <c r="K5074">
        <v>1.116161</v>
      </c>
      <c r="L5074">
        <v>21.465520000000001</v>
      </c>
      <c r="M5074">
        <v>0.90888310000000005</v>
      </c>
      <c r="N5074">
        <v>0</v>
      </c>
      <c r="O5074">
        <v>-0.41681410000000002</v>
      </c>
      <c r="P5074">
        <v>0.93337110000000001</v>
      </c>
      <c r="Q5074">
        <v>0.16572719999999999</v>
      </c>
      <c r="R5074">
        <v>-0.31836029999999998</v>
      </c>
      <c r="S5074">
        <v>3.0103149999999999</v>
      </c>
      <c r="T5074">
        <v>-0.2436758</v>
      </c>
      <c r="U5074">
        <v>-0.7284851</v>
      </c>
      <c r="V5074">
        <v>-0.1022912</v>
      </c>
      <c r="W5074">
        <v>0.17804020000000001</v>
      </c>
      <c r="X5074">
        <v>0.97869209999999995</v>
      </c>
      <c r="Y5074">
        <v>-0.18959590000000001</v>
      </c>
      <c r="Z5074">
        <v>3.956991E-2</v>
      </c>
      <c r="AA5074">
        <v>0.98106459999999995</v>
      </c>
      <c r="AB5074">
        <v>26</v>
      </c>
      <c r="AC5074">
        <v>13.6654</v>
      </c>
      <c r="AD5074">
        <v>-1.116165416134</v>
      </c>
      <c r="AE5074">
        <v>-3.2847499999999901</v>
      </c>
      <c r="AF5074">
        <v>-2.6937560294814</v>
      </c>
      <c r="AG5074">
        <v>-1.116165416134</v>
      </c>
      <c r="AH5074">
        <v>13.7043111111514</v>
      </c>
      <c r="AI5074">
        <v>94.569199162531206</v>
      </c>
      <c r="AJ5074">
        <v>101.120438379796</v>
      </c>
      <c r="AK5074">
        <v>14.011077396609</v>
      </c>
      <c r="AL5074">
        <v>79.744372389652398</v>
      </c>
      <c r="AM5074">
        <v>95.9667911746415</v>
      </c>
      <c r="AN5074">
        <v>1.00000001450794</v>
      </c>
    </row>
    <row r="5075" spans="1:40" x14ac:dyDescent="0.25">
      <c r="A5075" t="str">
        <f>"20190312173031987"</f>
        <v>20190312173031987</v>
      </c>
      <c r="B5075" t="str">
        <f>"1552383031982806"</f>
        <v>1552383031982806</v>
      </c>
      <c r="C5075" t="s">
        <v>40</v>
      </c>
      <c r="D5075">
        <v>3.3279779999999999</v>
      </c>
      <c r="E5075">
        <v>0.46783409999999898</v>
      </c>
      <c r="F5075" t="s">
        <v>41</v>
      </c>
      <c r="G5075">
        <v>-390.96589999999998</v>
      </c>
      <c r="H5075" s="1">
        <v>-4.5090229999999999E-6</v>
      </c>
      <c r="I5075">
        <v>18.161429999999999</v>
      </c>
      <c r="J5075">
        <v>-404.68729999999999</v>
      </c>
      <c r="K5075">
        <v>1.116107</v>
      </c>
      <c r="L5075">
        <v>21.40973</v>
      </c>
      <c r="M5075">
        <v>0.91082700000000005</v>
      </c>
      <c r="N5075">
        <v>0</v>
      </c>
      <c r="O5075">
        <v>-0.41254940000000001</v>
      </c>
      <c r="P5075">
        <v>0.93478550000000005</v>
      </c>
      <c r="Q5075">
        <v>0.1657507</v>
      </c>
      <c r="R5075">
        <v>-0.31417</v>
      </c>
      <c r="S5075">
        <v>3.0122070000000001</v>
      </c>
      <c r="T5075">
        <v>-0.2426701</v>
      </c>
      <c r="U5075">
        <v>-0.71835329999999997</v>
      </c>
      <c r="V5075">
        <v>-0.10206800000000001</v>
      </c>
      <c r="W5075">
        <v>0.17807020000000001</v>
      </c>
      <c r="X5075">
        <v>0.97870990000000002</v>
      </c>
      <c r="Y5075">
        <v>-0.18828500000000001</v>
      </c>
      <c r="Z5075">
        <v>3.9046879999999999E-2</v>
      </c>
      <c r="AA5075">
        <v>0.98133789999999999</v>
      </c>
      <c r="AB5075">
        <v>26</v>
      </c>
      <c r="AC5075">
        <v>13.721399999999999</v>
      </c>
      <c r="AD5075">
        <v>-1.116111509023</v>
      </c>
      <c r="AE5075">
        <v>-3.2483</v>
      </c>
      <c r="AF5075">
        <v>-2.6855567870464099</v>
      </c>
      <c r="AG5075">
        <v>-1.116111509023</v>
      </c>
      <c r="AH5075">
        <v>13.753103853520599</v>
      </c>
      <c r="AI5075">
        <v>94.553944643578205</v>
      </c>
      <c r="AJ5075">
        <v>101.049064051313</v>
      </c>
      <c r="AK5075">
        <v>14.0572325072451</v>
      </c>
      <c r="AL5075">
        <v>79.742625147804304</v>
      </c>
      <c r="AM5075">
        <v>95.953757719315902</v>
      </c>
      <c r="AN5075">
        <v>0.99999997055502399</v>
      </c>
    </row>
    <row r="5076" spans="1:40" x14ac:dyDescent="0.25">
      <c r="A5076" t="str">
        <f>"20190312173032004"</f>
        <v>20190312173032004</v>
      </c>
      <c r="B5076" t="str">
        <f>"1552383031992566"</f>
        <v>1552383031992566</v>
      </c>
      <c r="C5076" t="s">
        <v>40</v>
      </c>
      <c r="D5076">
        <v>3.3599559999999999</v>
      </c>
      <c r="E5076">
        <v>0.4683408</v>
      </c>
      <c r="F5076" t="s">
        <v>41</v>
      </c>
      <c r="G5076">
        <v>-390.85399999999998</v>
      </c>
      <c r="H5076" s="1">
        <v>-4.5642859999999997E-6</v>
      </c>
      <c r="I5076">
        <v>18.148119999999999</v>
      </c>
      <c r="J5076">
        <v>-404.50150000000002</v>
      </c>
      <c r="K5076">
        <v>1.1160129999999999</v>
      </c>
      <c r="L5076">
        <v>21.333189999999998</v>
      </c>
      <c r="M5076">
        <v>0.91346329999999998</v>
      </c>
      <c r="N5076">
        <v>0</v>
      </c>
      <c r="O5076">
        <v>-0.40667950000000003</v>
      </c>
      <c r="P5076">
        <v>0.93662350000000005</v>
      </c>
      <c r="Q5076">
        <v>0.1659138</v>
      </c>
      <c r="R5076">
        <v>-0.30856040000000001</v>
      </c>
      <c r="S5076">
        <v>3.0135800000000001</v>
      </c>
      <c r="T5076">
        <v>-0.24314479999999999</v>
      </c>
      <c r="U5076">
        <v>-0.71054079999999997</v>
      </c>
      <c r="V5076">
        <v>-0.1015891</v>
      </c>
      <c r="W5076">
        <v>0.17824709999999999</v>
      </c>
      <c r="X5076">
        <v>0.97872749999999997</v>
      </c>
      <c r="Y5076">
        <v>-0.1844942</v>
      </c>
      <c r="Z5076">
        <v>3.8549050000000001E-2</v>
      </c>
      <c r="AA5076">
        <v>0.98207730000000004</v>
      </c>
      <c r="AB5076">
        <v>26</v>
      </c>
      <c r="AC5076">
        <v>13.6474999999999</v>
      </c>
      <c r="AD5076">
        <v>-1.116017564286</v>
      </c>
      <c r="AE5076">
        <v>-3.1850699999999899</v>
      </c>
      <c r="AF5076">
        <v>-2.6243309083003199</v>
      </c>
      <c r="AG5076">
        <v>-1.116017564286</v>
      </c>
      <c r="AH5076">
        <v>13.6764147630054</v>
      </c>
      <c r="AI5076">
        <v>94.581866229149099</v>
      </c>
      <c r="AJ5076">
        <v>100.862299999843</v>
      </c>
      <c r="AK5076">
        <v>13.970573670748401</v>
      </c>
      <c r="AL5076">
        <v>79.732324486916696</v>
      </c>
      <c r="AM5076">
        <v>95.925916318816206</v>
      </c>
      <c r="AN5076">
        <v>0.99999994657673297</v>
      </c>
    </row>
    <row r="5077" spans="1:40" x14ac:dyDescent="0.25">
      <c r="A5077" t="str">
        <f>"20190312173032014"</f>
        <v>20190312173032014</v>
      </c>
      <c r="B5077" t="str">
        <f>"1552383032003301"</f>
        <v>1552383032003301</v>
      </c>
      <c r="C5077" t="s">
        <v>40</v>
      </c>
      <c r="D5077">
        <v>3.4238580000000001</v>
      </c>
      <c r="E5077">
        <v>0.46853889999999998</v>
      </c>
      <c r="F5077" t="s">
        <v>41</v>
      </c>
      <c r="G5077">
        <v>-390.64210000000003</v>
      </c>
      <c r="H5077" s="1">
        <v>-4.6671639999999998E-6</v>
      </c>
      <c r="I5077">
        <v>18.132860000000001</v>
      </c>
      <c r="J5077">
        <v>-404.3897</v>
      </c>
      <c r="K5077">
        <v>1.1159589999999999</v>
      </c>
      <c r="L5077">
        <v>21.287990000000001</v>
      </c>
      <c r="M5077">
        <v>0.91500190000000003</v>
      </c>
      <c r="N5077">
        <v>0</v>
      </c>
      <c r="O5077">
        <v>-0.40320600000000001</v>
      </c>
      <c r="P5077">
        <v>0.93770580000000003</v>
      </c>
      <c r="Q5077">
        <v>0.16575329999999999</v>
      </c>
      <c r="R5077">
        <v>-0.30534240000000001</v>
      </c>
      <c r="S5077">
        <v>3.0165410000000001</v>
      </c>
      <c r="T5077">
        <v>-0.24290510000000001</v>
      </c>
      <c r="U5077">
        <v>-0.69656370000000001</v>
      </c>
      <c r="V5077">
        <v>-0.10121529999999999</v>
      </c>
      <c r="W5077">
        <v>0.17809649999999999</v>
      </c>
      <c r="X5077">
        <v>0.97879369999999999</v>
      </c>
      <c r="Y5077">
        <v>-0.18530250000000001</v>
      </c>
      <c r="Z5077">
        <v>3.8283850000000001E-2</v>
      </c>
      <c r="AA5077">
        <v>0.98193549999999996</v>
      </c>
      <c r="AB5077">
        <v>26</v>
      </c>
      <c r="AC5077">
        <v>13.747599999999901</v>
      </c>
      <c r="AD5077">
        <v>-1.1159636671640001</v>
      </c>
      <c r="AE5077">
        <v>-3.1551300000000002</v>
      </c>
      <c r="AF5077">
        <v>-2.6399008182050299</v>
      </c>
      <c r="AG5077">
        <v>-1.1159636671640001</v>
      </c>
      <c r="AH5077">
        <v>13.7664344788191</v>
      </c>
      <c r="AI5077">
        <v>94.551916278181807</v>
      </c>
      <c r="AJ5077">
        <v>100.855460737069</v>
      </c>
      <c r="AK5077">
        <v>14.061620443462701</v>
      </c>
      <c r="AL5077">
        <v>79.741094134482694</v>
      </c>
      <c r="AM5077">
        <v>95.903869546805794</v>
      </c>
      <c r="AN5077">
        <v>1.0000000037130099</v>
      </c>
    </row>
    <row r="5078" spans="1:40" x14ac:dyDescent="0.25">
      <c r="A5078" t="str">
        <f>"20190312173032025"</f>
        <v>20190312173032025</v>
      </c>
      <c r="B5078" t="str">
        <f>"1552383032022822"</f>
        <v>1552383032022822</v>
      </c>
      <c r="C5078" t="s">
        <v>40</v>
      </c>
      <c r="D5078">
        <v>3.1381269999999999</v>
      </c>
      <c r="E5078">
        <v>0.45485930000000002</v>
      </c>
      <c r="F5078" t="s">
        <v>41</v>
      </c>
      <c r="G5078">
        <v>-390.53370000000001</v>
      </c>
      <c r="H5078" s="1">
        <v>-4.718699E-6</v>
      </c>
      <c r="I5078">
        <v>18.13128</v>
      </c>
      <c r="J5078">
        <v>-404.27449999999999</v>
      </c>
      <c r="K5078">
        <v>1.115901</v>
      </c>
      <c r="L5078">
        <v>21.241579999999999</v>
      </c>
      <c r="M5078">
        <v>0.91656819999999894</v>
      </c>
      <c r="N5078">
        <v>0</v>
      </c>
      <c r="O5078">
        <v>-0.39963290000000001</v>
      </c>
      <c r="P5078">
        <v>0.93887319999999996</v>
      </c>
      <c r="Q5078">
        <v>0.16575899999999999</v>
      </c>
      <c r="R5078">
        <v>-0.30173070000000002</v>
      </c>
      <c r="S5078">
        <v>3.0183719999999998</v>
      </c>
      <c r="T5078">
        <v>-0.24309929999999999</v>
      </c>
      <c r="U5078">
        <v>-0.68765259999999995</v>
      </c>
      <c r="V5078">
        <v>-0.10113900000000001</v>
      </c>
      <c r="W5078">
        <v>0.17810780000000001</v>
      </c>
      <c r="X5078">
        <v>0.97879950000000004</v>
      </c>
      <c r="Y5078">
        <v>-0.1843639</v>
      </c>
      <c r="Z5078">
        <v>3.8013770000000002E-2</v>
      </c>
      <c r="AA5078">
        <v>0.98212270000000002</v>
      </c>
      <c r="AB5078">
        <v>26</v>
      </c>
      <c r="AC5078">
        <v>13.740799999999901</v>
      </c>
      <c r="AD5078">
        <v>-1.115905718699</v>
      </c>
      <c r="AE5078">
        <v>-3.1102999999999899</v>
      </c>
      <c r="AF5078">
        <v>-2.6242687239373099</v>
      </c>
      <c r="AG5078">
        <v>-1.115905718699</v>
      </c>
      <c r="AH5078">
        <v>13.752436728649499</v>
      </c>
      <c r="AI5078">
        <v>94.557082640445998</v>
      </c>
      <c r="AJ5078">
        <v>100.803421385847</v>
      </c>
      <c r="AK5078">
        <v>14.044983014726901</v>
      </c>
      <c r="AL5078">
        <v>79.740435859057499</v>
      </c>
      <c r="AM5078">
        <v>95.899415671615401</v>
      </c>
      <c r="AN5078">
        <v>0.99999997347104397</v>
      </c>
    </row>
    <row r="5079" spans="1:40" x14ac:dyDescent="0.25">
      <c r="A5079" t="str">
        <f>"20190312173032036"</f>
        <v>20190312173032036</v>
      </c>
      <c r="B5079" t="str">
        <f>"1552383032032583"</f>
        <v>1552383032032583</v>
      </c>
      <c r="C5079" t="s">
        <v>40</v>
      </c>
      <c r="D5079">
        <v>3.1290930000000001</v>
      </c>
      <c r="E5079">
        <v>0.45174540000000002</v>
      </c>
      <c r="F5079" t="s">
        <v>55</v>
      </c>
      <c r="G5079">
        <v>-389.77879999999999</v>
      </c>
      <c r="H5079" s="1">
        <v>-3.7594140000000001E-7</v>
      </c>
      <c r="I5079">
        <v>18.52431</v>
      </c>
      <c r="J5079">
        <v>-404.1542</v>
      </c>
      <c r="K5079">
        <v>1.1158410000000001</v>
      </c>
      <c r="L5079">
        <v>21.193819999999999</v>
      </c>
      <c r="M5079">
        <v>0.91816600000000004</v>
      </c>
      <c r="N5079">
        <v>0</v>
      </c>
      <c r="O5079">
        <v>-0.39594810000000003</v>
      </c>
      <c r="P5079">
        <v>0.94005839999999996</v>
      </c>
      <c r="Q5079">
        <v>0.16580599999999901</v>
      </c>
      <c r="R5079">
        <v>-0.29799039999999999</v>
      </c>
      <c r="S5079">
        <v>3.0528559999999998</v>
      </c>
      <c r="T5079">
        <v>-0.23501269999999999</v>
      </c>
      <c r="U5079">
        <v>-0.57226560000000004</v>
      </c>
      <c r="V5079">
        <v>-0.101075</v>
      </c>
      <c r="W5079">
        <v>0.17815980000000001</v>
      </c>
      <c r="X5079">
        <v>0.97879669999999996</v>
      </c>
      <c r="Y5079">
        <v>-0.21834899999999999</v>
      </c>
      <c r="Z5079">
        <v>3.7581419999999997E-2</v>
      </c>
      <c r="AA5079">
        <v>0.97514679999999998</v>
      </c>
      <c r="AB5079">
        <v>26</v>
      </c>
      <c r="AC5079">
        <v>14.375400000000001</v>
      </c>
      <c r="AD5079">
        <v>-1.1158413759413901</v>
      </c>
      <c r="AE5079">
        <v>-2.6695099999999998</v>
      </c>
      <c r="AF5079">
        <v>-3.2224089710213</v>
      </c>
      <c r="AG5079">
        <v>-1.1158413759413901</v>
      </c>
      <c r="AH5079">
        <v>14.174832378415401</v>
      </c>
      <c r="AI5079">
        <v>94.389493935114999</v>
      </c>
      <c r="AJ5079">
        <v>102.807556705496</v>
      </c>
      <c r="AK5079">
        <v>14.5792624816537</v>
      </c>
      <c r="AL5079">
        <v>79.737408586524893</v>
      </c>
      <c r="AM5079">
        <v>95.895725616467601</v>
      </c>
      <c r="AN5079">
        <v>1.00000002494596</v>
      </c>
    </row>
    <row r="5080" spans="1:40" x14ac:dyDescent="0.25">
      <c r="A5080" t="str">
        <f>"20190312173032049"</f>
        <v>20190312173032049</v>
      </c>
      <c r="B5080" t="str">
        <f>"1552383032043318"</f>
        <v>1552383032043318</v>
      </c>
      <c r="C5080" t="s">
        <v>40</v>
      </c>
      <c r="D5080">
        <v>3.1945679999999999</v>
      </c>
      <c r="E5080">
        <v>0.45018010000000003</v>
      </c>
      <c r="F5080" t="s">
        <v>55</v>
      </c>
      <c r="G5080">
        <v>-388.85449999999997</v>
      </c>
      <c r="H5080" s="1">
        <v>-7.3795469999999996E-7</v>
      </c>
      <c r="I5080">
        <v>18.511220000000002</v>
      </c>
      <c r="J5080">
        <v>-404.02280000000002</v>
      </c>
      <c r="K5080">
        <v>1.115777</v>
      </c>
      <c r="L5080">
        <v>21.14218</v>
      </c>
      <c r="M5080">
        <v>0.91987540000000001</v>
      </c>
      <c r="N5080">
        <v>0</v>
      </c>
      <c r="O5080">
        <v>-0.39196130000000001</v>
      </c>
      <c r="P5080">
        <v>0.9413376</v>
      </c>
      <c r="Q5080">
        <v>0.16561419999999999</v>
      </c>
      <c r="R5080">
        <v>-0.29403370000000001</v>
      </c>
      <c r="S5080">
        <v>3.0605159999999998</v>
      </c>
      <c r="T5080">
        <v>-0.22321060000000001</v>
      </c>
      <c r="U5080">
        <v>-0.53662109999999996</v>
      </c>
      <c r="V5080">
        <v>-0.10092719999999999</v>
      </c>
      <c r="W5080">
        <v>0.17797550000000001</v>
      </c>
      <c r="X5080">
        <v>0.97884550000000004</v>
      </c>
      <c r="Y5080">
        <v>-0.2257062</v>
      </c>
      <c r="Z5080">
        <v>3.5666000000000003E-2</v>
      </c>
      <c r="AA5080">
        <v>0.97354229999999997</v>
      </c>
      <c r="AB5080">
        <v>26</v>
      </c>
      <c r="AC5080">
        <v>15.1683</v>
      </c>
      <c r="AD5080">
        <v>-1.1157777379547</v>
      </c>
      <c r="AE5080">
        <v>-2.6309599999999902</v>
      </c>
      <c r="AF5080">
        <v>-3.5071528859995702</v>
      </c>
      <c r="AG5080">
        <v>-1.1157777379547</v>
      </c>
      <c r="AH5080">
        <v>14.907337689027599</v>
      </c>
      <c r="AI5080">
        <v>94.167115122321903</v>
      </c>
      <c r="AJ5080">
        <v>103.238859291556</v>
      </c>
      <c r="AK5080">
        <v>15.3549274925346</v>
      </c>
      <c r="AL5080">
        <v>79.748139914315004</v>
      </c>
      <c r="AM5080">
        <v>95.886873566288401</v>
      </c>
      <c r="AN5080">
        <v>1.0000000455851601</v>
      </c>
    </row>
    <row r="5081" spans="1:40" x14ac:dyDescent="0.25">
      <c r="A5081" t="str">
        <f>"20190312173032059"</f>
        <v>20190312173032059</v>
      </c>
      <c r="B5081" t="str">
        <f>"1552383032053078"</f>
        <v>1552383032053078</v>
      </c>
      <c r="C5081" t="s">
        <v>40</v>
      </c>
      <c r="D5081">
        <v>3.173975</v>
      </c>
      <c r="E5081">
        <v>0.44884940000000001</v>
      </c>
      <c r="F5081" t="s">
        <v>55</v>
      </c>
      <c r="G5081">
        <v>-388.19619999999998</v>
      </c>
      <c r="H5081" s="1">
        <v>-1.0513969999999999E-6</v>
      </c>
      <c r="I5081">
        <v>18.498460000000001</v>
      </c>
      <c r="J5081">
        <v>-403.90789999999998</v>
      </c>
      <c r="K5081">
        <v>1.115718</v>
      </c>
      <c r="L5081">
        <v>21.097439999999999</v>
      </c>
      <c r="M5081">
        <v>0.92133889999999996</v>
      </c>
      <c r="N5081">
        <v>0</v>
      </c>
      <c r="O5081">
        <v>-0.38850859999999998</v>
      </c>
      <c r="P5081">
        <v>0.94235009999999997</v>
      </c>
      <c r="Q5081">
        <v>0.165576</v>
      </c>
      <c r="R5081">
        <v>-0.29079339999999998</v>
      </c>
      <c r="S5081">
        <v>3.0650330000000001</v>
      </c>
      <c r="T5081">
        <v>-0.21608579999999999</v>
      </c>
      <c r="U5081">
        <v>-0.51199340000000004</v>
      </c>
      <c r="V5081">
        <v>-0.1005992</v>
      </c>
      <c r="W5081">
        <v>0.1779473</v>
      </c>
      <c r="X5081">
        <v>0.97888430000000004</v>
      </c>
      <c r="Y5081">
        <v>-0.22998959999999999</v>
      </c>
      <c r="Z5081">
        <v>3.4441920000000001E-2</v>
      </c>
      <c r="AA5081">
        <v>0.97258339999999999</v>
      </c>
      <c r="AB5081">
        <v>26</v>
      </c>
      <c r="AC5081">
        <v>15.7117</v>
      </c>
      <c r="AD5081">
        <v>-1.1157190513969999</v>
      </c>
      <c r="AE5081">
        <v>-2.5989799999999899</v>
      </c>
      <c r="AF5081">
        <v>-3.6918312639017299</v>
      </c>
      <c r="AG5081">
        <v>-1.1157190513969999</v>
      </c>
      <c r="AH5081">
        <v>15.411396722971199</v>
      </c>
      <c r="AI5081">
        <v>94.027196809670997</v>
      </c>
      <c r="AJ5081">
        <v>103.471461539796</v>
      </c>
      <c r="AK5081">
        <v>15.8866483575227</v>
      </c>
      <c r="AL5081">
        <v>79.749780943993201</v>
      </c>
      <c r="AM5081">
        <v>95.867644756897107</v>
      </c>
      <c r="AN5081">
        <v>0.99999995670220898</v>
      </c>
    </row>
    <row r="5082" spans="1:40" x14ac:dyDescent="0.25">
      <c r="A5082" t="str">
        <f>"20190312173032073"</f>
        <v>20190312173032073</v>
      </c>
      <c r="B5082" t="str">
        <f>"1552383032062838"</f>
        <v>1552383032062838</v>
      </c>
      <c r="C5082" t="s">
        <v>40</v>
      </c>
      <c r="D5082">
        <v>3.1805469999999998</v>
      </c>
      <c r="E5082">
        <v>0.44806220000000002</v>
      </c>
      <c r="F5082" t="s">
        <v>55</v>
      </c>
      <c r="G5082">
        <v>-387.99860000000001</v>
      </c>
      <c r="H5082" s="1">
        <v>-1.1355960000000001E-6</v>
      </c>
      <c r="I5082">
        <v>18.550380000000001</v>
      </c>
      <c r="J5082">
        <v>-403.7654</v>
      </c>
      <c r="K5082">
        <v>1.1156440000000001</v>
      </c>
      <c r="L5082">
        <v>21.042760000000001</v>
      </c>
      <c r="M5082">
        <v>0.92310329999999996</v>
      </c>
      <c r="N5082">
        <v>0</v>
      </c>
      <c r="O5082">
        <v>-0.38429859999999999</v>
      </c>
      <c r="P5082">
        <v>0.94365690000000002</v>
      </c>
      <c r="Q5082">
        <v>0.16534260000000001</v>
      </c>
      <c r="R5082">
        <v>-0.28666000000000003</v>
      </c>
      <c r="S5082">
        <v>3.0697019999999999</v>
      </c>
      <c r="T5082">
        <v>-0.215278</v>
      </c>
      <c r="U5082">
        <v>-0.49145509999999898</v>
      </c>
      <c r="V5082">
        <v>-0.1003993</v>
      </c>
      <c r="W5082">
        <v>0.17772349999999901</v>
      </c>
      <c r="X5082">
        <v>0.97894559999999997</v>
      </c>
      <c r="Y5082">
        <v>-0.2321423</v>
      </c>
      <c r="Z5082">
        <v>3.4094060000000002E-2</v>
      </c>
      <c r="AA5082">
        <v>0.97208410000000001</v>
      </c>
      <c r="AB5082">
        <v>26</v>
      </c>
      <c r="AC5082">
        <v>15.7667999999999</v>
      </c>
      <c r="AD5082">
        <v>-1.115645135596</v>
      </c>
      <c r="AE5082">
        <v>-2.4923799999999998</v>
      </c>
      <c r="AF5082">
        <v>-3.7405295396499398</v>
      </c>
      <c r="AG5082">
        <v>-1.115645135596</v>
      </c>
      <c r="AH5082">
        <v>15.4383021290346</v>
      </c>
      <c r="AI5082">
        <v>94.017439658441006</v>
      </c>
      <c r="AJ5082">
        <v>103.61967156585899</v>
      </c>
      <c r="AK5082">
        <v>15.9241137251945</v>
      </c>
      <c r="AL5082">
        <v>79.762812665272506</v>
      </c>
      <c r="AM5082">
        <v>95.855702160419895</v>
      </c>
      <c r="AN5082">
        <v>1.00000007482604</v>
      </c>
    </row>
    <row r="5083" spans="1:40" x14ac:dyDescent="0.25">
      <c r="A5083" t="str">
        <f>"20190312173032082"</f>
        <v>20190312173032082</v>
      </c>
      <c r="B5083" t="str">
        <f>"1552383032072598"</f>
        <v>1552383032072598</v>
      </c>
      <c r="C5083" t="s">
        <v>40</v>
      </c>
      <c r="D5083">
        <v>3.1940770000000001</v>
      </c>
      <c r="E5083">
        <v>0.44750909999999999</v>
      </c>
      <c r="F5083" t="s">
        <v>55</v>
      </c>
      <c r="G5083">
        <v>-387.83440000000002</v>
      </c>
      <c r="H5083" s="1">
        <v>-1.205158E-6</v>
      </c>
      <c r="I5083">
        <v>18.595739999999999</v>
      </c>
      <c r="J5083">
        <v>-403.66039999999998</v>
      </c>
      <c r="K5083">
        <v>1.115586</v>
      </c>
      <c r="L5083">
        <v>21.002690000000001</v>
      </c>
      <c r="M5083">
        <v>0.92438330000000002</v>
      </c>
      <c r="N5083">
        <v>0</v>
      </c>
      <c r="O5083">
        <v>-0.38120959999999998</v>
      </c>
      <c r="P5083">
        <v>0.94462930000000001</v>
      </c>
      <c r="Q5083">
        <v>0.1651627</v>
      </c>
      <c r="R5083">
        <v>-0.28354400000000002</v>
      </c>
      <c r="S5083">
        <v>3.0733950000000001</v>
      </c>
      <c r="T5083">
        <v>-0.21522939999999999</v>
      </c>
      <c r="U5083">
        <v>-0.47207640000000001</v>
      </c>
      <c r="V5083">
        <v>-0.10034129999999999</v>
      </c>
      <c r="W5083">
        <v>0.17754990000000001</v>
      </c>
      <c r="X5083">
        <v>0.97898300000000005</v>
      </c>
      <c r="Y5083">
        <v>-0.2350555</v>
      </c>
      <c r="Z5083">
        <v>3.3973400000000001E-2</v>
      </c>
      <c r="AA5083">
        <v>0.97138800000000003</v>
      </c>
      <c r="AB5083">
        <v>26</v>
      </c>
      <c r="AC5083">
        <v>15.825999999999899</v>
      </c>
      <c r="AD5083">
        <v>-1.115587205158</v>
      </c>
      <c r="AE5083">
        <v>-2.4069500000000001</v>
      </c>
      <c r="AF5083">
        <v>-3.79004284885858</v>
      </c>
      <c r="AG5083">
        <v>-1.115587205158</v>
      </c>
      <c r="AH5083">
        <v>15.473209293685199</v>
      </c>
      <c r="AI5083">
        <v>94.005761516541696</v>
      </c>
      <c r="AJ5083">
        <v>103.76317970159</v>
      </c>
      <c r="AK5083">
        <v>15.969632602370099</v>
      </c>
      <c r="AL5083">
        <v>79.772919481918393</v>
      </c>
      <c r="AM5083">
        <v>95.852120822330306</v>
      </c>
      <c r="AN5083">
        <v>1.0000000288823401</v>
      </c>
    </row>
    <row r="5084" spans="1:40" x14ac:dyDescent="0.25">
      <c r="A5084" t="str">
        <f>"20190312173032094"</f>
        <v>20190312173032094</v>
      </c>
      <c r="B5084" t="str">
        <f>"1552383032083335"</f>
        <v>1552383032083335</v>
      </c>
      <c r="C5084" t="s">
        <v>40</v>
      </c>
      <c r="D5084">
        <v>3.1841840000000001</v>
      </c>
      <c r="E5084">
        <v>0.44717580000000001</v>
      </c>
      <c r="F5084" t="s">
        <v>55</v>
      </c>
      <c r="G5084">
        <v>-387.67599999999999</v>
      </c>
      <c r="H5084" s="1">
        <v>-1.2749930000000001E-6</v>
      </c>
      <c r="I5084">
        <v>18.624220000000001</v>
      </c>
      <c r="J5084">
        <v>-403.5498</v>
      </c>
      <c r="K5084">
        <v>1.1155189999999999</v>
      </c>
      <c r="L5084">
        <v>20.961179999999999</v>
      </c>
      <c r="M5084">
        <v>0.92568740000000005</v>
      </c>
      <c r="N5084">
        <v>0</v>
      </c>
      <c r="O5084">
        <v>-0.37803249999999999</v>
      </c>
      <c r="P5084">
        <v>0.94553900000000002</v>
      </c>
      <c r="Q5084">
        <v>0.16501979999999999</v>
      </c>
      <c r="R5084">
        <v>-0.28057959999999998</v>
      </c>
      <c r="S5084">
        <v>3.0759889999999999</v>
      </c>
      <c r="T5084">
        <v>-0.2146796</v>
      </c>
      <c r="U5084">
        <v>-0.45770260000000001</v>
      </c>
      <c r="V5084">
        <v>-0.1000277</v>
      </c>
      <c r="W5084">
        <v>0.17741660000000001</v>
      </c>
      <c r="X5084">
        <v>0.9790392</v>
      </c>
      <c r="Y5084">
        <v>-0.23629049999999999</v>
      </c>
      <c r="Z5084">
        <v>3.3715229999999999E-2</v>
      </c>
      <c r="AA5084">
        <v>0.9710974</v>
      </c>
      <c r="AB5084">
        <v>26</v>
      </c>
      <c r="AC5084">
        <v>15.873799999999999</v>
      </c>
      <c r="AD5084">
        <v>-1.115520274993</v>
      </c>
      <c r="AE5084">
        <v>-2.3369599999999902</v>
      </c>
      <c r="AF5084">
        <v>-3.8194286596578002</v>
      </c>
      <c r="AG5084">
        <v>-1.115520274993</v>
      </c>
      <c r="AH5084">
        <v>15.504194001281499</v>
      </c>
      <c r="AI5084">
        <v>93.996245517288997</v>
      </c>
      <c r="AJ5084">
        <v>103.83914431091399</v>
      </c>
      <c r="AK5084">
        <v>16.006637760613799</v>
      </c>
      <c r="AL5084">
        <v>79.780679642029796</v>
      </c>
      <c r="AM5084">
        <v>95.833624765358095</v>
      </c>
      <c r="AN5084">
        <v>0.99999997292974396</v>
      </c>
    </row>
    <row r="5085" spans="1:40" x14ac:dyDescent="0.25">
      <c r="A5085" t="str">
        <f>"20190312173032104"</f>
        <v>20190312173032104</v>
      </c>
      <c r="B5085" t="str">
        <f>"1552383032093094"</f>
        <v>1552383032093094</v>
      </c>
      <c r="C5085" t="s">
        <v>40</v>
      </c>
      <c r="D5085">
        <v>3.1576780000000002</v>
      </c>
      <c r="E5085">
        <v>0.4470499</v>
      </c>
      <c r="F5085" t="s">
        <v>55</v>
      </c>
      <c r="G5085">
        <v>-387.46890000000002</v>
      </c>
      <c r="H5085" s="1">
        <v>-1.371302E-6</v>
      </c>
      <c r="I5085">
        <v>18.63325</v>
      </c>
      <c r="J5085">
        <v>-403.42849999999999</v>
      </c>
      <c r="K5085">
        <v>1.115445</v>
      </c>
      <c r="L5085">
        <v>20.915800000000001</v>
      </c>
      <c r="M5085">
        <v>0.92709859999999999</v>
      </c>
      <c r="N5085">
        <v>0</v>
      </c>
      <c r="O5085">
        <v>-0.3745581</v>
      </c>
      <c r="P5085">
        <v>0.94658730000000002</v>
      </c>
      <c r="Q5085">
        <v>0.16495279999999901</v>
      </c>
      <c r="R5085">
        <v>-0.27706140000000001</v>
      </c>
      <c r="S5085">
        <v>3.07782</v>
      </c>
      <c r="T5085">
        <v>-0.21350559999999999</v>
      </c>
      <c r="U5085">
        <v>-0.44555660000000002</v>
      </c>
      <c r="V5085">
        <v>-9.9968169999999995E-2</v>
      </c>
      <c r="W5085">
        <v>0.1773565</v>
      </c>
      <c r="X5085">
        <v>0.97905620000000004</v>
      </c>
      <c r="Y5085">
        <v>-0.2365054</v>
      </c>
      <c r="Z5085">
        <v>3.331137E-2</v>
      </c>
      <c r="AA5085">
        <v>0.97105900000000001</v>
      </c>
      <c r="AB5085">
        <v>26</v>
      </c>
      <c r="AC5085">
        <v>15.959599999999901</v>
      </c>
      <c r="AD5085">
        <v>-1.115446371302</v>
      </c>
      <c r="AE5085">
        <v>-2.2825500000000001</v>
      </c>
      <c r="AF5085">
        <v>-3.8436247117189599</v>
      </c>
      <c r="AG5085">
        <v>-1.115446371302</v>
      </c>
      <c r="AH5085">
        <v>15.578020710313501</v>
      </c>
      <c r="AI5085">
        <v>93.976749559377893</v>
      </c>
      <c r="AJ5085">
        <v>103.85997890274101</v>
      </c>
      <c r="AK5085">
        <v>16.083917457595501</v>
      </c>
      <c r="AL5085">
        <v>79.784178917462299</v>
      </c>
      <c r="AM5085">
        <v>95.830076357000195</v>
      </c>
      <c r="AN5085">
        <v>1.00000000293191</v>
      </c>
    </row>
    <row r="5086" spans="1:40" x14ac:dyDescent="0.25">
      <c r="A5086" t="str">
        <f>"20190312173032116"</f>
        <v>20190312173032116</v>
      </c>
      <c r="B5086" t="str">
        <f>"1552383032112614"</f>
        <v>1552383032112614</v>
      </c>
      <c r="C5086" t="s">
        <v>40</v>
      </c>
      <c r="D5086">
        <v>3.2002660000000001</v>
      </c>
      <c r="E5086">
        <v>0.44723839999999998</v>
      </c>
      <c r="F5086" t="s">
        <v>55</v>
      </c>
      <c r="G5086">
        <v>-387.22359999999998</v>
      </c>
      <c r="H5086" s="1">
        <v>-1.4867559999999999E-6</v>
      </c>
      <c r="I5086">
        <v>18.635999999999999</v>
      </c>
      <c r="J5086">
        <v>-403.31029999999998</v>
      </c>
      <c r="K5086">
        <v>1.11537</v>
      </c>
      <c r="L5086">
        <v>20.87228</v>
      </c>
      <c r="M5086">
        <v>0.9284289</v>
      </c>
      <c r="N5086">
        <v>0</v>
      </c>
      <c r="O5086">
        <v>-0.3712492</v>
      </c>
      <c r="P5086">
        <v>0.94750089999999998</v>
      </c>
      <c r="Q5086">
        <v>0.16467229999999999</v>
      </c>
      <c r="R5086">
        <v>-0.27408969999999999</v>
      </c>
      <c r="S5086">
        <v>3.0794069999999998</v>
      </c>
      <c r="T5086">
        <v>-0.21196709999999999</v>
      </c>
      <c r="U5086">
        <v>-0.43322749999999999</v>
      </c>
      <c r="V5086">
        <v>-9.9529510000000002E-2</v>
      </c>
      <c r="W5086">
        <v>0.177089</v>
      </c>
      <c r="X5086">
        <v>0.9791493</v>
      </c>
      <c r="Y5086">
        <v>-0.23694799999999999</v>
      </c>
      <c r="Z5086">
        <v>3.2874E-2</v>
      </c>
      <c r="AA5086">
        <v>0.970966</v>
      </c>
      <c r="AB5086">
        <v>26</v>
      </c>
      <c r="AC5086">
        <v>16.0867</v>
      </c>
      <c r="AD5086">
        <v>-1.1153714867560001</v>
      </c>
      <c r="AE5086">
        <v>-2.2362799999999998</v>
      </c>
      <c r="AF5086">
        <v>-3.8780355122450199</v>
      </c>
      <c r="AG5086">
        <v>-1.1153714867560001</v>
      </c>
      <c r="AH5086">
        <v>15.6930905235317</v>
      </c>
      <c r="AI5086">
        <v>93.947067090090798</v>
      </c>
      <c r="AJ5086">
        <v>103.880692131374</v>
      </c>
      <c r="AK5086">
        <v>16.203589206329099</v>
      </c>
      <c r="AL5086">
        <v>79.799751962161807</v>
      </c>
      <c r="AM5086">
        <v>95.804120917287605</v>
      </c>
      <c r="AN5086">
        <v>0.99999999448616494</v>
      </c>
    </row>
    <row r="5087" spans="1:40" x14ac:dyDescent="0.25">
      <c r="A5087" t="str">
        <f>"20190312173032126"</f>
        <v>20190312173032126</v>
      </c>
      <c r="B5087" t="str">
        <f>"1552383032123350"</f>
        <v>1552383032123350</v>
      </c>
      <c r="C5087" t="s">
        <v>40</v>
      </c>
      <c r="D5087">
        <v>3.1900680000000001</v>
      </c>
      <c r="E5087">
        <v>0.44725300000000001</v>
      </c>
      <c r="F5087" t="s">
        <v>55</v>
      </c>
      <c r="G5087">
        <v>-387.19069999999999</v>
      </c>
      <c r="H5087" s="1">
        <v>-1.500227E-6</v>
      </c>
      <c r="I5087">
        <v>18.647770000000001</v>
      </c>
      <c r="J5087">
        <v>-403.19940000000003</v>
      </c>
      <c r="K5087">
        <v>1.115299</v>
      </c>
      <c r="L5087">
        <v>20.831630000000001</v>
      </c>
      <c r="M5087">
        <v>0.92965819999999999</v>
      </c>
      <c r="N5087">
        <v>0</v>
      </c>
      <c r="O5087">
        <v>-0.3681606</v>
      </c>
      <c r="P5087">
        <v>0.94841509999999996</v>
      </c>
      <c r="Q5087">
        <v>0.1645228</v>
      </c>
      <c r="R5087">
        <v>-0.27100099999999999</v>
      </c>
      <c r="S5087">
        <v>3.080292</v>
      </c>
      <c r="T5087">
        <v>-0.2131354</v>
      </c>
      <c r="U5087">
        <v>-0.42507929999999999</v>
      </c>
      <c r="V5087">
        <v>-9.9441509999999997E-2</v>
      </c>
      <c r="W5087">
        <v>0.1769473</v>
      </c>
      <c r="X5087">
        <v>0.9791839</v>
      </c>
      <c r="Y5087">
        <v>-0.2362698</v>
      </c>
      <c r="Z5087">
        <v>3.2833540000000001E-2</v>
      </c>
      <c r="AA5087">
        <v>0.97113260000000001</v>
      </c>
      <c r="AB5087">
        <v>26</v>
      </c>
      <c r="AC5087">
        <v>16.008700000000001</v>
      </c>
      <c r="AD5087">
        <v>-1.115300500227</v>
      </c>
      <c r="AE5087">
        <v>-2.1838599999999899</v>
      </c>
      <c r="AF5087">
        <v>-3.8455786814044099</v>
      </c>
      <c r="AG5087">
        <v>-1.115300500227</v>
      </c>
      <c r="AH5087">
        <v>15.613747903762601</v>
      </c>
      <c r="AI5087">
        <v>93.9675657453692</v>
      </c>
      <c r="AJ5087">
        <v>103.83624382341399</v>
      </c>
      <c r="AK5087">
        <v>16.1189793164124</v>
      </c>
      <c r="AL5087">
        <v>79.808001469130801</v>
      </c>
      <c r="AM5087">
        <v>95.798820620915606</v>
      </c>
      <c r="AN5087">
        <v>1.0000000354537799</v>
      </c>
    </row>
    <row r="5088" spans="1:40" x14ac:dyDescent="0.25">
      <c r="A5088" t="str">
        <f>"20190312173032138"</f>
        <v>20190312173032138</v>
      </c>
      <c r="B5088" t="str">
        <f>"1552383032133110"</f>
        <v>1552383032133110</v>
      </c>
      <c r="C5088" t="s">
        <v>40</v>
      </c>
      <c r="D5088">
        <v>3.2214369999999999</v>
      </c>
      <c r="E5088">
        <v>0.4473374</v>
      </c>
      <c r="F5088" t="s">
        <v>55</v>
      </c>
      <c r="G5088">
        <v>-387.05329999999998</v>
      </c>
      <c r="H5088" s="1">
        <v>-1.5636890000000001E-6</v>
      </c>
      <c r="I5088">
        <v>18.656099999999999</v>
      </c>
      <c r="J5088">
        <v>-403.06110000000001</v>
      </c>
      <c r="K5088">
        <v>1.115208</v>
      </c>
      <c r="L5088">
        <v>20.78162</v>
      </c>
      <c r="M5088">
        <v>0.93114870000000005</v>
      </c>
      <c r="N5088">
        <v>0</v>
      </c>
      <c r="O5088">
        <v>-0.3643748</v>
      </c>
      <c r="P5088">
        <v>0.94942559999999998</v>
      </c>
      <c r="Q5088">
        <v>0.16473309999999999</v>
      </c>
      <c r="R5088">
        <v>-0.26730920000000002</v>
      </c>
      <c r="S5088">
        <v>3.0814210000000002</v>
      </c>
      <c r="T5088">
        <v>-0.21285080000000001</v>
      </c>
      <c r="U5088">
        <v>-0.4151917</v>
      </c>
      <c r="V5088">
        <v>-9.9217609999999998E-2</v>
      </c>
      <c r="W5088">
        <v>0.17716689999999999</v>
      </c>
      <c r="X5088">
        <v>0.97916689999999995</v>
      </c>
      <c r="Y5088">
        <v>-0.23543810000000001</v>
      </c>
      <c r="Z5088">
        <v>3.2517879999999999E-2</v>
      </c>
      <c r="AA5088">
        <v>0.97134520000000002</v>
      </c>
      <c r="AB5088">
        <v>26</v>
      </c>
      <c r="AC5088">
        <v>16.0078</v>
      </c>
      <c r="AD5088">
        <v>-1.115209563689</v>
      </c>
      <c r="AE5088">
        <v>-2.1255199999999999</v>
      </c>
      <c r="AF5088">
        <v>-3.8357418618242001</v>
      </c>
      <c r="AG5088">
        <v>-1.115209563689</v>
      </c>
      <c r="AH5088">
        <v>15.6072059663058</v>
      </c>
      <c r="AI5088">
        <v>93.969384624752607</v>
      </c>
      <c r="AJ5088">
        <v>103.80777035394701</v>
      </c>
      <c r="AK5088">
        <v>16.110291309476199</v>
      </c>
      <c r="AL5088">
        <v>79.795217291870998</v>
      </c>
      <c r="AM5088">
        <v>95.785952592563206</v>
      </c>
      <c r="AN5088">
        <v>1.00000003132266</v>
      </c>
    </row>
    <row r="5089" spans="1:40" x14ac:dyDescent="0.25">
      <c r="A5089" t="str">
        <f>"20190312173032152"</f>
        <v>20190312173032152</v>
      </c>
      <c r="B5089" t="str">
        <f>"1552383032142871"</f>
        <v>1552383032142871</v>
      </c>
      <c r="C5089" t="s">
        <v>40</v>
      </c>
      <c r="D5089">
        <v>3.148069</v>
      </c>
      <c r="E5089">
        <v>0.44742700000000002</v>
      </c>
      <c r="F5089" t="s">
        <v>55</v>
      </c>
      <c r="G5089">
        <v>-386.84710000000001</v>
      </c>
      <c r="H5089" s="1">
        <v>-1.6608799999999999E-6</v>
      </c>
      <c r="I5089">
        <v>18.65766</v>
      </c>
      <c r="J5089">
        <v>-402.91860000000003</v>
      </c>
      <c r="K5089">
        <v>1.1151180000000001</v>
      </c>
      <c r="L5089">
        <v>20.730650000000001</v>
      </c>
      <c r="M5089">
        <v>0.93264290000000005</v>
      </c>
      <c r="N5089">
        <v>0</v>
      </c>
      <c r="O5089">
        <v>-0.3605334</v>
      </c>
      <c r="P5089">
        <v>0.95042990000000005</v>
      </c>
      <c r="Q5089">
        <v>0.1646966</v>
      </c>
      <c r="R5089">
        <v>-0.26373920000000001</v>
      </c>
      <c r="S5089">
        <v>3.0828549999999999</v>
      </c>
      <c r="T5089">
        <v>-0.21204100000000001</v>
      </c>
      <c r="U5089">
        <v>-0.40383910000000001</v>
      </c>
      <c r="V5089">
        <v>-9.8824919999999997E-2</v>
      </c>
      <c r="W5089">
        <v>0.17714250000000001</v>
      </c>
      <c r="X5089">
        <v>0.97921100000000005</v>
      </c>
      <c r="Y5089">
        <v>-0.23502700000000001</v>
      </c>
      <c r="Z5089">
        <v>3.213216E-2</v>
      </c>
      <c r="AA5089">
        <v>0.97145749999999997</v>
      </c>
      <c r="AB5089">
        <v>26</v>
      </c>
      <c r="AC5089">
        <v>16.0715</v>
      </c>
      <c r="AD5089">
        <v>-1.11511966088</v>
      </c>
      <c r="AE5089">
        <v>-2.0729899999999999</v>
      </c>
      <c r="AF5089">
        <v>-3.8431265009007398</v>
      </c>
      <c r="AG5089">
        <v>-1.11511966088</v>
      </c>
      <c r="AH5089">
        <v>15.663695269148</v>
      </c>
      <c r="AI5089">
        <v>93.955175989453295</v>
      </c>
      <c r="AJ5089">
        <v>103.78535122294601</v>
      </c>
      <c r="AK5089">
        <v>16.166770322013502</v>
      </c>
      <c r="AL5089">
        <v>79.796637518786895</v>
      </c>
      <c r="AM5089">
        <v>95.762949216520198</v>
      </c>
      <c r="AN5089">
        <v>1.00000000632012</v>
      </c>
    </row>
    <row r="5090" spans="1:40" x14ac:dyDescent="0.25">
      <c r="A5090" t="str">
        <f>"20190312173032165"</f>
        <v>20190312173032165</v>
      </c>
      <c r="B5090" t="str">
        <f>"1552383032152630"</f>
        <v>1552383032152630</v>
      </c>
      <c r="C5090" t="s">
        <v>40</v>
      </c>
      <c r="D5090">
        <v>3.2071290000000001</v>
      </c>
      <c r="E5090">
        <v>0.4475092</v>
      </c>
      <c r="F5090" t="s">
        <v>55</v>
      </c>
      <c r="G5090">
        <v>-386.7047</v>
      </c>
      <c r="H5090" s="1">
        <v>-1.7269799999999901E-6</v>
      </c>
      <c r="I5090">
        <v>18.66459</v>
      </c>
      <c r="J5090">
        <v>-402.78160000000003</v>
      </c>
      <c r="K5090">
        <v>1.1150359999999999</v>
      </c>
      <c r="L5090">
        <v>20.68207</v>
      </c>
      <c r="M5090">
        <v>0.93404730000000002</v>
      </c>
      <c r="N5090">
        <v>0</v>
      </c>
      <c r="O5090">
        <v>-0.35687950000000002</v>
      </c>
      <c r="P5090">
        <v>0.95134759999999996</v>
      </c>
      <c r="Q5090">
        <v>0.16444320000000001</v>
      </c>
      <c r="R5090">
        <v>-0.26056980000000002</v>
      </c>
      <c r="S5090">
        <v>3.0841980000000002</v>
      </c>
      <c r="T5090">
        <v>-0.21211730000000001</v>
      </c>
      <c r="U5090">
        <v>-0.3930054</v>
      </c>
      <c r="V5090">
        <v>-9.8231509999999994E-2</v>
      </c>
      <c r="W5090">
        <v>0.17690410000000001</v>
      </c>
      <c r="X5090">
        <v>0.97931380000000001</v>
      </c>
      <c r="Y5090">
        <v>-0.2346414</v>
      </c>
      <c r="Z5090">
        <v>3.1893949999999997E-2</v>
      </c>
      <c r="AA5090">
        <v>0.97155860000000005</v>
      </c>
      <c r="AB5090">
        <v>26</v>
      </c>
      <c r="AC5090">
        <v>16.076899999999998</v>
      </c>
      <c r="AD5090">
        <v>-1.11503772698</v>
      </c>
      <c r="AE5090">
        <v>-2.0174799999999902</v>
      </c>
      <c r="AF5090">
        <v>-3.8353024852060802</v>
      </c>
      <c r="AG5090">
        <v>-1.11503772698</v>
      </c>
      <c r="AH5090">
        <v>15.663918055949701</v>
      </c>
      <c r="AI5090">
        <v>93.955288726302797</v>
      </c>
      <c r="AJ5090">
        <v>103.758165609771</v>
      </c>
      <c r="AK5090">
        <v>16.165122429141199</v>
      </c>
      <c r="AL5090">
        <v>79.810516001834102</v>
      </c>
      <c r="AM5090">
        <v>95.727978173778098</v>
      </c>
      <c r="AN5090">
        <v>1.0000000045120601</v>
      </c>
    </row>
    <row r="5091" spans="1:40" x14ac:dyDescent="0.25">
      <c r="A5091" t="str">
        <f>"20190312173032177"</f>
        <v>20190312173032177</v>
      </c>
      <c r="B5091" t="str">
        <f>"1552383032173125"</f>
        <v>1552383032173125</v>
      </c>
      <c r="C5091" t="s">
        <v>40</v>
      </c>
      <c r="D5091">
        <v>3.2527460000000001</v>
      </c>
      <c r="E5091">
        <v>0.4480248</v>
      </c>
      <c r="F5091" t="s">
        <v>55</v>
      </c>
      <c r="G5091">
        <v>-386.6198</v>
      </c>
      <c r="H5091" s="1">
        <v>-1.7652639999999999E-6</v>
      </c>
      <c r="I5091">
        <v>18.67484</v>
      </c>
      <c r="J5091">
        <v>-402.65019999999998</v>
      </c>
      <c r="K5091">
        <v>1.114965</v>
      </c>
      <c r="L5091">
        <v>20.63617</v>
      </c>
      <c r="M5091">
        <v>0.93535080000000004</v>
      </c>
      <c r="N5091">
        <v>0</v>
      </c>
      <c r="O5091">
        <v>-0.35344959999999997</v>
      </c>
      <c r="P5091">
        <v>0.95224850000000005</v>
      </c>
      <c r="Q5091">
        <v>0.164238</v>
      </c>
      <c r="R5091">
        <v>-0.25738850000000002</v>
      </c>
      <c r="S5091">
        <v>3.0852659999999998</v>
      </c>
      <c r="T5091">
        <v>-0.21286050000000001</v>
      </c>
      <c r="U5091">
        <v>-0.38317869999999998</v>
      </c>
      <c r="V5091">
        <v>-9.7888039999999996E-2</v>
      </c>
      <c r="W5091">
        <v>0.17670839999999999</v>
      </c>
      <c r="X5091">
        <v>0.97938349999999996</v>
      </c>
      <c r="Y5091">
        <v>-0.2341627</v>
      </c>
      <c r="Z5091">
        <v>3.176727E-2</v>
      </c>
      <c r="AA5091">
        <v>0.97167829999999999</v>
      </c>
      <c r="AB5091">
        <v>26</v>
      </c>
      <c r="AC5091">
        <v>16.030399999999901</v>
      </c>
      <c r="AD5091">
        <v>-1.1149667652640001</v>
      </c>
      <c r="AE5091">
        <v>-1.96133</v>
      </c>
      <c r="AF5091">
        <v>-3.8135984689393001</v>
      </c>
      <c r="AG5091">
        <v>-1.1149667652640001</v>
      </c>
      <c r="AH5091">
        <v>15.6143641526828</v>
      </c>
      <c r="AI5091">
        <v>93.968108925417894</v>
      </c>
      <c r="AJ5091">
        <v>103.72502803976001</v>
      </c>
      <c r="AK5091">
        <v>16.111953700980099</v>
      </c>
      <c r="AL5091">
        <v>79.821908047493807</v>
      </c>
      <c r="AM5091">
        <v>95.707679033805903</v>
      </c>
      <c r="AN5091">
        <v>0.99999998353892505</v>
      </c>
    </row>
    <row r="5092" spans="1:40" x14ac:dyDescent="0.25">
      <c r="A5092" t="str">
        <f>"20190312173032194"</f>
        <v>20190312173032194</v>
      </c>
      <c r="B5092" t="str">
        <f>"1552383032182886"</f>
        <v>1552383032182886</v>
      </c>
      <c r="C5092" t="s">
        <v>40</v>
      </c>
      <c r="D5092">
        <v>3.2907869999999999</v>
      </c>
      <c r="E5092">
        <v>0.44825920000000002</v>
      </c>
      <c r="F5092" t="s">
        <v>55</v>
      </c>
      <c r="G5092">
        <v>-386.43290000000002</v>
      </c>
      <c r="H5092" s="1">
        <v>-1.857131E-6</v>
      </c>
      <c r="I5092">
        <v>18.655049999999999</v>
      </c>
      <c r="J5092">
        <v>-402.46609999999998</v>
      </c>
      <c r="K5092">
        <v>1.1148659999999999</v>
      </c>
      <c r="L5092">
        <v>20.572600000000001</v>
      </c>
      <c r="M5092">
        <v>0.9371275</v>
      </c>
      <c r="N5092">
        <v>0</v>
      </c>
      <c r="O5092">
        <v>-0.34871289999999999</v>
      </c>
      <c r="P5092">
        <v>0.95335729999999996</v>
      </c>
      <c r="Q5092">
        <v>0.1643046</v>
      </c>
      <c r="R5092">
        <v>-0.25320819999999999</v>
      </c>
      <c r="S5092">
        <v>3.0852050000000002</v>
      </c>
      <c r="T5092">
        <v>-0.21211340000000001</v>
      </c>
      <c r="U5092">
        <v>-0.37689210000000001</v>
      </c>
      <c r="V5092">
        <v>-9.718185E-2</v>
      </c>
      <c r="W5092">
        <v>0.17679059999999999</v>
      </c>
      <c r="X5092">
        <v>0.97943899999999995</v>
      </c>
      <c r="Y5092">
        <v>-0.23121749999999999</v>
      </c>
      <c r="Z5092">
        <v>3.125791E-2</v>
      </c>
      <c r="AA5092">
        <v>0.97239980000000004</v>
      </c>
      <c r="AB5092">
        <v>26</v>
      </c>
      <c r="AC5092">
        <v>16.033199999999901</v>
      </c>
      <c r="AD5092">
        <v>-1.114867857131</v>
      </c>
      <c r="AE5092">
        <v>-1.9175500000000001</v>
      </c>
      <c r="AF5092">
        <v>-3.7763562900152698</v>
      </c>
      <c r="AG5092">
        <v>-1.114867857131</v>
      </c>
      <c r="AH5092">
        <v>15.620865382424601</v>
      </c>
      <c r="AI5092">
        <v>93.968367468434295</v>
      </c>
      <c r="AJ5092">
        <v>103.590544179657</v>
      </c>
      <c r="AK5092">
        <v>16.1094764801291</v>
      </c>
      <c r="AL5092">
        <v>79.817123079501101</v>
      </c>
      <c r="AM5092">
        <v>95.666452286276098</v>
      </c>
      <c r="AN5092">
        <v>0.999999991469391</v>
      </c>
    </row>
    <row r="5093" spans="1:40" x14ac:dyDescent="0.25">
      <c r="A5093" t="str">
        <f>"20190312173032205"</f>
        <v>20190312173032205</v>
      </c>
      <c r="B5093" t="str">
        <f>"1552383032192647"</f>
        <v>1552383032192647</v>
      </c>
      <c r="C5093" t="s">
        <v>40</v>
      </c>
      <c r="D5093">
        <v>3.2182360000000001</v>
      </c>
      <c r="E5093">
        <v>0.44854270000000002</v>
      </c>
      <c r="F5093" t="s">
        <v>55</v>
      </c>
      <c r="G5093">
        <v>-386.13749999999999</v>
      </c>
      <c r="H5093" s="1">
        <v>-1.99936E-6</v>
      </c>
      <c r="I5093">
        <v>18.640630000000002</v>
      </c>
      <c r="J5093">
        <v>-402.34910000000002</v>
      </c>
      <c r="K5093">
        <v>1.1148089999999999</v>
      </c>
      <c r="L5093">
        <v>20.532530000000001</v>
      </c>
      <c r="M5093">
        <v>0.93823020000000001</v>
      </c>
      <c r="N5093">
        <v>0</v>
      </c>
      <c r="O5093">
        <v>-0.34573530000000002</v>
      </c>
      <c r="P5093">
        <v>0.95405469999999903</v>
      </c>
      <c r="Q5093">
        <v>0.1643182</v>
      </c>
      <c r="R5093">
        <v>-0.25055749999999999</v>
      </c>
      <c r="S5093">
        <v>3.0861209999999999</v>
      </c>
      <c r="T5093">
        <v>-0.2107105</v>
      </c>
      <c r="U5093">
        <v>-0.36514279999999999</v>
      </c>
      <c r="V5093">
        <v>-9.6765770000000001E-2</v>
      </c>
      <c r="W5093">
        <v>0.1768131</v>
      </c>
      <c r="X5093">
        <v>0.97947620000000002</v>
      </c>
      <c r="Y5093">
        <v>-0.23183480000000001</v>
      </c>
      <c r="Z5093">
        <v>3.0884200000000001E-2</v>
      </c>
      <c r="AA5093">
        <v>0.97226480000000004</v>
      </c>
      <c r="AB5093">
        <v>26</v>
      </c>
      <c r="AC5093">
        <v>16.211600000000001</v>
      </c>
      <c r="AD5093">
        <v>-1.1148109993599999</v>
      </c>
      <c r="AE5093">
        <v>-1.8918999999999999</v>
      </c>
      <c r="AF5093">
        <v>-3.81246470735723</v>
      </c>
      <c r="AG5093">
        <v>-1.1148109993599999</v>
      </c>
      <c r="AH5093">
        <v>15.7921516057263</v>
      </c>
      <c r="AI5093">
        <v>93.925560921249399</v>
      </c>
      <c r="AJ5093">
        <v>103.572374975591</v>
      </c>
      <c r="AK5093">
        <v>16.284033377741</v>
      </c>
      <c r="AL5093">
        <v>79.815813959695504</v>
      </c>
      <c r="AM5093">
        <v>95.642135578294003</v>
      </c>
      <c r="AN5093">
        <v>1.00000005647087</v>
      </c>
    </row>
    <row r="5094" spans="1:40" x14ac:dyDescent="0.25">
      <c r="A5094" t="str">
        <f>"20190312173032216"</f>
        <v>20190312173032216</v>
      </c>
      <c r="B5094" t="str">
        <f>"1552383032203382"</f>
        <v>1552383032203382</v>
      </c>
      <c r="C5094" t="s">
        <v>40</v>
      </c>
      <c r="D5094">
        <v>3.1947139999999998</v>
      </c>
      <c r="E5094">
        <v>0.44854270000000002</v>
      </c>
      <c r="F5094" t="s">
        <v>55</v>
      </c>
      <c r="G5094">
        <v>-385.9375</v>
      </c>
      <c r="H5094" s="1">
        <v>-2.0965420000000001E-6</v>
      </c>
      <c r="I5094">
        <v>18.62565</v>
      </c>
      <c r="J5094">
        <v>-402.23059999999998</v>
      </c>
      <c r="K5094">
        <v>1.114749</v>
      </c>
      <c r="L5094">
        <v>20.492609999999999</v>
      </c>
      <c r="M5094">
        <v>0.93931370000000003</v>
      </c>
      <c r="N5094">
        <v>0</v>
      </c>
      <c r="O5094">
        <v>-0.34278059999999899</v>
      </c>
      <c r="P5094">
        <v>0.95473560000000002</v>
      </c>
      <c r="Q5094">
        <v>0.16438639999999999</v>
      </c>
      <c r="R5094">
        <v>-0.24790570000000001</v>
      </c>
      <c r="S5094">
        <v>3.086395</v>
      </c>
      <c r="T5094">
        <v>-0.2096536</v>
      </c>
      <c r="U5094">
        <v>-0.35861209999999999</v>
      </c>
      <c r="V5094">
        <v>-9.6374440000000006E-2</v>
      </c>
      <c r="W5094">
        <v>0.17688909999999999</v>
      </c>
      <c r="X5094">
        <v>0.97950099999999996</v>
      </c>
      <c r="Y5094">
        <v>-0.23083429999999999</v>
      </c>
      <c r="Z5094">
        <v>3.0510949999999998E-2</v>
      </c>
      <c r="AA5094">
        <v>0.97251460000000001</v>
      </c>
      <c r="AB5094">
        <v>26</v>
      </c>
      <c r="AC5094">
        <v>16.2930999999999</v>
      </c>
      <c r="AD5094">
        <v>-1.114751096542</v>
      </c>
      <c r="AE5094">
        <v>-1.86695999999999</v>
      </c>
      <c r="AF5094">
        <v>-3.8140413322286499</v>
      </c>
      <c r="AG5094">
        <v>-1.114751096542</v>
      </c>
      <c r="AH5094">
        <v>15.872476665237199</v>
      </c>
      <c r="AI5094">
        <v>93.906542390143201</v>
      </c>
      <c r="AJ5094">
        <v>103.51159294545801</v>
      </c>
      <c r="AK5094">
        <v>16.3623071961044</v>
      </c>
      <c r="AL5094">
        <v>79.811389139272606</v>
      </c>
      <c r="AM5094">
        <v>95.6193232125121</v>
      </c>
      <c r="AN5094">
        <v>0.99999999769256098</v>
      </c>
    </row>
    <row r="5095" spans="1:40" x14ac:dyDescent="0.25">
      <c r="A5095" t="str">
        <f>"20190312173032227"</f>
        <v>20190312173032227</v>
      </c>
      <c r="B5095" t="str">
        <f>"1552383032222902"</f>
        <v>1552383032222902</v>
      </c>
      <c r="C5095" t="s">
        <v>40</v>
      </c>
      <c r="D5095">
        <v>3.2648000000000001</v>
      </c>
      <c r="E5095">
        <v>0.45547470000000001</v>
      </c>
      <c r="F5095" t="s">
        <v>55</v>
      </c>
      <c r="G5095">
        <v>-385.79570000000001</v>
      </c>
      <c r="H5095" s="1">
        <v>-2.1629160000000001E-6</v>
      </c>
      <c r="I5095">
        <v>18.629449999999999</v>
      </c>
      <c r="J5095">
        <v>-402.10950000000003</v>
      </c>
      <c r="K5095">
        <v>1.11469</v>
      </c>
      <c r="L5095">
        <v>20.452000000000002</v>
      </c>
      <c r="M5095">
        <v>0.94040250000000003</v>
      </c>
      <c r="N5095">
        <v>0</v>
      </c>
      <c r="O5095">
        <v>-0.33978269999999999</v>
      </c>
      <c r="P5095">
        <v>0.95538920000000005</v>
      </c>
      <c r="Q5095">
        <v>0.16442979999999999</v>
      </c>
      <c r="R5095">
        <v>-0.2453456</v>
      </c>
      <c r="S5095">
        <v>3.087402</v>
      </c>
      <c r="T5095">
        <v>-0.20941270000000001</v>
      </c>
      <c r="U5095">
        <v>-0.35000609999999999</v>
      </c>
      <c r="V5095">
        <v>-9.5846180000000003E-2</v>
      </c>
      <c r="W5095">
        <v>0.17694260000000001</v>
      </c>
      <c r="X5095">
        <v>0.9795431</v>
      </c>
      <c r="Y5095">
        <v>-0.2304534</v>
      </c>
      <c r="Z5095">
        <v>3.027001E-2</v>
      </c>
      <c r="AA5095">
        <v>0.97261240000000004</v>
      </c>
      <c r="AB5095">
        <v>26</v>
      </c>
      <c r="AC5095">
        <v>16.313800000000001</v>
      </c>
      <c r="AD5095">
        <v>-1.114692162916</v>
      </c>
      <c r="AE5095">
        <v>-1.8225499999999999</v>
      </c>
      <c r="AF5095">
        <v>-3.8120040350441702</v>
      </c>
      <c r="AG5095">
        <v>-1.114692162916</v>
      </c>
      <c r="AH5095">
        <v>15.889065126775201</v>
      </c>
      <c r="AI5095">
        <v>93.902605629072596</v>
      </c>
      <c r="AJ5095">
        <v>103.491056603903</v>
      </c>
      <c r="AK5095">
        <v>16.3779212351313</v>
      </c>
      <c r="AL5095">
        <v>79.808273983533894</v>
      </c>
      <c r="AM5095">
        <v>95.588478706190202</v>
      </c>
      <c r="AN5095">
        <v>0.99999992933647797</v>
      </c>
    </row>
    <row r="5096" spans="1:40" x14ac:dyDescent="0.25">
      <c r="A5096" t="str">
        <f>"20190312173032239"</f>
        <v>20190312173032239</v>
      </c>
      <c r="B5096" t="str">
        <f>"1552383032232662"</f>
        <v>1552383032232662</v>
      </c>
      <c r="C5096" t="s">
        <v>40</v>
      </c>
      <c r="D5096">
        <v>3.2380949999999999</v>
      </c>
      <c r="E5096">
        <v>0.45590619999999998</v>
      </c>
      <c r="F5096" t="s">
        <v>55</v>
      </c>
      <c r="G5096">
        <v>-384.91379999999998</v>
      </c>
      <c r="H5096" s="1">
        <v>-2.648662E-6</v>
      </c>
      <c r="I5096">
        <v>18.241</v>
      </c>
      <c r="J5096">
        <v>-401.97059999999999</v>
      </c>
      <c r="K5096">
        <v>1.1146240000000001</v>
      </c>
      <c r="L5096">
        <v>20.405940000000001</v>
      </c>
      <c r="M5096">
        <v>0.94162080000000004</v>
      </c>
      <c r="N5096">
        <v>0</v>
      </c>
      <c r="O5096">
        <v>-0.33639259999999999</v>
      </c>
      <c r="P5096">
        <v>0.95618429999999999</v>
      </c>
      <c r="Q5096">
        <v>0.16441620000000001</v>
      </c>
      <c r="R5096">
        <v>-0.24223800000000001</v>
      </c>
      <c r="S5096">
        <v>3.0729060000000001</v>
      </c>
      <c r="T5096">
        <v>-0.19919819999999999</v>
      </c>
      <c r="U5096">
        <v>-0.39511109999999999</v>
      </c>
      <c r="V5096">
        <v>-9.5472619999999994E-2</v>
      </c>
      <c r="W5096">
        <v>0.1769365</v>
      </c>
      <c r="X5096">
        <v>0.97958080000000003</v>
      </c>
      <c r="Y5096">
        <v>-0.2124817</v>
      </c>
      <c r="Z5096">
        <v>2.8106840000000001E-2</v>
      </c>
      <c r="AA5096">
        <v>0.97676070000000004</v>
      </c>
      <c r="AB5096">
        <v>26</v>
      </c>
      <c r="AC5096">
        <v>17.056799999999999</v>
      </c>
      <c r="AD5096">
        <v>-1.114626648662</v>
      </c>
      <c r="AE5096">
        <v>-2.1649400000000001</v>
      </c>
      <c r="AF5096">
        <v>-3.6840978087362299</v>
      </c>
      <c r="AG5096">
        <v>-1.114626648662</v>
      </c>
      <c r="AH5096">
        <v>16.7206341490776</v>
      </c>
      <c r="AI5096">
        <v>93.724715377083797</v>
      </c>
      <c r="AJ5096">
        <v>102.425584315058</v>
      </c>
      <c r="AK5096">
        <v>17.1579303990179</v>
      </c>
      <c r="AL5096">
        <v>79.808630281799097</v>
      </c>
      <c r="AM5096">
        <v>95.566621821853005</v>
      </c>
      <c r="AN5096">
        <v>1.00000004496527</v>
      </c>
    </row>
    <row r="5097" spans="1:40" x14ac:dyDescent="0.25">
      <c r="A5097" t="str">
        <f>"20190312173032250"</f>
        <v>20190312173032250</v>
      </c>
      <c r="B5097" t="str">
        <f>"1552383032243398"</f>
        <v>1552383032243398</v>
      </c>
      <c r="C5097" t="s">
        <v>40</v>
      </c>
      <c r="D5097">
        <v>3.3007650000000002</v>
      </c>
      <c r="E5097">
        <v>0.4554588</v>
      </c>
      <c r="F5097" t="s">
        <v>55</v>
      </c>
      <c r="G5097">
        <v>-384.60789999999997</v>
      </c>
      <c r="H5097" s="1">
        <v>-2.7987150000000002E-6</v>
      </c>
      <c r="I5097">
        <v>18.21039</v>
      </c>
      <c r="J5097">
        <v>-401.86239999999998</v>
      </c>
      <c r="K5097">
        <v>1.1145719999999999</v>
      </c>
      <c r="L5097">
        <v>20.370480000000001</v>
      </c>
      <c r="M5097">
        <v>0.94254709999999997</v>
      </c>
      <c r="N5097">
        <v>0</v>
      </c>
      <c r="O5097">
        <v>-0.33378920000000001</v>
      </c>
      <c r="P5097">
        <v>0.95675809999999994</v>
      </c>
      <c r="Q5097">
        <v>0.164301799999999</v>
      </c>
      <c r="R5097">
        <v>-0.2400399</v>
      </c>
      <c r="S5097">
        <v>3.072937</v>
      </c>
      <c r="T5097">
        <v>-0.1972718</v>
      </c>
      <c r="U5097">
        <v>-0.38858029999999999</v>
      </c>
      <c r="V5097">
        <v>-9.4997990000000004E-2</v>
      </c>
      <c r="W5097">
        <v>0.17683090000000001</v>
      </c>
      <c r="X5097">
        <v>0.97964600000000002</v>
      </c>
      <c r="Y5097">
        <v>-0.2118524</v>
      </c>
      <c r="Z5097">
        <v>2.766391E-2</v>
      </c>
      <c r="AA5097">
        <v>0.9769101</v>
      </c>
      <c r="AB5097">
        <v>26</v>
      </c>
      <c r="AC5097">
        <v>17.2545</v>
      </c>
      <c r="AD5097">
        <v>-1.1145747987150001</v>
      </c>
      <c r="AE5097">
        <v>-2.1600899999999998</v>
      </c>
      <c r="AF5097">
        <v>-3.70849692102894</v>
      </c>
      <c r="AG5097">
        <v>-1.1145747987150001</v>
      </c>
      <c r="AH5097">
        <v>16.9163081996073</v>
      </c>
      <c r="AI5097">
        <v>93.6824309438461</v>
      </c>
      <c r="AJ5097">
        <v>102.36511959360099</v>
      </c>
      <c r="AK5097">
        <v>17.353867277909998</v>
      </c>
      <c r="AL5097">
        <v>79.814777549584804</v>
      </c>
      <c r="AM5097">
        <v>95.538754240749</v>
      </c>
      <c r="AN5097">
        <v>1.0000000353074201</v>
      </c>
    </row>
    <row r="5098" spans="1:40" x14ac:dyDescent="0.25">
      <c r="A5098" t="str">
        <f>"20190312173032260"</f>
        <v>20190312173032260</v>
      </c>
      <c r="B5098" t="str">
        <f>"1552383032253158"</f>
        <v>1552383032253158</v>
      </c>
      <c r="C5098" t="s">
        <v>40</v>
      </c>
      <c r="D5098">
        <v>3.278092</v>
      </c>
      <c r="E5098">
        <v>0.45547219999999999</v>
      </c>
      <c r="F5098" t="s">
        <v>55</v>
      </c>
      <c r="G5098">
        <v>-384.27370000000002</v>
      </c>
      <c r="H5098" s="1">
        <v>-2.9569539999999998E-6</v>
      </c>
      <c r="I5098">
        <v>18.208760000000002</v>
      </c>
      <c r="J5098">
        <v>-401.73899999999998</v>
      </c>
      <c r="K5098">
        <v>1.1145130000000001</v>
      </c>
      <c r="L5098">
        <v>20.330259999999999</v>
      </c>
      <c r="M5098">
        <v>0.94358660000000005</v>
      </c>
      <c r="N5098">
        <v>0</v>
      </c>
      <c r="O5098">
        <v>-0.3308393</v>
      </c>
      <c r="P5098">
        <v>0.95737740000000005</v>
      </c>
      <c r="Q5098">
        <v>0.16444800000000001</v>
      </c>
      <c r="R5098">
        <v>-0.23745649999999999</v>
      </c>
      <c r="S5098">
        <v>3.074249</v>
      </c>
      <c r="T5098">
        <v>-0.19481180000000001</v>
      </c>
      <c r="U5098">
        <v>-0.37783810000000001</v>
      </c>
      <c r="V5098">
        <v>-9.4544539999999996E-2</v>
      </c>
      <c r="W5098">
        <v>0.1769848</v>
      </c>
      <c r="X5098">
        <v>0.97966209999999998</v>
      </c>
      <c r="Y5098">
        <v>-0.2122406</v>
      </c>
      <c r="Z5098">
        <v>2.7153489999999999E-2</v>
      </c>
      <c r="AA5098">
        <v>0.97684009999999999</v>
      </c>
      <c r="AB5098">
        <v>26</v>
      </c>
      <c r="AC5098">
        <v>17.465299999999999</v>
      </c>
      <c r="AD5098">
        <v>-1.114515956954</v>
      </c>
      <c r="AE5098">
        <v>-2.1214999999999899</v>
      </c>
      <c r="AF5098">
        <v>-3.7616517015530002</v>
      </c>
      <c r="AG5098">
        <v>-1.114515956954</v>
      </c>
      <c r="AH5098">
        <v>17.1148480981788</v>
      </c>
      <c r="AI5098">
        <v>93.639209290185207</v>
      </c>
      <c r="AJ5098">
        <v>102.395875075305</v>
      </c>
      <c r="AK5098">
        <v>17.558764044369301</v>
      </c>
      <c r="AL5098">
        <v>79.805818673461204</v>
      </c>
      <c r="AM5098">
        <v>95.512389531388607</v>
      </c>
      <c r="AN5098">
        <v>1.00000005982562</v>
      </c>
    </row>
    <row r="5099" spans="1:40" x14ac:dyDescent="0.25">
      <c r="A5099" t="str">
        <f>"20190312173032272"</f>
        <v>20190312173032272</v>
      </c>
      <c r="B5099" t="str">
        <f>"1552383032262919"</f>
        <v>1552383032262919</v>
      </c>
      <c r="C5099" t="s">
        <v>40</v>
      </c>
      <c r="D5099">
        <v>3.2579920000000002</v>
      </c>
      <c r="E5099">
        <v>0.45576929999999999</v>
      </c>
      <c r="F5099" t="s">
        <v>55</v>
      </c>
      <c r="G5099">
        <v>-383.86930000000001</v>
      </c>
      <c r="H5099" s="1">
        <v>-3.152828E-6</v>
      </c>
      <c r="I5099">
        <v>18.182259999999999</v>
      </c>
      <c r="J5099">
        <v>-401.62060000000002</v>
      </c>
      <c r="K5099">
        <v>1.114455</v>
      </c>
      <c r="L5099">
        <v>20.292210000000001</v>
      </c>
      <c r="M5099">
        <v>0.9445559</v>
      </c>
      <c r="N5099">
        <v>0</v>
      </c>
      <c r="O5099">
        <v>-0.32806200000000002</v>
      </c>
      <c r="P5099">
        <v>0.95801219999999998</v>
      </c>
      <c r="Q5099">
        <v>0.16446129999999901</v>
      </c>
      <c r="R5099">
        <v>-0.23487350000000001</v>
      </c>
      <c r="S5099">
        <v>3.0747680000000002</v>
      </c>
      <c r="T5099">
        <v>-0.1917702</v>
      </c>
      <c r="U5099">
        <v>-0.36959839999999999</v>
      </c>
      <c r="V5099">
        <v>-9.4279340000000003E-2</v>
      </c>
      <c r="W5099">
        <v>0.1770041</v>
      </c>
      <c r="X5099">
        <v>0.97968409999999995</v>
      </c>
      <c r="Y5099">
        <v>-0.21200330000000001</v>
      </c>
      <c r="Z5099">
        <v>2.6561990000000001E-2</v>
      </c>
      <c r="AA5099">
        <v>0.97690790000000005</v>
      </c>
      <c r="AB5099">
        <v>26</v>
      </c>
      <c r="AC5099">
        <v>17.751300000000001</v>
      </c>
      <c r="AD5099">
        <v>-1.114458152828</v>
      </c>
      <c r="AE5099">
        <v>-2.10995</v>
      </c>
      <c r="AF5099">
        <v>-3.8160924307464699</v>
      </c>
      <c r="AG5099">
        <v>-1.114458152828</v>
      </c>
      <c r="AH5099">
        <v>17.393342187167999</v>
      </c>
      <c r="AI5099">
        <v>93.581198784183201</v>
      </c>
      <c r="AJ5099">
        <v>102.37460247708</v>
      </c>
      <c r="AK5099">
        <v>17.841886975718701</v>
      </c>
      <c r="AL5099">
        <v>79.804694412727699</v>
      </c>
      <c r="AM5099">
        <v>95.496899284839998</v>
      </c>
      <c r="AN5099">
        <v>0.99999999058022704</v>
      </c>
    </row>
    <row r="5100" spans="1:40" x14ac:dyDescent="0.25">
      <c r="A5100" t="str">
        <f>"20190312173032283"</f>
        <v>20190312173032283</v>
      </c>
      <c r="B5100" t="str">
        <f>"1552383032272679"</f>
        <v>1552383032272679</v>
      </c>
      <c r="C5100" t="s">
        <v>40</v>
      </c>
      <c r="D5100">
        <v>3.24823</v>
      </c>
      <c r="E5100">
        <v>0.45592919999999998</v>
      </c>
      <c r="F5100" t="s">
        <v>55</v>
      </c>
      <c r="G5100">
        <v>-383.71120000000002</v>
      </c>
      <c r="H5100" s="1">
        <v>-3.2289990000000001E-6</v>
      </c>
      <c r="I5100">
        <v>18.174189999999999</v>
      </c>
      <c r="J5100">
        <v>-401.49959999999999</v>
      </c>
      <c r="K5100">
        <v>1.114395</v>
      </c>
      <c r="L5100">
        <v>20.253419999999998</v>
      </c>
      <c r="M5100">
        <v>0.94553350000000003</v>
      </c>
      <c r="N5100">
        <v>0</v>
      </c>
      <c r="O5100">
        <v>-0.32523400000000002</v>
      </c>
      <c r="P5100">
        <v>0.95860809999999996</v>
      </c>
      <c r="Q5100">
        <v>0.16440299999999999</v>
      </c>
      <c r="R5100">
        <v>-0.2324698</v>
      </c>
      <c r="S5100">
        <v>3.0751650000000001</v>
      </c>
      <c r="T5100">
        <v>-0.1913598</v>
      </c>
      <c r="U5100">
        <v>-0.363678</v>
      </c>
      <c r="V5100">
        <v>-9.3780790000000003E-2</v>
      </c>
      <c r="W5100">
        <v>0.17695569999999999</v>
      </c>
      <c r="X5100">
        <v>0.97974070000000002</v>
      </c>
      <c r="Y5100">
        <v>-0.2109597</v>
      </c>
      <c r="Z5100">
        <v>2.6308249999999998E-2</v>
      </c>
      <c r="AA5100">
        <v>0.97714069999999997</v>
      </c>
      <c r="AB5100">
        <v>26</v>
      </c>
      <c r="AC5100">
        <v>17.7883999999999</v>
      </c>
      <c r="AD5100">
        <v>-1.114398228999</v>
      </c>
      <c r="AE5100">
        <v>-2.0792299999999999</v>
      </c>
      <c r="AF5100">
        <v>-3.8050399422611201</v>
      </c>
      <c r="AG5100">
        <v>-1.114398228999</v>
      </c>
      <c r="AH5100">
        <v>17.429934797736799</v>
      </c>
      <c r="AI5100">
        <v>93.574323210890995</v>
      </c>
      <c r="AJ5100">
        <v>102.314746542066</v>
      </c>
      <c r="AK5100">
        <v>17.875201801052601</v>
      </c>
      <c r="AL5100">
        <v>79.807512079922503</v>
      </c>
      <c r="AM5100">
        <v>95.467694294525302</v>
      </c>
      <c r="AN5100">
        <v>0.99999999778600202</v>
      </c>
    </row>
    <row r="5101" spans="1:40" x14ac:dyDescent="0.25">
      <c r="A5101" t="str">
        <f>"20190312173032294"</f>
        <v>20190312173032294</v>
      </c>
      <c r="B5101" t="str">
        <f>"1552383032283415"</f>
        <v>1552383032283415</v>
      </c>
      <c r="C5101" t="s">
        <v>40</v>
      </c>
      <c r="D5101">
        <v>3.3028819999999999</v>
      </c>
      <c r="E5101">
        <v>0.45640700000000001</v>
      </c>
      <c r="F5101" t="s">
        <v>55</v>
      </c>
      <c r="G5101">
        <v>-383.45319999999998</v>
      </c>
      <c r="H5101" s="1">
        <v>-3.353931E-6</v>
      </c>
      <c r="I5101">
        <v>18.157589999999999</v>
      </c>
      <c r="J5101">
        <v>-401.38229999999999</v>
      </c>
      <c r="K5101">
        <v>1.1143369999999999</v>
      </c>
      <c r="L5101">
        <v>20.216460000000001</v>
      </c>
      <c r="M5101">
        <v>0.94645080000000004</v>
      </c>
      <c r="N5101">
        <v>0</v>
      </c>
      <c r="O5101">
        <v>-0.32255549999999999</v>
      </c>
      <c r="P5101">
        <v>0.95911769999999996</v>
      </c>
      <c r="Q5101">
        <v>0.1645441</v>
      </c>
      <c r="R5101">
        <v>-0.2302585</v>
      </c>
      <c r="S5101">
        <v>3.0755309999999998</v>
      </c>
      <c r="T5101">
        <v>-0.18991910000000001</v>
      </c>
      <c r="U5101">
        <v>-0.35717769999999999</v>
      </c>
      <c r="V5101">
        <v>-9.3233969999999999E-2</v>
      </c>
      <c r="W5101">
        <v>0.1771055</v>
      </c>
      <c r="X5101">
        <v>0.97976580000000002</v>
      </c>
      <c r="Y5101">
        <v>-0.2102639</v>
      </c>
      <c r="Z5101">
        <v>2.5934869999999999E-2</v>
      </c>
      <c r="AA5101">
        <v>0.97730059999999996</v>
      </c>
      <c r="AB5101">
        <v>26</v>
      </c>
      <c r="AC5101">
        <v>17.929099999999998</v>
      </c>
      <c r="AD5101">
        <v>-1.1143403539309999</v>
      </c>
      <c r="AE5101">
        <v>-2.0588700000000002</v>
      </c>
      <c r="AF5101">
        <v>-3.8203071782156401</v>
      </c>
      <c r="AG5101">
        <v>-1.1143403539309999</v>
      </c>
      <c r="AH5101">
        <v>17.5677957649986</v>
      </c>
      <c r="AI5101">
        <v>93.546783417448097</v>
      </c>
      <c r="AJ5101">
        <v>102.26857659623801</v>
      </c>
      <c r="AK5101">
        <v>18.012882873128</v>
      </c>
      <c r="AL5101">
        <v>79.798791218949901</v>
      </c>
      <c r="AM5101">
        <v>95.435866191496601</v>
      </c>
      <c r="AN5101">
        <v>0.99999997707092503</v>
      </c>
    </row>
    <row r="5102" spans="1:40" x14ac:dyDescent="0.25">
      <c r="A5102" t="str">
        <f>"20190312173032305"</f>
        <v>20190312173032305</v>
      </c>
      <c r="B5102" t="str">
        <f>"1552383032302934"</f>
        <v>1552383032302934</v>
      </c>
      <c r="C5102" t="s">
        <v>40</v>
      </c>
      <c r="D5102">
        <v>3.271633</v>
      </c>
      <c r="E5102">
        <v>0.45729510000000001</v>
      </c>
      <c r="F5102" t="s">
        <v>55</v>
      </c>
      <c r="G5102">
        <v>-383.35640000000001</v>
      </c>
      <c r="H5102" s="1">
        <v>-3.402137E-6</v>
      </c>
      <c r="I5102">
        <v>18.143609999999999</v>
      </c>
      <c r="J5102">
        <v>-401.25830000000002</v>
      </c>
      <c r="K5102">
        <v>1.1142700000000001</v>
      </c>
      <c r="L5102">
        <v>20.177489999999999</v>
      </c>
      <c r="M5102">
        <v>0.94740740000000001</v>
      </c>
      <c r="N5102">
        <v>0</v>
      </c>
      <c r="O5102">
        <v>-0.319735099999999</v>
      </c>
      <c r="P5102">
        <v>0.95981240000000001</v>
      </c>
      <c r="Q5102">
        <v>0.1643751</v>
      </c>
      <c r="R5102">
        <v>-0.22746739999999999</v>
      </c>
      <c r="S5102">
        <v>3.0755620000000001</v>
      </c>
      <c r="T5102">
        <v>-0.19012770000000001</v>
      </c>
      <c r="U5102">
        <v>-0.35366819999999999</v>
      </c>
      <c r="V5102">
        <v>-9.3147049999999995E-2</v>
      </c>
      <c r="W5102">
        <v>0.17694119999999999</v>
      </c>
      <c r="X5102">
        <v>0.9798038</v>
      </c>
      <c r="Y5102">
        <v>-0.20845959999999999</v>
      </c>
      <c r="Z5102">
        <v>2.5745379999999998E-2</v>
      </c>
      <c r="AA5102">
        <v>0.97769209999999995</v>
      </c>
      <c r="AB5102">
        <v>26</v>
      </c>
      <c r="AC5102">
        <v>17.901900000000001</v>
      </c>
      <c r="AD5102">
        <v>-1.114273402137</v>
      </c>
      <c r="AE5102">
        <v>-2.0338799999999999</v>
      </c>
      <c r="AF5102">
        <v>-3.7828422514916702</v>
      </c>
      <c r="AG5102">
        <v>-1.114273402137</v>
      </c>
      <c r="AH5102">
        <v>17.545248932884199</v>
      </c>
      <c r="AI5102">
        <v>93.5524766973396</v>
      </c>
      <c r="AJ5102">
        <v>102.167004877493</v>
      </c>
      <c r="AK5102">
        <v>17.982971412735299</v>
      </c>
      <c r="AL5102">
        <v>79.808356457008102</v>
      </c>
      <c r="AM5102">
        <v>95.430619398801099</v>
      </c>
      <c r="AN5102">
        <v>1.00000002383779</v>
      </c>
    </row>
    <row r="5103" spans="1:40" x14ac:dyDescent="0.25">
      <c r="A5103" t="str">
        <f>"20190312173032317"</f>
        <v>20190312173032317</v>
      </c>
      <c r="B5103" t="str">
        <f>"1552383032312694"</f>
        <v>1552383032312694</v>
      </c>
      <c r="C5103" t="s">
        <v>40</v>
      </c>
      <c r="D5103">
        <v>3.2619539999999998</v>
      </c>
      <c r="E5103">
        <v>0.45771800000000001</v>
      </c>
      <c r="F5103" t="s">
        <v>55</v>
      </c>
      <c r="G5103">
        <v>-383.41340000000002</v>
      </c>
      <c r="H5103" s="1">
        <v>-3.3765190000000001E-6</v>
      </c>
      <c r="I5103">
        <v>18.136310000000002</v>
      </c>
      <c r="J5103">
        <v>-401.1318</v>
      </c>
      <c r="K5103">
        <v>1.114212</v>
      </c>
      <c r="L5103">
        <v>20.138280000000002</v>
      </c>
      <c r="M5103">
        <v>0.94835760000000002</v>
      </c>
      <c r="N5103">
        <v>0</v>
      </c>
      <c r="O5103">
        <v>-0.31690590000000002</v>
      </c>
      <c r="P5103">
        <v>0.96034379999999997</v>
      </c>
      <c r="Q5103">
        <v>0.16427120000000001</v>
      </c>
      <c r="R5103">
        <v>-0.22528870000000001</v>
      </c>
      <c r="S5103">
        <v>3.0751339999999998</v>
      </c>
      <c r="T5103">
        <v>-0.1920171</v>
      </c>
      <c r="U5103">
        <v>-0.35174559999999999</v>
      </c>
      <c r="V5103">
        <v>-9.242301E-2</v>
      </c>
      <c r="W5103">
        <v>0.176848799999999</v>
      </c>
      <c r="X5103">
        <v>0.97988900000000001</v>
      </c>
      <c r="Y5103">
        <v>-0.20611789999999999</v>
      </c>
      <c r="Z5103">
        <v>2.576585E-2</v>
      </c>
      <c r="AA5103">
        <v>0.9781879</v>
      </c>
      <c r="AB5103">
        <v>26</v>
      </c>
      <c r="AC5103">
        <v>17.7183999999999</v>
      </c>
      <c r="AD5103">
        <v>-1.1142153765189999</v>
      </c>
      <c r="AE5103">
        <v>-2.0019699999999898</v>
      </c>
      <c r="AF5103">
        <v>-3.7023759730673098</v>
      </c>
      <c r="AG5103">
        <v>-1.1142153765189999</v>
      </c>
      <c r="AH5103">
        <v>17.371629456056201</v>
      </c>
      <c r="AI5103">
        <v>93.589520196652302</v>
      </c>
      <c r="AJ5103">
        <v>102.031307324743</v>
      </c>
      <c r="AK5103">
        <v>17.7967012030246</v>
      </c>
      <c r="AL5103">
        <v>79.8137349794833</v>
      </c>
      <c r="AM5103">
        <v>95.388190398747398</v>
      </c>
      <c r="AN5103">
        <v>0.99999998157994896</v>
      </c>
    </row>
    <row r="5104" spans="1:40" x14ac:dyDescent="0.25">
      <c r="A5104" t="str">
        <f>"20190312173032329"</f>
        <v>20190312173032329</v>
      </c>
      <c r="B5104" t="str">
        <f>"1552383032323431"</f>
        <v>1552383032323431</v>
      </c>
      <c r="C5104" t="s">
        <v>40</v>
      </c>
      <c r="D5104">
        <v>3.3014169999999998</v>
      </c>
      <c r="E5104">
        <v>0.45789980000000002</v>
      </c>
      <c r="F5104" t="s">
        <v>55</v>
      </c>
      <c r="G5104">
        <v>-383.36770000000001</v>
      </c>
      <c r="H5104" s="1">
        <v>-3.3995790000000001E-6</v>
      </c>
      <c r="I5104">
        <v>18.127939999999999</v>
      </c>
      <c r="J5104">
        <v>-401.00740000000002</v>
      </c>
      <c r="K5104">
        <v>1.114155</v>
      </c>
      <c r="L5104">
        <v>20.100010000000001</v>
      </c>
      <c r="M5104">
        <v>0.94927320000000004</v>
      </c>
      <c r="N5104">
        <v>0</v>
      </c>
      <c r="O5104">
        <v>-0.31415320000000002</v>
      </c>
      <c r="P5104">
        <v>0.9609048</v>
      </c>
      <c r="Q5104">
        <v>0.1641996</v>
      </c>
      <c r="R5104">
        <v>-0.22293679999999999</v>
      </c>
      <c r="S5104">
        <v>3.075256</v>
      </c>
      <c r="T5104">
        <v>-0.192889</v>
      </c>
      <c r="U5104">
        <v>-0.34802250000000001</v>
      </c>
      <c r="V5104">
        <v>-9.1956819999999995E-2</v>
      </c>
      <c r="W5104">
        <v>0.17678489999999999</v>
      </c>
      <c r="X5104">
        <v>0.97994440000000005</v>
      </c>
      <c r="Y5104">
        <v>-0.20445179999999999</v>
      </c>
      <c r="Z5104">
        <v>2.566881E-2</v>
      </c>
      <c r="AA5104">
        <v>0.97853999999999997</v>
      </c>
      <c r="AB5104">
        <v>26</v>
      </c>
      <c r="AC5104">
        <v>17.639700000000001</v>
      </c>
      <c r="AD5104">
        <v>-1.1141583995790001</v>
      </c>
      <c r="AE5104">
        <v>-1.97207</v>
      </c>
      <c r="AF5104">
        <v>-3.65547700868319</v>
      </c>
      <c r="AG5104">
        <v>-1.1141583995790001</v>
      </c>
      <c r="AH5104">
        <v>17.297903424197902</v>
      </c>
      <c r="AI5104">
        <v>93.605911614749104</v>
      </c>
      <c r="AJ5104">
        <v>101.932462377551</v>
      </c>
      <c r="AK5104">
        <v>17.7150027934867</v>
      </c>
      <c r="AL5104">
        <v>79.817454900905901</v>
      </c>
      <c r="AM5104">
        <v>95.3608693172758</v>
      </c>
      <c r="AN5104">
        <v>0.99999999235194104</v>
      </c>
    </row>
    <row r="5105" spans="1:40" x14ac:dyDescent="0.25">
      <c r="A5105" t="str">
        <f>"20190312173032344"</f>
        <v>20190312173032344</v>
      </c>
      <c r="B5105" t="str">
        <f>"1552383032333190"</f>
        <v>1552383032333190</v>
      </c>
      <c r="C5105" t="s">
        <v>40</v>
      </c>
      <c r="D5105">
        <v>3.2939949999999998</v>
      </c>
      <c r="E5105">
        <v>0.45828140000000001</v>
      </c>
      <c r="F5105" t="s">
        <v>55</v>
      </c>
      <c r="G5105">
        <v>-383.00880000000001</v>
      </c>
      <c r="H5105" s="1">
        <v>-3.5742960000000001E-6</v>
      </c>
      <c r="I5105">
        <v>18.09938</v>
      </c>
      <c r="J5105">
        <v>-400.83969999999999</v>
      </c>
      <c r="K5105">
        <v>1.1140810000000001</v>
      </c>
      <c r="L5105">
        <v>20.048829999999999</v>
      </c>
      <c r="M5105">
        <v>0.95047939999999997</v>
      </c>
      <c r="N5105">
        <v>0</v>
      </c>
      <c r="O5105">
        <v>-0.31048520000000002</v>
      </c>
      <c r="P5105">
        <v>0.96173540000000002</v>
      </c>
      <c r="Q5105">
        <v>0.16398370000000001</v>
      </c>
      <c r="R5105">
        <v>-0.21948709999999999</v>
      </c>
      <c r="S5105">
        <v>3.075256</v>
      </c>
      <c r="T5105">
        <v>-0.1903658</v>
      </c>
      <c r="U5105">
        <v>-0.3418274</v>
      </c>
      <c r="V5105">
        <v>-9.166639E-2</v>
      </c>
      <c r="W5105">
        <v>0.1765765</v>
      </c>
      <c r="X5105">
        <v>0.98000920000000002</v>
      </c>
      <c r="Y5105">
        <v>-0.20265369999999999</v>
      </c>
      <c r="Z5105">
        <v>2.506734E-2</v>
      </c>
      <c r="AA5105">
        <v>0.97892959999999996</v>
      </c>
      <c r="AB5105">
        <v>26</v>
      </c>
      <c r="AC5105">
        <v>17.8308999999999</v>
      </c>
      <c r="AD5105">
        <v>-1.1140845742959999</v>
      </c>
      <c r="AE5105">
        <v>-1.9494499999999899</v>
      </c>
      <c r="AF5105">
        <v>-3.6695085965646701</v>
      </c>
      <c r="AG5105">
        <v>-1.1140845742959999</v>
      </c>
      <c r="AH5105">
        <v>17.4873662610783</v>
      </c>
      <c r="AI5105">
        <v>93.567776823819599</v>
      </c>
      <c r="AJ5105">
        <v>101.85087212209901</v>
      </c>
      <c r="AK5105">
        <v>17.902917542346099</v>
      </c>
      <c r="AL5105">
        <v>79.829586366999095</v>
      </c>
      <c r="AM5105">
        <v>95.343684789470998</v>
      </c>
      <c r="AN5105">
        <v>1.00000000974626</v>
      </c>
    </row>
    <row r="5106" spans="1:40" x14ac:dyDescent="0.25">
      <c r="A5106" t="str">
        <f>"20190312173032364"</f>
        <v>20190312173032364</v>
      </c>
      <c r="B5106" t="str">
        <f>"1552383032352710"</f>
        <v>1552383032352710</v>
      </c>
      <c r="C5106" t="s">
        <v>40</v>
      </c>
      <c r="D5106">
        <v>3.2480730000000002</v>
      </c>
      <c r="E5106">
        <v>0.45891399999999999</v>
      </c>
      <c r="F5106" t="s">
        <v>55</v>
      </c>
      <c r="G5106">
        <v>-382.8503</v>
      </c>
      <c r="H5106" s="1">
        <v>-3.649771E-6</v>
      </c>
      <c r="I5106">
        <v>18.096240000000002</v>
      </c>
      <c r="J5106">
        <v>-400.62759999999997</v>
      </c>
      <c r="K5106">
        <v>1.1139870000000001</v>
      </c>
      <c r="L5106">
        <v>19.98517</v>
      </c>
      <c r="M5106">
        <v>0.9519495</v>
      </c>
      <c r="N5106">
        <v>0</v>
      </c>
      <c r="O5106">
        <v>-0.30594900000000003</v>
      </c>
      <c r="P5106">
        <v>0.96255590000000002</v>
      </c>
      <c r="Q5106">
        <v>0.16404150000000001</v>
      </c>
      <c r="R5106">
        <v>-0.2158158</v>
      </c>
      <c r="S5106">
        <v>3.0756230000000002</v>
      </c>
      <c r="T5106">
        <v>-0.19047359999999999</v>
      </c>
      <c r="U5106">
        <v>-0.33383180000000001</v>
      </c>
      <c r="V5106">
        <v>-9.0688009999999999E-2</v>
      </c>
      <c r="W5106">
        <v>0.17664879999999999</v>
      </c>
      <c r="X5106">
        <v>0.98008720000000005</v>
      </c>
      <c r="Y5106">
        <v>-0.20052200000000001</v>
      </c>
      <c r="Z5106">
        <v>2.4751479999999999E-2</v>
      </c>
      <c r="AA5106">
        <v>0.97937649999999998</v>
      </c>
      <c r="AB5106">
        <v>26</v>
      </c>
      <c r="AC5106">
        <v>17.777299999999901</v>
      </c>
      <c r="AD5106">
        <v>-1.1139906497709999</v>
      </c>
      <c r="AE5106">
        <v>-1.88893</v>
      </c>
      <c r="AF5106">
        <v>-3.62703888977035</v>
      </c>
      <c r="AG5106">
        <v>-1.1139906497709999</v>
      </c>
      <c r="AH5106">
        <v>17.4349497172688</v>
      </c>
      <c r="AI5106">
        <v>93.579464159474298</v>
      </c>
      <c r="AJ5106">
        <v>101.751776996385</v>
      </c>
      <c r="AK5106">
        <v>17.843033876540598</v>
      </c>
      <c r="AL5106">
        <v>79.825377795146196</v>
      </c>
      <c r="AM5106">
        <v>95.286556759431903</v>
      </c>
      <c r="AN5106">
        <v>1.0000000166515199</v>
      </c>
    </row>
    <row r="5107" spans="1:40" x14ac:dyDescent="0.25">
      <c r="A5107" t="str">
        <f>"20190312173032379"</f>
        <v>20190312173032379</v>
      </c>
      <c r="B5107" t="str">
        <f>"1552383032373209"</f>
        <v>1552383032373209</v>
      </c>
      <c r="C5107" t="s">
        <v>40</v>
      </c>
      <c r="D5107">
        <v>3.3591739999999999</v>
      </c>
      <c r="E5107">
        <v>0.45957870000000001</v>
      </c>
      <c r="F5107" t="s">
        <v>55</v>
      </c>
      <c r="G5107">
        <v>-382.49130000000002</v>
      </c>
      <c r="H5107" s="1">
        <v>-3.8264110000000004E-6</v>
      </c>
      <c r="I5107">
        <v>18.057300000000001</v>
      </c>
      <c r="J5107">
        <v>-400.46359999999999</v>
      </c>
      <c r="K5107">
        <v>1.1139209999999999</v>
      </c>
      <c r="L5107">
        <v>19.93674</v>
      </c>
      <c r="M5107">
        <v>0.95304540000000004</v>
      </c>
      <c r="N5107">
        <v>0</v>
      </c>
      <c r="O5107">
        <v>-0.30251840000000002</v>
      </c>
      <c r="P5107">
        <v>0.9631632</v>
      </c>
      <c r="Q5107">
        <v>0.16415829999999901</v>
      </c>
      <c r="R5107">
        <v>-0.21299969999999999</v>
      </c>
      <c r="S5107">
        <v>3.0756230000000002</v>
      </c>
      <c r="T5107">
        <v>-0.1889149</v>
      </c>
      <c r="U5107">
        <v>-0.32693480000000003</v>
      </c>
      <c r="V5107">
        <v>-8.9989570000000005E-2</v>
      </c>
      <c r="W5107">
        <v>0.17677509999999999</v>
      </c>
      <c r="X5107">
        <v>0.98012880000000002</v>
      </c>
      <c r="Y5107">
        <v>-0.19918830000000001</v>
      </c>
      <c r="Z5107">
        <v>2.431262E-2</v>
      </c>
      <c r="AA5107">
        <v>0.97965959999999996</v>
      </c>
      <c r="AB5107">
        <v>26</v>
      </c>
      <c r="AC5107">
        <v>17.972299999999901</v>
      </c>
      <c r="AD5107">
        <v>-1.113924826411</v>
      </c>
      <c r="AE5107">
        <v>-1.87943999999999</v>
      </c>
      <c r="AF5107">
        <v>-3.63229822483635</v>
      </c>
      <c r="AG5107">
        <v>-1.113924826411</v>
      </c>
      <c r="AH5107">
        <v>17.631638851731001</v>
      </c>
      <c r="AI5107">
        <v>93.540844708755699</v>
      </c>
      <c r="AJ5107">
        <v>101.640663478676</v>
      </c>
      <c r="AK5107">
        <v>18.036327439667801</v>
      </c>
      <c r="AL5107">
        <v>79.818025582917699</v>
      </c>
      <c r="AM5107">
        <v>95.245848603112293</v>
      </c>
      <c r="AN5107">
        <v>1.0000000116391099</v>
      </c>
    </row>
    <row r="5108" spans="1:40" x14ac:dyDescent="0.25">
      <c r="A5108" t="str">
        <f>"20190312173032396"</f>
        <v>20190312173032396</v>
      </c>
      <c r="B5108" t="str">
        <f>"1552383032392727"</f>
        <v>1552383032392727</v>
      </c>
      <c r="C5108" t="s">
        <v>40</v>
      </c>
      <c r="D5108">
        <v>3.3031030000000001</v>
      </c>
      <c r="E5108">
        <v>0.45991579999999899</v>
      </c>
      <c r="F5108" t="s">
        <v>55</v>
      </c>
      <c r="G5108">
        <v>-382.0693</v>
      </c>
      <c r="H5108" s="1">
        <v>-4.0353540000000004E-6</v>
      </c>
      <c r="I5108">
        <v>18.003879999999999</v>
      </c>
      <c r="J5108">
        <v>-400.27600000000001</v>
      </c>
      <c r="K5108">
        <v>1.1138479999999999</v>
      </c>
      <c r="L5108">
        <v>19.881930000000001</v>
      </c>
      <c r="M5108">
        <v>0.95426549999999999</v>
      </c>
      <c r="N5108">
        <v>0</v>
      </c>
      <c r="O5108">
        <v>-0.29864819999999997</v>
      </c>
      <c r="P5108">
        <v>0.96389380000000002</v>
      </c>
      <c r="Q5108">
        <v>0.16418659999999999</v>
      </c>
      <c r="R5108">
        <v>-0.2096469</v>
      </c>
      <c r="S5108">
        <v>3.0750120000000001</v>
      </c>
      <c r="T5108">
        <v>-0.18621699999999999</v>
      </c>
      <c r="U5108">
        <v>-0.32312010000000002</v>
      </c>
      <c r="V5108">
        <v>-8.9388869999999995E-2</v>
      </c>
      <c r="W5108">
        <v>0.17681169999999999</v>
      </c>
      <c r="X5108">
        <v>0.98017719999999997</v>
      </c>
      <c r="Y5108">
        <v>-0.1964293</v>
      </c>
      <c r="Z5108">
        <v>2.3666739999999999E-2</v>
      </c>
      <c r="AA5108">
        <v>0.98023229999999995</v>
      </c>
      <c r="AB5108">
        <v>26</v>
      </c>
      <c r="AC5108">
        <v>18.206700000000001</v>
      </c>
      <c r="AD5108">
        <v>-1.113852035354</v>
      </c>
      <c r="AE5108">
        <v>-1.87805</v>
      </c>
      <c r="AF5108">
        <v>-3.6321289426133401</v>
      </c>
      <c r="AG5108">
        <v>-1.113852035354</v>
      </c>
      <c r="AH5108">
        <v>17.870395056561399</v>
      </c>
      <c r="AI5108">
        <v>93.495318522725199</v>
      </c>
      <c r="AJ5108">
        <v>101.488780530347</v>
      </c>
      <c r="AK5108">
        <v>18.269757702006</v>
      </c>
      <c r="AL5108">
        <v>79.815895343544398</v>
      </c>
      <c r="AM5108">
        <v>95.210768948856597</v>
      </c>
      <c r="AN5108">
        <v>1.0000000453683</v>
      </c>
    </row>
    <row r="5109" spans="1:40" x14ac:dyDescent="0.25">
      <c r="A5109" t="str">
        <f>"20190312173032418"</f>
        <v>20190312173032418</v>
      </c>
      <c r="B5109" t="str">
        <f>"1552383032413222"</f>
        <v>1552383032413222</v>
      </c>
      <c r="C5109" t="s">
        <v>40</v>
      </c>
      <c r="D5109">
        <v>3.3518849999999998</v>
      </c>
      <c r="E5109">
        <v>0.46872029999999998</v>
      </c>
      <c r="F5109" t="s">
        <v>55</v>
      </c>
      <c r="G5109">
        <v>-381.74209999999999</v>
      </c>
      <c r="H5109" s="1">
        <v>-4.1939479999999901E-6</v>
      </c>
      <c r="I5109">
        <v>17.9818</v>
      </c>
      <c r="J5109">
        <v>-400.04059999999998</v>
      </c>
      <c r="K5109">
        <v>1.113758</v>
      </c>
      <c r="L5109">
        <v>19.814209999999999</v>
      </c>
      <c r="M5109">
        <v>0.95574099999999995</v>
      </c>
      <c r="N5109">
        <v>0</v>
      </c>
      <c r="O5109">
        <v>-0.2938926</v>
      </c>
      <c r="P5109">
        <v>0.9649238</v>
      </c>
      <c r="Q5109">
        <v>0.16342609999999999</v>
      </c>
      <c r="R5109">
        <v>-0.2054608</v>
      </c>
      <c r="S5109">
        <v>3.0752259999999998</v>
      </c>
      <c r="T5109">
        <v>-0.18481500000000001</v>
      </c>
      <c r="U5109">
        <v>-0.31527709999999998</v>
      </c>
      <c r="V5109">
        <v>-8.8753139999999994E-2</v>
      </c>
      <c r="W5109">
        <v>0.176063</v>
      </c>
      <c r="X5109">
        <v>0.98036970000000001</v>
      </c>
      <c r="Y5109">
        <v>-0.19405220000000001</v>
      </c>
      <c r="Z5109">
        <v>2.314826E-2</v>
      </c>
      <c r="AA5109">
        <v>0.98071810000000004</v>
      </c>
      <c r="AB5109">
        <v>26</v>
      </c>
      <c r="AC5109">
        <v>18.298499999999901</v>
      </c>
      <c r="AD5109">
        <v>-1.113762193948</v>
      </c>
      <c r="AE5109">
        <v>-1.8324099999999901</v>
      </c>
      <c r="AF5109">
        <v>-3.61356789514263</v>
      </c>
      <c r="AG5109">
        <v>-1.113762193948</v>
      </c>
      <c r="AH5109">
        <v>17.962950944647201</v>
      </c>
      <c r="AI5109">
        <v>93.478475255722103</v>
      </c>
      <c r="AJ5109">
        <v>101.374256304911</v>
      </c>
      <c r="AK5109">
        <v>18.356632201939298</v>
      </c>
      <c r="AL5109">
        <v>79.8594761815677</v>
      </c>
      <c r="AM5109">
        <v>95.172901611314302</v>
      </c>
      <c r="AN5109">
        <v>1.0000000242534699</v>
      </c>
    </row>
    <row r="5110" spans="1:40" x14ac:dyDescent="0.25">
      <c r="A5110" t="str">
        <f>"20190312173032428"</f>
        <v>20190312173032428</v>
      </c>
      <c r="B5110" t="str">
        <f>"1552383032422983"</f>
        <v>1552383032422983</v>
      </c>
      <c r="C5110" t="s">
        <v>40</v>
      </c>
      <c r="D5110">
        <v>3.3238240000000001</v>
      </c>
      <c r="E5110">
        <v>0.46880040000000001</v>
      </c>
      <c r="F5110" t="s">
        <v>56</v>
      </c>
      <c r="G5110">
        <v>-379.4248</v>
      </c>
      <c r="H5110" s="1">
        <v>-8.1782089999999898E-7</v>
      </c>
      <c r="I5110">
        <v>17.313510000000001</v>
      </c>
      <c r="J5110">
        <v>-399.91950000000003</v>
      </c>
      <c r="K5110">
        <v>1.1137079999999999</v>
      </c>
      <c r="L5110">
        <v>19.779820000000001</v>
      </c>
      <c r="M5110">
        <v>0.95647559999999998</v>
      </c>
      <c r="N5110">
        <v>0</v>
      </c>
      <c r="O5110">
        <v>-0.29149370000000002</v>
      </c>
      <c r="P5110">
        <v>0.96539969999999997</v>
      </c>
      <c r="Q5110">
        <v>0.16344439999999999</v>
      </c>
      <c r="R5110">
        <v>-0.20319860000000001</v>
      </c>
      <c r="S5110">
        <v>3.0580440000000002</v>
      </c>
      <c r="T5110">
        <v>-0.16520889999999999</v>
      </c>
      <c r="U5110">
        <v>-0.37094120000000003</v>
      </c>
      <c r="V5110">
        <v>-8.856907E-2</v>
      </c>
      <c r="W5110">
        <v>0.17608509999999999</v>
      </c>
      <c r="X5110">
        <v>0.98038230000000004</v>
      </c>
      <c r="Y5110">
        <v>-0.1735592</v>
      </c>
      <c r="Z5110">
        <v>2.0105609999999999E-2</v>
      </c>
      <c r="AA5110">
        <v>0.9846182</v>
      </c>
      <c r="AB5110">
        <v>26</v>
      </c>
      <c r="AC5110">
        <v>20.494700000000002</v>
      </c>
      <c r="AD5110">
        <v>-1.11370881782089</v>
      </c>
      <c r="AE5110">
        <v>-2.46631</v>
      </c>
      <c r="AF5110">
        <v>-3.6049531890667499</v>
      </c>
      <c r="AG5110">
        <v>-1.11370881782089</v>
      </c>
      <c r="AH5110">
        <v>20.264496548532598</v>
      </c>
      <c r="AI5110">
        <v>93.097203081998302</v>
      </c>
      <c r="AJ5110">
        <v>100.087110005789</v>
      </c>
      <c r="AK5110">
        <v>20.6127595239392</v>
      </c>
      <c r="AL5110">
        <v>79.858189070737694</v>
      </c>
      <c r="AM5110">
        <v>95.162165284861103</v>
      </c>
      <c r="AN5110">
        <v>0.99999994837798101</v>
      </c>
    </row>
    <row r="5111" spans="1:40" x14ac:dyDescent="0.25">
      <c r="A5111" t="str">
        <f>"20190312173032440"</f>
        <v>20190312173032440</v>
      </c>
      <c r="B5111" t="str">
        <f>"1552383032432742"</f>
        <v>1552383032432742</v>
      </c>
      <c r="C5111" t="s">
        <v>40</v>
      </c>
      <c r="D5111">
        <v>3.3395329999999999</v>
      </c>
      <c r="E5111">
        <v>0.46901280000000001</v>
      </c>
      <c r="F5111" t="s">
        <v>56</v>
      </c>
      <c r="G5111">
        <v>-379.0188</v>
      </c>
      <c r="H5111" s="1">
        <v>-9.8012810000000002E-7</v>
      </c>
      <c r="I5111">
        <v>17.289490000000001</v>
      </c>
      <c r="J5111">
        <v>-399.7928</v>
      </c>
      <c r="K5111">
        <v>1.113658</v>
      </c>
      <c r="L5111">
        <v>19.74408</v>
      </c>
      <c r="M5111">
        <v>0.95722790000000002</v>
      </c>
      <c r="N5111">
        <v>0</v>
      </c>
      <c r="O5111">
        <v>-0.28901399999999999</v>
      </c>
      <c r="P5111">
        <v>0.96589309999999995</v>
      </c>
      <c r="Q5111">
        <v>0.16330120000000001</v>
      </c>
      <c r="R5111">
        <v>-0.2009571</v>
      </c>
      <c r="S5111">
        <v>3.058411</v>
      </c>
      <c r="T5111">
        <v>-0.16296939999999999</v>
      </c>
      <c r="U5111">
        <v>-0.36441040000000002</v>
      </c>
      <c r="V5111">
        <v>-8.828751E-2</v>
      </c>
      <c r="W5111">
        <v>0.1759481</v>
      </c>
      <c r="X5111">
        <v>0.98043230000000003</v>
      </c>
      <c r="Y5111">
        <v>-0.17311509999999999</v>
      </c>
      <c r="Z5111">
        <v>1.9696999999999999E-2</v>
      </c>
      <c r="AA5111">
        <v>0.98470460000000004</v>
      </c>
      <c r="AB5111">
        <v>26</v>
      </c>
      <c r="AC5111">
        <v>20.774000000000001</v>
      </c>
      <c r="AD5111">
        <v>-1.1136589801281001</v>
      </c>
      <c r="AE5111">
        <v>-2.45459</v>
      </c>
      <c r="AF5111">
        <v>-3.64438486787826</v>
      </c>
      <c r="AG5111">
        <v>-1.1136589801281001</v>
      </c>
      <c r="AH5111">
        <v>20.5385632452411</v>
      </c>
      <c r="AI5111">
        <v>93.056054832264294</v>
      </c>
      <c r="AJ5111">
        <v>100.061896629385</v>
      </c>
      <c r="AK5111">
        <v>20.889096619241499</v>
      </c>
      <c r="AL5111">
        <v>79.866163173926793</v>
      </c>
      <c r="AM5111">
        <v>95.1455820490403</v>
      </c>
      <c r="AN5111">
        <v>0.99999995659944896</v>
      </c>
    </row>
    <row r="5112" spans="1:40" x14ac:dyDescent="0.25">
      <c r="A5112" t="str">
        <f>"20190312173032451"</f>
        <v>20190312173032451</v>
      </c>
      <c r="B5112" t="str">
        <f>"1552383032442503"</f>
        <v>1552383032442503</v>
      </c>
      <c r="C5112" t="s">
        <v>40</v>
      </c>
      <c r="D5112">
        <v>3.3672840000000002</v>
      </c>
      <c r="E5112">
        <v>0.46935179999999999</v>
      </c>
      <c r="F5112" t="s">
        <v>56</v>
      </c>
      <c r="G5112">
        <v>-378.9135</v>
      </c>
      <c r="H5112" s="1">
        <v>-1.019809E-6</v>
      </c>
      <c r="I5112">
        <v>17.29224</v>
      </c>
      <c r="J5112">
        <v>-399.67250000000001</v>
      </c>
      <c r="K5112">
        <v>1.1136079999999999</v>
      </c>
      <c r="L5112">
        <v>19.710540000000002</v>
      </c>
      <c r="M5112">
        <v>0.95792160000000004</v>
      </c>
      <c r="N5112">
        <v>0</v>
      </c>
      <c r="O5112">
        <v>-0.28670620000000002</v>
      </c>
      <c r="P5112">
        <v>0.96629180000000003</v>
      </c>
      <c r="Q5112">
        <v>0.16319879999999901</v>
      </c>
      <c r="R5112">
        <v>-0.1991135</v>
      </c>
      <c r="S5112">
        <v>3.0587770000000001</v>
      </c>
      <c r="T5112">
        <v>-0.16314960000000001</v>
      </c>
      <c r="U5112">
        <v>-0.35919190000000001</v>
      </c>
      <c r="V5112">
        <v>-8.7775679999999995E-2</v>
      </c>
      <c r="W5112">
        <v>0.1758537</v>
      </c>
      <c r="X5112">
        <v>0.98049520000000001</v>
      </c>
      <c r="Y5112">
        <v>-0.17241489999999901</v>
      </c>
      <c r="Z5112">
        <v>1.958323E-2</v>
      </c>
      <c r="AA5112">
        <v>0.98482970000000003</v>
      </c>
      <c r="AB5112">
        <v>26</v>
      </c>
      <c r="AC5112">
        <v>20.759</v>
      </c>
      <c r="AD5112">
        <v>-1.1136090198089901</v>
      </c>
      <c r="AE5112">
        <v>-2.4182999999999901</v>
      </c>
      <c r="AF5112">
        <v>-3.6252370571922499</v>
      </c>
      <c r="AG5112">
        <v>-1.1136090198089901</v>
      </c>
      <c r="AH5112">
        <v>20.522479995741602</v>
      </c>
      <c r="AI5112">
        <v>93.058724403335205</v>
      </c>
      <c r="AJ5112">
        <v>100.017788749215</v>
      </c>
      <c r="AK5112">
        <v>20.8699461893281</v>
      </c>
      <c r="AL5112">
        <v>79.871657656196803</v>
      </c>
      <c r="AM5112">
        <v>95.115583824326706</v>
      </c>
      <c r="AN5112">
        <v>0.999999965513095</v>
      </c>
    </row>
    <row r="5113" spans="1:40" x14ac:dyDescent="0.25">
      <c r="A5113" t="str">
        <f>"20190312173032462"</f>
        <v>20190312173032462</v>
      </c>
      <c r="B5113" t="str">
        <f>"1552383032453238"</f>
        <v>1552383032453238</v>
      </c>
      <c r="C5113" t="s">
        <v>40</v>
      </c>
      <c r="D5113">
        <v>3.3250199999999999</v>
      </c>
      <c r="E5113">
        <v>0.46987020000000002</v>
      </c>
      <c r="F5113" t="s">
        <v>56</v>
      </c>
      <c r="G5113">
        <v>-378.69130000000001</v>
      </c>
      <c r="H5113" s="1">
        <v>-1.1114770000000001E-6</v>
      </c>
      <c r="I5113">
        <v>17.268470000000001</v>
      </c>
      <c r="J5113">
        <v>-399.54750000000001</v>
      </c>
      <c r="K5113">
        <v>1.1135539999999999</v>
      </c>
      <c r="L5113">
        <v>19.67587</v>
      </c>
      <c r="M5113">
        <v>0.95863120000000002</v>
      </c>
      <c r="N5113">
        <v>0</v>
      </c>
      <c r="O5113">
        <v>-0.28432540000000001</v>
      </c>
      <c r="P5113">
        <v>0.96669349999999998</v>
      </c>
      <c r="Q5113">
        <v>0.1631775</v>
      </c>
      <c r="R5113">
        <v>-0.19717280000000001</v>
      </c>
      <c r="S5113">
        <v>3.0587460000000002</v>
      </c>
      <c r="T5113">
        <v>-0.16234789999999999</v>
      </c>
      <c r="U5113">
        <v>-0.356018099999999</v>
      </c>
      <c r="V5113">
        <v>-8.7284500000000001E-2</v>
      </c>
      <c r="W5113">
        <v>0.1758401</v>
      </c>
      <c r="X5113">
        <v>0.98054149999999995</v>
      </c>
      <c r="Y5113">
        <v>-0.17098559999999999</v>
      </c>
      <c r="Z5113">
        <v>1.9330549999999998E-2</v>
      </c>
      <c r="AA5113">
        <v>0.98508390000000001</v>
      </c>
      <c r="AB5113">
        <v>26</v>
      </c>
      <c r="AC5113">
        <v>20.856200000000001</v>
      </c>
      <c r="AD5113">
        <v>-1.1135551114769999</v>
      </c>
      <c r="AE5113">
        <v>-2.4073999999999902</v>
      </c>
      <c r="AF5113">
        <v>-3.6123120196288698</v>
      </c>
      <c r="AG5113">
        <v>-1.1135551114769999</v>
      </c>
      <c r="AH5113">
        <v>20.621791174174099</v>
      </c>
      <c r="AI5113">
        <v>93.044640784668104</v>
      </c>
      <c r="AJ5113">
        <v>99.935676835796201</v>
      </c>
      <c r="AK5113">
        <v>20.965377991934599</v>
      </c>
      <c r="AL5113">
        <v>79.872449350916298</v>
      </c>
      <c r="AM5113">
        <v>95.086869434200494</v>
      </c>
      <c r="AN5113">
        <v>0.99999997896525405</v>
      </c>
    </row>
    <row r="5114" spans="1:40" x14ac:dyDescent="0.25">
      <c r="A5114" t="str">
        <f>"20190312173032473"</f>
        <v>20190312173032473</v>
      </c>
      <c r="B5114" t="str">
        <f>"1552383032462999"</f>
        <v>1552383032462999</v>
      </c>
      <c r="C5114" t="s">
        <v>40</v>
      </c>
      <c r="D5114">
        <v>3.3525610000000001</v>
      </c>
      <c r="E5114">
        <v>0.47010550000000001</v>
      </c>
      <c r="F5114" t="s">
        <v>56</v>
      </c>
      <c r="G5114">
        <v>-378.72739999999999</v>
      </c>
      <c r="H5114" s="1">
        <v>-1.097856E-6</v>
      </c>
      <c r="I5114">
        <v>17.267569999999999</v>
      </c>
      <c r="J5114">
        <v>-399.43439999999998</v>
      </c>
      <c r="K5114">
        <v>1.113502</v>
      </c>
      <c r="L5114">
        <v>19.644870000000001</v>
      </c>
      <c r="M5114">
        <v>0.95925179999999999</v>
      </c>
      <c r="N5114">
        <v>0</v>
      </c>
      <c r="O5114">
        <v>-0.28222530000000001</v>
      </c>
      <c r="P5114">
        <v>0.96709420000000001</v>
      </c>
      <c r="Q5114">
        <v>0.1632806</v>
      </c>
      <c r="R5114">
        <v>-0.1951108</v>
      </c>
      <c r="S5114">
        <v>3.0588380000000002</v>
      </c>
      <c r="T5114">
        <v>-0.1636003</v>
      </c>
      <c r="U5114">
        <v>-0.35382079999999999</v>
      </c>
      <c r="V5114">
        <v>-8.720145E-2</v>
      </c>
      <c r="W5114">
        <v>0.17594660000000001</v>
      </c>
      <c r="X5114">
        <v>0.98052980000000001</v>
      </c>
      <c r="Y5114">
        <v>-0.1695246</v>
      </c>
      <c r="Z5114">
        <v>1.933379E-2</v>
      </c>
      <c r="AA5114">
        <v>0.98533630000000005</v>
      </c>
      <c r="AB5114">
        <v>26</v>
      </c>
      <c r="AC5114">
        <v>20.706999999999901</v>
      </c>
      <c r="AD5114">
        <v>-1.1135030978560001</v>
      </c>
      <c r="AE5114">
        <v>-2.3772999999999902</v>
      </c>
      <c r="AF5114">
        <v>-3.5537967055366901</v>
      </c>
      <c r="AG5114">
        <v>-1.1135030978560001</v>
      </c>
      <c r="AH5114">
        <v>20.4776153599846</v>
      </c>
      <c r="AI5114">
        <v>93.066734486077294</v>
      </c>
      <c r="AJ5114">
        <v>99.845361715994798</v>
      </c>
      <c r="AK5114">
        <v>20.813507417172499</v>
      </c>
      <c r="AL5114">
        <v>79.866250860678207</v>
      </c>
      <c r="AM5114">
        <v>95.082115029244903</v>
      </c>
      <c r="AN5114">
        <v>0.99999999381085103</v>
      </c>
    </row>
    <row r="5115" spans="1:40" x14ac:dyDescent="0.25">
      <c r="A5115" t="str">
        <f>"20190312173032484"</f>
        <v>20190312173032484</v>
      </c>
      <c r="B5115" t="str">
        <f>"1552383032472758"</f>
        <v>1552383032472758</v>
      </c>
      <c r="C5115" t="s">
        <v>40</v>
      </c>
      <c r="D5115">
        <v>3.399858</v>
      </c>
      <c r="E5115">
        <v>0.47024009999999999</v>
      </c>
      <c r="F5115" t="s">
        <v>56</v>
      </c>
      <c r="G5115">
        <v>-378.63869999999997</v>
      </c>
      <c r="H5115" s="1">
        <v>-1.131105E-6</v>
      </c>
      <c r="I5115">
        <v>17.270600000000002</v>
      </c>
      <c r="J5115">
        <v>-399.3109</v>
      </c>
      <c r="K5115">
        <v>1.1134440000000001</v>
      </c>
      <c r="L5115">
        <v>19.611149999999999</v>
      </c>
      <c r="M5115">
        <v>0.9599202</v>
      </c>
      <c r="N5115">
        <v>0</v>
      </c>
      <c r="O5115">
        <v>-0.27994340000000001</v>
      </c>
      <c r="P5115">
        <v>0.96750590000000003</v>
      </c>
      <c r="Q5115">
        <v>0.16306760000000001</v>
      </c>
      <c r="R5115">
        <v>-0.19323950000000001</v>
      </c>
      <c r="S5115">
        <v>3.0592039999999998</v>
      </c>
      <c r="T5115">
        <v>-0.16380510000000001</v>
      </c>
      <c r="U5115">
        <v>-0.34927370000000002</v>
      </c>
      <c r="V5115">
        <v>-8.6749270000000003E-2</v>
      </c>
      <c r="W5115">
        <v>0.17574239999999999</v>
      </c>
      <c r="X5115">
        <v>0.98060659999999999</v>
      </c>
      <c r="Y5115">
        <v>-0.16864270000000001</v>
      </c>
      <c r="Z5115">
        <v>1.9217660000000001E-2</v>
      </c>
      <c r="AA5115">
        <v>0.98548990000000003</v>
      </c>
      <c r="AB5115">
        <v>25</v>
      </c>
      <c r="AC5115">
        <v>20.6722</v>
      </c>
      <c r="AD5115">
        <v>-1.113445131105</v>
      </c>
      <c r="AE5115">
        <v>-2.3405499999999901</v>
      </c>
      <c r="AF5115">
        <v>-3.5305192925636901</v>
      </c>
      <c r="AG5115">
        <v>-1.113445131105</v>
      </c>
      <c r="AH5115">
        <v>20.442224768297599</v>
      </c>
      <c r="AI5115">
        <v>93.072306014466804</v>
      </c>
      <c r="AJ5115">
        <v>99.7987316043954</v>
      </c>
      <c r="AK5115">
        <v>20.774717326903499</v>
      </c>
      <c r="AL5115">
        <v>79.878136584504901</v>
      </c>
      <c r="AM5115">
        <v>95.055504925458806</v>
      </c>
      <c r="AN5115">
        <v>1.00000006548342</v>
      </c>
    </row>
    <row r="5116" spans="1:40" x14ac:dyDescent="0.25">
      <c r="A5116" t="str">
        <f>"20190312173032495"</f>
        <v>20190312173032495</v>
      </c>
      <c r="B5116" t="str">
        <f>"1552383032493254"</f>
        <v>1552383032493254</v>
      </c>
      <c r="C5116" t="s">
        <v>40</v>
      </c>
      <c r="D5116">
        <v>3.396503</v>
      </c>
      <c r="E5116">
        <v>0.47057070000000001</v>
      </c>
      <c r="F5116" t="s">
        <v>56</v>
      </c>
      <c r="G5116">
        <v>-378.44880000000001</v>
      </c>
      <c r="H5116" s="1">
        <v>-1.206278E-6</v>
      </c>
      <c r="I5116">
        <v>17.262149999999998</v>
      </c>
      <c r="J5116">
        <v>-399.18869999999998</v>
      </c>
      <c r="K5116">
        <v>1.1133879999999901</v>
      </c>
      <c r="L5116">
        <v>19.57816</v>
      </c>
      <c r="M5116">
        <v>0.96055939999999995</v>
      </c>
      <c r="N5116">
        <v>0</v>
      </c>
      <c r="O5116">
        <v>-0.27774219999999999</v>
      </c>
      <c r="P5116">
        <v>0.96791369999999999</v>
      </c>
      <c r="Q5116">
        <v>0.16300039999999999</v>
      </c>
      <c r="R5116">
        <v>-0.19124279999999999</v>
      </c>
      <c r="S5116">
        <v>3.0594480000000002</v>
      </c>
      <c r="T5116">
        <v>-0.16328790000000001</v>
      </c>
      <c r="U5116">
        <v>-0.34448240000000002</v>
      </c>
      <c r="V5116">
        <v>-8.6502399999999993E-2</v>
      </c>
      <c r="W5116">
        <v>0.17568139999999999</v>
      </c>
      <c r="X5116">
        <v>0.98063929999999999</v>
      </c>
      <c r="Y5116">
        <v>-0.16792379999999901</v>
      </c>
      <c r="Z5116">
        <v>1.902643E-2</v>
      </c>
      <c r="AA5116">
        <v>0.9856163</v>
      </c>
      <c r="AB5116">
        <v>25</v>
      </c>
      <c r="AC5116">
        <v>20.739899999999899</v>
      </c>
      <c r="AD5116">
        <v>-1.11338920627799</v>
      </c>
      <c r="AE5116">
        <v>-2.3160099999999999</v>
      </c>
      <c r="AF5116">
        <v>-3.5259708301925601</v>
      </c>
      <c r="AG5116">
        <v>-1.11338920627799</v>
      </c>
      <c r="AH5116">
        <v>20.508684953260801</v>
      </c>
      <c r="AI5116">
        <v>93.062615122638505</v>
      </c>
      <c r="AJ5116">
        <v>99.755248670011397</v>
      </c>
      <c r="AK5116">
        <v>20.8393441435217</v>
      </c>
      <c r="AL5116">
        <v>79.881686481205904</v>
      </c>
      <c r="AM5116">
        <v>95.041025036811703</v>
      </c>
      <c r="AN5116">
        <v>1.0000000281081001</v>
      </c>
    </row>
    <row r="5117" spans="1:40" x14ac:dyDescent="0.25">
      <c r="A5117" t="str">
        <f>"20190312173032507"</f>
        <v>20190312173032507</v>
      </c>
      <c r="B5117" t="str">
        <f>"1552383032503014"</f>
        <v>1552383032503014</v>
      </c>
      <c r="C5117" t="s">
        <v>40</v>
      </c>
      <c r="D5117">
        <v>3.3795410000000001</v>
      </c>
      <c r="E5117">
        <v>0.47083390000000003</v>
      </c>
      <c r="F5117" t="s">
        <v>56</v>
      </c>
      <c r="G5117">
        <v>-378.10340000000002</v>
      </c>
      <c r="H5117" s="1">
        <v>-1.34776E-6</v>
      </c>
      <c r="I5117">
        <v>17.228919999999999</v>
      </c>
      <c r="J5117">
        <v>-399.06290000000001</v>
      </c>
      <c r="K5117">
        <v>1.113335</v>
      </c>
      <c r="L5117">
        <v>19.5444</v>
      </c>
      <c r="M5117">
        <v>0.96120559999999999</v>
      </c>
      <c r="N5117">
        <v>0</v>
      </c>
      <c r="O5117">
        <v>-0.27549820000000003</v>
      </c>
      <c r="P5117">
        <v>0.968306</v>
      </c>
      <c r="Q5117">
        <v>0.16286489999999901</v>
      </c>
      <c r="R5117">
        <v>-0.18936359999999999</v>
      </c>
      <c r="S5117">
        <v>3.0592649999999999</v>
      </c>
      <c r="T5117">
        <v>-0.16154170000000001</v>
      </c>
      <c r="U5117">
        <v>-0.34085079999999901</v>
      </c>
      <c r="V5117">
        <v>-8.609522E-2</v>
      </c>
      <c r="W5117">
        <v>0.17555419999999999</v>
      </c>
      <c r="X5117">
        <v>0.98069790000000001</v>
      </c>
      <c r="Y5117">
        <v>-0.16678789999999999</v>
      </c>
      <c r="Z5117">
        <v>1.868276E-2</v>
      </c>
      <c r="AA5117">
        <v>0.98581580000000002</v>
      </c>
      <c r="AB5117">
        <v>25</v>
      </c>
      <c r="AC5117">
        <v>20.959499999999899</v>
      </c>
      <c r="AD5117">
        <v>-1.11333634776</v>
      </c>
      <c r="AE5117">
        <v>-2.3154799999999902</v>
      </c>
      <c r="AF5117">
        <v>-3.53911419521698</v>
      </c>
      <c r="AG5117">
        <v>-1.11333634776</v>
      </c>
      <c r="AH5117">
        <v>20.728435787787799</v>
      </c>
      <c r="AI5117">
        <v>93.030662688855003</v>
      </c>
      <c r="AJ5117">
        <v>99.689089959360103</v>
      </c>
      <c r="AK5117">
        <v>21.0578464549077</v>
      </c>
      <c r="AL5117">
        <v>79.889089451832902</v>
      </c>
      <c r="AM5117">
        <v>95.017119294609103</v>
      </c>
      <c r="AN5117">
        <v>1.0000000175544399</v>
      </c>
    </row>
    <row r="5118" spans="1:40" x14ac:dyDescent="0.25">
      <c r="A5118" t="str">
        <f>"20190312173032519"</f>
        <v>20190312173032519</v>
      </c>
      <c r="B5118" t="str">
        <f>"1552383032512775"</f>
        <v>1552383032512775</v>
      </c>
      <c r="C5118" t="s">
        <v>40</v>
      </c>
      <c r="D5118">
        <v>3.35955</v>
      </c>
      <c r="E5118">
        <v>0.47107070000000001</v>
      </c>
      <c r="F5118" t="s">
        <v>56</v>
      </c>
      <c r="G5118">
        <v>-377.96190000000001</v>
      </c>
      <c r="H5118" s="1">
        <v>-1.4049150000000001E-6</v>
      </c>
      <c r="I5118">
        <v>17.218309999999999</v>
      </c>
      <c r="J5118">
        <v>-398.9341</v>
      </c>
      <c r="K5118">
        <v>1.113278</v>
      </c>
      <c r="L5118">
        <v>19.510159999999999</v>
      </c>
      <c r="M5118">
        <v>0.96184930000000002</v>
      </c>
      <c r="N5118">
        <v>0</v>
      </c>
      <c r="O5118">
        <v>-0.27324280000000001</v>
      </c>
      <c r="P5118">
        <v>0.968696</v>
      </c>
      <c r="Q5118">
        <v>0.16296569999999999</v>
      </c>
      <c r="R5118">
        <v>-0.18727009999999999</v>
      </c>
      <c r="S5118">
        <v>3.059326</v>
      </c>
      <c r="T5118">
        <v>-0.16141749999999999</v>
      </c>
      <c r="U5118">
        <v>-0.33724979999999999</v>
      </c>
      <c r="V5118">
        <v>-8.5885939999999994E-2</v>
      </c>
      <c r="W5118">
        <v>0.1756598</v>
      </c>
      <c r="X5118">
        <v>0.98069729999999999</v>
      </c>
      <c r="Y5118">
        <v>-0.1656289</v>
      </c>
      <c r="Z5118">
        <v>1.852525E-2</v>
      </c>
      <c r="AA5118">
        <v>0.9860141</v>
      </c>
      <c r="AB5118">
        <v>25</v>
      </c>
      <c r="AC5118">
        <v>20.972199999999901</v>
      </c>
      <c r="AD5118">
        <v>-1.1132794049150001</v>
      </c>
      <c r="AE5118">
        <v>-2.2918500000000002</v>
      </c>
      <c r="AF5118">
        <v>-3.5166208754388899</v>
      </c>
      <c r="AG5118">
        <v>-1.1132794049150001</v>
      </c>
      <c r="AH5118">
        <v>20.742484426291</v>
      </c>
      <c r="AI5118">
        <v>93.029059139458795</v>
      </c>
      <c r="AJ5118">
        <v>99.622266680527005</v>
      </c>
      <c r="AK5118">
        <v>21.067906245991999</v>
      </c>
      <c r="AL5118">
        <v>79.882943098553</v>
      </c>
      <c r="AM5118">
        <v>95.0049887630841</v>
      </c>
      <c r="AN5118">
        <v>0.99999997712650601</v>
      </c>
    </row>
    <row r="5119" spans="1:40" x14ac:dyDescent="0.25">
      <c r="A5119" t="str">
        <f>"20190312173032530"</f>
        <v>20190312173032530</v>
      </c>
      <c r="B5119" t="str">
        <f>"1552383032522534"</f>
        <v>1552383032522534</v>
      </c>
      <c r="C5119" t="s">
        <v>40</v>
      </c>
      <c r="D5119">
        <v>3.360967</v>
      </c>
      <c r="E5119">
        <v>0.47131899999999899</v>
      </c>
      <c r="F5119" t="s">
        <v>56</v>
      </c>
      <c r="G5119">
        <v>-377.72669999999999</v>
      </c>
      <c r="H5119" s="1">
        <v>-1.4989590000000001E-6</v>
      </c>
      <c r="I5119">
        <v>17.204319999999999</v>
      </c>
      <c r="J5119">
        <v>-398.82029999999997</v>
      </c>
      <c r="K5119">
        <v>1.1132299999999999</v>
      </c>
      <c r="L5119">
        <v>19.480129999999999</v>
      </c>
      <c r="M5119">
        <v>0.96240429999999999</v>
      </c>
      <c r="N5119">
        <v>0</v>
      </c>
      <c r="O5119">
        <v>-0.27128239999999998</v>
      </c>
      <c r="P5119">
        <v>0.96901809999999999</v>
      </c>
      <c r="Q5119">
        <v>0.16308320000000001</v>
      </c>
      <c r="R5119">
        <v>-0.18549399999999999</v>
      </c>
      <c r="S5119">
        <v>3.0596619999999999</v>
      </c>
      <c r="T5119">
        <v>-0.1606166</v>
      </c>
      <c r="U5119">
        <v>-0.33267210000000003</v>
      </c>
      <c r="V5119">
        <v>-8.5659559999999996E-2</v>
      </c>
      <c r="W5119">
        <v>0.17578279999999999</v>
      </c>
      <c r="X5119">
        <v>0.98069510000000004</v>
      </c>
      <c r="Y5119">
        <v>-0.1650981</v>
      </c>
      <c r="Z5119">
        <v>1.832102E-2</v>
      </c>
      <c r="AA5119">
        <v>0.98610699999999996</v>
      </c>
      <c r="AB5119">
        <v>25</v>
      </c>
      <c r="AC5119">
        <v>21.093599999999899</v>
      </c>
      <c r="AD5119">
        <v>-1.113231498959</v>
      </c>
      <c r="AE5119">
        <v>-2.2758099999999901</v>
      </c>
      <c r="AF5119">
        <v>-3.5226989652564802</v>
      </c>
      <c r="AG5119">
        <v>-1.113231498959</v>
      </c>
      <c r="AH5119">
        <v>20.8624421881348</v>
      </c>
      <c r="AI5119">
        <v>93.011883000093604</v>
      </c>
      <c r="AJ5119">
        <v>99.584195638980802</v>
      </c>
      <c r="AK5119">
        <v>21.187028730413299</v>
      </c>
      <c r="AL5119">
        <v>79.875784725214302</v>
      </c>
      <c r="AM5119">
        <v>94.991874393013404</v>
      </c>
      <c r="AN5119">
        <v>1.0000000160796201</v>
      </c>
    </row>
    <row r="5120" spans="1:40" x14ac:dyDescent="0.25">
      <c r="A5120" t="str">
        <f>"20190312173032540"</f>
        <v>20190312173032540</v>
      </c>
      <c r="B5120" t="str">
        <f>"1552383032533270"</f>
        <v>1552383032533270</v>
      </c>
      <c r="C5120" t="s">
        <v>40</v>
      </c>
      <c r="D5120">
        <v>3.4352689999999999</v>
      </c>
      <c r="E5120">
        <v>0.47154059999999998</v>
      </c>
      <c r="F5120" t="s">
        <v>56</v>
      </c>
      <c r="G5120">
        <v>-377.47649999999999</v>
      </c>
      <c r="H5120" s="1">
        <v>-1.6045010000000001E-6</v>
      </c>
      <c r="I5120">
        <v>17.185600000000001</v>
      </c>
      <c r="J5120">
        <v>-398.69970000000001</v>
      </c>
      <c r="K5120">
        <v>1.1131850000000001</v>
      </c>
      <c r="L5120">
        <v>19.44849</v>
      </c>
      <c r="M5120">
        <v>0.96298090000000003</v>
      </c>
      <c r="N5120">
        <v>0</v>
      </c>
      <c r="O5120">
        <v>-0.26922849999999998</v>
      </c>
      <c r="P5120">
        <v>0.96934410000000004</v>
      </c>
      <c r="Q5120">
        <v>0.16305600000000001</v>
      </c>
      <c r="R5120">
        <v>-0.18380550000000001</v>
      </c>
      <c r="S5120">
        <v>3.0598749999999999</v>
      </c>
      <c r="T5120">
        <v>-0.15959489999999901</v>
      </c>
      <c r="U5120">
        <v>-0.32894899999999999</v>
      </c>
      <c r="V5120">
        <v>-8.5254910000000003E-2</v>
      </c>
      <c r="W5120">
        <v>0.17576169999999999</v>
      </c>
      <c r="X5120">
        <v>0.98073410000000005</v>
      </c>
      <c r="Y5120">
        <v>-0.1641985</v>
      </c>
      <c r="Z5120">
        <v>1.807887E-2</v>
      </c>
      <c r="AA5120">
        <v>0.98626170000000002</v>
      </c>
      <c r="AB5120">
        <v>25</v>
      </c>
      <c r="AC5120">
        <v>21.223199999999999</v>
      </c>
      <c r="AD5120">
        <v>-1.1131866045009999</v>
      </c>
      <c r="AE5120">
        <v>-2.2628899999999899</v>
      </c>
      <c r="AF5120">
        <v>-3.5255051784700999</v>
      </c>
      <c r="AG5120">
        <v>-1.1131866045009999</v>
      </c>
      <c r="AH5120">
        <v>20.991603317087002</v>
      </c>
      <c r="AI5120">
        <v>92.993707184368901</v>
      </c>
      <c r="AJ5120">
        <v>99.533757738108406</v>
      </c>
      <c r="AK5120">
        <v>21.314684632942601</v>
      </c>
      <c r="AL5120">
        <v>79.877012364580693</v>
      </c>
      <c r="AM5120">
        <v>94.968214841936302</v>
      </c>
      <c r="AN5120">
        <v>0.99999997488440295</v>
      </c>
    </row>
    <row r="5121" spans="1:40" x14ac:dyDescent="0.25">
      <c r="A5121" t="str">
        <f>"20190312173032552"</f>
        <v>20190312173032552</v>
      </c>
      <c r="B5121" t="str">
        <f>"1552383032543031"</f>
        <v>1552383032543031</v>
      </c>
      <c r="C5121" t="s">
        <v>40</v>
      </c>
      <c r="D5121">
        <v>3.397526</v>
      </c>
      <c r="E5121">
        <v>0.47154059999999998</v>
      </c>
      <c r="F5121" t="s">
        <v>56</v>
      </c>
      <c r="G5121">
        <v>-377.36470000000003</v>
      </c>
      <c r="H5121" s="1">
        <v>-1.6584310000000001E-6</v>
      </c>
      <c r="I5121">
        <v>17.179659999999998</v>
      </c>
      <c r="J5121">
        <v>-398.57049999999998</v>
      </c>
      <c r="K5121">
        <v>1.1131329999999999</v>
      </c>
      <c r="L5121">
        <v>19.41498</v>
      </c>
      <c r="M5121">
        <v>0.96358010000000005</v>
      </c>
      <c r="N5121">
        <v>0</v>
      </c>
      <c r="O5121">
        <v>-0.267076599999999</v>
      </c>
      <c r="P5121">
        <v>0.96971739999999995</v>
      </c>
      <c r="Q5121">
        <v>0.16291229999999901</v>
      </c>
      <c r="R5121">
        <v>-0.1819556</v>
      </c>
      <c r="S5121">
        <v>3.0599980000000002</v>
      </c>
      <c r="T5121">
        <v>-0.15966</v>
      </c>
      <c r="U5121">
        <v>-0.3254089</v>
      </c>
      <c r="V5121">
        <v>-8.4917980000000004E-2</v>
      </c>
      <c r="W5121">
        <v>0.17562410000000001</v>
      </c>
      <c r="X5121">
        <v>0.98078799999999999</v>
      </c>
      <c r="Y5121">
        <v>-0.1631309</v>
      </c>
      <c r="Z5121">
        <v>1.7951499999999999E-2</v>
      </c>
      <c r="AA5121">
        <v>0.98644109999999996</v>
      </c>
      <c r="AB5121">
        <v>25</v>
      </c>
      <c r="AC5121">
        <v>21.205799999999901</v>
      </c>
      <c r="AD5121">
        <v>-1.113134658431</v>
      </c>
      <c r="AE5121">
        <v>-2.23531999999999</v>
      </c>
      <c r="AF5121">
        <v>-3.5004459502349099</v>
      </c>
      <c r="AG5121">
        <v>-1.113134658431</v>
      </c>
      <c r="AH5121">
        <v>20.975257875436299</v>
      </c>
      <c r="AI5121">
        <v>92.996414423056294</v>
      </c>
      <c r="AJ5121">
        <v>99.474466788478196</v>
      </c>
      <c r="AK5121">
        <v>21.294450769141001</v>
      </c>
      <c r="AL5121">
        <v>79.885021034963501</v>
      </c>
      <c r="AM5121">
        <v>94.948407391517605</v>
      </c>
      <c r="AN5121">
        <v>0.99999999438604503</v>
      </c>
    </row>
    <row r="5122" spans="1:40" x14ac:dyDescent="0.25">
      <c r="A5122" t="str">
        <f>"20190312173032565"</f>
        <v>20190312173032565</v>
      </c>
      <c r="B5122" t="str">
        <f>"1552383032562550"</f>
        <v>1552383032562550</v>
      </c>
      <c r="C5122" t="s">
        <v>40</v>
      </c>
      <c r="D5122">
        <v>3.3027259999999998</v>
      </c>
      <c r="E5122">
        <v>0.47578579999999998</v>
      </c>
      <c r="F5122" t="s">
        <v>56</v>
      </c>
      <c r="G5122">
        <v>-377.2921</v>
      </c>
      <c r="H5122" s="1">
        <v>-1.69028E-6</v>
      </c>
      <c r="I5122">
        <v>17.193370000000002</v>
      </c>
      <c r="J5122">
        <v>-398.4314</v>
      </c>
      <c r="K5122">
        <v>1.113081</v>
      </c>
      <c r="L5122">
        <v>19.379090000000001</v>
      </c>
      <c r="M5122">
        <v>0.96421219999999996</v>
      </c>
      <c r="N5122">
        <v>0</v>
      </c>
      <c r="O5122">
        <v>-0.26478550000000001</v>
      </c>
      <c r="P5122">
        <v>0.97012699999999996</v>
      </c>
      <c r="Q5122">
        <v>0.16259609999999999</v>
      </c>
      <c r="R5122">
        <v>-0.18004489999999901</v>
      </c>
      <c r="S5122">
        <v>3.0606080000000002</v>
      </c>
      <c r="T5122">
        <v>-0.1601099</v>
      </c>
      <c r="U5122">
        <v>-0.31954959999999999</v>
      </c>
      <c r="V5122">
        <v>-8.4506460000000005E-2</v>
      </c>
      <c r="W5122">
        <v>0.17531569999999999</v>
      </c>
      <c r="X5122">
        <v>0.98087869999999999</v>
      </c>
      <c r="Y5122">
        <v>-0.16267470000000001</v>
      </c>
      <c r="Z5122">
        <v>1.7873960000000001E-2</v>
      </c>
      <c r="AA5122">
        <v>0.9865178</v>
      </c>
      <c r="AB5122">
        <v>25</v>
      </c>
      <c r="AC5122">
        <v>21.139299999999899</v>
      </c>
      <c r="AD5122">
        <v>-1.11308269028</v>
      </c>
      <c r="AE5122">
        <v>-2.1857199999999901</v>
      </c>
      <c r="AF5122">
        <v>-3.4806543382097299</v>
      </c>
      <c r="AG5122">
        <v>-1.11308269028</v>
      </c>
      <c r="AH5122">
        <v>20.906091803799502</v>
      </c>
      <c r="AI5122">
        <v>93.006361582823303</v>
      </c>
      <c r="AJ5122">
        <v>99.452470882775799</v>
      </c>
      <c r="AK5122">
        <v>21.223067219570101</v>
      </c>
      <c r="AL5122">
        <v>79.902969384160698</v>
      </c>
      <c r="AM5122">
        <v>94.924092060863003</v>
      </c>
      <c r="AN5122">
        <v>0.99999998028095505</v>
      </c>
    </row>
    <row r="5123" spans="1:40" x14ac:dyDescent="0.25">
      <c r="A5123" t="str">
        <f>"20190312173032579"</f>
        <v>20190312173032579</v>
      </c>
      <c r="B5123" t="str">
        <f>"1552383032573286"</f>
        <v>1552383032573286</v>
      </c>
      <c r="C5123" t="s">
        <v>40</v>
      </c>
      <c r="D5123">
        <v>3.3163819999999999</v>
      </c>
      <c r="E5123">
        <v>0.48040630000000001</v>
      </c>
      <c r="F5123" t="s">
        <v>56</v>
      </c>
      <c r="G5123">
        <v>-377.15719999999999</v>
      </c>
      <c r="H5123" s="1">
        <v>-1.7947149999999999E-6</v>
      </c>
      <c r="I5123">
        <v>16.964320000000001</v>
      </c>
      <c r="J5123">
        <v>-398.28190000000001</v>
      </c>
      <c r="K5123">
        <v>1.1130279999999999</v>
      </c>
      <c r="L5123">
        <v>19.340910000000001</v>
      </c>
      <c r="M5123">
        <v>0.96487009999999995</v>
      </c>
      <c r="N5123">
        <v>0</v>
      </c>
      <c r="O5123">
        <v>-0.26237850000000001</v>
      </c>
      <c r="P5123">
        <v>0.97054810000000002</v>
      </c>
      <c r="Q5123">
        <v>0.1623907</v>
      </c>
      <c r="R5123">
        <v>-0.1779483</v>
      </c>
      <c r="S5123">
        <v>3.0548099999999998</v>
      </c>
      <c r="T5123">
        <v>-0.15982950000000001</v>
      </c>
      <c r="U5123">
        <v>-0.34674070000000001</v>
      </c>
      <c r="V5123">
        <v>-8.4161990000000006E-2</v>
      </c>
      <c r="W5123">
        <v>0.1751162</v>
      </c>
      <c r="X5123">
        <v>0.98094400000000004</v>
      </c>
      <c r="Y5123">
        <v>-0.15134990000000001</v>
      </c>
      <c r="Z5123">
        <v>1.7447529999999999E-2</v>
      </c>
      <c r="AA5123">
        <v>0.98832629999999999</v>
      </c>
      <c r="AB5123">
        <v>25</v>
      </c>
      <c r="AC5123">
        <v>21.124700000000001</v>
      </c>
      <c r="AD5123">
        <v>-1.1130297947149901</v>
      </c>
      <c r="AE5123">
        <v>-2.3765900000000002</v>
      </c>
      <c r="AF5123">
        <v>-3.24097941526693</v>
      </c>
      <c r="AG5123">
        <v>-1.1130297947149901</v>
      </c>
      <c r="AH5123">
        <v>20.950648275493901</v>
      </c>
      <c r="AI5123">
        <v>93.005370985655304</v>
      </c>
      <c r="AJ5123">
        <v>98.793717404815695</v>
      </c>
      <c r="AK5123">
        <v>21.229047224441398</v>
      </c>
      <c r="AL5123">
        <v>79.914579982853894</v>
      </c>
      <c r="AM5123">
        <v>94.903793419403002</v>
      </c>
      <c r="AN5123">
        <v>1.0000000275995899</v>
      </c>
    </row>
    <row r="5124" spans="1:40" x14ac:dyDescent="0.25">
      <c r="A5124" t="str">
        <f>"20190312173032596"</f>
        <v>20190312173032596</v>
      </c>
      <c r="B5124" t="str">
        <f>"1552383032592807"</f>
        <v>1552383032592807</v>
      </c>
      <c r="C5124" t="s">
        <v>40</v>
      </c>
      <c r="D5124">
        <v>3.3585060000000002</v>
      </c>
      <c r="E5124">
        <v>0.48080270000000003</v>
      </c>
      <c r="F5124" t="s">
        <v>55</v>
      </c>
      <c r="G5124">
        <v>-380.19170000000003</v>
      </c>
      <c r="H5124" s="1">
        <v>-5.0813090000000004E-6</v>
      </c>
      <c r="I5124">
        <v>17.110910000000001</v>
      </c>
      <c r="J5124">
        <v>-398.09370000000001</v>
      </c>
      <c r="K5124">
        <v>1.112965</v>
      </c>
      <c r="L5124">
        <v>19.293330000000001</v>
      </c>
      <c r="M5124">
        <v>0.96567550000000002</v>
      </c>
      <c r="N5124">
        <v>0</v>
      </c>
      <c r="O5124">
        <v>-0.2593993</v>
      </c>
      <c r="P5124">
        <v>0.97105600000000003</v>
      </c>
      <c r="Q5124">
        <v>0.1618706</v>
      </c>
      <c r="R5124">
        <v>-0.1756364</v>
      </c>
      <c r="S5124">
        <v>3.0534669999999999</v>
      </c>
      <c r="T5124">
        <v>-0.18787000000000001</v>
      </c>
      <c r="U5124">
        <v>-0.37640380000000001</v>
      </c>
      <c r="V5124">
        <v>-8.346054E-2</v>
      </c>
      <c r="W5124">
        <v>0.17460590000000001</v>
      </c>
      <c r="X5124">
        <v>0.98109480000000004</v>
      </c>
      <c r="Y5124">
        <v>-0.13859070000000001</v>
      </c>
      <c r="Z5124">
        <v>1.9928769999999998E-2</v>
      </c>
      <c r="AA5124">
        <v>0.99014919999999995</v>
      </c>
      <c r="AB5124">
        <v>25</v>
      </c>
      <c r="AC5124">
        <v>17.901999999999902</v>
      </c>
      <c r="AD5124">
        <v>-1.112970081309</v>
      </c>
      <c r="AE5124">
        <v>-2.1824199999999898</v>
      </c>
      <c r="AF5124">
        <v>-2.5268649986398599</v>
      </c>
      <c r="AG5124">
        <v>-1.112970081309</v>
      </c>
      <c r="AH5124">
        <v>17.7875290834418</v>
      </c>
      <c r="AI5124">
        <v>93.544845851412802</v>
      </c>
      <c r="AJ5124">
        <v>98.085238815996604</v>
      </c>
      <c r="AK5124">
        <v>18.000553880854</v>
      </c>
      <c r="AL5124">
        <v>79.944274688298705</v>
      </c>
      <c r="AM5124">
        <v>94.862375565297995</v>
      </c>
      <c r="AN5124">
        <v>0.99999994431946904</v>
      </c>
    </row>
    <row r="5125" spans="1:40" x14ac:dyDescent="0.25">
      <c r="A5125" t="str">
        <f>"20190312173032607"</f>
        <v>20190312173032607</v>
      </c>
      <c r="B5125" t="str">
        <f>"1552383032602567"</f>
        <v>1552383032602567</v>
      </c>
      <c r="C5125" t="s">
        <v>40</v>
      </c>
      <c r="D5125">
        <v>3.3432040000000001</v>
      </c>
      <c r="E5125">
        <v>0.48083959999999998</v>
      </c>
      <c r="F5125" t="s">
        <v>56</v>
      </c>
      <c r="G5125">
        <v>-379.86279999999999</v>
      </c>
      <c r="H5125" s="1">
        <v>-7.1447979999999999E-7</v>
      </c>
      <c r="I5125">
        <v>17.069800000000001</v>
      </c>
      <c r="J5125">
        <v>-397.9753</v>
      </c>
      <c r="K5125">
        <v>1.112927</v>
      </c>
      <c r="L5125">
        <v>19.263670000000001</v>
      </c>
      <c r="M5125">
        <v>0.96617039999999998</v>
      </c>
      <c r="N5125">
        <v>0</v>
      </c>
      <c r="O5125">
        <v>-0.2575501</v>
      </c>
      <c r="P5125">
        <v>0.97131190000000001</v>
      </c>
      <c r="Q5125">
        <v>0.16194819999999999</v>
      </c>
      <c r="R5125">
        <v>-0.17414479999999999</v>
      </c>
      <c r="S5125">
        <v>3.053131</v>
      </c>
      <c r="T5125">
        <v>-0.18638830000000001</v>
      </c>
      <c r="U5125">
        <v>-0.37237550000000003</v>
      </c>
      <c r="V5125">
        <v>-8.3070080000000004E-2</v>
      </c>
      <c r="W5125">
        <v>0.1746876</v>
      </c>
      <c r="X5125">
        <v>0.98111340000000002</v>
      </c>
      <c r="Y5125">
        <v>-0.1379841</v>
      </c>
      <c r="Z5125">
        <v>1.9649300000000001E-2</v>
      </c>
      <c r="AA5125">
        <v>0.99023950000000005</v>
      </c>
      <c r="AB5125">
        <v>25</v>
      </c>
      <c r="AC5125">
        <v>18.112500000000001</v>
      </c>
      <c r="AD5125">
        <v>-1.1129277144798</v>
      </c>
      <c r="AE5125">
        <v>-2.19387</v>
      </c>
      <c r="AF5125">
        <v>-2.53602011445067</v>
      </c>
      <c r="AG5125">
        <v>-1.1129277144798</v>
      </c>
      <c r="AH5125">
        <v>17.999468482818099</v>
      </c>
      <c r="AI5125">
        <v>93.503641920686306</v>
      </c>
      <c r="AJ5125">
        <v>98.019851352021306</v>
      </c>
      <c r="AK5125">
        <v>18.2112841881763</v>
      </c>
      <c r="AL5125">
        <v>79.939520612263806</v>
      </c>
      <c r="AM5125">
        <v>94.839644519116902</v>
      </c>
      <c r="AN5125">
        <v>0.99999994972226103</v>
      </c>
    </row>
    <row r="5126" spans="1:40" x14ac:dyDescent="0.25">
      <c r="A5126" t="str">
        <f>"20190312173032618"</f>
        <v>20190312173032618</v>
      </c>
      <c r="B5126" t="str">
        <f>"1552383032613303"</f>
        <v>1552383032613303</v>
      </c>
      <c r="C5126" t="s">
        <v>40</v>
      </c>
      <c r="D5126">
        <v>3.322943</v>
      </c>
      <c r="E5126">
        <v>0.48117109999999902</v>
      </c>
      <c r="F5126" t="s">
        <v>56</v>
      </c>
      <c r="G5126">
        <v>-379.69670000000002</v>
      </c>
      <c r="H5126" s="1">
        <v>-7.8077090000000001E-7</v>
      </c>
      <c r="I5126">
        <v>17.06026</v>
      </c>
      <c r="J5126">
        <v>-397.8526</v>
      </c>
      <c r="K5126">
        <v>1.1128899999999999</v>
      </c>
      <c r="L5126">
        <v>19.233180000000001</v>
      </c>
      <c r="M5126">
        <v>0.96667210000000003</v>
      </c>
      <c r="N5126">
        <v>0</v>
      </c>
      <c r="O5126">
        <v>-0.25566100000000003</v>
      </c>
      <c r="P5126">
        <v>0.97162899999999996</v>
      </c>
      <c r="Q5126">
        <v>0.1616582</v>
      </c>
      <c r="R5126">
        <v>-0.1726385</v>
      </c>
      <c r="S5126">
        <v>3.0536189999999999</v>
      </c>
      <c r="T5126">
        <v>-0.18592610000000001</v>
      </c>
      <c r="U5126">
        <v>-0.36810300000000001</v>
      </c>
      <c r="V5126">
        <v>-8.2666809999999993E-2</v>
      </c>
      <c r="W5126">
        <v>0.174403</v>
      </c>
      <c r="X5126">
        <v>0.98119809999999996</v>
      </c>
      <c r="Y5126">
        <v>-0.13744039999999999</v>
      </c>
      <c r="Z5126">
        <v>1.947277E-2</v>
      </c>
      <c r="AA5126">
        <v>0.99031860000000005</v>
      </c>
      <c r="AB5126">
        <v>25</v>
      </c>
      <c r="AC5126">
        <v>18.1558999999999</v>
      </c>
      <c r="AD5126">
        <v>-1.1128907807709001</v>
      </c>
      <c r="AE5126">
        <v>-2.1729199999999902</v>
      </c>
      <c r="AF5126">
        <v>-2.5321069371982499</v>
      </c>
      <c r="AG5126">
        <v>-1.1128907807709001</v>
      </c>
      <c r="AH5126">
        <v>18.041157511388601</v>
      </c>
      <c r="AI5126">
        <v>93.495711019486905</v>
      </c>
      <c r="AJ5126">
        <v>97.989372408880001</v>
      </c>
      <c r="AK5126">
        <v>18.251943890502901</v>
      </c>
      <c r="AL5126">
        <v>79.956081312271493</v>
      </c>
      <c r="AM5126">
        <v>94.815847085058905</v>
      </c>
      <c r="AN5126">
        <v>0.99999995966409205</v>
      </c>
    </row>
    <row r="5127" spans="1:40" x14ac:dyDescent="0.25">
      <c r="A5127" t="str">
        <f>"20190312173032630"</f>
        <v>20190312173032630</v>
      </c>
      <c r="B5127" t="str">
        <f>"1552383032623066"</f>
        <v>1552383032623066</v>
      </c>
      <c r="C5127" t="s">
        <v>40</v>
      </c>
      <c r="D5127">
        <v>3.3518819999999998</v>
      </c>
      <c r="E5127">
        <v>0.4814175</v>
      </c>
      <c r="F5127" t="s">
        <v>56</v>
      </c>
      <c r="G5127">
        <v>-379.79230000000001</v>
      </c>
      <c r="H5127" s="1">
        <v>-7.4181919999999896E-7</v>
      </c>
      <c r="I5127">
        <v>17.068750000000001</v>
      </c>
      <c r="J5127">
        <v>-397.72289999999998</v>
      </c>
      <c r="K5127">
        <v>1.112854</v>
      </c>
      <c r="L5127">
        <v>19.2012</v>
      </c>
      <c r="M5127">
        <v>0.96719270000000002</v>
      </c>
      <c r="N5127">
        <v>0</v>
      </c>
      <c r="O5127">
        <v>-0.25368420000000003</v>
      </c>
      <c r="P5127">
        <v>0.97189769999999998</v>
      </c>
      <c r="Q5127">
        <v>0.16193089999999999</v>
      </c>
      <c r="R5127">
        <v>-0.17086009999999999</v>
      </c>
      <c r="S5127">
        <v>3.053925</v>
      </c>
      <c r="T5127">
        <v>-0.18818499999999999</v>
      </c>
      <c r="U5127">
        <v>-0.36599730000000003</v>
      </c>
      <c r="V5127">
        <v>-8.243114E-2</v>
      </c>
      <c r="W5127">
        <v>0.17467769999999999</v>
      </c>
      <c r="X5127">
        <v>0.98116910000000002</v>
      </c>
      <c r="Y5127">
        <v>-0.13608919999999999</v>
      </c>
      <c r="Z5127">
        <v>1.9549420000000001E-2</v>
      </c>
      <c r="AA5127">
        <v>0.99050369999999999</v>
      </c>
      <c r="AB5127">
        <v>25</v>
      </c>
      <c r="AC5127">
        <v>17.930599999999899</v>
      </c>
      <c r="AD5127">
        <v>-1.1128547418191901</v>
      </c>
      <c r="AE5127">
        <v>-2.1324499999999902</v>
      </c>
      <c r="AF5127">
        <v>-2.4770383739353199</v>
      </c>
      <c r="AG5127">
        <v>-1.1128547418191901</v>
      </c>
      <c r="AH5127">
        <v>17.817272229183999</v>
      </c>
      <c r="AI5127">
        <v>93.540053541880596</v>
      </c>
      <c r="AJ5127">
        <v>97.914788648925807</v>
      </c>
      <c r="AK5127">
        <v>18.023022900478999</v>
      </c>
      <c r="AL5127">
        <v>79.940097181119498</v>
      </c>
      <c r="AM5127">
        <v>94.802323436200197</v>
      </c>
      <c r="AN5127">
        <v>0.99999999725689903</v>
      </c>
    </row>
    <row r="5128" spans="1:40" x14ac:dyDescent="0.25">
      <c r="A5128" t="str">
        <f>"20190312173032640"</f>
        <v>20190312173032640</v>
      </c>
      <c r="B5128" t="str">
        <f>"1552383032632823"</f>
        <v>1552383032632823</v>
      </c>
      <c r="C5128" t="s">
        <v>40</v>
      </c>
      <c r="D5128">
        <v>3.3600449999999902</v>
      </c>
      <c r="E5128">
        <v>0.4816144</v>
      </c>
      <c r="F5128" t="s">
        <v>56</v>
      </c>
      <c r="G5128">
        <v>-379.71210000000002</v>
      </c>
      <c r="H5128" s="1">
        <v>-7.7379680000000005E-7</v>
      </c>
      <c r="I5128">
        <v>17.064319999999999</v>
      </c>
      <c r="J5128">
        <v>-397.60520000000002</v>
      </c>
      <c r="K5128">
        <v>1.1128209999999901</v>
      </c>
      <c r="L5128">
        <v>19.17239</v>
      </c>
      <c r="M5128">
        <v>0.96765760000000001</v>
      </c>
      <c r="N5128">
        <v>0</v>
      </c>
      <c r="O5128">
        <v>-0.25190580000000001</v>
      </c>
      <c r="P5128">
        <v>0.97211219999999998</v>
      </c>
      <c r="Q5128">
        <v>0.16200719999999999</v>
      </c>
      <c r="R5128">
        <v>-0.16956270000000001</v>
      </c>
      <c r="S5128">
        <v>3.0544739999999999</v>
      </c>
      <c r="T5128">
        <v>-0.1887306</v>
      </c>
      <c r="U5128">
        <v>-0.3623962</v>
      </c>
      <c r="V5128">
        <v>-8.1919489999999998E-2</v>
      </c>
      <c r="W5128">
        <v>0.17475889999999999</v>
      </c>
      <c r="X5128">
        <v>0.98119749999999994</v>
      </c>
      <c r="Y5128">
        <v>-0.1354408</v>
      </c>
      <c r="Z5128">
        <v>1.9478659999999998E-2</v>
      </c>
      <c r="AA5128">
        <v>0.99059399999999997</v>
      </c>
      <c r="AB5128">
        <v>25</v>
      </c>
      <c r="AC5128">
        <v>17.8931</v>
      </c>
      <c r="AD5128">
        <v>-1.11282177379679</v>
      </c>
      <c r="AE5128">
        <v>-2.1080699999999899</v>
      </c>
      <c r="AF5128">
        <v>-2.45833206615821</v>
      </c>
      <c r="AG5128">
        <v>-1.11282177379679</v>
      </c>
      <c r="AH5128">
        <v>17.779227963214101</v>
      </c>
      <c r="AI5128">
        <v>93.547867716282695</v>
      </c>
      <c r="AJ5128">
        <v>97.872365486871203</v>
      </c>
      <c r="AK5128">
        <v>17.982845042308298</v>
      </c>
      <c r="AL5128">
        <v>79.935372163183601</v>
      </c>
      <c r="AM5128">
        <v>94.772516037361299</v>
      </c>
      <c r="AN5128">
        <v>1.0000000049886599</v>
      </c>
    </row>
    <row r="5129" spans="1:40" x14ac:dyDescent="0.25">
      <c r="A5129" t="str">
        <f>"20190312173032652"</f>
        <v>20190312173032652</v>
      </c>
      <c r="B5129" t="str">
        <f>"1552383032642584"</f>
        <v>1552383032642584</v>
      </c>
      <c r="C5129" t="s">
        <v>40</v>
      </c>
      <c r="D5129">
        <v>3.3902459999999999</v>
      </c>
      <c r="E5129">
        <v>0.48189599999999999</v>
      </c>
      <c r="F5129" t="s">
        <v>56</v>
      </c>
      <c r="G5129">
        <v>-379.45760000000001</v>
      </c>
      <c r="H5129" s="1">
        <v>-8.7967419999999897E-7</v>
      </c>
      <c r="I5129">
        <v>17.033619999999999</v>
      </c>
      <c r="J5129">
        <v>-397.48360000000002</v>
      </c>
      <c r="K5129">
        <v>1.112792</v>
      </c>
      <c r="L5129">
        <v>19.142849999999999</v>
      </c>
      <c r="M5129">
        <v>0.9681284</v>
      </c>
      <c r="N5129">
        <v>0</v>
      </c>
      <c r="O5129">
        <v>-0.25009049999999999</v>
      </c>
      <c r="P5129">
        <v>0.97233760000000002</v>
      </c>
      <c r="Q5129">
        <v>0.16215940000000001</v>
      </c>
      <c r="R5129">
        <v>-0.16811950000000001</v>
      </c>
      <c r="S5129">
        <v>3.0544739999999999</v>
      </c>
      <c r="T5129">
        <v>-0.18730279999999999</v>
      </c>
      <c r="U5129">
        <v>-0.35998540000000001</v>
      </c>
      <c r="V5129">
        <v>-8.1517649999999997E-2</v>
      </c>
      <c r="W5129">
        <v>0.174914299999999</v>
      </c>
      <c r="X5129">
        <v>0.9812033</v>
      </c>
      <c r="Y5129">
        <v>-0.1343695</v>
      </c>
      <c r="Z5129">
        <v>1.9192879999999999E-2</v>
      </c>
      <c r="AA5129">
        <v>0.9907454</v>
      </c>
      <c r="AB5129">
        <v>25</v>
      </c>
      <c r="AC5129">
        <v>18.026</v>
      </c>
      <c r="AD5129">
        <v>-1.1127928796741999</v>
      </c>
      <c r="AE5129">
        <v>-2.1092299999999899</v>
      </c>
      <c r="AF5129">
        <v>-2.4571131215046398</v>
      </c>
      <c r="AG5129">
        <v>-1.1127928796741999</v>
      </c>
      <c r="AH5129">
        <v>17.913274482971602</v>
      </c>
      <c r="AI5129">
        <v>93.521818113416103</v>
      </c>
      <c r="AJ5129">
        <v>97.810359622864496</v>
      </c>
      <c r="AK5129">
        <v>18.1152177902228</v>
      </c>
      <c r="AL5129">
        <v>79.926329345036905</v>
      </c>
      <c r="AM5129">
        <v>94.749184796427201</v>
      </c>
      <c r="AN5129">
        <v>1.00000002776845</v>
      </c>
    </row>
    <row r="5130" spans="1:40" x14ac:dyDescent="0.25">
      <c r="A5130" t="str">
        <f>"20190312173032663"</f>
        <v>20190312173032663</v>
      </c>
      <c r="B5130" t="str">
        <f>"1552383032653318"</f>
        <v>1552383032653318</v>
      </c>
      <c r="C5130" t="s">
        <v>40</v>
      </c>
      <c r="D5130">
        <v>3.3856850000000001</v>
      </c>
      <c r="E5130">
        <v>0.48214170000000001</v>
      </c>
      <c r="F5130" t="s">
        <v>56</v>
      </c>
      <c r="G5130">
        <v>-379.2681</v>
      </c>
      <c r="H5130" s="1">
        <v>-9.5904990000000001E-7</v>
      </c>
      <c r="I5130">
        <v>17.008890000000001</v>
      </c>
      <c r="J5130">
        <v>-397.36270000000002</v>
      </c>
      <c r="K5130">
        <v>1.1127659999999999</v>
      </c>
      <c r="L5130">
        <v>19.11365</v>
      </c>
      <c r="M5130">
        <v>0.96859099999999998</v>
      </c>
      <c r="N5130">
        <v>0</v>
      </c>
      <c r="O5130">
        <v>-0.24829300000000001</v>
      </c>
      <c r="P5130">
        <v>0.97259150000000005</v>
      </c>
      <c r="Q5130">
        <v>0.1623763</v>
      </c>
      <c r="R5130">
        <v>-0.1664322</v>
      </c>
      <c r="S5130">
        <v>3.0545960000000001</v>
      </c>
      <c r="T5130">
        <v>-0.18660660000000001</v>
      </c>
      <c r="U5130">
        <v>-0.35784909999999998</v>
      </c>
      <c r="V5130">
        <v>-8.1378290000000006E-2</v>
      </c>
      <c r="W5130">
        <v>0.1751326</v>
      </c>
      <c r="X5130">
        <v>0.98117589999999999</v>
      </c>
      <c r="Y5130">
        <v>-0.1332286</v>
      </c>
      <c r="Z5130">
        <v>1.898145E-2</v>
      </c>
      <c r="AA5130">
        <v>0.9909036</v>
      </c>
      <c r="AB5130">
        <v>25</v>
      </c>
      <c r="AC5130">
        <v>18.0946</v>
      </c>
      <c r="AD5130">
        <v>-1.1127669590499001</v>
      </c>
      <c r="AE5130">
        <v>-2.1047600000000002</v>
      </c>
      <c r="AF5130">
        <v>-2.4452102558601099</v>
      </c>
      <c r="AG5130">
        <v>-1.1127669590499001</v>
      </c>
      <c r="AH5130">
        <v>17.9834035336008</v>
      </c>
      <c r="AI5130">
        <v>93.5085986021721</v>
      </c>
      <c r="AJ5130">
        <v>97.7430443950974</v>
      </c>
      <c r="AK5130">
        <v>18.1829619741351</v>
      </c>
      <c r="AL5130">
        <v>79.913625303884402</v>
      </c>
      <c r="AM5130">
        <v>94.741234577658901</v>
      </c>
      <c r="AN5130">
        <v>1.0000000002034399</v>
      </c>
    </row>
    <row r="5131" spans="1:40" x14ac:dyDescent="0.25">
      <c r="A5131" t="str">
        <f>"20190312173032674"</f>
        <v>20190312173032674</v>
      </c>
      <c r="B5131" t="str">
        <f>"1552383032663079"</f>
        <v>1552383032663079</v>
      </c>
      <c r="C5131" t="s">
        <v>40</v>
      </c>
      <c r="D5131">
        <v>3.3692790000000001</v>
      </c>
      <c r="E5131">
        <v>0.48242889999999999</v>
      </c>
      <c r="F5131" t="s">
        <v>56</v>
      </c>
      <c r="G5131">
        <v>-378.98050000000001</v>
      </c>
      <c r="H5131" s="1">
        <v>-1.077191E-6</v>
      </c>
      <c r="I5131">
        <v>16.97993</v>
      </c>
      <c r="J5131">
        <v>-397.24149999999997</v>
      </c>
      <c r="K5131">
        <v>1.112743</v>
      </c>
      <c r="L5131">
        <v>19.084720000000001</v>
      </c>
      <c r="M5131">
        <v>0.96904559999999995</v>
      </c>
      <c r="N5131">
        <v>0</v>
      </c>
      <c r="O5131">
        <v>-0.2465136</v>
      </c>
      <c r="P5131">
        <v>0.97280420000000001</v>
      </c>
      <c r="Q5131">
        <v>0.16253380000000001</v>
      </c>
      <c r="R5131">
        <v>-0.1650315</v>
      </c>
      <c r="S5131">
        <v>3.0547789999999999</v>
      </c>
      <c r="T5131">
        <v>-0.1849211</v>
      </c>
      <c r="U5131">
        <v>-0.3545837</v>
      </c>
      <c r="V5131">
        <v>-8.0973119999999996E-2</v>
      </c>
      <c r="W5131">
        <v>0.17529220000000001</v>
      </c>
      <c r="X5131">
        <v>0.98118090000000002</v>
      </c>
      <c r="Y5131">
        <v>-0.13247700000000001</v>
      </c>
      <c r="Z5131">
        <v>1.8684269999999999E-2</v>
      </c>
      <c r="AA5131">
        <v>0.99100999999999995</v>
      </c>
      <c r="AB5131">
        <v>25</v>
      </c>
      <c r="AC5131">
        <v>18.2609999999999</v>
      </c>
      <c r="AD5131">
        <v>-1.112744077191</v>
      </c>
      <c r="AE5131">
        <v>-2.1047899999999999</v>
      </c>
      <c r="AF5131">
        <v>-2.4531814420826801</v>
      </c>
      <c r="AG5131">
        <v>-1.112744077191</v>
      </c>
      <c r="AH5131">
        <v>18.149746824101801</v>
      </c>
      <c r="AI5131">
        <v>93.476822614070997</v>
      </c>
      <c r="AJ5131">
        <v>97.697641981964793</v>
      </c>
      <c r="AK5131">
        <v>18.348558753975599</v>
      </c>
      <c r="AL5131">
        <v>79.904337011105795</v>
      </c>
      <c r="AM5131">
        <v>94.717711583440206</v>
      </c>
      <c r="AN5131">
        <v>0.99999998003409196</v>
      </c>
    </row>
    <row r="5132" spans="1:40" x14ac:dyDescent="0.25">
      <c r="A5132" t="str">
        <f>"20190312173032686"</f>
        <v>20190312173032686</v>
      </c>
      <c r="B5132" t="str">
        <f>"1552383032682599"</f>
        <v>1552383032682599</v>
      </c>
      <c r="C5132" t="s">
        <v>40</v>
      </c>
      <c r="D5132">
        <v>3.407378</v>
      </c>
      <c r="E5132">
        <v>0.48286109999999999</v>
      </c>
      <c r="F5132" t="s">
        <v>56</v>
      </c>
      <c r="G5132">
        <v>-378.77010000000001</v>
      </c>
      <c r="H5132" s="1">
        <v>-1.165344E-6</v>
      </c>
      <c r="I5132">
        <v>16.952279999999998</v>
      </c>
      <c r="J5132">
        <v>-397.11470000000003</v>
      </c>
      <c r="K5132">
        <v>1.1127229999999999</v>
      </c>
      <c r="L5132">
        <v>19.054569999999998</v>
      </c>
      <c r="M5132">
        <v>0.9695163</v>
      </c>
      <c r="N5132">
        <v>0</v>
      </c>
      <c r="O5132">
        <v>-0.2446556</v>
      </c>
      <c r="P5132">
        <v>0.97306720000000002</v>
      </c>
      <c r="Q5132">
        <v>0.16254689999999999</v>
      </c>
      <c r="R5132">
        <v>-0.16345970000000001</v>
      </c>
      <c r="S5132">
        <v>3.0547789999999999</v>
      </c>
      <c r="T5132">
        <v>-0.18402460000000001</v>
      </c>
      <c r="U5132">
        <v>-0.35266110000000001</v>
      </c>
      <c r="V5132">
        <v>-8.0665970000000004E-2</v>
      </c>
      <c r="W5132">
        <v>0.17530780000000001</v>
      </c>
      <c r="X5132">
        <v>0.98120339999999995</v>
      </c>
      <c r="Y5132">
        <v>-0.1312043</v>
      </c>
      <c r="Z5132">
        <v>1.8448590000000001E-2</v>
      </c>
      <c r="AA5132">
        <v>0.9911837</v>
      </c>
      <c r="AB5132">
        <v>25</v>
      </c>
      <c r="AC5132">
        <v>18.3446</v>
      </c>
      <c r="AD5132">
        <v>-1.1127241653440001</v>
      </c>
      <c r="AE5132">
        <v>-2.10229</v>
      </c>
      <c r="AF5132">
        <v>-2.4412618370589398</v>
      </c>
      <c r="AG5132">
        <v>-1.1127241653440001</v>
      </c>
      <c r="AH5132">
        <v>18.235167319111</v>
      </c>
      <c r="AI5132">
        <v>93.461100742976498</v>
      </c>
      <c r="AJ5132">
        <v>97.625223251555198</v>
      </c>
      <c r="AK5132">
        <v>18.4314742107406</v>
      </c>
      <c r="AL5132">
        <v>79.903429013906404</v>
      </c>
      <c r="AM5132">
        <v>94.6997892270373</v>
      </c>
      <c r="AN5132">
        <v>0.99999996781421896</v>
      </c>
    </row>
    <row r="5133" spans="1:40" x14ac:dyDescent="0.25">
      <c r="A5133" t="str">
        <f>"20190312173032696"</f>
        <v>20190312173032696</v>
      </c>
      <c r="B5133" t="str">
        <f>"1552383032693335"</f>
        <v>1552383032693335</v>
      </c>
      <c r="C5133" t="s">
        <v>40</v>
      </c>
      <c r="D5133">
        <v>3.402358</v>
      </c>
      <c r="E5133">
        <v>0.48307850000000002</v>
      </c>
      <c r="F5133" t="s">
        <v>56</v>
      </c>
      <c r="G5133">
        <v>-378.5206</v>
      </c>
      <c r="H5133" s="1">
        <v>-1.270823E-6</v>
      </c>
      <c r="I5133">
        <v>16.91601</v>
      </c>
      <c r="J5133">
        <v>-397.00139999999999</v>
      </c>
      <c r="K5133">
        <v>1.112708</v>
      </c>
      <c r="L5133">
        <v>19.027920000000002</v>
      </c>
      <c r="M5133">
        <v>0.96993019999999996</v>
      </c>
      <c r="N5133">
        <v>0</v>
      </c>
      <c r="O5133">
        <v>-0.2430097</v>
      </c>
      <c r="P5133">
        <v>0.9732925</v>
      </c>
      <c r="Q5133">
        <v>0.16265850000000001</v>
      </c>
      <c r="R5133">
        <v>-0.1620007</v>
      </c>
      <c r="S5133">
        <v>3.0545960000000001</v>
      </c>
      <c r="T5133">
        <v>-0.18279590000000001</v>
      </c>
      <c r="U5133">
        <v>-0.35131839999999998</v>
      </c>
      <c r="V5133">
        <v>-8.0460799999999999E-2</v>
      </c>
      <c r="W5133">
        <v>0.1754194</v>
      </c>
      <c r="X5133">
        <v>0.98120030000000003</v>
      </c>
      <c r="Y5133">
        <v>-0.1299585</v>
      </c>
      <c r="Z5133">
        <v>1.819513E-2</v>
      </c>
      <c r="AA5133">
        <v>0.99135240000000002</v>
      </c>
      <c r="AB5133">
        <v>25</v>
      </c>
      <c r="AC5133">
        <v>18.480799999999899</v>
      </c>
      <c r="AD5133">
        <v>-1.112709270823</v>
      </c>
      <c r="AE5133">
        <v>-2.11191</v>
      </c>
      <c r="AF5133">
        <v>-2.43412008706292</v>
      </c>
      <c r="AG5133">
        <v>-1.112709270823</v>
      </c>
      <c r="AH5133">
        <v>18.374225870686299</v>
      </c>
      <c r="AI5133">
        <v>93.435552426273503</v>
      </c>
      <c r="AJ5133">
        <v>97.546301279172297</v>
      </c>
      <c r="AK5133">
        <v>18.568124268935101</v>
      </c>
      <c r="AL5133">
        <v>79.896934155263807</v>
      </c>
      <c r="AM5133">
        <v>94.687903629222006</v>
      </c>
      <c r="AN5133">
        <v>0.99999996747654396</v>
      </c>
    </row>
    <row r="5134" spans="1:40" x14ac:dyDescent="0.25">
      <c r="A5134" t="str">
        <f>"20190312173032707"</f>
        <v>20190312173032707</v>
      </c>
      <c r="B5134" t="str">
        <f>"1552383032703095"</f>
        <v>1552383032703095</v>
      </c>
      <c r="C5134" t="s">
        <v>40</v>
      </c>
      <c r="D5134">
        <v>3.4056670000000002</v>
      </c>
      <c r="E5134">
        <v>0.48336259999999998</v>
      </c>
      <c r="F5134" t="s">
        <v>56</v>
      </c>
      <c r="G5134">
        <v>-378.40780000000001</v>
      </c>
      <c r="H5134" s="1">
        <v>-1.3166180000000001E-6</v>
      </c>
      <c r="I5134">
        <v>16.906690000000001</v>
      </c>
      <c r="J5134">
        <v>-396.87580000000003</v>
      </c>
      <c r="K5134">
        <v>1.112689</v>
      </c>
      <c r="L5134">
        <v>18.9985</v>
      </c>
      <c r="M5134">
        <v>0.97038530000000001</v>
      </c>
      <c r="N5134">
        <v>0</v>
      </c>
      <c r="O5134">
        <v>-0.24118700000000001</v>
      </c>
      <c r="P5134">
        <v>0.97355429999999998</v>
      </c>
      <c r="Q5134">
        <v>0.16273750000000001</v>
      </c>
      <c r="R5134">
        <v>-0.16034010000000001</v>
      </c>
      <c r="S5134">
        <v>3.0548709999999999</v>
      </c>
      <c r="T5134">
        <v>-0.182814</v>
      </c>
      <c r="U5134">
        <v>-0.34851070000000001</v>
      </c>
      <c r="V5134">
        <v>-8.028093E-2</v>
      </c>
      <c r="W5134">
        <v>0.1754983</v>
      </c>
      <c r="X5134">
        <v>0.98120090000000004</v>
      </c>
      <c r="Y5134">
        <v>-0.12900980000000001</v>
      </c>
      <c r="Z5134">
        <v>1.8062999999999999E-2</v>
      </c>
      <c r="AA5134">
        <v>0.99147879999999999</v>
      </c>
      <c r="AB5134">
        <v>25</v>
      </c>
      <c r="AC5134">
        <v>18.468</v>
      </c>
      <c r="AD5134">
        <v>-1.112690316618</v>
      </c>
      <c r="AE5134">
        <v>-2.0918100000000002</v>
      </c>
      <c r="AF5134">
        <v>-2.4159406976930402</v>
      </c>
      <c r="AG5134">
        <v>-1.112690316618</v>
      </c>
      <c r="AH5134">
        <v>18.3614545388998</v>
      </c>
      <c r="AI5134">
        <v>93.438277521944997</v>
      </c>
      <c r="AJ5134">
        <v>97.495734447349193</v>
      </c>
      <c r="AK5134">
        <v>18.553109226745399</v>
      </c>
      <c r="AL5134">
        <v>79.892342039376402</v>
      </c>
      <c r="AM5134">
        <v>94.677467532444297</v>
      </c>
      <c r="AN5134">
        <v>0.99999994359267996</v>
      </c>
    </row>
    <row r="5135" spans="1:40" x14ac:dyDescent="0.25">
      <c r="A5135" t="str">
        <f>"20190312173032718"</f>
        <v>20190312173032718</v>
      </c>
      <c r="B5135" t="str">
        <f>"1552383032712854"</f>
        <v>1552383032712854</v>
      </c>
      <c r="C5135" t="s">
        <v>40</v>
      </c>
      <c r="D5135">
        <v>3.3864359999999998</v>
      </c>
      <c r="E5135">
        <v>0.48343740000000002</v>
      </c>
      <c r="F5135" t="s">
        <v>56</v>
      </c>
      <c r="G5135">
        <v>-378.28750000000002</v>
      </c>
      <c r="H5135" s="1">
        <v>-1.3655019999999999E-6</v>
      </c>
      <c r="I5135">
        <v>16.89649</v>
      </c>
      <c r="J5135">
        <v>-396.75709999999998</v>
      </c>
      <c r="K5135">
        <v>1.1126750000000001</v>
      </c>
      <c r="L5135">
        <v>18.970980000000001</v>
      </c>
      <c r="M5135">
        <v>0.97080960000000005</v>
      </c>
      <c r="N5135">
        <v>0</v>
      </c>
      <c r="O5135">
        <v>-0.23947280000000001</v>
      </c>
      <c r="P5135">
        <v>0.97376130000000005</v>
      </c>
      <c r="Q5135">
        <v>0.16298770000000001</v>
      </c>
      <c r="R5135">
        <v>-0.1588212</v>
      </c>
      <c r="S5135">
        <v>3.0551759999999999</v>
      </c>
      <c r="T5135">
        <v>-0.18288280000000001</v>
      </c>
      <c r="U5135">
        <v>-0.3454895</v>
      </c>
      <c r="V5135">
        <v>-8.0064430000000006E-2</v>
      </c>
      <c r="W5135">
        <v>0.1757485</v>
      </c>
      <c r="X5135">
        <v>0.98117390000000004</v>
      </c>
      <c r="Y5135">
        <v>-0.12824140000000001</v>
      </c>
      <c r="Z5135">
        <v>1.7947319999999999E-2</v>
      </c>
      <c r="AA5135">
        <v>0.99158049999999998</v>
      </c>
      <c r="AB5135">
        <v>25</v>
      </c>
      <c r="AC5135">
        <v>18.4695999999999</v>
      </c>
      <c r="AD5135">
        <v>-1.112676365502</v>
      </c>
      <c r="AE5135">
        <v>-2.0744899999999902</v>
      </c>
      <c r="AF5135">
        <v>-2.4006465495075502</v>
      </c>
      <c r="AG5135">
        <v>-1.112676365502</v>
      </c>
      <c r="AH5135">
        <v>18.36310649524</v>
      </c>
      <c r="AI5135">
        <v>93.438299512161294</v>
      </c>
      <c r="AJ5135">
        <v>97.448154552985002</v>
      </c>
      <c r="AK5135">
        <v>18.552758088907801</v>
      </c>
      <c r="AL5135">
        <v>79.877781243900202</v>
      </c>
      <c r="AM5135">
        <v>94.6650369805038</v>
      </c>
      <c r="AN5135">
        <v>1.0000000351223399</v>
      </c>
    </row>
    <row r="5136" spans="1:40" x14ac:dyDescent="0.25">
      <c r="A5136" t="str">
        <f>"20190312173032731"</f>
        <v>20190312173032731</v>
      </c>
      <c r="B5136" t="str">
        <f>"1552383032722615"</f>
        <v>1552383032722615</v>
      </c>
      <c r="C5136" t="s">
        <v>40</v>
      </c>
      <c r="D5136">
        <v>3.4076430000000002</v>
      </c>
      <c r="E5136">
        <v>0.48343740000000002</v>
      </c>
      <c r="F5136" t="s">
        <v>56</v>
      </c>
      <c r="G5136">
        <v>-377.94690000000003</v>
      </c>
      <c r="H5136" s="1">
        <v>-1.5037709999999999E-6</v>
      </c>
      <c r="I5136">
        <v>16.86843</v>
      </c>
      <c r="J5136">
        <v>-396.62479999999999</v>
      </c>
      <c r="K5136">
        <v>1.112665</v>
      </c>
      <c r="L5136">
        <v>18.940580000000001</v>
      </c>
      <c r="M5136">
        <v>0.97127799999999997</v>
      </c>
      <c r="N5136">
        <v>0</v>
      </c>
      <c r="O5136">
        <v>-0.2375659</v>
      </c>
      <c r="P5136">
        <v>0.97396240000000001</v>
      </c>
      <c r="Q5136">
        <v>0.1631753</v>
      </c>
      <c r="R5136">
        <v>-0.15738959999999999</v>
      </c>
      <c r="S5136">
        <v>3.0553889999999999</v>
      </c>
      <c r="T5136">
        <v>-0.18073500000000001</v>
      </c>
      <c r="U5136">
        <v>-0.3415222</v>
      </c>
      <c r="V5136">
        <v>-7.9568559999999997E-2</v>
      </c>
      <c r="W5136">
        <v>0.17593729999999999</v>
      </c>
      <c r="X5136">
        <v>0.98118039999999995</v>
      </c>
      <c r="Y5136">
        <v>-0.12759229999999999</v>
      </c>
      <c r="Z5136">
        <v>1.760927E-2</v>
      </c>
      <c r="AA5136">
        <v>0.99167039999999995</v>
      </c>
      <c r="AB5136">
        <v>25</v>
      </c>
      <c r="AC5136">
        <v>18.677899999999902</v>
      </c>
      <c r="AD5136">
        <v>-1.112666503771</v>
      </c>
      <c r="AE5136">
        <v>-2.0721499999999899</v>
      </c>
      <c r="AF5136">
        <v>-2.4163477382933798</v>
      </c>
      <c r="AG5136">
        <v>-1.112666503771</v>
      </c>
      <c r="AH5136">
        <v>18.5702968096519</v>
      </c>
      <c r="AI5136">
        <v>93.4002652684824</v>
      </c>
      <c r="AJ5136">
        <v>97.413614750620994</v>
      </c>
      <c r="AK5136">
        <v>18.7598690491042</v>
      </c>
      <c r="AL5136">
        <v>79.866792559791705</v>
      </c>
      <c r="AM5136">
        <v>94.636240366015201</v>
      </c>
      <c r="AN5136">
        <v>1.0000000333079599</v>
      </c>
    </row>
    <row r="5137" spans="1:40" x14ac:dyDescent="0.25">
      <c r="A5137" t="str">
        <f>"20190312173032742"</f>
        <v>20190312173032742</v>
      </c>
      <c r="B5137" t="str">
        <f>"1552383032733352"</f>
        <v>1552383032733352</v>
      </c>
      <c r="C5137" t="s">
        <v>40</v>
      </c>
      <c r="D5137">
        <v>3.402088</v>
      </c>
      <c r="E5137">
        <v>0.4884906</v>
      </c>
      <c r="F5137" t="s">
        <v>56</v>
      </c>
      <c r="G5137">
        <v>-377.7491</v>
      </c>
      <c r="H5137" s="1">
        <v>-1.582198E-6</v>
      </c>
      <c r="I5137">
        <v>16.859169999999999</v>
      </c>
      <c r="J5137">
        <v>-396.50009999999997</v>
      </c>
      <c r="K5137">
        <v>1.112657</v>
      </c>
      <c r="L5137">
        <v>18.91208</v>
      </c>
      <c r="M5137">
        <v>0.97171560000000001</v>
      </c>
      <c r="N5137">
        <v>0</v>
      </c>
      <c r="O5137">
        <v>-0.2357699</v>
      </c>
      <c r="P5137">
        <v>0.97419710000000004</v>
      </c>
      <c r="Q5137">
        <v>0.16338039999999901</v>
      </c>
      <c r="R5137">
        <v>-0.15571389999999999</v>
      </c>
      <c r="S5137">
        <v>3.055939</v>
      </c>
      <c r="T5137">
        <v>-0.1801381</v>
      </c>
      <c r="U5137">
        <v>-0.33697510000000003</v>
      </c>
      <c r="V5137">
        <v>-7.9431340000000003E-2</v>
      </c>
      <c r="W5137">
        <v>0.17614089999999999</v>
      </c>
      <c r="X5137">
        <v>0.98115490000000005</v>
      </c>
      <c r="Y5137">
        <v>-0.12724369999999999</v>
      </c>
      <c r="Z5137">
        <v>1.743743E-2</v>
      </c>
      <c r="AA5137">
        <v>0.99171819999999999</v>
      </c>
      <c r="AB5137">
        <v>25</v>
      </c>
      <c r="AC5137">
        <v>18.750999999999902</v>
      </c>
      <c r="AD5137">
        <v>-1.112658582198</v>
      </c>
      <c r="AE5137">
        <v>-2.05290999999999</v>
      </c>
      <c r="AF5137">
        <v>-2.4178840267002499</v>
      </c>
      <c r="AG5137">
        <v>-1.112658582198</v>
      </c>
      <c r="AH5137">
        <v>18.641489260142901</v>
      </c>
      <c r="AI5137">
        <v>93.387464747026399</v>
      </c>
      <c r="AJ5137">
        <v>97.3902588998955</v>
      </c>
      <c r="AK5137">
        <v>18.830541524957098</v>
      </c>
      <c r="AL5137">
        <v>79.854941178489099</v>
      </c>
      <c r="AM5137">
        <v>94.628399466364201</v>
      </c>
      <c r="AN5137">
        <v>0.99999994611050602</v>
      </c>
    </row>
    <row r="5138" spans="1:40" x14ac:dyDescent="0.25">
      <c r="A5138" t="str">
        <f>"20190312173032754"</f>
        <v>20190312173032754</v>
      </c>
      <c r="B5138" t="str">
        <f>"1552383032743111"</f>
        <v>1552383032743111</v>
      </c>
      <c r="C5138" t="s">
        <v>40</v>
      </c>
      <c r="D5138">
        <v>3.4084490000000001</v>
      </c>
      <c r="E5138">
        <v>0.48894929999999998</v>
      </c>
      <c r="F5138" t="s">
        <v>56</v>
      </c>
      <c r="G5138">
        <v>-378.12099999999998</v>
      </c>
      <c r="H5138" s="1">
        <v>-1.4883E-6</v>
      </c>
      <c r="I5138">
        <v>16.67539</v>
      </c>
      <c r="J5138">
        <v>-396.36610000000002</v>
      </c>
      <c r="K5138">
        <v>1.1126529999999999</v>
      </c>
      <c r="L5138">
        <v>18.881869999999999</v>
      </c>
      <c r="M5138">
        <v>0.97218099999999996</v>
      </c>
      <c r="N5138">
        <v>0</v>
      </c>
      <c r="O5138">
        <v>-0.2338441</v>
      </c>
      <c r="P5138">
        <v>0.97451500000000002</v>
      </c>
      <c r="Q5138">
        <v>0.1631147</v>
      </c>
      <c r="R5138">
        <v>-0.15399450000000001</v>
      </c>
      <c r="S5138">
        <v>3.0510860000000002</v>
      </c>
      <c r="T5138">
        <v>-0.18471009999999999</v>
      </c>
      <c r="U5138">
        <v>-0.37130740000000001</v>
      </c>
      <c r="V5138">
        <v>-7.9225119999999996E-2</v>
      </c>
      <c r="W5138">
        <v>0.175874799999999</v>
      </c>
      <c r="X5138">
        <v>0.98121939999999996</v>
      </c>
      <c r="Y5138">
        <v>-0.11407970000000001</v>
      </c>
      <c r="Z5138">
        <v>1.7381839999999999E-2</v>
      </c>
      <c r="AA5138">
        <v>0.99331950000000002</v>
      </c>
      <c r="AB5138">
        <v>25</v>
      </c>
      <c r="AC5138">
        <v>18.245100000000001</v>
      </c>
      <c r="AD5138">
        <v>-1.1126544883</v>
      </c>
      <c r="AE5138">
        <v>-2.20648</v>
      </c>
      <c r="AF5138">
        <v>-2.11385496963613</v>
      </c>
      <c r="AG5138">
        <v>-1.1126544883</v>
      </c>
      <c r="AH5138">
        <v>18.188496151358599</v>
      </c>
      <c r="AI5138">
        <v>93.477275781746698</v>
      </c>
      <c r="AJ5138">
        <v>96.629137831683593</v>
      </c>
      <c r="AK5138">
        <v>18.344693376858999</v>
      </c>
      <c r="AL5138">
        <v>79.870430316098094</v>
      </c>
      <c r="AM5138">
        <v>94.616133052107898</v>
      </c>
      <c r="AN5138">
        <v>1.0000000379252001</v>
      </c>
    </row>
    <row r="5139" spans="1:40" x14ac:dyDescent="0.25">
      <c r="A5139" t="str">
        <f>"20190312173032770"</f>
        <v>20190312173032770</v>
      </c>
      <c r="B5139" t="str">
        <f>"1552383032762631"</f>
        <v>1552383032762631</v>
      </c>
      <c r="C5139" t="s">
        <v>40</v>
      </c>
      <c r="D5139">
        <v>3.4000029999999999</v>
      </c>
      <c r="E5139">
        <v>0.48946620000000002</v>
      </c>
      <c r="F5139" t="s">
        <v>56</v>
      </c>
      <c r="G5139">
        <v>-378.36750000000001</v>
      </c>
      <c r="H5139" s="1">
        <v>-1.3864979999999999E-6</v>
      </c>
      <c r="I5139">
        <v>16.70215</v>
      </c>
      <c r="J5139">
        <v>-396.20269999999999</v>
      </c>
      <c r="K5139">
        <v>1.112649</v>
      </c>
      <c r="L5139">
        <v>18.84525</v>
      </c>
      <c r="M5139">
        <v>0.97274349999999998</v>
      </c>
      <c r="N5139">
        <v>0</v>
      </c>
      <c r="O5139">
        <v>-0.2314929</v>
      </c>
      <c r="P5139">
        <v>0.97482990000000003</v>
      </c>
      <c r="Q5139">
        <v>0.16313349999999999</v>
      </c>
      <c r="R5139">
        <v>-0.1519682</v>
      </c>
      <c r="S5139">
        <v>3.0516359999999998</v>
      </c>
      <c r="T5139">
        <v>-0.1886486</v>
      </c>
      <c r="U5139">
        <v>-0.3695679</v>
      </c>
      <c r="V5139">
        <v>-7.8889379999999995E-2</v>
      </c>
      <c r="W5139">
        <v>0.17589260000000001</v>
      </c>
      <c r="X5139">
        <v>0.98124319999999998</v>
      </c>
      <c r="Y5139">
        <v>-0.1122383</v>
      </c>
      <c r="Z5139">
        <v>1.7552180000000001E-2</v>
      </c>
      <c r="AA5139">
        <v>0.99352629999999997</v>
      </c>
      <c r="AB5139">
        <v>25</v>
      </c>
      <c r="AC5139">
        <v>17.835199999999901</v>
      </c>
      <c r="AD5139">
        <v>-1.112650386498</v>
      </c>
      <c r="AE5139">
        <v>-2.1431</v>
      </c>
      <c r="AF5139">
        <v>-2.0364080211362299</v>
      </c>
      <c r="AG5139">
        <v>-1.112650386498</v>
      </c>
      <c r="AH5139">
        <v>17.778595934113401</v>
      </c>
      <c r="AI5139">
        <v>93.557908057111305</v>
      </c>
      <c r="AJ5139">
        <v>96.534334547125795</v>
      </c>
      <c r="AK5139">
        <v>17.929401046872599</v>
      </c>
      <c r="AL5139">
        <v>79.869393700378396</v>
      </c>
      <c r="AM5139">
        <v>94.596543810609901</v>
      </c>
      <c r="AN5139">
        <v>0.99999997927889195</v>
      </c>
    </row>
    <row r="5140" spans="1:40" x14ac:dyDescent="0.25">
      <c r="A5140" t="str">
        <f>"20190312173032788"</f>
        <v>20190312173032788</v>
      </c>
      <c r="B5140" t="str">
        <f>"1552383032783126"</f>
        <v>1552383032783126</v>
      </c>
      <c r="C5140" t="s">
        <v>40</v>
      </c>
      <c r="D5140">
        <v>3.3911839999999902</v>
      </c>
      <c r="E5140">
        <v>0.49002269999999998</v>
      </c>
      <c r="F5140" t="s">
        <v>56</v>
      </c>
      <c r="G5140">
        <v>-378.37259999999998</v>
      </c>
      <c r="H5140" s="1">
        <v>-1.3856149999999999E-6</v>
      </c>
      <c r="I5140">
        <v>16.698149999999998</v>
      </c>
      <c r="J5140">
        <v>-396.01080000000002</v>
      </c>
      <c r="K5140">
        <v>1.1126499999999999</v>
      </c>
      <c r="L5140">
        <v>18.80283</v>
      </c>
      <c r="M5140">
        <v>0.97339699999999996</v>
      </c>
      <c r="N5140">
        <v>0</v>
      </c>
      <c r="O5140">
        <v>-0.22872999999999999</v>
      </c>
      <c r="P5140">
        <v>0.97532890000000005</v>
      </c>
      <c r="Q5140">
        <v>0.1627924</v>
      </c>
      <c r="R5140">
        <v>-0.14910660000000001</v>
      </c>
      <c r="S5140">
        <v>3.0520320000000001</v>
      </c>
      <c r="T5140">
        <v>-0.19045529999999999</v>
      </c>
      <c r="U5140">
        <v>-0.36752319999999999</v>
      </c>
      <c r="V5140">
        <v>-7.8993499999999994E-2</v>
      </c>
      <c r="W5140">
        <v>0.17554810000000001</v>
      </c>
      <c r="X5140">
        <v>0.98129650000000002</v>
      </c>
      <c r="Y5140">
        <v>-0.11008510000000001</v>
      </c>
      <c r="Z5140">
        <v>1.7484880000000001E-2</v>
      </c>
      <c r="AA5140">
        <v>0.99376830000000005</v>
      </c>
      <c r="AB5140">
        <v>25</v>
      </c>
      <c r="AC5140">
        <v>17.638200000000001</v>
      </c>
      <c r="AD5140">
        <v>-1.112651385615</v>
      </c>
      <c r="AE5140">
        <v>-2.1046800000000001</v>
      </c>
      <c r="AF5140">
        <v>-1.97811482503247</v>
      </c>
      <c r="AG5140">
        <v>-1.112651385615</v>
      </c>
      <c r="AH5140">
        <v>17.582984629335701</v>
      </c>
      <c r="AI5140">
        <v>93.5982106030485</v>
      </c>
      <c r="AJ5140">
        <v>96.418880222854696</v>
      </c>
      <c r="AK5140">
        <v>17.728854442472599</v>
      </c>
      <c r="AL5140">
        <v>79.889443929226303</v>
      </c>
      <c r="AM5140">
        <v>94.602335466594198</v>
      </c>
      <c r="AN5140">
        <v>0.99999996468405405</v>
      </c>
    </row>
    <row r="5141" spans="1:40" x14ac:dyDescent="0.25">
      <c r="A5141" t="str">
        <f>"20190312173032799"</f>
        <v>20190312173032799</v>
      </c>
      <c r="B5141" t="str">
        <f>"1552383032792887"</f>
        <v>1552383032792887</v>
      </c>
      <c r="C5141" t="s">
        <v>40</v>
      </c>
      <c r="D5141">
        <v>3.396191</v>
      </c>
      <c r="E5141">
        <v>0.49024180000000001</v>
      </c>
      <c r="F5141" t="s">
        <v>56</v>
      </c>
      <c r="G5141">
        <v>-378.41739999999999</v>
      </c>
      <c r="H5141" s="1">
        <v>-1.3660389999999999E-6</v>
      </c>
      <c r="I5141">
        <v>16.707090000000001</v>
      </c>
      <c r="J5141">
        <v>-395.87029999999999</v>
      </c>
      <c r="K5141">
        <v>1.112652</v>
      </c>
      <c r="L5141">
        <v>18.772089999999999</v>
      </c>
      <c r="M5141">
        <v>0.97387080000000004</v>
      </c>
      <c r="N5141">
        <v>0</v>
      </c>
      <c r="O5141">
        <v>-0.22670480000000001</v>
      </c>
      <c r="P5141">
        <v>0.97563960000000005</v>
      </c>
      <c r="Q5141">
        <v>0.1628542</v>
      </c>
      <c r="R5141">
        <v>-0.14699100000000001</v>
      </c>
      <c r="S5141">
        <v>3.052521</v>
      </c>
      <c r="T5141">
        <v>-0.19304879999999999</v>
      </c>
      <c r="U5141">
        <v>-0.36361690000000002</v>
      </c>
      <c r="V5141">
        <v>-7.9078770000000007E-2</v>
      </c>
      <c r="W5141">
        <v>0.17560629999999999</v>
      </c>
      <c r="X5141">
        <v>0.98127929999999997</v>
      </c>
      <c r="Y5141">
        <v>-0.10927829999999999</v>
      </c>
      <c r="Z5141">
        <v>1.75720999999999E-2</v>
      </c>
      <c r="AA5141">
        <v>0.99385579999999996</v>
      </c>
      <c r="AB5141">
        <v>25</v>
      </c>
      <c r="AC5141">
        <v>17.4529</v>
      </c>
      <c r="AD5141">
        <v>-1.1126533660389999</v>
      </c>
      <c r="AE5141">
        <v>-2.0649999999999902</v>
      </c>
      <c r="AF5141">
        <v>-1.9380207820619999</v>
      </c>
      <c r="AG5141">
        <v>-1.1126533660389999</v>
      </c>
      <c r="AH5141">
        <v>17.396862677331399</v>
      </c>
      <c r="AI5141">
        <v>93.637051645953406</v>
      </c>
      <c r="AJ5141">
        <v>96.356574927166704</v>
      </c>
      <c r="AK5141">
        <v>17.539804818714099</v>
      </c>
      <c r="AL5141">
        <v>79.886057512445106</v>
      </c>
      <c r="AM5141">
        <v>94.607362517420796</v>
      </c>
      <c r="AN5141">
        <v>1.0000000445364401</v>
      </c>
    </row>
    <row r="5142" spans="1:40" x14ac:dyDescent="0.25">
      <c r="A5142" t="str">
        <f>"20190312173032820"</f>
        <v>20190312173032820</v>
      </c>
      <c r="B5142" t="str">
        <f>"1552383032813383"</f>
        <v>1552383032813383</v>
      </c>
      <c r="C5142" t="s">
        <v>40</v>
      </c>
      <c r="D5142">
        <v>3.3785910000000001</v>
      </c>
      <c r="E5142">
        <v>0.49065259999999999</v>
      </c>
      <c r="F5142" t="s">
        <v>56</v>
      </c>
      <c r="G5142">
        <v>-378.37670000000003</v>
      </c>
      <c r="H5142" s="1">
        <v>-1.3796220000000001E-6</v>
      </c>
      <c r="I5142">
        <v>16.714779999999902</v>
      </c>
      <c r="J5142">
        <v>-395.6533</v>
      </c>
      <c r="K5142">
        <v>1.1126560000000001</v>
      </c>
      <c r="L5142">
        <v>18.725280000000001</v>
      </c>
      <c r="M5142">
        <v>0.97459510000000005</v>
      </c>
      <c r="N5142">
        <v>0</v>
      </c>
      <c r="O5142">
        <v>-0.22357060000000001</v>
      </c>
      <c r="P5142">
        <v>0.97597529999999999</v>
      </c>
      <c r="Q5142">
        <v>0.16354839999999901</v>
      </c>
      <c r="R5142">
        <v>-0.1439609</v>
      </c>
      <c r="S5142">
        <v>3.053223</v>
      </c>
      <c r="T5142">
        <v>-0.19419520000000001</v>
      </c>
      <c r="U5142">
        <v>-0.35906979999999999</v>
      </c>
      <c r="V5142">
        <v>-7.8947690000000001E-2</v>
      </c>
      <c r="W5142">
        <v>0.176295799999999</v>
      </c>
      <c r="X5142">
        <v>0.98116619999999999</v>
      </c>
      <c r="Y5142">
        <v>-0.1075687</v>
      </c>
      <c r="Z5142">
        <v>1.7426980000000002E-2</v>
      </c>
      <c r="AA5142">
        <v>0.99404490000000001</v>
      </c>
      <c r="AB5142">
        <v>25</v>
      </c>
      <c r="AC5142">
        <v>17.276599999999899</v>
      </c>
      <c r="AD5142">
        <v>-1.1126573796219901</v>
      </c>
      <c r="AE5142">
        <v>-2.0105</v>
      </c>
      <c r="AF5142">
        <v>-1.89553120395904</v>
      </c>
      <c r="AG5142">
        <v>-1.1126573796219901</v>
      </c>
      <c r="AH5142">
        <v>17.218277574862501</v>
      </c>
      <c r="AI5142">
        <v>93.675211079689106</v>
      </c>
      <c r="AJ5142">
        <v>96.282298150135404</v>
      </c>
      <c r="AK5142">
        <v>17.3579989524894</v>
      </c>
      <c r="AL5142">
        <v>79.845925823072093</v>
      </c>
      <c r="AM5142">
        <v>94.600286151815595</v>
      </c>
      <c r="AN5142">
        <v>1.0000000294382001</v>
      </c>
    </row>
    <row r="5143" spans="1:40" x14ac:dyDescent="0.25">
      <c r="A5143" t="str">
        <f>"20190312173032831"</f>
        <v>20190312173032831</v>
      </c>
      <c r="B5143" t="str">
        <f>"1552383032823143"</f>
        <v>1552383032823143</v>
      </c>
      <c r="C5143" t="s">
        <v>40</v>
      </c>
      <c r="D5143">
        <v>3.3838430000000002</v>
      </c>
      <c r="E5143">
        <v>0.49088900000000002</v>
      </c>
      <c r="F5143" t="s">
        <v>56</v>
      </c>
      <c r="G5143">
        <v>-378.03800000000001</v>
      </c>
      <c r="H5143" s="1">
        <v>-1.5165330000000001E-6</v>
      </c>
      <c r="I5143">
        <v>16.688970000000001</v>
      </c>
      <c r="J5143">
        <v>-395.52730000000003</v>
      </c>
      <c r="K5143">
        <v>1.1126579999999999</v>
      </c>
      <c r="L5143">
        <v>18.69849</v>
      </c>
      <c r="M5143">
        <v>0.97501130000000003</v>
      </c>
      <c r="N5143">
        <v>0</v>
      </c>
      <c r="O5143">
        <v>-0.2217479</v>
      </c>
      <c r="P5143">
        <v>0.97616449999999999</v>
      </c>
      <c r="Q5143">
        <v>0.16388429999999901</v>
      </c>
      <c r="R5143">
        <v>-0.14228560000000001</v>
      </c>
      <c r="S5143">
        <v>3.054138</v>
      </c>
      <c r="T5143">
        <v>-0.19291320000000001</v>
      </c>
      <c r="U5143">
        <v>-0.35305789999999998</v>
      </c>
      <c r="V5143">
        <v>-7.8786170000000003E-2</v>
      </c>
      <c r="W5143">
        <v>0.17663000000000001</v>
      </c>
      <c r="X5143">
        <v>0.98111899999999996</v>
      </c>
      <c r="Y5143">
        <v>-0.1076869</v>
      </c>
      <c r="Z5143">
        <v>1.7201770000000002E-2</v>
      </c>
      <c r="AA5143">
        <v>0.99403600000000003</v>
      </c>
      <c r="AB5143">
        <v>25</v>
      </c>
      <c r="AC5143">
        <v>17.4893</v>
      </c>
      <c r="AD5143">
        <v>-1.112659516533</v>
      </c>
      <c r="AE5143">
        <v>-2.00951999999999</v>
      </c>
      <c r="AF5143">
        <v>-1.91144870977908</v>
      </c>
      <c r="AG5143">
        <v>-1.112659516533</v>
      </c>
      <c r="AH5143">
        <v>17.4298274332847</v>
      </c>
      <c r="AI5143">
        <v>93.630897459248303</v>
      </c>
      <c r="AJ5143">
        <v>96.258354897185001</v>
      </c>
      <c r="AK5143">
        <v>17.569591108615299</v>
      </c>
      <c r="AL5143">
        <v>79.826471528322202</v>
      </c>
      <c r="AM5143">
        <v>94.591134563141694</v>
      </c>
      <c r="AN5143">
        <v>0.999999954822133</v>
      </c>
    </row>
    <row r="5144" spans="1:40" x14ac:dyDescent="0.25">
      <c r="A5144" t="str">
        <f>"20190312173032842"</f>
        <v>20190312173032842</v>
      </c>
      <c r="B5144" t="str">
        <f>"1552383032832902"</f>
        <v>1552383032832902</v>
      </c>
      <c r="C5144" t="s">
        <v>40</v>
      </c>
      <c r="D5144">
        <v>3.3911180000000001</v>
      </c>
      <c r="E5144">
        <v>0.49113430000000002</v>
      </c>
      <c r="F5144" t="s">
        <v>56</v>
      </c>
      <c r="G5144">
        <v>-377.84050000000002</v>
      </c>
      <c r="H5144" s="1">
        <v>-1.596382E-6</v>
      </c>
      <c r="I5144">
        <v>16.673970000000001</v>
      </c>
      <c r="J5144">
        <v>-395.40129999999999</v>
      </c>
      <c r="K5144">
        <v>1.1126609999999999</v>
      </c>
      <c r="L5144">
        <v>18.67184</v>
      </c>
      <c r="M5144">
        <v>0.97542450000000003</v>
      </c>
      <c r="N5144">
        <v>0</v>
      </c>
      <c r="O5144">
        <v>-0.21992429999999999</v>
      </c>
      <c r="P5144">
        <v>0.97634330000000003</v>
      </c>
      <c r="Q5144">
        <v>0.1644283</v>
      </c>
      <c r="R5144">
        <v>-0.14041919999999999</v>
      </c>
      <c r="S5144">
        <v>3.0545650000000002</v>
      </c>
      <c r="T5144">
        <v>-0.19215989999999999</v>
      </c>
      <c r="U5144">
        <v>-0.3496399</v>
      </c>
      <c r="V5144">
        <v>-7.8810660000000005E-2</v>
      </c>
      <c r="W5144">
        <v>0.17717069999999999</v>
      </c>
      <c r="X5144">
        <v>0.98101959999999999</v>
      </c>
      <c r="Y5144">
        <v>-0.1069514</v>
      </c>
      <c r="Z5144">
        <v>1.6999480000000001E-2</v>
      </c>
      <c r="AA5144">
        <v>0.99411890000000003</v>
      </c>
      <c r="AB5144">
        <v>25</v>
      </c>
      <c r="AC5144">
        <v>17.560799999999901</v>
      </c>
      <c r="AD5144">
        <v>-1.112662596382</v>
      </c>
      <c r="AE5144">
        <v>-1.99786999999999</v>
      </c>
      <c r="AF5144">
        <v>-1.90589428546474</v>
      </c>
      <c r="AG5144">
        <v>-1.112662596382</v>
      </c>
      <c r="AH5144">
        <v>17.500838677812698</v>
      </c>
      <c r="AI5144">
        <v>93.616510864941404</v>
      </c>
      <c r="AJ5144">
        <v>96.2151905322918</v>
      </c>
      <c r="AK5144">
        <v>17.6394389226976</v>
      </c>
      <c r="AL5144">
        <v>79.794995913585893</v>
      </c>
      <c r="AM5144">
        <v>94.593018915103997</v>
      </c>
      <c r="AN5144">
        <v>1.00000001632614</v>
      </c>
    </row>
    <row r="5145" spans="1:40" x14ac:dyDescent="0.25">
      <c r="A5145" t="str">
        <f>"20190312173032853"</f>
        <v>20190312173032853</v>
      </c>
      <c r="B5145" t="str">
        <f>"1552383032842663"</f>
        <v>1552383032842663</v>
      </c>
      <c r="C5145" t="s">
        <v>40</v>
      </c>
      <c r="D5145">
        <v>3.4018190000000001</v>
      </c>
      <c r="E5145">
        <v>0.49133690000000002</v>
      </c>
      <c r="F5145" t="s">
        <v>56</v>
      </c>
      <c r="G5145">
        <v>-377.64370000000002</v>
      </c>
      <c r="H5145" s="1">
        <v>-1.6751019999999999E-6</v>
      </c>
      <c r="I5145">
        <v>16.662189999999999</v>
      </c>
      <c r="J5145">
        <v>-395.2885</v>
      </c>
      <c r="K5145">
        <v>1.1126640000000001</v>
      </c>
      <c r="L5145">
        <v>18.648319999999998</v>
      </c>
      <c r="M5145">
        <v>0.97579210000000005</v>
      </c>
      <c r="N5145">
        <v>0</v>
      </c>
      <c r="O5145">
        <v>-0.21828690000000001</v>
      </c>
      <c r="P5145">
        <v>0.97653920000000005</v>
      </c>
      <c r="Q5145">
        <v>0.1644698</v>
      </c>
      <c r="R5145">
        <v>-0.1390004</v>
      </c>
      <c r="S5145">
        <v>3.055237</v>
      </c>
      <c r="T5145">
        <v>-0.19143550000000001</v>
      </c>
      <c r="U5145">
        <v>-0.34576420000000002</v>
      </c>
      <c r="V5145">
        <v>-7.8587879999999999E-2</v>
      </c>
      <c r="W5145">
        <v>0.17721199999999901</v>
      </c>
      <c r="X5145">
        <v>0.98102999999999996</v>
      </c>
      <c r="Y5145">
        <v>-0.106561</v>
      </c>
      <c r="Z5145">
        <v>1.682169E-2</v>
      </c>
      <c r="AA5145">
        <v>0.99416389999999999</v>
      </c>
      <c r="AB5145">
        <v>25</v>
      </c>
      <c r="AC5145">
        <v>17.644799999999901</v>
      </c>
      <c r="AD5145">
        <v>-1.1126656751020001</v>
      </c>
      <c r="AE5145">
        <v>-1.98613</v>
      </c>
      <c r="AF5145">
        <v>-1.90626621722522</v>
      </c>
      <c r="AG5145">
        <v>-1.1126656751020001</v>
      </c>
      <c r="AH5145">
        <v>17.583750646445701</v>
      </c>
      <c r="AI5145">
        <v>93.5997027691498</v>
      </c>
      <c r="AJ5145">
        <v>96.187309885933402</v>
      </c>
      <c r="AK5145">
        <v>17.721742651101401</v>
      </c>
      <c r="AL5145">
        <v>79.792591428912104</v>
      </c>
      <c r="AM5145">
        <v>94.580042453614695</v>
      </c>
      <c r="AN5145">
        <v>1.0000000043634401</v>
      </c>
    </row>
    <row r="5146" spans="1:40" x14ac:dyDescent="0.25">
      <c r="A5146" t="str">
        <f>"20190312173032865"</f>
        <v>20190312173032865</v>
      </c>
      <c r="B5146" t="str">
        <f>"1552383032853399"</f>
        <v>1552383032853399</v>
      </c>
      <c r="C5146" t="s">
        <v>40</v>
      </c>
      <c r="D5146">
        <v>3.3555389999999998</v>
      </c>
      <c r="E5146">
        <v>0.49133690000000002</v>
      </c>
      <c r="F5146" t="s">
        <v>56</v>
      </c>
      <c r="G5146">
        <v>-377.59519999999998</v>
      </c>
      <c r="H5146" s="1">
        <v>-1.6935270000000001E-6</v>
      </c>
      <c r="I5146">
        <v>16.66281</v>
      </c>
      <c r="J5146">
        <v>-395.16680000000002</v>
      </c>
      <c r="K5146">
        <v>1.1126659999999999</v>
      </c>
      <c r="L5146">
        <v>18.62302</v>
      </c>
      <c r="M5146">
        <v>0.97618510000000003</v>
      </c>
      <c r="N5146">
        <v>0</v>
      </c>
      <c r="O5146">
        <v>-0.21652270000000001</v>
      </c>
      <c r="P5146">
        <v>0.97680279999999997</v>
      </c>
      <c r="Q5146">
        <v>0.16431019999999999</v>
      </c>
      <c r="R5146">
        <v>-0.13732639999999999</v>
      </c>
      <c r="S5146">
        <v>3.0556030000000001</v>
      </c>
      <c r="T5146">
        <v>-0.19215660000000001</v>
      </c>
      <c r="U5146">
        <v>-0.34289550000000002</v>
      </c>
      <c r="V5146">
        <v>-7.8500829999999994E-2</v>
      </c>
      <c r="W5146">
        <v>0.17705099999999999</v>
      </c>
      <c r="X5146">
        <v>0.98106599999999999</v>
      </c>
      <c r="Y5146">
        <v>-0.1056991</v>
      </c>
      <c r="Z5146">
        <v>1.6749380000000001E-2</v>
      </c>
      <c r="AA5146">
        <v>0.9942571</v>
      </c>
      <c r="AB5146">
        <v>25</v>
      </c>
      <c r="AC5146">
        <v>17.5716</v>
      </c>
      <c r="AD5146">
        <v>-1.1126676935269999</v>
      </c>
      <c r="AE5146">
        <v>-1.96020999999999</v>
      </c>
      <c r="AF5146">
        <v>-1.8838325483809599</v>
      </c>
      <c r="AG5146">
        <v>-1.1126676935269999</v>
      </c>
      <c r="AH5146">
        <v>17.5098057630297</v>
      </c>
      <c r="AI5146">
        <v>93.615187745611294</v>
      </c>
      <c r="AJ5146">
        <v>96.140677499593295</v>
      </c>
      <c r="AK5146">
        <v>17.6459670272158</v>
      </c>
      <c r="AL5146">
        <v>79.801963871267702</v>
      </c>
      <c r="AM5146">
        <v>94.574823627775302</v>
      </c>
      <c r="AN5146">
        <v>0.99999996663384305</v>
      </c>
    </row>
    <row r="5147" spans="1:40" x14ac:dyDescent="0.25">
      <c r="A5147" t="str">
        <f>"20190312173032874"</f>
        <v>20190312173032874</v>
      </c>
      <c r="B5147" t="str">
        <f>"1552383032863158"</f>
        <v>1552383032863158</v>
      </c>
      <c r="C5147" t="s">
        <v>40</v>
      </c>
      <c r="D5147">
        <v>3.3334030000000001</v>
      </c>
      <c r="E5147">
        <v>0.49018109999999998</v>
      </c>
      <c r="F5147" t="s">
        <v>56</v>
      </c>
      <c r="G5147">
        <v>-377.51949999999999</v>
      </c>
      <c r="H5147" s="1">
        <v>-1.720143E-6</v>
      </c>
      <c r="I5147">
        <v>16.672090000000001</v>
      </c>
      <c r="J5147">
        <v>-395.05009999999999</v>
      </c>
      <c r="K5147">
        <v>1.1126609999999999</v>
      </c>
      <c r="L5147">
        <v>18.59909</v>
      </c>
      <c r="M5147">
        <v>0.97655950000000002</v>
      </c>
      <c r="N5147">
        <v>0</v>
      </c>
      <c r="O5147">
        <v>-0.21482770000000001</v>
      </c>
      <c r="P5147">
        <v>0.97705500000000001</v>
      </c>
      <c r="Q5147">
        <v>0.16424420000000001</v>
      </c>
      <c r="R5147">
        <v>-0.13560059999999999</v>
      </c>
      <c r="S5147">
        <v>3.056152</v>
      </c>
      <c r="T5147">
        <v>-0.19269130000000001</v>
      </c>
      <c r="U5147">
        <v>-0.337860099999999</v>
      </c>
      <c r="V5147">
        <v>-7.8532660000000004E-2</v>
      </c>
      <c r="W5147">
        <v>0.1769839</v>
      </c>
      <c r="X5147">
        <v>0.98107560000000005</v>
      </c>
      <c r="Y5147">
        <v>-0.1056108</v>
      </c>
      <c r="Z5147">
        <v>1.6688370000000001E-2</v>
      </c>
      <c r="AA5147">
        <v>0.99426749999999997</v>
      </c>
      <c r="AB5147">
        <v>25</v>
      </c>
      <c r="AC5147">
        <v>17.5305999999999</v>
      </c>
      <c r="AD5147">
        <v>-1.1126627201429999</v>
      </c>
      <c r="AE5147">
        <v>-1.927</v>
      </c>
      <c r="AF5147">
        <v>-1.8769277285574999</v>
      </c>
      <c r="AG5147">
        <v>-1.1126627201429999</v>
      </c>
      <c r="AH5147">
        <v>17.4657114383056</v>
      </c>
      <c r="AI5147">
        <v>93.624321811595195</v>
      </c>
      <c r="AJ5147">
        <v>96.133669973026301</v>
      </c>
      <c r="AK5147">
        <v>17.601475849291301</v>
      </c>
      <c r="AL5147">
        <v>79.805870514564205</v>
      </c>
      <c r="AM5147">
        <v>94.5766261251038</v>
      </c>
      <c r="AN5147">
        <v>1.00000000623062</v>
      </c>
    </row>
    <row r="5148" spans="1:40" x14ac:dyDescent="0.25">
      <c r="A5148" t="str">
        <f>"20190312173032887"</f>
        <v>20190312173032887</v>
      </c>
      <c r="B5148" t="str">
        <f>"1552383032882679"</f>
        <v>1552383032882679</v>
      </c>
      <c r="C5148" t="s">
        <v>40</v>
      </c>
      <c r="D5148">
        <v>3.279944</v>
      </c>
      <c r="E5148">
        <v>0.45909879999999997</v>
      </c>
      <c r="F5148" t="s">
        <v>56</v>
      </c>
      <c r="G5148">
        <v>-377.46589999999998</v>
      </c>
      <c r="H5148" s="1">
        <v>-1.722853E-6</v>
      </c>
      <c r="I5148">
        <v>16.739380000000001</v>
      </c>
      <c r="J5148">
        <v>-394.92329999999998</v>
      </c>
      <c r="K5148">
        <v>1.11266</v>
      </c>
      <c r="L5148">
        <v>18.573239999999998</v>
      </c>
      <c r="M5148">
        <v>0.97696300000000003</v>
      </c>
      <c r="N5148">
        <v>0</v>
      </c>
      <c r="O5148">
        <v>-0.21298600000000001</v>
      </c>
      <c r="P5148">
        <v>0.97732640000000004</v>
      </c>
      <c r="Q5148">
        <v>0.16410729999999901</v>
      </c>
      <c r="R5148">
        <v>-0.13379920000000001</v>
      </c>
      <c r="S5148">
        <v>3.0581049999999999</v>
      </c>
      <c r="T5148">
        <v>-0.1935047</v>
      </c>
      <c r="U5148">
        <v>-0.32342530000000003</v>
      </c>
      <c r="V5148">
        <v>-7.849536E-2</v>
      </c>
      <c r="W5148">
        <v>0.17684540000000001</v>
      </c>
      <c r="X5148">
        <v>0.98110350000000002</v>
      </c>
      <c r="Y5148">
        <v>-0.1084367</v>
      </c>
      <c r="Z5148">
        <v>1.672966E-2</v>
      </c>
      <c r="AA5148">
        <v>0.99396260000000003</v>
      </c>
      <c r="AB5148">
        <v>25</v>
      </c>
      <c r="AC5148">
        <v>17.4574</v>
      </c>
      <c r="AD5148">
        <v>-1.112661722853</v>
      </c>
      <c r="AE5148">
        <v>-1.8338599999999901</v>
      </c>
      <c r="AF5148">
        <v>-1.91903158494433</v>
      </c>
      <c r="AG5148">
        <v>-1.112661722853</v>
      </c>
      <c r="AH5148">
        <v>17.377571349586098</v>
      </c>
      <c r="AI5148">
        <v>93.6414912473752</v>
      </c>
      <c r="AJ5148">
        <v>96.301725922311704</v>
      </c>
      <c r="AK5148">
        <v>17.518581116730701</v>
      </c>
      <c r="AL5148">
        <v>79.813932552662905</v>
      </c>
      <c r="AM5148">
        <v>94.574332097504893</v>
      </c>
      <c r="AN5148">
        <v>0.999999947377468</v>
      </c>
    </row>
    <row r="5149" spans="1:40" x14ac:dyDescent="0.25">
      <c r="A5149" t="str">
        <f>"20190312173032897"</f>
        <v>20190312173032897</v>
      </c>
      <c r="B5149" t="str">
        <f>"1552383032893415"</f>
        <v>1552383032893415</v>
      </c>
      <c r="C5149" t="s">
        <v>40</v>
      </c>
      <c r="D5149">
        <v>3.2768449999999998</v>
      </c>
      <c r="E5149">
        <v>0.45828920000000001</v>
      </c>
      <c r="F5149" t="s">
        <v>56</v>
      </c>
      <c r="G5149">
        <v>-370.60109999999997</v>
      </c>
      <c r="H5149" s="1">
        <v>-4.7099499999999997E-6</v>
      </c>
      <c r="I5149">
        <v>18.000789999999999</v>
      </c>
      <c r="J5149">
        <v>-394.80829999999997</v>
      </c>
      <c r="K5149">
        <v>1.1126590000000001</v>
      </c>
      <c r="L5149">
        <v>18.550049999999999</v>
      </c>
      <c r="M5149">
        <v>0.97732589999999997</v>
      </c>
      <c r="N5149">
        <v>0</v>
      </c>
      <c r="O5149">
        <v>-0.211314</v>
      </c>
      <c r="P5149">
        <v>0.97752059999999996</v>
      </c>
      <c r="Q5149">
        <v>0.16417670000000001</v>
      </c>
      <c r="R5149">
        <v>-0.13228619999999999</v>
      </c>
      <c r="S5149">
        <v>3.0833439999999999</v>
      </c>
      <c r="T5149">
        <v>-0.1410534</v>
      </c>
      <c r="U5149">
        <v>-7.2570800000000005E-2</v>
      </c>
      <c r="V5149">
        <v>-7.8332970000000002E-2</v>
      </c>
      <c r="W5149">
        <v>0.1769145</v>
      </c>
      <c r="X5149">
        <v>0.98110410000000003</v>
      </c>
      <c r="Y5149">
        <v>-0.1878619</v>
      </c>
      <c r="Z5149">
        <v>1.3894460000000001E-2</v>
      </c>
      <c r="AA5149">
        <v>0.98209709999999995</v>
      </c>
      <c r="AB5149">
        <v>25</v>
      </c>
      <c r="AC5149">
        <v>24.2072</v>
      </c>
      <c r="AD5149">
        <v>-1.1126637099500001</v>
      </c>
      <c r="AE5149">
        <v>-0.54925999999999997</v>
      </c>
      <c r="AF5149">
        <v>-4.5692788867426799</v>
      </c>
      <c r="AG5149">
        <v>-1.1126637099500001</v>
      </c>
      <c r="AH5149">
        <v>23.726434380950099</v>
      </c>
      <c r="AI5149">
        <v>92.636571965871696</v>
      </c>
      <c r="AJ5149">
        <v>100.900670108216</v>
      </c>
      <c r="AK5149">
        <v>24.188013943062899</v>
      </c>
      <c r="AL5149">
        <v>79.809910785065796</v>
      </c>
      <c r="AM5149">
        <v>94.5649060467684</v>
      </c>
      <c r="AN5149">
        <v>1.0000000247680401</v>
      </c>
    </row>
    <row r="5150" spans="1:40" x14ac:dyDescent="0.25">
      <c r="A5150" t="str">
        <f>"20190312173032909"</f>
        <v>20190312173032909</v>
      </c>
      <c r="B5150" t="str">
        <f>"1552383032903175"</f>
        <v>1552383032903175</v>
      </c>
      <c r="C5150" t="s">
        <v>40</v>
      </c>
      <c r="D5150">
        <v>3.2937780000000001</v>
      </c>
      <c r="E5150">
        <v>0.45778410000000003</v>
      </c>
      <c r="F5150" t="s">
        <v>56</v>
      </c>
      <c r="G5150">
        <v>-370.80869999999999</v>
      </c>
      <c r="H5150" s="1">
        <v>-4.5994049999999999E-6</v>
      </c>
      <c r="I5150">
        <v>18.070910000000001</v>
      </c>
      <c r="J5150">
        <v>-394.6857</v>
      </c>
      <c r="K5150">
        <v>1.112663</v>
      </c>
      <c r="L5150">
        <v>18.525539999999999</v>
      </c>
      <c r="M5150">
        <v>0.97770950000000001</v>
      </c>
      <c r="N5150">
        <v>0</v>
      </c>
      <c r="O5150">
        <v>-0.20953189999999999</v>
      </c>
      <c r="P5150">
        <v>0.97776750000000001</v>
      </c>
      <c r="Q5150">
        <v>0.163959299999999</v>
      </c>
      <c r="R5150">
        <v>-0.1307217</v>
      </c>
      <c r="S5150">
        <v>3.0847169999999999</v>
      </c>
      <c r="T5150">
        <v>-0.1430128</v>
      </c>
      <c r="U5150">
        <v>-6.1584470000000002E-2</v>
      </c>
      <c r="V5150">
        <v>-7.8119919999999995E-2</v>
      </c>
      <c r="W5150">
        <v>0.17669760000000001</v>
      </c>
      <c r="X5150">
        <v>0.98116020000000004</v>
      </c>
      <c r="Y5150">
        <v>-0.18956629999999999</v>
      </c>
      <c r="Z5150">
        <v>1.404088E-2</v>
      </c>
      <c r="AA5150">
        <v>0.98176750000000002</v>
      </c>
      <c r="AB5150">
        <v>25</v>
      </c>
      <c r="AC5150">
        <v>23.876999999999999</v>
      </c>
      <c r="AD5150">
        <v>-1.1126675994049999</v>
      </c>
      <c r="AE5150">
        <v>-0.45462999999999798</v>
      </c>
      <c r="AF5150">
        <v>-4.5490336950899604</v>
      </c>
      <c r="AG5150">
        <v>-1.1126675994049999</v>
      </c>
      <c r="AH5150">
        <v>23.391367866462801</v>
      </c>
      <c r="AI5150">
        <v>92.673351205253198</v>
      </c>
      <c r="AJ5150">
        <v>101.005221698752</v>
      </c>
      <c r="AK5150">
        <v>23.855561771000399</v>
      </c>
      <c r="AL5150">
        <v>79.822537427731902</v>
      </c>
      <c r="AM5150">
        <v>94.552283469674194</v>
      </c>
      <c r="AN5150">
        <v>1.0000000509053</v>
      </c>
    </row>
    <row r="5151" spans="1:40" x14ac:dyDescent="0.25">
      <c r="A5151" t="str">
        <f>"20190312173032920"</f>
        <v>20190312173032920</v>
      </c>
      <c r="B5151" t="str">
        <f>"1552383032912935"</f>
        <v>1552383032912935</v>
      </c>
      <c r="C5151" t="s">
        <v>40</v>
      </c>
      <c r="D5151">
        <v>3.2516850000000002</v>
      </c>
      <c r="E5151">
        <v>0.45777820000000002</v>
      </c>
      <c r="F5151" t="s">
        <v>56</v>
      </c>
      <c r="G5151">
        <v>-370.66399999999999</v>
      </c>
      <c r="H5151" s="1">
        <v>-4.6596549999999999E-6</v>
      </c>
      <c r="I5151">
        <v>18.11684</v>
      </c>
      <c r="J5151">
        <v>-394.55529999999999</v>
      </c>
      <c r="K5151">
        <v>1.1126640000000001</v>
      </c>
      <c r="L5151">
        <v>18.499690000000001</v>
      </c>
      <c r="M5151">
        <v>0.97811409999999999</v>
      </c>
      <c r="N5151">
        <v>0</v>
      </c>
      <c r="O5151">
        <v>-0.20763590000000001</v>
      </c>
      <c r="P5151">
        <v>0.97799000000000003</v>
      </c>
      <c r="Q5151">
        <v>0.16400229999999999</v>
      </c>
      <c r="R5151">
        <v>-0.1289922</v>
      </c>
      <c r="S5151">
        <v>3.085175</v>
      </c>
      <c r="T5151">
        <v>-0.14290269999999999</v>
      </c>
      <c r="U5151">
        <v>-5.2490229999999999E-2</v>
      </c>
      <c r="V5151">
        <v>-7.7950889999999995E-2</v>
      </c>
      <c r="W5151">
        <v>0.17673989999999901</v>
      </c>
      <c r="X5151">
        <v>0.98116599999999998</v>
      </c>
      <c r="Y5151">
        <v>-0.19056020000000001</v>
      </c>
      <c r="Z5151">
        <v>1.396593E-2</v>
      </c>
      <c r="AA5151">
        <v>0.98157609999999995</v>
      </c>
      <c r="AB5151">
        <v>25</v>
      </c>
      <c r="AC5151">
        <v>23.891300000000001</v>
      </c>
      <c r="AD5151">
        <v>-1.1126686596549999</v>
      </c>
      <c r="AE5151">
        <v>-0.38285000000000102</v>
      </c>
      <c r="AF5151">
        <v>-4.5767095667556497</v>
      </c>
      <c r="AG5151">
        <v>-1.1126686596549999</v>
      </c>
      <c r="AH5151">
        <v>23.399283893009599</v>
      </c>
      <c r="AI5151">
        <v>92.671890678496396</v>
      </c>
      <c r="AJ5151">
        <v>101.0668744684</v>
      </c>
      <c r="AK5151">
        <v>23.868615140185</v>
      </c>
      <c r="AL5151">
        <v>79.820074811389702</v>
      </c>
      <c r="AM5151">
        <v>94.542448108657993</v>
      </c>
      <c r="AN5151">
        <v>1.0000000265299001</v>
      </c>
    </row>
    <row r="5152" spans="1:40" x14ac:dyDescent="0.25">
      <c r="A5152" t="str">
        <f>"20190312173032931"</f>
        <v>20190312173032931</v>
      </c>
      <c r="B5152" t="str">
        <f>"1552383032922695"</f>
        <v>1552383032922695</v>
      </c>
      <c r="C5152" t="s">
        <v>40</v>
      </c>
      <c r="D5152">
        <v>3.2927580000000001</v>
      </c>
      <c r="E5152">
        <v>0.45767560000000002</v>
      </c>
      <c r="F5152" t="s">
        <v>56</v>
      </c>
      <c r="G5152">
        <v>-370.39019999999999</v>
      </c>
      <c r="H5152" s="1">
        <v>-4.7866250000000001E-6</v>
      </c>
      <c r="I5152">
        <v>18.13062</v>
      </c>
      <c r="J5152">
        <v>-394.43549999999999</v>
      </c>
      <c r="K5152">
        <v>1.1126640000000001</v>
      </c>
      <c r="L5152">
        <v>18.47626</v>
      </c>
      <c r="M5152">
        <v>0.97848210000000002</v>
      </c>
      <c r="N5152">
        <v>0</v>
      </c>
      <c r="O5152">
        <v>-0.20589360000000001</v>
      </c>
      <c r="P5152">
        <v>0.97816769999999997</v>
      </c>
      <c r="Q5152">
        <v>0.16411729999999899</v>
      </c>
      <c r="R5152">
        <v>-0.12749069999999901</v>
      </c>
      <c r="S5152">
        <v>3.0851440000000001</v>
      </c>
      <c r="T5152">
        <v>-0.1420537</v>
      </c>
      <c r="U5152">
        <v>-4.7119139999999997E-2</v>
      </c>
      <c r="V5152">
        <v>-7.7705499999999997E-2</v>
      </c>
      <c r="W5152">
        <v>0.17685529999999999</v>
      </c>
      <c r="X5152">
        <v>0.98116460000000005</v>
      </c>
      <c r="Y5152">
        <v>-0.1905271</v>
      </c>
      <c r="Z5152">
        <v>1.380426E-2</v>
      </c>
      <c r="AA5152">
        <v>0.98158480000000004</v>
      </c>
      <c r="AB5152">
        <v>25</v>
      </c>
      <c r="AC5152">
        <v>24.045300000000001</v>
      </c>
      <c r="AD5152">
        <v>-1.11266878662499</v>
      </c>
      <c r="AE5152">
        <v>-0.345639999999999</v>
      </c>
      <c r="AF5152">
        <v>-4.6031328975315402</v>
      </c>
      <c r="AG5152">
        <v>-1.11266878662499</v>
      </c>
      <c r="AH5152">
        <v>23.5507739060094</v>
      </c>
      <c r="AI5152">
        <v>92.654796730821801</v>
      </c>
      <c r="AJ5152">
        <v>101.05935984493399</v>
      </c>
      <c r="AK5152">
        <v>24.022194235186699</v>
      </c>
      <c r="AL5152">
        <v>79.813356340337705</v>
      </c>
      <c r="AM5152">
        <v>94.528214444946997</v>
      </c>
      <c r="AN5152">
        <v>0.99999995708074896</v>
      </c>
    </row>
    <row r="5153" spans="1:40" x14ac:dyDescent="0.25">
      <c r="A5153" t="str">
        <f>"20190312173032942"</f>
        <v>20190312173032942</v>
      </c>
      <c r="B5153" t="str">
        <f>"1552383032933431"</f>
        <v>1552383032933431</v>
      </c>
      <c r="C5153" t="s">
        <v>40</v>
      </c>
      <c r="D5153">
        <v>3.2801390000000001</v>
      </c>
      <c r="E5153">
        <v>0.45771250000000002</v>
      </c>
      <c r="F5153" t="s">
        <v>56</v>
      </c>
      <c r="G5153">
        <v>-370.13850000000002</v>
      </c>
      <c r="H5153" s="1">
        <v>-4.9024099999999997E-6</v>
      </c>
      <c r="I5153">
        <v>18.148679999999999</v>
      </c>
      <c r="J5153">
        <v>-394.31290000000001</v>
      </c>
      <c r="K5153">
        <v>1.1126609999999999</v>
      </c>
      <c r="L5153">
        <v>18.452359999999999</v>
      </c>
      <c r="M5153">
        <v>0.97885599999999995</v>
      </c>
      <c r="N5153">
        <v>0</v>
      </c>
      <c r="O5153">
        <v>-0.20411019999999999</v>
      </c>
      <c r="P5153">
        <v>0.97833150000000002</v>
      </c>
      <c r="Q5153">
        <v>0.16434309999999999</v>
      </c>
      <c r="R5153">
        <v>-0.1259325</v>
      </c>
      <c r="S5153">
        <v>3.0852050000000002</v>
      </c>
      <c r="T5153">
        <v>-0.1412852</v>
      </c>
      <c r="U5153">
        <v>-4.1595460000000001E-2</v>
      </c>
      <c r="V5153">
        <v>-7.7472589999999994E-2</v>
      </c>
      <c r="W5153">
        <v>0.1770815</v>
      </c>
      <c r="X5153">
        <v>0.98114230000000002</v>
      </c>
      <c r="Y5153">
        <v>-0.1905019</v>
      </c>
      <c r="Z5153">
        <v>1.364917E-2</v>
      </c>
      <c r="AA5153">
        <v>0.98159189999999996</v>
      </c>
      <c r="AB5153">
        <v>25</v>
      </c>
      <c r="AC5153">
        <v>24.174399999999899</v>
      </c>
      <c r="AD5153">
        <v>-1.1126659024100001</v>
      </c>
      <c r="AE5153">
        <v>-0.303680000000003</v>
      </c>
      <c r="AF5153">
        <v>-4.6275981281032204</v>
      </c>
      <c r="AG5153">
        <v>-1.1126659024100001</v>
      </c>
      <c r="AH5153">
        <v>23.677224633179598</v>
      </c>
      <c r="AI5153">
        <v>92.640637042205498</v>
      </c>
      <c r="AJ5153">
        <v>101.058776475031</v>
      </c>
      <c r="AK5153">
        <v>24.1508520797023</v>
      </c>
      <c r="AL5153">
        <v>79.800189012581697</v>
      </c>
      <c r="AM5153">
        <v>94.514800218174102</v>
      </c>
      <c r="AN5153">
        <v>1.0000000363464201</v>
      </c>
    </row>
    <row r="5154" spans="1:40" x14ac:dyDescent="0.25">
      <c r="A5154" t="str">
        <f>"20190312173032953"</f>
        <v>20190312173032953</v>
      </c>
      <c r="B5154" t="str">
        <f>"1552383032943191"</f>
        <v>1552383032943191</v>
      </c>
      <c r="C5154" t="s">
        <v>40</v>
      </c>
      <c r="D5154">
        <v>3.294489</v>
      </c>
      <c r="E5154">
        <v>0.45772770000000002</v>
      </c>
      <c r="F5154" t="s">
        <v>56</v>
      </c>
      <c r="G5154">
        <v>-370.04820000000001</v>
      </c>
      <c r="H5154" s="1">
        <v>-4.9430760000000003E-6</v>
      </c>
      <c r="I5154">
        <v>18.160039999999999</v>
      </c>
      <c r="J5154">
        <v>-394.19470000000001</v>
      </c>
      <c r="K5154">
        <v>1.1126609999999999</v>
      </c>
      <c r="L5154">
        <v>18.42972</v>
      </c>
      <c r="M5154">
        <v>0.97921279999999999</v>
      </c>
      <c r="N5154">
        <v>0</v>
      </c>
      <c r="O5154">
        <v>-0.2023904</v>
      </c>
      <c r="P5154">
        <v>0.97854640000000004</v>
      </c>
      <c r="Q5154">
        <v>0.1643271</v>
      </c>
      <c r="R5154">
        <v>-0.12427199999999999</v>
      </c>
      <c r="S5154">
        <v>3.0854189999999999</v>
      </c>
      <c r="T5154">
        <v>-0.14148279999999999</v>
      </c>
      <c r="U5154">
        <v>-3.7170410000000001E-2</v>
      </c>
      <c r="V5154">
        <v>-7.7413880000000004E-2</v>
      </c>
      <c r="W5154">
        <v>0.17706459999999999</v>
      </c>
      <c r="X5154">
        <v>0.98114999999999997</v>
      </c>
      <c r="Y5154">
        <v>-0.1901871</v>
      </c>
      <c r="Z5154">
        <v>1.3583049999999999E-2</v>
      </c>
      <c r="AA5154">
        <v>0.98165389999999997</v>
      </c>
      <c r="AB5154">
        <v>25</v>
      </c>
      <c r="AC5154">
        <v>24.1465</v>
      </c>
      <c r="AD5154">
        <v>-1.112665943076</v>
      </c>
      <c r="AE5154">
        <v>-0.26968000000000097</v>
      </c>
      <c r="AF5154">
        <v>-4.6135677852203596</v>
      </c>
      <c r="AG5154">
        <v>-1.112665943076</v>
      </c>
      <c r="AH5154">
        <v>23.651067499657302</v>
      </c>
      <c r="AI5154">
        <v>92.643740661314197</v>
      </c>
      <c r="AJ5154">
        <v>101.03796549665</v>
      </c>
      <c r="AK5154">
        <v>24.122521159345101</v>
      </c>
      <c r="AL5154">
        <v>79.801173019020098</v>
      </c>
      <c r="AM5154">
        <v>94.511357698554093</v>
      </c>
      <c r="AN5154">
        <v>1.0000000519448999</v>
      </c>
    </row>
    <row r="5155" spans="1:40" x14ac:dyDescent="0.25">
      <c r="A5155" t="str">
        <f>"20190312173032967"</f>
        <v>20190312173032967</v>
      </c>
      <c r="B5155" t="str">
        <f>"1552383032962711"</f>
        <v>1552383032962711</v>
      </c>
      <c r="C5155" t="s">
        <v>40</v>
      </c>
      <c r="D5155">
        <v>3.3953799999999998</v>
      </c>
      <c r="E5155">
        <v>0.45751540000000002</v>
      </c>
      <c r="F5155" t="s">
        <v>56</v>
      </c>
      <c r="G5155">
        <v>-370.14109999999999</v>
      </c>
      <c r="H5155" s="1">
        <v>-4.8956939999999998E-6</v>
      </c>
      <c r="I5155">
        <v>18.179449999999999</v>
      </c>
      <c r="J5155">
        <v>-394.05259999999998</v>
      </c>
      <c r="K5155">
        <v>1.1126609999999999</v>
      </c>
      <c r="L5155">
        <v>18.402650000000001</v>
      </c>
      <c r="M5155">
        <v>0.9796378</v>
      </c>
      <c r="N5155">
        <v>0</v>
      </c>
      <c r="O5155">
        <v>-0.20032340000000001</v>
      </c>
      <c r="P5155">
        <v>0.97871710000000001</v>
      </c>
      <c r="Q5155">
        <v>0.1645644</v>
      </c>
      <c r="R5155">
        <v>-0.12260219999999999</v>
      </c>
      <c r="S5155">
        <v>3.0856629999999998</v>
      </c>
      <c r="T5155">
        <v>-0.14273640000000001</v>
      </c>
      <c r="U5155">
        <v>-3.2104489999999999E-2</v>
      </c>
      <c r="V5155">
        <v>-7.7009090000000002E-2</v>
      </c>
      <c r="W5155">
        <v>0.17730299999999999</v>
      </c>
      <c r="X5155">
        <v>0.98113879999999998</v>
      </c>
      <c r="Y5155">
        <v>-0.189723</v>
      </c>
      <c r="Z5155">
        <v>1.3597959999999999E-2</v>
      </c>
      <c r="AA5155">
        <v>0.98174349999999999</v>
      </c>
      <c r="AB5155">
        <v>25</v>
      </c>
      <c r="AC5155">
        <v>23.911499999999901</v>
      </c>
      <c r="AD5155">
        <v>-1.1126658956939901</v>
      </c>
      <c r="AE5155">
        <v>-0.22320000000000201</v>
      </c>
      <c r="AF5155">
        <v>-4.5619130242276897</v>
      </c>
      <c r="AG5155">
        <v>-1.1126658956939901</v>
      </c>
      <c r="AH5155">
        <v>23.420729439020999</v>
      </c>
      <c r="AI5155">
        <v>92.669847470569295</v>
      </c>
      <c r="AJ5155">
        <v>101.02212020070399</v>
      </c>
      <c r="AK5155">
        <v>23.886808980939399</v>
      </c>
      <c r="AL5155">
        <v>79.787294083514993</v>
      </c>
      <c r="AM5155">
        <v>94.487915867146597</v>
      </c>
      <c r="AN5155">
        <v>1.0000000493085299</v>
      </c>
    </row>
    <row r="5156" spans="1:40" x14ac:dyDescent="0.25">
      <c r="A5156" t="str">
        <f>"20190312173032979"</f>
        <v>20190312173032979</v>
      </c>
      <c r="B5156" t="str">
        <f>"1552383032973447"</f>
        <v>1552383032973447</v>
      </c>
      <c r="C5156" t="s">
        <v>40</v>
      </c>
      <c r="D5156">
        <v>3.2824559999999998</v>
      </c>
      <c r="E5156">
        <v>0.45747369999999998</v>
      </c>
      <c r="F5156" t="s">
        <v>56</v>
      </c>
      <c r="G5156">
        <v>-370.38260000000002</v>
      </c>
      <c r="H5156" s="1">
        <v>-4.7762059999999999E-6</v>
      </c>
      <c r="I5156">
        <v>18.209569999999999</v>
      </c>
      <c r="J5156">
        <v>-393.91820000000001</v>
      </c>
      <c r="K5156">
        <v>1.112663</v>
      </c>
      <c r="L5156">
        <v>18.377379999999999</v>
      </c>
      <c r="M5156">
        <v>0.9800354</v>
      </c>
      <c r="N5156">
        <v>0</v>
      </c>
      <c r="O5156">
        <v>-0.19837009999999999</v>
      </c>
      <c r="P5156">
        <v>0.97888240000000004</v>
      </c>
      <c r="Q5156">
        <v>0.164800799999999</v>
      </c>
      <c r="R5156">
        <v>-0.12095640000000001</v>
      </c>
      <c r="S5156">
        <v>3.0865170000000002</v>
      </c>
      <c r="T5156">
        <v>-0.14508950000000001</v>
      </c>
      <c r="U5156">
        <v>-2.5177000000000001E-2</v>
      </c>
      <c r="V5156">
        <v>-7.6695579999999999E-2</v>
      </c>
      <c r="W5156">
        <v>0.17754</v>
      </c>
      <c r="X5156">
        <v>0.98112049999999995</v>
      </c>
      <c r="Y5156">
        <v>-0.1899602</v>
      </c>
      <c r="Z5156">
        <v>1.373398E-2</v>
      </c>
      <c r="AA5156">
        <v>0.98169569999999995</v>
      </c>
      <c r="AB5156">
        <v>25</v>
      </c>
      <c r="AC5156">
        <v>23.535599999999899</v>
      </c>
      <c r="AD5156">
        <v>-1.112667776206</v>
      </c>
      <c r="AE5156">
        <v>-0.16780999999999499</v>
      </c>
      <c r="AF5156">
        <v>-4.4946597205177996</v>
      </c>
      <c r="AG5156">
        <v>-1.112667776206</v>
      </c>
      <c r="AH5156">
        <v>23.0495743637324</v>
      </c>
      <c r="AI5156">
        <v>92.712668254396803</v>
      </c>
      <c r="AJ5156">
        <v>101.034191568819</v>
      </c>
      <c r="AK5156">
        <v>23.510058994666199</v>
      </c>
      <c r="AL5156">
        <v>79.773496081023296</v>
      </c>
      <c r="AM5156">
        <v>94.469802431753905</v>
      </c>
      <c r="AN5156">
        <v>1.0000000495558901</v>
      </c>
    </row>
    <row r="5157" spans="1:40" x14ac:dyDescent="0.25">
      <c r="A5157" t="str">
        <f>"20190312173033000"</f>
        <v>20190312173033000</v>
      </c>
      <c r="B5157" t="str">
        <f>"1552383032992967"</f>
        <v>1552383032992967</v>
      </c>
      <c r="C5157" t="s">
        <v>40</v>
      </c>
      <c r="D5157">
        <v>3.2783479999999998</v>
      </c>
      <c r="E5157">
        <v>0.45756000000000002</v>
      </c>
      <c r="F5157" t="s">
        <v>56</v>
      </c>
      <c r="G5157">
        <v>-370.15519999999998</v>
      </c>
      <c r="H5157" s="1">
        <v>-4.8808169999999998E-6</v>
      </c>
      <c r="I5157">
        <v>18.22607</v>
      </c>
      <c r="J5157">
        <v>-393.69240000000002</v>
      </c>
      <c r="K5157">
        <v>1.1126609999999999</v>
      </c>
      <c r="L5157">
        <v>18.335509999999999</v>
      </c>
      <c r="M5157">
        <v>0.98069419999999996</v>
      </c>
      <c r="N5157">
        <v>0</v>
      </c>
      <c r="O5157">
        <v>-0.19508600000000001</v>
      </c>
      <c r="P5157">
        <v>0.9790586</v>
      </c>
      <c r="Q5157">
        <v>0.16550239999999999</v>
      </c>
      <c r="R5157">
        <v>-0.1185456</v>
      </c>
      <c r="S5157">
        <v>3.0866090000000002</v>
      </c>
      <c r="T5157">
        <v>-0.1445255</v>
      </c>
      <c r="U5157">
        <v>-1.9653319999999998E-2</v>
      </c>
      <c r="V5157">
        <v>-7.5801999999999994E-2</v>
      </c>
      <c r="W5157">
        <v>0.17824429999999999</v>
      </c>
      <c r="X5157">
        <v>0.9810622</v>
      </c>
      <c r="Y5157">
        <v>-0.18843679999999999</v>
      </c>
      <c r="Z5157">
        <v>1.349376E-2</v>
      </c>
      <c r="AA5157">
        <v>0.98199259999999999</v>
      </c>
      <c r="AB5157">
        <v>25</v>
      </c>
      <c r="AC5157">
        <v>23.537199999999999</v>
      </c>
      <c r="AD5157">
        <v>-1.112665880817</v>
      </c>
      <c r="AE5157">
        <v>-0.109439999999999</v>
      </c>
      <c r="AF5157">
        <v>-4.4748556803421398</v>
      </c>
      <c r="AG5157">
        <v>-1.112665880817</v>
      </c>
      <c r="AH5157">
        <v>23.054709971908299</v>
      </c>
      <c r="AI5157">
        <v>92.712518417098906</v>
      </c>
      <c r="AJ5157">
        <v>100.984371248618</v>
      </c>
      <c r="AK5157">
        <v>23.5113166498823</v>
      </c>
      <c r="AL5157">
        <v>79.732488152906697</v>
      </c>
      <c r="AM5157">
        <v>94.418193655988603</v>
      </c>
      <c r="AN5157">
        <v>1.00000000697766</v>
      </c>
    </row>
    <row r="5158" spans="1:40" x14ac:dyDescent="0.25">
      <c r="A5158" t="str">
        <f>"20190312173033021"</f>
        <v>20190312173033021</v>
      </c>
      <c r="B5158" t="str">
        <f>"1552383033012487"</f>
        <v>1552383033012487</v>
      </c>
      <c r="C5158" t="s">
        <v>40</v>
      </c>
      <c r="D5158">
        <v>3.2638029999999998</v>
      </c>
      <c r="E5158">
        <v>0.4575495</v>
      </c>
      <c r="F5158" t="s">
        <v>57</v>
      </c>
      <c r="G5158">
        <v>-369.58390000000003</v>
      </c>
      <c r="H5158" s="1">
        <v>-5.2694849999999995E-7</v>
      </c>
      <c r="I5158">
        <v>18.238029999999998</v>
      </c>
      <c r="J5158">
        <v>-393.46120000000002</v>
      </c>
      <c r="K5158">
        <v>1.1126590000000001</v>
      </c>
      <c r="L5158">
        <v>18.29346</v>
      </c>
      <c r="M5158">
        <v>0.98135720000000004</v>
      </c>
      <c r="N5158">
        <v>0</v>
      </c>
      <c r="O5158">
        <v>-0.19172400000000001</v>
      </c>
      <c r="P5158">
        <v>0.9794214</v>
      </c>
      <c r="Q5158">
        <v>0.16531209999999999</v>
      </c>
      <c r="R5158">
        <v>-0.1157832</v>
      </c>
      <c r="S5158">
        <v>3.0867309999999999</v>
      </c>
      <c r="T5158">
        <v>-0.1424599</v>
      </c>
      <c r="U5158">
        <v>-1.248169E-2</v>
      </c>
      <c r="V5158">
        <v>-7.5209070000000003E-2</v>
      </c>
      <c r="W5158">
        <v>0.17805660000000001</v>
      </c>
      <c r="X5158">
        <v>0.98114190000000001</v>
      </c>
      <c r="Y5158">
        <v>-0.1873696</v>
      </c>
      <c r="Z5158">
        <v>1.312373E-2</v>
      </c>
      <c r="AA5158">
        <v>0.98220180000000001</v>
      </c>
      <c r="AB5158">
        <v>25</v>
      </c>
      <c r="AC5158">
        <v>23.877299999999899</v>
      </c>
      <c r="AD5158">
        <v>-1.1126595269485</v>
      </c>
      <c r="AE5158">
        <v>-5.5430000000001201E-2</v>
      </c>
      <c r="AF5158">
        <v>-4.51405979732698</v>
      </c>
      <c r="AG5158">
        <v>-1.1126595269485</v>
      </c>
      <c r="AH5158">
        <v>23.394097782634699</v>
      </c>
      <c r="AI5158">
        <v>92.673776782972396</v>
      </c>
      <c r="AJ5158">
        <v>100.921410055111</v>
      </c>
      <c r="AK5158">
        <v>23.851594456979701</v>
      </c>
      <c r="AL5158">
        <v>79.743417252665907</v>
      </c>
      <c r="AM5158">
        <v>94.383414680852198</v>
      </c>
      <c r="AN5158">
        <v>0.99999999247471705</v>
      </c>
    </row>
    <row r="5159" spans="1:40" x14ac:dyDescent="0.25">
      <c r="A5159" t="str">
        <f>"20190312173033032"</f>
        <v>20190312173033032</v>
      </c>
      <c r="B5159" t="str">
        <f>"1552383033023223"</f>
        <v>1552383033023223</v>
      </c>
      <c r="C5159" t="s">
        <v>40</v>
      </c>
      <c r="D5159">
        <v>3.2291050000000001</v>
      </c>
      <c r="E5159">
        <v>0.45784859999999999</v>
      </c>
      <c r="F5159" t="s">
        <v>57</v>
      </c>
      <c r="G5159">
        <v>-369.36329999999998</v>
      </c>
      <c r="H5159" s="1">
        <v>-6.0456699999999898E-7</v>
      </c>
      <c r="I5159">
        <v>18.26463</v>
      </c>
      <c r="J5159">
        <v>-393.34010000000001</v>
      </c>
      <c r="K5159">
        <v>1.11266</v>
      </c>
      <c r="L5159">
        <v>18.271850000000001</v>
      </c>
      <c r="M5159">
        <v>0.98169949999999995</v>
      </c>
      <c r="N5159">
        <v>0</v>
      </c>
      <c r="O5159">
        <v>-0.1899631</v>
      </c>
      <c r="P5159">
        <v>0.97966140000000002</v>
      </c>
      <c r="Q5159">
        <v>0.16491789999999901</v>
      </c>
      <c r="R5159">
        <v>-0.1143074</v>
      </c>
      <c r="S5159">
        <v>3.0866389999999999</v>
      </c>
      <c r="T5159">
        <v>-0.14251800000000001</v>
      </c>
      <c r="U5159">
        <v>-3.692627E-3</v>
      </c>
      <c r="V5159">
        <v>-7.4936550000000005E-2</v>
      </c>
      <c r="W5159">
        <v>0.17766479999999901</v>
      </c>
      <c r="X5159">
        <v>0.98123380000000004</v>
      </c>
      <c r="Y5159">
        <v>-0.1884043</v>
      </c>
      <c r="Z5159">
        <v>1.307388E-2</v>
      </c>
      <c r="AA5159">
        <v>0.98200449999999995</v>
      </c>
      <c r="AB5159">
        <v>25</v>
      </c>
      <c r="AC5159">
        <v>23.976800000000001</v>
      </c>
      <c r="AD5159">
        <v>-1.112660604567</v>
      </c>
      <c r="AE5159">
        <v>-7.2200000000002202E-3</v>
      </c>
      <c r="AF5159">
        <v>-4.5382558916574496</v>
      </c>
      <c r="AG5159">
        <v>-1.112660604567</v>
      </c>
      <c r="AH5159">
        <v>23.4909167942869</v>
      </c>
      <c r="AI5159">
        <v>92.662658970346698</v>
      </c>
      <c r="AJ5159">
        <v>100.934376102031</v>
      </c>
      <c r="AK5159">
        <v>23.9511367578917</v>
      </c>
      <c r="AL5159">
        <v>79.766229738846405</v>
      </c>
      <c r="AM5159">
        <v>94.3671854756942</v>
      </c>
      <c r="AN5159">
        <v>1.00000001897369</v>
      </c>
    </row>
    <row r="5160" spans="1:40" x14ac:dyDescent="0.25">
      <c r="A5160" t="str">
        <f>"20190312173033042"</f>
        <v>20190312173033042</v>
      </c>
      <c r="B5160" t="str">
        <f>"1552383033032984"</f>
        <v>1552383033032984</v>
      </c>
      <c r="C5160" t="s">
        <v>40</v>
      </c>
      <c r="D5160">
        <v>3.3449369999999998</v>
      </c>
      <c r="E5160">
        <v>0.45805010000000002</v>
      </c>
      <c r="F5160" t="s">
        <v>57</v>
      </c>
      <c r="G5160">
        <v>-369.71899999999999</v>
      </c>
      <c r="H5160" s="1">
        <v>-4.6956459999999999E-7</v>
      </c>
      <c r="I5160">
        <v>18.258769999999998</v>
      </c>
      <c r="J5160">
        <v>-393.2217</v>
      </c>
      <c r="K5160">
        <v>1.1126590000000001</v>
      </c>
      <c r="L5160">
        <v>18.25076</v>
      </c>
      <c r="M5160">
        <v>0.9820316</v>
      </c>
      <c r="N5160">
        <v>0</v>
      </c>
      <c r="O5160">
        <v>-0.18823899999999999</v>
      </c>
      <c r="P5160">
        <v>0.9798827</v>
      </c>
      <c r="Q5160">
        <v>0.1646339</v>
      </c>
      <c r="R5160">
        <v>-0.11280859999999999</v>
      </c>
      <c r="S5160">
        <v>3.0865170000000002</v>
      </c>
      <c r="T5160">
        <v>-0.1453884</v>
      </c>
      <c r="U5160">
        <v>-1.708984E-3</v>
      </c>
      <c r="V5160">
        <v>-7.4720519999999999E-2</v>
      </c>
      <c r="W5160">
        <v>0.17738229999999999</v>
      </c>
      <c r="X5160">
        <v>0.98130139999999999</v>
      </c>
      <c r="Y5160">
        <v>-0.18729760000000001</v>
      </c>
      <c r="Z5160">
        <v>1.323147E-2</v>
      </c>
      <c r="AA5160">
        <v>0.98221409999999998</v>
      </c>
      <c r="AB5160">
        <v>25</v>
      </c>
      <c r="AC5160">
        <v>23.502700000000001</v>
      </c>
      <c r="AD5160">
        <v>-1.1126594695645999</v>
      </c>
      <c r="AE5160">
        <v>8.0100000000022896E-3</v>
      </c>
      <c r="AF5160">
        <v>-4.4224779374431504</v>
      </c>
      <c r="AG5160">
        <v>-1.1126594695645999</v>
      </c>
      <c r="AH5160">
        <v>23.029349478407902</v>
      </c>
      <c r="AI5160">
        <v>92.716525570010404</v>
      </c>
      <c r="AJ5160">
        <v>100.87054770786</v>
      </c>
      <c r="AK5160">
        <v>23.476525714019701</v>
      </c>
      <c r="AL5160">
        <v>79.782677222779199</v>
      </c>
      <c r="AM5160">
        <v>94.354345250906903</v>
      </c>
      <c r="AN5160">
        <v>1.00000003705215</v>
      </c>
    </row>
    <row r="5161" spans="1:40" x14ac:dyDescent="0.25">
      <c r="A5161" t="str">
        <f>"20190312173033054"</f>
        <v>20190312173033054</v>
      </c>
      <c r="B5161" t="str">
        <f>"1552383033042743"</f>
        <v>1552383033042743</v>
      </c>
      <c r="C5161" t="s">
        <v>40</v>
      </c>
      <c r="D5161">
        <v>3.2952439999999998</v>
      </c>
      <c r="E5161">
        <v>0.45817469999999999</v>
      </c>
      <c r="F5161" t="s">
        <v>56</v>
      </c>
      <c r="G5161">
        <v>-370.0874</v>
      </c>
      <c r="H5161" s="1">
        <v>-4.9069049999999999E-6</v>
      </c>
      <c r="I5161">
        <v>18.259460000000001</v>
      </c>
      <c r="J5161">
        <v>-393.1028</v>
      </c>
      <c r="K5161">
        <v>1.1126579999999999</v>
      </c>
      <c r="L5161">
        <v>18.229980000000001</v>
      </c>
      <c r="M5161">
        <v>0.98236190000000001</v>
      </c>
      <c r="N5161">
        <v>0</v>
      </c>
      <c r="O5161">
        <v>-0.1865076</v>
      </c>
      <c r="P5161">
        <v>0.98010019999999998</v>
      </c>
      <c r="Q5161">
        <v>0.16444890000000001</v>
      </c>
      <c r="R5161">
        <v>-0.111177</v>
      </c>
      <c r="S5161">
        <v>3.0866389999999999</v>
      </c>
      <c r="T5161">
        <v>-0.14845469999999999</v>
      </c>
      <c r="U5161">
        <v>1.159668E-3</v>
      </c>
      <c r="V5161">
        <v>-7.4628520000000004E-2</v>
      </c>
      <c r="W5161">
        <v>0.17719789999999999</v>
      </c>
      <c r="X5161">
        <v>0.98134169999999998</v>
      </c>
      <c r="Y5161">
        <v>-0.1864643</v>
      </c>
      <c r="Z5161">
        <v>1.340774E-2</v>
      </c>
      <c r="AA5161">
        <v>0.98237030000000003</v>
      </c>
      <c r="AB5161">
        <v>25</v>
      </c>
      <c r="AC5161">
        <v>23.0154</v>
      </c>
      <c r="AD5161">
        <v>-1.112662906905</v>
      </c>
      <c r="AE5161">
        <v>2.9480000000003E-2</v>
      </c>
      <c r="AF5161">
        <v>-4.3118186277447101</v>
      </c>
      <c r="AG5161">
        <v>-1.112662906905</v>
      </c>
      <c r="AH5161">
        <v>22.553277860562201</v>
      </c>
      <c r="AI5161">
        <v>92.774224581175403</v>
      </c>
      <c r="AJ5161">
        <v>100.823409657046</v>
      </c>
      <c r="AK5161">
        <v>22.988695936888099</v>
      </c>
      <c r="AL5161">
        <v>79.793412471905299</v>
      </c>
      <c r="AM5161">
        <v>94.348826611925901</v>
      </c>
      <c r="AN5161">
        <v>1.00000002196034</v>
      </c>
    </row>
    <row r="5162" spans="1:40" x14ac:dyDescent="0.25">
      <c r="A5162" t="str">
        <f>"20190312173033066"</f>
        <v>20190312173033066</v>
      </c>
      <c r="B5162" t="str">
        <f>"1552383033063239"</f>
        <v>1552383033063239</v>
      </c>
      <c r="C5162" t="s">
        <v>40</v>
      </c>
      <c r="D5162">
        <v>3.290899</v>
      </c>
      <c r="E5162">
        <v>0.45839839999999998</v>
      </c>
      <c r="F5162" t="s">
        <v>56</v>
      </c>
      <c r="G5162">
        <v>-370.52769999999998</v>
      </c>
      <c r="H5162" s="1">
        <v>-4.6972060000000003E-6</v>
      </c>
      <c r="I5162">
        <v>18.268370000000001</v>
      </c>
      <c r="J5162">
        <v>-392.9726</v>
      </c>
      <c r="K5162">
        <v>1.1126549999999999</v>
      </c>
      <c r="L5162">
        <v>18.207339999999999</v>
      </c>
      <c r="M5162">
        <v>0.98272020000000004</v>
      </c>
      <c r="N5162">
        <v>0</v>
      </c>
      <c r="O5162">
        <v>-0.18461060000000001</v>
      </c>
      <c r="P5162">
        <v>0.98026559999999996</v>
      </c>
      <c r="Q5162">
        <v>0.1645837</v>
      </c>
      <c r="R5162">
        <v>-0.1095066</v>
      </c>
      <c r="S5162">
        <v>3.0870359999999999</v>
      </c>
      <c r="T5162">
        <v>-0.15215109999999901</v>
      </c>
      <c r="U5162">
        <v>5.2490230000000002E-3</v>
      </c>
      <c r="V5162">
        <v>-7.4401120000000001E-2</v>
      </c>
      <c r="W5162">
        <v>0.17733309999999999</v>
      </c>
      <c r="X5162">
        <v>0.9813345</v>
      </c>
      <c r="Y5162">
        <v>-0.1858503</v>
      </c>
      <c r="Z5162">
        <v>1.363236E-2</v>
      </c>
      <c r="AA5162">
        <v>0.98248349999999995</v>
      </c>
      <c r="AB5162">
        <v>25</v>
      </c>
      <c r="AC5162">
        <v>22.444900000000001</v>
      </c>
      <c r="AD5162">
        <v>-1.1126596972060001</v>
      </c>
      <c r="AE5162">
        <v>6.1030000000002298E-2</v>
      </c>
      <c r="AF5162">
        <v>-4.1936144700766196</v>
      </c>
      <c r="AG5162">
        <v>-1.1126596972060001</v>
      </c>
      <c r="AH5162">
        <v>21.993724841758201</v>
      </c>
      <c r="AI5162">
        <v>92.844949348404398</v>
      </c>
      <c r="AJ5162">
        <v>100.795191534568</v>
      </c>
      <c r="AK5162">
        <v>22.417590110009399</v>
      </c>
      <c r="AL5162">
        <v>79.785540975163698</v>
      </c>
      <c r="AM5162">
        <v>94.3356576283485</v>
      </c>
      <c r="AN5162">
        <v>0.99999997795155604</v>
      </c>
    </row>
    <row r="5163" spans="1:40" x14ac:dyDescent="0.25">
      <c r="A5163" t="str">
        <f>"20190312173033076"</f>
        <v>20190312173033076</v>
      </c>
      <c r="B5163" t="str">
        <f>"1552383033072999"</f>
        <v>1552383033072999</v>
      </c>
      <c r="C5163" t="s">
        <v>40</v>
      </c>
      <c r="D5163">
        <v>3.245476</v>
      </c>
      <c r="E5163">
        <v>0.45844629999999997</v>
      </c>
      <c r="F5163" t="s">
        <v>56</v>
      </c>
      <c r="G5163">
        <v>-370.67500000000001</v>
      </c>
      <c r="H5163" s="1">
        <v>-4.6275899999999997E-6</v>
      </c>
      <c r="I5163">
        <v>18.268170000000001</v>
      </c>
      <c r="J5163">
        <v>-392.85669999999999</v>
      </c>
      <c r="K5163">
        <v>1.112649</v>
      </c>
      <c r="L5163">
        <v>18.187470000000001</v>
      </c>
      <c r="M5163">
        <v>0.98303600000000002</v>
      </c>
      <c r="N5163">
        <v>0</v>
      </c>
      <c r="O5163">
        <v>-0.1829211</v>
      </c>
      <c r="P5163">
        <v>0.98046449999999996</v>
      </c>
      <c r="Q5163">
        <v>0.16447419999999999</v>
      </c>
      <c r="R5163">
        <v>-0.1078785</v>
      </c>
      <c r="S5163">
        <v>3.087189</v>
      </c>
      <c r="T5163">
        <v>-0.15405250000000001</v>
      </c>
      <c r="U5163">
        <v>8.4228519999999998E-3</v>
      </c>
      <c r="V5163">
        <v>-7.4346469999999998E-2</v>
      </c>
      <c r="W5163">
        <v>0.1772233</v>
      </c>
      <c r="X5163">
        <v>0.98135850000000002</v>
      </c>
      <c r="Y5163">
        <v>-0.18516299999999999</v>
      </c>
      <c r="Z5163">
        <v>1.3701720000000001E-2</v>
      </c>
      <c r="AA5163">
        <v>0.98261229999999999</v>
      </c>
      <c r="AB5163">
        <v>25</v>
      </c>
      <c r="AC5163">
        <v>22.1816999999999</v>
      </c>
      <c r="AD5163">
        <v>-1.1126536275900001</v>
      </c>
      <c r="AE5163">
        <v>8.0700000000000202E-2</v>
      </c>
      <c r="AF5163">
        <v>-4.1268211133256596</v>
      </c>
      <c r="AG5163">
        <v>-1.1126536275900001</v>
      </c>
      <c r="AH5163">
        <v>21.737916002851499</v>
      </c>
      <c r="AI5163">
        <v>92.878794021219804</v>
      </c>
      <c r="AJ5163">
        <v>100.74936095451901</v>
      </c>
      <c r="AK5163">
        <v>22.154133761973402</v>
      </c>
      <c r="AL5163">
        <v>79.791933534970994</v>
      </c>
      <c r="AM5163">
        <v>94.332379528017498</v>
      </c>
      <c r="AN5163">
        <v>1.0000000005933001</v>
      </c>
    </row>
    <row r="5164" spans="1:40" x14ac:dyDescent="0.25">
      <c r="A5164" t="str">
        <f>"20190312173033087"</f>
        <v>20190312173033087</v>
      </c>
      <c r="B5164" t="str">
        <f>"1552383033082759"</f>
        <v>1552383033082759</v>
      </c>
      <c r="C5164" t="s">
        <v>40</v>
      </c>
      <c r="D5164">
        <v>3.2719429999999998</v>
      </c>
      <c r="E5164">
        <v>0.45852039999999999</v>
      </c>
      <c r="F5164" t="s">
        <v>56</v>
      </c>
      <c r="G5164">
        <v>-370.56970000000001</v>
      </c>
      <c r="H5164" s="1">
        <v>-4.6746829999999996E-6</v>
      </c>
      <c r="I5164">
        <v>18.28331</v>
      </c>
      <c r="J5164">
        <v>-392.73649999999998</v>
      </c>
      <c r="K5164">
        <v>1.1126480000000001</v>
      </c>
      <c r="L5164">
        <v>18.167020000000001</v>
      </c>
      <c r="M5164">
        <v>0.98336029999999996</v>
      </c>
      <c r="N5164">
        <v>0</v>
      </c>
      <c r="O5164">
        <v>-0.18117</v>
      </c>
      <c r="P5164">
        <v>0.98059300000000005</v>
      </c>
      <c r="Q5164">
        <v>0.16458639999999999</v>
      </c>
      <c r="R5164">
        <v>-0.1065305</v>
      </c>
      <c r="S5164">
        <v>3.087097</v>
      </c>
      <c r="T5164">
        <v>-0.15412029999999999</v>
      </c>
      <c r="U5164">
        <v>1.3275149999999999E-2</v>
      </c>
      <c r="V5164">
        <v>-7.3943410000000001E-2</v>
      </c>
      <c r="W5164">
        <v>0.17733779999999999</v>
      </c>
      <c r="X5164">
        <v>0.98136829999999997</v>
      </c>
      <c r="Y5164">
        <v>-0.1849594</v>
      </c>
      <c r="Z5164">
        <v>1.361708E-2</v>
      </c>
      <c r="AA5164">
        <v>0.98265179999999996</v>
      </c>
      <c r="AB5164">
        <v>25</v>
      </c>
      <c r="AC5164">
        <v>22.166799999999899</v>
      </c>
      <c r="AD5164">
        <v>-1.1126526746830001</v>
      </c>
      <c r="AE5164">
        <v>0.11628999999999901</v>
      </c>
      <c r="AF5164">
        <v>-4.1203050079130596</v>
      </c>
      <c r="AG5164">
        <v>-1.1126526746830001</v>
      </c>
      <c r="AH5164">
        <v>21.7241102481428</v>
      </c>
      <c r="AI5164">
        <v>92.880712406403305</v>
      </c>
      <c r="AJ5164">
        <v>100.73944479823101</v>
      </c>
      <c r="AK5164">
        <v>22.139373871141299</v>
      </c>
      <c r="AL5164">
        <v>79.785267903236999</v>
      </c>
      <c r="AM5164">
        <v>94.308937913475603</v>
      </c>
      <c r="AN5164">
        <v>1.0000000317180699</v>
      </c>
    </row>
    <row r="5165" spans="1:40" x14ac:dyDescent="0.25">
      <c r="A5165" t="str">
        <f>"20190312173033099"</f>
        <v>20190312173033099</v>
      </c>
      <c r="B5165" t="str">
        <f>"1552383033092519"</f>
        <v>1552383033092519</v>
      </c>
      <c r="C5165" t="s">
        <v>40</v>
      </c>
      <c r="D5165">
        <v>3.2645729999999999</v>
      </c>
      <c r="E5165">
        <v>0.45855879999999999</v>
      </c>
      <c r="F5165" t="s">
        <v>56</v>
      </c>
      <c r="G5165">
        <v>-370.35340000000002</v>
      </c>
      <c r="H5165" s="1">
        <v>-4.7757300000000003E-6</v>
      </c>
      <c r="I5165">
        <v>18.290279999999999</v>
      </c>
      <c r="J5165">
        <v>-392.61020000000002</v>
      </c>
      <c r="K5165">
        <v>1.1126469999999999</v>
      </c>
      <c r="L5165">
        <v>18.145810000000001</v>
      </c>
      <c r="M5165">
        <v>0.98369799999999996</v>
      </c>
      <c r="N5165">
        <v>0</v>
      </c>
      <c r="O5165">
        <v>-0.17932809999999999</v>
      </c>
      <c r="P5165">
        <v>0.98076070000000004</v>
      </c>
      <c r="Q5165">
        <v>0.16445019999999999</v>
      </c>
      <c r="R5165">
        <v>-0.1051894</v>
      </c>
      <c r="S5165">
        <v>3.0869749999999998</v>
      </c>
      <c r="T5165">
        <v>-0.15345159999999999</v>
      </c>
      <c r="U5165">
        <v>1.6998289999999999E-2</v>
      </c>
      <c r="V5165">
        <v>-7.3449159999999999E-2</v>
      </c>
      <c r="W5165">
        <v>0.17720449999999999</v>
      </c>
      <c r="X5165">
        <v>0.98142949999999995</v>
      </c>
      <c r="Y5165">
        <v>-0.18431130000000001</v>
      </c>
      <c r="Z5165">
        <v>1.345233E-2</v>
      </c>
      <c r="AA5165">
        <v>0.98277590000000004</v>
      </c>
      <c r="AB5165">
        <v>25</v>
      </c>
      <c r="AC5165">
        <v>22.256799999999998</v>
      </c>
      <c r="AD5165">
        <v>-1.1126517757299901</v>
      </c>
      <c r="AE5165">
        <v>0.14446999999999799</v>
      </c>
      <c r="AF5165">
        <v>-4.1234511870563502</v>
      </c>
      <c r="AG5165">
        <v>-1.1126517757299901</v>
      </c>
      <c r="AH5165">
        <v>21.815508950604901</v>
      </c>
      <c r="AI5165">
        <v>92.869001696820405</v>
      </c>
      <c r="AJ5165">
        <v>100.70346893541701</v>
      </c>
      <c r="AK5165">
        <v>22.229648545129798</v>
      </c>
      <c r="AL5165">
        <v>79.793028411817005</v>
      </c>
      <c r="AM5165">
        <v>94.279977737851496</v>
      </c>
      <c r="AN5165">
        <v>1.0000000386976</v>
      </c>
    </row>
    <row r="5166" spans="1:40" x14ac:dyDescent="0.25">
      <c r="A5166" t="str">
        <f>"20190312173033111"</f>
        <v>20190312173033111</v>
      </c>
      <c r="B5166" t="str">
        <f>"1552383033103255"</f>
        <v>1552383033103255</v>
      </c>
      <c r="C5166" t="s">
        <v>40</v>
      </c>
      <c r="D5166">
        <v>3.2542010000000001</v>
      </c>
      <c r="E5166">
        <v>0.45863569999999998</v>
      </c>
      <c r="F5166" t="s">
        <v>56</v>
      </c>
      <c r="G5166">
        <v>-370.19580000000002</v>
      </c>
      <c r="H5166" s="1">
        <v>-4.8485710000000003E-6</v>
      </c>
      <c r="I5166">
        <v>18.299600000000002</v>
      </c>
      <c r="J5166">
        <v>-392.49180000000001</v>
      </c>
      <c r="K5166">
        <v>1.11264599999999</v>
      </c>
      <c r="L5166">
        <v>18.126190000000001</v>
      </c>
      <c r="M5166">
        <v>0.98401159999999999</v>
      </c>
      <c r="N5166">
        <v>0</v>
      </c>
      <c r="O5166">
        <v>-0.17759929999999999</v>
      </c>
      <c r="P5166">
        <v>0.98093220000000003</v>
      </c>
      <c r="Q5166">
        <v>0.16433499999999901</v>
      </c>
      <c r="R5166">
        <v>-0.103760199999999</v>
      </c>
      <c r="S5166">
        <v>3.0868229999999999</v>
      </c>
      <c r="T5166">
        <v>-0.15322949999999999</v>
      </c>
      <c r="U5166">
        <v>2.1179199999999999E-2</v>
      </c>
      <c r="V5166">
        <v>-7.3156319999999997E-2</v>
      </c>
      <c r="W5166">
        <v>0.1770909</v>
      </c>
      <c r="X5166">
        <v>0.98147180000000001</v>
      </c>
      <c r="Y5166">
        <v>-0.18391950000000001</v>
      </c>
      <c r="Z5166">
        <v>1.333929E-2</v>
      </c>
      <c r="AA5166">
        <v>0.98285080000000002</v>
      </c>
      <c r="AB5166">
        <v>25</v>
      </c>
      <c r="AC5166">
        <v>22.2959999999999</v>
      </c>
      <c r="AD5166">
        <v>-1.1126508485709901</v>
      </c>
      <c r="AE5166">
        <v>0.17341000000000001</v>
      </c>
      <c r="AF5166">
        <v>-4.1205015735474397</v>
      </c>
      <c r="AG5166">
        <v>-1.1126508485709901</v>
      </c>
      <c r="AH5166">
        <v>21.856266561120002</v>
      </c>
      <c r="AI5166">
        <v>92.863912122068797</v>
      </c>
      <c r="AJ5166">
        <v>100.676502200172</v>
      </c>
      <c r="AK5166">
        <v>22.269102207299799</v>
      </c>
      <c r="AL5166">
        <v>79.799641038754999</v>
      </c>
      <c r="AM5166">
        <v>94.262793552134895</v>
      </c>
      <c r="AN5166">
        <v>0.99999996410699499</v>
      </c>
    </row>
    <row r="5167" spans="1:40" x14ac:dyDescent="0.25">
      <c r="A5167" t="str">
        <f>"20190312173033121"</f>
        <v>20190312173033121</v>
      </c>
      <c r="B5167" t="str">
        <f>"1552383033113015"</f>
        <v>1552383033113015</v>
      </c>
      <c r="C5167" t="s">
        <v>40</v>
      </c>
      <c r="D5167">
        <v>3.2458809999999998</v>
      </c>
      <c r="E5167">
        <v>0.45873029999999998</v>
      </c>
      <c r="F5167" t="s">
        <v>56</v>
      </c>
      <c r="G5167">
        <v>-370.08699999999999</v>
      </c>
      <c r="H5167" s="1">
        <v>-4.8985019999999901E-6</v>
      </c>
      <c r="I5167">
        <v>18.307829999999999</v>
      </c>
      <c r="J5167">
        <v>-392.36860000000001</v>
      </c>
      <c r="K5167">
        <v>1.1126469999999999</v>
      </c>
      <c r="L5167">
        <v>18.105899999999998</v>
      </c>
      <c r="M5167">
        <v>0.98433470000000001</v>
      </c>
      <c r="N5167">
        <v>0</v>
      </c>
      <c r="O5167">
        <v>-0.17579910000000001</v>
      </c>
      <c r="P5167">
        <v>0.98109880000000005</v>
      </c>
      <c r="Q5167">
        <v>0.1642305</v>
      </c>
      <c r="R5167">
        <v>-0.1023423</v>
      </c>
      <c r="S5167">
        <v>3.0866389999999999</v>
      </c>
      <c r="T5167">
        <v>-0.1532868</v>
      </c>
      <c r="U5167">
        <v>2.502441E-2</v>
      </c>
      <c r="V5167">
        <v>-7.2780910000000004E-2</v>
      </c>
      <c r="W5167">
        <v>0.1769886</v>
      </c>
      <c r="X5167">
        <v>0.98151820000000001</v>
      </c>
      <c r="Y5167">
        <v>-0.18334880000000001</v>
      </c>
      <c r="Z5167">
        <v>1.3242779999999999E-2</v>
      </c>
      <c r="AA5167">
        <v>0.98295869999999996</v>
      </c>
      <c r="AB5167">
        <v>25</v>
      </c>
      <c r="AC5167">
        <v>22.281600000000001</v>
      </c>
      <c r="AD5167">
        <v>-1.112651898502</v>
      </c>
      <c r="AE5167">
        <v>0.20193</v>
      </c>
      <c r="AF5167">
        <v>-4.1059843312924604</v>
      </c>
      <c r="AG5167">
        <v>-1.112651898502</v>
      </c>
      <c r="AH5167">
        <v>21.844555572916899</v>
      </c>
      <c r="AI5167">
        <v>92.865740701879204</v>
      </c>
      <c r="AJ5167">
        <v>100.645320991107</v>
      </c>
      <c r="AK5167">
        <v>22.254925516710099</v>
      </c>
      <c r="AL5167">
        <v>79.805596852780894</v>
      </c>
      <c r="AM5167">
        <v>94.240798801915204</v>
      </c>
      <c r="AN5167">
        <v>1.0000000011608099</v>
      </c>
    </row>
    <row r="5168" spans="1:40" x14ac:dyDescent="0.25">
      <c r="A5168" t="str">
        <f>"20190312173033132"</f>
        <v>20190312173033132</v>
      </c>
      <c r="B5168" t="str">
        <f>"1552383033122775"</f>
        <v>1552383033122775</v>
      </c>
      <c r="C5168" t="s">
        <v>40</v>
      </c>
      <c r="D5168">
        <v>3.2866659999999999</v>
      </c>
      <c r="E5168">
        <v>0.45883950000000001</v>
      </c>
      <c r="F5168" t="s">
        <v>56</v>
      </c>
      <c r="G5168">
        <v>-370.03410000000002</v>
      </c>
      <c r="H5168" s="1">
        <v>-4.9223100000000001E-6</v>
      </c>
      <c r="I5168">
        <v>18.314800000000002</v>
      </c>
      <c r="J5168">
        <v>-392.2482</v>
      </c>
      <c r="K5168">
        <v>1.112649</v>
      </c>
      <c r="L5168">
        <v>18.08643</v>
      </c>
      <c r="M5168">
        <v>0.98464790000000002</v>
      </c>
      <c r="N5168">
        <v>0</v>
      </c>
      <c r="O5168">
        <v>-0.17403660000000001</v>
      </c>
      <c r="P5168">
        <v>0.98131170000000001</v>
      </c>
      <c r="Q5168">
        <v>0.1639273</v>
      </c>
      <c r="R5168">
        <v>-0.10077410000000001</v>
      </c>
      <c r="S5168">
        <v>3.0865480000000001</v>
      </c>
      <c r="T5168">
        <v>-0.1537645</v>
      </c>
      <c r="U5168">
        <v>2.886963E-2</v>
      </c>
      <c r="V5168">
        <v>-7.2599129999999998E-2</v>
      </c>
      <c r="W5168">
        <v>0.17668639999999999</v>
      </c>
      <c r="X5168">
        <v>0.98158610000000002</v>
      </c>
      <c r="Y5168">
        <v>-0.1828138</v>
      </c>
      <c r="Z5168">
        <v>1.318449E-2</v>
      </c>
      <c r="AA5168">
        <v>0.98305920000000002</v>
      </c>
      <c r="AB5168">
        <v>25</v>
      </c>
      <c r="AC5168">
        <v>22.214099999999899</v>
      </c>
      <c r="AD5168">
        <v>-1.11265392231</v>
      </c>
      <c r="AE5168">
        <v>0.22837000000000099</v>
      </c>
      <c r="AF5168">
        <v>-4.0810608436837601</v>
      </c>
      <c r="AG5168">
        <v>-1.11265392231</v>
      </c>
      <c r="AH5168">
        <v>21.7806478808691</v>
      </c>
      <c r="AI5168">
        <v>92.874448712997903</v>
      </c>
      <c r="AJ5168">
        <v>100.61251260968299</v>
      </c>
      <c r="AK5168">
        <v>22.187601908973601</v>
      </c>
      <c r="AL5168">
        <v>79.823188819992694</v>
      </c>
      <c r="AM5168">
        <v>94.229953781154293</v>
      </c>
      <c r="AN5168">
        <v>0.99999999466746303</v>
      </c>
    </row>
    <row r="5169" spans="1:40" x14ac:dyDescent="0.25">
      <c r="A5169" t="str">
        <f>"20190312173033144"</f>
        <v>20190312173033144</v>
      </c>
      <c r="B5169" t="str">
        <f>"1552383033132535"</f>
        <v>1552383033132535</v>
      </c>
      <c r="C5169" t="s">
        <v>40</v>
      </c>
      <c r="D5169">
        <v>3.2752270000000001</v>
      </c>
      <c r="E5169">
        <v>0.45894639999999998</v>
      </c>
      <c r="F5169" t="s">
        <v>56</v>
      </c>
      <c r="G5169">
        <v>-370.05</v>
      </c>
      <c r="H5169" s="1">
        <v>-4.9133089999999996E-6</v>
      </c>
      <c r="I5169">
        <v>18.323039999999999</v>
      </c>
      <c r="J5169">
        <v>-392.12979999999999</v>
      </c>
      <c r="K5169">
        <v>1.1126499999999999</v>
      </c>
      <c r="L5169">
        <v>18.067319999999999</v>
      </c>
      <c r="M5169">
        <v>0.98495319999999997</v>
      </c>
      <c r="N5169">
        <v>0</v>
      </c>
      <c r="O5169">
        <v>-0.17230119999999999</v>
      </c>
      <c r="P5169">
        <v>0.98143899999999995</v>
      </c>
      <c r="Q5169">
        <v>0.16398260000000001</v>
      </c>
      <c r="R5169">
        <v>-9.9437040000000004E-2</v>
      </c>
      <c r="S5169">
        <v>3.0863339999999999</v>
      </c>
      <c r="T5169">
        <v>-0.15469829999999901</v>
      </c>
      <c r="U5169">
        <v>3.2897950000000002E-2</v>
      </c>
      <c r="V5169">
        <v>-7.2204740000000003E-2</v>
      </c>
      <c r="W5169">
        <v>0.17674309999999999</v>
      </c>
      <c r="X5169">
        <v>0.98160499999999995</v>
      </c>
      <c r="Y5169">
        <v>-0.1823623</v>
      </c>
      <c r="Z5169">
        <v>1.3168249999999999E-2</v>
      </c>
      <c r="AA5169">
        <v>0.98314319999999999</v>
      </c>
      <c r="AB5169">
        <v>25</v>
      </c>
      <c r="AC5169">
        <v>22.079799999999899</v>
      </c>
      <c r="AD5169">
        <v>-1.112654913309</v>
      </c>
      <c r="AE5169">
        <v>0.25571999999999601</v>
      </c>
      <c r="AF5169">
        <v>-4.04633846144662</v>
      </c>
      <c r="AG5169">
        <v>-1.112654913309</v>
      </c>
      <c r="AH5169">
        <v>21.6504850325151</v>
      </c>
      <c r="AI5169">
        <v>92.891952371274002</v>
      </c>
      <c r="AJ5169">
        <v>100.58609093086601</v>
      </c>
      <c r="AK5169">
        <v>22.053443224218999</v>
      </c>
      <c r="AL5169">
        <v>79.819888382365093</v>
      </c>
      <c r="AM5169">
        <v>94.206976852150902</v>
      </c>
      <c r="AN5169">
        <v>1.0000000119505299</v>
      </c>
    </row>
    <row r="5170" spans="1:40" x14ac:dyDescent="0.25">
      <c r="A5170" t="str">
        <f>"20190312173033154"</f>
        <v>20190312173033154</v>
      </c>
      <c r="B5170" t="str">
        <f>"1552383033143271"</f>
        <v>1552383033143271</v>
      </c>
      <c r="C5170" t="s">
        <v>40</v>
      </c>
      <c r="D5170">
        <v>3.2363200000000001</v>
      </c>
      <c r="E5170">
        <v>0.45909070000000002</v>
      </c>
      <c r="F5170" t="s">
        <v>57</v>
      </c>
      <c r="G5170">
        <v>-369.89870000000002</v>
      </c>
      <c r="H5170" s="1">
        <v>-3.818675E-7</v>
      </c>
      <c r="I5170">
        <v>18.32892</v>
      </c>
      <c r="J5170">
        <v>-392.00659999999999</v>
      </c>
      <c r="K5170">
        <v>1.1126549999999999</v>
      </c>
      <c r="L5170">
        <v>18.047820000000002</v>
      </c>
      <c r="M5170">
        <v>0.9852687</v>
      </c>
      <c r="N5170">
        <v>0</v>
      </c>
      <c r="O5170">
        <v>-0.17048759999999999</v>
      </c>
      <c r="P5170">
        <v>0.98165829999999998</v>
      </c>
      <c r="Q5170">
        <v>0.1636262</v>
      </c>
      <c r="R5170">
        <v>-9.7845280000000007E-2</v>
      </c>
      <c r="S5170">
        <v>3.086182</v>
      </c>
      <c r="T5170">
        <v>-0.1544614</v>
      </c>
      <c r="U5170">
        <v>3.6315920000000002E-2</v>
      </c>
      <c r="V5170">
        <v>-7.1998309999999996E-2</v>
      </c>
      <c r="W5170">
        <v>0.17638789999999999</v>
      </c>
      <c r="X5170">
        <v>0.981684</v>
      </c>
      <c r="Y5170">
        <v>-0.1816459</v>
      </c>
      <c r="Z5170">
        <v>1.3041229999999999E-2</v>
      </c>
      <c r="AA5170">
        <v>0.98327759999999997</v>
      </c>
      <c r="AB5170">
        <v>25</v>
      </c>
      <c r="AC5170">
        <v>22.107899999999901</v>
      </c>
      <c r="AD5170">
        <v>-1.1126553818675</v>
      </c>
      <c r="AE5170">
        <v>0.28109999999999802</v>
      </c>
      <c r="AF5170">
        <v>-4.0362232708346397</v>
      </c>
      <c r="AG5170">
        <v>-1.1126553818675</v>
      </c>
      <c r="AH5170">
        <v>21.6813406304822</v>
      </c>
      <c r="AI5170">
        <v>92.888225592804602</v>
      </c>
      <c r="AJ5170">
        <v>100.545532060249</v>
      </c>
      <c r="AK5170">
        <v>22.0818846982277</v>
      </c>
      <c r="AL5170">
        <v>79.840564176759301</v>
      </c>
      <c r="AM5170">
        <v>94.194655916753803</v>
      </c>
      <c r="AN5170">
        <v>0.99999996188263196</v>
      </c>
    </row>
    <row r="5171" spans="1:40" x14ac:dyDescent="0.25">
      <c r="A5171" t="str">
        <f>"20190312173033169"</f>
        <v>20190312173033169</v>
      </c>
      <c r="B5171" t="str">
        <f>"1552383033162791"</f>
        <v>1552383033162791</v>
      </c>
      <c r="C5171" t="s">
        <v>40</v>
      </c>
      <c r="D5171">
        <v>3.2960240000000001</v>
      </c>
      <c r="E5171">
        <v>0.45936729999999998</v>
      </c>
      <c r="F5171" t="s">
        <v>57</v>
      </c>
      <c r="G5171">
        <v>-369.8956</v>
      </c>
      <c r="H5171" s="1">
        <v>-3.8070540000000002E-7</v>
      </c>
      <c r="I5171">
        <v>18.337759999999999</v>
      </c>
      <c r="J5171">
        <v>-391.86189999999999</v>
      </c>
      <c r="K5171">
        <v>1.11266</v>
      </c>
      <c r="L5171">
        <v>18.025179999999999</v>
      </c>
      <c r="M5171">
        <v>0.98563529999999999</v>
      </c>
      <c r="N5171">
        <v>0</v>
      </c>
      <c r="O5171">
        <v>-0.16835549999999999</v>
      </c>
      <c r="P5171">
        <v>0.98185560000000005</v>
      </c>
      <c r="Q5171">
        <v>0.16349</v>
      </c>
      <c r="R5171">
        <v>-9.6078049999999998E-2</v>
      </c>
      <c r="S5171">
        <v>3.0859679999999998</v>
      </c>
      <c r="T5171">
        <v>-0.1552905</v>
      </c>
      <c r="U5171">
        <v>4.0466309999999998E-2</v>
      </c>
      <c r="V5171">
        <v>-7.1645239999999999E-2</v>
      </c>
      <c r="W5171">
        <v>0.1762532</v>
      </c>
      <c r="X5171">
        <v>0.98173410000000005</v>
      </c>
      <c r="Y5171">
        <v>-0.18084030000000001</v>
      </c>
      <c r="Z5171">
        <v>1.298583E-2</v>
      </c>
      <c r="AA5171">
        <v>0.98342669999999999</v>
      </c>
      <c r="AB5171">
        <v>25</v>
      </c>
      <c r="AC5171">
        <v>21.966299999999901</v>
      </c>
      <c r="AD5171">
        <v>-1.1126603807053901</v>
      </c>
      <c r="AE5171">
        <v>0.31258000000000002</v>
      </c>
      <c r="AF5171">
        <v>-3.9963453932635802</v>
      </c>
      <c r="AG5171">
        <v>-1.1126603807053901</v>
      </c>
      <c r="AH5171">
        <v>21.5448075883744</v>
      </c>
      <c r="AI5171">
        <v>92.906860344888997</v>
      </c>
      <c r="AJ5171">
        <v>100.50835914341801</v>
      </c>
      <c r="AK5171">
        <v>21.9405451993592</v>
      </c>
      <c r="AL5171">
        <v>79.848405529306802</v>
      </c>
      <c r="AM5171">
        <v>94.173946511528399</v>
      </c>
      <c r="AN5171">
        <v>1.00000003701385</v>
      </c>
    </row>
    <row r="5172" spans="1:40" x14ac:dyDescent="0.25">
      <c r="A5172" t="str">
        <f>"20190312173033182"</f>
        <v>20190312173033182</v>
      </c>
      <c r="B5172" t="str">
        <f>"1552383033172551"</f>
        <v>1552383033172551</v>
      </c>
      <c r="C5172" t="s">
        <v>40</v>
      </c>
      <c r="D5172">
        <v>3.2690269999999999</v>
      </c>
      <c r="E5172">
        <v>0.45948559999999999</v>
      </c>
      <c r="F5172" t="s">
        <v>57</v>
      </c>
      <c r="G5172">
        <v>-369.84800000000001</v>
      </c>
      <c r="H5172" s="1">
        <v>-3.988751E-7</v>
      </c>
      <c r="I5172">
        <v>18.338259999999998</v>
      </c>
      <c r="J5172">
        <v>-391.71589999999998</v>
      </c>
      <c r="K5172">
        <v>1.1126659999999999</v>
      </c>
      <c r="L5172">
        <v>18.00262</v>
      </c>
      <c r="M5172">
        <v>0.98600180000000004</v>
      </c>
      <c r="N5172">
        <v>0</v>
      </c>
      <c r="O5172">
        <v>-0.1661946</v>
      </c>
      <c r="P5172">
        <v>0.98202149999999999</v>
      </c>
      <c r="Q5172">
        <v>0.16352139999999901</v>
      </c>
      <c r="R5172">
        <v>-9.4311710000000007E-2</v>
      </c>
      <c r="S5172">
        <v>3.0856319999999999</v>
      </c>
      <c r="T5172">
        <v>-0.15595819999999999</v>
      </c>
      <c r="U5172">
        <v>4.3884279999999998E-2</v>
      </c>
      <c r="V5172">
        <v>-7.1260470000000006E-2</v>
      </c>
      <c r="W5172">
        <v>0.17628550000000001</v>
      </c>
      <c r="X5172">
        <v>0.98175630000000003</v>
      </c>
      <c r="Y5172">
        <v>-0.1797754</v>
      </c>
      <c r="Z5172">
        <v>1.290817E-2</v>
      </c>
      <c r="AA5172">
        <v>0.98362300000000003</v>
      </c>
      <c r="AB5172">
        <v>25</v>
      </c>
      <c r="AC5172">
        <v>21.867899999999899</v>
      </c>
      <c r="AD5172">
        <v>-1.1126663988751</v>
      </c>
      <c r="AE5172">
        <v>0.33564000000000099</v>
      </c>
      <c r="AF5172">
        <v>-3.9553873711039902</v>
      </c>
      <c r="AG5172">
        <v>-1.1126663988751</v>
      </c>
      <c r="AH5172">
        <v>21.452415770549599</v>
      </c>
      <c r="AI5172">
        <v>92.919952553376007</v>
      </c>
      <c r="AJ5172">
        <v>100.44684313675999</v>
      </c>
      <c r="AK5172">
        <v>21.842372997529299</v>
      </c>
      <c r="AL5172">
        <v>79.846525389226599</v>
      </c>
      <c r="AM5172">
        <v>94.151515415633696</v>
      </c>
      <c r="AN5172">
        <v>1.00000003234228</v>
      </c>
    </row>
    <row r="5173" spans="1:40" x14ac:dyDescent="0.25">
      <c r="A5173" t="str">
        <f>"20190312173033201"</f>
        <v>20190312173033201</v>
      </c>
      <c r="B5173" t="str">
        <f>"1552383033193047"</f>
        <v>1552383033193047</v>
      </c>
      <c r="C5173" t="s">
        <v>40</v>
      </c>
      <c r="D5173">
        <v>3.2779579999999999</v>
      </c>
      <c r="E5173">
        <v>0.459758</v>
      </c>
      <c r="F5173" t="s">
        <v>57</v>
      </c>
      <c r="G5173">
        <v>-369.68830000000003</v>
      </c>
      <c r="H5173" s="1">
        <v>-4.5697089999999998E-7</v>
      </c>
      <c r="I5173">
        <v>18.35033</v>
      </c>
      <c r="J5173">
        <v>-391.50470000000001</v>
      </c>
      <c r="K5173">
        <v>1.1126769999999999</v>
      </c>
      <c r="L5173">
        <v>17.97064</v>
      </c>
      <c r="M5173">
        <v>0.98652609999999996</v>
      </c>
      <c r="N5173">
        <v>0</v>
      </c>
      <c r="O5173">
        <v>-0.16305349999999999</v>
      </c>
      <c r="P5173">
        <v>0.98227690000000001</v>
      </c>
      <c r="Q5173">
        <v>0.16319020000000001</v>
      </c>
      <c r="R5173">
        <v>-9.2204159999999993E-2</v>
      </c>
      <c r="S5173">
        <v>3.0855410000000001</v>
      </c>
      <c r="T5173">
        <v>-0.15585850000000001</v>
      </c>
      <c r="U5173">
        <v>4.8706050000000001E-2</v>
      </c>
      <c r="V5173">
        <v>-7.0250149999999997E-2</v>
      </c>
      <c r="W5173">
        <v>0.17595930000000001</v>
      </c>
      <c r="X5173">
        <v>0.98188759999999997</v>
      </c>
      <c r="Y5173">
        <v>-0.17818599999999901</v>
      </c>
      <c r="Z5173">
        <v>1.2703300000000001E-2</v>
      </c>
      <c r="AA5173">
        <v>0.98391479999999998</v>
      </c>
      <c r="AB5173">
        <v>25</v>
      </c>
      <c r="AC5173">
        <v>21.816399999999899</v>
      </c>
      <c r="AD5173">
        <v>-1.1126774569708999</v>
      </c>
      <c r="AE5173">
        <v>0.37969000000000003</v>
      </c>
      <c r="AF5173">
        <v>-3.9219693041885302</v>
      </c>
      <c r="AG5173">
        <v>-1.1126774569708999</v>
      </c>
      <c r="AH5173">
        <v>21.406801557174099</v>
      </c>
      <c r="AI5173">
        <v>92.926799465048305</v>
      </c>
      <c r="AJ5173">
        <v>100.38209656796801</v>
      </c>
      <c r="AK5173">
        <v>21.7915361380165</v>
      </c>
      <c r="AL5173">
        <v>79.865511826746996</v>
      </c>
      <c r="AM5173">
        <v>94.092311880295696</v>
      </c>
      <c r="AN5173">
        <v>1.00000000893263</v>
      </c>
    </row>
    <row r="5174" spans="1:40" x14ac:dyDescent="0.25">
      <c r="A5174" t="str">
        <f>"20190312173033213"</f>
        <v>20190312173033213</v>
      </c>
      <c r="B5174" t="str">
        <f>"1552383033202808"</f>
        <v>1552383033202808</v>
      </c>
      <c r="C5174" t="s">
        <v>40</v>
      </c>
      <c r="D5174">
        <v>3.291293</v>
      </c>
      <c r="E5174">
        <v>0.459758</v>
      </c>
      <c r="F5174" t="s">
        <v>57</v>
      </c>
      <c r="G5174">
        <v>-369.55290000000002</v>
      </c>
      <c r="H5174" s="1">
        <v>-5.082001E-7</v>
      </c>
      <c r="I5174">
        <v>18.353249999999999</v>
      </c>
      <c r="J5174">
        <v>-391.3775</v>
      </c>
      <c r="K5174">
        <v>1.1126819999999999</v>
      </c>
      <c r="L5174">
        <v>17.951779999999999</v>
      </c>
      <c r="M5174">
        <v>0.98683980000000004</v>
      </c>
      <c r="N5174">
        <v>0</v>
      </c>
      <c r="O5174">
        <v>-0.16114429999999999</v>
      </c>
      <c r="P5174">
        <v>0.98243670000000005</v>
      </c>
      <c r="Q5174">
        <v>0.16311679999999901</v>
      </c>
      <c r="R5174">
        <v>-9.061553E-2</v>
      </c>
      <c r="S5174">
        <v>3.0851440000000001</v>
      </c>
      <c r="T5174">
        <v>-0.1563774</v>
      </c>
      <c r="U5174">
        <v>5.3771970000000002E-2</v>
      </c>
      <c r="V5174">
        <v>-6.9942530000000003E-2</v>
      </c>
      <c r="W5174">
        <v>0.1758866</v>
      </c>
      <c r="X5174">
        <v>0.98192259999999998</v>
      </c>
      <c r="Y5174">
        <v>-0.1778991</v>
      </c>
      <c r="Z5174">
        <v>1.2644209999999999E-2</v>
      </c>
      <c r="AA5174">
        <v>0.98396749999999999</v>
      </c>
      <c r="AB5174">
        <v>25</v>
      </c>
      <c r="AC5174">
        <v>21.824599999999901</v>
      </c>
      <c r="AD5174">
        <v>-1.1126825082001</v>
      </c>
      <c r="AE5174">
        <v>0.40146999999999899</v>
      </c>
      <c r="AF5174">
        <v>-3.9033058700354499</v>
      </c>
      <c r="AG5174">
        <v>-1.1126825082001</v>
      </c>
      <c r="AH5174">
        <v>21.418964480744201</v>
      </c>
      <c r="AI5174">
        <v>92.925657266075206</v>
      </c>
      <c r="AJ5174">
        <v>100.32801652613701</v>
      </c>
      <c r="AK5174">
        <v>21.8001352864263</v>
      </c>
      <c r="AL5174">
        <v>79.869743366762805</v>
      </c>
      <c r="AM5174">
        <v>94.074307704392993</v>
      </c>
      <c r="AN5174">
        <v>1.00000002297656</v>
      </c>
    </row>
    <row r="5175" spans="1:40" x14ac:dyDescent="0.25">
      <c r="A5175" t="str">
        <f>"20190312173033224"</f>
        <v>20190312173033224</v>
      </c>
      <c r="B5175" t="str">
        <f>"1552383033212567"</f>
        <v>1552383033212567</v>
      </c>
      <c r="C5175" t="s">
        <v>40</v>
      </c>
      <c r="D5175">
        <v>3.2738559999999999</v>
      </c>
      <c r="E5175">
        <v>0.46511269999999999</v>
      </c>
      <c r="F5175" t="s">
        <v>57</v>
      </c>
      <c r="G5175">
        <v>-369.43920000000003</v>
      </c>
      <c r="H5175" s="1">
        <v>-5.4693559999999997E-7</v>
      </c>
      <c r="I5175">
        <v>18.37171</v>
      </c>
      <c r="J5175">
        <v>-391.25979999999998</v>
      </c>
      <c r="K5175">
        <v>1.1126910000000001</v>
      </c>
      <c r="L5175">
        <v>17.934419999999999</v>
      </c>
      <c r="M5175">
        <v>0.98712699999999998</v>
      </c>
      <c r="N5175">
        <v>0</v>
      </c>
      <c r="O5175">
        <v>-0.15937519999999999</v>
      </c>
      <c r="P5175">
        <v>0.98260539999999996</v>
      </c>
      <c r="Q5175">
        <v>0.1627972</v>
      </c>
      <c r="R5175">
        <v>-8.9352790000000001E-2</v>
      </c>
      <c r="S5175">
        <v>3.0850520000000001</v>
      </c>
      <c r="T5175">
        <v>-0.15647030000000001</v>
      </c>
      <c r="U5175">
        <v>5.9051510000000001E-2</v>
      </c>
      <c r="V5175">
        <v>-6.9453940000000006E-2</v>
      </c>
      <c r="W5175">
        <v>0.17556920000000001</v>
      </c>
      <c r="X5175">
        <v>0.9820141</v>
      </c>
      <c r="Y5175">
        <v>-0.17782110000000001</v>
      </c>
      <c r="Z5175">
        <v>1.2561340000000001E-2</v>
      </c>
      <c r="AA5175">
        <v>0.98398269999999999</v>
      </c>
      <c r="AB5175">
        <v>25</v>
      </c>
      <c r="AC5175">
        <v>21.820599999999899</v>
      </c>
      <c r="AD5175">
        <v>-1.11269154693559</v>
      </c>
      <c r="AE5175">
        <v>0.43728999999999701</v>
      </c>
      <c r="AF5175">
        <v>-3.8995390806284198</v>
      </c>
      <c r="AG5175">
        <v>-1.11269154693559</v>
      </c>
      <c r="AH5175">
        <v>21.416275532301601</v>
      </c>
      <c r="AI5175">
        <v>92.926126487112697</v>
      </c>
      <c r="AJ5175">
        <v>100.31953161520499</v>
      </c>
      <c r="AK5175">
        <v>21.796819611939501</v>
      </c>
      <c r="AL5175">
        <v>79.888216718052306</v>
      </c>
      <c r="AM5175">
        <v>94.045565370888596</v>
      </c>
      <c r="AN5175">
        <v>1.00000004318448</v>
      </c>
    </row>
    <row r="5176" spans="1:40" x14ac:dyDescent="0.25">
      <c r="A5176" t="str">
        <f>"20190312173033235"</f>
        <v>20190312173033235</v>
      </c>
      <c r="B5176" t="str">
        <f>"1552383033223303"</f>
        <v>1552383033223303</v>
      </c>
      <c r="C5176" t="s">
        <v>40</v>
      </c>
      <c r="D5176">
        <v>3.305806</v>
      </c>
      <c r="E5176">
        <v>0.46574749999999998</v>
      </c>
      <c r="F5176" t="s">
        <v>57</v>
      </c>
      <c r="G5176">
        <v>-368.3571</v>
      </c>
      <c r="H5176" s="1">
        <v>-1.0484289999999999E-6</v>
      </c>
      <c r="I5176">
        <v>18.08625</v>
      </c>
      <c r="J5176">
        <v>-391.13740000000001</v>
      </c>
      <c r="K5176">
        <v>1.1127009999999999</v>
      </c>
      <c r="L5176">
        <v>17.916810000000002</v>
      </c>
      <c r="M5176">
        <v>0.98742540000000001</v>
      </c>
      <c r="N5176">
        <v>0</v>
      </c>
      <c r="O5176">
        <v>-0.1575165</v>
      </c>
      <c r="P5176">
        <v>0.9827186</v>
      </c>
      <c r="Q5176">
        <v>0.16284319999999999</v>
      </c>
      <c r="R5176">
        <v>-8.8013739999999993E-2</v>
      </c>
      <c r="S5176">
        <v>3.0797119999999998</v>
      </c>
      <c r="T5176">
        <v>-0.14962349999999999</v>
      </c>
      <c r="U5176">
        <v>2.0416259999999999E-2</v>
      </c>
      <c r="V5176">
        <v>-6.8946690000000005E-2</v>
      </c>
      <c r="W5176">
        <v>0.17561660000000001</v>
      </c>
      <c r="X5176">
        <v>0.98204130000000001</v>
      </c>
      <c r="Y5176">
        <v>-0.1636957</v>
      </c>
      <c r="Z5176">
        <v>1.159985E-2</v>
      </c>
      <c r="AA5176">
        <v>0.98644270000000001</v>
      </c>
      <c r="AB5176">
        <v>25</v>
      </c>
      <c r="AC5176">
        <v>22.7803</v>
      </c>
      <c r="AD5176">
        <v>-1.112702048429</v>
      </c>
      <c r="AE5176">
        <v>0.16943999999999801</v>
      </c>
      <c r="AF5176">
        <v>-3.7469806888676298</v>
      </c>
      <c r="AG5176">
        <v>-1.112702048429</v>
      </c>
      <c r="AH5176">
        <v>22.415698408668501</v>
      </c>
      <c r="AI5176">
        <v>92.802968862191705</v>
      </c>
      <c r="AJ5176">
        <v>99.489753705885093</v>
      </c>
      <c r="AK5176">
        <v>22.7539338418593</v>
      </c>
      <c r="AL5176">
        <v>79.885457345248398</v>
      </c>
      <c r="AM5176">
        <v>94.0160051487766</v>
      </c>
      <c r="AN5176">
        <v>0.99999997558160203</v>
      </c>
    </row>
    <row r="5177" spans="1:40" x14ac:dyDescent="0.25">
      <c r="A5177" t="str">
        <f>"20190312173033245"</f>
        <v>20190312173033245</v>
      </c>
      <c r="B5177" t="str">
        <f>"1552383033242823"</f>
        <v>1552383033242823</v>
      </c>
      <c r="C5177" t="s">
        <v>40</v>
      </c>
      <c r="D5177">
        <v>3.326044</v>
      </c>
      <c r="E5177">
        <v>0.46625430000000001</v>
      </c>
      <c r="F5177" t="s">
        <v>57</v>
      </c>
      <c r="G5177">
        <v>-368.28440000000001</v>
      </c>
      <c r="H5177" s="1">
        <v>-1.087225E-6</v>
      </c>
      <c r="I5177">
        <v>18.061530000000001</v>
      </c>
      <c r="J5177">
        <v>-391.02510000000001</v>
      </c>
      <c r="K5177">
        <v>1.1127129999999901</v>
      </c>
      <c r="L5177">
        <v>17.900700000000001</v>
      </c>
      <c r="M5177">
        <v>0.98769649999999998</v>
      </c>
      <c r="N5177">
        <v>0</v>
      </c>
      <c r="O5177">
        <v>-0.15580759999999999</v>
      </c>
      <c r="P5177">
        <v>0.98289510000000002</v>
      </c>
      <c r="Q5177">
        <v>0.16253909999999999</v>
      </c>
      <c r="R5177">
        <v>-8.6594660000000004E-2</v>
      </c>
      <c r="S5177">
        <v>3.0793460000000001</v>
      </c>
      <c r="T5177">
        <v>-0.14993190000000001</v>
      </c>
      <c r="U5177">
        <v>1.9500730000000001E-2</v>
      </c>
      <c r="V5177">
        <v>-6.8675109999999998E-2</v>
      </c>
      <c r="W5177">
        <v>0.17531340000000001</v>
      </c>
      <c r="X5177">
        <v>0.98211459999999995</v>
      </c>
      <c r="Y5177">
        <v>-0.1616986</v>
      </c>
      <c r="Z5177">
        <v>1.149408E-2</v>
      </c>
      <c r="AA5177">
        <v>0.98677329999999996</v>
      </c>
      <c r="AB5177">
        <v>25</v>
      </c>
      <c r="AC5177">
        <v>22.7407</v>
      </c>
      <c r="AD5177">
        <v>-1.1127140872250001</v>
      </c>
      <c r="AE5177">
        <v>0.160829999999997</v>
      </c>
      <c r="AF5177">
        <v>-3.6935150801145999</v>
      </c>
      <c r="AG5177">
        <v>-1.1127140872250001</v>
      </c>
      <c r="AH5177">
        <v>22.384276805357999</v>
      </c>
      <c r="AI5177">
        <v>92.807903272491998</v>
      </c>
      <c r="AJ5177">
        <v>99.369657717714404</v>
      </c>
      <c r="AK5177">
        <v>22.714225374989802</v>
      </c>
      <c r="AL5177">
        <v>79.903104185981505</v>
      </c>
      <c r="AM5177">
        <v>93.999940032262103</v>
      </c>
      <c r="AN5177">
        <v>1.00000007324311</v>
      </c>
    </row>
    <row r="5178" spans="1:40" x14ac:dyDescent="0.25">
      <c r="A5178" t="str">
        <f>"20190312173033255"</f>
        <v>20190312173033255</v>
      </c>
      <c r="B5178" t="str">
        <f>"1552383033252636"</f>
        <v>1552383033252636</v>
      </c>
      <c r="C5178" t="s">
        <v>40</v>
      </c>
      <c r="D5178">
        <v>3.3319480000000001</v>
      </c>
      <c r="E5178">
        <v>0.4663561</v>
      </c>
      <c r="F5178" t="s">
        <v>57</v>
      </c>
      <c r="G5178">
        <v>-367.3587</v>
      </c>
      <c r="H5178" s="1">
        <v>-1.5259160000000001E-6</v>
      </c>
      <c r="I5178">
        <v>18.05509</v>
      </c>
      <c r="J5178">
        <v>-390.9092</v>
      </c>
      <c r="K5178">
        <v>1.112724</v>
      </c>
      <c r="L5178">
        <v>17.884399999999999</v>
      </c>
      <c r="M5178">
        <v>0.98797489999999999</v>
      </c>
      <c r="N5178">
        <v>0</v>
      </c>
      <c r="O5178">
        <v>-0.15403169999999999</v>
      </c>
      <c r="P5178">
        <v>0.9830084</v>
      </c>
      <c r="Q5178">
        <v>0.16246830000000001</v>
      </c>
      <c r="R5178">
        <v>-8.5430439999999996E-2</v>
      </c>
      <c r="S5178">
        <v>3.0779420000000002</v>
      </c>
      <c r="T5178">
        <v>-0.14471500000000001</v>
      </c>
      <c r="U5178">
        <v>2.0080569999999999E-2</v>
      </c>
      <c r="V5178">
        <v>-6.8077429999999994E-2</v>
      </c>
      <c r="W5178">
        <v>0.17524529999999999</v>
      </c>
      <c r="X5178">
        <v>0.98216829999999999</v>
      </c>
      <c r="Y5178">
        <v>-0.16014220000000001</v>
      </c>
      <c r="Z5178">
        <v>1.098039E-2</v>
      </c>
      <c r="AA5178">
        <v>0.98703289999999999</v>
      </c>
      <c r="AB5178">
        <v>25</v>
      </c>
      <c r="AC5178">
        <v>23.5505</v>
      </c>
      <c r="AD5178">
        <v>-1.112725525916</v>
      </c>
      <c r="AE5178">
        <v>0.17069000000000001</v>
      </c>
      <c r="AF5178">
        <v>-3.7880463040603201</v>
      </c>
      <c r="AG5178">
        <v>-1.112725525916</v>
      </c>
      <c r="AH5178">
        <v>23.1913311724668</v>
      </c>
      <c r="AI5178">
        <v>92.711085738376894</v>
      </c>
      <c r="AJ5178">
        <v>99.276708342136203</v>
      </c>
      <c r="AK5178">
        <v>23.5249929744678</v>
      </c>
      <c r="AL5178">
        <v>79.907066744548999</v>
      </c>
      <c r="AM5178">
        <v>93.965023948826101</v>
      </c>
      <c r="AN5178">
        <v>1.0000000105861899</v>
      </c>
    </row>
    <row r="5179" spans="1:40" x14ac:dyDescent="0.25">
      <c r="A5179" t="str">
        <f>"20190312173033267"</f>
        <v>20190312173033267</v>
      </c>
      <c r="B5179" t="str">
        <f>"1552383033263372"</f>
        <v>1552383033263372</v>
      </c>
      <c r="C5179" t="s">
        <v>40</v>
      </c>
      <c r="D5179">
        <v>3.2736429999999999</v>
      </c>
      <c r="E5179">
        <v>0.46673160000000002</v>
      </c>
      <c r="F5179" t="s">
        <v>57</v>
      </c>
      <c r="G5179">
        <v>-367.00240000000002</v>
      </c>
      <c r="H5179" s="1">
        <v>-1.6933210000000001E-6</v>
      </c>
      <c r="I5179">
        <v>18.06101</v>
      </c>
      <c r="J5179">
        <v>-390.79660000000001</v>
      </c>
      <c r="K5179">
        <v>1.1127370000000001</v>
      </c>
      <c r="L5179">
        <v>17.86871</v>
      </c>
      <c r="M5179">
        <v>0.9882436</v>
      </c>
      <c r="N5179">
        <v>0</v>
      </c>
      <c r="O5179">
        <v>-0.15229809999999999</v>
      </c>
      <c r="P5179">
        <v>0.98316809999999999</v>
      </c>
      <c r="Q5179">
        <v>0.1622545</v>
      </c>
      <c r="R5179">
        <v>-8.398912E-2</v>
      </c>
      <c r="S5179">
        <v>3.077515</v>
      </c>
      <c r="T5179">
        <v>-0.14324029999999999</v>
      </c>
      <c r="U5179">
        <v>2.2735600000000002E-2</v>
      </c>
      <c r="V5179">
        <v>-6.7802790000000002E-2</v>
      </c>
      <c r="W5179">
        <v>0.17503170000000001</v>
      </c>
      <c r="X5179">
        <v>0.98222540000000003</v>
      </c>
      <c r="Y5179">
        <v>-0.15927249999999901</v>
      </c>
      <c r="Z5179">
        <v>1.077004E-2</v>
      </c>
      <c r="AA5179">
        <v>0.9871759</v>
      </c>
      <c r="AB5179">
        <v>25</v>
      </c>
      <c r="AC5179">
        <v>23.794199999999901</v>
      </c>
      <c r="AD5179">
        <v>-1.1127386933209999</v>
      </c>
      <c r="AE5179">
        <v>0.192299999999999</v>
      </c>
      <c r="AF5179">
        <v>-3.8058709436609699</v>
      </c>
      <c r="AG5179">
        <v>-1.1127386933209999</v>
      </c>
      <c r="AH5179">
        <v>23.4360407065884</v>
      </c>
      <c r="AI5179">
        <v>92.683252635456796</v>
      </c>
      <c r="AJ5179">
        <v>99.223965584500903</v>
      </c>
      <c r="AK5179">
        <v>23.769115360910799</v>
      </c>
      <c r="AL5179">
        <v>79.919497401864305</v>
      </c>
      <c r="AM5179">
        <v>93.948849997660403</v>
      </c>
      <c r="AN5179">
        <v>1.00000002537091</v>
      </c>
    </row>
    <row r="5180" spans="1:40" x14ac:dyDescent="0.25">
      <c r="A5180" t="str">
        <f>"20190312173033280"</f>
        <v>20190312173033280</v>
      </c>
      <c r="B5180" t="str">
        <f>"1552383033273132"</f>
        <v>1552383033273132</v>
      </c>
      <c r="C5180" t="s">
        <v>40</v>
      </c>
      <c r="D5180">
        <v>3.295369</v>
      </c>
      <c r="E5180">
        <v>0.46708070000000002</v>
      </c>
      <c r="F5180" t="s">
        <v>57</v>
      </c>
      <c r="G5180">
        <v>-367.17009999999999</v>
      </c>
      <c r="H5180" s="1">
        <v>-1.6149960000000001E-6</v>
      </c>
      <c r="I5180">
        <v>18.055679999999999</v>
      </c>
      <c r="J5180">
        <v>-390.63979999999998</v>
      </c>
      <c r="K5180">
        <v>1.112754</v>
      </c>
      <c r="L5180">
        <v>17.847259999999999</v>
      </c>
      <c r="M5180">
        <v>0.98861469999999996</v>
      </c>
      <c r="N5180">
        <v>0</v>
      </c>
      <c r="O5180">
        <v>-0.1498707</v>
      </c>
      <c r="P5180">
        <v>0.98331250000000003</v>
      </c>
      <c r="Q5180">
        <v>0.1622786</v>
      </c>
      <c r="R5180">
        <v>-8.223229E-2</v>
      </c>
      <c r="S5180">
        <v>3.0773320000000002</v>
      </c>
      <c r="T5180">
        <v>-0.14493320000000001</v>
      </c>
      <c r="U5180">
        <v>2.4353030000000001E-2</v>
      </c>
      <c r="V5180">
        <v>-6.7150029999999999E-2</v>
      </c>
      <c r="W5180">
        <v>0.17505799999999999</v>
      </c>
      <c r="X5180">
        <v>0.98226550000000001</v>
      </c>
      <c r="Y5180">
        <v>-0.1573638</v>
      </c>
      <c r="Z5180">
        <v>1.073966E-2</v>
      </c>
      <c r="AA5180">
        <v>0.98748230000000004</v>
      </c>
      <c r="AB5180">
        <v>25</v>
      </c>
      <c r="AC5180">
        <v>23.4696999999999</v>
      </c>
      <c r="AD5180">
        <v>-1.1127556149959901</v>
      </c>
      <c r="AE5180">
        <v>0.208419999999996</v>
      </c>
      <c r="AF5180">
        <v>-3.7154506843153001</v>
      </c>
      <c r="AG5180">
        <v>-1.1127556149959901</v>
      </c>
      <c r="AH5180">
        <v>23.121365829722901</v>
      </c>
      <c r="AI5180">
        <v>92.720484887973797</v>
      </c>
      <c r="AJ5180">
        <v>99.129009454047903</v>
      </c>
      <c r="AK5180">
        <v>23.444409923863802</v>
      </c>
      <c r="AL5180">
        <v>79.917966340597502</v>
      </c>
      <c r="AM5180">
        <v>93.910792489086901</v>
      </c>
      <c r="AN5180">
        <v>0.99999997119162498</v>
      </c>
    </row>
    <row r="5181" spans="1:40" x14ac:dyDescent="0.25">
      <c r="A5181" t="str">
        <f>"20190312173033292"</f>
        <v>20190312173033292</v>
      </c>
      <c r="B5181" t="str">
        <f>"1552383033282892"</f>
        <v>1552383033282892</v>
      </c>
      <c r="C5181" t="s">
        <v>40</v>
      </c>
      <c r="D5181">
        <v>3.3294160000000002</v>
      </c>
      <c r="E5181">
        <v>0.46739130000000001</v>
      </c>
      <c r="F5181" t="s">
        <v>57</v>
      </c>
      <c r="G5181">
        <v>-367.09530000000001</v>
      </c>
      <c r="H5181" s="1">
        <v>-1.65022699999999E-6</v>
      </c>
      <c r="I5181">
        <v>18.056239999999999</v>
      </c>
      <c r="J5181">
        <v>-390.51639999999998</v>
      </c>
      <c r="K5181">
        <v>1.112765</v>
      </c>
      <c r="L5181">
        <v>17.830719999999999</v>
      </c>
      <c r="M5181">
        <v>0.98890480000000003</v>
      </c>
      <c r="N5181">
        <v>0</v>
      </c>
      <c r="O5181">
        <v>-0.14794549999999901</v>
      </c>
      <c r="P5181">
        <v>0.98340939999999999</v>
      </c>
      <c r="Q5181">
        <v>0.16242529999999999</v>
      </c>
      <c r="R5181">
        <v>-8.0772140000000006E-2</v>
      </c>
      <c r="S5181">
        <v>3.0771790000000001</v>
      </c>
      <c r="T5181">
        <v>-0.1454329</v>
      </c>
      <c r="U5181">
        <v>2.7313230000000001E-2</v>
      </c>
      <c r="V5181">
        <v>-6.6697190000000003E-2</v>
      </c>
      <c r="W5181">
        <v>0.1752059</v>
      </c>
      <c r="X5181">
        <v>0.98226999999999998</v>
      </c>
      <c r="Y5181">
        <v>-0.15639210000000001</v>
      </c>
      <c r="Z5181">
        <v>1.0664099999999999E-2</v>
      </c>
      <c r="AA5181">
        <v>0.98763749999999995</v>
      </c>
      <c r="AB5181">
        <v>25</v>
      </c>
      <c r="AC5181">
        <v>23.4210999999999</v>
      </c>
      <c r="AD5181">
        <v>-1.1127666502269999</v>
      </c>
      <c r="AE5181">
        <v>0.225519999999999</v>
      </c>
      <c r="AF5181">
        <v>-3.68008869440696</v>
      </c>
      <c r="AG5181">
        <v>-1.1127666502269999</v>
      </c>
      <c r="AH5181">
        <v>23.077859343810601</v>
      </c>
      <c r="AI5181">
        <v>92.726155065702002</v>
      </c>
      <c r="AJ5181">
        <v>99.060332703836806</v>
      </c>
      <c r="AK5181">
        <v>23.3959161887127</v>
      </c>
      <c r="AL5181">
        <v>79.909359440626005</v>
      </c>
      <c r="AM5181">
        <v>93.8844825309762</v>
      </c>
      <c r="AN5181">
        <v>0.99999998772435295</v>
      </c>
    </row>
    <row r="5182" spans="1:40" x14ac:dyDescent="0.25">
      <c r="A5182" t="str">
        <f>"20190312173033303"</f>
        <v>20190312173033303</v>
      </c>
      <c r="B5182" t="str">
        <f>"1552383033292652"</f>
        <v>1552383033292652</v>
      </c>
      <c r="C5182" t="s">
        <v>40</v>
      </c>
      <c r="D5182">
        <v>3.2812359999999998</v>
      </c>
      <c r="E5182">
        <v>0.46756059999999999</v>
      </c>
      <c r="F5182" t="s">
        <v>57</v>
      </c>
      <c r="G5182">
        <v>-366.79169999999999</v>
      </c>
      <c r="H5182" s="1">
        <v>-1.793238E-6</v>
      </c>
      <c r="I5182">
        <v>18.05921</v>
      </c>
      <c r="J5182">
        <v>-390.39580000000001</v>
      </c>
      <c r="K5182">
        <v>1.1127769999999999</v>
      </c>
      <c r="L5182">
        <v>17.814640000000001</v>
      </c>
      <c r="M5182">
        <v>0.98918519999999999</v>
      </c>
      <c r="N5182">
        <v>0</v>
      </c>
      <c r="O5182">
        <v>-0.14605789999999999</v>
      </c>
      <c r="P5182">
        <v>0.98354699999999995</v>
      </c>
      <c r="Q5182">
        <v>0.1622847</v>
      </c>
      <c r="R5182">
        <v>-7.9366179999999995E-2</v>
      </c>
      <c r="S5182">
        <v>3.0768430000000002</v>
      </c>
      <c r="T5182">
        <v>-0.14431359999999999</v>
      </c>
      <c r="U5182">
        <v>2.963257E-2</v>
      </c>
      <c r="V5182">
        <v>-6.6233260000000002E-2</v>
      </c>
      <c r="W5182">
        <v>0.17506739999999901</v>
      </c>
      <c r="X5182">
        <v>0.98232609999999998</v>
      </c>
      <c r="Y5182">
        <v>-0.1552608</v>
      </c>
      <c r="Z5182">
        <v>1.0469030000000001E-2</v>
      </c>
      <c r="AA5182">
        <v>0.98781810000000003</v>
      </c>
      <c r="AB5182">
        <v>25</v>
      </c>
      <c r="AC5182">
        <v>23.604099999999999</v>
      </c>
      <c r="AD5182">
        <v>-1.112778793238</v>
      </c>
      <c r="AE5182">
        <v>0.24456999999999901</v>
      </c>
      <c r="AF5182">
        <v>-3.6816403159451898</v>
      </c>
      <c r="AG5182">
        <v>-1.112778793238</v>
      </c>
      <c r="AH5182">
        <v>23.263502606941501</v>
      </c>
      <c r="AI5182">
        <v>92.704966793113499</v>
      </c>
      <c r="AJ5182">
        <v>98.992944472787698</v>
      </c>
      <c r="AK5182">
        <v>23.579298242353399</v>
      </c>
      <c r="AL5182">
        <v>79.917419636793397</v>
      </c>
      <c r="AM5182">
        <v>93.857325207092003</v>
      </c>
      <c r="AN5182">
        <v>1.0000000030070899</v>
      </c>
    </row>
    <row r="5183" spans="1:40" x14ac:dyDescent="0.25">
      <c r="A5183" t="str">
        <f>"20190312173033315"</f>
        <v>20190312173033315</v>
      </c>
      <c r="B5183" t="str">
        <f>"1552383033303388"</f>
        <v>1552383033303388</v>
      </c>
      <c r="C5183" t="s">
        <v>40</v>
      </c>
      <c r="D5183">
        <v>3.3244090000000002</v>
      </c>
      <c r="E5183">
        <v>0.4677308</v>
      </c>
      <c r="F5183" t="s">
        <v>57</v>
      </c>
      <c r="G5183">
        <v>-366.81659999999999</v>
      </c>
      <c r="H5183" s="1">
        <v>-1.7804440000000001E-6</v>
      </c>
      <c r="I5183">
        <v>18.064879999999999</v>
      </c>
      <c r="J5183">
        <v>-390.27539999999999</v>
      </c>
      <c r="K5183">
        <v>1.112787</v>
      </c>
      <c r="L5183">
        <v>17.799039999999898</v>
      </c>
      <c r="M5183">
        <v>0.98946339999999999</v>
      </c>
      <c r="N5183">
        <v>0</v>
      </c>
      <c r="O5183">
        <v>-0.1441614</v>
      </c>
      <c r="P5183">
        <v>0.98359129999999995</v>
      </c>
      <c r="Q5183">
        <v>0.16259860000000001</v>
      </c>
      <c r="R5183">
        <v>-7.8169520000000006E-2</v>
      </c>
      <c r="S5183">
        <v>3.0767820000000001</v>
      </c>
      <c r="T5183">
        <v>-0.14520350000000001</v>
      </c>
      <c r="U5183">
        <v>3.2653809999999998E-2</v>
      </c>
      <c r="V5183">
        <v>-6.5542359999999994E-2</v>
      </c>
      <c r="W5183">
        <v>0.17538380000000001</v>
      </c>
      <c r="X5183">
        <v>0.98231599999999997</v>
      </c>
      <c r="Y5183">
        <v>-0.15433620000000001</v>
      </c>
      <c r="Z5183">
        <v>1.042321E-2</v>
      </c>
      <c r="AA5183">
        <v>0.98796340000000005</v>
      </c>
      <c r="AB5183">
        <v>25</v>
      </c>
      <c r="AC5183">
        <v>23.4588</v>
      </c>
      <c r="AD5183">
        <v>-1.112788780444</v>
      </c>
      <c r="AE5183">
        <v>0.26584000000000002</v>
      </c>
      <c r="AF5183">
        <v>-3.6370370114723798</v>
      </c>
      <c r="AG5183">
        <v>-1.112788780444</v>
      </c>
      <c r="AH5183">
        <v>23.123357572560199</v>
      </c>
      <c r="AI5183">
        <v>92.721766436961403</v>
      </c>
      <c r="AJ5183">
        <v>98.938730601377998</v>
      </c>
      <c r="AK5183">
        <v>23.434077803941399</v>
      </c>
      <c r="AL5183">
        <v>79.899006347785999</v>
      </c>
      <c r="AM5183">
        <v>93.817246946858404</v>
      </c>
      <c r="AN5183">
        <v>1.0000000010564001</v>
      </c>
    </row>
    <row r="5184" spans="1:40" x14ac:dyDescent="0.25">
      <c r="A5184" t="str">
        <f>"20190312173033335"</f>
        <v>20190312173033335</v>
      </c>
      <c r="B5184" t="str">
        <f>"1552383033332778"</f>
        <v>1552383033332778</v>
      </c>
      <c r="C5184" t="s">
        <v>40</v>
      </c>
      <c r="D5184">
        <v>3.2965439999999999</v>
      </c>
      <c r="E5184">
        <v>0.46841759999999899</v>
      </c>
      <c r="F5184" t="s">
        <v>57</v>
      </c>
      <c r="G5184">
        <v>-366.64109999999999</v>
      </c>
      <c r="H5184" s="1">
        <v>-1.8628270000000001E-6</v>
      </c>
      <c r="I5184">
        <v>18.068159999999999</v>
      </c>
      <c r="J5184">
        <v>-390.05360000000002</v>
      </c>
      <c r="K5184">
        <v>1.1127990000000001</v>
      </c>
      <c r="L5184">
        <v>17.77075</v>
      </c>
      <c r="M5184">
        <v>0.98996859999999998</v>
      </c>
      <c r="N5184">
        <v>0</v>
      </c>
      <c r="O5184">
        <v>-0.14065069999999999</v>
      </c>
      <c r="P5184">
        <v>0.98375330000000005</v>
      </c>
      <c r="Q5184">
        <v>0.16290060000000001</v>
      </c>
      <c r="R5184">
        <v>-7.5452350000000001E-2</v>
      </c>
      <c r="S5184">
        <v>3.0767519999999999</v>
      </c>
      <c r="T5184">
        <v>-0.14486459999999901</v>
      </c>
      <c r="U5184">
        <v>3.5034179999999998E-2</v>
      </c>
      <c r="V5184">
        <v>-6.4770099999999997E-2</v>
      </c>
      <c r="W5184">
        <v>0.1756885</v>
      </c>
      <c r="X5184">
        <v>0.98231279999999999</v>
      </c>
      <c r="Y5184">
        <v>-0.15160390000000001</v>
      </c>
      <c r="Z5184">
        <v>1.0170780000000001E-2</v>
      </c>
      <c r="AA5184">
        <v>0.98838899999999996</v>
      </c>
      <c r="AB5184">
        <v>25</v>
      </c>
      <c r="AC5184">
        <v>23.412500000000001</v>
      </c>
      <c r="AD5184">
        <v>-1.1128008628270001</v>
      </c>
      <c r="AE5184">
        <v>0.29740999999999901</v>
      </c>
      <c r="AF5184">
        <v>-3.5796476318541801</v>
      </c>
      <c r="AG5184">
        <v>-1.1128008628270001</v>
      </c>
      <c r="AH5184">
        <v>23.085741190065299</v>
      </c>
      <c r="AI5184">
        <v>92.727149663614199</v>
      </c>
      <c r="AJ5184">
        <v>98.814023648634006</v>
      </c>
      <c r="AK5184">
        <v>23.388109141681898</v>
      </c>
      <c r="AL5184">
        <v>79.881273232117294</v>
      </c>
      <c r="AM5184">
        <v>93.772412714461893</v>
      </c>
      <c r="AN5184">
        <v>1.0000000259650399</v>
      </c>
    </row>
    <row r="5185" spans="1:40" x14ac:dyDescent="0.25">
      <c r="A5185" t="str">
        <f>"20190312173033348"</f>
        <v>20190312173033348</v>
      </c>
      <c r="B5185" t="str">
        <f>"1552383033342538"</f>
        <v>1552383033342538</v>
      </c>
      <c r="C5185" t="s">
        <v>40</v>
      </c>
      <c r="D5185">
        <v>3.281282</v>
      </c>
      <c r="E5185">
        <v>0.46863250000000001</v>
      </c>
      <c r="F5185" t="s">
        <v>57</v>
      </c>
      <c r="G5185">
        <v>-366.49950000000001</v>
      </c>
      <c r="H5185" s="1">
        <v>-1.9306740000000001E-6</v>
      </c>
      <c r="I5185">
        <v>18.063040000000001</v>
      </c>
      <c r="J5185">
        <v>-389.92169999999999</v>
      </c>
      <c r="K5185">
        <v>1.112806</v>
      </c>
      <c r="L5185">
        <v>17.754270000000002</v>
      </c>
      <c r="M5185">
        <v>0.99026409999999998</v>
      </c>
      <c r="N5185">
        <v>0</v>
      </c>
      <c r="O5185">
        <v>-0.13855439999999999</v>
      </c>
      <c r="P5185">
        <v>0.98385540000000005</v>
      </c>
      <c r="Q5185">
        <v>0.16305899999999901</v>
      </c>
      <c r="R5185">
        <v>-7.3757680000000006E-2</v>
      </c>
      <c r="S5185">
        <v>3.076508</v>
      </c>
      <c r="T5185">
        <v>-0.145348</v>
      </c>
      <c r="U5185">
        <v>3.8177490000000001E-2</v>
      </c>
      <c r="V5185">
        <v>-6.4381330000000001E-2</v>
      </c>
      <c r="W5185">
        <v>0.17584810000000001</v>
      </c>
      <c r="X5185">
        <v>0.98230980000000001</v>
      </c>
      <c r="Y5185">
        <v>-0.15052309999999999</v>
      </c>
      <c r="Z5185">
        <v>1.0081730000000001E-2</v>
      </c>
      <c r="AA5185">
        <v>0.98855510000000002</v>
      </c>
      <c r="AB5185">
        <v>25</v>
      </c>
      <c r="AC5185">
        <v>23.422199999999901</v>
      </c>
      <c r="AD5185">
        <v>-1.112807930674</v>
      </c>
      <c r="AE5185">
        <v>0.30876999999999899</v>
      </c>
      <c r="AF5185">
        <v>-3.5433348961964701</v>
      </c>
      <c r="AG5185">
        <v>-1.112807930674</v>
      </c>
      <c r="AH5185">
        <v>23.101325628890201</v>
      </c>
      <c r="AI5185">
        <v>92.726017265355594</v>
      </c>
      <c r="AJ5185">
        <v>98.720199142480894</v>
      </c>
      <c r="AK5185">
        <v>23.397965926319198</v>
      </c>
      <c r="AL5185">
        <v>79.8719842164016</v>
      </c>
      <c r="AM5185">
        <v>93.749845753272595</v>
      </c>
      <c r="AN5185">
        <v>1.0000000265511</v>
      </c>
    </row>
    <row r="5186" spans="1:40" x14ac:dyDescent="0.25">
      <c r="A5186" t="str">
        <f>"20190312173033361"</f>
        <v>20190312173033361</v>
      </c>
      <c r="B5186" t="str">
        <f>"1552383033353273"</f>
        <v>1552383033353273</v>
      </c>
      <c r="C5186" t="s">
        <v>40</v>
      </c>
      <c r="D5186">
        <v>3.2763300000000002</v>
      </c>
      <c r="E5186">
        <v>0.46882600000000002</v>
      </c>
      <c r="F5186" t="s">
        <v>57</v>
      </c>
      <c r="G5186">
        <v>-366.2765</v>
      </c>
      <c r="H5186" s="1">
        <v>-2.0338010000000001E-6</v>
      </c>
      <c r="I5186">
        <v>18.075859999999999</v>
      </c>
      <c r="J5186">
        <v>-389.77940000000001</v>
      </c>
      <c r="K5186">
        <v>1.1128119999999999</v>
      </c>
      <c r="L5186">
        <v>17.73685</v>
      </c>
      <c r="M5186">
        <v>0.99057870000000003</v>
      </c>
      <c r="N5186">
        <v>0</v>
      </c>
      <c r="O5186">
        <v>-0.13628680000000001</v>
      </c>
      <c r="P5186">
        <v>0.98394420000000005</v>
      </c>
      <c r="Q5186">
        <v>0.16339119999999999</v>
      </c>
      <c r="R5186">
        <v>-7.1813879999999997E-2</v>
      </c>
      <c r="S5186">
        <v>3.0763240000000001</v>
      </c>
      <c r="T5186">
        <v>-0.14478050000000001</v>
      </c>
      <c r="U5186">
        <v>4.1839599999999998E-2</v>
      </c>
      <c r="V5186">
        <v>-6.4068769999999997E-2</v>
      </c>
      <c r="W5186">
        <v>0.17618130000000001</v>
      </c>
      <c r="X5186">
        <v>0.98227050000000005</v>
      </c>
      <c r="Y5186">
        <v>-0.1494431</v>
      </c>
      <c r="Z5186">
        <v>9.9117240000000002E-3</v>
      </c>
      <c r="AA5186">
        <v>0.98872070000000001</v>
      </c>
      <c r="AB5186">
        <v>25</v>
      </c>
      <c r="AC5186">
        <v>23.5029</v>
      </c>
      <c r="AD5186">
        <v>-1.112814033801</v>
      </c>
      <c r="AE5186">
        <v>0.33901000000000098</v>
      </c>
      <c r="AF5186">
        <v>-3.5313541762915799</v>
      </c>
      <c r="AG5186">
        <v>-1.112814033801</v>
      </c>
      <c r="AH5186">
        <v>23.1853912132989</v>
      </c>
      <c r="AI5186">
        <v>92.7165975965641</v>
      </c>
      <c r="AJ5186">
        <v>98.660131556286601</v>
      </c>
      <c r="AK5186">
        <v>23.479164872413101</v>
      </c>
      <c r="AL5186">
        <v>79.852590170576207</v>
      </c>
      <c r="AM5186">
        <v>93.731841358341498</v>
      </c>
      <c r="AN5186">
        <v>0.99999999646462601</v>
      </c>
    </row>
    <row r="5187" spans="1:40" x14ac:dyDescent="0.25">
      <c r="A5187" t="str">
        <f>"20190312173033380"</f>
        <v>20190312173033380</v>
      </c>
      <c r="B5187" t="str">
        <f>"1552383033372793"</f>
        <v>1552383033372793</v>
      </c>
      <c r="C5187" t="s">
        <v>40</v>
      </c>
      <c r="D5187">
        <v>3.3220269999999998</v>
      </c>
      <c r="E5187">
        <v>0.47071459999999998</v>
      </c>
      <c r="F5187" t="s">
        <v>57</v>
      </c>
      <c r="G5187">
        <v>-365.94400000000002</v>
      </c>
      <c r="H5187" s="1">
        <v>-2.187053E-6</v>
      </c>
      <c r="I5187">
        <v>18.097919999999998</v>
      </c>
      <c r="J5187">
        <v>-389.57650000000001</v>
      </c>
      <c r="K5187">
        <v>1.1128180000000001</v>
      </c>
      <c r="L5187">
        <v>17.71265</v>
      </c>
      <c r="M5187">
        <v>0.99101969999999995</v>
      </c>
      <c r="N5187">
        <v>0</v>
      </c>
      <c r="O5187">
        <v>-0.13304260000000001</v>
      </c>
      <c r="P5187">
        <v>0.9840333</v>
      </c>
      <c r="Q5187">
        <v>0.16371820000000001</v>
      </c>
      <c r="R5187">
        <v>-6.9818649999999996E-2</v>
      </c>
      <c r="S5187">
        <v>3.0762330000000002</v>
      </c>
      <c r="T5187">
        <v>-0.14362169999999999</v>
      </c>
      <c r="U5187">
        <v>4.6600339999999997E-2</v>
      </c>
      <c r="V5187">
        <v>-6.2837749999999998E-2</v>
      </c>
      <c r="W5187">
        <v>0.17651459999999999</v>
      </c>
      <c r="X5187">
        <v>0.9822902</v>
      </c>
      <c r="Y5187">
        <v>-0.14774609999999999</v>
      </c>
      <c r="Z5187">
        <v>9.6428190000000004E-3</v>
      </c>
      <c r="AA5187">
        <v>0.98897829999999998</v>
      </c>
      <c r="AB5187">
        <v>25</v>
      </c>
      <c r="AC5187">
        <v>23.6325</v>
      </c>
      <c r="AD5187">
        <v>-1.1128201870529999</v>
      </c>
      <c r="AE5187">
        <v>0.385270000000002</v>
      </c>
      <c r="AF5187">
        <v>-3.5184566007033502</v>
      </c>
      <c r="AG5187">
        <v>-1.1128201870529999</v>
      </c>
      <c r="AH5187">
        <v>23.319421647945301</v>
      </c>
      <c r="AI5187">
        <v>92.701592801573</v>
      </c>
      <c r="AJ5187">
        <v>98.580123507263295</v>
      </c>
      <c r="AK5187">
        <v>23.6096025297844</v>
      </c>
      <c r="AL5187">
        <v>79.833189595589104</v>
      </c>
      <c r="AM5187">
        <v>93.660261232004402</v>
      </c>
      <c r="AN5187">
        <v>1.00000001192713</v>
      </c>
    </row>
    <row r="5188" spans="1:40" x14ac:dyDescent="0.25">
      <c r="A5188" t="str">
        <f>"20190312173033403"</f>
        <v>20190312173033403</v>
      </c>
      <c r="B5188" t="str">
        <f>"1552383033393290"</f>
        <v>1552383033393290</v>
      </c>
      <c r="C5188" t="s">
        <v>40</v>
      </c>
      <c r="D5188">
        <v>3.3283659999999999</v>
      </c>
      <c r="E5188">
        <v>0.47152060000000001</v>
      </c>
      <c r="F5188" t="s">
        <v>57</v>
      </c>
      <c r="G5188">
        <v>-360.55799999999999</v>
      </c>
      <c r="H5188" s="1">
        <v>-4.7379809999999999E-6</v>
      </c>
      <c r="I5188">
        <v>18.070219999999999</v>
      </c>
      <c r="J5188">
        <v>-389.32760000000002</v>
      </c>
      <c r="K5188">
        <v>1.1128169999999999</v>
      </c>
      <c r="L5188">
        <v>17.683810000000001</v>
      </c>
      <c r="M5188">
        <v>0.99154659999999994</v>
      </c>
      <c r="N5188">
        <v>0</v>
      </c>
      <c r="O5188">
        <v>-0.12905739999999999</v>
      </c>
      <c r="P5188">
        <v>0.98423340000000004</v>
      </c>
      <c r="Q5188">
        <v>0.16378690000000001</v>
      </c>
      <c r="R5188">
        <v>-6.6773040000000006E-2</v>
      </c>
      <c r="S5188">
        <v>3.0709840000000002</v>
      </c>
      <c r="T5188">
        <v>-0.1177685</v>
      </c>
      <c r="U5188">
        <v>3.7841800000000002E-2</v>
      </c>
      <c r="V5188">
        <v>-6.1926330000000002E-2</v>
      </c>
      <c r="W5188">
        <v>0.17658869999999999</v>
      </c>
      <c r="X5188">
        <v>0.98233470000000001</v>
      </c>
      <c r="Y5188">
        <v>-0.14107939999999999</v>
      </c>
      <c r="Z5188">
        <v>7.6422399999999998E-3</v>
      </c>
      <c r="AA5188">
        <v>0.98996879999999998</v>
      </c>
      <c r="AB5188">
        <v>24</v>
      </c>
      <c r="AC5188">
        <v>28.769599999999901</v>
      </c>
      <c r="AD5188">
        <v>-1.1128217379809999</v>
      </c>
      <c r="AE5188">
        <v>0.38641000000000097</v>
      </c>
      <c r="AF5188">
        <v>-4.0903222747542198</v>
      </c>
      <c r="AG5188">
        <v>-1.1128217379809999</v>
      </c>
      <c r="AH5188">
        <v>28.436548006196499</v>
      </c>
      <c r="AI5188">
        <v>92.218233999267596</v>
      </c>
      <c r="AJ5188">
        <v>98.185300219032897</v>
      </c>
      <c r="AK5188">
        <v>28.750762964495198</v>
      </c>
      <c r="AL5188">
        <v>79.828875595631004</v>
      </c>
      <c r="AM5188">
        <v>93.607149793854703</v>
      </c>
      <c r="AN5188">
        <v>0.999999951069523</v>
      </c>
    </row>
    <row r="5189" spans="1:40" x14ac:dyDescent="0.25">
      <c r="A5189" t="str">
        <f>"20190312173033415"</f>
        <v>20190312173033415</v>
      </c>
      <c r="B5189" t="str">
        <f>"1552383033403049"</f>
        <v>1552383033403049</v>
      </c>
      <c r="C5189" t="s">
        <v>40</v>
      </c>
      <c r="D5189">
        <v>3.33799</v>
      </c>
      <c r="E5189">
        <v>0.47155340000000001</v>
      </c>
      <c r="F5189" t="s">
        <v>57</v>
      </c>
      <c r="G5189">
        <v>-360.63279999999997</v>
      </c>
      <c r="H5189" s="1">
        <v>-4.7028470000000003E-6</v>
      </c>
      <c r="I5189">
        <v>18.06908</v>
      </c>
      <c r="J5189">
        <v>-389.19529999999997</v>
      </c>
      <c r="K5189">
        <v>1.112814</v>
      </c>
      <c r="L5189">
        <v>17.66901</v>
      </c>
      <c r="M5189">
        <v>0.99182009999999998</v>
      </c>
      <c r="N5189">
        <v>0</v>
      </c>
      <c r="O5189">
        <v>-0.12693750000000001</v>
      </c>
      <c r="P5189">
        <v>0.9843672</v>
      </c>
      <c r="Q5189">
        <v>0.16366249999999999</v>
      </c>
      <c r="R5189">
        <v>-6.5084530000000002E-2</v>
      </c>
      <c r="S5189">
        <v>3.0707399999999998</v>
      </c>
      <c r="T5189">
        <v>-0.1190872</v>
      </c>
      <c r="U5189">
        <v>4.1229250000000002E-2</v>
      </c>
      <c r="V5189">
        <v>-6.1511730000000001E-2</v>
      </c>
      <c r="W5189">
        <v>0.1764676</v>
      </c>
      <c r="X5189">
        <v>0.98238250000000005</v>
      </c>
      <c r="Y5189">
        <v>-0.1400537</v>
      </c>
      <c r="Z5189">
        <v>7.626809E-3</v>
      </c>
      <c r="AA5189">
        <v>0.99011450000000001</v>
      </c>
      <c r="AB5189">
        <v>24</v>
      </c>
      <c r="AC5189">
        <v>28.5625</v>
      </c>
      <c r="AD5189">
        <v>-1.112818702847</v>
      </c>
      <c r="AE5189">
        <v>0.40006999999999898</v>
      </c>
      <c r="AF5189">
        <v>-4.0167154361463497</v>
      </c>
      <c r="AG5189">
        <v>-1.112818702847</v>
      </c>
      <c r="AH5189">
        <v>28.2377646999925</v>
      </c>
      <c r="AI5189">
        <v>92.234326391594195</v>
      </c>
      <c r="AJ5189">
        <v>98.095796479788504</v>
      </c>
      <c r="AK5189">
        <v>28.543716009176599</v>
      </c>
      <c r="AL5189">
        <v>79.835924720892706</v>
      </c>
      <c r="AM5189">
        <v>93.582888976307402</v>
      </c>
      <c r="AN5189">
        <v>0.99999994154179905</v>
      </c>
    </row>
    <row r="5190" spans="1:40" x14ac:dyDescent="0.25">
      <c r="A5190" t="str">
        <f>"20190312173033427"</f>
        <v>20190312173033427</v>
      </c>
      <c r="B5190" t="str">
        <f>"1552383033423076"</f>
        <v>1552383033423076</v>
      </c>
      <c r="C5190" t="s">
        <v>40</v>
      </c>
      <c r="D5190">
        <v>3.38619</v>
      </c>
      <c r="E5190">
        <v>0.47206740000000003</v>
      </c>
      <c r="F5190" t="s">
        <v>57</v>
      </c>
      <c r="G5190">
        <v>-360.66419999999999</v>
      </c>
      <c r="H5190" s="1">
        <v>-4.6826989999999998E-6</v>
      </c>
      <c r="I5190">
        <v>18.098880000000001</v>
      </c>
      <c r="J5190">
        <v>-389.0609</v>
      </c>
      <c r="K5190">
        <v>1.1128119999999999</v>
      </c>
      <c r="L5190">
        <v>17.654109999999999</v>
      </c>
      <c r="M5190">
        <v>0.99209349999999996</v>
      </c>
      <c r="N5190">
        <v>0</v>
      </c>
      <c r="O5190">
        <v>-0.1247837</v>
      </c>
      <c r="P5190">
        <v>0.98454070000000005</v>
      </c>
      <c r="Q5190">
        <v>0.16324449999999999</v>
      </c>
      <c r="R5190">
        <v>-6.3487940000000007E-2</v>
      </c>
      <c r="S5190">
        <v>3.0706479999999998</v>
      </c>
      <c r="T5190">
        <v>-0.1197667</v>
      </c>
      <c r="U5190">
        <v>4.6264649999999997E-2</v>
      </c>
      <c r="V5190">
        <v>-6.0975729999999999E-2</v>
      </c>
      <c r="W5190">
        <v>0.1760536</v>
      </c>
      <c r="X5190">
        <v>0.98249019999999998</v>
      </c>
      <c r="Y5190">
        <v>-0.13952729999999999</v>
      </c>
      <c r="Z5190">
        <v>7.5767880000000001E-3</v>
      </c>
      <c r="AA5190">
        <v>0.99018930000000005</v>
      </c>
      <c r="AB5190">
        <v>24</v>
      </c>
      <c r="AC5190">
        <v>28.396699999999999</v>
      </c>
      <c r="AD5190">
        <v>-1.112816682699</v>
      </c>
      <c r="AE5190">
        <v>0.444769999999998</v>
      </c>
      <c r="AF5190">
        <v>-3.9789473825626702</v>
      </c>
      <c r="AG5190">
        <v>-1.112816682699</v>
      </c>
      <c r="AH5190">
        <v>28.076099075507301</v>
      </c>
      <c r="AI5190">
        <v>92.247339078236095</v>
      </c>
      <c r="AJ5190">
        <v>98.066247041914707</v>
      </c>
      <c r="AK5190">
        <v>28.378472871883002</v>
      </c>
      <c r="AL5190">
        <v>79.860022561689703</v>
      </c>
      <c r="AM5190">
        <v>93.551360377001004</v>
      </c>
      <c r="AN5190">
        <v>0.99999995140901499</v>
      </c>
    </row>
    <row r="5191" spans="1:40" x14ac:dyDescent="0.25">
      <c r="A5191" t="str">
        <f>"20190312173033445"</f>
        <v>20190312173033445</v>
      </c>
      <c r="B5191" t="str">
        <f>"1552383033442597"</f>
        <v>1552383033442597</v>
      </c>
      <c r="C5191" t="s">
        <v>40</v>
      </c>
      <c r="D5191">
        <v>3.392452</v>
      </c>
      <c r="E5191">
        <v>0.47265479999999999</v>
      </c>
      <c r="F5191" t="s">
        <v>57</v>
      </c>
      <c r="G5191">
        <v>-361.13889999999998</v>
      </c>
      <c r="H5191" s="1">
        <v>-4.4609409999999996E-6</v>
      </c>
      <c r="I5191">
        <v>18.08399</v>
      </c>
      <c r="J5191">
        <v>-388.86660000000001</v>
      </c>
      <c r="K5191">
        <v>1.1128049999999901</v>
      </c>
      <c r="L5191">
        <v>17.633179999999999</v>
      </c>
      <c r="M5191">
        <v>0.99248020000000003</v>
      </c>
      <c r="N5191">
        <v>0</v>
      </c>
      <c r="O5191">
        <v>-0.1216705</v>
      </c>
      <c r="P5191">
        <v>0.98474930000000005</v>
      </c>
      <c r="Q5191">
        <v>0.16282869999999999</v>
      </c>
      <c r="R5191">
        <v>-6.1288849999999999E-2</v>
      </c>
      <c r="S5191">
        <v>3.070465</v>
      </c>
      <c r="T5191">
        <v>-0.1223718</v>
      </c>
      <c r="U5191">
        <v>4.7271729999999998E-2</v>
      </c>
      <c r="V5191">
        <v>-6.009051E-2</v>
      </c>
      <c r="W5191">
        <v>0.17564479999999999</v>
      </c>
      <c r="X5191">
        <v>0.98261799999999999</v>
      </c>
      <c r="Y5191">
        <v>-0.13674159999999999</v>
      </c>
      <c r="Z5191">
        <v>7.5630709999999898E-3</v>
      </c>
      <c r="AA5191">
        <v>0.99057790000000001</v>
      </c>
      <c r="AB5191">
        <v>24</v>
      </c>
      <c r="AC5191">
        <v>27.727699999999999</v>
      </c>
      <c r="AD5191">
        <v>-1.11280946094099</v>
      </c>
      <c r="AE5191">
        <v>0.45080999999999999</v>
      </c>
      <c r="AF5191">
        <v>-3.81526219806933</v>
      </c>
      <c r="AG5191">
        <v>-1.11280946094099</v>
      </c>
      <c r="AH5191">
        <v>27.422648138174502</v>
      </c>
      <c r="AI5191">
        <v>92.301639348876506</v>
      </c>
      <c r="AJ5191">
        <v>97.920611262877003</v>
      </c>
      <c r="AK5191">
        <v>27.709135703707901</v>
      </c>
      <c r="AL5191">
        <v>79.883816848863603</v>
      </c>
      <c r="AM5191">
        <v>93.499478247186602</v>
      </c>
      <c r="AN5191">
        <v>1.00000004954154</v>
      </c>
    </row>
    <row r="5192" spans="1:40" x14ac:dyDescent="0.25">
      <c r="A5192" t="str">
        <f>"20190312173033456"</f>
        <v>20190312173033456</v>
      </c>
      <c r="B5192" t="str">
        <f>"1552383033453333"</f>
        <v>1552383033453333</v>
      </c>
      <c r="C5192" t="s">
        <v>40</v>
      </c>
      <c r="D5192">
        <v>3.377192</v>
      </c>
      <c r="E5192">
        <v>0.47278940000000003</v>
      </c>
      <c r="F5192" t="s">
        <v>57</v>
      </c>
      <c r="G5192">
        <v>-361.23390000000001</v>
      </c>
      <c r="H5192" s="1">
        <v>-4.4164279999999997E-6</v>
      </c>
      <c r="I5192">
        <v>18.08173</v>
      </c>
      <c r="J5192">
        <v>-388.74849999999998</v>
      </c>
      <c r="K5192">
        <v>1.112798</v>
      </c>
      <c r="L5192">
        <v>17.620819999999998</v>
      </c>
      <c r="M5192">
        <v>0.99271010000000004</v>
      </c>
      <c r="N5192">
        <v>0</v>
      </c>
      <c r="O5192">
        <v>-0.1197792</v>
      </c>
      <c r="P5192">
        <v>0.98484240000000001</v>
      </c>
      <c r="Q5192">
        <v>0.1628425</v>
      </c>
      <c r="R5192">
        <v>-5.9731659999999999E-2</v>
      </c>
      <c r="S5192">
        <v>3.0700379999999998</v>
      </c>
      <c r="T5192">
        <v>-0.12363490000000001</v>
      </c>
      <c r="U5192">
        <v>4.9835209999999998E-2</v>
      </c>
      <c r="V5192">
        <v>-5.9769370000000002E-2</v>
      </c>
      <c r="W5192">
        <v>0.17566119999999999</v>
      </c>
      <c r="X5192">
        <v>0.98263460000000002</v>
      </c>
      <c r="Y5192">
        <v>-0.1356812</v>
      </c>
      <c r="Z5192">
        <v>7.5450559999999996E-3</v>
      </c>
      <c r="AA5192">
        <v>0.99072380000000004</v>
      </c>
      <c r="AB5192">
        <v>24</v>
      </c>
      <c r="AC5192">
        <v>27.514599999999898</v>
      </c>
      <c r="AD5192">
        <v>-1.1128024164279999</v>
      </c>
      <c r="AE5192">
        <v>0.46090999999999799</v>
      </c>
      <c r="AF5192">
        <v>-3.7474358281139799</v>
      </c>
      <c r="AG5192">
        <v>-1.1128024164279999</v>
      </c>
      <c r="AH5192">
        <v>27.216755486887799</v>
      </c>
      <c r="AI5192">
        <v>92.319470399793801</v>
      </c>
      <c r="AJ5192">
        <v>97.839679376782996</v>
      </c>
      <c r="AK5192">
        <v>27.496061240419099</v>
      </c>
      <c r="AL5192">
        <v>79.882861809902295</v>
      </c>
      <c r="AM5192">
        <v>93.480763533278406</v>
      </c>
      <c r="AN5192">
        <v>0.99999999594639799</v>
      </c>
    </row>
    <row r="5193" spans="1:40" x14ac:dyDescent="0.25">
      <c r="A5193" t="str">
        <f>"20190312173033467"</f>
        <v>20190312173033467</v>
      </c>
      <c r="B5193" t="str">
        <f>"1552383033463093"</f>
        <v>1552383033463093</v>
      </c>
      <c r="C5193" t="s">
        <v>40</v>
      </c>
      <c r="D5193">
        <v>3.3573379999999999</v>
      </c>
      <c r="E5193">
        <v>0.47298010000000001</v>
      </c>
      <c r="F5193" t="s">
        <v>57</v>
      </c>
      <c r="G5193">
        <v>-360.97480000000002</v>
      </c>
      <c r="H5193" s="1">
        <v>-4.5341509999999998E-6</v>
      </c>
      <c r="I5193">
        <v>18.108699999999999</v>
      </c>
      <c r="J5193">
        <v>-388.6277</v>
      </c>
      <c r="K5193">
        <v>1.112797</v>
      </c>
      <c r="L5193">
        <v>17.608339999999998</v>
      </c>
      <c r="M5193">
        <v>0.99294159999999998</v>
      </c>
      <c r="N5193">
        <v>0</v>
      </c>
      <c r="O5193">
        <v>-0.117845699999999</v>
      </c>
      <c r="P5193">
        <v>0.98498050000000004</v>
      </c>
      <c r="Q5193">
        <v>0.1624929</v>
      </c>
      <c r="R5193">
        <v>-5.8392550000000001E-2</v>
      </c>
      <c r="S5193">
        <v>3.0697939999999999</v>
      </c>
      <c r="T5193">
        <v>-0.1229966</v>
      </c>
      <c r="U5193">
        <v>5.3924560000000003E-2</v>
      </c>
      <c r="V5193">
        <v>-5.9193919999999997E-2</v>
      </c>
      <c r="W5193">
        <v>0.17531620000000001</v>
      </c>
      <c r="X5193">
        <v>0.98273100000000002</v>
      </c>
      <c r="Y5193">
        <v>-0.13507649999999999</v>
      </c>
      <c r="Z5193">
        <v>7.4175669999999999E-3</v>
      </c>
      <c r="AA5193">
        <v>0.9908074</v>
      </c>
      <c r="AB5193">
        <v>24</v>
      </c>
      <c r="AC5193">
        <v>27.652899999999899</v>
      </c>
      <c r="AD5193">
        <v>-1.112801534151</v>
      </c>
      <c r="AE5193">
        <v>0.50036000000000003</v>
      </c>
      <c r="AF5193">
        <v>-3.7498699322279401</v>
      </c>
      <c r="AG5193">
        <v>-1.112801534151</v>
      </c>
      <c r="AH5193">
        <v>27.356919794423298</v>
      </c>
      <c r="AI5193">
        <v>92.307789164990297</v>
      </c>
      <c r="AJ5193">
        <v>97.805012123322101</v>
      </c>
      <c r="AK5193">
        <v>27.6351390877909</v>
      </c>
      <c r="AL5193">
        <v>79.902940020049897</v>
      </c>
      <c r="AM5193">
        <v>93.446995159036405</v>
      </c>
      <c r="AN5193">
        <v>0.99999995425420196</v>
      </c>
    </row>
    <row r="5194" spans="1:40" x14ac:dyDescent="0.25">
      <c r="A5194" t="str">
        <f>"20190312173033478"</f>
        <v>20190312173033478</v>
      </c>
      <c r="B5194" t="str">
        <f>"1552383033472853"</f>
        <v>1552383033472853</v>
      </c>
      <c r="C5194" t="s">
        <v>40</v>
      </c>
      <c r="D5194">
        <v>3.3541599999999998</v>
      </c>
      <c r="E5194">
        <v>0.47329870000000002</v>
      </c>
      <c r="F5194" t="s">
        <v>57</v>
      </c>
      <c r="G5194">
        <v>-360.87709999999998</v>
      </c>
      <c r="H5194" s="1">
        <v>-4.5777119999999997E-6</v>
      </c>
      <c r="I5194">
        <v>18.123460000000001</v>
      </c>
      <c r="J5194">
        <v>-388.50510000000003</v>
      </c>
      <c r="K5194">
        <v>1.112792</v>
      </c>
      <c r="L5194">
        <v>17.595949999999998</v>
      </c>
      <c r="M5194">
        <v>0.99317239999999996</v>
      </c>
      <c r="N5194">
        <v>0</v>
      </c>
      <c r="O5194">
        <v>-0.115884</v>
      </c>
      <c r="P5194">
        <v>0.98509959999999996</v>
      </c>
      <c r="Q5194">
        <v>0.16228979999999901</v>
      </c>
      <c r="R5194">
        <v>-5.6927539999999999E-2</v>
      </c>
      <c r="S5194">
        <v>3.0694270000000001</v>
      </c>
      <c r="T5194">
        <v>-0.1230841</v>
      </c>
      <c r="U5194">
        <v>5.6976319999999997E-2</v>
      </c>
      <c r="V5194">
        <v>-5.871386E-2</v>
      </c>
      <c r="W5194">
        <v>0.17511669999999999</v>
      </c>
      <c r="X5194">
        <v>0.98279539999999999</v>
      </c>
      <c r="Y5194">
        <v>-0.134108</v>
      </c>
      <c r="Z5194">
        <v>7.3260490000000003E-3</v>
      </c>
      <c r="AA5194">
        <v>0.99093960000000003</v>
      </c>
      <c r="AB5194">
        <v>24</v>
      </c>
      <c r="AC5194">
        <v>27.628</v>
      </c>
      <c r="AD5194">
        <v>-1.1127965777119999</v>
      </c>
      <c r="AE5194">
        <v>0.52751000000000303</v>
      </c>
      <c r="AF5194">
        <v>-3.7198533654757</v>
      </c>
      <c r="AG5194">
        <v>-1.1127965777119999</v>
      </c>
      <c r="AH5194">
        <v>27.336362612424399</v>
      </c>
      <c r="AI5194">
        <v>92.3098202614798</v>
      </c>
      <c r="AJ5194">
        <v>97.749048641349205</v>
      </c>
      <c r="AK5194">
        <v>27.610728823447701</v>
      </c>
      <c r="AL5194">
        <v>79.914550472798297</v>
      </c>
      <c r="AM5194">
        <v>93.418883260568904</v>
      </c>
      <c r="AN5194">
        <v>0.99999998711807403</v>
      </c>
    </row>
    <row r="5195" spans="1:40" x14ac:dyDescent="0.25">
      <c r="A5195" t="str">
        <f>"20190312173033490"</f>
        <v>20190312173033490</v>
      </c>
      <c r="B5195" t="str">
        <f>"1552383033482613"</f>
        <v>1552383033482613</v>
      </c>
      <c r="C5195" t="s">
        <v>40</v>
      </c>
      <c r="D5195">
        <v>3.3464100000000001</v>
      </c>
      <c r="E5195">
        <v>0.47329870000000002</v>
      </c>
      <c r="F5195" t="s">
        <v>57</v>
      </c>
      <c r="G5195">
        <v>-361.62889999999999</v>
      </c>
      <c r="H5195" s="1">
        <v>-4.2235280000000002E-6</v>
      </c>
      <c r="I5195">
        <v>18.116689999999998</v>
      </c>
      <c r="J5195">
        <v>-388.38569999999999</v>
      </c>
      <c r="K5195">
        <v>1.1127899999999999</v>
      </c>
      <c r="L5195">
        <v>17.584139999999898</v>
      </c>
      <c r="M5195">
        <v>0.99339330000000003</v>
      </c>
      <c r="N5195">
        <v>0</v>
      </c>
      <c r="O5195">
        <v>-0.1139737</v>
      </c>
      <c r="P5195">
        <v>0.98526919999999996</v>
      </c>
      <c r="Q5195">
        <v>0.16171340000000001</v>
      </c>
      <c r="R5195">
        <v>-5.5618830000000001E-2</v>
      </c>
      <c r="S5195">
        <v>3.069763</v>
      </c>
      <c r="T5195">
        <v>-0.12710189999999999</v>
      </c>
      <c r="U5195">
        <v>5.9478759999999999E-2</v>
      </c>
      <c r="V5195">
        <v>-5.8134030000000003E-2</v>
      </c>
      <c r="W5195">
        <v>0.174545799999999</v>
      </c>
      <c r="X5195">
        <v>0.98293140000000001</v>
      </c>
      <c r="Y5195">
        <v>-0.13299710000000001</v>
      </c>
      <c r="Z5195">
        <v>7.4624699999999997E-3</v>
      </c>
      <c r="AA5195">
        <v>0.99108830000000003</v>
      </c>
      <c r="AB5195">
        <v>24</v>
      </c>
      <c r="AC5195">
        <v>26.756799999999998</v>
      </c>
      <c r="AD5195">
        <v>-1.1127942235279999</v>
      </c>
      <c r="AE5195">
        <v>0.53254999999999997</v>
      </c>
      <c r="AF5195">
        <v>-3.5727475628506098</v>
      </c>
      <c r="AG5195">
        <v>-1.1127942235279999</v>
      </c>
      <c r="AH5195">
        <v>26.475936562992899</v>
      </c>
      <c r="AI5195">
        <v>92.385154864830696</v>
      </c>
      <c r="AJ5195">
        <v>97.685251510479304</v>
      </c>
      <c r="AK5195">
        <v>26.7390735258235</v>
      </c>
      <c r="AL5195">
        <v>79.947772123469605</v>
      </c>
      <c r="AM5195">
        <v>93.384731620788102</v>
      </c>
      <c r="AN5195">
        <v>0.99999996942381997</v>
      </c>
    </row>
    <row r="5196" spans="1:40" x14ac:dyDescent="0.25">
      <c r="A5196" t="str">
        <f>"20190312173033502"</f>
        <v>20190312173033502</v>
      </c>
      <c r="B5196" t="str">
        <f>"1552383033493348"</f>
        <v>1552383033493348</v>
      </c>
      <c r="C5196" t="s">
        <v>40</v>
      </c>
      <c r="D5196">
        <v>3.3263720000000001</v>
      </c>
      <c r="E5196">
        <v>0.47745910000000003</v>
      </c>
      <c r="F5196" t="s">
        <v>57</v>
      </c>
      <c r="G5196">
        <v>-361.86799999999999</v>
      </c>
      <c r="H5196" s="1">
        <v>-4.1072159999999998E-6</v>
      </c>
      <c r="I5196">
        <v>18.135149999999999</v>
      </c>
      <c r="J5196">
        <v>-388.25409999999999</v>
      </c>
      <c r="K5196">
        <v>1.112787</v>
      </c>
      <c r="L5196">
        <v>17.571290000000001</v>
      </c>
      <c r="M5196">
        <v>0.99363279999999998</v>
      </c>
      <c r="N5196">
        <v>0</v>
      </c>
      <c r="O5196">
        <v>-0.11186790000000001</v>
      </c>
      <c r="P5196">
        <v>0.98539849999999996</v>
      </c>
      <c r="Q5196">
        <v>0.16146529999999901</v>
      </c>
      <c r="R5196">
        <v>-5.4031500000000003E-2</v>
      </c>
      <c r="S5196">
        <v>3.0695190000000001</v>
      </c>
      <c r="T5196">
        <v>-0.1288098</v>
      </c>
      <c r="U5196">
        <v>6.3781740000000003E-2</v>
      </c>
      <c r="V5196">
        <v>-5.7634570000000003E-2</v>
      </c>
      <c r="W5196">
        <v>0.1743016</v>
      </c>
      <c r="X5196">
        <v>0.98300419999999999</v>
      </c>
      <c r="Y5196">
        <v>-0.13228329999999999</v>
      </c>
      <c r="Z5196">
        <v>7.4603259999999998E-3</v>
      </c>
      <c r="AA5196">
        <v>0.99118390000000001</v>
      </c>
      <c r="AB5196">
        <v>24</v>
      </c>
      <c r="AC5196">
        <v>26.3860999999999</v>
      </c>
      <c r="AD5196">
        <v>-1.1127911072159999</v>
      </c>
      <c r="AE5196">
        <v>0.56385999999999803</v>
      </c>
      <c r="AF5196">
        <v>-3.5061094141006199</v>
      </c>
      <c r="AG5196">
        <v>-1.1127911072159999</v>
      </c>
      <c r="AH5196">
        <v>26.1109438487936</v>
      </c>
      <c r="AI5196">
        <v>92.418662404044696</v>
      </c>
      <c r="AJ5196">
        <v>97.647782483369994</v>
      </c>
      <c r="AK5196">
        <v>26.368778810305098</v>
      </c>
      <c r="AL5196">
        <v>79.961982131100797</v>
      </c>
      <c r="AM5196">
        <v>93.355470403010699</v>
      </c>
      <c r="AN5196">
        <v>1.0000000243196401</v>
      </c>
    </row>
    <row r="5197" spans="1:40" x14ac:dyDescent="0.25">
      <c r="A5197" t="str">
        <f>"20190312173033513"</f>
        <v>20190312173033513</v>
      </c>
      <c r="B5197" t="str">
        <f>"1552383033503109"</f>
        <v>1552383033503109</v>
      </c>
      <c r="C5197" t="s">
        <v>40</v>
      </c>
      <c r="D5197">
        <v>3.376312</v>
      </c>
      <c r="E5197">
        <v>0.47687079999999998</v>
      </c>
      <c r="F5197" t="s">
        <v>57</v>
      </c>
      <c r="G5197">
        <v>-365.59050000000002</v>
      </c>
      <c r="H5197" s="1">
        <v>-2.3999390000000001E-6</v>
      </c>
      <c r="I5197">
        <v>17.839960000000001</v>
      </c>
      <c r="J5197">
        <v>-388.1311</v>
      </c>
      <c r="K5197">
        <v>1.1127849999999999</v>
      </c>
      <c r="L5197">
        <v>17.559660000000001</v>
      </c>
      <c r="M5197">
        <v>0.99385210000000002</v>
      </c>
      <c r="N5197">
        <v>0</v>
      </c>
      <c r="O5197">
        <v>-0.1099015</v>
      </c>
      <c r="P5197">
        <v>0.98547640000000003</v>
      </c>
      <c r="Q5197">
        <v>0.16148560000000001</v>
      </c>
      <c r="R5197">
        <v>-5.2523210000000001E-2</v>
      </c>
      <c r="S5197">
        <v>3.0711979999999999</v>
      </c>
      <c r="T5197">
        <v>-0.15079679999999901</v>
      </c>
      <c r="U5197">
        <v>3.6407469999999997E-2</v>
      </c>
      <c r="V5197">
        <v>-5.7190909999999998E-2</v>
      </c>
      <c r="W5197">
        <v>0.1743246</v>
      </c>
      <c r="X5197">
        <v>0.98302599999999996</v>
      </c>
      <c r="Y5197">
        <v>-0.12140720000000001</v>
      </c>
      <c r="Z5197">
        <v>8.3645939999999995E-3</v>
      </c>
      <c r="AA5197">
        <v>0.99256750000000005</v>
      </c>
      <c r="AB5197">
        <v>24</v>
      </c>
      <c r="AC5197">
        <v>22.540599999999898</v>
      </c>
      <c r="AD5197">
        <v>-1.1127873999390001</v>
      </c>
      <c r="AE5197">
        <v>0.28029999999999999</v>
      </c>
      <c r="AF5197">
        <v>-2.74937032384477</v>
      </c>
      <c r="AG5197">
        <v>-1.1127873999390001</v>
      </c>
      <c r="AH5197">
        <v>22.318839820323301</v>
      </c>
      <c r="AI5197">
        <v>92.8329485439764</v>
      </c>
      <c r="AJ5197">
        <v>97.022662407938398</v>
      </c>
      <c r="AK5197">
        <v>22.515060379673599</v>
      </c>
      <c r="AL5197">
        <v>79.960643506568701</v>
      </c>
      <c r="AM5197">
        <v>93.329625294194202</v>
      </c>
      <c r="AN5197">
        <v>0.99999999151389396</v>
      </c>
    </row>
    <row r="5198" spans="1:40" x14ac:dyDescent="0.25">
      <c r="A5198" t="str">
        <f>"20190312173033526"</f>
        <v>20190312173033526</v>
      </c>
      <c r="B5198" t="str">
        <f>"1552383033522629"</f>
        <v>1552383033522629</v>
      </c>
      <c r="C5198" t="s">
        <v>40</v>
      </c>
      <c r="D5198">
        <v>3.363686</v>
      </c>
      <c r="E5198">
        <v>0.47686820000000002</v>
      </c>
      <c r="F5198" t="s">
        <v>57</v>
      </c>
      <c r="G5198">
        <v>-364.35309999999998</v>
      </c>
      <c r="H5198" s="1">
        <v>-2.9720749999999998E-6</v>
      </c>
      <c r="I5198">
        <v>17.91206</v>
      </c>
      <c r="J5198">
        <v>-387.99619999999999</v>
      </c>
      <c r="K5198">
        <v>1.1127800000000001</v>
      </c>
      <c r="L5198">
        <v>17.547090000000001</v>
      </c>
      <c r="M5198">
        <v>0.99408839999999998</v>
      </c>
      <c r="N5198">
        <v>0</v>
      </c>
      <c r="O5198">
        <v>-0.10774499999999999</v>
      </c>
      <c r="P5198">
        <v>0.98549489999999995</v>
      </c>
      <c r="Q5198">
        <v>0.16189229999999999</v>
      </c>
      <c r="R5198">
        <v>-5.0903419999999998E-2</v>
      </c>
      <c r="S5198">
        <v>3.0702210000000001</v>
      </c>
      <c r="T5198">
        <v>-0.14368359999999999</v>
      </c>
      <c r="U5198">
        <v>4.5501710000000001E-2</v>
      </c>
      <c r="V5198">
        <v>-5.6666420000000002E-2</v>
      </c>
      <c r="W5198">
        <v>0.17473449999999999</v>
      </c>
      <c r="X5198">
        <v>0.98298359999999996</v>
      </c>
      <c r="Y5198">
        <v>-0.12222379999999999</v>
      </c>
      <c r="Z5198">
        <v>7.8916909999999993E-3</v>
      </c>
      <c r="AA5198">
        <v>0.9924712</v>
      </c>
      <c r="AB5198">
        <v>24</v>
      </c>
      <c r="AC5198">
        <v>23.6431</v>
      </c>
      <c r="AD5198">
        <v>-1.112782972075</v>
      </c>
      <c r="AE5198">
        <v>0.36496999999999902</v>
      </c>
      <c r="AF5198">
        <v>-2.9040675986058799</v>
      </c>
      <c r="AG5198">
        <v>-1.112782972075</v>
      </c>
      <c r="AH5198">
        <v>23.414256408385</v>
      </c>
      <c r="AI5198">
        <v>92.700324668147303</v>
      </c>
      <c r="AJ5198">
        <v>97.070281631904095</v>
      </c>
      <c r="AK5198">
        <v>23.619891992086</v>
      </c>
      <c r="AL5198">
        <v>79.936791907759499</v>
      </c>
      <c r="AM5198">
        <v>93.299299510102699</v>
      </c>
      <c r="AN5198">
        <v>0.99999999325741296</v>
      </c>
    </row>
    <row r="5199" spans="1:40" x14ac:dyDescent="0.25">
      <c r="A5199" t="str">
        <f>"20190312173033538"</f>
        <v>20190312173033538</v>
      </c>
      <c r="B5199" t="str">
        <f>"1552383033533365"</f>
        <v>1552383033533365</v>
      </c>
      <c r="C5199" t="s">
        <v>40</v>
      </c>
      <c r="D5199">
        <v>3.303118</v>
      </c>
      <c r="E5199">
        <v>0.4772322</v>
      </c>
      <c r="F5199" t="s">
        <v>57</v>
      </c>
      <c r="G5199">
        <v>-363.11869999999999</v>
      </c>
      <c r="H5199" s="1">
        <v>-3.5477989999999999E-6</v>
      </c>
      <c r="I5199">
        <v>17.955950000000001</v>
      </c>
      <c r="J5199">
        <v>-387.86930000000001</v>
      </c>
      <c r="K5199">
        <v>1.1127750000000001</v>
      </c>
      <c r="L5199">
        <v>17.53558</v>
      </c>
      <c r="M5199">
        <v>0.99430580000000002</v>
      </c>
      <c r="N5199">
        <v>0</v>
      </c>
      <c r="O5199">
        <v>-0.10571850000000001</v>
      </c>
      <c r="P5199">
        <v>0.98552510000000004</v>
      </c>
      <c r="Q5199">
        <v>0.16211929999999999</v>
      </c>
      <c r="R5199">
        <v>-4.957396E-2</v>
      </c>
      <c r="S5199">
        <v>3.069366</v>
      </c>
      <c r="T5199">
        <v>-0.13729450000000001</v>
      </c>
      <c r="U5199">
        <v>5.044556E-2</v>
      </c>
      <c r="V5199">
        <v>-5.5982549999999999E-2</v>
      </c>
      <c r="W5199">
        <v>0.17496500000000001</v>
      </c>
      <c r="X5199">
        <v>0.98298180000000002</v>
      </c>
      <c r="Y5199">
        <v>-0.1218273</v>
      </c>
      <c r="Z5199">
        <v>7.4441319999999896E-3</v>
      </c>
      <c r="AA5199">
        <v>0.99252339999999994</v>
      </c>
      <c r="AB5199">
        <v>24</v>
      </c>
      <c r="AC5199">
        <v>24.750599999999999</v>
      </c>
      <c r="AD5199">
        <v>-1.112778547799</v>
      </c>
      <c r="AE5199">
        <v>0.42037000000000102</v>
      </c>
      <c r="AF5199">
        <v>-3.0287247276499398</v>
      </c>
      <c r="AG5199">
        <v>-1.112778547799</v>
      </c>
      <c r="AH5199">
        <v>24.517884744270201</v>
      </c>
      <c r="AI5199">
        <v>92.579088722192395</v>
      </c>
      <c r="AJ5199">
        <v>97.042142402431693</v>
      </c>
      <c r="AK5199">
        <v>24.729296834031501</v>
      </c>
      <c r="AL5199">
        <v>79.923378751596104</v>
      </c>
      <c r="AM5199">
        <v>93.259574754714507</v>
      </c>
      <c r="AN5199">
        <v>1.0000000081303699</v>
      </c>
    </row>
    <row r="5200" spans="1:40" x14ac:dyDescent="0.25">
      <c r="A5200" t="str">
        <f>"20190312173033549"</f>
        <v>20190312173033549</v>
      </c>
      <c r="B5200" t="str">
        <f>"1552383033543125"</f>
        <v>1552383033543125</v>
      </c>
      <c r="C5200" t="s">
        <v>40</v>
      </c>
      <c r="D5200">
        <v>3.3294429999999999</v>
      </c>
      <c r="E5200">
        <v>0.47751949999999999</v>
      </c>
      <c r="F5200" t="s">
        <v>57</v>
      </c>
      <c r="G5200">
        <v>-363.7165</v>
      </c>
      <c r="H5200" s="1">
        <v>-3.267445E-6</v>
      </c>
      <c r="I5200">
        <v>17.94351</v>
      </c>
      <c r="J5200">
        <v>-387.74889999999999</v>
      </c>
      <c r="K5200">
        <v>1.1127739999999999</v>
      </c>
      <c r="L5200">
        <v>17.52487</v>
      </c>
      <c r="M5200">
        <v>0.99450859999999996</v>
      </c>
      <c r="N5200">
        <v>0</v>
      </c>
      <c r="O5200">
        <v>-0.1037937</v>
      </c>
      <c r="P5200">
        <v>0.98550669999999996</v>
      </c>
      <c r="Q5200">
        <v>0.1625915</v>
      </c>
      <c r="R5200">
        <v>-4.8378619999999997E-2</v>
      </c>
      <c r="S5200">
        <v>3.0699770000000002</v>
      </c>
      <c r="T5200">
        <v>-0.14144089999999901</v>
      </c>
      <c r="U5200">
        <v>5.1849369999999999E-2</v>
      </c>
      <c r="V5200">
        <v>-5.5263909999999999E-2</v>
      </c>
      <c r="W5200">
        <v>0.1754415</v>
      </c>
      <c r="X5200">
        <v>0.98293750000000002</v>
      </c>
      <c r="Y5200">
        <v>-0.1203463</v>
      </c>
      <c r="Z5200">
        <v>7.5447880000000002E-3</v>
      </c>
      <c r="AA5200">
        <v>0.99270329999999996</v>
      </c>
      <c r="AB5200">
        <v>24</v>
      </c>
      <c r="AC5200">
        <v>24.032399999999999</v>
      </c>
      <c r="AD5200">
        <v>-1.1127772674449901</v>
      </c>
      <c r="AE5200">
        <v>0.41863999999999901</v>
      </c>
      <c r="AF5200">
        <v>-2.9047881498720098</v>
      </c>
      <c r="AG5200">
        <v>-1.1127772674449901</v>
      </c>
      <c r="AH5200">
        <v>23.808089128215101</v>
      </c>
      <c r="AI5200">
        <v>92.656356578070501</v>
      </c>
      <c r="AJ5200">
        <v>96.956188691498298</v>
      </c>
      <c r="AK5200">
        <v>24.010438883527598</v>
      </c>
      <c r="AL5200">
        <v>79.895648041696504</v>
      </c>
      <c r="AM5200">
        <v>93.2179652770985</v>
      </c>
      <c r="AN5200">
        <v>0.99999997428849297</v>
      </c>
    </row>
    <row r="5201" spans="1:40" x14ac:dyDescent="0.25">
      <c r="A5201" t="str">
        <f>"20190312173033561"</f>
        <v>20190312173033561</v>
      </c>
      <c r="B5201" t="str">
        <f>"1552383033552885"</f>
        <v>1552383033552885</v>
      </c>
      <c r="C5201" t="s">
        <v>40</v>
      </c>
      <c r="D5201">
        <v>3.3546749999999999</v>
      </c>
      <c r="E5201">
        <v>0.4779274</v>
      </c>
      <c r="F5201" t="s">
        <v>57</v>
      </c>
      <c r="G5201">
        <v>-363.99810000000002</v>
      </c>
      <c r="H5201" s="1">
        <v>-3.1355299999999999E-6</v>
      </c>
      <c r="I5201">
        <v>17.93656</v>
      </c>
      <c r="J5201">
        <v>-387.61880000000002</v>
      </c>
      <c r="K5201">
        <v>1.112773</v>
      </c>
      <c r="L5201">
        <v>17.513549999999999</v>
      </c>
      <c r="M5201">
        <v>0.99472329999999998</v>
      </c>
      <c r="N5201">
        <v>0</v>
      </c>
      <c r="O5201">
        <v>-0.1017155</v>
      </c>
      <c r="P5201">
        <v>0.98549379999999998</v>
      </c>
      <c r="Q5201">
        <v>0.1631445</v>
      </c>
      <c r="R5201">
        <v>-4.6755430000000001E-2</v>
      </c>
      <c r="S5201">
        <v>3.0704959999999999</v>
      </c>
      <c r="T5201">
        <v>-0.14385970000000001</v>
      </c>
      <c r="U5201">
        <v>5.3222659999999998E-2</v>
      </c>
      <c r="V5201">
        <v>-5.4820630000000002E-2</v>
      </c>
      <c r="W5201">
        <v>0.1759955</v>
      </c>
      <c r="X5201">
        <v>0.9828633</v>
      </c>
      <c r="Y5201">
        <v>-0.11870890000000001</v>
      </c>
      <c r="Z5201">
        <v>7.5370749999999999E-3</v>
      </c>
      <c r="AA5201">
        <v>0.99290049999999996</v>
      </c>
      <c r="AB5201">
        <v>24</v>
      </c>
      <c r="AC5201">
        <v>23.620699999999999</v>
      </c>
      <c r="AD5201">
        <v>-1.1127761355299901</v>
      </c>
      <c r="AE5201">
        <v>0.423010000000001</v>
      </c>
      <c r="AF5201">
        <v>-2.81737187334494</v>
      </c>
      <c r="AG5201">
        <v>-1.1127761355299901</v>
      </c>
      <c r="AH5201">
        <v>23.403215544328599</v>
      </c>
      <c r="AI5201">
        <v>92.702764625949499</v>
      </c>
      <c r="AJ5201">
        <v>96.864459685340407</v>
      </c>
      <c r="AK5201">
        <v>23.598439626696202</v>
      </c>
      <c r="AL5201">
        <v>79.863404664770897</v>
      </c>
      <c r="AM5201">
        <v>93.192447591513002</v>
      </c>
      <c r="AN5201">
        <v>0.99999999199036804</v>
      </c>
    </row>
    <row r="5202" spans="1:40" x14ac:dyDescent="0.25">
      <c r="A5202" t="str">
        <f>"20190312173033582"</f>
        <v>20190312173033582</v>
      </c>
      <c r="B5202" t="str">
        <f>"1552383033573380"</f>
        <v>1552383033573380</v>
      </c>
      <c r="C5202" t="s">
        <v>40</v>
      </c>
      <c r="D5202">
        <v>3.373373</v>
      </c>
      <c r="E5202">
        <v>0.47797770000000001</v>
      </c>
      <c r="F5202" t="s">
        <v>57</v>
      </c>
      <c r="G5202">
        <v>-363.83049999999997</v>
      </c>
      <c r="H5202" s="1">
        <v>-3.2139139999999998E-6</v>
      </c>
      <c r="I5202">
        <v>17.941240000000001</v>
      </c>
      <c r="J5202">
        <v>-387.4042</v>
      </c>
      <c r="K5202">
        <v>1.1127629999999999</v>
      </c>
      <c r="L5202">
        <v>17.495509999999999</v>
      </c>
      <c r="M5202">
        <v>0.99506799999999995</v>
      </c>
      <c r="N5202">
        <v>0</v>
      </c>
      <c r="O5202">
        <v>-9.8286730000000003E-2</v>
      </c>
      <c r="P5202">
        <v>0.9854986</v>
      </c>
      <c r="Q5202">
        <v>0.1636996</v>
      </c>
      <c r="R5202">
        <v>-4.4672280000000002E-2</v>
      </c>
      <c r="S5202">
        <v>3.0705870000000002</v>
      </c>
      <c r="T5202">
        <v>-0.14363709999999999</v>
      </c>
      <c r="U5202">
        <v>5.52063E-2</v>
      </c>
      <c r="V5202">
        <v>-5.3500029999999997E-2</v>
      </c>
      <c r="W5202">
        <v>0.1765582</v>
      </c>
      <c r="X5202">
        <v>0.98283520000000002</v>
      </c>
      <c r="Y5202">
        <v>-0.1159347</v>
      </c>
      <c r="Z5202">
        <v>7.3005750000000001E-3</v>
      </c>
      <c r="AA5202">
        <v>0.99322999999999995</v>
      </c>
      <c r="AB5202">
        <v>24</v>
      </c>
      <c r="AC5202">
        <v>23.573699999999999</v>
      </c>
      <c r="AD5202">
        <v>-1.112766213914</v>
      </c>
      <c r="AE5202">
        <v>0.44573000000000101</v>
      </c>
      <c r="AF5202">
        <v>-2.75462555237086</v>
      </c>
      <c r="AG5202">
        <v>-1.112766213914</v>
      </c>
      <c r="AH5202">
        <v>23.363685441186899</v>
      </c>
      <c r="AI5202">
        <v>92.708094961437197</v>
      </c>
      <c r="AJ5202">
        <v>96.7242447743658</v>
      </c>
      <c r="AK5202">
        <v>23.551815385981001</v>
      </c>
      <c r="AL5202">
        <v>79.830651935284095</v>
      </c>
      <c r="AM5202">
        <v>93.115785504408905</v>
      </c>
      <c r="AN5202">
        <v>1.00000004077813</v>
      </c>
    </row>
    <row r="5203" spans="1:40" x14ac:dyDescent="0.25">
      <c r="A5203" t="str">
        <f>"20190312173033603"</f>
        <v>20190312173033603</v>
      </c>
      <c r="B5203" t="str">
        <f>"1552383033592901"</f>
        <v>1552383033592901</v>
      </c>
      <c r="C5203" t="s">
        <v>40</v>
      </c>
      <c r="D5203">
        <v>3.4090959999999999</v>
      </c>
      <c r="E5203">
        <v>0.47806959999999998</v>
      </c>
      <c r="F5203" t="s">
        <v>57</v>
      </c>
      <c r="G5203">
        <v>-362.68340000000001</v>
      </c>
      <c r="H5203" s="1">
        <v>-3.747574E-6</v>
      </c>
      <c r="I5203">
        <v>17.989719999999998</v>
      </c>
      <c r="J5203">
        <v>-387.17009999999999</v>
      </c>
      <c r="K5203">
        <v>1.1127659999999999</v>
      </c>
      <c r="L5203">
        <v>17.47672</v>
      </c>
      <c r="M5203">
        <v>0.9954305</v>
      </c>
      <c r="N5203">
        <v>0</v>
      </c>
      <c r="O5203">
        <v>-9.4546099999999994E-2</v>
      </c>
      <c r="P5203">
        <v>0.98552360000000006</v>
      </c>
      <c r="Q5203">
        <v>0.16423969999999999</v>
      </c>
      <c r="R5203">
        <v>-4.2060430000000003E-2</v>
      </c>
      <c r="S5203">
        <v>3.069855</v>
      </c>
      <c r="T5203">
        <v>-0.1381848</v>
      </c>
      <c r="U5203">
        <v>6.1370849999999998E-2</v>
      </c>
      <c r="V5203">
        <v>-5.2400009999999997E-2</v>
      </c>
      <c r="W5203">
        <v>0.17710399999999901</v>
      </c>
      <c r="X5203">
        <v>0.98279620000000001</v>
      </c>
      <c r="Y5203">
        <v>-0.1142224</v>
      </c>
      <c r="Z5203">
        <v>6.8190940000000004E-3</v>
      </c>
      <c r="AA5203">
        <v>0.99343179999999998</v>
      </c>
      <c r="AB5203">
        <v>24</v>
      </c>
      <c r="AC5203">
        <v>24.4866999999999</v>
      </c>
      <c r="AD5203">
        <v>-1.1127697475739999</v>
      </c>
      <c r="AE5203">
        <v>0.51300000000000101</v>
      </c>
      <c r="AF5203">
        <v>-2.8202094128187301</v>
      </c>
      <c r="AG5203">
        <v>-1.1127697475739999</v>
      </c>
      <c r="AH5203">
        <v>24.278368949516899</v>
      </c>
      <c r="AI5203">
        <v>92.606742682776002</v>
      </c>
      <c r="AJ5203">
        <v>96.625862685445199</v>
      </c>
      <c r="AK5203">
        <v>24.466937619819401</v>
      </c>
      <c r="AL5203">
        <v>79.798878566014196</v>
      </c>
      <c r="AM5203">
        <v>93.051964742926003</v>
      </c>
      <c r="AN5203">
        <v>0.99999997929921902</v>
      </c>
    </row>
    <row r="5204" spans="1:40" x14ac:dyDescent="0.25">
      <c r="A5204" t="str">
        <f>"20190312173033615"</f>
        <v>20190312173033615</v>
      </c>
      <c r="B5204" t="str">
        <f>"1552383033613397"</f>
        <v>1552383033613397</v>
      </c>
      <c r="C5204" t="s">
        <v>40</v>
      </c>
      <c r="D5204">
        <v>3.3557090000000001</v>
      </c>
      <c r="E5204">
        <v>0.47845720000000003</v>
      </c>
      <c r="F5204" t="s">
        <v>57</v>
      </c>
      <c r="G5204">
        <v>-361.47949999999997</v>
      </c>
      <c r="H5204" s="1">
        <v>-4.3057930000000004E-6</v>
      </c>
      <c r="I5204">
        <v>18.05097</v>
      </c>
      <c r="J5204">
        <v>-387.04140000000001</v>
      </c>
      <c r="K5204">
        <v>1.1127640000000001</v>
      </c>
      <c r="L5204">
        <v>17.466799999999999</v>
      </c>
      <c r="M5204">
        <v>0.99562379999999995</v>
      </c>
      <c r="N5204">
        <v>0</v>
      </c>
      <c r="O5204">
        <v>-9.2488520000000005E-2</v>
      </c>
      <c r="P5204">
        <v>0.98557340000000004</v>
      </c>
      <c r="Q5204">
        <v>0.16434460000000001</v>
      </c>
      <c r="R5204">
        <v>-4.0450119999999999E-2</v>
      </c>
      <c r="S5204">
        <v>3.0691220000000001</v>
      </c>
      <c r="T5204">
        <v>-0.132937</v>
      </c>
      <c r="U5204">
        <v>6.8603520000000001E-2</v>
      </c>
      <c r="V5204">
        <v>-5.1971589999999998E-2</v>
      </c>
      <c r="W5204">
        <v>0.17721149999999999</v>
      </c>
      <c r="X5204">
        <v>0.9827996</v>
      </c>
      <c r="Y5204">
        <v>-0.1145312</v>
      </c>
      <c r="Z5204">
        <v>6.4797409999999998E-3</v>
      </c>
      <c r="AA5204">
        <v>0.99339849999999996</v>
      </c>
      <c r="AB5204">
        <v>24</v>
      </c>
      <c r="AC5204">
        <v>25.561900000000001</v>
      </c>
      <c r="AD5204">
        <v>-1.11276830579299</v>
      </c>
      <c r="AE5204">
        <v>0.58416999999999997</v>
      </c>
      <c r="AF5204">
        <v>-2.94049021924583</v>
      </c>
      <c r="AG5204">
        <v>-1.11276830579299</v>
      </c>
      <c r="AH5204">
        <v>25.3502665698059</v>
      </c>
      <c r="AI5204">
        <v>92.496707512142805</v>
      </c>
      <c r="AJ5204">
        <v>96.616424108431005</v>
      </c>
      <c r="AK5204">
        <v>25.5444857296458</v>
      </c>
      <c r="AL5204">
        <v>79.792620573272103</v>
      </c>
      <c r="AM5204">
        <v>93.027048168473598</v>
      </c>
      <c r="AN5204">
        <v>1.00000000782976</v>
      </c>
    </row>
    <row r="5205" spans="1:40" x14ac:dyDescent="0.25">
      <c r="A5205" t="str">
        <f>"20190312173033627"</f>
        <v>20190312173033627</v>
      </c>
      <c r="B5205" t="str">
        <f>"1552383033623157"</f>
        <v>1552383033623157</v>
      </c>
      <c r="C5205" t="s">
        <v>40</v>
      </c>
      <c r="D5205">
        <v>3.3534790000000001</v>
      </c>
      <c r="E5205">
        <v>0.47861219999999999</v>
      </c>
      <c r="F5205" t="s">
        <v>57</v>
      </c>
      <c r="G5205">
        <v>-361.6628</v>
      </c>
      <c r="H5205" s="1">
        <v>-4.2197090000000001E-6</v>
      </c>
      <c r="I5205">
        <v>18.047940000000001</v>
      </c>
      <c r="J5205">
        <v>-386.92059999999998</v>
      </c>
      <c r="K5205">
        <v>1.1127609999999999</v>
      </c>
      <c r="L5205">
        <v>17.45767</v>
      </c>
      <c r="M5205">
        <v>0.99580109999999999</v>
      </c>
      <c r="N5205">
        <v>0</v>
      </c>
      <c r="O5205">
        <v>-9.0558009999999994E-2</v>
      </c>
      <c r="P5205">
        <v>0.98555959999999998</v>
      </c>
      <c r="Q5205">
        <v>0.16472349999999999</v>
      </c>
      <c r="R5205">
        <v>-3.9225900000000001E-2</v>
      </c>
      <c r="S5205">
        <v>3.0692439999999999</v>
      </c>
      <c r="T5205">
        <v>-0.13457639999999901</v>
      </c>
      <c r="U5205">
        <v>7.0281979999999994E-2</v>
      </c>
      <c r="V5205">
        <v>-5.1280489999999998E-2</v>
      </c>
      <c r="W5205">
        <v>0.17759349999999999</v>
      </c>
      <c r="X5205">
        <v>0.9827669</v>
      </c>
      <c r="Y5205">
        <v>-0.1131456</v>
      </c>
      <c r="Z5205">
        <v>6.4445650000000002E-3</v>
      </c>
      <c r="AA5205">
        <v>0.99355749999999998</v>
      </c>
      <c r="AB5205">
        <v>24</v>
      </c>
      <c r="AC5205">
        <v>25.2577999999999</v>
      </c>
      <c r="AD5205">
        <v>-1.1127652197089899</v>
      </c>
      <c r="AE5205">
        <v>0.59026999999999996</v>
      </c>
      <c r="AF5205">
        <v>-2.8697784955366301</v>
      </c>
      <c r="AG5205">
        <v>-1.1127652197089899</v>
      </c>
      <c r="AH5205">
        <v>25.051944947505302</v>
      </c>
      <c r="AI5205">
        <v>92.526807062788606</v>
      </c>
      <c r="AJ5205">
        <v>96.534925069782503</v>
      </c>
      <c r="AK5205">
        <v>25.240321327203301</v>
      </c>
      <c r="AL5205">
        <v>79.7703803306987</v>
      </c>
      <c r="AM5205">
        <v>92.986968122887006</v>
      </c>
      <c r="AN5205">
        <v>0.99999995981624901</v>
      </c>
    </row>
    <row r="5206" spans="1:40" x14ac:dyDescent="0.25">
      <c r="A5206" t="str">
        <f>"20190312173033637"</f>
        <v>20190312173033637</v>
      </c>
      <c r="B5206" t="str">
        <f>"1552383033632917"</f>
        <v>1552383033632917</v>
      </c>
      <c r="C5206" t="s">
        <v>40</v>
      </c>
      <c r="D5206">
        <v>3.3588379999999902</v>
      </c>
      <c r="E5206">
        <v>0.47874519999999998</v>
      </c>
      <c r="F5206" t="s">
        <v>57</v>
      </c>
      <c r="G5206">
        <v>-361.62329999999997</v>
      </c>
      <c r="H5206" s="1">
        <v>-4.2364330000000001E-6</v>
      </c>
      <c r="I5206">
        <v>18.058800000000002</v>
      </c>
      <c r="J5206">
        <v>-386.7946</v>
      </c>
      <c r="K5206">
        <v>1.1127579999999999</v>
      </c>
      <c r="L5206">
        <v>17.448460000000001</v>
      </c>
      <c r="M5206">
        <v>0.99598220000000004</v>
      </c>
      <c r="N5206">
        <v>0</v>
      </c>
      <c r="O5206">
        <v>-8.8543689999999994E-2</v>
      </c>
      <c r="P5206">
        <v>0.98561770000000004</v>
      </c>
      <c r="Q5206">
        <v>0.16472500000000001</v>
      </c>
      <c r="R5206">
        <v>-3.7725210000000002E-2</v>
      </c>
      <c r="S5206">
        <v>3.0693969999999999</v>
      </c>
      <c r="T5206">
        <v>-0.1350152</v>
      </c>
      <c r="U5206">
        <v>7.2937009999999997E-2</v>
      </c>
      <c r="V5206">
        <v>-5.0786520000000002E-2</v>
      </c>
      <c r="W5206">
        <v>0.17759820000000001</v>
      </c>
      <c r="X5206">
        <v>0.98279170000000005</v>
      </c>
      <c r="Y5206">
        <v>-0.1119955</v>
      </c>
      <c r="Z5206">
        <v>6.3515969999999996E-3</v>
      </c>
      <c r="AA5206">
        <v>0.99368840000000003</v>
      </c>
      <c r="AB5206">
        <v>24</v>
      </c>
      <c r="AC5206">
        <v>25.171299999999999</v>
      </c>
      <c r="AD5206">
        <v>-1.1127622364330001</v>
      </c>
      <c r="AE5206">
        <v>0.61033999999999999</v>
      </c>
      <c r="AF5206">
        <v>-2.8313720166505698</v>
      </c>
      <c r="AG5206">
        <v>-1.1127622364330001</v>
      </c>
      <c r="AH5206">
        <v>24.969600479747601</v>
      </c>
      <c r="AI5206">
        <v>92.535452856016605</v>
      </c>
      <c r="AJ5206">
        <v>96.469294025805297</v>
      </c>
      <c r="AK5206">
        <v>25.154241300617901</v>
      </c>
      <c r="AL5206">
        <v>79.770106676199106</v>
      </c>
      <c r="AM5206">
        <v>92.958172368592102</v>
      </c>
      <c r="AN5206">
        <v>0.999999958422919</v>
      </c>
    </row>
    <row r="5207" spans="1:40" x14ac:dyDescent="0.25">
      <c r="A5207" t="str">
        <f>"20190312173033647"</f>
        <v>20190312173033647</v>
      </c>
      <c r="B5207" t="str">
        <f>"1552383033642677"</f>
        <v>1552383033642677</v>
      </c>
      <c r="C5207" t="s">
        <v>40</v>
      </c>
      <c r="D5207">
        <v>3.3972519999999902</v>
      </c>
      <c r="E5207">
        <v>0.47885840000000002</v>
      </c>
      <c r="F5207" t="s">
        <v>57</v>
      </c>
      <c r="G5207">
        <v>-361.77260000000001</v>
      </c>
      <c r="H5207" s="1">
        <v>-4.16316E-6</v>
      </c>
      <c r="I5207">
        <v>18.074120000000001</v>
      </c>
      <c r="J5207">
        <v>-386.6927</v>
      </c>
      <c r="K5207">
        <v>1.112757</v>
      </c>
      <c r="L5207">
        <v>17.441129999999902</v>
      </c>
      <c r="M5207">
        <v>0.99612579999999995</v>
      </c>
      <c r="N5207">
        <v>0</v>
      </c>
      <c r="O5207">
        <v>-8.6914530000000004E-2</v>
      </c>
      <c r="P5207">
        <v>0.98565809999999998</v>
      </c>
      <c r="Q5207">
        <v>0.16470839999999901</v>
      </c>
      <c r="R5207">
        <v>-3.673336E-2</v>
      </c>
      <c r="S5207">
        <v>3.0695190000000001</v>
      </c>
      <c r="T5207">
        <v>-0.1365056</v>
      </c>
      <c r="U5207">
        <v>7.6751710000000001E-2</v>
      </c>
      <c r="V5207">
        <v>-5.0166170000000003E-2</v>
      </c>
      <c r="W5207">
        <v>0.17758550000000001</v>
      </c>
      <c r="X5207">
        <v>0.98282590000000003</v>
      </c>
      <c r="Y5207">
        <v>-0.1116012</v>
      </c>
      <c r="Z5207">
        <v>6.3403399999999999E-3</v>
      </c>
      <c r="AA5207">
        <v>0.99373290000000003</v>
      </c>
      <c r="AB5207">
        <v>24</v>
      </c>
      <c r="AC5207">
        <v>24.920099999999898</v>
      </c>
      <c r="AD5207">
        <v>-1.1127611631600001</v>
      </c>
      <c r="AE5207">
        <v>0.63299000000000205</v>
      </c>
      <c r="AF5207">
        <v>-2.7911454332670802</v>
      </c>
      <c r="AG5207">
        <v>-1.1127611631600001</v>
      </c>
      <c r="AH5207">
        <v>24.721498237297901</v>
      </c>
      <c r="AI5207">
        <v>92.561001981883507</v>
      </c>
      <c r="AJ5207">
        <v>96.441619632659197</v>
      </c>
      <c r="AK5207">
        <v>24.903437620790601</v>
      </c>
      <c r="AL5207">
        <v>79.770846537364605</v>
      </c>
      <c r="AM5207">
        <v>92.922000224789102</v>
      </c>
      <c r="AN5207">
        <v>1.0000000020667601</v>
      </c>
    </row>
    <row r="5208" spans="1:40" x14ac:dyDescent="0.25">
      <c r="A5208" t="str">
        <f>"20190312173033658"</f>
        <v>20190312173033658</v>
      </c>
      <c r="B5208" t="str">
        <f>"1552383033653413"</f>
        <v>1552383033653413</v>
      </c>
      <c r="C5208" t="s">
        <v>40</v>
      </c>
      <c r="D5208">
        <v>3.4126560000000001</v>
      </c>
      <c r="E5208">
        <v>0.47901739999999998</v>
      </c>
      <c r="F5208" t="s">
        <v>57</v>
      </c>
      <c r="G5208">
        <v>-361.67630000000003</v>
      </c>
      <c r="H5208" s="1">
        <v>-4.2067760000000003E-6</v>
      </c>
      <c r="I5208">
        <v>18.08484</v>
      </c>
      <c r="J5208">
        <v>-386.57569999999998</v>
      </c>
      <c r="K5208">
        <v>1.1127549999999999</v>
      </c>
      <c r="L5208">
        <v>17.432980000000001</v>
      </c>
      <c r="M5208">
        <v>0.99628729999999999</v>
      </c>
      <c r="N5208">
        <v>0</v>
      </c>
      <c r="O5208">
        <v>-8.5043380000000002E-2</v>
      </c>
      <c r="P5208">
        <v>0.98570310000000005</v>
      </c>
      <c r="Q5208">
        <v>0.16471179999999999</v>
      </c>
      <c r="R5208">
        <v>-3.5490590000000002E-2</v>
      </c>
      <c r="S5208">
        <v>3.0693969999999999</v>
      </c>
      <c r="T5208">
        <v>-0.1365306</v>
      </c>
      <c r="U5208">
        <v>7.8979489999999999E-2</v>
      </c>
      <c r="V5208">
        <v>-4.9556839999999998E-2</v>
      </c>
      <c r="W5208">
        <v>0.177593</v>
      </c>
      <c r="X5208">
        <v>0.98285540000000005</v>
      </c>
      <c r="Y5208">
        <v>-0.1104593</v>
      </c>
      <c r="Z5208">
        <v>6.2333469999999898E-3</v>
      </c>
      <c r="AA5208">
        <v>0.99386110000000005</v>
      </c>
      <c r="AB5208">
        <v>24</v>
      </c>
      <c r="AC5208">
        <v>24.899399999999901</v>
      </c>
      <c r="AD5208">
        <v>-1.1127592067759999</v>
      </c>
      <c r="AE5208">
        <v>0.651859999999999</v>
      </c>
      <c r="AF5208">
        <v>-2.7617050450364098</v>
      </c>
      <c r="AG5208">
        <v>-1.1127592067759999</v>
      </c>
      <c r="AH5208">
        <v>24.7044318948465</v>
      </c>
      <c r="AI5208">
        <v>92.563080575699203</v>
      </c>
      <c r="AJ5208">
        <v>96.3786042060173</v>
      </c>
      <c r="AK5208">
        <v>24.883211268949001</v>
      </c>
      <c r="AL5208">
        <v>79.770409295111307</v>
      </c>
      <c r="AM5208">
        <v>92.886482828505706</v>
      </c>
      <c r="AN5208">
        <v>0.99999994567447104</v>
      </c>
    </row>
    <row r="5209" spans="1:40" x14ac:dyDescent="0.25">
      <c r="A5209" t="str">
        <f>"20190312173033670"</f>
        <v>20190312173033670</v>
      </c>
      <c r="B5209" t="str">
        <f>"1552383033663173"</f>
        <v>1552383033663173</v>
      </c>
      <c r="C5209" t="s">
        <v>40</v>
      </c>
      <c r="D5209">
        <v>3.3505919999999998</v>
      </c>
      <c r="E5209">
        <v>0.47920649999999998</v>
      </c>
      <c r="F5209" t="s">
        <v>57</v>
      </c>
      <c r="G5209">
        <v>-361.59019999999998</v>
      </c>
      <c r="H5209" s="1">
        <v>-4.2451659999999999E-6</v>
      </c>
      <c r="I5209">
        <v>18.09778</v>
      </c>
      <c r="J5209">
        <v>-386.45819999999998</v>
      </c>
      <c r="K5209">
        <v>1.112757</v>
      </c>
      <c r="L5209">
        <v>17.424990000000001</v>
      </c>
      <c r="M5209">
        <v>0.99644580000000005</v>
      </c>
      <c r="N5209">
        <v>0</v>
      </c>
      <c r="O5209">
        <v>-8.3164600000000005E-2</v>
      </c>
      <c r="P5209">
        <v>0.98575239999999997</v>
      </c>
      <c r="Q5209">
        <v>0.16467470000000001</v>
      </c>
      <c r="R5209">
        <v>-3.4268359999999998E-2</v>
      </c>
      <c r="S5209">
        <v>3.0692750000000002</v>
      </c>
      <c r="T5209">
        <v>-0.13669419999999999</v>
      </c>
      <c r="U5209">
        <v>8.1665039999999994E-2</v>
      </c>
      <c r="V5209">
        <v>-4.8919280000000002E-2</v>
      </c>
      <c r="W5209">
        <v>0.17755969999999999</v>
      </c>
      <c r="X5209">
        <v>0.98289340000000003</v>
      </c>
      <c r="Y5209">
        <v>-0.1094576</v>
      </c>
      <c r="Z5209">
        <v>6.1352790000000004E-3</v>
      </c>
      <c r="AA5209">
        <v>0.99397250000000004</v>
      </c>
      <c r="AB5209">
        <v>24</v>
      </c>
      <c r="AC5209">
        <v>24.867999999999899</v>
      </c>
      <c r="AD5209">
        <v>-1.1127612451660001</v>
      </c>
      <c r="AE5209">
        <v>0.672789999999999</v>
      </c>
      <c r="AF5209">
        <v>-2.7333129226801298</v>
      </c>
      <c r="AG5209">
        <v>-1.1127612451660001</v>
      </c>
      <c r="AH5209">
        <v>24.676507214484001</v>
      </c>
      <c r="AI5209">
        <v>92.566270317439702</v>
      </c>
      <c r="AJ5209">
        <v>96.320647094106704</v>
      </c>
      <c r="AK5209">
        <v>24.8523488915739</v>
      </c>
      <c r="AL5209">
        <v>79.772348509308102</v>
      </c>
      <c r="AM5209">
        <v>92.849299187734402</v>
      </c>
      <c r="AN5209">
        <v>0.999999989391684</v>
      </c>
    </row>
    <row r="5210" spans="1:40" x14ac:dyDescent="0.25">
      <c r="A5210" t="str">
        <f>"20190312173033680"</f>
        <v>20190312173033680</v>
      </c>
      <c r="B5210" t="str">
        <f>"1552383033672933"</f>
        <v>1552383033672933</v>
      </c>
      <c r="C5210" t="s">
        <v>40</v>
      </c>
      <c r="D5210">
        <v>3.3869050000000001</v>
      </c>
      <c r="E5210">
        <v>0.47944179999999997</v>
      </c>
      <c r="F5210" t="s">
        <v>57</v>
      </c>
      <c r="G5210">
        <v>-361.7183</v>
      </c>
      <c r="H5210" s="1">
        <v>-4.1835319999999999E-6</v>
      </c>
      <c r="I5210">
        <v>18.10389</v>
      </c>
      <c r="J5210">
        <v>-386.33510000000001</v>
      </c>
      <c r="K5210">
        <v>1.112754</v>
      </c>
      <c r="L5210">
        <v>17.416840000000001</v>
      </c>
      <c r="M5210">
        <v>0.99660820000000006</v>
      </c>
      <c r="N5210">
        <v>0</v>
      </c>
      <c r="O5210">
        <v>-8.1196299999999999E-2</v>
      </c>
      <c r="P5210">
        <v>0.98582639999999999</v>
      </c>
      <c r="Q5210">
        <v>0.16451270000000001</v>
      </c>
      <c r="R5210">
        <v>-3.2894399999999997E-2</v>
      </c>
      <c r="S5210">
        <v>3.069366</v>
      </c>
      <c r="T5210">
        <v>-0.13805529999999999</v>
      </c>
      <c r="U5210">
        <v>8.4228520000000001E-2</v>
      </c>
      <c r="V5210">
        <v>-4.8347010000000003E-2</v>
      </c>
      <c r="W5210">
        <v>0.17740159999999999</v>
      </c>
      <c r="X5210">
        <v>0.98295030000000005</v>
      </c>
      <c r="Y5210">
        <v>-0.1083223</v>
      </c>
      <c r="Z5210">
        <v>6.0822740000000004E-3</v>
      </c>
      <c r="AA5210">
        <v>0.99409720000000001</v>
      </c>
      <c r="AB5210">
        <v>24</v>
      </c>
      <c r="AC5210">
        <v>24.616800000000001</v>
      </c>
      <c r="AD5210">
        <v>-1.112758183532</v>
      </c>
      <c r="AE5210">
        <v>0.68704999999999905</v>
      </c>
      <c r="AF5210">
        <v>-2.6782849336952399</v>
      </c>
      <c r="AG5210">
        <v>-1.112758183532</v>
      </c>
      <c r="AH5210">
        <v>24.429833647491201</v>
      </c>
      <c r="AI5210">
        <v>92.592459883341505</v>
      </c>
      <c r="AJ5210">
        <v>96.256449617717294</v>
      </c>
      <c r="AK5210">
        <v>24.601386404127101</v>
      </c>
      <c r="AL5210">
        <v>79.7815534865518</v>
      </c>
      <c r="AM5210">
        <v>92.815858591598499</v>
      </c>
      <c r="AN5210">
        <v>1.0000000266642901</v>
      </c>
    </row>
    <row r="5211" spans="1:40" x14ac:dyDescent="0.25">
      <c r="A5211" t="str">
        <f>"20190312173033692"</f>
        <v>20190312173033692</v>
      </c>
      <c r="B5211" t="str">
        <f>"1552383033682693"</f>
        <v>1552383033682693</v>
      </c>
      <c r="C5211" t="s">
        <v>40</v>
      </c>
      <c r="D5211">
        <v>3.3776090000000001</v>
      </c>
      <c r="E5211">
        <v>0.47958610000000002</v>
      </c>
      <c r="F5211" t="s">
        <v>57</v>
      </c>
      <c r="G5211">
        <v>-361.96550000000002</v>
      </c>
      <c r="H5211" s="1">
        <v>-4.0664599999999997E-6</v>
      </c>
      <c r="I5211">
        <v>18.1052</v>
      </c>
      <c r="J5211">
        <v>-386.2122</v>
      </c>
      <c r="K5211">
        <v>1.112749</v>
      </c>
      <c r="L5211">
        <v>17.409029999999898</v>
      </c>
      <c r="M5211">
        <v>0.99676629999999999</v>
      </c>
      <c r="N5211">
        <v>0</v>
      </c>
      <c r="O5211">
        <v>-7.9232659999999996E-2</v>
      </c>
      <c r="P5211">
        <v>0.98589470000000001</v>
      </c>
      <c r="Q5211">
        <v>0.16436319999999999</v>
      </c>
      <c r="R5211">
        <v>-3.1569300000000002E-2</v>
      </c>
      <c r="S5211">
        <v>3.0693969999999999</v>
      </c>
      <c r="T5211">
        <v>-0.140154</v>
      </c>
      <c r="U5211">
        <v>8.6700440000000004E-2</v>
      </c>
      <c r="V5211">
        <v>-4.7730040000000001E-2</v>
      </c>
      <c r="W5211">
        <v>0.17725659999999999</v>
      </c>
      <c r="X5211">
        <v>0.98300659999999895</v>
      </c>
      <c r="Y5211">
        <v>-0.1071608</v>
      </c>
      <c r="Z5211">
        <v>6.0585989999999996E-3</v>
      </c>
      <c r="AA5211">
        <v>0.99422319999999997</v>
      </c>
      <c r="AB5211">
        <v>24</v>
      </c>
      <c r="AC5211">
        <v>24.246699999999901</v>
      </c>
      <c r="AD5211">
        <v>-1.1127530664600001</v>
      </c>
      <c r="AE5211">
        <v>0.69617000000000195</v>
      </c>
      <c r="AF5211">
        <v>-2.6097914560919699</v>
      </c>
      <c r="AG5211">
        <v>-1.1127530664600001</v>
      </c>
      <c r="AH5211">
        <v>24.064651643048801</v>
      </c>
      <c r="AI5211">
        <v>92.632068493791905</v>
      </c>
      <c r="AJ5211">
        <v>96.189489951873696</v>
      </c>
      <c r="AK5211">
        <v>24.2313162979748</v>
      </c>
      <c r="AL5211">
        <v>79.789995064713693</v>
      </c>
      <c r="AM5211">
        <v>92.779822380578295</v>
      </c>
      <c r="AN5211">
        <v>1.0000000173027599</v>
      </c>
    </row>
    <row r="5212" spans="1:40" x14ac:dyDescent="0.25">
      <c r="A5212" t="str">
        <f>"20190312173033705"</f>
        <v>20190312173033705</v>
      </c>
      <c r="B5212" t="str">
        <f>"1552383033693430"</f>
        <v>1552383033693430</v>
      </c>
      <c r="C5212" t="s">
        <v>40</v>
      </c>
      <c r="D5212">
        <v>3.3534069999999998</v>
      </c>
      <c r="E5212">
        <v>0.47976340000000001</v>
      </c>
      <c r="F5212" t="s">
        <v>57</v>
      </c>
      <c r="G5212">
        <v>-362.12090000000001</v>
      </c>
      <c r="H5212" s="1">
        <v>-3.9911029999999997E-6</v>
      </c>
      <c r="I5212">
        <v>18.115870000000001</v>
      </c>
      <c r="J5212">
        <v>-386.08409999999998</v>
      </c>
      <c r="K5212">
        <v>1.112738</v>
      </c>
      <c r="L5212">
        <v>17.401</v>
      </c>
      <c r="M5212">
        <v>0.99692709999999995</v>
      </c>
      <c r="N5212">
        <v>0</v>
      </c>
      <c r="O5212">
        <v>-7.7184610000000001E-2</v>
      </c>
      <c r="P5212">
        <v>0.98592340000000001</v>
      </c>
      <c r="Q5212">
        <v>0.1644659</v>
      </c>
      <c r="R5212">
        <v>-3.0108429999999999E-2</v>
      </c>
      <c r="S5212">
        <v>3.0694270000000001</v>
      </c>
      <c r="T5212">
        <v>-0.1417735</v>
      </c>
      <c r="U5212">
        <v>9.0057369999999998E-2</v>
      </c>
      <c r="V5212">
        <v>-4.7163360000000001E-2</v>
      </c>
      <c r="W5212">
        <v>0.17736209999999999</v>
      </c>
      <c r="X5212">
        <v>0.98301490000000002</v>
      </c>
      <c r="Y5212">
        <v>-0.10620300000000001</v>
      </c>
      <c r="Z5212">
        <v>6.0119379999999997E-3</v>
      </c>
      <c r="AA5212">
        <v>0.9943263</v>
      </c>
      <c r="AB5212">
        <v>24</v>
      </c>
      <c r="AC5212">
        <v>23.963199999999901</v>
      </c>
      <c r="AD5212">
        <v>-1.1127419911030001</v>
      </c>
      <c r="AE5212">
        <v>0.714870000000001</v>
      </c>
      <c r="AF5212">
        <v>-2.5569841414807799</v>
      </c>
      <c r="AG5212">
        <v>-1.1127419911030001</v>
      </c>
      <c r="AH5212">
        <v>23.785277284681101</v>
      </c>
      <c r="AI5212">
        <v>92.663181826815205</v>
      </c>
      <c r="AJ5212">
        <v>96.135892494222603</v>
      </c>
      <c r="AK5212">
        <v>23.948189454481</v>
      </c>
      <c r="AL5212">
        <v>79.783852813879804</v>
      </c>
      <c r="AM5212">
        <v>92.746846335711396</v>
      </c>
      <c r="AN5212">
        <v>0.99999999533245398</v>
      </c>
    </row>
    <row r="5213" spans="1:40" x14ac:dyDescent="0.25">
      <c r="A5213" t="str">
        <f>"20190312173033716"</f>
        <v>20190312173033716</v>
      </c>
      <c r="B5213" t="str">
        <f>"1552383033712949"</f>
        <v>1552383033712949</v>
      </c>
      <c r="C5213" t="s">
        <v>40</v>
      </c>
      <c r="D5213">
        <v>3.3679809999999999</v>
      </c>
      <c r="E5213">
        <v>0.48005999999999999</v>
      </c>
      <c r="F5213" t="s">
        <v>57</v>
      </c>
      <c r="G5213">
        <v>-362.18090000000001</v>
      </c>
      <c r="H5213" s="1">
        <v>-3.9604399999999996E-6</v>
      </c>
      <c r="I5213">
        <v>18.128679999999999</v>
      </c>
      <c r="J5213">
        <v>-385.95650000000001</v>
      </c>
      <c r="K5213">
        <v>1.1127339999999999</v>
      </c>
      <c r="L5213">
        <v>17.3934</v>
      </c>
      <c r="M5213">
        <v>0.99708280000000005</v>
      </c>
      <c r="N5213">
        <v>0</v>
      </c>
      <c r="O5213">
        <v>-7.5144680000000005E-2</v>
      </c>
      <c r="P5213">
        <v>0.98600169999999998</v>
      </c>
      <c r="Q5213">
        <v>0.16421820000000001</v>
      </c>
      <c r="R5213">
        <v>-2.8866699999999999E-2</v>
      </c>
      <c r="S5213">
        <v>3.0695190000000001</v>
      </c>
      <c r="T5213">
        <v>-0.14289250000000001</v>
      </c>
      <c r="U5213">
        <v>9.3444819999999998E-2</v>
      </c>
      <c r="V5213">
        <v>-4.6388230000000003E-2</v>
      </c>
      <c r="W5213">
        <v>0.17711950000000001</v>
      </c>
      <c r="X5213">
        <v>0.98309550000000001</v>
      </c>
      <c r="Y5213">
        <v>-0.1052641</v>
      </c>
      <c r="Z5213">
        <v>5.9425149999999998E-3</v>
      </c>
      <c r="AA5213">
        <v>0.99442649999999999</v>
      </c>
      <c r="AB5213">
        <v>24</v>
      </c>
      <c r="AC5213">
        <v>23.775600000000001</v>
      </c>
      <c r="AD5213">
        <v>-1.1127379604400001</v>
      </c>
      <c r="AE5213">
        <v>0.73527999999999905</v>
      </c>
      <c r="AF5213">
        <v>-2.51446823177921</v>
      </c>
      <c r="AG5213">
        <v>-1.1127379604400001</v>
      </c>
      <c r="AH5213">
        <v>23.601461288258399</v>
      </c>
      <c r="AI5213">
        <v>92.684157059226706</v>
      </c>
      <c r="AJ5213">
        <v>96.081276736264002</v>
      </c>
      <c r="AK5213">
        <v>23.761096590822401</v>
      </c>
      <c r="AL5213">
        <v>79.797976157594803</v>
      </c>
      <c r="AM5213">
        <v>92.701548175926803</v>
      </c>
      <c r="AN5213">
        <v>0.99999997364151605</v>
      </c>
    </row>
    <row r="5214" spans="1:40" x14ac:dyDescent="0.25">
      <c r="A5214" t="str">
        <f>"20190312173033727"</f>
        <v>20190312173033727</v>
      </c>
      <c r="B5214" t="str">
        <f>"1552383033722710"</f>
        <v>1552383033722710</v>
      </c>
      <c r="C5214" t="s">
        <v>40</v>
      </c>
      <c r="D5214">
        <v>3.3755069999999998</v>
      </c>
      <c r="E5214">
        <v>0.48025299999999999</v>
      </c>
      <c r="F5214" t="s">
        <v>57</v>
      </c>
      <c r="G5214">
        <v>-362.50049999999999</v>
      </c>
      <c r="H5214" s="1">
        <v>-3.8106629999999998E-6</v>
      </c>
      <c r="I5214">
        <v>18.12144</v>
      </c>
      <c r="J5214">
        <v>-385.84359999999998</v>
      </c>
      <c r="K5214">
        <v>1.1127279999999999</v>
      </c>
      <c r="L5214">
        <v>17.386839999999999</v>
      </c>
      <c r="M5214">
        <v>0.99721700000000002</v>
      </c>
      <c r="N5214">
        <v>0</v>
      </c>
      <c r="O5214">
        <v>-7.3343630000000007E-2</v>
      </c>
      <c r="P5214">
        <v>0.98605129999999996</v>
      </c>
      <c r="Q5214">
        <v>0.1641164</v>
      </c>
      <c r="R5214">
        <v>-2.7730729999999999E-2</v>
      </c>
      <c r="S5214">
        <v>3.0695800000000002</v>
      </c>
      <c r="T5214">
        <v>-0.14561930000000001</v>
      </c>
      <c r="U5214">
        <v>9.5275879999999993E-2</v>
      </c>
      <c r="V5214">
        <v>-4.5742600000000001E-2</v>
      </c>
      <c r="W5214">
        <v>0.17702190000000001</v>
      </c>
      <c r="X5214">
        <v>0.98314330000000005</v>
      </c>
      <c r="Y5214">
        <v>-0.1040558</v>
      </c>
      <c r="Z5214">
        <v>5.9417430000000002E-3</v>
      </c>
      <c r="AA5214">
        <v>0.99455369999999998</v>
      </c>
      <c r="AB5214">
        <v>24</v>
      </c>
      <c r="AC5214">
        <v>23.3431</v>
      </c>
      <c r="AD5214">
        <v>-1.112731810663</v>
      </c>
      <c r="AE5214">
        <v>0.73460000000000003</v>
      </c>
      <c r="AF5214">
        <v>-2.4393047539105002</v>
      </c>
      <c r="AG5214">
        <v>-1.112731810663</v>
      </c>
      <c r="AH5214">
        <v>23.1737310242506</v>
      </c>
      <c r="AI5214">
        <v>92.733975521319607</v>
      </c>
      <c r="AJ5214">
        <v>96.008919504812297</v>
      </c>
      <c r="AK5214">
        <v>23.328313041221499</v>
      </c>
      <c r="AL5214">
        <v>79.803657698401906</v>
      </c>
      <c r="AM5214">
        <v>92.663873321236593</v>
      </c>
      <c r="AN5214">
        <v>0.99999994343462795</v>
      </c>
    </row>
    <row r="5215" spans="1:40" x14ac:dyDescent="0.25">
      <c r="A5215" t="str">
        <f>"20190312173033748"</f>
        <v>20190312173033748</v>
      </c>
      <c r="B5215" t="str">
        <f>"1552383033743205"</f>
        <v>1552383033743205</v>
      </c>
      <c r="C5215" t="s">
        <v>40</v>
      </c>
      <c r="D5215">
        <v>3.381497</v>
      </c>
      <c r="E5215">
        <v>0.48031030000000002</v>
      </c>
      <c r="F5215" t="s">
        <v>57</v>
      </c>
      <c r="G5215">
        <v>-362.6422</v>
      </c>
      <c r="H5215" s="1">
        <v>-3.7431869999999999E-6</v>
      </c>
      <c r="I5215">
        <v>18.12425</v>
      </c>
      <c r="J5215">
        <v>-385.62819999999999</v>
      </c>
      <c r="K5215">
        <v>1.112717</v>
      </c>
      <c r="L5215">
        <v>17.37491</v>
      </c>
      <c r="M5215">
        <v>0.99746349999999995</v>
      </c>
      <c r="N5215">
        <v>0</v>
      </c>
      <c r="O5215">
        <v>-6.9909860000000004E-2</v>
      </c>
      <c r="P5215">
        <v>0.98619659999999998</v>
      </c>
      <c r="Q5215">
        <v>0.16352159999999999</v>
      </c>
      <c r="R5215">
        <v>-2.6016190000000002E-2</v>
      </c>
      <c r="S5215">
        <v>3.0697329999999998</v>
      </c>
      <c r="T5215">
        <v>-0.14722349999999901</v>
      </c>
      <c r="U5215">
        <v>9.7564700000000004E-2</v>
      </c>
      <c r="V5215">
        <v>-4.4063289999999998E-2</v>
      </c>
      <c r="W5215">
        <v>0.1764395</v>
      </c>
      <c r="X5215">
        <v>0.9833248</v>
      </c>
      <c r="Y5215">
        <v>-0.1013732</v>
      </c>
      <c r="Z5215">
        <v>5.7781689999999997E-3</v>
      </c>
      <c r="AA5215">
        <v>0.99483169999999999</v>
      </c>
      <c r="AB5215">
        <v>24</v>
      </c>
      <c r="AC5215">
        <v>22.985999999999901</v>
      </c>
      <c r="AD5215">
        <v>-1.1127207431870001</v>
      </c>
      <c r="AE5215">
        <v>0.74934000000000001</v>
      </c>
      <c r="AF5215">
        <v>-2.3490992719645201</v>
      </c>
      <c r="AG5215">
        <v>-1.1127207431870001</v>
      </c>
      <c r="AH5215">
        <v>22.823930692308998</v>
      </c>
      <c r="AI5215">
        <v>92.776451527088298</v>
      </c>
      <c r="AJ5215">
        <v>95.876341853379699</v>
      </c>
      <c r="AK5215">
        <v>22.971465497202999</v>
      </c>
      <c r="AL5215">
        <v>79.837561681121898</v>
      </c>
      <c r="AM5215">
        <v>92.565736947065105</v>
      </c>
      <c r="AN5215">
        <v>1.00000006649045</v>
      </c>
    </row>
    <row r="5216" spans="1:40" x14ac:dyDescent="0.25">
      <c r="A5216" t="str">
        <f>"20190312173033758"</f>
        <v>20190312173033758</v>
      </c>
      <c r="B5216" t="str">
        <f>"1552383033752965"</f>
        <v>1552383033752965</v>
      </c>
      <c r="C5216" t="s">
        <v>40</v>
      </c>
      <c r="D5216">
        <v>3.3844280000000002</v>
      </c>
      <c r="E5216">
        <v>0.48070210000000002</v>
      </c>
      <c r="F5216" t="s">
        <v>57</v>
      </c>
      <c r="G5216">
        <v>-362.66269999999997</v>
      </c>
      <c r="H5216" s="1">
        <v>-3.729666E-6</v>
      </c>
      <c r="I5216">
        <v>18.146000000000001</v>
      </c>
      <c r="J5216">
        <v>-385.50779999999997</v>
      </c>
      <c r="K5216">
        <v>1.112708</v>
      </c>
      <c r="L5216">
        <v>17.368559999999999</v>
      </c>
      <c r="M5216">
        <v>0.99759600000000004</v>
      </c>
      <c r="N5216">
        <v>0</v>
      </c>
      <c r="O5216">
        <v>-6.7993919999999999E-2</v>
      </c>
      <c r="P5216">
        <v>0.98620430000000003</v>
      </c>
      <c r="Q5216">
        <v>0.16359409999999999</v>
      </c>
      <c r="R5216">
        <v>-2.526755E-2</v>
      </c>
      <c r="S5216">
        <v>3.0693969999999999</v>
      </c>
      <c r="T5216">
        <v>-0.1487174</v>
      </c>
      <c r="U5216">
        <v>0.10305789999999999</v>
      </c>
      <c r="V5216">
        <v>-4.2915269999999998E-2</v>
      </c>
      <c r="W5216">
        <v>0.176518799999999</v>
      </c>
      <c r="X5216">
        <v>0.98336129999999999</v>
      </c>
      <c r="Y5216">
        <v>-0.1012427</v>
      </c>
      <c r="Z5216">
        <v>5.7414509999999998E-3</v>
      </c>
      <c r="AA5216">
        <v>0.99484519999999999</v>
      </c>
      <c r="AB5216">
        <v>24</v>
      </c>
      <c r="AC5216">
        <v>22.845099999999999</v>
      </c>
      <c r="AD5216">
        <v>-1.1127117296660001</v>
      </c>
      <c r="AE5216">
        <v>0.77743999999999802</v>
      </c>
      <c r="AF5216">
        <v>-2.32360143101657</v>
      </c>
      <c r="AG5216">
        <v>-1.1127117296660001</v>
      </c>
      <c r="AH5216">
        <v>22.685599010619899</v>
      </c>
      <c r="AI5216">
        <v>92.793473034356893</v>
      </c>
      <c r="AJ5216">
        <v>95.848198815201599</v>
      </c>
      <c r="AK5216">
        <v>22.831418122276101</v>
      </c>
      <c r="AL5216">
        <v>79.8329452666447</v>
      </c>
      <c r="AM5216">
        <v>92.498882761677606</v>
      </c>
      <c r="AN5216">
        <v>1.0000000267451501</v>
      </c>
    </row>
    <row r="5217" spans="1:40" x14ac:dyDescent="0.25">
      <c r="A5217" t="str">
        <f>"20190312173033770"</f>
        <v>20190312173033770</v>
      </c>
      <c r="B5217" t="str">
        <f>"1552383033762725"</f>
        <v>1552383033762725</v>
      </c>
      <c r="C5217" t="s">
        <v>40</v>
      </c>
      <c r="D5217">
        <v>3.4070459999999998</v>
      </c>
      <c r="E5217">
        <v>0.4808733</v>
      </c>
      <c r="F5217" t="s">
        <v>57</v>
      </c>
      <c r="G5217">
        <v>-362.76429999999999</v>
      </c>
      <c r="H5217" s="1">
        <v>-3.6844759999999998E-6</v>
      </c>
      <c r="I5217">
        <v>18.129899999999999</v>
      </c>
      <c r="J5217">
        <v>-385.3888</v>
      </c>
      <c r="K5217">
        <v>1.112698</v>
      </c>
      <c r="L5217">
        <v>17.362549999999999</v>
      </c>
      <c r="M5217">
        <v>0.99772280000000002</v>
      </c>
      <c r="N5217">
        <v>0</v>
      </c>
      <c r="O5217">
        <v>-6.6107559999999996E-2</v>
      </c>
      <c r="P5217">
        <v>0.98622889999999996</v>
      </c>
      <c r="Q5217">
        <v>0.16358610000000001</v>
      </c>
      <c r="R5217">
        <v>-2.4338820000000001E-2</v>
      </c>
      <c r="S5217">
        <v>3.0695190000000001</v>
      </c>
      <c r="T5217">
        <v>-0.15017449999999999</v>
      </c>
      <c r="U5217">
        <v>0.1027527</v>
      </c>
      <c r="V5217">
        <v>-4.1976520000000003E-2</v>
      </c>
      <c r="W5217">
        <v>0.17651739999999999</v>
      </c>
      <c r="X5217">
        <v>0.98340209999999995</v>
      </c>
      <c r="Y5217">
        <v>-9.9262100000000006E-2</v>
      </c>
      <c r="Z5217">
        <v>5.6568929999999996E-3</v>
      </c>
      <c r="AA5217">
        <v>0.99504519999999996</v>
      </c>
      <c r="AB5217">
        <v>24</v>
      </c>
      <c r="AC5217">
        <v>22.624500000000001</v>
      </c>
      <c r="AD5217">
        <v>-1.112701684476</v>
      </c>
      <c r="AE5217">
        <v>0.76734999999999998</v>
      </c>
      <c r="AF5217">
        <v>-2.2560049475344202</v>
      </c>
      <c r="AG5217">
        <v>-1.112701684476</v>
      </c>
      <c r="AH5217">
        <v>22.469980037909501</v>
      </c>
      <c r="AI5217">
        <v>92.820782867282205</v>
      </c>
      <c r="AJ5217">
        <v>95.733331477899299</v>
      </c>
      <c r="AK5217">
        <v>22.6103442314792</v>
      </c>
      <c r="AL5217">
        <v>79.833027055950296</v>
      </c>
      <c r="AM5217">
        <v>92.444186704727699</v>
      </c>
      <c r="AN5217">
        <v>1.0000000555092301</v>
      </c>
    </row>
    <row r="5218" spans="1:40" x14ac:dyDescent="0.25">
      <c r="A5218" t="str">
        <f>"20190312173033782"</f>
        <v>20190312173033782</v>
      </c>
      <c r="B5218" t="str">
        <f>"1552383033773461"</f>
        <v>1552383033773461</v>
      </c>
      <c r="C5218" t="s">
        <v>40</v>
      </c>
      <c r="D5218">
        <v>3.4205619999999999</v>
      </c>
      <c r="E5218">
        <v>0.48100670000000001</v>
      </c>
      <c r="F5218" t="s">
        <v>57</v>
      </c>
      <c r="G5218">
        <v>-362.76229999999998</v>
      </c>
      <c r="H5218" s="1">
        <v>-3.6843349999999999E-6</v>
      </c>
      <c r="I5218">
        <v>18.135960000000001</v>
      </c>
      <c r="J5218">
        <v>-385.25569999999999</v>
      </c>
      <c r="K5218">
        <v>1.112687</v>
      </c>
      <c r="L5218">
        <v>17.35596</v>
      </c>
      <c r="M5218">
        <v>0.99785999999999997</v>
      </c>
      <c r="N5218">
        <v>0</v>
      </c>
      <c r="O5218">
        <v>-6.4002599999999896E-2</v>
      </c>
      <c r="P5218">
        <v>0.98626360000000002</v>
      </c>
      <c r="Q5218">
        <v>0.16351640000000001</v>
      </c>
      <c r="R5218">
        <v>-2.338579E-2</v>
      </c>
      <c r="S5218">
        <v>3.0694889999999999</v>
      </c>
      <c r="T5218">
        <v>-0.15094830000000001</v>
      </c>
      <c r="U5218">
        <v>0.1049194</v>
      </c>
      <c r="V5218">
        <v>-4.0845920000000001E-2</v>
      </c>
      <c r="W5218">
        <v>0.176455</v>
      </c>
      <c r="X5218">
        <v>0.98346080000000002</v>
      </c>
      <c r="Y5218">
        <v>-9.7866969999999998E-2</v>
      </c>
      <c r="Z5218">
        <v>5.5484159999999996E-3</v>
      </c>
      <c r="AA5218">
        <v>0.99518410000000002</v>
      </c>
      <c r="AB5218">
        <v>24</v>
      </c>
      <c r="AC5218">
        <v>22.493400000000001</v>
      </c>
      <c r="AD5218">
        <v>-1.112690684335</v>
      </c>
      <c r="AE5218">
        <v>0.78000000000000103</v>
      </c>
      <c r="AF5218">
        <v>-2.2127573418436302</v>
      </c>
      <c r="AG5218">
        <v>-1.112690684335</v>
      </c>
      <c r="AH5218">
        <v>22.342740114573001</v>
      </c>
      <c r="AI5218">
        <v>92.837174227269202</v>
      </c>
      <c r="AJ5218">
        <v>95.655956853221596</v>
      </c>
      <c r="AK5218">
        <v>22.479599895021199</v>
      </c>
      <c r="AL5218">
        <v>79.836658250919001</v>
      </c>
      <c r="AM5218">
        <v>92.378289570490196</v>
      </c>
      <c r="AN5218">
        <v>0.999999950671142</v>
      </c>
    </row>
    <row r="5219" spans="1:40" x14ac:dyDescent="0.25">
      <c r="A5219" t="str">
        <f>"20190312173033805"</f>
        <v>20190312173033805</v>
      </c>
      <c r="B5219" t="str">
        <f>"1552383033792981"</f>
        <v>1552383033792981</v>
      </c>
      <c r="C5219" t="s">
        <v>40</v>
      </c>
      <c r="D5219">
        <v>3.4373999999999998</v>
      </c>
      <c r="E5219">
        <v>0.48131420000000003</v>
      </c>
      <c r="F5219" t="s">
        <v>57</v>
      </c>
      <c r="G5219">
        <v>-362.68349999999998</v>
      </c>
      <c r="H5219" s="1">
        <v>-3.7199959999999998E-6</v>
      </c>
      <c r="I5219">
        <v>18.145029999999998</v>
      </c>
      <c r="J5219">
        <v>-385.01920000000001</v>
      </c>
      <c r="K5219">
        <v>1.11267</v>
      </c>
      <c r="L5219">
        <v>17.345089999999999</v>
      </c>
      <c r="M5219">
        <v>0.99809139999999996</v>
      </c>
      <c r="N5219">
        <v>0</v>
      </c>
      <c r="O5219">
        <v>-6.0287769999999997E-2</v>
      </c>
      <c r="P5219">
        <v>0.98635249999999997</v>
      </c>
      <c r="Q5219">
        <v>0.16315859999999999</v>
      </c>
      <c r="R5219">
        <v>-2.2097249999999999E-2</v>
      </c>
      <c r="S5219">
        <v>3.0694270000000001</v>
      </c>
      <c r="T5219">
        <v>-0.1513062</v>
      </c>
      <c r="U5219">
        <v>0.1072998</v>
      </c>
      <c r="V5219">
        <v>-3.8455139999999999E-2</v>
      </c>
      <c r="W5219">
        <v>0.17611280000000001</v>
      </c>
      <c r="X5219">
        <v>0.98361860000000001</v>
      </c>
      <c r="Y5219">
        <v>-9.4940750000000004E-2</v>
      </c>
      <c r="Z5219">
        <v>5.3067469999999997E-3</v>
      </c>
      <c r="AA5219">
        <v>0.99546880000000004</v>
      </c>
      <c r="AB5219">
        <v>24</v>
      </c>
      <c r="AC5219">
        <v>22.335699999999999</v>
      </c>
      <c r="AD5219">
        <v>-1.112673719996</v>
      </c>
      <c r="AE5219">
        <v>0.79993999999999899</v>
      </c>
      <c r="AF5219">
        <v>-2.1398711588940702</v>
      </c>
      <c r="AG5219">
        <v>-1.112673719996</v>
      </c>
      <c r="AH5219">
        <v>22.191832715016599</v>
      </c>
      <c r="AI5219">
        <v>92.8571129223497</v>
      </c>
      <c r="AJ5219">
        <v>95.507778405834799</v>
      </c>
      <c r="AK5219">
        <v>22.3225117456597</v>
      </c>
      <c r="AL5219">
        <v>79.856577650858895</v>
      </c>
      <c r="AM5219">
        <v>92.238871537159895</v>
      </c>
      <c r="AN5219">
        <v>1.0000000331911001</v>
      </c>
    </row>
    <row r="5220" spans="1:40" x14ac:dyDescent="0.25">
      <c r="A5220" t="str">
        <f>"20190312173033817"</f>
        <v>20190312173033817</v>
      </c>
      <c r="B5220" t="str">
        <f>"1552383033813476"</f>
        <v>1552383033813476</v>
      </c>
      <c r="C5220" t="s">
        <v>40</v>
      </c>
      <c r="D5220">
        <v>3.4363899999999998</v>
      </c>
      <c r="E5220">
        <v>0.48147600000000002</v>
      </c>
      <c r="F5220" t="s">
        <v>57</v>
      </c>
      <c r="G5220">
        <v>-362.63670000000002</v>
      </c>
      <c r="H5220" s="1">
        <v>-3.74254E-6</v>
      </c>
      <c r="I5220">
        <v>18.142520000000001</v>
      </c>
      <c r="J5220">
        <v>-384.87310000000002</v>
      </c>
      <c r="K5220">
        <v>1.112649</v>
      </c>
      <c r="L5220">
        <v>17.338840000000001</v>
      </c>
      <c r="M5220">
        <v>0.9982259</v>
      </c>
      <c r="N5220">
        <v>0</v>
      </c>
      <c r="O5220">
        <v>-5.8018750000000001E-2</v>
      </c>
      <c r="P5220">
        <v>0.98639849999999996</v>
      </c>
      <c r="Q5220">
        <v>0.16301489999999999</v>
      </c>
      <c r="R5220">
        <v>-2.1076270000000001E-2</v>
      </c>
      <c r="S5220">
        <v>3.0691220000000001</v>
      </c>
      <c r="T5220">
        <v>-0.15257190000000001</v>
      </c>
      <c r="U5220">
        <v>0.1093445</v>
      </c>
      <c r="V5220">
        <v>-3.7225759999999997E-2</v>
      </c>
      <c r="W5220">
        <v>0.17597760000000001</v>
      </c>
      <c r="X5220">
        <v>0.98369010000000001</v>
      </c>
      <c r="Y5220">
        <v>-9.3345139999999993E-2</v>
      </c>
      <c r="Z5220">
        <v>5.1993339999999999E-3</v>
      </c>
      <c r="AA5220">
        <v>0.99562030000000001</v>
      </c>
      <c r="AB5220">
        <v>24</v>
      </c>
      <c r="AC5220">
        <v>22.2364</v>
      </c>
      <c r="AD5220">
        <v>-1.1126527425399999</v>
      </c>
      <c r="AE5220">
        <v>0.80367999999999995</v>
      </c>
      <c r="AF5220">
        <v>-2.08735011143904</v>
      </c>
      <c r="AG5220">
        <v>-1.1126527425399999</v>
      </c>
      <c r="AH5220">
        <v>22.097050021487799</v>
      </c>
      <c r="AI5220">
        <v>92.869825679684396</v>
      </c>
      <c r="AJ5220">
        <v>95.396309263638202</v>
      </c>
      <c r="AK5220">
        <v>22.223290626397802</v>
      </c>
      <c r="AL5220">
        <v>79.864447041090898</v>
      </c>
      <c r="AM5220">
        <v>92.167208608062396</v>
      </c>
      <c r="AN5220">
        <v>1.0000000428736699</v>
      </c>
    </row>
    <row r="5221" spans="1:40" x14ac:dyDescent="0.25">
      <c r="A5221" t="str">
        <f>"20190312173033836"</f>
        <v>20190312173033836</v>
      </c>
      <c r="B5221" t="str">
        <f>"1552383033832997"</f>
        <v>1552383033832997</v>
      </c>
      <c r="C5221" t="s">
        <v>40</v>
      </c>
      <c r="D5221">
        <v>3.408595</v>
      </c>
      <c r="E5221">
        <v>0.48750650000000001</v>
      </c>
      <c r="F5221" t="s">
        <v>57</v>
      </c>
      <c r="G5221">
        <v>-362.58980000000003</v>
      </c>
      <c r="H5221" s="1">
        <v>-3.7639219999999998E-6</v>
      </c>
      <c r="I5221">
        <v>18.14715</v>
      </c>
      <c r="J5221">
        <v>-384.67410000000001</v>
      </c>
      <c r="K5221">
        <v>1.112625</v>
      </c>
      <c r="L5221">
        <v>17.330779999999901</v>
      </c>
      <c r="M5221">
        <v>0.99839960000000005</v>
      </c>
      <c r="N5221">
        <v>0</v>
      </c>
      <c r="O5221">
        <v>-5.4948520000000001E-2</v>
      </c>
      <c r="P5221">
        <v>0.98645130000000003</v>
      </c>
      <c r="Q5221">
        <v>0.1627989</v>
      </c>
      <c r="R5221">
        <v>-2.0258959999999999E-2</v>
      </c>
      <c r="S5221">
        <v>3.069061</v>
      </c>
      <c r="T5221">
        <v>-0.15324409999999999</v>
      </c>
      <c r="U5221">
        <v>0.1113281</v>
      </c>
      <c r="V5221">
        <v>-3.499845E-2</v>
      </c>
      <c r="W5221">
        <v>0.17577619999999999</v>
      </c>
      <c r="X5221">
        <v>0.98380780000000001</v>
      </c>
      <c r="Y5221">
        <v>-9.093147E-2</v>
      </c>
      <c r="Z5221">
        <v>5.0090029999999997E-3</v>
      </c>
      <c r="AA5221">
        <v>0.99584450000000002</v>
      </c>
      <c r="AB5221">
        <v>24</v>
      </c>
      <c r="AC5221">
        <v>22.084299999999899</v>
      </c>
      <c r="AD5221">
        <v>-1.1126287639219901</v>
      </c>
      <c r="AE5221">
        <v>0.81637000000000204</v>
      </c>
      <c r="AF5221">
        <v>-2.02361514109647</v>
      </c>
      <c r="AG5221">
        <v>-1.1126287639219901</v>
      </c>
      <c r="AH5221">
        <v>21.9504269825614</v>
      </c>
      <c r="AI5221">
        <v>92.889507295406503</v>
      </c>
      <c r="AJ5221">
        <v>95.267223244488605</v>
      </c>
      <c r="AK5221">
        <v>22.071570078323401</v>
      </c>
      <c r="AL5221">
        <v>79.876168445010705</v>
      </c>
      <c r="AM5221">
        <v>92.037408323203394</v>
      </c>
      <c r="AN5221">
        <v>0.99999997566484</v>
      </c>
    </row>
    <row r="5222" spans="1:40" x14ac:dyDescent="0.25">
      <c r="A5222" t="str">
        <f>"20190312173033848"</f>
        <v>20190312173033848</v>
      </c>
      <c r="B5222" t="str">
        <f>"1552383033842757"</f>
        <v>1552383033842757</v>
      </c>
      <c r="C5222" t="s">
        <v>40</v>
      </c>
      <c r="D5222">
        <v>3.4179270000000002</v>
      </c>
      <c r="E5222">
        <v>0.48746460000000003</v>
      </c>
      <c r="F5222" t="s">
        <v>57</v>
      </c>
      <c r="G5222">
        <v>-363.37009999999998</v>
      </c>
      <c r="H5222" s="1">
        <v>-3.458268E-6</v>
      </c>
      <c r="I5222">
        <v>17.790689999999898</v>
      </c>
      <c r="J5222">
        <v>-384.55430000000001</v>
      </c>
      <c r="K5222">
        <v>1.1126069999999999</v>
      </c>
      <c r="L5222">
        <v>17.326170000000001</v>
      </c>
      <c r="M5222">
        <v>0.99849880000000002</v>
      </c>
      <c r="N5222">
        <v>0</v>
      </c>
      <c r="O5222">
        <v>-5.311519E-2</v>
      </c>
      <c r="P5222">
        <v>0.98649149999999997</v>
      </c>
      <c r="Q5222">
        <v>0.16263620000000001</v>
      </c>
      <c r="R5222">
        <v>-1.959603E-2</v>
      </c>
      <c r="S5222">
        <v>3.0690309999999998</v>
      </c>
      <c r="T5222">
        <v>-0.1602838</v>
      </c>
      <c r="U5222">
        <v>6.6253660000000006E-2</v>
      </c>
      <c r="V5222">
        <v>-3.3842999999999998E-2</v>
      </c>
      <c r="W5222">
        <v>0.1756209</v>
      </c>
      <c r="X5222">
        <v>0.98387599999999997</v>
      </c>
      <c r="Y5222">
        <v>-7.4486049999999998E-2</v>
      </c>
      <c r="Z5222">
        <v>4.7149699999999998E-3</v>
      </c>
      <c r="AA5222">
        <v>0.99721090000000001</v>
      </c>
      <c r="AB5222">
        <v>24</v>
      </c>
      <c r="AC5222">
        <v>21.184200000000001</v>
      </c>
      <c r="AD5222">
        <v>-1.1126104582680001</v>
      </c>
      <c r="AE5222">
        <v>0.46451999999999599</v>
      </c>
      <c r="AF5222">
        <v>-1.58479819057103</v>
      </c>
      <c r="AG5222">
        <v>-1.1126104582680001</v>
      </c>
      <c r="AH5222">
        <v>21.071519182775202</v>
      </c>
      <c r="AI5222">
        <v>93.014006688251996</v>
      </c>
      <c r="AJ5222">
        <v>94.301142916771596</v>
      </c>
      <c r="AK5222">
        <v>21.1603026444979</v>
      </c>
      <c r="AL5222">
        <v>79.885207499785295</v>
      </c>
      <c r="AM5222">
        <v>91.970062126657794</v>
      </c>
      <c r="AN5222">
        <v>1.0000000162709</v>
      </c>
    </row>
    <row r="5223" spans="1:40" x14ac:dyDescent="0.25">
      <c r="A5223" t="str">
        <f>"20190312173033859"</f>
        <v>20190312173033859</v>
      </c>
      <c r="B5223" t="str">
        <f>"1552383033852518"</f>
        <v>1552383033852518</v>
      </c>
      <c r="C5223" t="s">
        <v>40</v>
      </c>
      <c r="D5223">
        <v>3.4176540000000002</v>
      </c>
      <c r="E5223">
        <v>0.4875873</v>
      </c>
      <c r="F5223" t="s">
        <v>57</v>
      </c>
      <c r="G5223">
        <v>-363.4511</v>
      </c>
      <c r="H5223" s="1">
        <v>-3.4186129999999999E-6</v>
      </c>
      <c r="I5223">
        <v>17.798310000000001</v>
      </c>
      <c r="J5223">
        <v>-384.43079999999998</v>
      </c>
      <c r="K5223">
        <v>1.1125849999999999</v>
      </c>
      <c r="L5223">
        <v>17.321660000000001</v>
      </c>
      <c r="M5223">
        <v>0.99859690000000001</v>
      </c>
      <c r="N5223">
        <v>0</v>
      </c>
      <c r="O5223">
        <v>-5.1237400000000002E-2</v>
      </c>
      <c r="P5223">
        <v>0.98646630000000002</v>
      </c>
      <c r="Q5223">
        <v>0.16287090000000001</v>
      </c>
      <c r="R5223">
        <v>-1.8900429999999999E-2</v>
      </c>
      <c r="S5223">
        <v>3.069153</v>
      </c>
      <c r="T5223">
        <v>-0.16181309999999999</v>
      </c>
      <c r="U5223">
        <v>6.8664550000000005E-2</v>
      </c>
      <c r="V5223">
        <v>-3.2674790000000002E-2</v>
      </c>
      <c r="W5223">
        <v>0.17586170000000001</v>
      </c>
      <c r="X5223">
        <v>0.98387250000000004</v>
      </c>
      <c r="Y5223">
        <v>-7.3393639999999996E-2</v>
      </c>
      <c r="Z5223">
        <v>4.6320490000000001E-3</v>
      </c>
      <c r="AA5223">
        <v>0.99729230000000002</v>
      </c>
      <c r="AB5223">
        <v>24</v>
      </c>
      <c r="AC5223">
        <v>20.979699999999902</v>
      </c>
      <c r="AD5223">
        <v>-1.112588418613</v>
      </c>
      <c r="AE5223">
        <v>0.47664999999999902</v>
      </c>
      <c r="AF5223">
        <v>-1.54671761016474</v>
      </c>
      <c r="AG5223">
        <v>-1.112588418613</v>
      </c>
      <c r="AH5223">
        <v>20.869052816324999</v>
      </c>
      <c r="AI5223">
        <v>93.043379937976496</v>
      </c>
      <c r="AJ5223">
        <v>94.238748069246</v>
      </c>
      <c r="AK5223">
        <v>20.955847723377499</v>
      </c>
      <c r="AL5223">
        <v>79.871192773830302</v>
      </c>
      <c r="AM5223">
        <v>91.902116121088099</v>
      </c>
      <c r="AN5223">
        <v>1.0000000378423399</v>
      </c>
    </row>
    <row r="5224" spans="1:40" x14ac:dyDescent="0.25">
      <c r="A5224" t="str">
        <f>"20190312173033871"</f>
        <v>20190312173033871</v>
      </c>
      <c r="B5224" t="str">
        <f>"1552383033863253"</f>
        <v>1552383033863253</v>
      </c>
      <c r="C5224" t="s">
        <v>40</v>
      </c>
      <c r="D5224">
        <v>3.4146570000000001</v>
      </c>
      <c r="E5224">
        <v>0.48773119999999998</v>
      </c>
      <c r="F5224" t="s">
        <v>57</v>
      </c>
      <c r="G5224">
        <v>-363.35809999999998</v>
      </c>
      <c r="H5224" s="1">
        <v>-3.4619630000000001E-6</v>
      </c>
      <c r="I5224">
        <v>17.80189</v>
      </c>
      <c r="J5224">
        <v>-384.31670000000003</v>
      </c>
      <c r="K5224">
        <v>1.1125659999999999</v>
      </c>
      <c r="L5224">
        <v>17.317720000000001</v>
      </c>
      <c r="M5224">
        <v>0.99868380000000001</v>
      </c>
      <c r="N5224">
        <v>0</v>
      </c>
      <c r="O5224">
        <v>-4.9518140000000002E-2</v>
      </c>
      <c r="P5224">
        <v>0.98646279999999997</v>
      </c>
      <c r="Q5224">
        <v>0.1629622</v>
      </c>
      <c r="R5224">
        <v>-1.8292909999999999E-2</v>
      </c>
      <c r="S5224">
        <v>3.0692439999999999</v>
      </c>
      <c r="T5224">
        <v>-0.16204879999999999</v>
      </c>
      <c r="U5224">
        <v>6.9946289999999994E-2</v>
      </c>
      <c r="V5224">
        <v>-3.1575930000000002E-2</v>
      </c>
      <c r="W5224">
        <v>0.17595930000000001</v>
      </c>
      <c r="X5224">
        <v>0.98389090000000001</v>
      </c>
      <c r="Y5224">
        <v>-7.2095939999999997E-2</v>
      </c>
      <c r="Z5224">
        <v>4.5137579999999997E-3</v>
      </c>
      <c r="AA5224">
        <v>0.99738749999999998</v>
      </c>
      <c r="AB5224">
        <v>24</v>
      </c>
      <c r="AC5224">
        <v>20.958600000000001</v>
      </c>
      <c r="AD5224">
        <v>-1.112569461963</v>
      </c>
      <c r="AE5224">
        <v>0.48416999999999799</v>
      </c>
      <c r="AF5224">
        <v>-1.5172263640967201</v>
      </c>
      <c r="AG5224">
        <v>-1.112569461963</v>
      </c>
      <c r="AH5224">
        <v>20.850183609667699</v>
      </c>
      <c r="AI5224">
        <v>93.046376428393501</v>
      </c>
      <c r="AJ5224">
        <v>94.161964065581401</v>
      </c>
      <c r="AK5224">
        <v>20.9348977357058</v>
      </c>
      <c r="AL5224">
        <v>79.865511825975801</v>
      </c>
      <c r="AM5224">
        <v>91.838157854841199</v>
      </c>
      <c r="AN5224">
        <v>1.00000000885733</v>
      </c>
    </row>
    <row r="5225" spans="1:40" x14ac:dyDescent="0.25">
      <c r="A5225" t="str">
        <f>"20190312173033881"</f>
        <v>20190312173033881</v>
      </c>
      <c r="B5225" t="str">
        <f>"1552383033873013"</f>
        <v>1552383033873013</v>
      </c>
      <c r="C5225" t="s">
        <v>40</v>
      </c>
      <c r="D5225">
        <v>3.4140890000000002</v>
      </c>
      <c r="E5225">
        <v>0.48785050000000002</v>
      </c>
      <c r="F5225" t="s">
        <v>57</v>
      </c>
      <c r="G5225">
        <v>-363.21730000000002</v>
      </c>
      <c r="H5225" s="1">
        <v>-3.5279530000000001E-6</v>
      </c>
      <c r="I5225">
        <v>17.805060000000001</v>
      </c>
      <c r="J5225">
        <v>-384.19830000000002</v>
      </c>
      <c r="K5225">
        <v>1.112547</v>
      </c>
      <c r="L5225">
        <v>17.313749999999999</v>
      </c>
      <c r="M5225">
        <v>0.99877039999999995</v>
      </c>
      <c r="N5225">
        <v>0</v>
      </c>
      <c r="O5225">
        <v>-4.7740009999999999E-2</v>
      </c>
      <c r="P5225">
        <v>0.98646999999999996</v>
      </c>
      <c r="Q5225">
        <v>0.162973799999999</v>
      </c>
      <c r="R5225">
        <v>-1.779563E-2</v>
      </c>
      <c r="S5225">
        <v>3.0692439999999999</v>
      </c>
      <c r="T5225">
        <v>-0.1618407</v>
      </c>
      <c r="U5225">
        <v>7.0892330000000003E-2</v>
      </c>
      <c r="V5225">
        <v>-3.0309550000000001E-2</v>
      </c>
      <c r="W5225">
        <v>0.1759781</v>
      </c>
      <c r="X5225">
        <v>0.98392740000000001</v>
      </c>
      <c r="Y5225">
        <v>-7.0632329999999993E-2</v>
      </c>
      <c r="Z5225">
        <v>4.375767E-3</v>
      </c>
      <c r="AA5225">
        <v>0.99749279999999996</v>
      </c>
      <c r="AB5225">
        <v>24</v>
      </c>
      <c r="AC5225">
        <v>20.980999999999899</v>
      </c>
      <c r="AD5225">
        <v>-1.1125505279529999</v>
      </c>
      <c r="AE5225">
        <v>0.49131000000000202</v>
      </c>
      <c r="AF5225">
        <v>-1.48828979775278</v>
      </c>
      <c r="AG5225">
        <v>-1.1125505279529999</v>
      </c>
      <c r="AH5225">
        <v>20.874951475175401</v>
      </c>
      <c r="AI5225">
        <v>93.043037535967201</v>
      </c>
      <c r="AJ5225">
        <v>94.0780301464453</v>
      </c>
      <c r="AK5225">
        <v>20.957489694385501</v>
      </c>
      <c r="AL5225">
        <v>79.864417955551801</v>
      </c>
      <c r="AM5225">
        <v>91.764419103736401</v>
      </c>
      <c r="AN5225">
        <v>1.0000000444857799</v>
      </c>
    </row>
    <row r="5226" spans="1:40" x14ac:dyDescent="0.25">
      <c r="A5226" t="str">
        <f>"20190312173033893"</f>
        <v>20190312173033893</v>
      </c>
      <c r="B5226" t="str">
        <f>"1552383033882773"</f>
        <v>1552383033882773</v>
      </c>
      <c r="C5226" t="s">
        <v>40</v>
      </c>
      <c r="D5226">
        <v>3.4452729999999998</v>
      </c>
      <c r="E5226">
        <v>0.48805379999999998</v>
      </c>
      <c r="F5226" t="s">
        <v>57</v>
      </c>
      <c r="G5226">
        <v>-363.08359999999999</v>
      </c>
      <c r="H5226" s="1">
        <v>-3.5908029999999999E-6</v>
      </c>
      <c r="I5226">
        <v>17.806920000000002</v>
      </c>
      <c r="J5226">
        <v>-384.07769999999999</v>
      </c>
      <c r="K5226">
        <v>1.112528</v>
      </c>
      <c r="L5226">
        <v>17.309999999999999</v>
      </c>
      <c r="M5226">
        <v>0.99885420000000003</v>
      </c>
      <c r="N5226">
        <v>0</v>
      </c>
      <c r="O5226">
        <v>-4.5951390000000002E-2</v>
      </c>
      <c r="P5226">
        <v>0.98651540000000004</v>
      </c>
      <c r="Q5226">
        <v>0.16278670000000001</v>
      </c>
      <c r="R5226">
        <v>-1.6967880000000001E-2</v>
      </c>
      <c r="S5226">
        <v>3.069153</v>
      </c>
      <c r="T5226">
        <v>-0.16171650000000001</v>
      </c>
      <c r="U5226">
        <v>7.1685789999999999E-2</v>
      </c>
      <c r="V5226">
        <v>-2.936277E-2</v>
      </c>
      <c r="W5226">
        <v>0.17579739999999999</v>
      </c>
      <c r="X5226">
        <v>0.98398830000000004</v>
      </c>
      <c r="Y5226">
        <v>-6.910927E-2</v>
      </c>
      <c r="Z5226">
        <v>4.2383209999999998E-3</v>
      </c>
      <c r="AA5226">
        <v>0.99760009999999999</v>
      </c>
      <c r="AB5226">
        <v>24</v>
      </c>
      <c r="AC5226">
        <v>20.9941</v>
      </c>
      <c r="AD5226">
        <v>-1.112531590803</v>
      </c>
      <c r="AE5226">
        <v>0.49692000000000203</v>
      </c>
      <c r="AF5226">
        <v>-1.45709975394716</v>
      </c>
      <c r="AG5226">
        <v>-1.112531590803</v>
      </c>
      <c r="AH5226">
        <v>20.890451269016999</v>
      </c>
      <c r="AI5226">
        <v>93.041061580462596</v>
      </c>
      <c r="AJ5226">
        <v>93.989893422276694</v>
      </c>
      <c r="AK5226">
        <v>20.970737241610301</v>
      </c>
      <c r="AL5226">
        <v>79.874934158191294</v>
      </c>
      <c r="AM5226">
        <v>91.709231404263093</v>
      </c>
      <c r="AN5226">
        <v>0.999999936322859</v>
      </c>
    </row>
    <row r="5227" spans="1:40" x14ac:dyDescent="0.25">
      <c r="A5227" t="str">
        <f>"20190312173033905"</f>
        <v>20190312173033905</v>
      </c>
      <c r="B5227" t="str">
        <f>"1552383033893509"</f>
        <v>1552383033893509</v>
      </c>
      <c r="C5227" t="s">
        <v>40</v>
      </c>
      <c r="D5227">
        <v>3.4111199999999999</v>
      </c>
      <c r="E5227">
        <v>0.48817460000000001</v>
      </c>
      <c r="F5227" t="s">
        <v>57</v>
      </c>
      <c r="G5227">
        <v>-362.96050000000002</v>
      </c>
      <c r="H5227" s="1">
        <v>-3.6483389999999999E-6</v>
      </c>
      <c r="I5227">
        <v>17.81061</v>
      </c>
      <c r="J5227">
        <v>-383.95139999999998</v>
      </c>
      <c r="K5227">
        <v>1.1125020000000001</v>
      </c>
      <c r="L5227">
        <v>17.306179999999902</v>
      </c>
      <c r="M5227">
        <v>0.9989384</v>
      </c>
      <c r="N5227">
        <v>0</v>
      </c>
      <c r="O5227">
        <v>-4.4086849999999997E-2</v>
      </c>
      <c r="P5227">
        <v>0.98649810000000004</v>
      </c>
      <c r="Q5227">
        <v>0.16296769999999999</v>
      </c>
      <c r="R5227">
        <v>-1.6214639999999999E-2</v>
      </c>
      <c r="S5227">
        <v>3.0689389999999999</v>
      </c>
      <c r="T5227">
        <v>-0.161683299999999</v>
      </c>
      <c r="U5227">
        <v>7.2753910000000005E-2</v>
      </c>
      <c r="V5227">
        <v>-2.826526E-2</v>
      </c>
      <c r="W5227">
        <v>0.17598420000000001</v>
      </c>
      <c r="X5227">
        <v>0.9839871</v>
      </c>
      <c r="Y5227">
        <v>-6.760041E-2</v>
      </c>
      <c r="Z5227">
        <v>4.0999119999999998E-3</v>
      </c>
      <c r="AA5227">
        <v>0.99770400000000004</v>
      </c>
      <c r="AB5227">
        <v>24</v>
      </c>
      <c r="AC5227">
        <v>20.9908999999999</v>
      </c>
      <c r="AD5227">
        <v>-1.1125056483389999</v>
      </c>
      <c r="AE5227">
        <v>0.50443000000000204</v>
      </c>
      <c r="AF5227">
        <v>-1.4254430133545299</v>
      </c>
      <c r="AG5227">
        <v>-1.1125056483389999</v>
      </c>
      <c r="AH5227">
        <v>20.8896024788679</v>
      </c>
      <c r="AI5227">
        <v>93.041429418181906</v>
      </c>
      <c r="AJ5227">
        <v>93.903638626494299</v>
      </c>
      <c r="AK5227">
        <v>20.96771442783</v>
      </c>
      <c r="AL5227">
        <v>79.864062334487599</v>
      </c>
      <c r="AM5227">
        <v>91.645382234304705</v>
      </c>
      <c r="AN5227">
        <v>0.99999998826945802</v>
      </c>
    </row>
    <row r="5228" spans="1:40" x14ac:dyDescent="0.25">
      <c r="A5228" t="str">
        <f>"20190312173033915"</f>
        <v>20190312173033915</v>
      </c>
      <c r="B5228" t="str">
        <f>"1552383033913029"</f>
        <v>1552383033913029</v>
      </c>
      <c r="C5228" t="s">
        <v>40</v>
      </c>
      <c r="D5228">
        <v>3.44645</v>
      </c>
      <c r="E5228">
        <v>0.48845759999999999</v>
      </c>
      <c r="F5228" t="s">
        <v>57</v>
      </c>
      <c r="G5228">
        <v>-362.79480000000001</v>
      </c>
      <c r="H5228" s="1">
        <v>-3.7254500000000001E-6</v>
      </c>
      <c r="I5228">
        <v>17.817620000000002</v>
      </c>
      <c r="J5228">
        <v>-383.83010000000002</v>
      </c>
      <c r="K5228">
        <v>1.1124799999999999</v>
      </c>
      <c r="L5228">
        <v>17.302859999999999</v>
      </c>
      <c r="M5228">
        <v>0.99901470000000003</v>
      </c>
      <c r="N5228">
        <v>0</v>
      </c>
      <c r="O5228">
        <v>-4.2319460000000003E-2</v>
      </c>
      <c r="P5228">
        <v>0.98657320000000004</v>
      </c>
      <c r="Q5228">
        <v>0.16257449999999901</v>
      </c>
      <c r="R5228">
        <v>-1.5587439999999999E-2</v>
      </c>
      <c r="S5228">
        <v>3.0689700000000002</v>
      </c>
      <c r="T5228">
        <v>-0.161379299999999</v>
      </c>
      <c r="U5228">
        <v>7.4188229999999994E-2</v>
      </c>
      <c r="V5228">
        <v>-2.7139190000000001E-2</v>
      </c>
      <c r="W5228">
        <v>0.1755969</v>
      </c>
      <c r="X5228">
        <v>0.98408799999999996</v>
      </c>
      <c r="Y5228">
        <v>-6.6305829999999996E-2</v>
      </c>
      <c r="Z5228">
        <v>3.9653209999999999E-3</v>
      </c>
      <c r="AA5228">
        <v>0.99779150000000005</v>
      </c>
      <c r="AB5228">
        <v>24</v>
      </c>
      <c r="AC5228">
        <v>21.035299999999999</v>
      </c>
      <c r="AD5228">
        <v>-1.11248372545</v>
      </c>
      <c r="AE5228">
        <v>0.51476000000000199</v>
      </c>
      <c r="AF5228">
        <v>-1.4006655496784299</v>
      </c>
      <c r="AG5228">
        <v>-1.11248372545</v>
      </c>
      <c r="AH5228">
        <v>20.9361424320042</v>
      </c>
      <c r="AI5228">
        <v>93.034893471852001</v>
      </c>
      <c r="AJ5228">
        <v>93.827486986496893</v>
      </c>
      <c r="AK5228">
        <v>21.012414043955399</v>
      </c>
      <c r="AL5228">
        <v>79.886604131710797</v>
      </c>
      <c r="AM5228">
        <v>91.579703257593394</v>
      </c>
      <c r="AN5228">
        <v>0.99999999933373296</v>
      </c>
    </row>
    <row r="5229" spans="1:40" x14ac:dyDescent="0.25">
      <c r="A5229" t="str">
        <f>"20190312173033928"</f>
        <v>20190312173033928</v>
      </c>
      <c r="B5229" t="str">
        <f>"1552383033922789"</f>
        <v>1552383033922789</v>
      </c>
      <c r="C5229" t="s">
        <v>40</v>
      </c>
      <c r="D5229">
        <v>3.416703</v>
      </c>
      <c r="E5229">
        <v>0.4886142</v>
      </c>
      <c r="F5229" t="s">
        <v>57</v>
      </c>
      <c r="G5229">
        <v>-362.91289999999998</v>
      </c>
      <c r="H5229" s="1">
        <v>-3.6715739999999998E-6</v>
      </c>
      <c r="I5229">
        <v>17.806639999999899</v>
      </c>
      <c r="J5229">
        <v>-383.70010000000002</v>
      </c>
      <c r="K5229">
        <v>1.1124540000000001</v>
      </c>
      <c r="L5229">
        <v>17.299410000000002</v>
      </c>
      <c r="M5229">
        <v>0.9990928</v>
      </c>
      <c r="N5229">
        <v>0</v>
      </c>
      <c r="O5229">
        <v>-4.0436229999999997E-2</v>
      </c>
      <c r="P5229">
        <v>0.9866568</v>
      </c>
      <c r="Q5229">
        <v>0.16217889999999999</v>
      </c>
      <c r="R5229">
        <v>-1.4367609999999999E-2</v>
      </c>
      <c r="S5229">
        <v>3.0689090000000001</v>
      </c>
      <c r="T5229">
        <v>-0.1632198</v>
      </c>
      <c r="U5229">
        <v>7.3913569999999998E-2</v>
      </c>
      <c r="V5229">
        <v>-2.6490219999999998E-2</v>
      </c>
      <c r="W5229">
        <v>0.1752059</v>
      </c>
      <c r="X5229">
        <v>0.98417540000000003</v>
      </c>
      <c r="Y5229">
        <v>-6.4338049999999994E-2</v>
      </c>
      <c r="Z5229">
        <v>3.8582360000000001E-3</v>
      </c>
      <c r="AA5229">
        <v>0.99792069999999999</v>
      </c>
      <c r="AB5229">
        <v>24</v>
      </c>
      <c r="AC5229">
        <v>20.787199999999999</v>
      </c>
      <c r="AD5229">
        <v>-1.112457671574</v>
      </c>
      <c r="AE5229">
        <v>0.50722999999999596</v>
      </c>
      <c r="AF5229">
        <v>-1.3436002992085201</v>
      </c>
      <c r="AG5229">
        <v>-1.112457671574</v>
      </c>
      <c r="AH5229">
        <v>20.690460764554199</v>
      </c>
      <c r="AI5229">
        <v>93.0711849477416</v>
      </c>
      <c r="AJ5229">
        <v>93.715465274715498</v>
      </c>
      <c r="AK5229">
        <v>20.763862609944098</v>
      </c>
      <c r="AL5229">
        <v>79.9093598569752</v>
      </c>
      <c r="AM5229">
        <v>91.541809956471496</v>
      </c>
      <c r="AN5229">
        <v>1.0000000285577999</v>
      </c>
    </row>
    <row r="5230" spans="1:40" x14ac:dyDescent="0.25">
      <c r="A5230" t="str">
        <f>"20190312173033939"</f>
        <v>20190312173033939</v>
      </c>
      <c r="B5230" t="str">
        <f>"1552383033933526"</f>
        <v>1552383033933526</v>
      </c>
      <c r="C5230" t="s">
        <v>40</v>
      </c>
      <c r="D5230">
        <v>3.4056289999999998</v>
      </c>
      <c r="E5230">
        <v>0.48874410000000001</v>
      </c>
      <c r="F5230" t="s">
        <v>57</v>
      </c>
      <c r="G5230">
        <v>-362.93819999999999</v>
      </c>
      <c r="H5230" s="1">
        <v>-3.6577519999999999E-6</v>
      </c>
      <c r="I5230">
        <v>17.817029999999999</v>
      </c>
      <c r="J5230">
        <v>-383.57679999999999</v>
      </c>
      <c r="K5230">
        <v>1.1124289999999999</v>
      </c>
      <c r="L5230">
        <v>17.29636</v>
      </c>
      <c r="M5230">
        <v>0.99916300000000002</v>
      </c>
      <c r="N5230">
        <v>0</v>
      </c>
      <c r="O5230">
        <v>-3.8665159999999997E-2</v>
      </c>
      <c r="P5230">
        <v>0.98678900000000003</v>
      </c>
      <c r="Q5230">
        <v>0.16142479999999901</v>
      </c>
      <c r="R5230">
        <v>-1.377054E-2</v>
      </c>
      <c r="S5230">
        <v>3.068695</v>
      </c>
      <c r="T5230">
        <v>-0.16442599999999999</v>
      </c>
      <c r="U5230">
        <v>7.6507569999999997E-2</v>
      </c>
      <c r="V5230">
        <v>-2.5330229999999999E-2</v>
      </c>
      <c r="W5230">
        <v>0.1744589</v>
      </c>
      <c r="X5230">
        <v>0.98433859999999995</v>
      </c>
      <c r="Y5230">
        <v>-6.3415479999999996E-2</v>
      </c>
      <c r="Z5230">
        <v>3.7674610000000002E-3</v>
      </c>
      <c r="AA5230">
        <v>0.99798010000000004</v>
      </c>
      <c r="AB5230">
        <v>24</v>
      </c>
      <c r="AC5230">
        <v>20.6386</v>
      </c>
      <c r="AD5230">
        <v>-1.1124326577519901</v>
      </c>
      <c r="AE5230">
        <v>0.52066999999999897</v>
      </c>
      <c r="AF5230">
        <v>-1.31452986997952</v>
      </c>
      <c r="AG5230">
        <v>-1.1124326577519901</v>
      </c>
      <c r="AH5230">
        <v>20.543384410541801</v>
      </c>
      <c r="AI5230">
        <v>93.093248845048706</v>
      </c>
      <c r="AJ5230">
        <v>93.661250242378699</v>
      </c>
      <c r="AK5230">
        <v>20.6154344663505</v>
      </c>
      <c r="AL5230">
        <v>79.952829061259493</v>
      </c>
      <c r="AM5230">
        <v>91.474081222272005</v>
      </c>
      <c r="AN5230">
        <v>1.0000000038955099</v>
      </c>
    </row>
    <row r="5231" spans="1:40" x14ac:dyDescent="0.25">
      <c r="A5231" t="str">
        <f>"20190312173033959"</f>
        <v>20190312173033959</v>
      </c>
      <c r="B5231" t="str">
        <f>"1552383033953045"</f>
        <v>1552383033953045</v>
      </c>
      <c r="C5231" t="s">
        <v>40</v>
      </c>
      <c r="D5231">
        <v>3.4046560000000001</v>
      </c>
      <c r="E5231">
        <v>0.48895119999999997</v>
      </c>
      <c r="F5231" t="s">
        <v>57</v>
      </c>
      <c r="G5231">
        <v>-363.14159999999998</v>
      </c>
      <c r="H5231" s="1">
        <v>-3.5624380000000002E-6</v>
      </c>
      <c r="I5231">
        <v>17.812360000000002</v>
      </c>
      <c r="J5231">
        <v>-383.37189999999998</v>
      </c>
      <c r="K5231">
        <v>1.112385</v>
      </c>
      <c r="L5231">
        <v>17.291779999999999</v>
      </c>
      <c r="M5231">
        <v>0.99927120000000003</v>
      </c>
      <c r="N5231">
        <v>0</v>
      </c>
      <c r="O5231">
        <v>-3.5758930000000001E-2</v>
      </c>
      <c r="P5231">
        <v>0.98693730000000002</v>
      </c>
      <c r="Q5231">
        <v>0.16058059999999999</v>
      </c>
      <c r="R5231">
        <v>-1.298818E-2</v>
      </c>
      <c r="S5231">
        <v>3.0686040000000001</v>
      </c>
      <c r="T5231">
        <v>-0.16704559999999999</v>
      </c>
      <c r="U5231">
        <v>7.7484129999999998E-2</v>
      </c>
      <c r="V5231">
        <v>-2.3227589999999999E-2</v>
      </c>
      <c r="W5231">
        <v>0.17362729999999901</v>
      </c>
      <c r="X5231">
        <v>0.98453749999999995</v>
      </c>
      <c r="Y5231">
        <v>-6.0834199999999998E-2</v>
      </c>
      <c r="Z5231">
        <v>3.599269E-3</v>
      </c>
      <c r="AA5231">
        <v>0.99814139999999996</v>
      </c>
      <c r="AB5231">
        <v>24</v>
      </c>
      <c r="AC5231">
        <v>20.2303</v>
      </c>
      <c r="AD5231">
        <v>-1.1123885624380001</v>
      </c>
      <c r="AE5231">
        <v>0.52058000000000204</v>
      </c>
      <c r="AF5231">
        <v>-1.23997882670614</v>
      </c>
      <c r="AG5231">
        <v>-1.1123885624380001</v>
      </c>
      <c r="AH5231">
        <v>20.1378958417897</v>
      </c>
      <c r="AI5231">
        <v>93.155759123155903</v>
      </c>
      <c r="AJ5231">
        <v>93.5235046495592</v>
      </c>
      <c r="AK5231">
        <v>20.206677231531501</v>
      </c>
      <c r="AL5231">
        <v>80.001214901517102</v>
      </c>
      <c r="AM5231">
        <v>91.351493510044605</v>
      </c>
      <c r="AN5231">
        <v>1.0000000245743701</v>
      </c>
    </row>
    <row r="5232" spans="1:40" x14ac:dyDescent="0.25">
      <c r="A5232" t="str">
        <f>"20190312173033971"</f>
        <v>20190312173033971</v>
      </c>
      <c r="B5232" t="str">
        <f>"1552383033962805"</f>
        <v>1552383033962805</v>
      </c>
      <c r="C5232" t="s">
        <v>40</v>
      </c>
      <c r="D5232">
        <v>3.3963770000000002</v>
      </c>
      <c r="E5232">
        <v>0.48895119999999997</v>
      </c>
      <c r="F5232" t="s">
        <v>57</v>
      </c>
      <c r="G5232">
        <v>-363.26260000000002</v>
      </c>
      <c r="H5232" s="1">
        <v>-3.5064239999999998E-6</v>
      </c>
      <c r="I5232">
        <v>17.805800000000001</v>
      </c>
      <c r="J5232">
        <v>-383.24740000000003</v>
      </c>
      <c r="K5232">
        <v>1.112357</v>
      </c>
      <c r="L5232">
        <v>17.28931</v>
      </c>
      <c r="M5232">
        <v>0.999332</v>
      </c>
      <c r="N5232">
        <v>0</v>
      </c>
      <c r="O5232">
        <v>-3.4018409999999999E-2</v>
      </c>
      <c r="P5232">
        <v>0.98701419999999995</v>
      </c>
      <c r="Q5232">
        <v>0.16016720000000001</v>
      </c>
      <c r="R5232">
        <v>-1.222907E-2</v>
      </c>
      <c r="S5232">
        <v>3.0683289999999999</v>
      </c>
      <c r="T5232">
        <v>-0.16973099999999999</v>
      </c>
      <c r="U5232">
        <v>7.8430180000000002E-2</v>
      </c>
      <c r="V5232">
        <v>-2.2257880000000001E-2</v>
      </c>
      <c r="W5232">
        <v>0.17321929999999999</v>
      </c>
      <c r="X5232">
        <v>0.98463179999999995</v>
      </c>
      <c r="Y5232">
        <v>-5.9405649999999997E-2</v>
      </c>
      <c r="Z5232">
        <v>3.5217069999999998E-3</v>
      </c>
      <c r="AA5232">
        <v>0.99822770000000005</v>
      </c>
      <c r="AB5232">
        <v>24</v>
      </c>
      <c r="AC5232">
        <v>19.9848</v>
      </c>
      <c r="AD5232">
        <v>-1.1123605064239901</v>
      </c>
      <c r="AE5232">
        <v>0.516490000000001</v>
      </c>
      <c r="AF5232">
        <v>-1.1924110335974201</v>
      </c>
      <c r="AG5232">
        <v>-1.1123605064239901</v>
      </c>
      <c r="AH5232">
        <v>19.894067013068899</v>
      </c>
      <c r="AI5232">
        <v>93.194592992556096</v>
      </c>
      <c r="AJ5232">
        <v>93.430092030489902</v>
      </c>
      <c r="AK5232">
        <v>19.960788869425301</v>
      </c>
      <c r="AL5232">
        <v>80.024951607448799</v>
      </c>
      <c r="AM5232">
        <v>91.294966736664804</v>
      </c>
      <c r="AN5232">
        <v>1.00000006034291</v>
      </c>
    </row>
    <row r="5233" spans="1:40" x14ac:dyDescent="0.25">
      <c r="A5233" t="str">
        <f>"20190312173033985"</f>
        <v>20190312173033985</v>
      </c>
      <c r="B5233" t="str">
        <f>"1552383033973541"</f>
        <v>1552383033973541</v>
      </c>
      <c r="C5233" t="s">
        <v>40</v>
      </c>
      <c r="D5233">
        <v>3.3975309999999999</v>
      </c>
      <c r="E5233">
        <v>0.48901709999999898</v>
      </c>
      <c r="F5233" t="s">
        <v>57</v>
      </c>
      <c r="G5233">
        <v>-363.29050000000001</v>
      </c>
      <c r="H5233" s="1">
        <v>-3.4915529999999999E-6</v>
      </c>
      <c r="I5233">
        <v>17.815329999999999</v>
      </c>
      <c r="J5233">
        <v>-383.10449999999997</v>
      </c>
      <c r="K5233">
        <v>1.112325</v>
      </c>
      <c r="L5233">
        <v>17.28659</v>
      </c>
      <c r="M5233">
        <v>0.99939750000000005</v>
      </c>
      <c r="N5233">
        <v>0</v>
      </c>
      <c r="O5233">
        <v>-3.2038219999999999E-2</v>
      </c>
      <c r="P5233">
        <v>0.98707710000000004</v>
      </c>
      <c r="Q5233">
        <v>0.15984609999999999</v>
      </c>
      <c r="R5233">
        <v>-1.1316329999999999E-2</v>
      </c>
      <c r="S5233">
        <v>3.0682070000000001</v>
      </c>
      <c r="T5233">
        <v>-0.1710159</v>
      </c>
      <c r="U5233">
        <v>8.0871579999999998E-2</v>
      </c>
      <c r="V5233">
        <v>-2.1202189999999999E-2</v>
      </c>
      <c r="W5233">
        <v>0.17290410000000001</v>
      </c>
      <c r="X5233">
        <v>0.98471050000000004</v>
      </c>
      <c r="Y5233">
        <v>-5.822517E-2</v>
      </c>
      <c r="Z5233">
        <v>3.4053120000000002E-3</v>
      </c>
      <c r="AA5233">
        <v>0.99829769999999896</v>
      </c>
      <c r="AB5233">
        <v>24</v>
      </c>
      <c r="AC5233">
        <v>19.813999999999901</v>
      </c>
      <c r="AD5233">
        <v>-1.1123284915530001</v>
      </c>
      <c r="AE5233">
        <v>0.52873999999999899</v>
      </c>
      <c r="AF5233">
        <v>-1.1596782134381201</v>
      </c>
      <c r="AG5233">
        <v>-1.1123284915530001</v>
      </c>
      <c r="AH5233">
        <v>19.724766153243401</v>
      </c>
      <c r="AI5233">
        <v>93.222080425535296</v>
      </c>
      <c r="AJ5233">
        <v>93.364717592690297</v>
      </c>
      <c r="AK5233">
        <v>19.790111875175999</v>
      </c>
      <c r="AL5233">
        <v>80.043287957069296</v>
      </c>
      <c r="AM5233">
        <v>91.233467429035898</v>
      </c>
      <c r="AN5233">
        <v>1.00000006473392</v>
      </c>
    </row>
    <row r="5234" spans="1:40" x14ac:dyDescent="0.25">
      <c r="A5234" t="str">
        <f>"20190312173034006"</f>
        <v>20190312173034006</v>
      </c>
      <c r="B5234" t="str">
        <f>"1552383034002821"</f>
        <v>1552383034002821</v>
      </c>
      <c r="C5234" t="s">
        <v>40</v>
      </c>
      <c r="D5234">
        <v>3.3770380000000002</v>
      </c>
      <c r="E5234">
        <v>0.48929420000000001</v>
      </c>
      <c r="F5234" t="s">
        <v>57</v>
      </c>
      <c r="G5234">
        <v>-363.29320000000001</v>
      </c>
      <c r="H5234" s="1">
        <v>-3.4889530000000002E-6</v>
      </c>
      <c r="I5234">
        <v>17.822779999999899</v>
      </c>
      <c r="J5234">
        <v>-382.87860000000001</v>
      </c>
      <c r="K5234">
        <v>1.1122730000000001</v>
      </c>
      <c r="L5234">
        <v>17.28293</v>
      </c>
      <c r="M5234">
        <v>0.99949100000000002</v>
      </c>
      <c r="N5234">
        <v>0</v>
      </c>
      <c r="O5234">
        <v>-2.8977429999999998E-2</v>
      </c>
      <c r="P5234">
        <v>0.987178</v>
      </c>
      <c r="Q5234">
        <v>0.1592942</v>
      </c>
      <c r="R5234">
        <v>-1.025438E-2</v>
      </c>
      <c r="S5234">
        <v>3.0681150000000001</v>
      </c>
      <c r="T5234">
        <v>-0.17226250000000001</v>
      </c>
      <c r="U5234">
        <v>8.3038329999999994E-2</v>
      </c>
      <c r="V5234">
        <v>-1.9218760000000001E-2</v>
      </c>
      <c r="W5234">
        <v>0.17236209999999999</v>
      </c>
      <c r="X5234">
        <v>0.9848462</v>
      </c>
      <c r="Y5234">
        <v>-5.5879489999999997E-2</v>
      </c>
      <c r="Z5234">
        <v>3.1927100000000001E-3</v>
      </c>
      <c r="AA5234">
        <v>0.9984324</v>
      </c>
      <c r="AB5234">
        <v>24</v>
      </c>
      <c r="AC5234">
        <v>19.5854</v>
      </c>
      <c r="AD5234">
        <v>-1.1122764889529999</v>
      </c>
      <c r="AE5234">
        <v>0.53984999999999705</v>
      </c>
      <c r="AF5234">
        <v>-1.1036515201172199</v>
      </c>
      <c r="AG5234">
        <v>-1.1122764889529999</v>
      </c>
      <c r="AH5234">
        <v>19.498689099891401</v>
      </c>
      <c r="AI5234">
        <v>93.259616532037199</v>
      </c>
      <c r="AJ5234">
        <v>93.239560102886799</v>
      </c>
      <c r="AK5234">
        <v>19.561546009453298</v>
      </c>
      <c r="AL5234">
        <v>80.074815429651096</v>
      </c>
      <c r="AM5234">
        <v>91.117955360764597</v>
      </c>
      <c r="AN5234">
        <v>1.00000004595339</v>
      </c>
    </row>
    <row r="5235" spans="1:40" x14ac:dyDescent="0.25">
      <c r="A5235" t="str">
        <f>"20190312173034027"</f>
        <v>20190312173034027</v>
      </c>
      <c r="B5235" t="str">
        <f>"1552383034023317"</f>
        <v>1552383034023317</v>
      </c>
      <c r="C5235" t="s">
        <v>40</v>
      </c>
      <c r="D5235">
        <v>3.3785620000000001</v>
      </c>
      <c r="E5235">
        <v>0.4895139</v>
      </c>
      <c r="F5235" t="s">
        <v>57</v>
      </c>
      <c r="G5235">
        <v>-363.2373</v>
      </c>
      <c r="H5235" s="1">
        <v>-3.515574E-6</v>
      </c>
      <c r="I5235">
        <v>17.8216</v>
      </c>
      <c r="J5235">
        <v>-382.66340000000002</v>
      </c>
      <c r="K5235">
        <v>1.1122160000000001</v>
      </c>
      <c r="L5235">
        <v>17.28</v>
      </c>
      <c r="M5235">
        <v>0.99956970000000001</v>
      </c>
      <c r="N5235">
        <v>0</v>
      </c>
      <c r="O5235">
        <v>-2.612503E-2</v>
      </c>
      <c r="P5235">
        <v>0.98725839999999998</v>
      </c>
      <c r="Q5235">
        <v>0.15885589999999999</v>
      </c>
      <c r="R5235">
        <v>-9.282663E-3</v>
      </c>
      <c r="S5235">
        <v>3.067841</v>
      </c>
      <c r="T5235">
        <v>-0.17372979999999999</v>
      </c>
      <c r="U5235">
        <v>8.4136959999999997E-2</v>
      </c>
      <c r="V5235">
        <v>-1.7350529999999999E-2</v>
      </c>
      <c r="W5235">
        <v>0.17193229999999901</v>
      </c>
      <c r="X5235">
        <v>0.98495600000000005</v>
      </c>
      <c r="Y5235">
        <v>-5.3396010000000001E-2</v>
      </c>
      <c r="Z5235">
        <v>2.9885160000000001E-3</v>
      </c>
      <c r="AA5235">
        <v>0.99856900000000004</v>
      </c>
      <c r="AB5235">
        <v>24</v>
      </c>
      <c r="AC5235">
        <v>19.426100000000002</v>
      </c>
      <c r="AD5235">
        <v>-1.112219515574</v>
      </c>
      <c r="AE5235">
        <v>0.54159999999999897</v>
      </c>
      <c r="AF5235">
        <v>-1.04554306859728</v>
      </c>
      <c r="AG5235">
        <v>-1.112219515574</v>
      </c>
      <c r="AH5235">
        <v>19.3419639550875</v>
      </c>
      <c r="AI5235">
        <v>93.2862635438116</v>
      </c>
      <c r="AJ5235">
        <v>93.094151108226498</v>
      </c>
      <c r="AK5235">
        <v>19.402107158734601</v>
      </c>
      <c r="AL5235">
        <v>80.099814291331697</v>
      </c>
      <c r="AM5235">
        <v>91.009191612358705</v>
      </c>
      <c r="AN5235">
        <v>1.0000000393052799</v>
      </c>
    </row>
    <row r="5236" spans="1:40" x14ac:dyDescent="0.25">
      <c r="A5236" t="str">
        <f>"20190312173034037"</f>
        <v>20190312173034037</v>
      </c>
      <c r="B5236" t="str">
        <f>"1552383034033077"</f>
        <v>1552383034033077</v>
      </c>
      <c r="C5236" t="s">
        <v>40</v>
      </c>
      <c r="D5236">
        <v>3.3985799999999999</v>
      </c>
      <c r="E5236">
        <v>0.48955870000000001</v>
      </c>
      <c r="F5236" t="s">
        <v>57</v>
      </c>
      <c r="G5236">
        <v>-363.20240000000001</v>
      </c>
      <c r="H5236" s="1">
        <v>-3.5322849999999998E-6</v>
      </c>
      <c r="I5236">
        <v>17.820339999999899</v>
      </c>
      <c r="J5236">
        <v>-382.5385</v>
      </c>
      <c r="K5236">
        <v>1.112185</v>
      </c>
      <c r="L5236">
        <v>17.278589999999902</v>
      </c>
      <c r="M5236">
        <v>0.99961080000000002</v>
      </c>
      <c r="N5236">
        <v>0</v>
      </c>
      <c r="O5236">
        <v>-2.4502010000000001E-2</v>
      </c>
      <c r="P5236">
        <v>0.98728139999999998</v>
      </c>
      <c r="Q5236">
        <v>0.15876479999999901</v>
      </c>
      <c r="R5236">
        <v>-8.3389680000000004E-3</v>
      </c>
      <c r="S5236">
        <v>3.067688</v>
      </c>
      <c r="T5236">
        <v>-0.17532239999999999</v>
      </c>
      <c r="U5236">
        <v>8.5174559999999996E-2</v>
      </c>
      <c r="V5236">
        <v>-1.6678229999999999E-2</v>
      </c>
      <c r="W5236">
        <v>0.171843</v>
      </c>
      <c r="X5236">
        <v>0.9849831</v>
      </c>
      <c r="Y5236">
        <v>-5.2115849999999998E-2</v>
      </c>
      <c r="Z5236">
        <v>2.8867950000000002E-3</v>
      </c>
      <c r="AA5236">
        <v>0.99863690000000005</v>
      </c>
      <c r="AB5236">
        <v>24</v>
      </c>
      <c r="AC5236">
        <v>19.336099999999899</v>
      </c>
      <c r="AD5236">
        <v>-1.112188532285</v>
      </c>
      <c r="AE5236">
        <v>0.54174999999999995</v>
      </c>
      <c r="AF5236">
        <v>-1.0120571190245999</v>
      </c>
      <c r="AG5236">
        <v>-1.112188532285</v>
      </c>
      <c r="AH5236">
        <v>19.253370708952101</v>
      </c>
      <c r="AI5236">
        <v>93.301520959838498</v>
      </c>
      <c r="AJ5236">
        <v>93.008994279982005</v>
      </c>
      <c r="AK5236">
        <v>19.312004209813399</v>
      </c>
      <c r="AL5236">
        <v>80.105007149990399</v>
      </c>
      <c r="AM5236">
        <v>90.970068297224003</v>
      </c>
      <c r="AN5236">
        <v>0.99999994364526901</v>
      </c>
    </row>
    <row r="5237" spans="1:40" x14ac:dyDescent="0.25">
      <c r="A5237" t="str">
        <f>"20190312173034049"</f>
        <v>20190312173034049</v>
      </c>
      <c r="B5237" t="str">
        <f>"1552383034042837"</f>
        <v>1552383034042837</v>
      </c>
      <c r="C5237" t="s">
        <v>40</v>
      </c>
      <c r="D5237">
        <v>3.3883079999999999</v>
      </c>
      <c r="E5237">
        <v>0.48961830000000001</v>
      </c>
      <c r="F5237" t="s">
        <v>57</v>
      </c>
      <c r="G5237">
        <v>-363.07279999999997</v>
      </c>
      <c r="H5237" s="1">
        <v>-3.5910340000000001E-6</v>
      </c>
      <c r="I5237">
        <v>17.834379999999999</v>
      </c>
      <c r="J5237">
        <v>-382.42020000000002</v>
      </c>
      <c r="K5237">
        <v>1.1121540000000001</v>
      </c>
      <c r="L5237">
        <v>17.277370000000001</v>
      </c>
      <c r="M5237">
        <v>0.99964699999999995</v>
      </c>
      <c r="N5237">
        <v>0</v>
      </c>
      <c r="O5237">
        <v>-2.2986989999999999E-2</v>
      </c>
      <c r="P5237">
        <v>0.98735479999999998</v>
      </c>
      <c r="Q5237">
        <v>0.1583434</v>
      </c>
      <c r="R5237">
        <v>-7.6342429999999998E-3</v>
      </c>
      <c r="S5237">
        <v>3.0675659999999998</v>
      </c>
      <c r="T5237">
        <v>-0.17526820000000001</v>
      </c>
      <c r="U5237">
        <v>8.7585449999999995E-2</v>
      </c>
      <c r="V5237">
        <v>-1.5872959999999998E-2</v>
      </c>
      <c r="W5237">
        <v>0.17142539999999901</v>
      </c>
      <c r="X5237">
        <v>0.98506919999999998</v>
      </c>
      <c r="Y5237">
        <v>-5.1391369999999999E-2</v>
      </c>
      <c r="Z5237">
        <v>2.7788349999999999E-3</v>
      </c>
      <c r="AA5237">
        <v>0.99867479999999997</v>
      </c>
      <c r="AB5237">
        <v>24</v>
      </c>
      <c r="AC5237">
        <v>19.3474</v>
      </c>
      <c r="AD5237">
        <v>-1.112157591034</v>
      </c>
      <c r="AE5237">
        <v>0.55700999999999801</v>
      </c>
      <c r="AF5237">
        <v>-0.99834459365220696</v>
      </c>
      <c r="AG5237">
        <v>-1.112157591034</v>
      </c>
      <c r="AH5237">
        <v>19.265873027956399</v>
      </c>
      <c r="AI5237">
        <v>93.299419438557194</v>
      </c>
      <c r="AJ5237">
        <v>92.966375544075703</v>
      </c>
      <c r="AK5237">
        <v>19.323753516444601</v>
      </c>
      <c r="AL5237">
        <v>80.129294571492295</v>
      </c>
      <c r="AM5237">
        <v>90.923158410100001</v>
      </c>
      <c r="AN5237">
        <v>0.99999997370647997</v>
      </c>
    </row>
    <row r="5238" spans="1:40" x14ac:dyDescent="0.25">
      <c r="A5238" t="str">
        <f>"20190312173034059"</f>
        <v>20190312173034059</v>
      </c>
      <c r="B5238" t="str">
        <f>"1552383034053573"</f>
        <v>1552383034053573</v>
      </c>
      <c r="C5238" t="s">
        <v>40</v>
      </c>
      <c r="D5238">
        <v>3.3780830000000002</v>
      </c>
      <c r="E5238">
        <v>0.4896857</v>
      </c>
      <c r="F5238" t="s">
        <v>57</v>
      </c>
      <c r="G5238">
        <v>-363.08449999999999</v>
      </c>
      <c r="H5238" s="1">
        <v>-3.5847289999999999E-6</v>
      </c>
      <c r="I5238">
        <v>17.838909999999998</v>
      </c>
      <c r="J5238">
        <v>-382.30860000000001</v>
      </c>
      <c r="K5238">
        <v>1.112123</v>
      </c>
      <c r="L5238">
        <v>17.27637</v>
      </c>
      <c r="M5238">
        <v>0.99967830000000002</v>
      </c>
      <c r="N5238">
        <v>0</v>
      </c>
      <c r="O5238">
        <v>-2.1573760000000001E-2</v>
      </c>
      <c r="P5238">
        <v>0.98735550000000005</v>
      </c>
      <c r="Q5238">
        <v>0.1583706</v>
      </c>
      <c r="R5238">
        <v>-6.9559840000000001E-3</v>
      </c>
      <c r="S5238">
        <v>3.067383</v>
      </c>
      <c r="T5238">
        <v>-0.17643049999999999</v>
      </c>
      <c r="U5238">
        <v>8.9080809999999996E-2</v>
      </c>
      <c r="V5238">
        <v>-1.514341E-2</v>
      </c>
      <c r="W5238">
        <v>0.17145450000000001</v>
      </c>
      <c r="X5238">
        <v>0.9850757</v>
      </c>
      <c r="Y5238">
        <v>-5.046991E-2</v>
      </c>
      <c r="Z5238">
        <v>2.6897010000000001E-3</v>
      </c>
      <c r="AA5238">
        <v>0.998722</v>
      </c>
      <c r="AB5238">
        <v>24</v>
      </c>
      <c r="AC5238">
        <v>19.2241</v>
      </c>
      <c r="AD5238">
        <v>-1.1121265847290001</v>
      </c>
      <c r="AE5238">
        <v>0.56254000000000204</v>
      </c>
      <c r="AF5238">
        <v>-0.97392541495468099</v>
      </c>
      <c r="AG5238">
        <v>-1.1121265847290001</v>
      </c>
      <c r="AH5238">
        <v>19.1434751912394</v>
      </c>
      <c r="AI5238">
        <v>93.320535764390698</v>
      </c>
      <c r="AJ5238">
        <v>92.912415143541907</v>
      </c>
      <c r="AK5238">
        <v>19.200468709173599</v>
      </c>
      <c r="AL5238">
        <v>80.127602984631693</v>
      </c>
      <c r="AM5238">
        <v>90.880729410909098</v>
      </c>
      <c r="AN5238">
        <v>1.0000000515835801</v>
      </c>
    </row>
    <row r="5239" spans="1:40" x14ac:dyDescent="0.25">
      <c r="A5239" t="str">
        <f>"20190312173034072"</f>
        <v>20190312173034072</v>
      </c>
      <c r="B5239" t="str">
        <f>"1552383034063333"</f>
        <v>1552383034063333</v>
      </c>
      <c r="C5239" t="s">
        <v>40</v>
      </c>
      <c r="D5239">
        <v>3.426361</v>
      </c>
      <c r="E5239">
        <v>0.48971330000000002</v>
      </c>
      <c r="F5239" t="s">
        <v>57</v>
      </c>
      <c r="G5239">
        <v>-362.90289999999999</v>
      </c>
      <c r="H5239" s="1">
        <v>-3.668726E-6</v>
      </c>
      <c r="I5239">
        <v>17.849219999999999</v>
      </c>
      <c r="J5239">
        <v>-382.18770000000001</v>
      </c>
      <c r="K5239">
        <v>1.1120920000000001</v>
      </c>
      <c r="L5239">
        <v>17.275449999999999</v>
      </c>
      <c r="M5239">
        <v>0.99970939999999997</v>
      </c>
      <c r="N5239">
        <v>0</v>
      </c>
      <c r="O5239">
        <v>-2.00824E-2</v>
      </c>
      <c r="P5239">
        <v>0.98741630000000002</v>
      </c>
      <c r="Q5239">
        <v>0.15802269999999999</v>
      </c>
      <c r="R5239">
        <v>-6.1756789999999999E-3</v>
      </c>
      <c r="S5239">
        <v>3.0672609999999998</v>
      </c>
      <c r="T5239">
        <v>-0.1757832</v>
      </c>
      <c r="U5239">
        <v>9.0545650000000005E-2</v>
      </c>
      <c r="V5239">
        <v>-1.443501E-2</v>
      </c>
      <c r="W5239">
        <v>0.17110929999999999</v>
      </c>
      <c r="X5239">
        <v>0.98514630000000003</v>
      </c>
      <c r="Y5239">
        <v>-4.9462640000000002E-2</v>
      </c>
      <c r="Z5239">
        <v>2.5657179999999998E-3</v>
      </c>
      <c r="AA5239">
        <v>0.99877269999999896</v>
      </c>
      <c r="AB5239">
        <v>24</v>
      </c>
      <c r="AC5239">
        <v>19.284800000000001</v>
      </c>
      <c r="AD5239">
        <v>-1.112095668726</v>
      </c>
      <c r="AE5239">
        <v>0.573770000000003</v>
      </c>
      <c r="AF5239">
        <v>-0.95779147341005799</v>
      </c>
      <c r="AG5239">
        <v>-1.112095668726</v>
      </c>
      <c r="AH5239">
        <v>19.205575183167099</v>
      </c>
      <c r="AI5239">
        <v>93.309897819704503</v>
      </c>
      <c r="AJ5239">
        <v>92.855003390814701</v>
      </c>
      <c r="AK5239">
        <v>19.2615741672175</v>
      </c>
      <c r="AL5239">
        <v>80.147677615599406</v>
      </c>
      <c r="AM5239">
        <v>90.839475281453403</v>
      </c>
      <c r="AN5239">
        <v>0.99999999723194</v>
      </c>
    </row>
    <row r="5240" spans="1:40" x14ac:dyDescent="0.25">
      <c r="A5240" t="str">
        <f>"20190312173034083"</f>
        <v>20190312173034083</v>
      </c>
      <c r="B5240" t="str">
        <f>"1552383034073093"</f>
        <v>1552383034073093</v>
      </c>
      <c r="C5240" t="s">
        <v>40</v>
      </c>
      <c r="D5240">
        <v>3.3817970000000002</v>
      </c>
      <c r="E5240">
        <v>0.48978050000000001</v>
      </c>
      <c r="F5240" t="s">
        <v>57</v>
      </c>
      <c r="G5240">
        <v>-362.87610000000001</v>
      </c>
      <c r="H5240" s="1">
        <v>-3.679894E-6</v>
      </c>
      <c r="I5240">
        <v>17.857859999999999</v>
      </c>
      <c r="J5240">
        <v>-382.06169999999997</v>
      </c>
      <c r="K5240">
        <v>1.112052</v>
      </c>
      <c r="L5240">
        <v>17.2746</v>
      </c>
      <c r="M5240">
        <v>0.9997393</v>
      </c>
      <c r="N5240">
        <v>0</v>
      </c>
      <c r="O5240">
        <v>-1.8545059999999999E-2</v>
      </c>
      <c r="P5240">
        <v>0.98741230000000002</v>
      </c>
      <c r="Q5240">
        <v>0.15807360000000001</v>
      </c>
      <c r="R5240">
        <v>-5.4773030000000002E-3</v>
      </c>
      <c r="S5240">
        <v>3.0671080000000002</v>
      </c>
      <c r="T5240">
        <v>-0.17662510000000001</v>
      </c>
      <c r="U5240">
        <v>9.2498780000000003E-2</v>
      </c>
      <c r="V5240">
        <v>-1.3599180000000001E-2</v>
      </c>
      <c r="W5240">
        <v>0.1711628</v>
      </c>
      <c r="X5240">
        <v>0.98514889999999999</v>
      </c>
      <c r="Y5240">
        <v>-4.856659E-2</v>
      </c>
      <c r="Z5240">
        <v>2.463874E-3</v>
      </c>
      <c r="AA5240">
        <v>0.99881690000000001</v>
      </c>
      <c r="AB5240">
        <v>24</v>
      </c>
      <c r="AC5240">
        <v>19.185599999999901</v>
      </c>
      <c r="AD5240">
        <v>-1.112055679894</v>
      </c>
      <c r="AE5240">
        <v>0.583260000000002</v>
      </c>
      <c r="AF5240">
        <v>-0.93584806678438603</v>
      </c>
      <c r="AG5240">
        <v>-1.112055679894</v>
      </c>
      <c r="AH5240">
        <v>19.107346489077099</v>
      </c>
      <c r="AI5240">
        <v>93.326902135931405</v>
      </c>
      <c r="AJ5240">
        <v>92.804017286939299</v>
      </c>
      <c r="AK5240">
        <v>19.162546002369702</v>
      </c>
      <c r="AL5240">
        <v>80.144566405262594</v>
      </c>
      <c r="AM5240">
        <v>90.7908714432984</v>
      </c>
      <c r="AN5240">
        <v>0.99999999848586096</v>
      </c>
    </row>
    <row r="5241" spans="1:40" x14ac:dyDescent="0.25">
      <c r="A5241" t="str">
        <f>"20190312173034094"</f>
        <v>20190312173034094</v>
      </c>
      <c r="B5241" t="str">
        <f>"1552383034082853"</f>
        <v>1552383034082853</v>
      </c>
      <c r="C5241" t="s">
        <v>40</v>
      </c>
      <c r="D5241">
        <v>3.3596729999999999</v>
      </c>
      <c r="E5241">
        <v>0.48984820000000001</v>
      </c>
      <c r="F5241" t="s">
        <v>57</v>
      </c>
      <c r="G5241">
        <v>-362.66800000000001</v>
      </c>
      <c r="H5241" s="1">
        <v>-3.7762910000000001E-6</v>
      </c>
      <c r="I5241">
        <v>17.868970000000001</v>
      </c>
      <c r="J5241">
        <v>-381.94490000000002</v>
      </c>
      <c r="K5241">
        <v>1.112007</v>
      </c>
      <c r="L5241">
        <v>17.27402</v>
      </c>
      <c r="M5241">
        <v>0.99976379999999998</v>
      </c>
      <c r="N5241">
        <v>0</v>
      </c>
      <c r="O5241">
        <v>-1.7176670000000002E-2</v>
      </c>
      <c r="P5241">
        <v>0.98742969999999997</v>
      </c>
      <c r="Q5241">
        <v>0.1579882</v>
      </c>
      <c r="R5241">
        <v>-4.7626500000000002E-3</v>
      </c>
      <c r="S5241">
        <v>3.0669249999999999</v>
      </c>
      <c r="T5241">
        <v>-0.17586019999999999</v>
      </c>
      <c r="U5241">
        <v>9.3994140000000004E-2</v>
      </c>
      <c r="V5241">
        <v>-1.2944999999999899E-2</v>
      </c>
      <c r="W5241">
        <v>0.17107919999999999</v>
      </c>
      <c r="X5241">
        <v>0.98517220000000005</v>
      </c>
      <c r="Y5241">
        <v>-4.7692449999999997E-2</v>
      </c>
      <c r="Z5241">
        <v>2.3499240000000002E-3</v>
      </c>
      <c r="AA5241">
        <v>0.99885930000000001</v>
      </c>
      <c r="AB5241">
        <v>24</v>
      </c>
      <c r="AC5241">
        <v>19.276900000000001</v>
      </c>
      <c r="AD5241">
        <v>-1.1120107762910001</v>
      </c>
      <c r="AE5241">
        <v>0.59494999999999998</v>
      </c>
      <c r="AF5241">
        <v>-0.92293619150126205</v>
      </c>
      <c r="AG5241">
        <v>-1.1120107762910001</v>
      </c>
      <c r="AH5241">
        <v>19.200004441177899</v>
      </c>
      <c r="AI5241">
        <v>93.310894482877998</v>
      </c>
      <c r="AJ5241">
        <v>92.752065768119394</v>
      </c>
      <c r="AK5241">
        <v>19.254312496721901</v>
      </c>
      <c r="AL5241">
        <v>80.149427705097494</v>
      </c>
      <c r="AM5241">
        <v>90.752813756250802</v>
      </c>
      <c r="AN5241">
        <v>0.99999996467523899</v>
      </c>
    </row>
    <row r="5242" spans="1:40" x14ac:dyDescent="0.25">
      <c r="A5242" t="str">
        <f>"20190312173034106"</f>
        <v>20190312173034106</v>
      </c>
      <c r="B5242" t="str">
        <f>"1552383034103350"</f>
        <v>1552383034103350</v>
      </c>
      <c r="C5242" t="s">
        <v>40</v>
      </c>
      <c r="D5242">
        <v>3.3468650000000002</v>
      </c>
      <c r="E5242">
        <v>0.48993700000000001</v>
      </c>
      <c r="F5242" t="s">
        <v>57</v>
      </c>
      <c r="G5242">
        <v>-362.6447</v>
      </c>
      <c r="H5242" s="1">
        <v>-3.7861250000000001E-6</v>
      </c>
      <c r="I5242">
        <v>17.875699999999998</v>
      </c>
      <c r="J5242">
        <v>-381.82659999999998</v>
      </c>
      <c r="K5242">
        <v>1.1119650000000001</v>
      </c>
      <c r="L5242">
        <v>17.273499999999999</v>
      </c>
      <c r="M5242">
        <v>0.99978630000000002</v>
      </c>
      <c r="N5242">
        <v>0</v>
      </c>
      <c r="O5242">
        <v>-1.5803899999999999E-2</v>
      </c>
      <c r="P5242">
        <v>0.98747229999999997</v>
      </c>
      <c r="Q5242">
        <v>0.15773299999999901</v>
      </c>
      <c r="R5242">
        <v>-4.3275099999999997E-3</v>
      </c>
      <c r="S5242">
        <v>3.0669559999999998</v>
      </c>
      <c r="T5242">
        <v>-0.1767069</v>
      </c>
      <c r="U5242">
        <v>9.5611570000000007E-2</v>
      </c>
      <c r="V5242">
        <v>-1.200505E-2</v>
      </c>
      <c r="W5242">
        <v>0.17082639999999999</v>
      </c>
      <c r="X5242">
        <v>0.98522799999999999</v>
      </c>
      <c r="Y5242">
        <v>-4.684953E-2</v>
      </c>
      <c r="Z5242">
        <v>2.2579029999999999E-3</v>
      </c>
      <c r="AA5242">
        <v>0.99889939999999999</v>
      </c>
      <c r="AB5242">
        <v>24</v>
      </c>
      <c r="AC5242">
        <v>19.181899999999899</v>
      </c>
      <c r="AD5242">
        <v>-1.1119687861249901</v>
      </c>
      <c r="AE5242">
        <v>0.60219999999999896</v>
      </c>
      <c r="AF5242">
        <v>-0.902271445372268</v>
      </c>
      <c r="AG5242">
        <v>-1.1119687861249901</v>
      </c>
      <c r="AH5242">
        <v>19.105844320638901</v>
      </c>
      <c r="AI5242">
        <v>93.327183081928197</v>
      </c>
      <c r="AJ5242">
        <v>92.703778245642894</v>
      </c>
      <c r="AK5242">
        <v>19.159432547623599</v>
      </c>
      <c r="AL5242">
        <v>80.164128797591204</v>
      </c>
      <c r="AM5242">
        <v>90.698117246469295</v>
      </c>
      <c r="AN5242">
        <v>0.99999999607323098</v>
      </c>
    </row>
    <row r="5243" spans="1:40" x14ac:dyDescent="0.25">
      <c r="A5243" t="str">
        <f>"20190312173034117"</f>
        <v>20190312173034117</v>
      </c>
      <c r="B5243" t="str">
        <f>"1552383034113109"</f>
        <v>1552383034113109</v>
      </c>
      <c r="C5243" t="s">
        <v>40</v>
      </c>
      <c r="D5243">
        <v>3.3528820000000001</v>
      </c>
      <c r="E5243">
        <v>0.49263800000000002</v>
      </c>
      <c r="F5243" t="s">
        <v>57</v>
      </c>
      <c r="G5243">
        <v>-362.63010000000003</v>
      </c>
      <c r="H5243" s="1">
        <v>-3.79297E-6</v>
      </c>
      <c r="I5243">
        <v>17.875969999999999</v>
      </c>
      <c r="J5243">
        <v>-381.709</v>
      </c>
      <c r="K5243">
        <v>1.111917</v>
      </c>
      <c r="L5243">
        <v>17.273160000000001</v>
      </c>
      <c r="M5243">
        <v>0.99980650000000004</v>
      </c>
      <c r="N5243">
        <v>0</v>
      </c>
      <c r="O5243">
        <v>-1.448266E-2</v>
      </c>
      <c r="P5243">
        <v>0.98750230000000006</v>
      </c>
      <c r="Q5243">
        <v>0.15756099999999901</v>
      </c>
      <c r="R5243">
        <v>-3.7487060000000001E-3</v>
      </c>
      <c r="S5243">
        <v>3.0668950000000001</v>
      </c>
      <c r="T5243">
        <v>-0.177651</v>
      </c>
      <c r="U5243">
        <v>9.6252439999999995E-2</v>
      </c>
      <c r="V5243">
        <v>-1.125982E-2</v>
      </c>
      <c r="W5243">
        <v>0.17065640000000001</v>
      </c>
      <c r="X5243">
        <v>0.98526630000000004</v>
      </c>
      <c r="Y5243">
        <v>-4.5741539999999997E-2</v>
      </c>
      <c r="Z5243">
        <v>2.1614690000000001E-3</v>
      </c>
      <c r="AA5243">
        <v>0.99895100000000003</v>
      </c>
      <c r="AB5243">
        <v>24</v>
      </c>
      <c r="AC5243">
        <v>19.078899999999901</v>
      </c>
      <c r="AD5243">
        <v>-1.1119207929699999</v>
      </c>
      <c r="AE5243">
        <v>0.60281000000000096</v>
      </c>
      <c r="AF5243">
        <v>-0.87611166500743498</v>
      </c>
      <c r="AG5243">
        <v>-1.1119207929699999</v>
      </c>
      <c r="AH5243">
        <v>19.0036845568446</v>
      </c>
      <c r="AI5243">
        <v>93.345059219226499</v>
      </c>
      <c r="AJ5243">
        <v>92.639592466906393</v>
      </c>
      <c r="AK5243">
        <v>19.056336642583101</v>
      </c>
      <c r="AL5243">
        <v>80.1740146370323</v>
      </c>
      <c r="AM5243">
        <v>90.654759104589203</v>
      </c>
      <c r="AN5243">
        <v>1.00000003616154</v>
      </c>
    </row>
    <row r="5244" spans="1:40" x14ac:dyDescent="0.25">
      <c r="A5244" t="str">
        <f>"20190312173034128"</f>
        <v>20190312173034128</v>
      </c>
      <c r="B5244" t="str">
        <f>"1552383034122869"</f>
        <v>1552383034122869</v>
      </c>
      <c r="C5244" t="s">
        <v>40</v>
      </c>
      <c r="D5244">
        <v>3.3696009999999998</v>
      </c>
      <c r="E5244">
        <v>0.49294779999999999</v>
      </c>
      <c r="F5244" t="s">
        <v>57</v>
      </c>
      <c r="G5244">
        <v>-363.75459999999998</v>
      </c>
      <c r="H5244" s="1">
        <v>-3.2886729999999998E-6</v>
      </c>
      <c r="I5244">
        <v>17.722239999999999</v>
      </c>
      <c r="J5244">
        <v>-381.58800000000002</v>
      </c>
      <c r="K5244">
        <v>1.1118680000000001</v>
      </c>
      <c r="L5244">
        <v>17.272919999999999</v>
      </c>
      <c r="M5244">
        <v>0.99982490000000002</v>
      </c>
      <c r="N5244">
        <v>0</v>
      </c>
      <c r="O5244">
        <v>-1.31512E-2</v>
      </c>
      <c r="P5244">
        <v>0.98755029999999999</v>
      </c>
      <c r="Q5244">
        <v>0.15727439999999901</v>
      </c>
      <c r="R5244">
        <v>-3.137534E-3</v>
      </c>
      <c r="S5244">
        <v>3.0686040000000001</v>
      </c>
      <c r="T5244">
        <v>-0.19003929999999999</v>
      </c>
      <c r="U5244">
        <v>7.6751710000000001E-2</v>
      </c>
      <c r="V5244">
        <v>-1.0534959999999999E-2</v>
      </c>
      <c r="W5244">
        <v>0.17037160000000001</v>
      </c>
      <c r="X5244">
        <v>0.98532350000000002</v>
      </c>
      <c r="Y5244">
        <v>-3.8052160000000002E-2</v>
      </c>
      <c r="Z5244">
        <v>1.9906160000000002E-3</v>
      </c>
      <c r="AA5244">
        <v>0.99927379999999999</v>
      </c>
      <c r="AB5244">
        <v>24</v>
      </c>
      <c r="AC5244">
        <v>17.833400000000001</v>
      </c>
      <c r="AD5244">
        <v>-1.111871288673</v>
      </c>
      <c r="AE5244">
        <v>0.449319999999996</v>
      </c>
      <c r="AF5244">
        <v>-0.68118627874411897</v>
      </c>
      <c r="AG5244">
        <v>-1.111871288673</v>
      </c>
      <c r="AH5244">
        <v>17.756966160045799</v>
      </c>
      <c r="AI5244">
        <v>93.580331688765597</v>
      </c>
      <c r="AJ5244">
        <v>92.196882626154604</v>
      </c>
      <c r="AK5244">
        <v>17.804778002489499</v>
      </c>
      <c r="AL5244">
        <v>80.190573980352696</v>
      </c>
      <c r="AM5244">
        <v>90.612576221055207</v>
      </c>
      <c r="AN5244">
        <v>0.99999993356050298</v>
      </c>
    </row>
    <row r="5245" spans="1:40" x14ac:dyDescent="0.25">
      <c r="A5245" t="str">
        <f>"20190312173034139"</f>
        <v>20190312173034139</v>
      </c>
      <c r="B5245" t="str">
        <f>"1552383034133606"</f>
        <v>1552383034133606</v>
      </c>
      <c r="C5245" t="s">
        <v>40</v>
      </c>
      <c r="D5245">
        <v>3.3764419999999999</v>
      </c>
      <c r="E5245">
        <v>0.4931006</v>
      </c>
      <c r="F5245" t="s">
        <v>57</v>
      </c>
      <c r="G5245">
        <v>-363.76400000000001</v>
      </c>
      <c r="H5245" s="1">
        <v>-3.2857320000000002E-6</v>
      </c>
      <c r="I5245">
        <v>17.7136</v>
      </c>
      <c r="J5245">
        <v>-381.46879999999999</v>
      </c>
      <c r="K5245">
        <v>1.1118110000000001</v>
      </c>
      <c r="L5245">
        <v>17.2728</v>
      </c>
      <c r="M5245">
        <v>0.99984079999999997</v>
      </c>
      <c r="N5245">
        <v>0</v>
      </c>
      <c r="O5245">
        <v>-1.187423E-2</v>
      </c>
      <c r="P5245">
        <v>0.98761180000000004</v>
      </c>
      <c r="Q5245">
        <v>0.156892</v>
      </c>
      <c r="R5245">
        <v>-2.7552280000000002E-3</v>
      </c>
      <c r="S5245">
        <v>3.0685120000000001</v>
      </c>
      <c r="T5245">
        <v>-0.19141639999999999</v>
      </c>
      <c r="U5245">
        <v>7.5866699999999995E-2</v>
      </c>
      <c r="V5245">
        <v>-9.6344429999999995E-3</v>
      </c>
      <c r="W5245">
        <v>0.169992</v>
      </c>
      <c r="X5245">
        <v>0.98539840000000001</v>
      </c>
      <c r="Y5245">
        <v>-3.6492660000000003E-2</v>
      </c>
      <c r="Z5245">
        <v>1.876916E-3</v>
      </c>
      <c r="AA5245">
        <v>0.99933209999999995</v>
      </c>
      <c r="AB5245">
        <v>24</v>
      </c>
      <c r="AC5245">
        <v>17.704799999999899</v>
      </c>
      <c r="AD5245">
        <v>-1.1118142857319999</v>
      </c>
      <c r="AE5245">
        <v>0.44079999999999903</v>
      </c>
      <c r="AF5245">
        <v>-0.64846280000658496</v>
      </c>
      <c r="AG5245">
        <v>-1.1118142857319999</v>
      </c>
      <c r="AH5245">
        <v>17.628840581621599</v>
      </c>
      <c r="AI5245">
        <v>93.606313418986502</v>
      </c>
      <c r="AJ5245">
        <v>92.106629618483197</v>
      </c>
      <c r="AK5245">
        <v>17.675764630170299</v>
      </c>
      <c r="AL5245">
        <v>80.212646619734301</v>
      </c>
      <c r="AM5245">
        <v>90.560174781292105</v>
      </c>
      <c r="AN5245">
        <v>1.00000005463923</v>
      </c>
    </row>
    <row r="5246" spans="1:40" x14ac:dyDescent="0.25">
      <c r="A5246" t="str">
        <f>"20190312173034151"</f>
        <v>20190312173034151</v>
      </c>
      <c r="B5246" t="str">
        <f>"1552383034143366"</f>
        <v>1552383034143366</v>
      </c>
      <c r="C5246" t="s">
        <v>40</v>
      </c>
      <c r="D5246">
        <v>3.3614769999999998</v>
      </c>
      <c r="E5246">
        <v>0.49338290000000001</v>
      </c>
      <c r="F5246" t="s">
        <v>57</v>
      </c>
      <c r="G5246">
        <v>-363.62529999999998</v>
      </c>
      <c r="H5246" s="1">
        <v>-3.3515809999999999E-6</v>
      </c>
      <c r="I5246">
        <v>17.712060000000001</v>
      </c>
      <c r="J5246">
        <v>-381.34559999999999</v>
      </c>
      <c r="K5246">
        <v>1.1117570000000001</v>
      </c>
      <c r="L5246">
        <v>17.2728</v>
      </c>
      <c r="M5246">
        <v>0.9998553</v>
      </c>
      <c r="N5246">
        <v>0</v>
      </c>
      <c r="O5246">
        <v>-1.0602790000000001E-2</v>
      </c>
      <c r="P5246">
        <v>0.98762609999999995</v>
      </c>
      <c r="Q5246">
        <v>0.15680740000000001</v>
      </c>
      <c r="R5246">
        <v>-2.5351129999999999E-3</v>
      </c>
      <c r="S5246">
        <v>3.0681759999999998</v>
      </c>
      <c r="T5246">
        <v>-0.1911757</v>
      </c>
      <c r="U5246">
        <v>7.5531009999999996E-2</v>
      </c>
      <c r="V5246">
        <v>-8.5773429999999994E-3</v>
      </c>
      <c r="W5246">
        <v>0.16990920000000001</v>
      </c>
      <c r="X5246">
        <v>0.98542240000000003</v>
      </c>
      <c r="Y5246">
        <v>-3.5120599999999898E-2</v>
      </c>
      <c r="Z5246">
        <v>1.7529259999999999E-3</v>
      </c>
      <c r="AA5246">
        <v>0.99938150000000003</v>
      </c>
      <c r="AB5246">
        <v>24</v>
      </c>
      <c r="AC5246">
        <v>17.720300000000002</v>
      </c>
      <c r="AD5246">
        <v>-1.111760351581</v>
      </c>
      <c r="AE5246">
        <v>0.43925999999999998</v>
      </c>
      <c r="AF5246">
        <v>-0.62467918061176197</v>
      </c>
      <c r="AG5246">
        <v>-1.111760351581</v>
      </c>
      <c r="AH5246">
        <v>17.6452329473607</v>
      </c>
      <c r="AI5246">
        <v>93.6029766890817</v>
      </c>
      <c r="AJ5246">
        <v>92.027547004131804</v>
      </c>
      <c r="AK5246">
        <v>17.691254362669198</v>
      </c>
      <c r="AL5246">
        <v>80.217460269885294</v>
      </c>
      <c r="AM5246">
        <v>90.4987030360478</v>
      </c>
      <c r="AN5246">
        <v>1.0000000067396599</v>
      </c>
    </row>
    <row r="5247" spans="1:40" x14ac:dyDescent="0.25">
      <c r="A5247" t="str">
        <f>"20190312173034163"</f>
        <v>20190312173034163</v>
      </c>
      <c r="B5247" t="str">
        <f>"1552383034153125"</f>
        <v>1552383034153125</v>
      </c>
      <c r="C5247" t="s">
        <v>40</v>
      </c>
      <c r="D5247">
        <v>3.3467090000000002</v>
      </c>
      <c r="E5247">
        <v>0.49355640000000001</v>
      </c>
      <c r="F5247" t="s">
        <v>57</v>
      </c>
      <c r="G5247">
        <v>-363.56369999999998</v>
      </c>
      <c r="H5247" s="1">
        <v>-3.3826859999999999E-6</v>
      </c>
      <c r="I5247">
        <v>17.700979999999898</v>
      </c>
      <c r="J5247">
        <v>-381.21719999999999</v>
      </c>
      <c r="K5247">
        <v>1.111699</v>
      </c>
      <c r="L5247">
        <v>17.272860000000001</v>
      </c>
      <c r="M5247">
        <v>0.99986830000000004</v>
      </c>
      <c r="N5247">
        <v>0</v>
      </c>
      <c r="O5247">
        <v>-9.3017050000000004E-3</v>
      </c>
      <c r="P5247">
        <v>0.98763230000000002</v>
      </c>
      <c r="Q5247">
        <v>0.15677659999999999</v>
      </c>
      <c r="R5247">
        <v>-1.9317379999999999E-3</v>
      </c>
      <c r="S5247">
        <v>3.0682369999999999</v>
      </c>
      <c r="T5247">
        <v>-0.19183220000000001</v>
      </c>
      <c r="U5247">
        <v>7.388306E-2</v>
      </c>
      <c r="V5247">
        <v>-7.8720849999999992E-3</v>
      </c>
      <c r="W5247">
        <v>0.16987869999999999</v>
      </c>
      <c r="X5247">
        <v>0.98543349999999996</v>
      </c>
      <c r="Y5247">
        <v>-3.3288659999999998E-2</v>
      </c>
      <c r="Z5247">
        <v>1.6204419999999999E-3</v>
      </c>
      <c r="AA5247">
        <v>0.99944449999999996</v>
      </c>
      <c r="AB5247">
        <v>24</v>
      </c>
      <c r="AC5247">
        <v>17.653500000000001</v>
      </c>
      <c r="AD5247">
        <v>-1.111702382686</v>
      </c>
      <c r="AE5247">
        <v>0.428119999999996</v>
      </c>
      <c r="AF5247">
        <v>-0.589985341789383</v>
      </c>
      <c r="AG5247">
        <v>-1.111702382686</v>
      </c>
      <c r="AH5247">
        <v>17.579081866166501</v>
      </c>
      <c r="AI5247">
        <v>93.616539524651898</v>
      </c>
      <c r="AJ5247">
        <v>91.922227042981802</v>
      </c>
      <c r="AK5247">
        <v>17.624076831101799</v>
      </c>
      <c r="AL5247">
        <v>80.219233135592205</v>
      </c>
      <c r="AM5247">
        <v>90.457694661765103</v>
      </c>
      <c r="AN5247">
        <v>0.99999996267909197</v>
      </c>
    </row>
    <row r="5248" spans="1:40" x14ac:dyDescent="0.25">
      <c r="A5248" t="str">
        <f>"20190312173034174"</f>
        <v>20190312173034174</v>
      </c>
      <c r="B5248" t="str">
        <f>"1552383034162886"</f>
        <v>1552383034162886</v>
      </c>
      <c r="C5248" t="s">
        <v>40</v>
      </c>
      <c r="D5248">
        <v>3.374924</v>
      </c>
      <c r="E5248">
        <v>0.49361050000000001</v>
      </c>
      <c r="F5248" t="s">
        <v>57</v>
      </c>
      <c r="G5248">
        <v>-363.46769999999998</v>
      </c>
      <c r="H5248" s="1">
        <v>-3.427839E-6</v>
      </c>
      <c r="I5248">
        <v>17.70204</v>
      </c>
      <c r="J5248">
        <v>-381.09879999999998</v>
      </c>
      <c r="K5248">
        <v>1.111648</v>
      </c>
      <c r="L5248">
        <v>17.273129999999998</v>
      </c>
      <c r="M5248">
        <v>0.99987820000000005</v>
      </c>
      <c r="N5248">
        <v>0</v>
      </c>
      <c r="O5248">
        <v>-8.1757259999999995E-3</v>
      </c>
      <c r="P5248">
        <v>0.98768310000000004</v>
      </c>
      <c r="Q5248">
        <v>0.15645870000000001</v>
      </c>
      <c r="R5248">
        <v>-1.7389879999999999E-3</v>
      </c>
      <c r="S5248">
        <v>3.0681759999999998</v>
      </c>
      <c r="T5248">
        <v>-0.19216929999999999</v>
      </c>
      <c r="U5248">
        <v>7.4188229999999994E-2</v>
      </c>
      <c r="V5248">
        <v>-6.9298619999999898E-3</v>
      </c>
      <c r="W5248">
        <v>0.1695624</v>
      </c>
      <c r="X5248">
        <v>0.98549509999999996</v>
      </c>
      <c r="Y5248">
        <v>-3.2266900000000001E-2</v>
      </c>
      <c r="Z5248">
        <v>1.5208999999999999E-3</v>
      </c>
      <c r="AA5248">
        <v>0.99947810000000004</v>
      </c>
      <c r="AB5248">
        <v>24</v>
      </c>
      <c r="AC5248">
        <v>17.6311</v>
      </c>
      <c r="AD5248">
        <v>-1.111651427839</v>
      </c>
      <c r="AE5248">
        <v>0.42891000000000101</v>
      </c>
      <c r="AF5248">
        <v>-0.57078769051051104</v>
      </c>
      <c r="AG5248">
        <v>-1.111651427839</v>
      </c>
      <c r="AH5248">
        <v>17.557248252647501</v>
      </c>
      <c r="AI5248">
        <v>93.620984780075005</v>
      </c>
      <c r="AJ5248">
        <v>91.862035035812596</v>
      </c>
      <c r="AK5248">
        <v>17.601662810363901</v>
      </c>
      <c r="AL5248">
        <v>80.237623060614496</v>
      </c>
      <c r="AM5248">
        <v>90.4028891681522</v>
      </c>
      <c r="AN5248">
        <v>1.00000001130255</v>
      </c>
    </row>
    <row r="5249" spans="1:40" x14ac:dyDescent="0.25">
      <c r="A5249" t="str">
        <f>"20190312173034187"</f>
        <v>20190312173034187</v>
      </c>
      <c r="B5249" t="str">
        <f>"1552383034183381"</f>
        <v>1552383034183381</v>
      </c>
      <c r="C5249" t="s">
        <v>40</v>
      </c>
      <c r="D5249">
        <v>3.3469630000000001</v>
      </c>
      <c r="E5249">
        <v>0.49381219999999998</v>
      </c>
      <c r="F5249" t="s">
        <v>57</v>
      </c>
      <c r="G5249">
        <v>-363.41210000000001</v>
      </c>
      <c r="H5249" s="1">
        <v>-3.4543379999999999E-6</v>
      </c>
      <c r="I5249">
        <v>17.700979999999898</v>
      </c>
      <c r="J5249">
        <v>-380.9744</v>
      </c>
      <c r="K5249">
        <v>1.1115919999999999</v>
      </c>
      <c r="L5249">
        <v>17.273409999999998</v>
      </c>
      <c r="M5249">
        <v>0.99988710000000003</v>
      </c>
      <c r="N5249">
        <v>0</v>
      </c>
      <c r="O5249">
        <v>-7.0140289999999998E-3</v>
      </c>
      <c r="P5249">
        <v>0.98771450000000005</v>
      </c>
      <c r="Q5249">
        <v>0.15626389999999901</v>
      </c>
      <c r="R5249">
        <v>-1.4132109999999999E-3</v>
      </c>
      <c r="S5249">
        <v>3.068085</v>
      </c>
      <c r="T5249">
        <v>-0.1928366</v>
      </c>
      <c r="U5249">
        <v>7.421875E-2</v>
      </c>
      <c r="V5249">
        <v>-6.084679E-3</v>
      </c>
      <c r="W5249">
        <v>0.16936880000000001</v>
      </c>
      <c r="X5249">
        <v>0.98553400000000002</v>
      </c>
      <c r="Y5249">
        <v>-3.11203E-2</v>
      </c>
      <c r="Z5249">
        <v>1.4172830000000001E-3</v>
      </c>
      <c r="AA5249">
        <v>0.99951460000000003</v>
      </c>
      <c r="AB5249">
        <v>24</v>
      </c>
      <c r="AC5249">
        <v>17.562299999999901</v>
      </c>
      <c r="AD5249">
        <v>-1.111595454338</v>
      </c>
      <c r="AE5249">
        <v>0.42756999999999501</v>
      </c>
      <c r="AF5249">
        <v>-0.54855652410201095</v>
      </c>
      <c r="AG5249">
        <v>-1.111595454338</v>
      </c>
      <c r="AH5249">
        <v>17.4888466527701</v>
      </c>
      <c r="AI5249">
        <v>93.635058894386802</v>
      </c>
      <c r="AJ5249">
        <v>91.796554861521003</v>
      </c>
      <c r="AK5249">
        <v>17.532721293579801</v>
      </c>
      <c r="AL5249">
        <v>80.248878595396903</v>
      </c>
      <c r="AM5249">
        <v>90.353739187917697</v>
      </c>
      <c r="AN5249">
        <v>1.0000000394439801</v>
      </c>
    </row>
    <row r="5250" spans="1:40" x14ac:dyDescent="0.25">
      <c r="A5250" t="str">
        <f>"20190312173034206"</f>
        <v>20190312173034206</v>
      </c>
      <c r="B5250" t="str">
        <f>"1552383034202901"</f>
        <v>1552383034202901</v>
      </c>
      <c r="C5250" t="s">
        <v>40</v>
      </c>
      <c r="D5250">
        <v>3.3333390000000001</v>
      </c>
      <c r="E5250">
        <v>0.4940792</v>
      </c>
      <c r="F5250" t="s">
        <v>57</v>
      </c>
      <c r="G5250">
        <v>-363.29180000000002</v>
      </c>
      <c r="H5250" s="1">
        <v>-3.511986E-6</v>
      </c>
      <c r="I5250">
        <v>17.696429999999999</v>
      </c>
      <c r="J5250">
        <v>-380.76650000000001</v>
      </c>
      <c r="K5250">
        <v>1.1114900000000001</v>
      </c>
      <c r="L5250">
        <v>17.274139999999999</v>
      </c>
      <c r="M5250">
        <v>0.99989830000000002</v>
      </c>
      <c r="N5250">
        <v>0</v>
      </c>
      <c r="O5250">
        <v>-5.1832290000000001E-3</v>
      </c>
      <c r="P5250">
        <v>0.98780420000000002</v>
      </c>
      <c r="Q5250">
        <v>0.15569569999999999</v>
      </c>
      <c r="R5250">
        <v>-1.3946290000000001E-3</v>
      </c>
      <c r="S5250">
        <v>3.0679319999999999</v>
      </c>
      <c r="T5250">
        <v>-0.19286249999999999</v>
      </c>
      <c r="U5250">
        <v>7.3394780000000007E-2</v>
      </c>
      <c r="V5250">
        <v>-4.2532639999999997E-3</v>
      </c>
      <c r="W5250">
        <v>0.1688035</v>
      </c>
      <c r="X5250">
        <v>0.98564050000000003</v>
      </c>
      <c r="Y5250">
        <v>-2.9030750000000001E-2</v>
      </c>
      <c r="Z5250">
        <v>1.236968E-3</v>
      </c>
      <c r="AA5250">
        <v>0.99957779999999996</v>
      </c>
      <c r="AB5250">
        <v>24</v>
      </c>
      <c r="AC5250">
        <v>17.474699999999899</v>
      </c>
      <c r="AD5250">
        <v>-1.1114935119860001</v>
      </c>
      <c r="AE5250">
        <v>0.42229</v>
      </c>
      <c r="AF5250">
        <v>-0.51080234320251805</v>
      </c>
      <c r="AG5250">
        <v>-1.1114935119860001</v>
      </c>
      <c r="AH5250">
        <v>17.4019142489031</v>
      </c>
      <c r="AI5250">
        <v>93.653057317616799</v>
      </c>
      <c r="AJ5250">
        <v>91.681333260715107</v>
      </c>
      <c r="AK5250">
        <v>17.4448547253104</v>
      </c>
      <c r="AL5250">
        <v>80.281740233739399</v>
      </c>
      <c r="AM5250">
        <v>90.2472428474141</v>
      </c>
      <c r="AN5250">
        <v>0.99999995355357496</v>
      </c>
    </row>
    <row r="5251" spans="1:40" x14ac:dyDescent="0.25">
      <c r="A5251" t="str">
        <f>"20190312173034220"</f>
        <v>20190312173034220</v>
      </c>
      <c r="B5251" t="str">
        <f>"1552383034212662"</f>
        <v>1552383034212662</v>
      </c>
      <c r="C5251" t="s">
        <v>40</v>
      </c>
      <c r="D5251">
        <v>3.3871760000000002</v>
      </c>
      <c r="E5251">
        <v>0.49424479999999998</v>
      </c>
      <c r="F5251" t="s">
        <v>57</v>
      </c>
      <c r="G5251">
        <v>-363.20030000000003</v>
      </c>
      <c r="H5251" s="1">
        <v>-3.5581599999999998E-6</v>
      </c>
      <c r="I5251">
        <v>17.68008</v>
      </c>
      <c r="J5251">
        <v>-380.62139999999999</v>
      </c>
      <c r="K5251">
        <v>1.111423</v>
      </c>
      <c r="L5251">
        <v>17.274840000000001</v>
      </c>
      <c r="M5251">
        <v>0.99990380000000001</v>
      </c>
      <c r="N5251">
        <v>0</v>
      </c>
      <c r="O5251">
        <v>-3.9797189999999996E-3</v>
      </c>
      <c r="P5251">
        <v>0.987873</v>
      </c>
      <c r="Q5251">
        <v>0.15525990000000001</v>
      </c>
      <c r="R5251">
        <v>-1.1656609999999999E-3</v>
      </c>
      <c r="S5251">
        <v>3.0677189999999999</v>
      </c>
      <c r="T5251">
        <v>-0.19410839999999999</v>
      </c>
      <c r="U5251">
        <v>7.0892330000000003E-2</v>
      </c>
      <c r="V5251">
        <v>-3.2651189999999999E-3</v>
      </c>
      <c r="W5251">
        <v>0.16836779999999901</v>
      </c>
      <c r="X5251">
        <v>0.98571880000000001</v>
      </c>
      <c r="Y5251">
        <v>-2.7019830000000002E-2</v>
      </c>
      <c r="Z5251">
        <v>1.10542E-3</v>
      </c>
      <c r="AA5251">
        <v>0.99963429999999998</v>
      </c>
      <c r="AB5251">
        <v>24</v>
      </c>
      <c r="AC5251">
        <v>17.4210999999999</v>
      </c>
      <c r="AD5251">
        <v>-1.11142655816</v>
      </c>
      <c r="AE5251">
        <v>0.40523999999999899</v>
      </c>
      <c r="AF5251">
        <v>-0.47265127295623099</v>
      </c>
      <c r="AG5251">
        <v>-1.11142655816</v>
      </c>
      <c r="AH5251">
        <v>17.3487752055794</v>
      </c>
      <c r="AI5251">
        <v>93.664213944272504</v>
      </c>
      <c r="AJ5251">
        <v>91.560584283731799</v>
      </c>
      <c r="AK5251">
        <v>17.390763909435901</v>
      </c>
      <c r="AL5251">
        <v>80.307066611744602</v>
      </c>
      <c r="AM5251">
        <v>90.189787243682304</v>
      </c>
      <c r="AN5251">
        <v>0.99999996487618104</v>
      </c>
    </row>
    <row r="5252" spans="1:40" x14ac:dyDescent="0.25">
      <c r="A5252" t="str">
        <f>"20190312173034239"</f>
        <v>20190312173034239</v>
      </c>
      <c r="B5252" t="str">
        <f>"1552383034233157"</f>
        <v>1552383034233157</v>
      </c>
      <c r="C5252" t="s">
        <v>40</v>
      </c>
      <c r="D5252">
        <v>3.393472</v>
      </c>
      <c r="E5252">
        <v>0.49446570000000001</v>
      </c>
      <c r="F5252" t="s">
        <v>57</v>
      </c>
      <c r="G5252">
        <v>-363.1515</v>
      </c>
      <c r="H5252" s="1">
        <v>-3.5823949999999999E-6</v>
      </c>
      <c r="I5252">
        <v>17.67353</v>
      </c>
      <c r="J5252">
        <v>-380.42930000000001</v>
      </c>
      <c r="K5252">
        <v>1.111337</v>
      </c>
      <c r="L5252">
        <v>17.275849999999998</v>
      </c>
      <c r="M5252">
        <v>0.99990869999999998</v>
      </c>
      <c r="N5252">
        <v>0</v>
      </c>
      <c r="O5252">
        <v>-2.4784439999999998E-3</v>
      </c>
      <c r="P5252">
        <v>0.9878768</v>
      </c>
      <c r="Q5252">
        <v>0.15523139999999999</v>
      </c>
      <c r="R5252">
        <v>-1.62359299999999E-3</v>
      </c>
      <c r="S5252">
        <v>3.0676269999999999</v>
      </c>
      <c r="T5252">
        <v>-0.19516069999999999</v>
      </c>
      <c r="U5252">
        <v>7.0007319999999998E-2</v>
      </c>
      <c r="V5252">
        <v>-1.289126E-3</v>
      </c>
      <c r="W5252">
        <v>0.16833999999999999</v>
      </c>
      <c r="X5252">
        <v>0.9857281</v>
      </c>
      <c r="Y5252">
        <v>-2.5237329999999999E-2</v>
      </c>
      <c r="Z5252">
        <v>9.5939029999999995E-4</v>
      </c>
      <c r="AA5252">
        <v>0.99968109999999999</v>
      </c>
      <c r="AB5252">
        <v>24</v>
      </c>
      <c r="AC5252">
        <v>17.277799999999999</v>
      </c>
      <c r="AD5252">
        <v>-1.111340582395</v>
      </c>
      <c r="AE5252">
        <v>0.39768000000000098</v>
      </c>
      <c r="AF5252">
        <v>-0.43869058117948101</v>
      </c>
      <c r="AG5252">
        <v>-1.111340582395</v>
      </c>
      <c r="AH5252">
        <v>17.205614041284999</v>
      </c>
      <c r="AI5252">
        <v>93.694502944057703</v>
      </c>
      <c r="AJ5252">
        <v>91.460550849602001</v>
      </c>
      <c r="AK5252">
        <v>17.247048496880701</v>
      </c>
      <c r="AL5252">
        <v>80.308682375468905</v>
      </c>
      <c r="AM5252">
        <v>90.074930842442001</v>
      </c>
      <c r="AN5252">
        <v>0.99999995228772498</v>
      </c>
    </row>
    <row r="5253" spans="1:40" x14ac:dyDescent="0.25">
      <c r="A5253" t="str">
        <f>"20190312173034250"</f>
        <v>20190312173034250</v>
      </c>
      <c r="B5253" t="str">
        <f>"1552383034242917"</f>
        <v>1552383034242917</v>
      </c>
      <c r="C5253" t="s">
        <v>40</v>
      </c>
      <c r="D5253">
        <v>3.3825859999999999</v>
      </c>
      <c r="E5253">
        <v>0.4945194</v>
      </c>
      <c r="F5253" t="s">
        <v>57</v>
      </c>
      <c r="G5253">
        <v>-362.92809999999997</v>
      </c>
      <c r="H5253" s="1">
        <v>-3.6912069999999999E-6</v>
      </c>
      <c r="I5253">
        <v>17.65541</v>
      </c>
      <c r="J5253">
        <v>-380.30939999999998</v>
      </c>
      <c r="K5253">
        <v>1.111281</v>
      </c>
      <c r="L5253">
        <v>17.276610000000002</v>
      </c>
      <c r="M5253">
        <v>0.99991059999999998</v>
      </c>
      <c r="N5253">
        <v>0</v>
      </c>
      <c r="O5253">
        <v>-1.601316E-3</v>
      </c>
      <c r="P5253">
        <v>0.98788509999999996</v>
      </c>
      <c r="Q5253">
        <v>0.15517839999999999</v>
      </c>
      <c r="R5253">
        <v>-1.7249139999999999E-3</v>
      </c>
      <c r="S5253">
        <v>3.0675050000000001</v>
      </c>
      <c r="T5253">
        <v>-0.1947895</v>
      </c>
      <c r="U5253">
        <v>6.6528320000000002E-2</v>
      </c>
      <c r="V5253">
        <v>-2.9830120000000002E-4</v>
      </c>
      <c r="W5253">
        <v>0.1682864</v>
      </c>
      <c r="X5253">
        <v>0.98573809999999995</v>
      </c>
      <c r="Y5253">
        <v>-2.3234049999999999E-2</v>
      </c>
      <c r="Z5253">
        <v>8.3844399999999895E-4</v>
      </c>
      <c r="AA5253">
        <v>0.99972969999999906</v>
      </c>
      <c r="AB5253">
        <v>24</v>
      </c>
      <c r="AC5253">
        <v>17.3813</v>
      </c>
      <c r="AD5253">
        <v>-1.111284691207</v>
      </c>
      <c r="AE5253">
        <v>0.37879999999999803</v>
      </c>
      <c r="AF5253">
        <v>-0.40498024180043601</v>
      </c>
      <c r="AG5253">
        <v>-1.111284691207</v>
      </c>
      <c r="AH5253">
        <v>17.309945643398599</v>
      </c>
      <c r="AI5253">
        <v>93.672300133145697</v>
      </c>
      <c r="AJ5253">
        <v>91.3402368148937</v>
      </c>
      <c r="AK5253">
        <v>17.350307802415902</v>
      </c>
      <c r="AL5253">
        <v>80.311798358840093</v>
      </c>
      <c r="AM5253">
        <v>90.017338681807999</v>
      </c>
      <c r="AN5253">
        <v>1.0000000016000801</v>
      </c>
    </row>
    <row r="5254" spans="1:40" x14ac:dyDescent="0.25">
      <c r="A5254" t="str">
        <f>"20190312173034261"</f>
        <v>20190312173034261</v>
      </c>
      <c r="B5254" t="str">
        <f>"1552383034252679"</f>
        <v>1552383034252679</v>
      </c>
      <c r="C5254" t="s">
        <v>40</v>
      </c>
      <c r="D5254">
        <v>3.364859</v>
      </c>
      <c r="E5254">
        <v>0.4945194</v>
      </c>
      <c r="F5254" t="s">
        <v>57</v>
      </c>
      <c r="G5254">
        <v>-362.80700000000002</v>
      </c>
      <c r="H5254" s="1">
        <v>-3.7487869999999999E-6</v>
      </c>
      <c r="I5254">
        <v>17.653589999999902</v>
      </c>
      <c r="J5254">
        <v>-380.19009999999997</v>
      </c>
      <c r="K5254">
        <v>1.1112249999999999</v>
      </c>
      <c r="L5254">
        <v>17.2774</v>
      </c>
      <c r="M5254">
        <v>0.99991149999999995</v>
      </c>
      <c r="N5254">
        <v>0</v>
      </c>
      <c r="O5254">
        <v>-7.6116599999999997E-4</v>
      </c>
      <c r="P5254">
        <v>0.98789300000000002</v>
      </c>
      <c r="Q5254">
        <v>0.15512519999999999</v>
      </c>
      <c r="R5254">
        <v>-1.998058E-3</v>
      </c>
      <c r="S5254">
        <v>3.0675050000000001</v>
      </c>
      <c r="T5254">
        <v>-0.19476579999999999</v>
      </c>
      <c r="U5254">
        <v>6.607056E-2</v>
      </c>
      <c r="V5254">
        <v>8.2778399999999905E-4</v>
      </c>
      <c r="W5254">
        <v>0.168233299999999</v>
      </c>
      <c r="X5254">
        <v>0.98574689999999998</v>
      </c>
      <c r="Y5254">
        <v>-2.2248609999999999E-2</v>
      </c>
      <c r="Z5254">
        <v>7.5380499999999997E-4</v>
      </c>
      <c r="AA5254">
        <v>0.99975219999999998</v>
      </c>
      <c r="AB5254">
        <v>24</v>
      </c>
      <c r="AC5254">
        <v>17.383099999999999</v>
      </c>
      <c r="AD5254">
        <v>-1.1112287487869901</v>
      </c>
      <c r="AE5254">
        <v>0.37618999999999703</v>
      </c>
      <c r="AF5254">
        <v>-0.38783832001410501</v>
      </c>
      <c r="AG5254">
        <v>-1.1112287487869901</v>
      </c>
      <c r="AH5254">
        <v>17.312095674658</v>
      </c>
      <c r="AI5254">
        <v>93.671744197906307</v>
      </c>
      <c r="AJ5254">
        <v>91.283367587546905</v>
      </c>
      <c r="AK5254">
        <v>17.352057645798499</v>
      </c>
      <c r="AL5254">
        <v>80.314885140814098</v>
      </c>
      <c r="AM5254">
        <v>89.951885703723903</v>
      </c>
      <c r="AN5254">
        <v>1.00000003965742</v>
      </c>
    </row>
    <row r="5255" spans="1:40" x14ac:dyDescent="0.25">
      <c r="A5255" t="str">
        <f>"20190312173034273"</f>
        <v>20190312173034273</v>
      </c>
      <c r="B5255" t="str">
        <f>"1552383034263413"</f>
        <v>1552383034263413</v>
      </c>
      <c r="C5255" t="s">
        <v>40</v>
      </c>
      <c r="D5255">
        <v>3.3829799999999999</v>
      </c>
      <c r="E5255">
        <v>0.49641809999999997</v>
      </c>
      <c r="F5255" t="s">
        <v>57</v>
      </c>
      <c r="G5255">
        <v>-362.70100000000002</v>
      </c>
      <c r="H5255" s="1">
        <v>-3.7995370000000002E-6</v>
      </c>
      <c r="I5255">
        <v>17.649929999999902</v>
      </c>
      <c r="J5255">
        <v>-380.07130000000001</v>
      </c>
      <c r="K5255">
        <v>1.11117</v>
      </c>
      <c r="L5255">
        <v>17.27826</v>
      </c>
      <c r="M5255">
        <v>0.99991180000000002</v>
      </c>
      <c r="N5255">
        <v>0</v>
      </c>
      <c r="O5255" s="1">
        <v>7.7141189999999999E-6</v>
      </c>
      <c r="P5255">
        <v>0.98791329999999999</v>
      </c>
      <c r="Q5255">
        <v>0.1549924</v>
      </c>
      <c r="R5255">
        <v>-2.1739530000000002E-3</v>
      </c>
      <c r="S5255">
        <v>3.0674739999999998</v>
      </c>
      <c r="T5255">
        <v>-0.19490179999999999</v>
      </c>
      <c r="U5255">
        <v>6.5338129999999994E-2</v>
      </c>
      <c r="V5255">
        <v>1.788029E-3</v>
      </c>
      <c r="W5255">
        <v>0.16809939999999901</v>
      </c>
      <c r="X5255">
        <v>0.98576839999999999</v>
      </c>
      <c r="Y5255">
        <v>-2.1244949999999999E-2</v>
      </c>
      <c r="Z5255">
        <v>6.7368739999999999E-4</v>
      </c>
      <c r="AA5255">
        <v>0.9997741</v>
      </c>
      <c r="AB5255">
        <v>24</v>
      </c>
      <c r="AC5255">
        <v>17.3703</v>
      </c>
      <c r="AD5255">
        <v>-1.1111737995369999</v>
      </c>
      <c r="AE5255">
        <v>0.371669999999998</v>
      </c>
      <c r="AF5255">
        <v>-0.37002250459215802</v>
      </c>
      <c r="AG5255">
        <v>-1.1111737995369999</v>
      </c>
      <c r="AH5255">
        <v>17.2995432945632</v>
      </c>
      <c r="AI5255">
        <v>93.674301167836106</v>
      </c>
      <c r="AJ5255">
        <v>91.225321113034397</v>
      </c>
      <c r="AK5255">
        <v>17.3391413301567</v>
      </c>
      <c r="AL5255">
        <v>80.322667220095298</v>
      </c>
      <c r="AM5255">
        <v>89.896074571880504</v>
      </c>
      <c r="AN5255">
        <v>0.99999997188331202</v>
      </c>
    </row>
    <row r="5256" spans="1:40" x14ac:dyDescent="0.25">
      <c r="A5256" t="str">
        <f>"20190312173034283"</f>
        <v>20190312173034283</v>
      </c>
      <c r="B5256" t="str">
        <f>"1552383034273174"</f>
        <v>1552383034273174</v>
      </c>
      <c r="C5256" t="s">
        <v>40</v>
      </c>
      <c r="D5256">
        <v>3.3712469999999999</v>
      </c>
      <c r="E5256">
        <v>0.49641809999999997</v>
      </c>
      <c r="F5256" t="s">
        <v>57</v>
      </c>
      <c r="G5256">
        <v>-361.97430000000003</v>
      </c>
      <c r="H5256" s="1">
        <v>-4.1570019999999998E-6</v>
      </c>
      <c r="I5256">
        <v>17.571290000000001</v>
      </c>
      <c r="J5256">
        <v>-379.95440000000002</v>
      </c>
      <c r="K5256">
        <v>1.11111</v>
      </c>
      <c r="L5256">
        <v>17.279109999999999</v>
      </c>
      <c r="M5256">
        <v>0.99991160000000001</v>
      </c>
      <c r="N5256">
        <v>0</v>
      </c>
      <c r="O5256">
        <v>7.4589199999999995E-4</v>
      </c>
      <c r="P5256">
        <v>0.98796839999999997</v>
      </c>
      <c r="Q5256">
        <v>0.15463689999999999</v>
      </c>
      <c r="R5256">
        <v>-2.451104E-3</v>
      </c>
      <c r="S5256">
        <v>3.066376</v>
      </c>
      <c r="T5256">
        <v>-0.1882788</v>
      </c>
      <c r="U5256">
        <v>4.9652099999999998E-2</v>
      </c>
      <c r="V5256">
        <v>2.8192730000000002E-3</v>
      </c>
      <c r="W5256">
        <v>0.16774349999999999</v>
      </c>
      <c r="X5256">
        <v>0.9858266</v>
      </c>
      <c r="Y5256">
        <v>-1.5416829999999999E-2</v>
      </c>
      <c r="Z5256">
        <v>4.2707249999999997E-4</v>
      </c>
      <c r="AA5256">
        <v>0.99988109999999997</v>
      </c>
      <c r="AB5256">
        <v>24</v>
      </c>
      <c r="AC5256">
        <v>17.980099999999901</v>
      </c>
      <c r="AD5256">
        <v>-1.111114157002</v>
      </c>
      <c r="AE5256">
        <v>0.29218000000000099</v>
      </c>
      <c r="AF5256">
        <v>-0.27770728020560198</v>
      </c>
      <c r="AG5256">
        <v>-1.111114157002</v>
      </c>
      <c r="AH5256">
        <v>17.911927956008299</v>
      </c>
      <c r="AI5256">
        <v>93.549202650982394</v>
      </c>
      <c r="AJ5256">
        <v>90.888244995834896</v>
      </c>
      <c r="AK5256">
        <v>17.948505762447201</v>
      </c>
      <c r="AL5256">
        <v>80.343352373577005</v>
      </c>
      <c r="AM5256">
        <v>89.836145622532896</v>
      </c>
      <c r="AN5256">
        <v>0.99999995768002803</v>
      </c>
    </row>
    <row r="5257" spans="1:40" x14ac:dyDescent="0.25">
      <c r="A5257" t="str">
        <f>"20190312173034295"</f>
        <v>20190312173034295</v>
      </c>
      <c r="B5257" t="str">
        <f>"1552383034282934"</f>
        <v>1552383034282934</v>
      </c>
      <c r="C5257" t="s">
        <v>40</v>
      </c>
      <c r="D5257">
        <v>3.3821330000000001</v>
      </c>
      <c r="E5257">
        <v>0.49613269999999998</v>
      </c>
      <c r="F5257" t="s">
        <v>57</v>
      </c>
      <c r="G5257">
        <v>-361.96519999999998</v>
      </c>
      <c r="H5257" s="1">
        <v>-4.1622520000000003E-6</v>
      </c>
      <c r="I5257">
        <v>17.565939999999902</v>
      </c>
      <c r="J5257">
        <v>-379.83499999999998</v>
      </c>
      <c r="K5257">
        <v>1.111048</v>
      </c>
      <c r="L5257">
        <v>17.28003</v>
      </c>
      <c r="M5257">
        <v>0.99991099999999999</v>
      </c>
      <c r="N5257">
        <v>0</v>
      </c>
      <c r="O5257">
        <v>1.4226709999999999E-3</v>
      </c>
      <c r="P5257">
        <v>0.987985</v>
      </c>
      <c r="Q5257">
        <v>0.15452659999999999</v>
      </c>
      <c r="R5257">
        <v>-2.6998230000000001E-3</v>
      </c>
      <c r="S5257">
        <v>3.066284</v>
      </c>
      <c r="T5257">
        <v>-0.18939049999999999</v>
      </c>
      <c r="U5257">
        <v>4.8889160000000001E-2</v>
      </c>
      <c r="V5257">
        <v>3.7628029999999999E-3</v>
      </c>
      <c r="W5257">
        <v>0.16763159999999999</v>
      </c>
      <c r="X5257">
        <v>0.98584249999999995</v>
      </c>
      <c r="Y5257">
        <v>-1.449454E-2</v>
      </c>
      <c r="Z5257">
        <v>3.5938670000000003E-4</v>
      </c>
      <c r="AA5257">
        <v>0.99989490000000003</v>
      </c>
      <c r="AB5257">
        <v>24</v>
      </c>
      <c r="AC5257">
        <v>17.869799999999898</v>
      </c>
      <c r="AD5257">
        <v>-1.111052162252</v>
      </c>
      <c r="AE5257">
        <v>0.285909999999997</v>
      </c>
      <c r="AF5257">
        <v>-0.25948180202544802</v>
      </c>
      <c r="AG5257">
        <v>-1.111052162252</v>
      </c>
      <c r="AH5257">
        <v>17.8013912608425</v>
      </c>
      <c r="AI5257">
        <v>93.571035296583801</v>
      </c>
      <c r="AJ5257">
        <v>90.835112214952403</v>
      </c>
      <c r="AK5257">
        <v>17.837917438266899</v>
      </c>
      <c r="AL5257">
        <v>80.349856012903103</v>
      </c>
      <c r="AM5257">
        <v>89.781312243983294</v>
      </c>
      <c r="AN5257">
        <v>0.99999997340561297</v>
      </c>
    </row>
    <row r="5258" spans="1:40" x14ac:dyDescent="0.25">
      <c r="A5258" t="str">
        <f>"20190312173034305"</f>
        <v>20190312173034305</v>
      </c>
      <c r="B5258" t="str">
        <f>"1552383034303430"</f>
        <v>1552383034303430</v>
      </c>
      <c r="C5258" t="s">
        <v>40</v>
      </c>
      <c r="D5258">
        <v>3.3913500000000001</v>
      </c>
      <c r="E5258">
        <v>0.49591610000000003</v>
      </c>
      <c r="F5258" t="s">
        <v>57</v>
      </c>
      <c r="G5258">
        <v>-362.68439999999998</v>
      </c>
      <c r="H5258" s="1">
        <v>-3.8227229999999901E-6</v>
      </c>
      <c r="I5258">
        <v>17.56325</v>
      </c>
      <c r="J5258">
        <v>-379.72879999999998</v>
      </c>
      <c r="K5258">
        <v>1.110992</v>
      </c>
      <c r="L5258">
        <v>17.28088</v>
      </c>
      <c r="M5258">
        <v>0.99990999999999997</v>
      </c>
      <c r="N5258">
        <v>0</v>
      </c>
      <c r="O5258">
        <v>2.0110900000000001E-3</v>
      </c>
      <c r="P5258">
        <v>0.98799740000000003</v>
      </c>
      <c r="Q5258">
        <v>0.15443660000000001</v>
      </c>
      <c r="R5258">
        <v>-3.2887540000000001E-3</v>
      </c>
      <c r="S5258">
        <v>3.0677189999999999</v>
      </c>
      <c r="T5258">
        <v>-0.19873399999999999</v>
      </c>
      <c r="U5258">
        <v>5.0659179999999998E-2</v>
      </c>
      <c r="V5258">
        <v>4.9558579999999996E-3</v>
      </c>
      <c r="W5258">
        <v>0.16754040000000001</v>
      </c>
      <c r="X5258">
        <v>0.98585279999999997</v>
      </c>
      <c r="Y5258">
        <v>-1.4474239999999999E-2</v>
      </c>
      <c r="Z5258">
        <v>3.3816629999999998E-4</v>
      </c>
      <c r="AA5258">
        <v>0.99989519999999998</v>
      </c>
      <c r="AB5258">
        <v>24</v>
      </c>
      <c r="AC5258">
        <v>17.0443999999999</v>
      </c>
      <c r="AD5258">
        <v>-1.1109958227229999</v>
      </c>
      <c r="AE5258">
        <v>0.28237000000000001</v>
      </c>
      <c r="AF5258">
        <v>-0.24703926985499999</v>
      </c>
      <c r="AG5258">
        <v>-1.1109958227229999</v>
      </c>
      <c r="AH5258">
        <v>16.972839841058398</v>
      </c>
      <c r="AI5258">
        <v>93.744687321601802</v>
      </c>
      <c r="AJ5258">
        <v>90.833879791413906</v>
      </c>
      <c r="AK5258">
        <v>17.010956245584101</v>
      </c>
      <c r="AL5258">
        <v>80.355157042673994</v>
      </c>
      <c r="AM5258">
        <v>89.711977938843106</v>
      </c>
      <c r="AN5258">
        <v>1.0000000447142501</v>
      </c>
    </row>
    <row r="5259" spans="1:40" x14ac:dyDescent="0.25">
      <c r="A5259" t="str">
        <f>"20190312173034318"</f>
        <v>20190312173034318</v>
      </c>
      <c r="B5259" t="str">
        <f>"1552383034313189"</f>
        <v>1552383034313189</v>
      </c>
      <c r="C5259" t="s">
        <v>40</v>
      </c>
      <c r="D5259">
        <v>3.3882180000000002</v>
      </c>
      <c r="E5259">
        <v>0.49628430000000001</v>
      </c>
      <c r="F5259" t="s">
        <v>57</v>
      </c>
      <c r="G5259">
        <v>-362.14839999999998</v>
      </c>
      <c r="H5259" s="1">
        <v>-4.0748149999999997E-6</v>
      </c>
      <c r="I5259">
        <v>17.57058</v>
      </c>
      <c r="J5259">
        <v>-379.59210000000002</v>
      </c>
      <c r="K5259">
        <v>1.1109199999999999</v>
      </c>
      <c r="L5259">
        <v>17.28201</v>
      </c>
      <c r="M5259">
        <v>0.99990849999999998</v>
      </c>
      <c r="N5259">
        <v>0</v>
      </c>
      <c r="O5259">
        <v>2.7017109999999999E-3</v>
      </c>
      <c r="P5259">
        <v>0.98798350000000001</v>
      </c>
      <c r="Q5259">
        <v>0.15451989999999999</v>
      </c>
      <c r="R5259">
        <v>-3.5656360000000001E-3</v>
      </c>
      <c r="S5259">
        <v>3.0668639999999998</v>
      </c>
      <c r="T5259">
        <v>-0.1938117</v>
      </c>
      <c r="U5259">
        <v>5.0537110000000003E-2</v>
      </c>
      <c r="V5259">
        <v>5.9431149999999997E-3</v>
      </c>
      <c r="W5259">
        <v>0.1676213</v>
      </c>
      <c r="X5259">
        <v>0.98583350000000003</v>
      </c>
      <c r="Y5259">
        <v>-1.3752520000000001E-2</v>
      </c>
      <c r="Z5259">
        <v>2.6351750000000001E-4</v>
      </c>
      <c r="AA5259">
        <v>0.99990540000000006</v>
      </c>
      <c r="AB5259">
        <v>23</v>
      </c>
      <c r="AC5259">
        <v>17.4437</v>
      </c>
      <c r="AD5259">
        <v>-1.110924074815</v>
      </c>
      <c r="AE5259">
        <v>0.28856999999999999</v>
      </c>
      <c r="AF5259">
        <v>-0.240461937531007</v>
      </c>
      <c r="AG5259">
        <v>-1.110924074815</v>
      </c>
      <c r="AH5259">
        <v>17.3739675339278</v>
      </c>
      <c r="AI5259">
        <v>93.658269466525098</v>
      </c>
      <c r="AJ5259">
        <v>90.792943495056903</v>
      </c>
      <c r="AK5259">
        <v>17.411109158045701</v>
      </c>
      <c r="AL5259">
        <v>80.350454452907798</v>
      </c>
      <c r="AM5259">
        <v>89.654595546174505</v>
      </c>
      <c r="AN5259">
        <v>0.99999995527592</v>
      </c>
    </row>
    <row r="5260" spans="1:40" x14ac:dyDescent="0.25">
      <c r="A5260" t="str">
        <f>"20190312173034330"</f>
        <v>20190312173034330</v>
      </c>
      <c r="B5260" t="str">
        <f>"1552383034322950"</f>
        <v>1552383034322950</v>
      </c>
      <c r="C5260" t="s">
        <v>40</v>
      </c>
      <c r="D5260">
        <v>3.397977</v>
      </c>
      <c r="E5260">
        <v>0.49638589999999999</v>
      </c>
      <c r="F5260" t="s">
        <v>57</v>
      </c>
      <c r="G5260">
        <v>-361.9178</v>
      </c>
      <c r="H5260" s="1">
        <v>-4.1870440000000003E-6</v>
      </c>
      <c r="I5260">
        <v>17.552329999999898</v>
      </c>
      <c r="J5260">
        <v>-379.46910000000003</v>
      </c>
      <c r="K5260">
        <v>1.1108610000000001</v>
      </c>
      <c r="L5260">
        <v>17.283049999999999</v>
      </c>
      <c r="M5260">
        <v>0.99990679999999998</v>
      </c>
      <c r="N5260">
        <v>0</v>
      </c>
      <c r="O5260">
        <v>3.28028E-3</v>
      </c>
      <c r="P5260">
        <v>0.98803039999999998</v>
      </c>
      <c r="Q5260">
        <v>0.1542055</v>
      </c>
      <c r="R5260">
        <v>-4.074818E-3</v>
      </c>
      <c r="S5260">
        <v>3.0668030000000002</v>
      </c>
      <c r="T5260">
        <v>-0.1927652</v>
      </c>
      <c r="U5260">
        <v>4.6905519999999999E-2</v>
      </c>
      <c r="V5260">
        <v>7.0489799999999998E-3</v>
      </c>
      <c r="W5260">
        <v>0.16730490000000001</v>
      </c>
      <c r="X5260">
        <v>0.98587999999999998</v>
      </c>
      <c r="Y5260">
        <v>-1.199535E-2</v>
      </c>
      <c r="Z5260">
        <v>1.706082E-4</v>
      </c>
      <c r="AA5260">
        <v>0.99992809999999999</v>
      </c>
      <c r="AB5260">
        <v>23</v>
      </c>
      <c r="AC5260">
        <v>17.551300000000001</v>
      </c>
      <c r="AD5260">
        <v>-1.1108651870440001</v>
      </c>
      <c r="AE5260">
        <v>0.26927999999999802</v>
      </c>
      <c r="AF5260">
        <v>-0.21085583966801899</v>
      </c>
      <c r="AG5260">
        <v>-1.1108651870440001</v>
      </c>
      <c r="AH5260">
        <v>17.482073339932001</v>
      </c>
      <c r="AI5260">
        <v>93.635599613846793</v>
      </c>
      <c r="AJ5260">
        <v>90.691025811631107</v>
      </c>
      <c r="AK5260">
        <v>17.518600683606799</v>
      </c>
      <c r="AL5260">
        <v>80.368842904607604</v>
      </c>
      <c r="AM5260">
        <v>89.590345760328802</v>
      </c>
      <c r="AN5260">
        <v>0.99999999604152501</v>
      </c>
    </row>
    <row r="5261" spans="1:40" x14ac:dyDescent="0.25">
      <c r="A5261" t="str">
        <f>"20190312173034344"</f>
        <v>20190312173034344</v>
      </c>
      <c r="B5261" t="str">
        <f>"1552383034332709"</f>
        <v>1552383034332709</v>
      </c>
      <c r="C5261" t="s">
        <v>40</v>
      </c>
      <c r="D5261">
        <v>3.3725390000000002</v>
      </c>
      <c r="E5261">
        <v>0.49636000000000002</v>
      </c>
      <c r="F5261" t="s">
        <v>57</v>
      </c>
      <c r="G5261">
        <v>-361.83339999999998</v>
      </c>
      <c r="H5261" s="1">
        <v>-4.2292089999999997E-6</v>
      </c>
      <c r="I5261">
        <v>17.539629999999999</v>
      </c>
      <c r="J5261">
        <v>-379.32859999999999</v>
      </c>
      <c r="K5261">
        <v>1.110795</v>
      </c>
      <c r="L5261">
        <v>17.284269999999999</v>
      </c>
      <c r="M5261">
        <v>0.99990449999999997</v>
      </c>
      <c r="N5261">
        <v>0</v>
      </c>
      <c r="O5261">
        <v>3.903812E-3</v>
      </c>
      <c r="P5261">
        <v>0.98804040000000004</v>
      </c>
      <c r="Q5261">
        <v>0.15412979999999901</v>
      </c>
      <c r="R5261">
        <v>-4.5013570000000001E-3</v>
      </c>
      <c r="S5261">
        <v>3.0667110000000002</v>
      </c>
      <c r="T5261">
        <v>-0.19317090000000001</v>
      </c>
      <c r="U5261">
        <v>4.4616700000000002E-2</v>
      </c>
      <c r="V5261">
        <v>8.1184529999999994E-3</v>
      </c>
      <c r="W5261">
        <v>0.16722690000000001</v>
      </c>
      <c r="X5261">
        <v>0.98588500000000001</v>
      </c>
      <c r="Y5261">
        <v>-1.0629990000000001E-2</v>
      </c>
      <c r="Z5261" s="1">
        <v>8.877786E-5</v>
      </c>
      <c r="AA5261">
        <v>0.99994349999999999</v>
      </c>
      <c r="AB5261">
        <v>23</v>
      </c>
      <c r="AC5261">
        <v>17.495200000000001</v>
      </c>
      <c r="AD5261">
        <v>-1.1107992292090001</v>
      </c>
      <c r="AE5261">
        <v>0.25535999999999598</v>
      </c>
      <c r="AF5261">
        <v>-0.18630321584531501</v>
      </c>
      <c r="AG5261">
        <v>-1.1107992292090001</v>
      </c>
      <c r="AH5261">
        <v>17.425831745832198</v>
      </c>
      <c r="AI5261">
        <v>93.647142539410595</v>
      </c>
      <c r="AJ5261">
        <v>90.612537838083099</v>
      </c>
      <c r="AK5261">
        <v>17.462193328728699</v>
      </c>
      <c r="AL5261">
        <v>80.373375770605193</v>
      </c>
      <c r="AM5261">
        <v>89.528197934358005</v>
      </c>
      <c r="AN5261">
        <v>0.99999998929386102</v>
      </c>
    </row>
    <row r="5262" spans="1:40" x14ac:dyDescent="0.25">
      <c r="A5262" t="str">
        <f>"20190312173034362"</f>
        <v>20190312173034362</v>
      </c>
      <c r="B5262" t="str">
        <f>"1552383034353205"</f>
        <v>1552383034353205</v>
      </c>
      <c r="C5262" t="s">
        <v>40</v>
      </c>
      <c r="D5262">
        <v>3.378244</v>
      </c>
      <c r="E5262">
        <v>0.49621920000000003</v>
      </c>
      <c r="F5262" t="s">
        <v>57</v>
      </c>
      <c r="G5262">
        <v>-361.67259999999999</v>
      </c>
      <c r="H5262" s="1">
        <v>-4.3061220000000003E-6</v>
      </c>
      <c r="I5262">
        <v>17.534649999999999</v>
      </c>
      <c r="J5262">
        <v>-379.12419999999997</v>
      </c>
      <c r="K5262">
        <v>1.110703</v>
      </c>
      <c r="L5262">
        <v>17.286069999999999</v>
      </c>
      <c r="M5262">
        <v>0.99990120000000005</v>
      </c>
      <c r="N5262">
        <v>0</v>
      </c>
      <c r="O5262">
        <v>4.6897909999999996E-3</v>
      </c>
      <c r="P5262">
        <v>0.98815609999999998</v>
      </c>
      <c r="Q5262">
        <v>0.15333569999999999</v>
      </c>
      <c r="R5262">
        <v>-5.9902360000000003E-3</v>
      </c>
      <c r="S5262">
        <v>3.0666199999999999</v>
      </c>
      <c r="T5262">
        <v>-0.1929312</v>
      </c>
      <c r="U5262">
        <v>4.348755E-2</v>
      </c>
      <c r="V5262">
        <v>1.042117E-2</v>
      </c>
      <c r="W5262">
        <v>0.16642999999999999</v>
      </c>
      <c r="X5262">
        <v>0.98599820000000005</v>
      </c>
      <c r="Y5262">
        <v>-9.4801569999999995E-3</v>
      </c>
      <c r="Z5262" s="1">
        <v>3.1379169999999999E-6</v>
      </c>
      <c r="AA5262">
        <v>0.99995509999999999</v>
      </c>
      <c r="AB5262">
        <v>23</v>
      </c>
      <c r="AC5262">
        <v>17.4515999999999</v>
      </c>
      <c r="AD5262">
        <v>-1.1107073061220001</v>
      </c>
      <c r="AE5262">
        <v>0.248579999999996</v>
      </c>
      <c r="AF5262">
        <v>-0.16605322919249699</v>
      </c>
      <c r="AG5262">
        <v>-1.1107073061220001</v>
      </c>
      <c r="AH5262">
        <v>17.382178446239902</v>
      </c>
      <c r="AI5262">
        <v>93.656017343651399</v>
      </c>
      <c r="AJ5262">
        <v>90.547334146191702</v>
      </c>
      <c r="AK5262">
        <v>17.418420477521099</v>
      </c>
      <c r="AL5262">
        <v>80.419683826588695</v>
      </c>
      <c r="AM5262">
        <v>89.394454445198306</v>
      </c>
      <c r="AN5262">
        <v>0.99999999804370399</v>
      </c>
    </row>
    <row r="5263" spans="1:40" x14ac:dyDescent="0.25">
      <c r="A5263" t="str">
        <f>"20190312173034385"</f>
        <v>20190312173034385</v>
      </c>
      <c r="B5263" t="str">
        <f>"1552383034383462"</f>
        <v>1552383034383462</v>
      </c>
      <c r="C5263" t="s">
        <v>40</v>
      </c>
      <c r="D5263">
        <v>3.4084180000000002</v>
      </c>
      <c r="E5263">
        <v>0.49623099999999998</v>
      </c>
      <c r="F5263" t="s">
        <v>57</v>
      </c>
      <c r="G5263">
        <v>-361.59379999999999</v>
      </c>
      <c r="H5263" s="1">
        <v>-4.346653E-6</v>
      </c>
      <c r="I5263">
        <v>17.516020000000001</v>
      </c>
      <c r="J5263">
        <v>-378.89769999999999</v>
      </c>
      <c r="K5263">
        <v>1.1106039999999999</v>
      </c>
      <c r="L5263">
        <v>17.288119999999999</v>
      </c>
      <c r="M5263">
        <v>0.99989749999999999</v>
      </c>
      <c r="N5263">
        <v>0</v>
      </c>
      <c r="O5263">
        <v>5.4277329999999997E-3</v>
      </c>
      <c r="P5263">
        <v>0.98825169999999996</v>
      </c>
      <c r="Q5263">
        <v>0.15265479999999901</v>
      </c>
      <c r="R5263">
        <v>-7.4206059999999997E-3</v>
      </c>
      <c r="S5263">
        <v>3.0663450000000001</v>
      </c>
      <c r="T5263">
        <v>-0.1942806</v>
      </c>
      <c r="U5263">
        <v>4.0222170000000002E-2</v>
      </c>
      <c r="V5263">
        <v>1.261695E-2</v>
      </c>
      <c r="W5263">
        <v>0.1657458</v>
      </c>
      <c r="X5263">
        <v>0.98608779999999996</v>
      </c>
      <c r="Y5263">
        <v>-7.6837140000000003E-3</v>
      </c>
      <c r="Z5263">
        <v>-1.004005E-4</v>
      </c>
      <c r="AA5263">
        <v>0.99997049999999998</v>
      </c>
      <c r="AB5263">
        <v>23</v>
      </c>
      <c r="AC5263">
        <v>17.303899999999999</v>
      </c>
      <c r="AD5263">
        <v>-1.1106083466529999</v>
      </c>
      <c r="AE5263">
        <v>0.22789999999999799</v>
      </c>
      <c r="AF5263">
        <v>-0.133417942867497</v>
      </c>
      <c r="AG5263">
        <v>-1.1106083466529999</v>
      </c>
      <c r="AH5263">
        <v>17.233901148409</v>
      </c>
      <c r="AI5263">
        <v>93.6871165927422</v>
      </c>
      <c r="AJ5263">
        <v>90.443552058467404</v>
      </c>
      <c r="AK5263">
        <v>17.2701650264341</v>
      </c>
      <c r="AL5263">
        <v>80.459437796253596</v>
      </c>
      <c r="AM5263">
        <v>89.266943024300204</v>
      </c>
      <c r="AN5263">
        <v>1.0000000034768901</v>
      </c>
    </row>
    <row r="5264" spans="1:40" x14ac:dyDescent="0.25">
      <c r="A5264" t="str">
        <f>"20190312173034399"</f>
        <v>20190312173034399</v>
      </c>
      <c r="B5264" t="str">
        <f>"1552383034393221"</f>
        <v>1552383034393221</v>
      </c>
      <c r="C5264" t="s">
        <v>40</v>
      </c>
      <c r="D5264">
        <v>3.403762</v>
      </c>
      <c r="E5264">
        <v>0.49621609999999999</v>
      </c>
      <c r="F5264" t="s">
        <v>57</v>
      </c>
      <c r="G5264">
        <v>-361.6026</v>
      </c>
      <c r="H5264" s="1">
        <v>-4.346508E-6</v>
      </c>
      <c r="I5264">
        <v>17.493459999999999</v>
      </c>
      <c r="J5264">
        <v>-378.75380000000001</v>
      </c>
      <c r="K5264">
        <v>1.1105480000000001</v>
      </c>
      <c r="L5264">
        <v>17.289429999999999</v>
      </c>
      <c r="M5264">
        <v>0.99989530000000004</v>
      </c>
      <c r="N5264">
        <v>0</v>
      </c>
      <c r="O5264">
        <v>5.8209739999999996E-3</v>
      </c>
      <c r="P5264">
        <v>0.98826270000000005</v>
      </c>
      <c r="Q5264">
        <v>0.15254000000000001</v>
      </c>
      <c r="R5264">
        <v>-8.2678930000000001E-3</v>
      </c>
      <c r="S5264">
        <v>3.066376</v>
      </c>
      <c r="T5264">
        <v>-0.19690820000000001</v>
      </c>
      <c r="U5264">
        <v>3.6407469999999997E-2</v>
      </c>
      <c r="V5264">
        <v>1.387471E-2</v>
      </c>
      <c r="W5264">
        <v>0.16562829999999901</v>
      </c>
      <c r="X5264">
        <v>0.98609069999999999</v>
      </c>
      <c r="Y5264">
        <v>-6.0505439999999997E-3</v>
      </c>
      <c r="Z5264">
        <v>-1.7936380000000001E-4</v>
      </c>
      <c r="AA5264">
        <v>0.99998169999999997</v>
      </c>
      <c r="AB5264">
        <v>23</v>
      </c>
      <c r="AC5264">
        <v>17.151199999999999</v>
      </c>
      <c r="AD5264">
        <v>-1.1105523465079901</v>
      </c>
      <c r="AE5264">
        <v>0.20402999999999899</v>
      </c>
      <c r="AF5264">
        <v>-0.10374618104104601</v>
      </c>
      <c r="AG5264">
        <v>-1.1105523465079901</v>
      </c>
      <c r="AH5264">
        <v>17.0804946555767</v>
      </c>
      <c r="AI5264">
        <v>93.719995102058306</v>
      </c>
      <c r="AJ5264">
        <v>90.348007791098595</v>
      </c>
      <c r="AK5264">
        <v>17.1168743485369</v>
      </c>
      <c r="AL5264">
        <v>80.466264900728603</v>
      </c>
      <c r="AM5264">
        <v>89.193877530883498</v>
      </c>
      <c r="AN5264">
        <v>1.0000000549824799</v>
      </c>
    </row>
    <row r="5265" spans="1:40" x14ac:dyDescent="0.25">
      <c r="A5265" t="str">
        <f>"20190312173034418"</f>
        <v>20190312173034418</v>
      </c>
      <c r="B5265" t="str">
        <f>"1552383034412741"</f>
        <v>1552383034412741</v>
      </c>
      <c r="C5265" t="s">
        <v>40</v>
      </c>
      <c r="D5265">
        <v>3.4166370000000001</v>
      </c>
      <c r="E5265">
        <v>0.49621310000000002</v>
      </c>
      <c r="F5265" t="s">
        <v>57</v>
      </c>
      <c r="G5265">
        <v>-361.44450000000001</v>
      </c>
      <c r="H5265" s="1">
        <v>-4.4232070000000003E-6</v>
      </c>
      <c r="I5265">
        <v>17.48237</v>
      </c>
      <c r="J5265">
        <v>-378.5471</v>
      </c>
      <c r="K5265">
        <v>1.110479</v>
      </c>
      <c r="L5265">
        <v>17.291319999999999</v>
      </c>
      <c r="M5265">
        <v>0.99989249999999996</v>
      </c>
      <c r="N5265">
        <v>0</v>
      </c>
      <c r="O5265">
        <v>6.3157419999999896E-3</v>
      </c>
      <c r="P5265">
        <v>0.98836610000000003</v>
      </c>
      <c r="Q5265">
        <v>0.15175159999999999</v>
      </c>
      <c r="R5265">
        <v>-1.0217830000000001E-2</v>
      </c>
      <c r="S5265">
        <v>3.066284</v>
      </c>
      <c r="T5265">
        <v>-0.19673089999999999</v>
      </c>
      <c r="U5265">
        <v>3.4179689999999999E-2</v>
      </c>
      <c r="V5265">
        <v>1.63435E-2</v>
      </c>
      <c r="W5265">
        <v>0.16483629999999999</v>
      </c>
      <c r="X5265">
        <v>0.9861856</v>
      </c>
      <c r="Y5265">
        <v>-4.8331720000000002E-3</v>
      </c>
      <c r="Z5265">
        <v>-2.4993250000000003E-4</v>
      </c>
      <c r="AA5265">
        <v>0.99998830000000005</v>
      </c>
      <c r="AB5265">
        <v>23</v>
      </c>
      <c r="AC5265">
        <v>17.102599999999899</v>
      </c>
      <c r="AD5265">
        <v>-1.110483423207</v>
      </c>
      <c r="AE5265">
        <v>0.191049999999997</v>
      </c>
      <c r="AF5265">
        <v>-8.2672618114816396E-2</v>
      </c>
      <c r="AG5265">
        <v>-1.110483423207</v>
      </c>
      <c r="AH5265">
        <v>17.031669126798601</v>
      </c>
      <c r="AI5265">
        <v>93.730423240467204</v>
      </c>
      <c r="AJ5265">
        <v>90.278114544267197</v>
      </c>
      <c r="AK5265">
        <v>17.068033320794399</v>
      </c>
      <c r="AL5265">
        <v>80.512275796779605</v>
      </c>
      <c r="AM5265">
        <v>89.050556143516701</v>
      </c>
      <c r="AN5265">
        <v>1.0000000767186401</v>
      </c>
    </row>
    <row r="5266" spans="1:40" x14ac:dyDescent="0.25">
      <c r="A5266" t="str">
        <f>"20190312173034431"</f>
        <v>20190312173034431</v>
      </c>
      <c r="B5266" t="str">
        <f>"1552383034423477"</f>
        <v>1552383034423477</v>
      </c>
      <c r="C5266" t="s">
        <v>40</v>
      </c>
      <c r="D5266">
        <v>3.4603440000000001</v>
      </c>
      <c r="E5266">
        <v>0.49621310000000002</v>
      </c>
      <c r="F5266" t="s">
        <v>57</v>
      </c>
      <c r="G5266">
        <v>-361.4101</v>
      </c>
      <c r="H5266" s="1">
        <v>-4.4453079999999998E-6</v>
      </c>
      <c r="I5266">
        <v>17.449439999999999</v>
      </c>
      <c r="J5266">
        <v>-378.41629999999998</v>
      </c>
      <c r="K5266">
        <v>1.1104339999999999</v>
      </c>
      <c r="L5266">
        <v>17.292539999999999</v>
      </c>
      <c r="M5266">
        <v>0.99989070000000002</v>
      </c>
      <c r="N5266">
        <v>0</v>
      </c>
      <c r="O5266">
        <v>6.5795410000000004E-3</v>
      </c>
      <c r="P5266">
        <v>0.98843800000000004</v>
      </c>
      <c r="Q5266">
        <v>0.15120839999999999</v>
      </c>
      <c r="R5266">
        <v>-1.1236879999999999E-2</v>
      </c>
      <c r="S5266">
        <v>3.0661010000000002</v>
      </c>
      <c r="T5266">
        <v>-0.19868420000000001</v>
      </c>
      <c r="U5266">
        <v>2.8289789999999999E-2</v>
      </c>
      <c r="V5266">
        <v>1.7641670000000002E-2</v>
      </c>
      <c r="W5266">
        <v>0.1642912</v>
      </c>
      <c r="X5266">
        <v>0.98625410000000002</v>
      </c>
      <c r="Y5266">
        <v>-2.654436E-3</v>
      </c>
      <c r="Z5266">
        <v>-3.4002000000000001E-4</v>
      </c>
      <c r="AA5266">
        <v>0.99999640000000001</v>
      </c>
      <c r="AB5266">
        <v>23</v>
      </c>
      <c r="AC5266">
        <v>17.0061999999999</v>
      </c>
      <c r="AD5266">
        <v>-1.1104384453079901</v>
      </c>
      <c r="AE5266">
        <v>0.15690000000000001</v>
      </c>
      <c r="AF5266">
        <v>-4.4802800438973299E-2</v>
      </c>
      <c r="AG5266">
        <v>-1.1104384453079901</v>
      </c>
      <c r="AH5266">
        <v>16.934668083218298</v>
      </c>
      <c r="AI5266">
        <v>93.751609546571899</v>
      </c>
      <c r="AJ5266">
        <v>90.151582857945797</v>
      </c>
      <c r="AK5266">
        <v>16.971094953494202</v>
      </c>
      <c r="AL5266">
        <v>80.543938568297705</v>
      </c>
      <c r="AM5266">
        <v>88.975228139195494</v>
      </c>
      <c r="AN5266">
        <v>0.99999998834231896</v>
      </c>
    </row>
    <row r="5267" spans="1:40" x14ac:dyDescent="0.25">
      <c r="A5267" t="str">
        <f>"20190312173034442"</f>
        <v>20190312173034442</v>
      </c>
      <c r="B5267" t="str">
        <f>"1552383034433237"</f>
        <v>1552383034433237</v>
      </c>
      <c r="C5267" t="s">
        <v>40</v>
      </c>
      <c r="D5267">
        <v>3.5237370000000001</v>
      </c>
      <c r="E5267">
        <v>0.49740289999999998</v>
      </c>
      <c r="F5267" t="s">
        <v>57</v>
      </c>
      <c r="G5267">
        <v>-361.4239</v>
      </c>
      <c r="H5267" s="1">
        <v>-4.4417920000000002E-6</v>
      </c>
      <c r="I5267">
        <v>17.432410000000001</v>
      </c>
      <c r="J5267">
        <v>-378.28809999999999</v>
      </c>
      <c r="K5267">
        <v>1.110384</v>
      </c>
      <c r="L5267">
        <v>17.293669999999999</v>
      </c>
      <c r="M5267">
        <v>0.99988909999999998</v>
      </c>
      <c r="N5267">
        <v>0</v>
      </c>
      <c r="O5267">
        <v>6.8159369999999898E-3</v>
      </c>
      <c r="P5267">
        <v>0.98845450000000001</v>
      </c>
      <c r="Q5267">
        <v>0.15102550000000001</v>
      </c>
      <c r="R5267">
        <v>-1.2211039999999999E-2</v>
      </c>
      <c r="S5267">
        <v>3.0660099999999999</v>
      </c>
      <c r="T5267">
        <v>-0.2003616</v>
      </c>
      <c r="U5267">
        <v>2.523804E-2</v>
      </c>
      <c r="V5267">
        <v>1.8866460000000002E-2</v>
      </c>
      <c r="W5267">
        <v>0.16410439999999901</v>
      </c>
      <c r="X5267">
        <v>0.98626259999999999</v>
      </c>
      <c r="Y5267">
        <v>-1.4262820000000001E-3</v>
      </c>
      <c r="Z5267">
        <v>-3.9841520000000001E-4</v>
      </c>
      <c r="AA5267">
        <v>0.99999890000000002</v>
      </c>
      <c r="AB5267">
        <v>23</v>
      </c>
      <c r="AC5267">
        <v>16.864199999999901</v>
      </c>
      <c r="AD5267">
        <v>-1.110388441792</v>
      </c>
      <c r="AE5267">
        <v>0.138739999999998</v>
      </c>
      <c r="AF5267">
        <v>-2.36787266204357E-2</v>
      </c>
      <c r="AG5267">
        <v>-1.110388441792</v>
      </c>
      <c r="AH5267">
        <v>16.7919607924226</v>
      </c>
      <c r="AI5267">
        <v>93.783240147681596</v>
      </c>
      <c r="AJ5267">
        <v>90.080794030972996</v>
      </c>
      <c r="AK5267">
        <v>16.828650285391799</v>
      </c>
      <c r="AL5267">
        <v>80.554789336348605</v>
      </c>
      <c r="AM5267">
        <v>88.904108592320298</v>
      </c>
      <c r="AN5267">
        <v>1.0000000567855201</v>
      </c>
    </row>
    <row r="5268" spans="1:40" x14ac:dyDescent="0.25">
      <c r="A5268" t="str">
        <f>"20190312173034454"</f>
        <v>20190312173034454</v>
      </c>
      <c r="B5268" t="str">
        <f>"1552383034442998"</f>
        <v>1552383034442998</v>
      </c>
      <c r="C5268" t="s">
        <v>40</v>
      </c>
      <c r="D5268">
        <v>3.4910549999999998</v>
      </c>
      <c r="E5268">
        <v>0.49740289999999998</v>
      </c>
      <c r="F5268" t="s">
        <v>57</v>
      </c>
      <c r="G5268">
        <v>-361.76209999999998</v>
      </c>
      <c r="H5268" s="1">
        <v>-4.2940849999999999E-6</v>
      </c>
      <c r="I5268">
        <v>17.364059999999998</v>
      </c>
      <c r="J5268">
        <v>-378.16250000000002</v>
      </c>
      <c r="K5268">
        <v>1.110341</v>
      </c>
      <c r="L5268">
        <v>17.294799999999999</v>
      </c>
      <c r="M5268">
        <v>0.99988809999999995</v>
      </c>
      <c r="N5268">
        <v>0</v>
      </c>
      <c r="O5268">
        <v>6.9907179999999999E-3</v>
      </c>
      <c r="P5268">
        <v>0.9884638</v>
      </c>
      <c r="Q5268">
        <v>0.1508765</v>
      </c>
      <c r="R5268">
        <v>-1.3254770000000001E-2</v>
      </c>
      <c r="S5268">
        <v>3.066681</v>
      </c>
      <c r="T5268">
        <v>-0.20605119999999999</v>
      </c>
      <c r="U5268">
        <v>1.306152E-2</v>
      </c>
      <c r="V5268">
        <v>2.0099720000000001E-2</v>
      </c>
      <c r="W5268">
        <v>0.16395199999999999</v>
      </c>
      <c r="X5268">
        <v>0.98626349999999996</v>
      </c>
      <c r="Y5268">
        <v>2.7103629999999999E-3</v>
      </c>
      <c r="Z5268">
        <v>-5.6016599999999996E-4</v>
      </c>
      <c r="AA5268">
        <v>0.9999962</v>
      </c>
      <c r="AB5268">
        <v>23</v>
      </c>
      <c r="AC5268">
        <v>16.400400000000001</v>
      </c>
      <c r="AD5268">
        <v>-1.110345294085</v>
      </c>
      <c r="AE5268">
        <v>6.9260000000003402E-2</v>
      </c>
      <c r="AF5268">
        <v>4.5195139682735301E-2</v>
      </c>
      <c r="AG5268">
        <v>-1.110345294085</v>
      </c>
      <c r="AH5268">
        <v>16.3256543749544</v>
      </c>
      <c r="AI5268">
        <v>93.890811003240103</v>
      </c>
      <c r="AJ5268">
        <v>89.841385583462795</v>
      </c>
      <c r="AK5268">
        <v>16.363431792971099</v>
      </c>
      <c r="AL5268">
        <v>80.563640318038097</v>
      </c>
      <c r="AM5268">
        <v>88.832492808008496</v>
      </c>
      <c r="AN5268">
        <v>0.99999997424016296</v>
      </c>
    </row>
    <row r="5269" spans="1:40" x14ac:dyDescent="0.25">
      <c r="A5269" t="str">
        <f>"20190312173034474"</f>
        <v>20190312173034474</v>
      </c>
      <c r="B5269" t="str">
        <f>"1552383034463493"</f>
        <v>1552383034463493</v>
      </c>
      <c r="C5269" t="s">
        <v>40</v>
      </c>
      <c r="D5269">
        <v>3.444267</v>
      </c>
      <c r="E5269">
        <v>0.54834839999999996</v>
      </c>
      <c r="F5269" t="s">
        <v>57</v>
      </c>
      <c r="G5269">
        <v>-361.67410000000001</v>
      </c>
      <c r="H5269" s="1">
        <v>-4.3383849999999996E-6</v>
      </c>
      <c r="I5269">
        <v>17.348779999999898</v>
      </c>
      <c r="J5269">
        <v>-377.96800000000002</v>
      </c>
      <c r="K5269">
        <v>1.110277</v>
      </c>
      <c r="L5269">
        <v>17.296510000000001</v>
      </c>
      <c r="M5269">
        <v>0.99988659999999996</v>
      </c>
      <c r="N5269">
        <v>0</v>
      </c>
      <c r="O5269">
        <v>7.2161999999999903E-3</v>
      </c>
      <c r="P5269">
        <v>0.98853550000000001</v>
      </c>
      <c r="Q5269">
        <v>0.15015249999999999</v>
      </c>
      <c r="R5269">
        <v>-1.5875920000000002E-2</v>
      </c>
      <c r="S5269">
        <v>3.0667110000000002</v>
      </c>
      <c r="T5269">
        <v>-0.20651539999999999</v>
      </c>
      <c r="U5269">
        <v>1.004028E-2</v>
      </c>
      <c r="V5269">
        <v>2.29689E-2</v>
      </c>
      <c r="W5269">
        <v>0.163223799999999</v>
      </c>
      <c r="X5269">
        <v>0.98632160000000002</v>
      </c>
      <c r="Y5269">
        <v>3.9177190000000001E-3</v>
      </c>
      <c r="Z5269">
        <v>-6.1719499999999996E-4</v>
      </c>
      <c r="AA5269">
        <v>0.99999210000000005</v>
      </c>
      <c r="AB5269">
        <v>23</v>
      </c>
      <c r="AC5269">
        <v>16.293900000000001</v>
      </c>
      <c r="AD5269">
        <v>-1.1102813383850001</v>
      </c>
      <c r="AE5269">
        <v>5.2269999999996403E-2</v>
      </c>
      <c r="AF5269">
        <v>6.5019779382486001E-2</v>
      </c>
      <c r="AG5269">
        <v>-1.1102813383850001</v>
      </c>
      <c r="AH5269">
        <v>16.218547959951</v>
      </c>
      <c r="AI5269">
        <v>93.916184712472599</v>
      </c>
      <c r="AJ5269">
        <v>89.770303790757197</v>
      </c>
      <c r="AK5269">
        <v>16.256637110771301</v>
      </c>
      <c r="AL5269">
        <v>80.605932504799895</v>
      </c>
      <c r="AM5269">
        <v>88.665969382934904</v>
      </c>
      <c r="AN5269">
        <v>0.99999993894010297</v>
      </c>
    </row>
    <row r="5270" spans="1:40" x14ac:dyDescent="0.25">
      <c r="A5270" t="str">
        <f>"20190312173034485"</f>
        <v>20190312173034485</v>
      </c>
      <c r="B5270" t="str">
        <f>"1552383034483013"</f>
        <v>1552383034483013</v>
      </c>
      <c r="C5270" t="s">
        <v>40</v>
      </c>
      <c r="D5270">
        <v>3.4795500000000001</v>
      </c>
      <c r="E5270">
        <v>0.56018009999999996</v>
      </c>
      <c r="F5270" t="s">
        <v>42</v>
      </c>
      <c r="G5270">
        <v>-377.17290000000003</v>
      </c>
      <c r="H5270">
        <v>0.97841560000000005</v>
      </c>
      <c r="I5270">
        <v>17.196169999999999</v>
      </c>
      <c r="J5270">
        <v>-377.84550000000002</v>
      </c>
      <c r="K5270">
        <v>1.1102369999999999</v>
      </c>
      <c r="L5270">
        <v>17.29758</v>
      </c>
      <c r="M5270">
        <v>0.99988560000000004</v>
      </c>
      <c r="N5270">
        <v>0</v>
      </c>
      <c r="O5270">
        <v>7.3264799999999998E-3</v>
      </c>
      <c r="P5270">
        <v>0.9885564</v>
      </c>
      <c r="Q5270">
        <v>0.14986650000000001</v>
      </c>
      <c r="R5270">
        <v>-1.7207389999999999E-2</v>
      </c>
      <c r="S5270">
        <v>3.1067809999999998</v>
      </c>
      <c r="T5270">
        <v>-0.51521980000000001</v>
      </c>
      <c r="U5270">
        <v>-0.39083859999999998</v>
      </c>
      <c r="V5270">
        <v>2.442426E-2</v>
      </c>
      <c r="W5270">
        <v>0.16293450000000001</v>
      </c>
      <c r="X5270">
        <v>0.9863345</v>
      </c>
      <c r="Y5270">
        <v>0.1302343</v>
      </c>
      <c r="Z5270">
        <v>-1.18867E-2</v>
      </c>
      <c r="AA5270">
        <v>0.99141199999999996</v>
      </c>
      <c r="AB5270">
        <v>23</v>
      </c>
      <c r="AC5270">
        <v>0.67259999999998799</v>
      </c>
      <c r="AD5270">
        <v>-0.13182140000000001</v>
      </c>
      <c r="AE5270">
        <v>-0.101409999999997</v>
      </c>
      <c r="AF5270">
        <v>0.10248637338295601</v>
      </c>
      <c r="AG5270">
        <v>-0.13182140000000001</v>
      </c>
      <c r="AH5270">
        <v>0.64751971529610097</v>
      </c>
      <c r="AI5270">
        <v>101.369197627124</v>
      </c>
      <c r="AJ5270">
        <v>81.006100683179099</v>
      </c>
      <c r="AK5270">
        <v>0.66870181689920305</v>
      </c>
      <c r="AL5270">
        <v>80.622733386180201</v>
      </c>
      <c r="AM5270">
        <v>88.581494323436601</v>
      </c>
      <c r="AN5270">
        <v>0.99999997082852299</v>
      </c>
    </row>
    <row r="5271" spans="1:40" x14ac:dyDescent="0.25">
      <c r="A5271" t="str">
        <f>"20190312173034496"</f>
        <v>20190312173034496</v>
      </c>
      <c r="B5271" t="str">
        <f>"1552383034492773"</f>
        <v>1552383034492773</v>
      </c>
      <c r="C5271" t="s">
        <v>40</v>
      </c>
      <c r="D5271">
        <v>3.3938090000000001</v>
      </c>
      <c r="E5271">
        <v>0.56288660000000001</v>
      </c>
      <c r="F5271" t="s">
        <v>42</v>
      </c>
      <c r="G5271">
        <v>-376.97890000000001</v>
      </c>
      <c r="H5271">
        <v>0.94617390000000001</v>
      </c>
      <c r="I5271">
        <v>17.162199999999999</v>
      </c>
      <c r="J5271">
        <v>-377.7278</v>
      </c>
      <c r="K5271">
        <v>1.1102000000000001</v>
      </c>
      <c r="L5271">
        <v>17.298549999999999</v>
      </c>
      <c r="M5271">
        <v>0.99988520000000003</v>
      </c>
      <c r="N5271">
        <v>0</v>
      </c>
      <c r="O5271">
        <v>7.3946609999999899E-3</v>
      </c>
      <c r="P5271">
        <v>0.98855349999999997</v>
      </c>
      <c r="Q5271">
        <v>0.14970919999999999</v>
      </c>
      <c r="R5271">
        <v>-1.8688739999999999E-2</v>
      </c>
      <c r="S5271">
        <v>3.1156619999999999</v>
      </c>
      <c r="T5271">
        <v>-0.58993819999999997</v>
      </c>
      <c r="U5271">
        <v>-0.48587039999999998</v>
      </c>
      <c r="V5271">
        <v>2.5986510000000001E-2</v>
      </c>
      <c r="W5271">
        <v>0.16277359999999999</v>
      </c>
      <c r="X5271">
        <v>0.98632120000000001</v>
      </c>
      <c r="Y5271">
        <v>0.1585058</v>
      </c>
      <c r="Z5271">
        <v>-1.6167040000000001E-2</v>
      </c>
      <c r="AA5271">
        <v>0.98722569999999998</v>
      </c>
      <c r="AB5271">
        <v>23</v>
      </c>
      <c r="AC5271">
        <v>0.74889999999999102</v>
      </c>
      <c r="AD5271">
        <v>-0.16402610000000001</v>
      </c>
      <c r="AE5271">
        <v>-0.13635</v>
      </c>
      <c r="AF5271">
        <v>0.135588976758448</v>
      </c>
      <c r="AG5271">
        <v>-0.16402610000000001</v>
      </c>
      <c r="AH5271">
        <v>0.71468696624227201</v>
      </c>
      <c r="AI5271">
        <v>102.706859844552</v>
      </c>
      <c r="AJ5271">
        <v>79.257628562773704</v>
      </c>
      <c r="AK5271">
        <v>0.74569859314349995</v>
      </c>
      <c r="AL5271">
        <v>80.632077540051995</v>
      </c>
      <c r="AM5271">
        <v>88.490782743601002</v>
      </c>
      <c r="AN5271">
        <v>1.00000002656418</v>
      </c>
    </row>
    <row r="5272" spans="1:40" x14ac:dyDescent="0.25">
      <c r="A5272" t="str">
        <f>"20190312173034507"</f>
        <v>20190312173034507</v>
      </c>
      <c r="B5272" t="str">
        <f>"1552383034503510"</f>
        <v>1552383034503510</v>
      </c>
      <c r="C5272" t="s">
        <v>40</v>
      </c>
      <c r="D5272">
        <v>3.4453839999999998</v>
      </c>
      <c r="E5272">
        <v>0.56524960000000002</v>
      </c>
      <c r="F5272" t="s">
        <v>42</v>
      </c>
      <c r="G5272">
        <v>-376.97129999999999</v>
      </c>
      <c r="H5272">
        <v>0.96319699999999997</v>
      </c>
      <c r="I5272">
        <v>17.174289999999999</v>
      </c>
      <c r="J5272">
        <v>-377.62439999999998</v>
      </c>
      <c r="K5272">
        <v>1.1101700000000001</v>
      </c>
      <c r="L5272">
        <v>17.299410000000002</v>
      </c>
      <c r="M5272">
        <v>0.99988489999999997</v>
      </c>
      <c r="N5272">
        <v>0</v>
      </c>
      <c r="O5272">
        <v>7.4403949999999998E-3</v>
      </c>
      <c r="P5272">
        <v>0.98855689999999996</v>
      </c>
      <c r="Q5272">
        <v>0.14950150000000001</v>
      </c>
      <c r="R5272">
        <v>-2.0121050000000001E-2</v>
      </c>
      <c r="S5272">
        <v>3.1167910000000001</v>
      </c>
      <c r="T5272">
        <v>-0.60568580000000005</v>
      </c>
      <c r="U5272">
        <v>-0.5109863</v>
      </c>
      <c r="V5272">
        <v>2.7475630000000001E-2</v>
      </c>
      <c r="W5272">
        <v>0.16256279999999901</v>
      </c>
      <c r="X5272">
        <v>0.98631550000000001</v>
      </c>
      <c r="Y5272">
        <v>0.16596429999999901</v>
      </c>
      <c r="Z5272">
        <v>-1.729698E-2</v>
      </c>
      <c r="AA5272">
        <v>0.98597999999999997</v>
      </c>
      <c r="AB5272">
        <v>23</v>
      </c>
      <c r="AC5272">
        <v>0.65309999999999402</v>
      </c>
      <c r="AD5272">
        <v>-0.14697299999999999</v>
      </c>
      <c r="AE5272">
        <v>-0.12512000000000201</v>
      </c>
      <c r="AF5272">
        <v>0.12392269953051201</v>
      </c>
      <c r="AG5272">
        <v>-0.14697299999999999</v>
      </c>
      <c r="AH5272">
        <v>0.62177727870349397</v>
      </c>
      <c r="AI5272">
        <v>103.051566124556</v>
      </c>
      <c r="AJ5272">
        <v>78.728416682990698</v>
      </c>
      <c r="AK5272">
        <v>0.65081862488703601</v>
      </c>
      <c r="AL5272">
        <v>80.644317522694905</v>
      </c>
      <c r="AM5272">
        <v>88.404333478093903</v>
      </c>
      <c r="AN5272">
        <v>0.99999991986398995</v>
      </c>
    </row>
    <row r="5273" spans="1:40" x14ac:dyDescent="0.25">
      <c r="A5273" t="str">
        <f>"20190312173034518"</f>
        <v>20190312173034518</v>
      </c>
      <c r="B5273" t="str">
        <f>"1552383034513269"</f>
        <v>1552383034513269</v>
      </c>
      <c r="C5273" t="s">
        <v>40</v>
      </c>
      <c r="D5273">
        <v>3.4229859999999999</v>
      </c>
      <c r="E5273">
        <v>0.56679740000000001</v>
      </c>
      <c r="F5273" t="s">
        <v>42</v>
      </c>
      <c r="G5273">
        <v>-376.7731</v>
      </c>
      <c r="H5273">
        <v>0.94068799999999997</v>
      </c>
      <c r="I5273">
        <v>17.153759999999998</v>
      </c>
      <c r="J5273">
        <v>-377.50279999999998</v>
      </c>
      <c r="K5273">
        <v>1.110136</v>
      </c>
      <c r="L5273">
        <v>17.300350000000002</v>
      </c>
      <c r="M5273">
        <v>0.99988469999999996</v>
      </c>
      <c r="N5273">
        <v>0</v>
      </c>
      <c r="O5273">
        <v>7.4668929999999996E-3</v>
      </c>
      <c r="P5273">
        <v>0.98854920000000002</v>
      </c>
      <c r="Q5273">
        <v>0.1493469</v>
      </c>
      <c r="R5273">
        <v>-2.1580820000000001E-2</v>
      </c>
      <c r="S5273">
        <v>3.117737</v>
      </c>
      <c r="T5273">
        <v>-0.62069819999999998</v>
      </c>
      <c r="U5273">
        <v>-0.53329469999999901</v>
      </c>
      <c r="V5273">
        <v>2.897419E-2</v>
      </c>
      <c r="W5273">
        <v>0.1624043</v>
      </c>
      <c r="X5273">
        <v>0.98629880000000003</v>
      </c>
      <c r="Y5273">
        <v>0.17252500000000001</v>
      </c>
      <c r="Z5273">
        <v>-1.8349799999999999E-2</v>
      </c>
      <c r="AA5273">
        <v>0.98483419999999999</v>
      </c>
      <c r="AB5273">
        <v>23</v>
      </c>
      <c r="AC5273">
        <v>0.72969999999997903</v>
      </c>
      <c r="AD5273">
        <v>-0.16944799999999999</v>
      </c>
      <c r="AE5273">
        <v>-0.146589999999999</v>
      </c>
      <c r="AF5273">
        <v>0.14454296443423201</v>
      </c>
      <c r="AG5273">
        <v>-0.16944799999999999</v>
      </c>
      <c r="AH5273">
        <v>0.69268159993994805</v>
      </c>
      <c r="AI5273">
        <v>103.46690740909099</v>
      </c>
      <c r="AJ5273">
        <v>78.213138334737195</v>
      </c>
      <c r="AK5273">
        <v>0.72760778731869202</v>
      </c>
      <c r="AL5273">
        <v>80.653521886594703</v>
      </c>
      <c r="AM5273">
        <v>88.317323817531999</v>
      </c>
      <c r="AN5273">
        <v>0.99999999161304298</v>
      </c>
    </row>
    <row r="5274" spans="1:40" x14ac:dyDescent="0.25">
      <c r="A5274" t="str">
        <f>"20190312173034529"</f>
        <v>20190312173034529</v>
      </c>
      <c r="B5274" t="str">
        <f>"1552383034523031"</f>
        <v>1552383034523031</v>
      </c>
      <c r="C5274" t="s">
        <v>40</v>
      </c>
      <c r="D5274">
        <v>3.4917039999999999</v>
      </c>
      <c r="E5274">
        <v>0.56837309999999996</v>
      </c>
      <c r="F5274" t="s">
        <v>42</v>
      </c>
      <c r="G5274">
        <v>-376.76429999999999</v>
      </c>
      <c r="H5274">
        <v>0.96073750000000002</v>
      </c>
      <c r="I5274">
        <v>17.170210000000001</v>
      </c>
      <c r="J5274">
        <v>-377.39049999999997</v>
      </c>
      <c r="K5274">
        <v>1.110109</v>
      </c>
      <c r="L5274">
        <v>17.301269999999999</v>
      </c>
      <c r="M5274">
        <v>0.99988480000000002</v>
      </c>
      <c r="N5274">
        <v>0</v>
      </c>
      <c r="O5274">
        <v>7.4740600000000003E-3</v>
      </c>
      <c r="P5274">
        <v>0.98850450000000001</v>
      </c>
      <c r="Q5274">
        <v>0.1494646</v>
      </c>
      <c r="R5274">
        <v>-2.278902E-2</v>
      </c>
      <c r="S5274">
        <v>3.118042</v>
      </c>
      <c r="T5274">
        <v>-0.63081809999999905</v>
      </c>
      <c r="U5274">
        <v>-0.54931640000000004</v>
      </c>
      <c r="V5274">
        <v>3.0199090000000001E-2</v>
      </c>
      <c r="W5274">
        <v>0.16251760000000001</v>
      </c>
      <c r="X5274">
        <v>0.98624339999999999</v>
      </c>
      <c r="Y5274">
        <v>0.17722639999999901</v>
      </c>
      <c r="Z5274">
        <v>-1.9102279999999999E-2</v>
      </c>
      <c r="AA5274">
        <v>0.98398470000000005</v>
      </c>
      <c r="AB5274">
        <v>23</v>
      </c>
      <c r="AC5274">
        <v>0.62619999999998299</v>
      </c>
      <c r="AD5274">
        <v>-0.14937149999999999</v>
      </c>
      <c r="AE5274">
        <v>-0.13106000000000101</v>
      </c>
      <c r="AF5274">
        <v>0.12872023413690201</v>
      </c>
      <c r="AG5274">
        <v>-0.14937149999999999</v>
      </c>
      <c r="AH5274">
        <v>0.59288372216744201</v>
      </c>
      <c r="AI5274">
        <v>103.831407037265</v>
      </c>
      <c r="AJ5274">
        <v>77.750686685000105</v>
      </c>
      <c r="AK5274">
        <v>0.62481345352003204</v>
      </c>
      <c r="AL5274">
        <v>80.646942948610402</v>
      </c>
      <c r="AM5274">
        <v>88.246132817223298</v>
      </c>
      <c r="AN5274">
        <v>0.99999999969507403</v>
      </c>
    </row>
    <row r="5275" spans="1:40" x14ac:dyDescent="0.25">
      <c r="A5275" t="str">
        <f>"20190312173034539"</f>
        <v>20190312173034539</v>
      </c>
      <c r="B5275" t="str">
        <f>"1552383034532789"</f>
        <v>1552383034532789</v>
      </c>
      <c r="C5275" t="s">
        <v>40</v>
      </c>
      <c r="D5275">
        <v>3.4255110000000002</v>
      </c>
      <c r="E5275">
        <v>0.56922600000000001</v>
      </c>
      <c r="F5275" t="s">
        <v>42</v>
      </c>
      <c r="G5275">
        <v>-376.56509999999997</v>
      </c>
      <c r="H5275">
        <v>0.94085540000000001</v>
      </c>
      <c r="I5275">
        <v>17.15147</v>
      </c>
      <c r="J5275">
        <v>-377.2801</v>
      </c>
      <c r="K5275">
        <v>1.1100939999999999</v>
      </c>
      <c r="L5275">
        <v>17.30209</v>
      </c>
      <c r="M5275">
        <v>0.99988469999999996</v>
      </c>
      <c r="N5275">
        <v>0</v>
      </c>
      <c r="O5275">
        <v>7.4691769999999996E-3</v>
      </c>
      <c r="P5275">
        <v>0.9884754</v>
      </c>
      <c r="Q5275">
        <v>0.1494568</v>
      </c>
      <c r="R5275">
        <v>-2.4068969999999999E-2</v>
      </c>
      <c r="S5275">
        <v>3.1185909999999999</v>
      </c>
      <c r="T5275">
        <v>-0.63945699999999905</v>
      </c>
      <c r="U5275">
        <v>-0.56518550000000001</v>
      </c>
      <c r="V5275">
        <v>3.1482570000000001E-2</v>
      </c>
      <c r="W5275">
        <v>0.16250680000000001</v>
      </c>
      <c r="X5275">
        <v>0.986205</v>
      </c>
      <c r="Y5275">
        <v>0.18185499999999999</v>
      </c>
      <c r="Z5275">
        <v>-1.9812070000000001E-2</v>
      </c>
      <c r="AA5275">
        <v>0.98312569999999999</v>
      </c>
      <c r="AB5275">
        <v>23</v>
      </c>
      <c r="AC5275">
        <v>0.71500000000003106</v>
      </c>
      <c r="AD5275">
        <v>-0.16923859999999999</v>
      </c>
      <c r="AE5275">
        <v>-0.150619999999999</v>
      </c>
      <c r="AF5275">
        <v>0.14801637981180199</v>
      </c>
      <c r="AG5275">
        <v>-0.16923859999999999</v>
      </c>
      <c r="AH5275">
        <v>0.67750989291228103</v>
      </c>
      <c r="AI5275">
        <v>103.714343643014</v>
      </c>
      <c r="AJ5275">
        <v>77.676159769030505</v>
      </c>
      <c r="AK5275">
        <v>0.71384186443256603</v>
      </c>
      <c r="AL5275">
        <v>80.647569678233594</v>
      </c>
      <c r="AM5275">
        <v>88.171570797342497</v>
      </c>
      <c r="AN5275">
        <v>0.99999995714252099</v>
      </c>
    </row>
    <row r="5276" spans="1:40" x14ac:dyDescent="0.25">
      <c r="A5276" t="str">
        <f>"20190312173034551"</f>
        <v>20190312173034551</v>
      </c>
      <c r="B5276" t="str">
        <f>"1552383034543525"</f>
        <v>1552383034543525</v>
      </c>
      <c r="C5276" t="s">
        <v>40</v>
      </c>
      <c r="D5276">
        <v>3.461166</v>
      </c>
      <c r="E5276">
        <v>0.57003549999999903</v>
      </c>
      <c r="F5276" t="s">
        <v>42</v>
      </c>
      <c r="G5276">
        <v>-376.5566</v>
      </c>
      <c r="H5276">
        <v>0.96030689999999996</v>
      </c>
      <c r="I5276">
        <v>17.168559999999999</v>
      </c>
      <c r="J5276">
        <v>-377.16550000000001</v>
      </c>
      <c r="K5276">
        <v>1.1100760000000001</v>
      </c>
      <c r="L5276">
        <v>17.302979999999899</v>
      </c>
      <c r="M5276">
        <v>0.99988489999999997</v>
      </c>
      <c r="N5276">
        <v>0</v>
      </c>
      <c r="O5276">
        <v>7.447909E-3</v>
      </c>
      <c r="P5276">
        <v>0.98850709999999997</v>
      </c>
      <c r="Q5276">
        <v>0.1490957</v>
      </c>
      <c r="R5276">
        <v>-2.4984220000000001E-2</v>
      </c>
      <c r="S5276">
        <v>3.1185909999999999</v>
      </c>
      <c r="T5276">
        <v>-0.64565530000000004</v>
      </c>
      <c r="U5276">
        <v>-0.5747681</v>
      </c>
      <c r="V5276">
        <v>3.2384250000000003E-2</v>
      </c>
      <c r="W5276">
        <v>0.16214310000000001</v>
      </c>
      <c r="X5276">
        <v>0.98623570000000005</v>
      </c>
      <c r="Y5276">
        <v>0.18462899999999999</v>
      </c>
      <c r="Z5276">
        <v>-2.0272439999999999E-2</v>
      </c>
      <c r="AA5276">
        <v>0.98259920000000001</v>
      </c>
      <c r="AB5276">
        <v>23</v>
      </c>
      <c r="AC5276">
        <v>0.60890000000000499</v>
      </c>
      <c r="AD5276">
        <v>-0.14976909999999999</v>
      </c>
      <c r="AE5276">
        <v>-0.13441999999999801</v>
      </c>
      <c r="AF5276">
        <v>0.13137302602503001</v>
      </c>
      <c r="AG5276">
        <v>-0.14976909999999999</v>
      </c>
      <c r="AH5276">
        <v>0.57472691354309502</v>
      </c>
      <c r="AI5276">
        <v>104.253864021211</v>
      </c>
      <c r="AJ5276">
        <v>77.124347149070502</v>
      </c>
      <c r="AK5276">
        <v>0.60827681234167996</v>
      </c>
      <c r="AL5276">
        <v>80.668688553878098</v>
      </c>
      <c r="AM5276">
        <v>88.119299059708396</v>
      </c>
      <c r="AN5276">
        <v>0.99999999024008102</v>
      </c>
    </row>
    <row r="5277" spans="1:40" x14ac:dyDescent="0.25">
      <c r="A5277" t="str">
        <f>"20190312173034562"</f>
        <v>20190312173034562</v>
      </c>
      <c r="B5277" t="str">
        <f>"1552383034553286"</f>
        <v>1552383034553286</v>
      </c>
      <c r="C5277" t="s">
        <v>40</v>
      </c>
      <c r="D5277">
        <v>3.412655</v>
      </c>
      <c r="E5277">
        <v>0.57045979999999996</v>
      </c>
      <c r="F5277" t="s">
        <v>42</v>
      </c>
      <c r="G5277">
        <v>-376.35730000000001</v>
      </c>
      <c r="H5277">
        <v>0.94106210000000001</v>
      </c>
      <c r="I5277">
        <v>17.151710000000001</v>
      </c>
      <c r="J5277">
        <v>-377.04849999999999</v>
      </c>
      <c r="K5277">
        <v>1.110058</v>
      </c>
      <c r="L5277">
        <v>17.303799999999999</v>
      </c>
      <c r="M5277">
        <v>0.99988509999999997</v>
      </c>
      <c r="N5277">
        <v>0</v>
      </c>
      <c r="O5277">
        <v>7.4197509999999996E-3</v>
      </c>
      <c r="P5277">
        <v>0.98851429999999996</v>
      </c>
      <c r="Q5277">
        <v>0.14884849999999999</v>
      </c>
      <c r="R5277">
        <v>-2.6150659999999999E-2</v>
      </c>
      <c r="S5277">
        <v>3.1185299999999998</v>
      </c>
      <c r="T5277">
        <v>-0.65214530000000004</v>
      </c>
      <c r="U5277">
        <v>-0.58309940000000005</v>
      </c>
      <c r="V5277">
        <v>3.3529259999999998E-2</v>
      </c>
      <c r="W5277">
        <v>0.161892799999999</v>
      </c>
      <c r="X5277">
        <v>0.98623850000000002</v>
      </c>
      <c r="Y5277">
        <v>0.18701590000000001</v>
      </c>
      <c r="Z5277">
        <v>-2.0706680000000002E-2</v>
      </c>
      <c r="AA5277">
        <v>0.98213859999999997</v>
      </c>
      <c r="AB5277">
        <v>23</v>
      </c>
      <c r="AC5277">
        <v>0.69119999999998005</v>
      </c>
      <c r="AD5277">
        <v>-0.1689959</v>
      </c>
      <c r="AE5277">
        <v>-0.15208999999999701</v>
      </c>
      <c r="AF5277">
        <v>0.148734280494835</v>
      </c>
      <c r="AG5277">
        <v>-0.1689959</v>
      </c>
      <c r="AH5277">
        <v>0.65282945500864997</v>
      </c>
      <c r="AI5277">
        <v>104.165543816121</v>
      </c>
      <c r="AJ5277">
        <v>77.165364297267402</v>
      </c>
      <c r="AK5277">
        <v>0.69055615103915902</v>
      </c>
      <c r="AL5277">
        <v>80.683221177732705</v>
      </c>
      <c r="AM5277">
        <v>88.052858949731103</v>
      </c>
      <c r="AN5277">
        <v>0.99999993442511603</v>
      </c>
    </row>
    <row r="5278" spans="1:40" x14ac:dyDescent="0.25">
      <c r="A5278" t="str">
        <f>"20190312173034573"</f>
        <v>20190312173034573</v>
      </c>
      <c r="B5278" t="str">
        <f>"1552383034563046"</f>
        <v>1552383034563046</v>
      </c>
      <c r="C5278" t="s">
        <v>40</v>
      </c>
      <c r="D5278">
        <v>3.475276</v>
      </c>
      <c r="E5278">
        <v>0.57099949999999999</v>
      </c>
      <c r="F5278" t="s">
        <v>42</v>
      </c>
      <c r="G5278">
        <v>-376.34809999999999</v>
      </c>
      <c r="H5278">
        <v>0.96243749999999995</v>
      </c>
      <c r="I5278">
        <v>17.171340000000001</v>
      </c>
      <c r="J5278">
        <v>-376.93579999999997</v>
      </c>
      <c r="K5278">
        <v>1.1100490000000001</v>
      </c>
      <c r="L5278">
        <v>17.30463</v>
      </c>
      <c r="M5278">
        <v>0.99988549999999998</v>
      </c>
      <c r="N5278">
        <v>0</v>
      </c>
      <c r="O5278">
        <v>7.3770939999999998E-3</v>
      </c>
      <c r="P5278">
        <v>0.98852439999999997</v>
      </c>
      <c r="Q5278">
        <v>0.14861750000000001</v>
      </c>
      <c r="R5278">
        <v>-2.7067170000000002E-2</v>
      </c>
      <c r="S5278">
        <v>3.1182859999999999</v>
      </c>
      <c r="T5278">
        <v>-0.65717080000000005</v>
      </c>
      <c r="U5278">
        <v>-0.58901979999999998</v>
      </c>
      <c r="V5278">
        <v>3.4407689999999998E-2</v>
      </c>
      <c r="W5278">
        <v>0.16165889999999999</v>
      </c>
      <c r="X5278">
        <v>0.98624659999999997</v>
      </c>
      <c r="Y5278">
        <v>0.1886929</v>
      </c>
      <c r="Z5278">
        <v>-2.1025459999999999E-2</v>
      </c>
      <c r="AA5278">
        <v>0.98181099999999999</v>
      </c>
      <c r="AB5278">
        <v>23</v>
      </c>
      <c r="AC5278">
        <v>0.58769999999998301</v>
      </c>
      <c r="AD5278">
        <v>-0.14761150000000001</v>
      </c>
      <c r="AE5278">
        <v>-0.13328999999999799</v>
      </c>
      <c r="AF5278">
        <v>0.12983242905339501</v>
      </c>
      <c r="AG5278">
        <v>-0.14761150000000001</v>
      </c>
      <c r="AH5278">
        <v>0.55349158258265396</v>
      </c>
      <c r="AI5278">
        <v>104.555106112845</v>
      </c>
      <c r="AJ5278">
        <v>76.798807820481798</v>
      </c>
      <c r="AK5278">
        <v>0.58736576896854098</v>
      </c>
      <c r="AL5278">
        <v>80.6968014370254</v>
      </c>
      <c r="AM5278">
        <v>88.001903200618003</v>
      </c>
      <c r="AN5278">
        <v>0.99999992254594905</v>
      </c>
    </row>
    <row r="5279" spans="1:40" x14ac:dyDescent="0.25">
      <c r="A5279" t="str">
        <f>"20190312173034585"</f>
        <v>20190312173034585</v>
      </c>
      <c r="B5279" t="str">
        <f>"1552383034572806"</f>
        <v>1552383034572806</v>
      </c>
      <c r="C5279" t="s">
        <v>40</v>
      </c>
      <c r="D5279">
        <v>3.4178549999999999</v>
      </c>
      <c r="E5279">
        <v>0.57129929999999995</v>
      </c>
      <c r="F5279" t="s">
        <v>42</v>
      </c>
      <c r="G5279">
        <v>-376.14909999999998</v>
      </c>
      <c r="H5279">
        <v>0.94301389999999996</v>
      </c>
      <c r="I5279">
        <v>17.154070000000001</v>
      </c>
      <c r="J5279">
        <v>-376.81509999999997</v>
      </c>
      <c r="K5279">
        <v>1.1100350000000001</v>
      </c>
      <c r="L5279">
        <v>17.305479999999999</v>
      </c>
      <c r="M5279">
        <v>0.99988589999999999</v>
      </c>
      <c r="N5279">
        <v>0</v>
      </c>
      <c r="O5279">
        <v>7.3285499999999996E-3</v>
      </c>
      <c r="P5279">
        <v>0.98854549999999997</v>
      </c>
      <c r="Q5279">
        <v>0.14833679999999999</v>
      </c>
      <c r="R5279">
        <v>-2.7822989999999999E-2</v>
      </c>
      <c r="S5279">
        <v>3.1180729999999999</v>
      </c>
      <c r="T5279">
        <v>-0.66202499999999997</v>
      </c>
      <c r="U5279">
        <v>-0.59530640000000001</v>
      </c>
      <c r="V5279">
        <v>3.5119699999999997E-2</v>
      </c>
      <c r="W5279">
        <v>0.16137470000000001</v>
      </c>
      <c r="X5279">
        <v>0.98626809999999998</v>
      </c>
      <c r="Y5279">
        <v>0.1904708</v>
      </c>
      <c r="Z5279">
        <v>-2.1349989999999999E-2</v>
      </c>
      <c r="AA5279">
        <v>0.98146069999999996</v>
      </c>
      <c r="AB5279">
        <v>23</v>
      </c>
      <c r="AC5279">
        <v>0.66599999999999604</v>
      </c>
      <c r="AD5279">
        <v>-0.16702110000000001</v>
      </c>
      <c r="AE5279">
        <v>-0.15140999999999799</v>
      </c>
      <c r="AF5279">
        <v>0.14746840933097899</v>
      </c>
      <c r="AG5279">
        <v>-0.16702110000000001</v>
      </c>
      <c r="AH5279">
        <v>0.62735586666139298</v>
      </c>
      <c r="AI5279">
        <v>104.529469948458</v>
      </c>
      <c r="AJ5279">
        <v>76.772005867357393</v>
      </c>
      <c r="AK5279">
        <v>0.66574647053535796</v>
      </c>
      <c r="AL5279">
        <v>80.713302047733293</v>
      </c>
      <c r="AM5279">
        <v>87.960634887393198</v>
      </c>
      <c r="AN5279">
        <v>0.99999997610289404</v>
      </c>
    </row>
    <row r="5280" spans="1:40" x14ac:dyDescent="0.25">
      <c r="A5280" t="str">
        <f>"20190312173034597"</f>
        <v>20190312173034597</v>
      </c>
      <c r="B5280" t="str">
        <f>"1552383034593301"</f>
        <v>1552383034593301</v>
      </c>
      <c r="C5280" t="s">
        <v>40</v>
      </c>
      <c r="D5280">
        <v>3.421335</v>
      </c>
      <c r="E5280">
        <v>0.57185090000000005</v>
      </c>
      <c r="F5280" t="s">
        <v>42</v>
      </c>
      <c r="G5280">
        <v>-375.94869999999997</v>
      </c>
      <c r="H5280">
        <v>0.9251549</v>
      </c>
      <c r="I5280">
        <v>17.138660000000002</v>
      </c>
      <c r="J5280">
        <v>-376.69229999999999</v>
      </c>
      <c r="K5280">
        <v>1.110028</v>
      </c>
      <c r="L5280">
        <v>17.306339999999999</v>
      </c>
      <c r="M5280">
        <v>0.99988630000000001</v>
      </c>
      <c r="N5280">
        <v>0</v>
      </c>
      <c r="O5280">
        <v>7.2700940000000004E-3</v>
      </c>
      <c r="P5280">
        <v>0.98857539999999999</v>
      </c>
      <c r="Q5280">
        <v>0.14801220000000001</v>
      </c>
      <c r="R5280">
        <v>-2.8482090000000002E-2</v>
      </c>
      <c r="S5280">
        <v>3.1177060000000001</v>
      </c>
      <c r="T5280">
        <v>-0.66527769999999897</v>
      </c>
      <c r="U5280">
        <v>-0.59942629999999997</v>
      </c>
      <c r="V5280">
        <v>3.5723020000000001E-2</v>
      </c>
      <c r="W5280">
        <v>0.16104389999999999</v>
      </c>
      <c r="X5280">
        <v>0.98630050000000002</v>
      </c>
      <c r="Y5280">
        <v>0.1916207</v>
      </c>
      <c r="Z5280">
        <v>-2.1560530000000001E-2</v>
      </c>
      <c r="AA5280">
        <v>0.9812322</v>
      </c>
      <c r="AB5280">
        <v>23</v>
      </c>
      <c r="AC5280">
        <v>0.74360000000001403</v>
      </c>
      <c r="AD5280">
        <v>-0.18487309999999901</v>
      </c>
      <c r="AE5280">
        <v>-0.167679999999997</v>
      </c>
      <c r="AF5280">
        <v>0.16346688661018699</v>
      </c>
      <c r="AG5280">
        <v>-0.18487309999999901</v>
      </c>
      <c r="AH5280">
        <v>0.70112094356988297</v>
      </c>
      <c r="AI5280">
        <v>104.402074000301</v>
      </c>
      <c r="AJ5280">
        <v>76.875898209462207</v>
      </c>
      <c r="AK5280">
        <v>0.74328329971415397</v>
      </c>
      <c r="AL5280">
        <v>80.732506665384506</v>
      </c>
      <c r="AM5280">
        <v>87.925699143084202</v>
      </c>
      <c r="AN5280">
        <v>0.99999997409268904</v>
      </c>
    </row>
    <row r="5281" spans="1:40" x14ac:dyDescent="0.25">
      <c r="A5281" t="str">
        <f>"20190312173034609"</f>
        <v>20190312173034609</v>
      </c>
      <c r="B5281" t="str">
        <f>"1552383034603062"</f>
        <v>1552383034603062</v>
      </c>
      <c r="C5281" t="s">
        <v>40</v>
      </c>
      <c r="D5281">
        <v>3.4219460000000002</v>
      </c>
      <c r="E5281">
        <v>0.57209370000000004</v>
      </c>
      <c r="F5281" t="s">
        <v>42</v>
      </c>
      <c r="G5281">
        <v>-375.93959999999998</v>
      </c>
      <c r="H5281">
        <v>0.94801460000000004</v>
      </c>
      <c r="I5281">
        <v>17.160070000000001</v>
      </c>
      <c r="J5281">
        <v>-376.56029999999998</v>
      </c>
      <c r="K5281">
        <v>1.1100239999999999</v>
      </c>
      <c r="L5281">
        <v>17.307189999999999</v>
      </c>
      <c r="M5281">
        <v>0.99988690000000002</v>
      </c>
      <c r="N5281">
        <v>0</v>
      </c>
      <c r="O5281">
        <v>7.2054229999999999E-3</v>
      </c>
      <c r="P5281">
        <v>0.9886414</v>
      </c>
      <c r="Q5281">
        <v>0.14744779999999999</v>
      </c>
      <c r="R5281">
        <v>-2.9109019999999999E-2</v>
      </c>
      <c r="S5281">
        <v>3.117737</v>
      </c>
      <c r="T5281">
        <v>-0.67112530000000004</v>
      </c>
      <c r="U5281">
        <v>-0.60488889999999995</v>
      </c>
      <c r="V5281">
        <v>3.628762E-2</v>
      </c>
      <c r="W5281">
        <v>0.160473</v>
      </c>
      <c r="X5281">
        <v>0.9863729</v>
      </c>
      <c r="Y5281">
        <v>0.19310769999999999</v>
      </c>
      <c r="Z5281">
        <v>-2.1885430000000001E-2</v>
      </c>
      <c r="AA5281">
        <v>0.98093350000000001</v>
      </c>
      <c r="AB5281">
        <v>23</v>
      </c>
      <c r="AC5281">
        <v>0.62069999999999903</v>
      </c>
      <c r="AD5281">
        <v>-0.162009399999999</v>
      </c>
      <c r="AE5281">
        <v>-0.147119999999997</v>
      </c>
      <c r="AF5281">
        <v>0.142403537960228</v>
      </c>
      <c r="AG5281">
        <v>-0.162009399999999</v>
      </c>
      <c r="AH5281">
        <v>0.58207802232206296</v>
      </c>
      <c r="AI5281">
        <v>105.128597214433</v>
      </c>
      <c r="AJ5281">
        <v>76.252790652143105</v>
      </c>
      <c r="AK5281">
        <v>0.62075811503540901</v>
      </c>
      <c r="AL5281">
        <v>80.765647518653296</v>
      </c>
      <c r="AM5281">
        <v>87.893098793171703</v>
      </c>
      <c r="AN5281">
        <v>0.99999993647433505</v>
      </c>
    </row>
    <row r="5282" spans="1:40" x14ac:dyDescent="0.25">
      <c r="A5282" t="str">
        <f>"20190312173034622"</f>
        <v>20190312173034622</v>
      </c>
      <c r="B5282" t="str">
        <f>"1552383034612821"</f>
        <v>1552383034612821</v>
      </c>
      <c r="C5282" t="s">
        <v>40</v>
      </c>
      <c r="D5282">
        <v>3.4025059999999998</v>
      </c>
      <c r="E5282">
        <v>0.57225039999999905</v>
      </c>
      <c r="F5282" t="s">
        <v>42</v>
      </c>
      <c r="G5282">
        <v>-375.73930000000001</v>
      </c>
      <c r="H5282">
        <v>0.93135639999999997</v>
      </c>
      <c r="I5282">
        <v>17.146979999999999</v>
      </c>
      <c r="J5282">
        <v>-376.4203</v>
      </c>
      <c r="K5282">
        <v>1.11002</v>
      </c>
      <c r="L5282">
        <v>17.30817</v>
      </c>
      <c r="M5282">
        <v>0.99988759999999999</v>
      </c>
      <c r="N5282">
        <v>0</v>
      </c>
      <c r="O5282">
        <v>7.1349029999999997E-3</v>
      </c>
      <c r="P5282">
        <v>0.98870210000000003</v>
      </c>
      <c r="Q5282">
        <v>0.1469982</v>
      </c>
      <c r="R5282">
        <v>-2.93239E-2</v>
      </c>
      <c r="S5282">
        <v>3.1177980000000001</v>
      </c>
      <c r="T5282">
        <v>-0.67851830000000002</v>
      </c>
      <c r="U5282">
        <v>-0.60748290000000005</v>
      </c>
      <c r="V5282">
        <v>3.6433309999999997E-2</v>
      </c>
      <c r="W5282">
        <v>0.16001599999999999</v>
      </c>
      <c r="X5282">
        <v>0.98644189999999998</v>
      </c>
      <c r="Y5282">
        <v>0.1937133</v>
      </c>
      <c r="Z5282">
        <v>-2.21686E-2</v>
      </c>
      <c r="AA5282">
        <v>0.98080769999999995</v>
      </c>
      <c r="AB5282">
        <v>23</v>
      </c>
      <c r="AC5282">
        <v>0.68099999999998295</v>
      </c>
      <c r="AD5282">
        <v>-0.17866359999999901</v>
      </c>
      <c r="AE5282">
        <v>-0.161190000000001</v>
      </c>
      <c r="AF5282">
        <v>0.15588486112588801</v>
      </c>
      <c r="AG5282">
        <v>-0.17866359999999901</v>
      </c>
      <c r="AH5282">
        <v>0.63823344935832205</v>
      </c>
      <c r="AI5282">
        <v>105.21316336038301</v>
      </c>
      <c r="AJ5282">
        <v>76.274554821228904</v>
      </c>
      <c r="AK5282">
        <v>0.68085439542755399</v>
      </c>
      <c r="AL5282">
        <v>80.792175676900598</v>
      </c>
      <c r="AM5282">
        <v>87.884795363572493</v>
      </c>
      <c r="AN5282">
        <v>1.0000000642045801</v>
      </c>
    </row>
    <row r="5283" spans="1:40" x14ac:dyDescent="0.25">
      <c r="A5283" t="str">
        <f>"20190312173034642"</f>
        <v>20190312173034642</v>
      </c>
      <c r="B5283" t="str">
        <f>"1552383034633420"</f>
        <v>1552383034633420</v>
      </c>
      <c r="C5283" t="s">
        <v>40</v>
      </c>
      <c r="D5283">
        <v>3.404026</v>
      </c>
      <c r="E5283">
        <v>0.57252479999999994</v>
      </c>
      <c r="F5283" t="s">
        <v>42</v>
      </c>
      <c r="G5283">
        <v>-375.72820000000002</v>
      </c>
      <c r="H5283">
        <v>0.95823599999999998</v>
      </c>
      <c r="I5283">
        <v>17.172740000000001</v>
      </c>
      <c r="J5283">
        <v>-376.22489999999999</v>
      </c>
      <c r="K5283">
        <v>1.11002</v>
      </c>
      <c r="L5283">
        <v>17.309449999999998</v>
      </c>
      <c r="M5283">
        <v>0.9998882</v>
      </c>
      <c r="N5283">
        <v>0</v>
      </c>
      <c r="O5283">
        <v>7.0403480000000001E-3</v>
      </c>
      <c r="P5283">
        <v>0.98878779999999999</v>
      </c>
      <c r="Q5283">
        <v>0.14641129999999999</v>
      </c>
      <c r="R5283">
        <v>-2.9369900000000001E-2</v>
      </c>
      <c r="S5283">
        <v>3.1178889999999999</v>
      </c>
      <c r="T5283">
        <v>-0.6837358</v>
      </c>
      <c r="U5283">
        <v>-0.60894780000000004</v>
      </c>
      <c r="V5283">
        <v>3.6383980000000003E-2</v>
      </c>
      <c r="W5283">
        <v>0.15942149999999999</v>
      </c>
      <c r="X5283">
        <v>0.98653990000000003</v>
      </c>
      <c r="Y5283">
        <v>0.19398660000000001</v>
      </c>
      <c r="Z5283">
        <v>-2.2342669999999999E-2</v>
      </c>
      <c r="AA5283">
        <v>0.98074969999999995</v>
      </c>
      <c r="AB5283">
        <v>23</v>
      </c>
      <c r="AC5283">
        <v>0.49669999999997499</v>
      </c>
      <c r="AD5283">
        <v>-0.151783999999999</v>
      </c>
      <c r="AE5283">
        <v>-0.136709999999997</v>
      </c>
      <c r="AF5283">
        <v>0.12900540110595701</v>
      </c>
      <c r="AG5283">
        <v>-0.151783999999999</v>
      </c>
      <c r="AH5283">
        <v>0.45613023307274903</v>
      </c>
      <c r="AI5283">
        <v>107.755289985754</v>
      </c>
      <c r="AJ5283">
        <v>74.207727837592998</v>
      </c>
      <c r="AK5283">
        <v>0.49773041467596602</v>
      </c>
      <c r="AL5283">
        <v>80.826680302909907</v>
      </c>
      <c r="AM5283">
        <v>87.887866357710294</v>
      </c>
      <c r="AN5283">
        <v>0.99999999147745</v>
      </c>
    </row>
    <row r="5284" spans="1:40" x14ac:dyDescent="0.25">
      <c r="A5284" t="str">
        <f>"20190312173034652"</f>
        <v>20190312173034652</v>
      </c>
      <c r="B5284" t="str">
        <f>"1552383034643181"</f>
        <v>1552383034643181</v>
      </c>
      <c r="C5284" t="s">
        <v>40</v>
      </c>
      <c r="D5284">
        <v>3.4118300000000001</v>
      </c>
      <c r="E5284">
        <v>0.57257429999999998</v>
      </c>
      <c r="F5284" t="s">
        <v>42</v>
      </c>
      <c r="G5284">
        <v>-375.5231</v>
      </c>
      <c r="H5284">
        <v>0.95417620000000003</v>
      </c>
      <c r="I5284">
        <v>17.172059999999998</v>
      </c>
      <c r="J5284">
        <v>-376.11799999999999</v>
      </c>
      <c r="K5284">
        <v>1.1100239999999999</v>
      </c>
      <c r="L5284">
        <v>17.310120000000001</v>
      </c>
      <c r="M5284">
        <v>0.99988880000000002</v>
      </c>
      <c r="N5284">
        <v>0</v>
      </c>
      <c r="O5284">
        <v>6.9918869999999996E-3</v>
      </c>
      <c r="P5284">
        <v>0.98880789999999996</v>
      </c>
      <c r="Q5284">
        <v>0.1462502</v>
      </c>
      <c r="R5284">
        <v>-2.9498989999999999E-2</v>
      </c>
      <c r="S5284">
        <v>3.118439</v>
      </c>
      <c r="T5284">
        <v>-0.69243759999999999</v>
      </c>
      <c r="U5284">
        <v>-0.61019899999999905</v>
      </c>
      <c r="V5284">
        <v>3.6463200000000001E-2</v>
      </c>
      <c r="W5284">
        <v>0.15925619999999999</v>
      </c>
      <c r="X5284">
        <v>0.98656370000000004</v>
      </c>
      <c r="Y5284">
        <v>0.1941679</v>
      </c>
      <c r="Z5284">
        <v>-2.2624990000000001E-2</v>
      </c>
      <c r="AA5284">
        <v>0.98070729999999995</v>
      </c>
      <c r="AB5284">
        <v>23</v>
      </c>
      <c r="AC5284">
        <v>0.59490000000005205</v>
      </c>
      <c r="AD5284">
        <v>-0.15584779999999901</v>
      </c>
      <c r="AE5284">
        <v>-0.13805999999999899</v>
      </c>
      <c r="AF5284">
        <v>0.13352121624896399</v>
      </c>
      <c r="AG5284">
        <v>-0.15584779999999901</v>
      </c>
      <c r="AH5284">
        <v>0.55760726192021304</v>
      </c>
      <c r="AI5284">
        <v>105.20618567665301</v>
      </c>
      <c r="AJ5284">
        <v>76.533857185427607</v>
      </c>
      <c r="AK5284">
        <v>0.59417363665817402</v>
      </c>
      <c r="AL5284">
        <v>80.836274109905105</v>
      </c>
      <c r="AM5284">
        <v>87.883322738353201</v>
      </c>
      <c r="AN5284">
        <v>1.00000001817518</v>
      </c>
    </row>
    <row r="5285" spans="1:40" x14ac:dyDescent="0.25">
      <c r="A5285" t="str">
        <f>"20190312173034663"</f>
        <v>20190312173034663</v>
      </c>
      <c r="B5285" t="str">
        <f>"1552383034652941"</f>
        <v>1552383034652941</v>
      </c>
      <c r="C5285" t="s">
        <v>40</v>
      </c>
      <c r="D5285">
        <v>3.4204349999999999</v>
      </c>
      <c r="E5285">
        <v>0.57269219999999998</v>
      </c>
      <c r="F5285" t="s">
        <v>42</v>
      </c>
      <c r="G5285">
        <v>-375.3252</v>
      </c>
      <c r="H5285">
        <v>0.93312729999999999</v>
      </c>
      <c r="I5285">
        <v>17.154720000000001</v>
      </c>
      <c r="J5285">
        <v>-376.00380000000001</v>
      </c>
      <c r="K5285">
        <v>1.1100289999999999</v>
      </c>
      <c r="L5285">
        <v>17.310879999999901</v>
      </c>
      <c r="M5285">
        <v>0.99988909999999998</v>
      </c>
      <c r="N5285">
        <v>0</v>
      </c>
      <c r="O5285">
        <v>6.940936E-3</v>
      </c>
      <c r="P5285">
        <v>0.98882170000000003</v>
      </c>
      <c r="Q5285">
        <v>0.14619550000000001</v>
      </c>
      <c r="R5285">
        <v>-2.9298500000000002E-2</v>
      </c>
      <c r="S5285">
        <v>3.118652</v>
      </c>
      <c r="T5285">
        <v>-0.69598139999999997</v>
      </c>
      <c r="U5285">
        <v>-0.61065669999999905</v>
      </c>
      <c r="V5285">
        <v>3.6210529999999998E-2</v>
      </c>
      <c r="W5285">
        <v>0.159197799999999</v>
      </c>
      <c r="X5285">
        <v>0.98658239999999997</v>
      </c>
      <c r="Y5285">
        <v>0.19419739999999999</v>
      </c>
      <c r="Z5285">
        <v>-2.272836E-2</v>
      </c>
      <c r="AA5285">
        <v>0.98069910000000005</v>
      </c>
      <c r="AB5285">
        <v>23</v>
      </c>
      <c r="AC5285">
        <v>0.67860000000001697</v>
      </c>
      <c r="AD5285">
        <v>-0.1769017</v>
      </c>
      <c r="AE5285">
        <v>-0.156159999999996</v>
      </c>
      <c r="AF5285">
        <v>0.15111393351394201</v>
      </c>
      <c r="AG5285">
        <v>-0.1769017</v>
      </c>
      <c r="AH5285">
        <v>0.63642504460146099</v>
      </c>
      <c r="AI5285">
        <v>105.133203188596</v>
      </c>
      <c r="AJ5285">
        <v>76.642935999802802</v>
      </c>
      <c r="AK5285">
        <v>0.67761823304934599</v>
      </c>
      <c r="AL5285">
        <v>80.839663136200997</v>
      </c>
      <c r="AM5285">
        <v>87.8980167554666</v>
      </c>
      <c r="AN5285">
        <v>0.99999998699874004</v>
      </c>
    </row>
    <row r="5286" spans="1:40" x14ac:dyDescent="0.25">
      <c r="A5286" t="str">
        <f>"20190312173034673"</f>
        <v>20190312173034673</v>
      </c>
      <c r="B5286" t="str">
        <f>"1552383034663677"</f>
        <v>1552383034663677</v>
      </c>
      <c r="C5286" t="s">
        <v>40</v>
      </c>
      <c r="D5286">
        <v>3.4013840000000002</v>
      </c>
      <c r="E5286">
        <v>0.57274449999999999</v>
      </c>
      <c r="F5286" t="s">
        <v>42</v>
      </c>
      <c r="G5286">
        <v>-375.12610000000001</v>
      </c>
      <c r="H5286">
        <v>0.91347860000000003</v>
      </c>
      <c r="I5286">
        <v>17.139029999999899</v>
      </c>
      <c r="J5286">
        <v>-375.89339999999999</v>
      </c>
      <c r="K5286">
        <v>1.110026</v>
      </c>
      <c r="L5286">
        <v>17.311579999999999</v>
      </c>
      <c r="M5286">
        <v>0.99988960000000005</v>
      </c>
      <c r="N5286">
        <v>0</v>
      </c>
      <c r="O5286">
        <v>6.8959219999999996E-3</v>
      </c>
      <c r="P5286">
        <v>0.98881649999999999</v>
      </c>
      <c r="Q5286">
        <v>0.1462338</v>
      </c>
      <c r="R5286">
        <v>-2.9295120000000001E-2</v>
      </c>
      <c r="S5286">
        <v>3.1190799999999999</v>
      </c>
      <c r="T5286">
        <v>-0.69851280000000004</v>
      </c>
      <c r="U5286">
        <v>-0.61053469999999999</v>
      </c>
      <c r="V5286">
        <v>3.6159650000000002E-2</v>
      </c>
      <c r="W5286">
        <v>0.15922890000000001</v>
      </c>
      <c r="X5286">
        <v>0.98657919999999999</v>
      </c>
      <c r="Y5286">
        <v>0.19406219999999999</v>
      </c>
      <c r="Z5286">
        <v>-2.2781490000000001E-2</v>
      </c>
      <c r="AA5286">
        <v>0.9807247</v>
      </c>
      <c r="AB5286">
        <v>23</v>
      </c>
      <c r="AC5286">
        <v>0.767299999999977</v>
      </c>
      <c r="AD5286">
        <v>-0.19654739999999901</v>
      </c>
      <c r="AE5286">
        <v>-0.17255000000000101</v>
      </c>
      <c r="AF5286">
        <v>0.167383385246166</v>
      </c>
      <c r="AG5286">
        <v>-0.19654739999999901</v>
      </c>
      <c r="AH5286">
        <v>0.72105693554844397</v>
      </c>
      <c r="AI5286">
        <v>104.870174908715</v>
      </c>
      <c r="AJ5286">
        <v>76.931046420656202</v>
      </c>
      <c r="AK5286">
        <v>0.76587935238243599</v>
      </c>
      <c r="AL5286">
        <v>80.837857783384706</v>
      </c>
      <c r="AM5286">
        <v>87.900960840036802</v>
      </c>
      <c r="AN5286">
        <v>0.99999994037798401</v>
      </c>
    </row>
    <row r="5287" spans="1:40" x14ac:dyDescent="0.25">
      <c r="A5287" t="str">
        <f>"20190312173034685"</f>
        <v>20190312173034685</v>
      </c>
      <c r="B5287" t="str">
        <f>"1552383034673437"</f>
        <v>1552383034673437</v>
      </c>
      <c r="C5287" t="s">
        <v>40</v>
      </c>
      <c r="D5287">
        <v>3.4055909999999998</v>
      </c>
      <c r="E5287">
        <v>0.57273499999999999</v>
      </c>
      <c r="F5287" t="s">
        <v>42</v>
      </c>
      <c r="G5287">
        <v>-375.11770000000001</v>
      </c>
      <c r="H5287">
        <v>0.93571669999999996</v>
      </c>
      <c r="I5287">
        <v>17.159749999999999</v>
      </c>
      <c r="J5287">
        <v>-375.77859999999998</v>
      </c>
      <c r="K5287">
        <v>1.110031</v>
      </c>
      <c r="L5287">
        <v>17.31232</v>
      </c>
      <c r="M5287">
        <v>0.9998899</v>
      </c>
      <c r="N5287">
        <v>0</v>
      </c>
      <c r="O5287">
        <v>6.8503799999999997E-3</v>
      </c>
      <c r="P5287">
        <v>0.98883659999999995</v>
      </c>
      <c r="Q5287">
        <v>0.14614669999999999</v>
      </c>
      <c r="R5287">
        <v>-2.9039579999999999E-2</v>
      </c>
      <c r="S5287">
        <v>3.1195369999999998</v>
      </c>
      <c r="T5287">
        <v>-0.70108249999999905</v>
      </c>
      <c r="U5287">
        <v>-0.61044309999999902</v>
      </c>
      <c r="V5287">
        <v>3.5856619999999999E-2</v>
      </c>
      <c r="W5287">
        <v>0.15913479999999999</v>
      </c>
      <c r="X5287">
        <v>0.98660550000000002</v>
      </c>
      <c r="Y5287">
        <v>0.1939333</v>
      </c>
      <c r="Z5287">
        <v>-2.2835959999999999E-2</v>
      </c>
      <c r="AA5287">
        <v>0.98074890000000003</v>
      </c>
      <c r="AB5287">
        <v>23</v>
      </c>
      <c r="AC5287">
        <v>0.66089999999996896</v>
      </c>
      <c r="AD5287">
        <v>-0.17431430000000001</v>
      </c>
      <c r="AE5287">
        <v>-0.15257000000000001</v>
      </c>
      <c r="AF5287">
        <v>0.147361606050773</v>
      </c>
      <c r="AG5287">
        <v>-0.17431430000000001</v>
      </c>
      <c r="AH5287">
        <v>0.61895953148580696</v>
      </c>
      <c r="AI5287">
        <v>105.32122420351099</v>
      </c>
      <c r="AJ5287">
        <v>76.608352947717293</v>
      </c>
      <c r="AK5287">
        <v>0.65970585850019803</v>
      </c>
      <c r="AL5287">
        <v>80.843319475158694</v>
      </c>
      <c r="AM5287">
        <v>87.918591391334402</v>
      </c>
      <c r="AN5287">
        <v>0.99999999719955701</v>
      </c>
    </row>
    <row r="5288" spans="1:40" x14ac:dyDescent="0.25">
      <c r="A5288" t="str">
        <f>"20190312173034695"</f>
        <v>20190312173034695</v>
      </c>
      <c r="B5288" t="str">
        <f>"1552383034692957"</f>
        <v>1552383034692957</v>
      </c>
      <c r="C5288" t="s">
        <v>40</v>
      </c>
      <c r="D5288">
        <v>3.3590960000000001</v>
      </c>
      <c r="E5288">
        <v>0.5727679</v>
      </c>
      <c r="F5288" t="s">
        <v>42</v>
      </c>
      <c r="G5288">
        <v>-374.91879999999998</v>
      </c>
      <c r="H5288">
        <v>0.91608420000000002</v>
      </c>
      <c r="I5288">
        <v>17.14423</v>
      </c>
      <c r="J5288">
        <v>-375.66430000000003</v>
      </c>
      <c r="K5288">
        <v>1.110036</v>
      </c>
      <c r="L5288">
        <v>17.313020000000002</v>
      </c>
      <c r="M5288">
        <v>0.99989039999999996</v>
      </c>
      <c r="N5288">
        <v>0</v>
      </c>
      <c r="O5288">
        <v>6.8087779999999997E-3</v>
      </c>
      <c r="P5288">
        <v>0.98883750000000004</v>
      </c>
      <c r="Q5288">
        <v>0.1461866</v>
      </c>
      <c r="R5288">
        <v>-2.881419E-2</v>
      </c>
      <c r="S5288">
        <v>3.1199949999999999</v>
      </c>
      <c r="T5288">
        <v>-0.70379590000000003</v>
      </c>
      <c r="U5288">
        <v>-0.60916139999999996</v>
      </c>
      <c r="V5288">
        <v>3.5587199999999902E-2</v>
      </c>
      <c r="W5288">
        <v>0.1591659</v>
      </c>
      <c r="X5288">
        <v>0.98661019999999999</v>
      </c>
      <c r="Y5288">
        <v>0.19345380000000001</v>
      </c>
      <c r="Z5288">
        <v>-2.2857760000000001E-2</v>
      </c>
      <c r="AA5288">
        <v>0.98084309999999997</v>
      </c>
      <c r="AB5288">
        <v>23</v>
      </c>
      <c r="AC5288">
        <v>0.74550000000004901</v>
      </c>
      <c r="AD5288">
        <v>-0.19395180000000001</v>
      </c>
      <c r="AE5288">
        <v>-0.16879000000000099</v>
      </c>
      <c r="AF5288">
        <v>0.16334554998699999</v>
      </c>
      <c r="AG5288">
        <v>-0.19395180000000001</v>
      </c>
      <c r="AH5288">
        <v>0.69930872941325695</v>
      </c>
      <c r="AI5288">
        <v>105.11373872647</v>
      </c>
      <c r="AJ5288">
        <v>76.852496186149594</v>
      </c>
      <c r="AK5288">
        <v>0.74386273495677901</v>
      </c>
      <c r="AL5288">
        <v>80.841514224765206</v>
      </c>
      <c r="AM5288">
        <v>87.934226941275398</v>
      </c>
      <c r="AN5288">
        <v>0.99999995963534405</v>
      </c>
    </row>
    <row r="5289" spans="1:40" x14ac:dyDescent="0.25">
      <c r="A5289" t="str">
        <f>"20190312173034707"</f>
        <v>20190312173034707</v>
      </c>
      <c r="B5289" t="str">
        <f>"1552383034702717"</f>
        <v>1552383034702717</v>
      </c>
      <c r="C5289" t="s">
        <v>40</v>
      </c>
      <c r="D5289">
        <v>3.5032679999999998</v>
      </c>
      <c r="E5289">
        <v>0.57263609999999998</v>
      </c>
      <c r="F5289" t="s">
        <v>42</v>
      </c>
      <c r="G5289">
        <v>-374.9101</v>
      </c>
      <c r="H5289">
        <v>0.93895280000000003</v>
      </c>
      <c r="I5289">
        <v>17.16572</v>
      </c>
      <c r="J5289">
        <v>-375.55040000000002</v>
      </c>
      <c r="K5289">
        <v>1.1100369999999999</v>
      </c>
      <c r="L5289">
        <v>17.313779999999898</v>
      </c>
      <c r="M5289">
        <v>0.99989070000000002</v>
      </c>
      <c r="N5289">
        <v>0</v>
      </c>
      <c r="O5289">
        <v>6.7692519999999999E-3</v>
      </c>
      <c r="P5289">
        <v>0.98886620000000003</v>
      </c>
      <c r="Q5289">
        <v>0.14607879999999901</v>
      </c>
      <c r="R5289">
        <v>-2.836909E-2</v>
      </c>
      <c r="S5289">
        <v>3.1207889999999998</v>
      </c>
      <c r="T5289">
        <v>-0.70793759999999994</v>
      </c>
      <c r="U5289">
        <v>-0.60855099999999995</v>
      </c>
      <c r="V5289">
        <v>3.5100569999999998E-2</v>
      </c>
      <c r="W5289">
        <v>0.15905050000000001</v>
      </c>
      <c r="X5289">
        <v>0.98664629999999998</v>
      </c>
      <c r="Y5289">
        <v>0.1931377</v>
      </c>
      <c r="Z5289">
        <v>-2.293999E-2</v>
      </c>
      <c r="AA5289">
        <v>0.98090339999999998</v>
      </c>
      <c r="AB5289">
        <v>23</v>
      </c>
      <c r="AC5289">
        <v>0.64030000000002396</v>
      </c>
      <c r="AD5289">
        <v>-0.17108419999999999</v>
      </c>
      <c r="AE5289">
        <v>-0.148059999999997</v>
      </c>
      <c r="AF5289">
        <v>0.14271939123789401</v>
      </c>
      <c r="AG5289">
        <v>-0.17108419999999999</v>
      </c>
      <c r="AH5289">
        <v>0.59870910167401403</v>
      </c>
      <c r="AI5289">
        <v>105.534155215401</v>
      </c>
      <c r="AJ5289">
        <v>76.592142972336802</v>
      </c>
      <c r="AK5289">
        <v>0.63882017544240099</v>
      </c>
      <c r="AL5289">
        <v>80.8482119975112</v>
      </c>
      <c r="AM5289">
        <v>87.962525452472406</v>
      </c>
      <c r="AN5289">
        <v>1.0000000164341301</v>
      </c>
    </row>
    <row r="5290" spans="1:40" x14ac:dyDescent="0.25">
      <c r="A5290" t="str">
        <f>"20190312173034718"</f>
        <v>20190312173034718</v>
      </c>
      <c r="B5290" t="str">
        <f>"1552383034713453"</f>
        <v>1552383034713453</v>
      </c>
      <c r="C5290" t="s">
        <v>40</v>
      </c>
      <c r="D5290">
        <v>3.490189</v>
      </c>
      <c r="E5290">
        <v>0.5727449</v>
      </c>
      <c r="F5290" t="s">
        <v>42</v>
      </c>
      <c r="G5290">
        <v>-374.71140000000003</v>
      </c>
      <c r="H5290">
        <v>0.91946919999999999</v>
      </c>
      <c r="I5290">
        <v>17.15052</v>
      </c>
      <c r="J5290">
        <v>-375.43459999999999</v>
      </c>
      <c r="K5290">
        <v>1.1100410000000001</v>
      </c>
      <c r="L5290">
        <v>17.314509999999999</v>
      </c>
      <c r="M5290">
        <v>0.99989119999999998</v>
      </c>
      <c r="N5290">
        <v>0</v>
      </c>
      <c r="O5290">
        <v>6.7316210000000001E-3</v>
      </c>
      <c r="P5290">
        <v>0.98885429999999996</v>
      </c>
      <c r="Q5290">
        <v>0.14623359999999999</v>
      </c>
      <c r="R5290">
        <v>-2.798488E-2</v>
      </c>
      <c r="S5290">
        <v>3.121124</v>
      </c>
      <c r="T5290">
        <v>-0.7088721</v>
      </c>
      <c r="U5290">
        <v>-0.60668949999999999</v>
      </c>
      <c r="V5290">
        <v>3.467684E-2</v>
      </c>
      <c r="W5290">
        <v>0.1591979</v>
      </c>
      <c r="X5290">
        <v>0.98663749999999995</v>
      </c>
      <c r="Y5290">
        <v>0.19252089999999999</v>
      </c>
      <c r="Z5290">
        <v>-2.289151E-2</v>
      </c>
      <c r="AA5290">
        <v>0.98102579999999995</v>
      </c>
      <c r="AB5290">
        <v>23</v>
      </c>
      <c r="AC5290">
        <v>0.72319999999996298</v>
      </c>
      <c r="AD5290">
        <v>-0.19057180000000001</v>
      </c>
      <c r="AE5290">
        <v>-0.163990000000001</v>
      </c>
      <c r="AF5290">
        <v>0.158394227171087</v>
      </c>
      <c r="AG5290">
        <v>-0.19057180000000001</v>
      </c>
      <c r="AH5290">
        <v>0.67734584148282595</v>
      </c>
      <c r="AI5290">
        <v>105.320834908572</v>
      </c>
      <c r="AJ5290">
        <v>76.838155034032695</v>
      </c>
      <c r="AK5290">
        <v>0.72125150338175603</v>
      </c>
      <c r="AL5290">
        <v>80.839657503558897</v>
      </c>
      <c r="AM5290">
        <v>87.987083312891599</v>
      </c>
      <c r="AN5290">
        <v>1.0000000055015199</v>
      </c>
    </row>
    <row r="5291" spans="1:40" x14ac:dyDescent="0.25">
      <c r="A5291" t="str">
        <f>"20190312173034730"</f>
        <v>20190312173034730</v>
      </c>
      <c r="B5291" t="str">
        <f>"1552383034723217"</f>
        <v>1552383034723217</v>
      </c>
      <c r="C5291" t="s">
        <v>40</v>
      </c>
      <c r="D5291">
        <v>3.396099</v>
      </c>
      <c r="E5291">
        <v>0.5727061</v>
      </c>
      <c r="F5291" t="s">
        <v>42</v>
      </c>
      <c r="G5291">
        <v>-374.702</v>
      </c>
      <c r="H5291">
        <v>0.94335199999999997</v>
      </c>
      <c r="I5291">
        <v>17.171990000000001</v>
      </c>
      <c r="J5291">
        <v>-375.3184</v>
      </c>
      <c r="K5291">
        <v>1.110047</v>
      </c>
      <c r="L5291">
        <v>17.31522</v>
      </c>
      <c r="M5291">
        <v>0.99989159999999999</v>
      </c>
      <c r="N5291">
        <v>0</v>
      </c>
      <c r="O5291">
        <v>6.6958249999999999E-3</v>
      </c>
      <c r="P5291">
        <v>0.98883710000000002</v>
      </c>
      <c r="Q5291">
        <v>0.14641170000000001</v>
      </c>
      <c r="R5291">
        <v>-2.766362E-2</v>
      </c>
      <c r="S5291">
        <v>3.1217350000000001</v>
      </c>
      <c r="T5291">
        <v>-0.71035300000000001</v>
      </c>
      <c r="U5291">
        <v>-0.6066589</v>
      </c>
      <c r="V5291">
        <v>3.431787E-2</v>
      </c>
      <c r="W5291">
        <v>0.1593687</v>
      </c>
      <c r="X5291">
        <v>0.98662249999999996</v>
      </c>
      <c r="Y5291">
        <v>0.1924255</v>
      </c>
      <c r="Z5291">
        <v>-2.2915290000000001E-2</v>
      </c>
      <c r="AA5291">
        <v>0.98104400000000003</v>
      </c>
      <c r="AB5291">
        <v>23</v>
      </c>
      <c r="AC5291">
        <v>0.61639999999999795</v>
      </c>
      <c r="AD5291">
        <v>-0.16669499999999901</v>
      </c>
      <c r="AE5291">
        <v>-0.143229999999999</v>
      </c>
      <c r="AF5291">
        <v>0.13779330292997299</v>
      </c>
      <c r="AG5291">
        <v>-0.16669499999999901</v>
      </c>
      <c r="AH5291">
        <v>0.57549484574226095</v>
      </c>
      <c r="AI5291">
        <v>105.732157790107</v>
      </c>
      <c r="AJ5291">
        <v>76.534908438783901</v>
      </c>
      <c r="AK5291">
        <v>0.61479145637627397</v>
      </c>
      <c r="AL5291">
        <v>80.8297450377449</v>
      </c>
      <c r="AM5291">
        <v>88.007873617809096</v>
      </c>
      <c r="AN5291">
        <v>1.0000000281236301</v>
      </c>
    </row>
    <row r="5292" spans="1:40" x14ac:dyDescent="0.25">
      <c r="A5292" t="str">
        <f>"20190312173034740"</f>
        <v>20190312173034740</v>
      </c>
      <c r="B5292" t="str">
        <f>"1552383034732973"</f>
        <v>1552383034732973</v>
      </c>
      <c r="C5292" t="s">
        <v>40</v>
      </c>
      <c r="D5292">
        <v>3.3859840000000001</v>
      </c>
      <c r="E5292">
        <v>0.57269349999999997</v>
      </c>
      <c r="F5292" t="s">
        <v>42</v>
      </c>
      <c r="G5292">
        <v>-374.5034</v>
      </c>
      <c r="H5292">
        <v>0.92437849999999999</v>
      </c>
      <c r="I5292">
        <v>17.157060000000001</v>
      </c>
      <c r="J5292">
        <v>-375.19690000000003</v>
      </c>
      <c r="K5292">
        <v>1.11005</v>
      </c>
      <c r="L5292">
        <v>17.316009999999999</v>
      </c>
      <c r="M5292">
        <v>0.99989189999999994</v>
      </c>
      <c r="N5292">
        <v>0</v>
      </c>
      <c r="O5292">
        <v>6.6596669999999898E-3</v>
      </c>
      <c r="P5292">
        <v>0.98880999999999997</v>
      </c>
      <c r="Q5292">
        <v>0.14667169999999999</v>
      </c>
      <c r="R5292">
        <v>-2.7247629999999998E-2</v>
      </c>
      <c r="S5292">
        <v>3.1222840000000001</v>
      </c>
      <c r="T5292">
        <v>-0.7114066</v>
      </c>
      <c r="U5292">
        <v>-0.60507200000000005</v>
      </c>
      <c r="V5292">
        <v>3.3863909999999997E-2</v>
      </c>
      <c r="W5292">
        <v>0.1596216</v>
      </c>
      <c r="X5292">
        <v>0.98659730000000001</v>
      </c>
      <c r="Y5292">
        <v>0.1918783</v>
      </c>
      <c r="Z5292">
        <v>-2.2876580000000001E-2</v>
      </c>
      <c r="AA5292">
        <v>0.98115209999999997</v>
      </c>
      <c r="AB5292">
        <v>23</v>
      </c>
      <c r="AC5292">
        <v>0.69350000000002798</v>
      </c>
      <c r="AD5292">
        <v>-0.18567149999999999</v>
      </c>
      <c r="AE5292">
        <v>-0.15895000000000001</v>
      </c>
      <c r="AF5292">
        <v>0.153136402892664</v>
      </c>
      <c r="AG5292">
        <v>-0.18567149999999999</v>
      </c>
      <c r="AH5292">
        <v>0.64827680511969699</v>
      </c>
      <c r="AI5292">
        <v>105.57509582495101</v>
      </c>
      <c r="AJ5292">
        <v>76.709186056000704</v>
      </c>
      <c r="AK5292">
        <v>0.69151101210274102</v>
      </c>
      <c r="AL5292">
        <v>80.8150670182971</v>
      </c>
      <c r="AM5292">
        <v>88.034154666945</v>
      </c>
      <c r="AN5292">
        <v>1.00000002597716</v>
      </c>
    </row>
    <row r="5293" spans="1:40" x14ac:dyDescent="0.25">
      <c r="A5293" t="str">
        <f>"20190312173034753"</f>
        <v>20190312173034753</v>
      </c>
      <c r="B5293" t="str">
        <f>"1552383034742734"</f>
        <v>1552383034742734</v>
      </c>
      <c r="C5293" t="s">
        <v>40</v>
      </c>
      <c r="D5293">
        <v>3.3951839999999902</v>
      </c>
      <c r="E5293">
        <v>0.57269360000000002</v>
      </c>
      <c r="F5293" t="s">
        <v>42</v>
      </c>
      <c r="G5293">
        <v>-374.4932</v>
      </c>
      <c r="H5293">
        <v>0.94960820000000001</v>
      </c>
      <c r="I5293">
        <v>17.1798</v>
      </c>
      <c r="J5293">
        <v>-375.07929999999999</v>
      </c>
      <c r="K5293">
        <v>1.110053</v>
      </c>
      <c r="L5293">
        <v>17.316739999999999</v>
      </c>
      <c r="M5293">
        <v>0.99989209999999995</v>
      </c>
      <c r="N5293">
        <v>0</v>
      </c>
      <c r="O5293">
        <v>6.6261899999999997E-3</v>
      </c>
      <c r="P5293">
        <v>0.98877349999999997</v>
      </c>
      <c r="Q5293">
        <v>0.146998499999999</v>
      </c>
      <c r="R5293">
        <v>-2.6807439999999998E-2</v>
      </c>
      <c r="S5293">
        <v>3.1229550000000001</v>
      </c>
      <c r="T5293">
        <v>-0.71205209999999997</v>
      </c>
      <c r="U5293">
        <v>-0.60345459999999995</v>
      </c>
      <c r="V5293">
        <v>3.3388609999999999E-2</v>
      </c>
      <c r="W5293">
        <v>0.15993879999999999</v>
      </c>
      <c r="X5293">
        <v>0.9865621</v>
      </c>
      <c r="Y5293">
        <v>0.19132350000000001</v>
      </c>
      <c r="Z5293">
        <v>-2.2823820000000002E-2</v>
      </c>
      <c r="AA5293">
        <v>0.98126159999999996</v>
      </c>
      <c r="AB5293">
        <v>23</v>
      </c>
      <c r="AC5293">
        <v>0.58609999999998696</v>
      </c>
      <c r="AD5293">
        <v>-0.160444799999999</v>
      </c>
      <c r="AE5293">
        <v>-0.13693999999999901</v>
      </c>
      <c r="AF5293">
        <v>0.13147812735317699</v>
      </c>
      <c r="AG5293">
        <v>-0.160444799999999</v>
      </c>
      <c r="AH5293">
        <v>0.54635573268791704</v>
      </c>
      <c r="AI5293">
        <v>105.934726868242</v>
      </c>
      <c r="AJ5293">
        <v>76.469293880494106</v>
      </c>
      <c r="AK5293">
        <v>0.58440877685083403</v>
      </c>
      <c r="AL5293">
        <v>80.796656008566202</v>
      </c>
      <c r="AM5293">
        <v>88.061656168859898</v>
      </c>
      <c r="AN5293">
        <v>0.99999999808979101</v>
      </c>
    </row>
    <row r="5294" spans="1:40" x14ac:dyDescent="0.25">
      <c r="A5294" t="str">
        <f>"20190312173034764"</f>
        <v>20190312173034764</v>
      </c>
      <c r="B5294" t="str">
        <f>"1552383034753469"</f>
        <v>1552383034753469</v>
      </c>
      <c r="C5294" t="s">
        <v>40</v>
      </c>
      <c r="D5294">
        <v>3.3733300000000002</v>
      </c>
      <c r="E5294">
        <v>0.57268299999999905</v>
      </c>
      <c r="F5294" t="s">
        <v>42</v>
      </c>
      <c r="G5294">
        <v>-374.29489999999998</v>
      </c>
      <c r="H5294">
        <v>0.9312241</v>
      </c>
      <c r="I5294">
        <v>17.165320000000001</v>
      </c>
      <c r="J5294">
        <v>-374.96879999999999</v>
      </c>
      <c r="K5294">
        <v>1.1100559999999999</v>
      </c>
      <c r="L5294">
        <v>17.317409999999999</v>
      </c>
      <c r="M5294">
        <v>0.99989269999999997</v>
      </c>
      <c r="N5294">
        <v>0</v>
      </c>
      <c r="O5294">
        <v>6.5944319999999999E-3</v>
      </c>
      <c r="P5294">
        <v>0.98876569999999997</v>
      </c>
      <c r="Q5294">
        <v>0.1471198</v>
      </c>
      <c r="R5294">
        <v>-2.642864E-2</v>
      </c>
      <c r="S5294">
        <v>3.123596</v>
      </c>
      <c r="T5294">
        <v>-0.71216950000000001</v>
      </c>
      <c r="U5294">
        <v>-0.60253909999999999</v>
      </c>
      <c r="V5294">
        <v>3.2976810000000002E-2</v>
      </c>
      <c r="W5294">
        <v>0.16005079999999999</v>
      </c>
      <c r="X5294">
        <v>0.98655780000000004</v>
      </c>
      <c r="Y5294">
        <v>0.19098670000000001</v>
      </c>
      <c r="Z5294">
        <v>-2.2778949999999999E-2</v>
      </c>
      <c r="AA5294">
        <v>0.98132830000000004</v>
      </c>
      <c r="AB5294">
        <v>23</v>
      </c>
      <c r="AC5294">
        <v>0.67390000000000305</v>
      </c>
      <c r="AD5294">
        <v>-0.17883189999999899</v>
      </c>
      <c r="AE5294">
        <v>-0.15208999999999701</v>
      </c>
      <c r="AF5294">
        <v>0.14670099181685201</v>
      </c>
      <c r="AG5294">
        <v>-0.17883189999999899</v>
      </c>
      <c r="AH5294">
        <v>0.63062565483579203</v>
      </c>
      <c r="AI5294">
        <v>105.440340522968</v>
      </c>
      <c r="AJ5294">
        <v>76.904326293166207</v>
      </c>
      <c r="AK5294">
        <v>0.67170733656461601</v>
      </c>
      <c r="AL5294">
        <v>80.790155252850298</v>
      </c>
      <c r="AM5294">
        <v>88.085536585097898</v>
      </c>
      <c r="AN5294">
        <v>1.0000000106596201</v>
      </c>
    </row>
    <row r="5295" spans="1:40" x14ac:dyDescent="0.25">
      <c r="A5295" t="str">
        <f>"20190312173034774"</f>
        <v>20190312173034774</v>
      </c>
      <c r="B5295" t="str">
        <f>"1552383034763229"</f>
        <v>1552383034763229</v>
      </c>
      <c r="C5295" t="s">
        <v>40</v>
      </c>
      <c r="D5295">
        <v>3.4616889999999998</v>
      </c>
      <c r="E5295">
        <v>0.57257460000000004</v>
      </c>
      <c r="F5295" t="s">
        <v>42</v>
      </c>
      <c r="G5295">
        <v>-374.0967</v>
      </c>
      <c r="H5295">
        <v>0.91108049999999996</v>
      </c>
      <c r="I5295">
        <v>17.149329999999999</v>
      </c>
      <c r="J5295">
        <v>-374.8528</v>
      </c>
      <c r="K5295">
        <v>1.110063</v>
      </c>
      <c r="L5295">
        <v>17.318179999999899</v>
      </c>
      <c r="M5295">
        <v>0.99989289999999997</v>
      </c>
      <c r="N5295">
        <v>0</v>
      </c>
      <c r="O5295">
        <v>6.5619540000000001E-3</v>
      </c>
      <c r="P5295">
        <v>0.98875080000000004</v>
      </c>
      <c r="Q5295">
        <v>0.1473092</v>
      </c>
      <c r="R5295">
        <v>-2.592767E-2</v>
      </c>
      <c r="S5295">
        <v>3.1240230000000002</v>
      </c>
      <c r="T5295">
        <v>-0.71279979999999998</v>
      </c>
      <c r="U5295">
        <v>-0.60159300000000004</v>
      </c>
      <c r="V5295">
        <v>3.2442470000000001E-2</v>
      </c>
      <c r="W5295">
        <v>0.1602297</v>
      </c>
      <c r="X5295">
        <v>0.98654649999999999</v>
      </c>
      <c r="Y5295">
        <v>0.19064500000000001</v>
      </c>
      <c r="Z5295">
        <v>-2.275085E-2</v>
      </c>
      <c r="AA5295">
        <v>0.98139540000000003</v>
      </c>
      <c r="AB5295">
        <v>23</v>
      </c>
      <c r="AC5295">
        <v>0.75610000000000299</v>
      </c>
      <c r="AD5295">
        <v>-0.19898249999999901</v>
      </c>
      <c r="AE5295">
        <v>-0.168849999999999</v>
      </c>
      <c r="AF5295">
        <v>0.163052011424487</v>
      </c>
      <c r="AG5295">
        <v>-0.19898249999999901</v>
      </c>
      <c r="AH5295">
        <v>0.70825334010702301</v>
      </c>
      <c r="AI5295">
        <v>105.311593090209</v>
      </c>
      <c r="AJ5295">
        <v>77.035423520521903</v>
      </c>
      <c r="AK5295">
        <v>0.75352689899470404</v>
      </c>
      <c r="AL5295">
        <v>80.779771235675994</v>
      </c>
      <c r="AM5295">
        <v>88.116513523486503</v>
      </c>
      <c r="AN5295">
        <v>1.0000000336420101</v>
      </c>
    </row>
    <row r="5296" spans="1:40" x14ac:dyDescent="0.25">
      <c r="A5296" t="str">
        <f>"20190312173034786"</f>
        <v>20190312173034786</v>
      </c>
      <c r="B5296" t="str">
        <f>"1552383034782749"</f>
        <v>1552383034782749</v>
      </c>
      <c r="C5296" t="s">
        <v>40</v>
      </c>
      <c r="D5296">
        <v>3.3894769999999999</v>
      </c>
      <c r="E5296">
        <v>0.57227550000000005</v>
      </c>
      <c r="F5296" t="s">
        <v>42</v>
      </c>
      <c r="G5296">
        <v>-374.08749999999998</v>
      </c>
      <c r="H5296">
        <v>0.93558079999999999</v>
      </c>
      <c r="I5296">
        <v>17.17118</v>
      </c>
      <c r="J5296">
        <v>-374.7407</v>
      </c>
      <c r="K5296">
        <v>1.1100650000000001</v>
      </c>
      <c r="L5296">
        <v>17.318850000000001</v>
      </c>
      <c r="M5296">
        <v>0.99989329999999998</v>
      </c>
      <c r="N5296">
        <v>0</v>
      </c>
      <c r="O5296">
        <v>6.5303030000000003E-3</v>
      </c>
      <c r="P5296">
        <v>0.98876200000000003</v>
      </c>
      <c r="Q5296">
        <v>0.1472897</v>
      </c>
      <c r="R5296">
        <v>-2.5610129999999998E-2</v>
      </c>
      <c r="S5296">
        <v>3.1245419999999999</v>
      </c>
      <c r="T5296">
        <v>-0.71240769999999998</v>
      </c>
      <c r="U5296">
        <v>-0.59954830000000003</v>
      </c>
      <c r="V5296">
        <v>3.2092679999999998E-2</v>
      </c>
      <c r="W5296">
        <v>0.16019910000000001</v>
      </c>
      <c r="X5296">
        <v>0.98656290000000002</v>
      </c>
      <c r="Y5296">
        <v>0.18998760000000001</v>
      </c>
      <c r="Z5296">
        <v>-2.2655939999999999E-2</v>
      </c>
      <c r="AA5296">
        <v>0.98152510000000004</v>
      </c>
      <c r="AB5296">
        <v>23</v>
      </c>
      <c r="AC5296">
        <v>0.65320000000002598</v>
      </c>
      <c r="AD5296">
        <v>-0.17448419999999901</v>
      </c>
      <c r="AE5296">
        <v>-0.14767000000000099</v>
      </c>
      <c r="AF5296">
        <v>0.14227453464406001</v>
      </c>
      <c r="AG5296">
        <v>-0.17448419999999901</v>
      </c>
      <c r="AH5296">
        <v>0.61076033208926095</v>
      </c>
      <c r="AI5296">
        <v>105.548387993717</v>
      </c>
      <c r="AJ5296">
        <v>76.886994302161298</v>
      </c>
      <c r="AK5296">
        <v>0.65093391562554803</v>
      </c>
      <c r="AL5296">
        <v>80.781547338517498</v>
      </c>
      <c r="AM5296">
        <v>88.136837560528207</v>
      </c>
      <c r="AN5296">
        <v>1.0000000237033999</v>
      </c>
    </row>
    <row r="5297" spans="1:40" x14ac:dyDescent="0.25">
      <c r="A5297" t="str">
        <f>"20190312173034799"</f>
        <v>20190312173034799</v>
      </c>
      <c r="B5297" t="str">
        <f>"1552383034793485"</f>
        <v>1552383034793485</v>
      </c>
      <c r="C5297" t="s">
        <v>40</v>
      </c>
      <c r="D5297">
        <v>3.4238919999999999</v>
      </c>
      <c r="E5297">
        <v>0.57236330000000002</v>
      </c>
      <c r="F5297" t="s">
        <v>42</v>
      </c>
      <c r="G5297">
        <v>-373.88929999999999</v>
      </c>
      <c r="H5297">
        <v>0.91577819999999999</v>
      </c>
      <c r="I5297">
        <v>17.15635</v>
      </c>
      <c r="J5297">
        <v>-374.59949999999998</v>
      </c>
      <c r="K5297">
        <v>1.1100650000000001</v>
      </c>
      <c r="L5297">
        <v>17.319700000000001</v>
      </c>
      <c r="M5297">
        <v>0.9998937</v>
      </c>
      <c r="N5297">
        <v>0</v>
      </c>
      <c r="O5297">
        <v>6.4906290000000004E-3</v>
      </c>
      <c r="P5297">
        <v>0.98875449999999998</v>
      </c>
      <c r="Q5297">
        <v>0.14743789999999901</v>
      </c>
      <c r="R5297">
        <v>-2.5039970000000002E-2</v>
      </c>
      <c r="S5297">
        <v>3.124908</v>
      </c>
      <c r="T5297">
        <v>-0.71316829999999998</v>
      </c>
      <c r="U5297">
        <v>-0.59628300000000001</v>
      </c>
      <c r="V5297">
        <v>3.1482309999999999E-2</v>
      </c>
      <c r="W5297">
        <v>0.16033269999999999</v>
      </c>
      <c r="X5297">
        <v>0.98656080000000002</v>
      </c>
      <c r="Y5297">
        <v>0.18895419999999999</v>
      </c>
      <c r="Z5297">
        <v>-2.2554830000000001E-2</v>
      </c>
      <c r="AA5297">
        <v>0.98172680000000001</v>
      </c>
      <c r="AB5297">
        <v>23</v>
      </c>
      <c r="AC5297">
        <v>0.71019999999998595</v>
      </c>
      <c r="AD5297">
        <v>-0.19428680000000001</v>
      </c>
      <c r="AE5297">
        <v>-0.16335000000000099</v>
      </c>
      <c r="AF5297">
        <v>0.156810753681317</v>
      </c>
      <c r="AG5297">
        <v>-0.19428680000000001</v>
      </c>
      <c r="AH5297">
        <v>0.662066162545773</v>
      </c>
      <c r="AI5297">
        <v>105.936957362934</v>
      </c>
      <c r="AJ5297">
        <v>76.675009038145404</v>
      </c>
      <c r="AK5297">
        <v>0.70757937838268603</v>
      </c>
      <c r="AL5297">
        <v>80.773791800389503</v>
      </c>
      <c r="AM5297">
        <v>88.172244851603494</v>
      </c>
      <c r="AN5297">
        <v>0.99999996131443203</v>
      </c>
    </row>
    <row r="5298" spans="1:40" x14ac:dyDescent="0.25">
      <c r="A5298" t="str">
        <f>"20190312173034813"</f>
        <v>20190312173034813</v>
      </c>
      <c r="B5298" t="str">
        <f>"1552383034803244"</f>
        <v>1552383034803244</v>
      </c>
      <c r="C5298" t="s">
        <v>40</v>
      </c>
      <c r="D5298">
        <v>3.4476879999999999</v>
      </c>
      <c r="E5298">
        <v>0.57246799999999998</v>
      </c>
      <c r="F5298" t="s">
        <v>42</v>
      </c>
      <c r="G5298">
        <v>-373.8777</v>
      </c>
      <c r="H5298">
        <v>0.94516739999999999</v>
      </c>
      <c r="I5298">
        <v>17.182099999999998</v>
      </c>
      <c r="J5298">
        <v>-374.46120000000002</v>
      </c>
      <c r="K5298">
        <v>1.1100669999999999</v>
      </c>
      <c r="L5298">
        <v>17.320589999999999</v>
      </c>
      <c r="M5298">
        <v>0.99989430000000001</v>
      </c>
      <c r="N5298">
        <v>0</v>
      </c>
      <c r="O5298">
        <v>6.4509559999999999E-3</v>
      </c>
      <c r="P5298">
        <v>0.98871129999999996</v>
      </c>
      <c r="Q5298">
        <v>0.14779500000000001</v>
      </c>
      <c r="R5298">
        <v>-2.4640430000000001E-2</v>
      </c>
      <c r="S5298">
        <v>3.1254879999999998</v>
      </c>
      <c r="T5298">
        <v>-0.7139723</v>
      </c>
      <c r="U5298">
        <v>-0.59558109999999997</v>
      </c>
      <c r="V5298">
        <v>3.1042819999999999E-2</v>
      </c>
      <c r="W5298">
        <v>0.1606716</v>
      </c>
      <c r="X5298">
        <v>0.98651960000000005</v>
      </c>
      <c r="Y5298">
        <v>0.1886678</v>
      </c>
      <c r="Z5298">
        <v>-2.2535179999999998E-2</v>
      </c>
      <c r="AA5298">
        <v>0.98178240000000006</v>
      </c>
      <c r="AB5298">
        <v>23</v>
      </c>
      <c r="AC5298">
        <v>0.58350000000001501</v>
      </c>
      <c r="AD5298">
        <v>-0.16489959999999901</v>
      </c>
      <c r="AE5298">
        <v>-0.13849</v>
      </c>
      <c r="AF5298">
        <v>0.13225247172117199</v>
      </c>
      <c r="AG5298">
        <v>-0.16489959999999901</v>
      </c>
      <c r="AH5298">
        <v>0.541642863262494</v>
      </c>
      <c r="AI5298">
        <v>106.475835492351</v>
      </c>
      <c r="AJ5298">
        <v>76.278617072356695</v>
      </c>
      <c r="AK5298">
        <v>0.58142891713408296</v>
      </c>
      <c r="AL5298">
        <v>80.754119299641403</v>
      </c>
      <c r="AM5298">
        <v>88.197667972398406</v>
      </c>
      <c r="AN5298">
        <v>0.99999997045213496</v>
      </c>
    </row>
    <row r="5299" spans="1:40" x14ac:dyDescent="0.25">
      <c r="A5299" t="str">
        <f>"20190312173034832"</f>
        <v>20190312173034832</v>
      </c>
      <c r="B5299" t="str">
        <f>"1552383034822765"</f>
        <v>1552383034822765</v>
      </c>
      <c r="C5299" t="s">
        <v>40</v>
      </c>
      <c r="D5299">
        <v>3.3851279999999999</v>
      </c>
      <c r="E5299">
        <v>0.57257279999999999</v>
      </c>
      <c r="F5299" t="s">
        <v>42</v>
      </c>
      <c r="G5299">
        <v>-373.67790000000002</v>
      </c>
      <c r="H5299">
        <v>0.93121710000000002</v>
      </c>
      <c r="I5299">
        <v>17.17088</v>
      </c>
      <c r="J5299">
        <v>-374.26139999999998</v>
      </c>
      <c r="K5299">
        <v>1.110061</v>
      </c>
      <c r="L5299">
        <v>17.321809999999999</v>
      </c>
      <c r="M5299">
        <v>0.99989499999999998</v>
      </c>
      <c r="N5299">
        <v>0</v>
      </c>
      <c r="O5299">
        <v>6.3933530000000001E-3</v>
      </c>
      <c r="P5299">
        <v>0.98867969999999905</v>
      </c>
      <c r="Q5299">
        <v>0.1481662</v>
      </c>
      <c r="R5299">
        <v>-2.3651660000000001E-2</v>
      </c>
      <c r="S5299">
        <v>3.1260680000000001</v>
      </c>
      <c r="T5299">
        <v>-0.71376719999999905</v>
      </c>
      <c r="U5299">
        <v>-0.59606930000000002</v>
      </c>
      <c r="V5299">
        <v>2.99969E-2</v>
      </c>
      <c r="W5299">
        <v>0.161013299999999</v>
      </c>
      <c r="X5299">
        <v>0.98649629999999999</v>
      </c>
      <c r="Y5299">
        <v>0.18873029999999999</v>
      </c>
      <c r="Z5299">
        <v>-2.2518650000000001E-2</v>
      </c>
      <c r="AA5299">
        <v>0.98177080000000005</v>
      </c>
      <c r="AB5299">
        <v>23</v>
      </c>
      <c r="AC5299">
        <v>0.58349999999995805</v>
      </c>
      <c r="AD5299">
        <v>-0.178843899999999</v>
      </c>
      <c r="AE5299">
        <v>-0.15092999999999801</v>
      </c>
      <c r="AF5299">
        <v>0.142141851864411</v>
      </c>
      <c r="AG5299">
        <v>-0.178843899999999</v>
      </c>
      <c r="AH5299">
        <v>0.53538153131296695</v>
      </c>
      <c r="AI5299">
        <v>107.893406287549</v>
      </c>
      <c r="AJ5299">
        <v>75.131202572545206</v>
      </c>
      <c r="AK5299">
        <v>0.582084899898349</v>
      </c>
      <c r="AL5299">
        <v>80.7342835596329</v>
      </c>
      <c r="AM5299">
        <v>88.258314450414105</v>
      </c>
      <c r="AN5299">
        <v>1.0000000233500901</v>
      </c>
    </row>
    <row r="5300" spans="1:40" x14ac:dyDescent="0.25">
      <c r="A5300" t="str">
        <f>"20190312173034853"</f>
        <v>20190312173034853</v>
      </c>
      <c r="B5300" t="str">
        <f>"1552383034843263"</f>
        <v>1552383034843263</v>
      </c>
      <c r="C5300" t="s">
        <v>40</v>
      </c>
      <c r="D5300">
        <v>3.5272290000000002</v>
      </c>
      <c r="E5300">
        <v>0.57281479999999996</v>
      </c>
      <c r="F5300" t="s">
        <v>42</v>
      </c>
      <c r="G5300">
        <v>-373.47289999999998</v>
      </c>
      <c r="H5300">
        <v>0.92992189999999997</v>
      </c>
      <c r="I5300">
        <v>17.171700000000001</v>
      </c>
      <c r="J5300">
        <v>-374.05430000000001</v>
      </c>
      <c r="K5300">
        <v>1.110055</v>
      </c>
      <c r="L5300">
        <v>17.323029999999999</v>
      </c>
      <c r="M5300">
        <v>0.99989570000000005</v>
      </c>
      <c r="N5300">
        <v>0</v>
      </c>
      <c r="O5300">
        <v>6.3363899999999999E-3</v>
      </c>
      <c r="P5300">
        <v>0.98869969999999996</v>
      </c>
      <c r="Q5300">
        <v>0.1481992</v>
      </c>
      <c r="R5300">
        <v>-2.2578640000000001E-2</v>
      </c>
      <c r="S5300">
        <v>3.1271969999999998</v>
      </c>
      <c r="T5300">
        <v>-0.71435490000000001</v>
      </c>
      <c r="U5300">
        <v>-0.59463500000000002</v>
      </c>
      <c r="V5300">
        <v>2.886816E-2</v>
      </c>
      <c r="W5300">
        <v>0.161013299999999</v>
      </c>
      <c r="X5300">
        <v>0.98652989999999996</v>
      </c>
      <c r="Y5300">
        <v>0.18818460000000001</v>
      </c>
      <c r="Z5300">
        <v>-2.245612E-2</v>
      </c>
      <c r="AA5300">
        <v>0.98187690000000005</v>
      </c>
      <c r="AB5300">
        <v>23</v>
      </c>
      <c r="AC5300">
        <v>0.58140000000003</v>
      </c>
      <c r="AD5300">
        <v>-0.18013309999999899</v>
      </c>
      <c r="AE5300">
        <v>-0.15132999999999699</v>
      </c>
      <c r="AF5300">
        <v>0.142224978754211</v>
      </c>
      <c r="AG5300">
        <v>-0.18013309999999899</v>
      </c>
      <c r="AH5300">
        <v>0.53255201735272795</v>
      </c>
      <c r="AI5300">
        <v>108.096974748698</v>
      </c>
      <c r="AJ5300">
        <v>75.047380336305693</v>
      </c>
      <c r="AK5300">
        <v>0.57990303455293801</v>
      </c>
      <c r="AL5300">
        <v>80.734282860136005</v>
      </c>
      <c r="AM5300">
        <v>88.323870499854095</v>
      </c>
      <c r="AN5300">
        <v>0.999999948516341</v>
      </c>
    </row>
    <row r="5301" spans="1:40" x14ac:dyDescent="0.25">
      <c r="A5301" t="str">
        <f>"20190312173034864"</f>
        <v>20190312173034864</v>
      </c>
      <c r="B5301" t="str">
        <f>"1552383034853021"</f>
        <v>1552383034853021</v>
      </c>
      <c r="C5301" t="s">
        <v>40</v>
      </c>
      <c r="D5301">
        <v>3.391581</v>
      </c>
      <c r="E5301">
        <v>0.57267270000000003</v>
      </c>
      <c r="F5301" t="s">
        <v>42</v>
      </c>
      <c r="G5301">
        <v>-373.26760000000002</v>
      </c>
      <c r="H5301">
        <v>0.92987620000000004</v>
      </c>
      <c r="I5301">
        <v>17.17333</v>
      </c>
      <c r="J5301">
        <v>-373.93150000000003</v>
      </c>
      <c r="K5301">
        <v>1.11005</v>
      </c>
      <c r="L5301">
        <v>17.323789999999999</v>
      </c>
      <c r="M5301">
        <v>0.99989629999999996</v>
      </c>
      <c r="N5301">
        <v>0</v>
      </c>
      <c r="O5301">
        <v>6.3030589999999997E-3</v>
      </c>
      <c r="P5301">
        <v>0.98868420000000001</v>
      </c>
      <c r="Q5301">
        <v>0.14836429999999901</v>
      </c>
      <c r="R5301">
        <v>-2.217891E-2</v>
      </c>
      <c r="S5301">
        <v>3.128082</v>
      </c>
      <c r="T5301">
        <v>-0.716441199999999</v>
      </c>
      <c r="U5301">
        <v>-0.59378050000000004</v>
      </c>
      <c r="V5301">
        <v>2.843613E-2</v>
      </c>
      <c r="W5301">
        <v>0.1611582</v>
      </c>
      <c r="X5301">
        <v>0.98651889999999998</v>
      </c>
      <c r="Y5301">
        <v>0.1878263</v>
      </c>
      <c r="Z5301">
        <v>-2.2466880000000002E-2</v>
      </c>
      <c r="AA5301">
        <v>0.98194530000000002</v>
      </c>
      <c r="AB5301">
        <v>23</v>
      </c>
      <c r="AC5301">
        <v>0.66390000000001204</v>
      </c>
      <c r="AD5301">
        <v>-0.1801738</v>
      </c>
      <c r="AE5301">
        <v>-0.15045999999999801</v>
      </c>
      <c r="AF5301">
        <v>0.144518058082824</v>
      </c>
      <c r="AG5301">
        <v>-0.1801738</v>
      </c>
      <c r="AH5301">
        <v>0.61953796150827201</v>
      </c>
      <c r="AI5301">
        <v>105.81298472943401</v>
      </c>
      <c r="AJ5301">
        <v>76.869556129704705</v>
      </c>
      <c r="AK5301">
        <v>0.66119237220970395</v>
      </c>
      <c r="AL5301">
        <v>80.725871882026794</v>
      </c>
      <c r="AM5301">
        <v>88.348922432933193</v>
      </c>
      <c r="AN5301">
        <v>1.0000000594869101</v>
      </c>
    </row>
    <row r="5302" spans="1:40" x14ac:dyDescent="0.25">
      <c r="A5302" t="str">
        <f>"20190312173034875"</f>
        <v>20190312173034875</v>
      </c>
      <c r="B5302" t="str">
        <f>"1552383034862781"</f>
        <v>1552383034862781</v>
      </c>
      <c r="C5302" t="s">
        <v>40</v>
      </c>
      <c r="D5302">
        <v>3.5072510000000001</v>
      </c>
      <c r="E5302">
        <v>0.57267270000000003</v>
      </c>
      <c r="F5302" t="s">
        <v>42</v>
      </c>
      <c r="G5302">
        <v>-373.06889999999999</v>
      </c>
      <c r="H5302">
        <v>0.91258340000000004</v>
      </c>
      <c r="I5302">
        <v>17.160409999999999</v>
      </c>
      <c r="J5302">
        <v>-373.82150000000001</v>
      </c>
      <c r="K5302">
        <v>1.11005</v>
      </c>
      <c r="L5302">
        <v>17.32443</v>
      </c>
      <c r="M5302">
        <v>0.99989660000000002</v>
      </c>
      <c r="N5302">
        <v>0</v>
      </c>
      <c r="O5302">
        <v>6.2662710000000003E-3</v>
      </c>
      <c r="P5302">
        <v>0.9886665</v>
      </c>
      <c r="Q5302">
        <v>0.14853279999999999</v>
      </c>
      <c r="R5302">
        <v>-2.1828940000000002E-2</v>
      </c>
      <c r="S5302">
        <v>3.1285400000000001</v>
      </c>
      <c r="T5302">
        <v>-0.71617959999999903</v>
      </c>
      <c r="U5302">
        <v>-0.59136959999999905</v>
      </c>
      <c r="V5302">
        <v>2.8048699999999999E-2</v>
      </c>
      <c r="W5302">
        <v>0.1613088</v>
      </c>
      <c r="X5302">
        <v>0.98650530000000003</v>
      </c>
      <c r="Y5302">
        <v>0.18705740000000001</v>
      </c>
      <c r="Z5302">
        <v>-2.236287E-2</v>
      </c>
      <c r="AA5302">
        <v>0.98209440000000003</v>
      </c>
      <c r="AB5302">
        <v>23</v>
      </c>
      <c r="AC5302">
        <v>0.75260000000002902</v>
      </c>
      <c r="AD5302">
        <v>-0.19746659999999899</v>
      </c>
      <c r="AE5302">
        <v>-0.16402</v>
      </c>
      <c r="AF5302">
        <v>0.158327669996843</v>
      </c>
      <c r="AG5302">
        <v>-0.19746659999999899</v>
      </c>
      <c r="AH5302">
        <v>0.70521002414470002</v>
      </c>
      <c r="AI5302">
        <v>105.280862889231</v>
      </c>
      <c r="AJ5302">
        <v>77.346266603059206</v>
      </c>
      <c r="AK5302">
        <v>0.74925422077980797</v>
      </c>
      <c r="AL5302">
        <v>80.717128026626597</v>
      </c>
      <c r="AM5302">
        <v>88.371383014301202</v>
      </c>
      <c r="AN5302">
        <v>0.99999998272860902</v>
      </c>
    </row>
    <row r="5303" spans="1:40" x14ac:dyDescent="0.25">
      <c r="A5303" t="str">
        <f>"20190312173034887"</f>
        <v>20190312173034887</v>
      </c>
      <c r="B5303" t="str">
        <f>"1552383034883277"</f>
        <v>1552383034883277</v>
      </c>
      <c r="C5303" t="s">
        <v>40</v>
      </c>
      <c r="D5303">
        <v>3.4064190000000001</v>
      </c>
      <c r="E5303">
        <v>0.52148419999999995</v>
      </c>
      <c r="F5303" t="s">
        <v>42</v>
      </c>
      <c r="G5303">
        <v>-373.06009999999998</v>
      </c>
      <c r="H5303">
        <v>0.93585419999999997</v>
      </c>
      <c r="I5303">
        <v>17.180510000000002</v>
      </c>
      <c r="J5303">
        <v>-373.7063</v>
      </c>
      <c r="K5303">
        <v>1.1100509999999999</v>
      </c>
      <c r="L5303">
        <v>17.325129999999898</v>
      </c>
      <c r="M5303">
        <v>0.99989720000000004</v>
      </c>
      <c r="N5303">
        <v>0</v>
      </c>
      <c r="O5303">
        <v>6.2289329999999999E-3</v>
      </c>
      <c r="P5303">
        <v>0.98871089999999995</v>
      </c>
      <c r="Q5303">
        <v>0.14831510000000001</v>
      </c>
      <c r="R5303">
        <v>-2.129255E-2</v>
      </c>
      <c r="S5303">
        <v>3.1289060000000002</v>
      </c>
      <c r="T5303">
        <v>-0.71579899999999996</v>
      </c>
      <c r="U5303">
        <v>-0.59002690000000002</v>
      </c>
      <c r="V5303">
        <v>2.7475159999999998E-2</v>
      </c>
      <c r="W5303">
        <v>0.16107260000000001</v>
      </c>
      <c r="X5303">
        <v>0.98655999999999999</v>
      </c>
      <c r="Y5303">
        <v>0.18661059999999999</v>
      </c>
      <c r="Z5303">
        <v>-2.229122E-2</v>
      </c>
      <c r="AA5303">
        <v>0.98218099999999997</v>
      </c>
      <c r="AB5303">
        <v>23</v>
      </c>
      <c r="AC5303">
        <v>0.64620000000002098</v>
      </c>
      <c r="AD5303">
        <v>-0.17419680000000001</v>
      </c>
      <c r="AE5303">
        <v>-0.144619999999996</v>
      </c>
      <c r="AF5303">
        <v>0.13902200724180999</v>
      </c>
      <c r="AG5303">
        <v>-0.17419680000000001</v>
      </c>
      <c r="AH5303">
        <v>0.60352141754122701</v>
      </c>
      <c r="AI5303">
        <v>105.70960171673001</v>
      </c>
      <c r="AJ5303">
        <v>77.028114440260794</v>
      </c>
      <c r="AK5303">
        <v>0.64335817789063199</v>
      </c>
      <c r="AL5303">
        <v>80.730840301833894</v>
      </c>
      <c r="AM5303">
        <v>88.4047560038277</v>
      </c>
      <c r="AN5303">
        <v>0.99999995024389099</v>
      </c>
    </row>
    <row r="5304" spans="1:40" x14ac:dyDescent="0.25">
      <c r="A5304" t="str">
        <f>"20190312173034897"</f>
        <v>20190312173034897</v>
      </c>
      <c r="B5304" t="str">
        <f>"1552383034893037"</f>
        <v>1552383034893037</v>
      </c>
      <c r="C5304" t="s">
        <v>40</v>
      </c>
      <c r="D5304">
        <v>3.362717</v>
      </c>
      <c r="E5304">
        <v>0.51386799999999999</v>
      </c>
      <c r="F5304" t="s">
        <v>42</v>
      </c>
      <c r="G5304">
        <v>-372.83249999999998</v>
      </c>
      <c r="H5304">
        <v>0.98710100000000001</v>
      </c>
      <c r="I5304">
        <v>17.270129999999899</v>
      </c>
      <c r="J5304">
        <v>-373.59019999999998</v>
      </c>
      <c r="K5304">
        <v>1.1100460000000001</v>
      </c>
      <c r="L5304">
        <v>17.325810000000001</v>
      </c>
      <c r="M5304">
        <v>0.99989760000000005</v>
      </c>
      <c r="N5304">
        <v>0</v>
      </c>
      <c r="O5304">
        <v>6.1954180000000003E-3</v>
      </c>
      <c r="P5304">
        <v>0.98871010000000004</v>
      </c>
      <c r="Q5304">
        <v>0.1484094</v>
      </c>
      <c r="R5304">
        <v>-2.0666839999999999E-2</v>
      </c>
      <c r="S5304">
        <v>3.0953979999999999</v>
      </c>
      <c r="T5304">
        <v>-0.43552020000000002</v>
      </c>
      <c r="U5304">
        <v>-0.19311519999999999</v>
      </c>
      <c r="V5304">
        <v>2.6816900000000001E-2</v>
      </c>
      <c r="W5304">
        <v>0.1611474</v>
      </c>
      <c r="X5304">
        <v>0.9865659</v>
      </c>
      <c r="Y5304">
        <v>6.7724160000000005E-2</v>
      </c>
      <c r="Z5304">
        <v>-5.603182E-3</v>
      </c>
      <c r="AA5304">
        <v>0.99768840000000003</v>
      </c>
      <c r="AB5304">
        <v>23</v>
      </c>
      <c r="AC5304">
        <v>0.75769999999999904</v>
      </c>
      <c r="AD5304">
        <v>-0.122944999999999</v>
      </c>
      <c r="AE5304">
        <v>-5.5680000000002401E-2</v>
      </c>
      <c r="AF5304">
        <v>5.8832923487187799E-2</v>
      </c>
      <c r="AG5304">
        <v>-0.122944999999999</v>
      </c>
      <c r="AH5304">
        <v>0.73801398362674098</v>
      </c>
      <c r="AI5304">
        <v>99.428619451694999</v>
      </c>
      <c r="AJ5304">
        <v>85.442139565462497</v>
      </c>
      <c r="AK5304">
        <v>0.75049412118927405</v>
      </c>
      <c r="AL5304">
        <v>80.726497873846796</v>
      </c>
      <c r="AM5304">
        <v>88.442965709043605</v>
      </c>
      <c r="AN5304">
        <v>0.99999995284758803</v>
      </c>
    </row>
    <row r="5305" spans="1:40" x14ac:dyDescent="0.25">
      <c r="A5305" t="str">
        <f>"20190312173034908"</f>
        <v>20190312173034908</v>
      </c>
      <c r="B5305" t="str">
        <f>"1552383034902797"</f>
        <v>1552383034902797</v>
      </c>
      <c r="C5305" t="s">
        <v>40</v>
      </c>
      <c r="D5305">
        <v>3.4248069999999999</v>
      </c>
      <c r="E5305">
        <v>0.50795009999999996</v>
      </c>
      <c r="F5305" t="s">
        <v>42</v>
      </c>
      <c r="G5305">
        <v>-372.81920000000002</v>
      </c>
      <c r="H5305">
        <v>1.014089</v>
      </c>
      <c r="I5305">
        <v>17.292059999999999</v>
      </c>
      <c r="J5305">
        <v>-373.48239999999998</v>
      </c>
      <c r="K5305">
        <v>1.110044</v>
      </c>
      <c r="L5305">
        <v>17.326450000000001</v>
      </c>
      <c r="M5305">
        <v>0.99989799999999995</v>
      </c>
      <c r="N5305">
        <v>0</v>
      </c>
      <c r="O5305">
        <v>6.1649419999999996E-3</v>
      </c>
      <c r="P5305">
        <v>0.98873509999999998</v>
      </c>
      <c r="Q5305">
        <v>0.1483419</v>
      </c>
      <c r="R5305">
        <v>-1.994019E-2</v>
      </c>
      <c r="S5305">
        <v>3.089172</v>
      </c>
      <c r="T5305">
        <v>-0.3844342</v>
      </c>
      <c r="U5305">
        <v>-0.13327030000000001</v>
      </c>
      <c r="V5305">
        <v>2.6061009999999999E-2</v>
      </c>
      <c r="W5305">
        <v>0.16106129999999999</v>
      </c>
      <c r="X5305">
        <v>0.98660029999999999</v>
      </c>
      <c r="Y5305">
        <v>4.8836409999999997E-2</v>
      </c>
      <c r="Z5305">
        <v>-3.7896610000000002E-3</v>
      </c>
      <c r="AA5305">
        <v>0.99879960000000001</v>
      </c>
      <c r="AB5305">
        <v>23</v>
      </c>
      <c r="AC5305">
        <v>0.66319999999996004</v>
      </c>
      <c r="AD5305">
        <v>-9.5954999999999999E-2</v>
      </c>
      <c r="AE5305">
        <v>-3.4390000000001898E-2</v>
      </c>
      <c r="AF5305">
        <v>3.76913709736258E-2</v>
      </c>
      <c r="AG5305">
        <v>-9.5954999999999999E-2</v>
      </c>
      <c r="AH5305">
        <v>0.64941711280323799</v>
      </c>
      <c r="AI5305">
        <v>98.391038965933305</v>
      </c>
      <c r="AJ5305">
        <v>86.678349698300806</v>
      </c>
      <c r="AK5305">
        <v>0.657548924318613</v>
      </c>
      <c r="AL5305">
        <v>80.731497104454107</v>
      </c>
      <c r="AM5305">
        <v>88.4868859882815</v>
      </c>
      <c r="AN5305">
        <v>1.00000003527999</v>
      </c>
    </row>
    <row r="5306" spans="1:40" x14ac:dyDescent="0.25">
      <c r="A5306" t="str">
        <f>"20190312173034919"</f>
        <v>20190312173034919</v>
      </c>
      <c r="B5306" t="str">
        <f>"1552383034913533"</f>
        <v>1552383034913533</v>
      </c>
      <c r="C5306" t="s">
        <v>40</v>
      </c>
      <c r="D5306">
        <v>3.3896500000000001</v>
      </c>
      <c r="E5306">
        <v>0.50440470000000004</v>
      </c>
      <c r="F5306" t="s">
        <v>42</v>
      </c>
      <c r="G5306">
        <v>-372.61360000000002</v>
      </c>
      <c r="H5306">
        <v>1.014643</v>
      </c>
      <c r="I5306">
        <v>17.30199</v>
      </c>
      <c r="J5306">
        <v>-373.36860000000001</v>
      </c>
      <c r="K5306">
        <v>1.1100380000000001</v>
      </c>
      <c r="L5306">
        <v>17.327089999999998</v>
      </c>
      <c r="M5306">
        <v>0.99989859999999997</v>
      </c>
      <c r="N5306">
        <v>0</v>
      </c>
      <c r="O5306">
        <v>6.1334669999999897E-3</v>
      </c>
      <c r="P5306">
        <v>0.98870179999999996</v>
      </c>
      <c r="Q5306">
        <v>0.148649</v>
      </c>
      <c r="R5306">
        <v>-1.9305719999999998E-2</v>
      </c>
      <c r="S5306">
        <v>3.083221</v>
      </c>
      <c r="T5306">
        <v>-0.33861089999999999</v>
      </c>
      <c r="U5306">
        <v>-8.6303710000000006E-2</v>
      </c>
      <c r="V5306">
        <v>2.5395620000000001E-2</v>
      </c>
      <c r="W5306">
        <v>0.16134699999999999</v>
      </c>
      <c r="X5306">
        <v>0.98657099999999998</v>
      </c>
      <c r="Y5306">
        <v>3.3871140000000001E-2</v>
      </c>
      <c r="Z5306">
        <v>-2.5255109999999998E-3</v>
      </c>
      <c r="AA5306">
        <v>0.99942299999999995</v>
      </c>
      <c r="AB5306">
        <v>23</v>
      </c>
      <c r="AC5306">
        <v>0.75499999999999501</v>
      </c>
      <c r="AD5306">
        <v>-9.5394999999999897E-2</v>
      </c>
      <c r="AE5306">
        <v>-2.5099999999998301E-2</v>
      </c>
      <c r="AF5306">
        <v>2.92640062597408E-2</v>
      </c>
      <c r="AG5306">
        <v>-9.5394999999999897E-2</v>
      </c>
      <c r="AH5306">
        <v>0.74298351366428295</v>
      </c>
      <c r="AI5306">
        <v>97.310827051672803</v>
      </c>
      <c r="AJ5306">
        <v>87.744448194038</v>
      </c>
      <c r="AK5306">
        <v>0.74965397995628202</v>
      </c>
      <c r="AL5306">
        <v>80.714911047693604</v>
      </c>
      <c r="AM5306">
        <v>88.525457782433804</v>
      </c>
      <c r="AN5306">
        <v>1.00000006498259</v>
      </c>
    </row>
    <row r="5307" spans="1:40" x14ac:dyDescent="0.25">
      <c r="A5307" t="str">
        <f>"20190312173034931"</f>
        <v>20190312173034931</v>
      </c>
      <c r="B5307" t="str">
        <f>"1552383034923293"</f>
        <v>1552383034923293</v>
      </c>
      <c r="C5307" t="s">
        <v>40</v>
      </c>
      <c r="D5307">
        <v>3.381812</v>
      </c>
      <c r="E5307">
        <v>0.5019555</v>
      </c>
      <c r="F5307" t="s">
        <v>42</v>
      </c>
      <c r="G5307">
        <v>-372.60430000000002</v>
      </c>
      <c r="H5307">
        <v>1.0334479999999999</v>
      </c>
      <c r="I5307">
        <v>17.312639999999998</v>
      </c>
      <c r="J5307">
        <v>-373.24669999999998</v>
      </c>
      <c r="K5307">
        <v>1.1100380000000001</v>
      </c>
      <c r="L5307">
        <v>17.32779</v>
      </c>
      <c r="M5307">
        <v>0.99989910000000004</v>
      </c>
      <c r="N5307">
        <v>0</v>
      </c>
      <c r="O5307">
        <v>6.0953079999999998E-3</v>
      </c>
      <c r="P5307">
        <v>0.98868719999999999</v>
      </c>
      <c r="Q5307">
        <v>0.1488187</v>
      </c>
      <c r="R5307">
        <v>-1.8728680000000001E-2</v>
      </c>
      <c r="S5307">
        <v>3.0795590000000002</v>
      </c>
      <c r="T5307">
        <v>-0.30866579999999999</v>
      </c>
      <c r="U5307">
        <v>-5.7647709999999998E-2</v>
      </c>
      <c r="V5307">
        <v>2.4780409999999999E-2</v>
      </c>
      <c r="W5307">
        <v>0.16149469999999999</v>
      </c>
      <c r="X5307">
        <v>0.98656239999999995</v>
      </c>
      <c r="Y5307">
        <v>2.4656549999999999E-2</v>
      </c>
      <c r="Z5307">
        <v>-1.841886E-3</v>
      </c>
      <c r="AA5307">
        <v>0.99969430000000004</v>
      </c>
      <c r="AB5307">
        <v>23</v>
      </c>
      <c r="AC5307">
        <v>0.64239999999995201</v>
      </c>
      <c r="AD5307">
        <v>-7.6589999999999894E-2</v>
      </c>
      <c r="AE5307">
        <v>-1.51500000000019E-2</v>
      </c>
      <c r="AF5307">
        <v>1.8798601644344999E-2</v>
      </c>
      <c r="AG5307">
        <v>-7.6589999999999894E-2</v>
      </c>
      <c r="AH5307">
        <v>0.63329866224849796</v>
      </c>
      <c r="AI5307">
        <v>96.892752542288306</v>
      </c>
      <c r="AJ5307">
        <v>88.299752673789001</v>
      </c>
      <c r="AK5307">
        <v>0.638190105790994</v>
      </c>
      <c r="AL5307">
        <v>80.706335283547105</v>
      </c>
      <c r="AM5307">
        <v>88.561150892340393</v>
      </c>
      <c r="AN5307">
        <v>0.99999998797080802</v>
      </c>
    </row>
    <row r="5308" spans="1:40" x14ac:dyDescent="0.25">
      <c r="A5308" t="str">
        <f>"20190312173034941"</f>
        <v>20190312173034941</v>
      </c>
      <c r="B5308" t="str">
        <f>"1552383034933053"</f>
        <v>1552383034933053</v>
      </c>
      <c r="C5308" t="s">
        <v>40</v>
      </c>
      <c r="D5308">
        <v>3.3601220000000001</v>
      </c>
      <c r="E5308">
        <v>0.50061049999999996</v>
      </c>
      <c r="F5308" t="s">
        <v>42</v>
      </c>
      <c r="G5308">
        <v>-372.40039999999999</v>
      </c>
      <c r="H5308">
        <v>1.0311090000000001</v>
      </c>
      <c r="I5308">
        <v>17.317270000000001</v>
      </c>
      <c r="J5308">
        <v>-373.13589999999999</v>
      </c>
      <c r="K5308">
        <v>1.1100350000000001</v>
      </c>
      <c r="L5308">
        <v>17.328429999999901</v>
      </c>
      <c r="M5308">
        <v>0.9998996</v>
      </c>
      <c r="N5308">
        <v>0</v>
      </c>
      <c r="O5308">
        <v>6.0588200000000004E-3</v>
      </c>
      <c r="P5308">
        <v>0.98868500000000004</v>
      </c>
      <c r="Q5308">
        <v>0.1488922</v>
      </c>
      <c r="R5308">
        <v>-1.825887E-2</v>
      </c>
      <c r="S5308">
        <v>3.0768430000000002</v>
      </c>
      <c r="T5308">
        <v>-0.28690100000000002</v>
      </c>
      <c r="U5308">
        <v>-3.7353520000000001E-2</v>
      </c>
      <c r="V5308">
        <v>2.4273940000000001E-2</v>
      </c>
      <c r="W5308">
        <v>0.16154830000000001</v>
      </c>
      <c r="X5308">
        <v>0.98656619999999995</v>
      </c>
      <c r="Y5308">
        <v>1.8093209999999998E-2</v>
      </c>
      <c r="Z5308">
        <v>-1.4054579999999901E-3</v>
      </c>
      <c r="AA5308">
        <v>0.99983529999999998</v>
      </c>
      <c r="AB5308">
        <v>23</v>
      </c>
      <c r="AC5308">
        <v>0.73550000000000104</v>
      </c>
      <c r="AD5308">
        <v>-7.8925999999999996E-2</v>
      </c>
      <c r="AE5308">
        <v>-1.11599999999967E-2</v>
      </c>
      <c r="AF5308">
        <v>1.54386829044867E-2</v>
      </c>
      <c r="AG5308">
        <v>-7.8925999999999996E-2</v>
      </c>
      <c r="AH5308">
        <v>0.72704862804315296</v>
      </c>
      <c r="AI5308">
        <v>96.194193881814002</v>
      </c>
      <c r="AJ5308">
        <v>88.783522286746702</v>
      </c>
      <c r="AK5308">
        <v>0.73148299634732195</v>
      </c>
      <c r="AL5308">
        <v>80.703223219743606</v>
      </c>
      <c r="AM5308">
        <v>88.590551994360993</v>
      </c>
      <c r="AN5308">
        <v>0.99999997218922598</v>
      </c>
    </row>
    <row r="5309" spans="1:40" x14ac:dyDescent="0.25">
      <c r="A5309" t="str">
        <f>"20190312173034953"</f>
        <v>20190312173034953</v>
      </c>
      <c r="B5309" t="str">
        <f>"1552383034942813"</f>
        <v>1552383034942813</v>
      </c>
      <c r="C5309" t="s">
        <v>40</v>
      </c>
      <c r="D5309">
        <v>3.3847420000000001</v>
      </c>
      <c r="E5309">
        <v>0.49950220000000001</v>
      </c>
      <c r="F5309" t="s">
        <v>42</v>
      </c>
      <c r="G5309">
        <v>-372.39139999999998</v>
      </c>
      <c r="H5309">
        <v>1.043183</v>
      </c>
      <c r="I5309">
        <v>17.32197</v>
      </c>
      <c r="J5309">
        <v>-373.01819999999998</v>
      </c>
      <c r="K5309">
        <v>1.1100369999999999</v>
      </c>
      <c r="L5309">
        <v>17.3291</v>
      </c>
      <c r="M5309">
        <v>0.99990020000000002</v>
      </c>
      <c r="N5309">
        <v>0</v>
      </c>
      <c r="O5309">
        <v>6.0181649999999998E-3</v>
      </c>
      <c r="P5309">
        <v>0.98868270000000003</v>
      </c>
      <c r="Q5309">
        <v>0.1489753</v>
      </c>
      <c r="R5309">
        <v>-1.7701709999999999E-2</v>
      </c>
      <c r="S5309">
        <v>3.0754389999999998</v>
      </c>
      <c r="T5309">
        <v>-0.27611419999999998</v>
      </c>
      <c r="U5309">
        <v>-2.5695800000000001E-2</v>
      </c>
      <c r="V5309">
        <v>2.36758E-2</v>
      </c>
      <c r="W5309">
        <v>0.16161</v>
      </c>
      <c r="X5309">
        <v>0.98657070000000002</v>
      </c>
      <c r="Y5309">
        <v>1.4291480000000001E-2</v>
      </c>
      <c r="Z5309">
        <v>-1.179514E-3</v>
      </c>
      <c r="AA5309">
        <v>0.99989720000000004</v>
      </c>
      <c r="AB5309">
        <v>23</v>
      </c>
      <c r="AC5309">
        <v>0.62680000000000202</v>
      </c>
      <c r="AD5309">
        <v>-6.6854000000000094E-2</v>
      </c>
      <c r="AE5309">
        <v>-7.1300000000000799E-3</v>
      </c>
      <c r="AF5309">
        <v>1.0779748260411301E-2</v>
      </c>
      <c r="AG5309">
        <v>-6.6854000000000094E-2</v>
      </c>
      <c r="AH5309">
        <v>0.61969685740514802</v>
      </c>
      <c r="AI5309">
        <v>96.156432721272296</v>
      </c>
      <c r="AJ5309">
        <v>89.003429198895901</v>
      </c>
      <c r="AK5309">
        <v>0.62338579977921704</v>
      </c>
      <c r="AL5309">
        <v>80.699641643046505</v>
      </c>
      <c r="AM5309">
        <v>88.625275314000305</v>
      </c>
      <c r="AN5309">
        <v>1.00000004085206</v>
      </c>
    </row>
    <row r="5310" spans="1:40" x14ac:dyDescent="0.25">
      <c r="A5310" t="str">
        <f>"20190312173034965"</f>
        <v>20190312173034965</v>
      </c>
      <c r="B5310" t="str">
        <f>"1552383034963309"</f>
        <v>1552383034963309</v>
      </c>
      <c r="C5310" t="s">
        <v>40</v>
      </c>
      <c r="D5310">
        <v>3.3486310000000001</v>
      </c>
      <c r="E5310">
        <v>0.498081</v>
      </c>
      <c r="F5310" t="s">
        <v>42</v>
      </c>
      <c r="G5310">
        <v>-372.19060000000002</v>
      </c>
      <c r="H5310">
        <v>1.038235</v>
      </c>
      <c r="I5310">
        <v>17.324719999999999</v>
      </c>
      <c r="J5310">
        <v>-372.90019999999998</v>
      </c>
      <c r="K5310">
        <v>1.1100350000000001</v>
      </c>
      <c r="L5310">
        <v>17.32977</v>
      </c>
      <c r="M5310">
        <v>0.99990049999999997</v>
      </c>
      <c r="N5310">
        <v>0</v>
      </c>
      <c r="O5310">
        <v>5.9778660000000001E-3</v>
      </c>
      <c r="P5310">
        <v>0.98865099999999995</v>
      </c>
      <c r="Q5310">
        <v>0.14923710000000001</v>
      </c>
      <c r="R5310">
        <v>-1.7254579999999999E-2</v>
      </c>
      <c r="S5310">
        <v>3.074249</v>
      </c>
      <c r="T5310">
        <v>-0.266712</v>
      </c>
      <c r="U5310">
        <v>-1.5625E-2</v>
      </c>
      <c r="V5310">
        <v>2.3187920000000001E-2</v>
      </c>
      <c r="W5310">
        <v>0.16184860000000001</v>
      </c>
      <c r="X5310">
        <v>0.98654310000000001</v>
      </c>
      <c r="Y5310">
        <v>1.09969E-2</v>
      </c>
      <c r="Z5310">
        <v>-9.9381719999999999E-4</v>
      </c>
      <c r="AA5310">
        <v>0.99993900000000002</v>
      </c>
      <c r="AB5310">
        <v>23</v>
      </c>
      <c r="AC5310">
        <v>0.70959999999996604</v>
      </c>
      <c r="AD5310">
        <v>-7.1800000000000003E-2</v>
      </c>
      <c r="AE5310">
        <v>-5.0499999999971098E-3</v>
      </c>
      <c r="AF5310">
        <v>9.1979841528139396E-3</v>
      </c>
      <c r="AG5310">
        <v>-7.1800000000000003E-2</v>
      </c>
      <c r="AH5310">
        <v>0.70236655533533698</v>
      </c>
      <c r="AI5310">
        <v>95.836335786014004</v>
      </c>
      <c r="AJ5310">
        <v>89.249714348766403</v>
      </c>
      <c r="AK5310">
        <v>0.70608683670360395</v>
      </c>
      <c r="AL5310">
        <v>80.685787816764204</v>
      </c>
      <c r="AM5310">
        <v>88.653555655653307</v>
      </c>
      <c r="AN5310">
        <v>0.999999968556747</v>
      </c>
    </row>
    <row r="5311" spans="1:40" x14ac:dyDescent="0.25">
      <c r="A5311" t="str">
        <f>"20190312173034975"</f>
        <v>20190312173034975</v>
      </c>
      <c r="B5311" t="str">
        <f>"1552383034973069"</f>
        <v>1552383034973069</v>
      </c>
      <c r="C5311" t="s">
        <v>40</v>
      </c>
      <c r="D5311">
        <v>3.4018120000000001</v>
      </c>
      <c r="E5311">
        <v>0.49762319999999999</v>
      </c>
      <c r="F5311" t="s">
        <v>42</v>
      </c>
      <c r="G5311">
        <v>-371.98820000000001</v>
      </c>
      <c r="H5311">
        <v>1.0349809999999999</v>
      </c>
      <c r="I5311">
        <v>17.32837</v>
      </c>
      <c r="J5311">
        <v>-372.78620000000001</v>
      </c>
      <c r="K5311">
        <v>1.110031</v>
      </c>
      <c r="L5311">
        <v>17.330410000000001</v>
      </c>
      <c r="M5311">
        <v>0.99990109999999999</v>
      </c>
      <c r="N5311">
        <v>0</v>
      </c>
      <c r="O5311">
        <v>5.9395169999999897E-3</v>
      </c>
      <c r="P5311">
        <v>0.98859940000000002</v>
      </c>
      <c r="Q5311">
        <v>0.14963609999999999</v>
      </c>
      <c r="R5311">
        <v>-1.673695E-2</v>
      </c>
      <c r="S5311">
        <v>3.07254</v>
      </c>
      <c r="T5311">
        <v>-0.25277919999999998</v>
      </c>
      <c r="U5311">
        <v>-3.6621090000000002E-3</v>
      </c>
      <c r="V5311">
        <v>2.2632590000000001E-2</v>
      </c>
      <c r="W5311">
        <v>0.1622236</v>
      </c>
      <c r="X5311">
        <v>0.98649439999999999</v>
      </c>
      <c r="Y5311">
        <v>7.0878429999999999E-3</v>
      </c>
      <c r="Z5311">
        <v>-7.7892860000000001E-4</v>
      </c>
      <c r="AA5311">
        <v>0.99997449999999999</v>
      </c>
      <c r="AB5311">
        <v>23</v>
      </c>
      <c r="AC5311">
        <v>0.79800000000000104</v>
      </c>
      <c r="AD5311">
        <v>-7.5050000000000006E-2</v>
      </c>
      <c r="AE5311">
        <v>-2.04000000000093E-3</v>
      </c>
      <c r="AF5311">
        <v>6.7206403851351598E-3</v>
      </c>
      <c r="AG5311">
        <v>-7.5050000000000006E-2</v>
      </c>
      <c r="AH5311">
        <v>0.79097768806322499</v>
      </c>
      <c r="AI5311">
        <v>95.4199501866362</v>
      </c>
      <c r="AJ5311">
        <v>89.513190991810305</v>
      </c>
      <c r="AK5311">
        <v>0.79455860232020004</v>
      </c>
      <c r="AL5311">
        <v>80.664014130781098</v>
      </c>
      <c r="AM5311">
        <v>88.685725493496193</v>
      </c>
      <c r="AN5311">
        <v>0.99999996587921303</v>
      </c>
    </row>
    <row r="5312" spans="1:40" x14ac:dyDescent="0.25">
      <c r="A5312" t="str">
        <f>"20190312173034989"</f>
        <v>20190312173034989</v>
      </c>
      <c r="B5312" t="str">
        <f>"1552383034982829"</f>
        <v>1552383034982829</v>
      </c>
      <c r="C5312" t="s">
        <v>40</v>
      </c>
      <c r="D5312">
        <v>3.3684280000000002</v>
      </c>
      <c r="E5312">
        <v>0.49724560000000001</v>
      </c>
      <c r="F5312" t="s">
        <v>41</v>
      </c>
      <c r="G5312">
        <v>-358.9676</v>
      </c>
      <c r="H5312" s="1">
        <v>-9.4394599999999997E-7</v>
      </c>
      <c r="I5312">
        <v>17.336639999999999</v>
      </c>
      <c r="J5312">
        <v>-372.65780000000001</v>
      </c>
      <c r="K5312">
        <v>1.1100270000000001</v>
      </c>
      <c r="L5312">
        <v>17.331150000000001</v>
      </c>
      <c r="M5312">
        <v>0.9999017</v>
      </c>
      <c r="N5312">
        <v>0</v>
      </c>
      <c r="O5312">
        <v>5.8958169999999898E-3</v>
      </c>
      <c r="P5312">
        <v>0.98858040000000003</v>
      </c>
      <c r="Q5312">
        <v>0.14978830000000001</v>
      </c>
      <c r="R5312">
        <v>-1.650855E-2</v>
      </c>
      <c r="S5312">
        <v>3.07193</v>
      </c>
      <c r="T5312">
        <v>-0.24676390000000001</v>
      </c>
      <c r="U5312">
        <v>1.403809E-3</v>
      </c>
      <c r="V5312">
        <v>2.2361240000000001E-2</v>
      </c>
      <c r="W5312">
        <v>0.16234680000000001</v>
      </c>
      <c r="X5312">
        <v>0.98648040000000004</v>
      </c>
      <c r="Y5312">
        <v>5.4029259999999997E-3</v>
      </c>
      <c r="Z5312">
        <v>-6.8953340000000001E-4</v>
      </c>
      <c r="AA5312">
        <v>0.99998520000000002</v>
      </c>
      <c r="AB5312">
        <v>23</v>
      </c>
      <c r="AC5312">
        <v>13.690200000000001</v>
      </c>
      <c r="AD5312">
        <v>-1.1100279439459999</v>
      </c>
      <c r="AE5312">
        <v>5.4899999999982099E-3</v>
      </c>
      <c r="AF5312">
        <v>7.4740178327400403E-2</v>
      </c>
      <c r="AG5312">
        <v>-1.1100279439459999</v>
      </c>
      <c r="AH5312">
        <v>13.600580372222799</v>
      </c>
      <c r="AI5312">
        <v>94.665852851084395</v>
      </c>
      <c r="AJ5312">
        <v>89.685141842870493</v>
      </c>
      <c r="AK5312">
        <v>13.646008009373601</v>
      </c>
      <c r="AL5312">
        <v>80.656861197634299</v>
      </c>
      <c r="AM5312">
        <v>88.701458938088905</v>
      </c>
      <c r="AN5312">
        <v>1.0000000440543599</v>
      </c>
    </row>
    <row r="5313" spans="1:40" x14ac:dyDescent="0.25">
      <c r="A5313" t="str">
        <f>"20190312173035001"</f>
        <v>20190312173035001</v>
      </c>
      <c r="B5313" t="str">
        <f>"1552383034993565"</f>
        <v>1552383034993565</v>
      </c>
      <c r="C5313" t="s">
        <v>40</v>
      </c>
      <c r="D5313">
        <v>3.4239920000000001</v>
      </c>
      <c r="E5313">
        <v>0.4969518</v>
      </c>
      <c r="F5313" t="s">
        <v>42</v>
      </c>
      <c r="G5313">
        <v>-371.77800000000002</v>
      </c>
      <c r="H5313">
        <v>1.040581</v>
      </c>
      <c r="I5313">
        <v>17.332339999999999</v>
      </c>
      <c r="J5313">
        <v>-372.52890000000002</v>
      </c>
      <c r="K5313">
        <v>1.1100209999999999</v>
      </c>
      <c r="L5313">
        <v>17.331849999999999</v>
      </c>
      <c r="M5313">
        <v>0.99990239999999997</v>
      </c>
      <c r="N5313">
        <v>0</v>
      </c>
      <c r="O5313">
        <v>5.8512759999999999E-3</v>
      </c>
      <c r="P5313">
        <v>0.98853310000000005</v>
      </c>
      <c r="Q5313">
        <v>0.15011389999999999</v>
      </c>
      <c r="R5313">
        <v>-1.6385070000000002E-2</v>
      </c>
      <c r="S5313">
        <v>3.0715029999999999</v>
      </c>
      <c r="T5313">
        <v>-0.24237600000000001</v>
      </c>
      <c r="U5313">
        <v>4.9438479999999998E-3</v>
      </c>
      <c r="V5313">
        <v>2.219428E-2</v>
      </c>
      <c r="W5313">
        <v>0.16264189999999901</v>
      </c>
      <c r="X5313">
        <v>0.98643550000000002</v>
      </c>
      <c r="Y5313">
        <v>4.2109019999999999E-3</v>
      </c>
      <c r="Z5313">
        <v>-6.2693470000000002E-4</v>
      </c>
      <c r="AA5313">
        <v>0.99999090000000002</v>
      </c>
      <c r="AB5313">
        <v>23</v>
      </c>
      <c r="AC5313">
        <v>0.75090000000000101</v>
      </c>
      <c r="AD5313">
        <v>-6.9439999999999905E-2</v>
      </c>
      <c r="AE5313">
        <v>4.8999999999921296E-4</v>
      </c>
      <c r="AF5313">
        <v>3.87098150354171E-3</v>
      </c>
      <c r="AG5313">
        <v>-6.9439999999999905E-2</v>
      </c>
      <c r="AH5313">
        <v>0.74452303536078801</v>
      </c>
      <c r="AI5313">
        <v>95.328362947281605</v>
      </c>
      <c r="AJ5313">
        <v>89.702106054876296</v>
      </c>
      <c r="AK5313">
        <v>0.74776429995062099</v>
      </c>
      <c r="AL5313">
        <v>80.639724910222199</v>
      </c>
      <c r="AM5313">
        <v>88.711092555463495</v>
      </c>
      <c r="AN5313">
        <v>0.99999998468028894</v>
      </c>
    </row>
    <row r="5314" spans="1:40" x14ac:dyDescent="0.25">
      <c r="A5314" t="str">
        <f>"20190312173035022"</f>
        <v>20190312173035022</v>
      </c>
      <c r="B5314" t="str">
        <f>"1552383035013085"</f>
        <v>1552383035013085</v>
      </c>
      <c r="C5314" t="s">
        <v>40</v>
      </c>
      <c r="D5314">
        <v>3.4224250000000001</v>
      </c>
      <c r="E5314">
        <v>0.49649729999999997</v>
      </c>
      <c r="F5314" t="s">
        <v>41</v>
      </c>
      <c r="G5314">
        <v>-358.17200000000003</v>
      </c>
      <c r="H5314" s="1">
        <v>-1.2066480000000001E-6</v>
      </c>
      <c r="I5314">
        <v>17.366859999999999</v>
      </c>
      <c r="J5314">
        <v>-372.31799999999998</v>
      </c>
      <c r="K5314">
        <v>1.110009</v>
      </c>
      <c r="L5314">
        <v>17.332979999999999</v>
      </c>
      <c r="M5314">
        <v>0.9999034</v>
      </c>
      <c r="N5314">
        <v>0</v>
      </c>
      <c r="O5314">
        <v>5.7774069999999896E-3</v>
      </c>
      <c r="P5314">
        <v>0.98847379999999996</v>
      </c>
      <c r="Q5314">
        <v>0.15056410000000001</v>
      </c>
      <c r="R5314">
        <v>-1.5824390000000001E-2</v>
      </c>
      <c r="S5314">
        <v>3.0710139999999999</v>
      </c>
      <c r="T5314">
        <v>-0.23743939999999999</v>
      </c>
      <c r="U5314">
        <v>7.5073240000000001E-3</v>
      </c>
      <c r="V5314">
        <v>2.15617E-2</v>
      </c>
      <c r="W5314">
        <v>0.16303989999999999</v>
      </c>
      <c r="X5314">
        <v>0.98638389999999998</v>
      </c>
      <c r="Y5314">
        <v>3.306214E-3</v>
      </c>
      <c r="Z5314">
        <v>-5.7367569999999997E-4</v>
      </c>
      <c r="AA5314">
        <v>0.99999439999999995</v>
      </c>
      <c r="AB5314">
        <v>23</v>
      </c>
      <c r="AC5314">
        <v>14.146000000000001</v>
      </c>
      <c r="AD5314">
        <v>-1.110010206648</v>
      </c>
      <c r="AE5314">
        <v>3.3879999999999903E-2</v>
      </c>
      <c r="AF5314">
        <v>4.7561450275450702E-2</v>
      </c>
      <c r="AG5314">
        <v>-1.110010206648</v>
      </c>
      <c r="AH5314">
        <v>14.0593929581115</v>
      </c>
      <c r="AI5314">
        <v>94.514198166567198</v>
      </c>
      <c r="AJ5314">
        <v>89.806175132789903</v>
      </c>
      <c r="AK5314">
        <v>14.1032235712623</v>
      </c>
      <c r="AL5314">
        <v>80.616613380586699</v>
      </c>
      <c r="AM5314">
        <v>88.747751564345094</v>
      </c>
      <c r="AN5314">
        <v>1.0000000570390499</v>
      </c>
    </row>
    <row r="5315" spans="1:40" x14ac:dyDescent="0.25">
      <c r="A5315" t="str">
        <f>"20190312173035043"</f>
        <v>20190312173035043</v>
      </c>
      <c r="B5315" t="str">
        <f>"1552383035033581"</f>
        <v>1552383035033581</v>
      </c>
      <c r="C5315" t="s">
        <v>40</v>
      </c>
      <c r="D5315">
        <v>3.4100589999999902</v>
      </c>
      <c r="E5315">
        <v>0.49612689999999998</v>
      </c>
      <c r="F5315" t="s">
        <v>41</v>
      </c>
      <c r="G5315">
        <v>-357.5419</v>
      </c>
      <c r="H5315" s="1">
        <v>-1.431001E-6</v>
      </c>
      <c r="I5315">
        <v>17.39414</v>
      </c>
      <c r="J5315">
        <v>-372.10079999999999</v>
      </c>
      <c r="K5315">
        <v>1.1100030000000001</v>
      </c>
      <c r="L5315">
        <v>17.33417</v>
      </c>
      <c r="M5315">
        <v>0.99990460000000003</v>
      </c>
      <c r="N5315">
        <v>0</v>
      </c>
      <c r="O5315">
        <v>5.705468E-3</v>
      </c>
      <c r="P5315">
        <v>0.98848860000000005</v>
      </c>
      <c r="Q5315">
        <v>0.1505087</v>
      </c>
      <c r="R5315">
        <v>-1.541636E-2</v>
      </c>
      <c r="S5315">
        <v>3.0703429999999998</v>
      </c>
      <c r="T5315">
        <v>-0.23065069999999999</v>
      </c>
      <c r="U5315">
        <v>1.272583E-2</v>
      </c>
      <c r="V5315">
        <v>2.108285E-2</v>
      </c>
      <c r="W5315">
        <v>0.1629293</v>
      </c>
      <c r="X5315">
        <v>0.98641250000000003</v>
      </c>
      <c r="Y5315">
        <v>1.540797E-3</v>
      </c>
      <c r="Z5315">
        <v>-4.8582509999999998E-4</v>
      </c>
      <c r="AA5315">
        <v>0.99999870000000002</v>
      </c>
      <c r="AB5315">
        <v>23</v>
      </c>
      <c r="AC5315">
        <v>14.5588999999999</v>
      </c>
      <c r="AD5315">
        <v>-1.110004431001</v>
      </c>
      <c r="AE5315">
        <v>5.9969999999999801E-2</v>
      </c>
      <c r="AF5315">
        <v>2.29693709380915E-2</v>
      </c>
      <c r="AG5315">
        <v>-1.110004431001</v>
      </c>
      <c r="AH5315">
        <v>14.474865768764801</v>
      </c>
      <c r="AI5315">
        <v>94.385136486243198</v>
      </c>
      <c r="AJ5315">
        <v>89.909080544910594</v>
      </c>
      <c r="AK5315">
        <v>14.5173818732098</v>
      </c>
      <c r="AL5315">
        <v>80.623035935918296</v>
      </c>
      <c r="AM5315">
        <v>88.775588876668607</v>
      </c>
      <c r="AN5315">
        <v>1.00000003175943</v>
      </c>
    </row>
    <row r="5316" spans="1:40" x14ac:dyDescent="0.25">
      <c r="A5316" t="str">
        <f>"20190312173035055"</f>
        <v>20190312173035055</v>
      </c>
      <c r="B5316" t="str">
        <f>"1552383035043341"</f>
        <v>1552383035043341</v>
      </c>
      <c r="C5316" t="s">
        <v>40</v>
      </c>
      <c r="D5316">
        <v>3.446383</v>
      </c>
      <c r="E5316">
        <v>0.49598829999999999</v>
      </c>
      <c r="F5316" t="s">
        <v>41</v>
      </c>
      <c r="G5316">
        <v>-357.06569999999999</v>
      </c>
      <c r="H5316" s="1">
        <v>-1.6317049999999999E-6</v>
      </c>
      <c r="I5316">
        <v>17.414349999999999</v>
      </c>
      <c r="J5316">
        <v>-371.98200000000003</v>
      </c>
      <c r="K5316">
        <v>1.109999</v>
      </c>
      <c r="L5316">
        <v>17.334779999999999</v>
      </c>
      <c r="M5316">
        <v>0.9999053</v>
      </c>
      <c r="N5316">
        <v>0</v>
      </c>
      <c r="O5316">
        <v>5.6667200000000001E-3</v>
      </c>
      <c r="P5316">
        <v>0.98851199999999995</v>
      </c>
      <c r="Q5316">
        <v>0.15038670000000001</v>
      </c>
      <c r="R5316">
        <v>-1.509898E-2</v>
      </c>
      <c r="S5316">
        <v>3.0697329999999998</v>
      </c>
      <c r="T5316">
        <v>-0.2266309</v>
      </c>
      <c r="U5316">
        <v>1.638794E-2</v>
      </c>
      <c r="V5316">
        <v>2.072684E-2</v>
      </c>
      <c r="W5316">
        <v>0.162775</v>
      </c>
      <c r="X5316">
        <v>0.98644549999999998</v>
      </c>
      <c r="Y5316">
        <v>3.124181E-4</v>
      </c>
      <c r="Z5316">
        <v>-4.2933510000000002E-4</v>
      </c>
      <c r="AA5316">
        <v>0.99999990000000005</v>
      </c>
      <c r="AB5316">
        <v>23</v>
      </c>
      <c r="AC5316">
        <v>14.9162999999999</v>
      </c>
      <c r="AD5316">
        <v>-1.110000631705</v>
      </c>
      <c r="AE5316">
        <v>7.9570000000000293E-2</v>
      </c>
      <c r="AF5316">
        <v>4.9370822551129201E-3</v>
      </c>
      <c r="AG5316">
        <v>-1.110000631705</v>
      </c>
      <c r="AH5316">
        <v>14.834366451193601</v>
      </c>
      <c r="AI5316">
        <v>94.279255884909901</v>
      </c>
      <c r="AJ5316">
        <v>89.980931173109795</v>
      </c>
      <c r="AK5316">
        <v>14.875837918768299</v>
      </c>
      <c r="AL5316">
        <v>80.631996118186507</v>
      </c>
      <c r="AM5316">
        <v>88.796298694738994</v>
      </c>
      <c r="AN5316">
        <v>1.00000001349581</v>
      </c>
    </row>
    <row r="5317" spans="1:40" x14ac:dyDescent="0.25">
      <c r="A5317" t="str">
        <f>"20190312173035066"</f>
        <v>20190312173035066</v>
      </c>
      <c r="B5317" t="str">
        <f>"1552383035062861"</f>
        <v>1552383035062861</v>
      </c>
      <c r="C5317" t="s">
        <v>40</v>
      </c>
      <c r="D5317">
        <v>3.3972959999999999</v>
      </c>
      <c r="E5317">
        <v>0.49573400000000001</v>
      </c>
      <c r="F5317" t="s">
        <v>41</v>
      </c>
      <c r="G5317">
        <v>-356.8732</v>
      </c>
      <c r="H5317" s="1">
        <v>-1.712556E-6</v>
      </c>
      <c r="I5317">
        <v>17.42407</v>
      </c>
      <c r="J5317">
        <v>-371.86160000000001</v>
      </c>
      <c r="K5317">
        <v>1.1099939999999999</v>
      </c>
      <c r="L5317">
        <v>17.335419999999999</v>
      </c>
      <c r="M5317">
        <v>0.99990579999999996</v>
      </c>
      <c r="N5317">
        <v>0</v>
      </c>
      <c r="O5317">
        <v>5.6274430000000002E-3</v>
      </c>
      <c r="P5317">
        <v>0.98848000000000003</v>
      </c>
      <c r="Q5317">
        <v>0.15062400000000001</v>
      </c>
      <c r="R5317">
        <v>-1.4819300000000001E-2</v>
      </c>
      <c r="S5317">
        <v>3.069458</v>
      </c>
      <c r="T5317">
        <v>-0.22550480000000001</v>
      </c>
      <c r="U5317">
        <v>1.8157960000000001E-2</v>
      </c>
      <c r="V5317">
        <v>2.040753E-2</v>
      </c>
      <c r="W5317">
        <v>0.16297919999999999</v>
      </c>
      <c r="X5317">
        <v>0.98641840000000003</v>
      </c>
      <c r="Y5317">
        <v>-3.0205960000000002E-4</v>
      </c>
      <c r="Z5317">
        <v>-4.0182119999999997E-4</v>
      </c>
      <c r="AA5317">
        <v>0.99999990000000005</v>
      </c>
      <c r="AB5317">
        <v>23</v>
      </c>
      <c r="AC5317">
        <v>14.9884</v>
      </c>
      <c r="AD5317">
        <v>-1.109995712556</v>
      </c>
      <c r="AE5317">
        <v>8.8649999999997606E-2</v>
      </c>
      <c r="AF5317">
        <v>-4.2721893991260196E-3</v>
      </c>
      <c r="AG5317">
        <v>-1.109995712556</v>
      </c>
      <c r="AH5317">
        <v>14.9069084053453</v>
      </c>
      <c r="AI5317">
        <v>94.2584896593998</v>
      </c>
      <c r="AJ5317">
        <v>90.016420468181096</v>
      </c>
      <c r="AK5317">
        <v>14.948178047469501</v>
      </c>
      <c r="AL5317">
        <v>80.620137591159207</v>
      </c>
      <c r="AM5317">
        <v>88.814804588756999</v>
      </c>
      <c r="AN5317">
        <v>0.99999997338595004</v>
      </c>
    </row>
    <row r="5318" spans="1:40" x14ac:dyDescent="0.25">
      <c r="A5318" t="str">
        <f>"20190312173035076"</f>
        <v>20190312173035076</v>
      </c>
      <c r="B5318" t="str">
        <f>"1552383035073597"</f>
        <v>1552383035073597</v>
      </c>
      <c r="C5318" t="s">
        <v>40</v>
      </c>
      <c r="D5318">
        <v>3.4478330000000001</v>
      </c>
      <c r="E5318">
        <v>0.49563390000000002</v>
      </c>
      <c r="F5318" t="s">
        <v>41</v>
      </c>
      <c r="G5318">
        <v>-356.53539999999998</v>
      </c>
      <c r="H5318" s="1">
        <v>-1.8550029999999999E-6</v>
      </c>
      <c r="I5318">
        <v>17.43805</v>
      </c>
      <c r="J5318">
        <v>-371.75619999999998</v>
      </c>
      <c r="K5318">
        <v>1.109993</v>
      </c>
      <c r="L5318">
        <v>17.33597</v>
      </c>
      <c r="M5318">
        <v>0.99990650000000003</v>
      </c>
      <c r="N5318">
        <v>0</v>
      </c>
      <c r="O5318">
        <v>5.5928549999999999E-3</v>
      </c>
      <c r="P5318">
        <v>0.98849620000000005</v>
      </c>
      <c r="Q5318">
        <v>0.15054909999999999</v>
      </c>
      <c r="R5318">
        <v>-1.451355E-2</v>
      </c>
      <c r="S5318">
        <v>3.069153</v>
      </c>
      <c r="T5318">
        <v>-0.22228249999999999</v>
      </c>
      <c r="U5318">
        <v>2.056885E-2</v>
      </c>
      <c r="V5318">
        <v>2.0066750000000001E-2</v>
      </c>
      <c r="W5318">
        <v>0.1628743</v>
      </c>
      <c r="X5318">
        <v>0.98644270000000001</v>
      </c>
      <c r="Y5318">
        <v>-1.1200959999999999E-3</v>
      </c>
      <c r="Z5318">
        <v>-3.6404690000000001E-4</v>
      </c>
      <c r="AA5318">
        <v>0.99999930000000004</v>
      </c>
      <c r="AB5318">
        <v>23</v>
      </c>
      <c r="AC5318">
        <v>15.220799999999899</v>
      </c>
      <c r="AD5318">
        <v>-1.1099948550030001</v>
      </c>
      <c r="AE5318">
        <v>0.10208</v>
      </c>
      <c r="AF5318">
        <v>-1.6854415777952301E-2</v>
      </c>
      <c r="AG5318">
        <v>-1.1099948550030001</v>
      </c>
      <c r="AH5318">
        <v>15.1406152444786</v>
      </c>
      <c r="AI5318">
        <v>94.192987274298304</v>
      </c>
      <c r="AJ5318">
        <v>90.063781192226998</v>
      </c>
      <c r="AK5318">
        <v>15.1812582690238</v>
      </c>
      <c r="AL5318">
        <v>80.626229152827904</v>
      </c>
      <c r="AM5318">
        <v>88.834619052710195</v>
      </c>
      <c r="AN5318">
        <v>0.99999995621966997</v>
      </c>
    </row>
    <row r="5319" spans="1:40" x14ac:dyDescent="0.25">
      <c r="A5319" t="str">
        <f>"20190312173035087"</f>
        <v>20190312173035087</v>
      </c>
      <c r="B5319" t="str">
        <f>"1552383035083357"</f>
        <v>1552383035083357</v>
      </c>
      <c r="C5319" t="s">
        <v>40</v>
      </c>
      <c r="D5319">
        <v>3.4351240000000001</v>
      </c>
      <c r="E5319">
        <v>0.49550660000000002</v>
      </c>
      <c r="F5319" t="s">
        <v>41</v>
      </c>
      <c r="G5319">
        <v>-356.40190000000001</v>
      </c>
      <c r="H5319" s="1">
        <v>-1.910715E-6</v>
      </c>
      <c r="I5319">
        <v>17.446729999999999</v>
      </c>
      <c r="J5319">
        <v>-371.65170000000001</v>
      </c>
      <c r="K5319">
        <v>1.109993</v>
      </c>
      <c r="L5319">
        <v>17.33652</v>
      </c>
      <c r="M5319">
        <v>0.99990710000000005</v>
      </c>
      <c r="N5319">
        <v>0</v>
      </c>
      <c r="O5319">
        <v>5.5584369999999899E-3</v>
      </c>
      <c r="P5319">
        <v>0.98853210000000002</v>
      </c>
      <c r="Q5319">
        <v>0.1503167</v>
      </c>
      <c r="R5319">
        <v>-1.447356E-2</v>
      </c>
      <c r="S5319">
        <v>3.069</v>
      </c>
      <c r="T5319">
        <v>-0.22186429999999999</v>
      </c>
      <c r="U5319">
        <v>2.215576E-2</v>
      </c>
      <c r="V5319">
        <v>1.9992670000000001E-2</v>
      </c>
      <c r="W5319">
        <v>0.16261320000000001</v>
      </c>
      <c r="X5319">
        <v>0.98648729999999996</v>
      </c>
      <c r="Y5319">
        <v>-1.670337E-3</v>
      </c>
      <c r="Z5319">
        <v>-3.4103289999999999E-4</v>
      </c>
      <c r="AA5319">
        <v>0.99999859999999896</v>
      </c>
      <c r="AB5319">
        <v>23</v>
      </c>
      <c r="AC5319">
        <v>15.249799999999899</v>
      </c>
      <c r="AD5319">
        <v>-1.109994910715</v>
      </c>
      <c r="AE5319">
        <v>0.110209999999998</v>
      </c>
      <c r="AF5319">
        <v>-2.5302632137348801E-2</v>
      </c>
      <c r="AG5319">
        <v>-1.109994910715</v>
      </c>
      <c r="AH5319">
        <v>15.169811242090899</v>
      </c>
      <c r="AI5319">
        <v>94.184943092589407</v>
      </c>
      <c r="AJ5319">
        <v>90.095566956271099</v>
      </c>
      <c r="AK5319">
        <v>15.2103879649953</v>
      </c>
      <c r="AL5319">
        <v>80.641391406830607</v>
      </c>
      <c r="AM5319">
        <v>88.8389725643231</v>
      </c>
      <c r="AN5319">
        <v>0.99999997636462901</v>
      </c>
    </row>
    <row r="5320" spans="1:40" x14ac:dyDescent="0.25">
      <c r="A5320" t="str">
        <f>"20190312173035097"</f>
        <v>20190312173035097</v>
      </c>
      <c r="B5320" t="str">
        <f>"1552383035093117"</f>
        <v>1552383035093117</v>
      </c>
      <c r="C5320" t="s">
        <v>40</v>
      </c>
      <c r="D5320">
        <v>3.4514740000000002</v>
      </c>
      <c r="E5320">
        <v>0.49544759999999999</v>
      </c>
      <c r="F5320" t="s">
        <v>41</v>
      </c>
      <c r="G5320">
        <v>-356.25380000000001</v>
      </c>
      <c r="H5320" s="1">
        <v>-1.9731860000000001E-6</v>
      </c>
      <c r="I5320">
        <v>17.452809999999999</v>
      </c>
      <c r="J5320">
        <v>-371.53210000000001</v>
      </c>
      <c r="K5320">
        <v>1.109988</v>
      </c>
      <c r="L5320">
        <v>17.337160000000001</v>
      </c>
      <c r="M5320">
        <v>0.99990769999999995</v>
      </c>
      <c r="N5320">
        <v>0</v>
      </c>
      <c r="O5320">
        <v>5.5191490000000001E-3</v>
      </c>
      <c r="P5320">
        <v>0.98847879999999999</v>
      </c>
      <c r="Q5320">
        <v>0.15068119999999999</v>
      </c>
      <c r="R5320">
        <v>-1.432131E-2</v>
      </c>
      <c r="S5320">
        <v>3.068756</v>
      </c>
      <c r="T5320">
        <v>-0.22121869999999999</v>
      </c>
      <c r="U5320">
        <v>2.319336E-2</v>
      </c>
      <c r="V5320">
        <v>1.980092E-2</v>
      </c>
      <c r="W5320">
        <v>0.16294439999999999</v>
      </c>
      <c r="X5320">
        <v>0.98643650000000005</v>
      </c>
      <c r="Y5320">
        <v>-2.047166E-3</v>
      </c>
      <c r="Z5320">
        <v>-3.236763E-4</v>
      </c>
      <c r="AA5320">
        <v>0.9999979</v>
      </c>
      <c r="AB5320">
        <v>23</v>
      </c>
      <c r="AC5320">
        <v>15.2783</v>
      </c>
      <c r="AD5320">
        <v>-1.1099899731859999</v>
      </c>
      <c r="AE5320">
        <v>0.115649999999998</v>
      </c>
      <c r="AF5320">
        <v>-3.1154096038834699E-2</v>
      </c>
      <c r="AG5320">
        <v>-1.1099899731859999</v>
      </c>
      <c r="AH5320">
        <v>15.198489129106701</v>
      </c>
      <c r="AI5320">
        <v>94.177053069554901</v>
      </c>
      <c r="AJ5320">
        <v>90.117445602808203</v>
      </c>
      <c r="AK5320">
        <v>15.2389999713186</v>
      </c>
      <c r="AL5320">
        <v>80.622158384029106</v>
      </c>
      <c r="AM5320">
        <v>88.850045789693795</v>
      </c>
      <c r="AN5320">
        <v>0.99999996122822699</v>
      </c>
    </row>
    <row r="5321" spans="1:40" x14ac:dyDescent="0.25">
      <c r="A5321" t="str">
        <f>"20190312173035111"</f>
        <v>20190312173035111</v>
      </c>
      <c r="B5321" t="str">
        <f>"1552383035102877"</f>
        <v>1552383035102877</v>
      </c>
      <c r="C5321" t="s">
        <v>40</v>
      </c>
      <c r="D5321">
        <v>3.412347</v>
      </c>
      <c r="E5321">
        <v>0.49540279999999998</v>
      </c>
      <c r="F5321" t="s">
        <v>41</v>
      </c>
      <c r="G5321">
        <v>-356.01909999999998</v>
      </c>
      <c r="H5321" s="1">
        <v>-2.0726840000000001E-6</v>
      </c>
      <c r="I5321">
        <v>17.459409999999998</v>
      </c>
      <c r="J5321">
        <v>-371.41059999999999</v>
      </c>
      <c r="K5321">
        <v>1.1099829999999999</v>
      </c>
      <c r="L5321">
        <v>17.337769999999999</v>
      </c>
      <c r="M5321">
        <v>0.99990829999999997</v>
      </c>
      <c r="N5321">
        <v>0</v>
      </c>
      <c r="O5321">
        <v>5.4800329999999996E-3</v>
      </c>
      <c r="P5321">
        <v>0.98846639999999997</v>
      </c>
      <c r="Q5321">
        <v>0.15077070000000001</v>
      </c>
      <c r="R5321">
        <v>-1.423251E-2</v>
      </c>
      <c r="S5321">
        <v>3.0687869999999999</v>
      </c>
      <c r="T5321">
        <v>-0.2195792</v>
      </c>
      <c r="U5321">
        <v>2.420044E-2</v>
      </c>
      <c r="V5321">
        <v>1.9672869999999999E-2</v>
      </c>
      <c r="W5321">
        <v>0.163000799999999</v>
      </c>
      <c r="X5321">
        <v>0.98642980000000002</v>
      </c>
      <c r="Y5321">
        <v>-2.41319E-3</v>
      </c>
      <c r="Z5321">
        <v>-3.0540629999999998E-4</v>
      </c>
      <c r="AA5321">
        <v>0.99999700000000002</v>
      </c>
      <c r="AB5321">
        <v>23</v>
      </c>
      <c r="AC5321">
        <v>15.391500000000001</v>
      </c>
      <c r="AD5321">
        <v>-1.1099850726839999</v>
      </c>
      <c r="AE5321">
        <v>0.121639999999999</v>
      </c>
      <c r="AF5321">
        <v>-3.7092875322602803E-2</v>
      </c>
      <c r="AG5321">
        <v>-1.1099850726839999</v>
      </c>
      <c r="AH5321">
        <v>15.312303830846901</v>
      </c>
      <c r="AI5321">
        <v>94.146092477424403</v>
      </c>
      <c r="AJ5321">
        <v>90.138794336395705</v>
      </c>
      <c r="AK5321">
        <v>15.352527197538199</v>
      </c>
      <c r="AL5321">
        <v>80.618883636442007</v>
      </c>
      <c r="AM5321">
        <v>88.857472659753995</v>
      </c>
      <c r="AN5321">
        <v>1.0000000164713501</v>
      </c>
    </row>
    <row r="5322" spans="1:40" x14ac:dyDescent="0.25">
      <c r="A5322" t="str">
        <f>"20190312173035122"</f>
        <v>20190312173035122</v>
      </c>
      <c r="B5322" t="str">
        <f>"1552383035112637"</f>
        <v>1552383035112637</v>
      </c>
      <c r="C5322" t="s">
        <v>40</v>
      </c>
      <c r="D5322">
        <v>3.4317989999999998</v>
      </c>
      <c r="E5322">
        <v>0.49537029999999899</v>
      </c>
      <c r="F5322" t="s">
        <v>41</v>
      </c>
      <c r="G5322">
        <v>-355.82810000000001</v>
      </c>
      <c r="H5322" s="1">
        <v>-2.1538329999999999E-6</v>
      </c>
      <c r="I5322">
        <v>17.463979999999999</v>
      </c>
      <c r="J5322">
        <v>-371.29149999999998</v>
      </c>
      <c r="K5322">
        <v>1.10998</v>
      </c>
      <c r="L5322">
        <v>17.33841</v>
      </c>
      <c r="M5322">
        <v>0.99990900000000005</v>
      </c>
      <c r="N5322">
        <v>0</v>
      </c>
      <c r="O5322">
        <v>5.442278E-3</v>
      </c>
      <c r="P5322">
        <v>0.98846469999999997</v>
      </c>
      <c r="Q5322">
        <v>0.15079409999999999</v>
      </c>
      <c r="R5322">
        <v>-1.410429E-2</v>
      </c>
      <c r="S5322">
        <v>3.0687259999999998</v>
      </c>
      <c r="T5322">
        <v>-0.2185936</v>
      </c>
      <c r="U5322">
        <v>2.4871830000000001E-2</v>
      </c>
      <c r="V5322">
        <v>1.9507320000000002E-2</v>
      </c>
      <c r="W5322">
        <v>0.162991</v>
      </c>
      <c r="X5322">
        <v>0.9864347</v>
      </c>
      <c r="Y5322">
        <v>-2.669065E-3</v>
      </c>
      <c r="Z5322">
        <v>-2.9225669999999998E-4</v>
      </c>
      <c r="AA5322">
        <v>0.99999640000000001</v>
      </c>
      <c r="AB5322">
        <v>23</v>
      </c>
      <c r="AC5322">
        <v>15.463399999999901</v>
      </c>
      <c r="AD5322">
        <v>-1.1099821538329999</v>
      </c>
      <c r="AE5322">
        <v>0.12556999999999899</v>
      </c>
      <c r="AF5322">
        <v>-4.1193369378909099E-2</v>
      </c>
      <c r="AG5322">
        <v>-1.1099821538329999</v>
      </c>
      <c r="AH5322">
        <v>15.3845897974902</v>
      </c>
      <c r="AI5322">
        <v>94.126665634500995</v>
      </c>
      <c r="AJ5322">
        <v>90.153413292132299</v>
      </c>
      <c r="AK5322">
        <v>15.4246348583215</v>
      </c>
      <c r="AL5322">
        <v>80.619452679830403</v>
      </c>
      <c r="AM5322">
        <v>88.867090299570094</v>
      </c>
      <c r="AN5322">
        <v>1.00000000948933</v>
      </c>
    </row>
    <row r="5323" spans="1:40" x14ac:dyDescent="0.25">
      <c r="A5323" t="str">
        <f>"20190312173035133"</f>
        <v>20190312173035133</v>
      </c>
      <c r="B5323" t="str">
        <f>"1552383035123373"</f>
        <v>1552383035123373</v>
      </c>
      <c r="C5323" t="s">
        <v>40</v>
      </c>
      <c r="D5323">
        <v>3.411753</v>
      </c>
      <c r="E5323">
        <v>0.49532920000000003</v>
      </c>
      <c r="F5323" t="s">
        <v>41</v>
      </c>
      <c r="G5323">
        <v>-355.6748</v>
      </c>
      <c r="H5323" s="1">
        <v>-2.2188249999999999E-6</v>
      </c>
      <c r="I5323">
        <v>17.468319999999999</v>
      </c>
      <c r="J5323">
        <v>-371.18259999999998</v>
      </c>
      <c r="K5323">
        <v>1.109974</v>
      </c>
      <c r="L5323">
        <v>17.33896</v>
      </c>
      <c r="M5323">
        <v>0.99990939999999995</v>
      </c>
      <c r="N5323">
        <v>0</v>
      </c>
      <c r="O5323">
        <v>5.4090529999999996E-3</v>
      </c>
      <c r="P5323">
        <v>0.98845910000000003</v>
      </c>
      <c r="Q5323">
        <v>0.15084410000000001</v>
      </c>
      <c r="R5323">
        <v>-1.395453E-2</v>
      </c>
      <c r="S5323">
        <v>3.0686040000000001</v>
      </c>
      <c r="T5323">
        <v>-0.2181054</v>
      </c>
      <c r="U5323">
        <v>2.554321E-2</v>
      </c>
      <c r="V5323">
        <v>1.9324810000000001E-2</v>
      </c>
      <c r="W5323">
        <v>0.1630074</v>
      </c>
      <c r="X5323">
        <v>0.98643559999999997</v>
      </c>
      <c r="Y5323">
        <v>-2.920644E-3</v>
      </c>
      <c r="Z5323">
        <v>-2.8032900000000001E-4</v>
      </c>
      <c r="AA5323">
        <v>0.99999570000000004</v>
      </c>
      <c r="AB5323">
        <v>23</v>
      </c>
      <c r="AC5323">
        <v>15.5077999999999</v>
      </c>
      <c r="AD5323">
        <v>-1.109976218825</v>
      </c>
      <c r="AE5323">
        <v>0.129360000000001</v>
      </c>
      <c r="AF5323">
        <v>-4.52374852560532E-2</v>
      </c>
      <c r="AG5323">
        <v>-1.109976218825</v>
      </c>
      <c r="AH5323">
        <v>15.429233928979301</v>
      </c>
      <c r="AI5323">
        <v>94.114741444199694</v>
      </c>
      <c r="AJ5323">
        <v>90.167986924433094</v>
      </c>
      <c r="AK5323">
        <v>15.4691742918488</v>
      </c>
      <c r="AL5323">
        <v>80.618500456275399</v>
      </c>
      <c r="AM5323">
        <v>88.877688074338593</v>
      </c>
      <c r="AN5323">
        <v>1.0000000268418201</v>
      </c>
    </row>
    <row r="5324" spans="1:40" x14ac:dyDescent="0.25">
      <c r="A5324" t="str">
        <f>"20190312173035143"</f>
        <v>20190312173035143</v>
      </c>
      <c r="B5324" t="str">
        <f>"1552383035133133"</f>
        <v>1552383035133133</v>
      </c>
      <c r="C5324" t="s">
        <v>40</v>
      </c>
      <c r="D5324">
        <v>3.4281820000000001</v>
      </c>
      <c r="E5324">
        <v>0.49531779999999997</v>
      </c>
      <c r="F5324" t="s">
        <v>41</v>
      </c>
      <c r="G5324">
        <v>-355.52330000000001</v>
      </c>
      <c r="H5324" s="1">
        <v>-2.2828189999999999E-6</v>
      </c>
      <c r="I5324">
        <v>17.4739</v>
      </c>
      <c r="J5324">
        <v>-371.07049999999998</v>
      </c>
      <c r="K5324">
        <v>1.1099680000000001</v>
      </c>
      <c r="L5324">
        <v>17.33954</v>
      </c>
      <c r="M5324">
        <v>0.99991010000000002</v>
      </c>
      <c r="N5324">
        <v>0</v>
      </c>
      <c r="O5324">
        <v>5.3749419999999997E-3</v>
      </c>
      <c r="P5324">
        <v>0.98847269999999998</v>
      </c>
      <c r="Q5324">
        <v>0.15078459999999999</v>
      </c>
      <c r="R5324">
        <v>-1.362677E-2</v>
      </c>
      <c r="S5324">
        <v>3.0686040000000001</v>
      </c>
      <c r="T5324">
        <v>-0.21751119999999999</v>
      </c>
      <c r="U5324">
        <v>2.6458740000000001E-2</v>
      </c>
      <c r="V5324">
        <v>1.8963580000000001E-2</v>
      </c>
      <c r="W5324">
        <v>0.1629128</v>
      </c>
      <c r="X5324">
        <v>0.98645819999999995</v>
      </c>
      <c r="Y5324">
        <v>-3.2521389999999998E-3</v>
      </c>
      <c r="Z5324">
        <v>-2.6541789999999998E-4</v>
      </c>
      <c r="AA5324">
        <v>0.99999470000000001</v>
      </c>
      <c r="AB5324">
        <v>23</v>
      </c>
      <c r="AC5324">
        <v>15.547199999999901</v>
      </c>
      <c r="AD5324">
        <v>-1.1099702828189999</v>
      </c>
      <c r="AE5324">
        <v>0.13436000000000001</v>
      </c>
      <c r="AF5324">
        <v>-5.0528925909638499E-2</v>
      </c>
      <c r="AG5324">
        <v>-1.1099702828189999</v>
      </c>
      <c r="AH5324">
        <v>15.468858063965399</v>
      </c>
      <c r="AI5324">
        <v>94.104211309459203</v>
      </c>
      <c r="AJ5324">
        <v>90.187155631603801</v>
      </c>
      <c r="AK5324">
        <v>15.508712293553</v>
      </c>
      <c r="AL5324">
        <v>80.623993714447096</v>
      </c>
      <c r="AM5324">
        <v>88.898686956775904</v>
      </c>
      <c r="AN5324">
        <v>0.99999998905874798</v>
      </c>
    </row>
    <row r="5325" spans="1:40" x14ac:dyDescent="0.25">
      <c r="A5325" t="str">
        <f>"20190312173035154"</f>
        <v>20190312173035154</v>
      </c>
      <c r="B5325" t="str">
        <f>"1552383035142893"</f>
        <v>1552383035142893</v>
      </c>
      <c r="C5325" t="s">
        <v>40</v>
      </c>
      <c r="D5325">
        <v>3.4165399999999999</v>
      </c>
      <c r="E5325">
        <v>0.49530200000000002</v>
      </c>
      <c r="F5325" t="s">
        <v>41</v>
      </c>
      <c r="G5325">
        <v>-355.40050000000002</v>
      </c>
      <c r="H5325" s="1">
        <v>-2.334635E-6</v>
      </c>
      <c r="I5325">
        <v>17.47878</v>
      </c>
      <c r="J5325">
        <v>-370.95780000000002</v>
      </c>
      <c r="K5325">
        <v>1.1099619999999999</v>
      </c>
      <c r="L5325">
        <v>17.34009</v>
      </c>
      <c r="M5325">
        <v>0.99991079999999999</v>
      </c>
      <c r="N5325">
        <v>0</v>
      </c>
      <c r="O5325">
        <v>5.3412069999999997E-3</v>
      </c>
      <c r="P5325">
        <v>0.98848860000000005</v>
      </c>
      <c r="Q5325">
        <v>0.15070329999999901</v>
      </c>
      <c r="R5325">
        <v>-1.33802E-2</v>
      </c>
      <c r="S5325">
        <v>3.0685120000000001</v>
      </c>
      <c r="T5325">
        <v>-0.21735489999999999</v>
      </c>
      <c r="U5325">
        <v>2.7282710000000002E-2</v>
      </c>
      <c r="V5325">
        <v>1.8683849999999998E-2</v>
      </c>
      <c r="W5325">
        <v>0.16279289999999999</v>
      </c>
      <c r="X5325">
        <v>0.98648329999999995</v>
      </c>
      <c r="Y5325">
        <v>-3.553793E-3</v>
      </c>
      <c r="Z5325">
        <v>-2.5217810000000002E-4</v>
      </c>
      <c r="AA5325">
        <v>0.99999369999999999</v>
      </c>
      <c r="AB5325">
        <v>23</v>
      </c>
      <c r="AC5325">
        <v>15.5572999999999</v>
      </c>
      <c r="AD5325">
        <v>-1.1099643346349899</v>
      </c>
      <c r="AE5325">
        <v>0.13869000000000001</v>
      </c>
      <c r="AF5325">
        <v>-5.5305531178809098E-2</v>
      </c>
      <c r="AG5325">
        <v>-1.1099643346349899</v>
      </c>
      <c r="AH5325">
        <v>15.4790311010967</v>
      </c>
      <c r="AI5325">
        <v>94.101496984593297</v>
      </c>
      <c r="AJ5325">
        <v>90.204713073812997</v>
      </c>
      <c r="AK5325">
        <v>15.518875067306199</v>
      </c>
      <c r="AL5325">
        <v>80.630956133220906</v>
      </c>
      <c r="AM5325">
        <v>88.914956011579505</v>
      </c>
      <c r="AN5325">
        <v>0.99999995786006002</v>
      </c>
    </row>
    <row r="5326" spans="1:40" x14ac:dyDescent="0.25">
      <c r="A5326" t="str">
        <f>"20190312173035165"</f>
        <v>20190312173035165</v>
      </c>
      <c r="B5326" t="str">
        <f>"1552383035163389"</f>
        <v>1552383035163389</v>
      </c>
      <c r="C5326" t="s">
        <v>40</v>
      </c>
      <c r="D5326">
        <v>3.416938</v>
      </c>
      <c r="E5326">
        <v>0.4952627</v>
      </c>
      <c r="F5326" t="s">
        <v>41</v>
      </c>
      <c r="G5326">
        <v>-355.2731</v>
      </c>
      <c r="H5326" s="1">
        <v>-2.388505E-6</v>
      </c>
      <c r="I5326">
        <v>17.4832</v>
      </c>
      <c r="J5326">
        <v>-370.84609999999998</v>
      </c>
      <c r="K5326">
        <v>1.1099559999999999</v>
      </c>
      <c r="L5326">
        <v>17.34064</v>
      </c>
      <c r="M5326">
        <v>0.99991140000000001</v>
      </c>
      <c r="N5326">
        <v>0</v>
      </c>
      <c r="O5326">
        <v>5.3078259999999999E-3</v>
      </c>
      <c r="P5326">
        <v>0.98844909999999997</v>
      </c>
      <c r="Q5326">
        <v>0.15099199999999999</v>
      </c>
      <c r="R5326">
        <v>-1.303312E-2</v>
      </c>
      <c r="S5326">
        <v>3.068451</v>
      </c>
      <c r="T5326">
        <v>-0.21714639999999999</v>
      </c>
      <c r="U5326">
        <v>2.8015140000000001E-2</v>
      </c>
      <c r="V5326">
        <v>1.830379E-2</v>
      </c>
      <c r="W5326">
        <v>0.16304270000000001</v>
      </c>
      <c r="X5326">
        <v>0.98644920000000003</v>
      </c>
      <c r="Y5326">
        <v>-3.8252579999999998E-3</v>
      </c>
      <c r="Z5326">
        <v>-2.399887E-4</v>
      </c>
      <c r="AA5326">
        <v>0.99999269999999996</v>
      </c>
      <c r="AB5326">
        <v>23</v>
      </c>
      <c r="AC5326">
        <v>15.572999999999899</v>
      </c>
      <c r="AD5326">
        <v>-1.1099583885049999</v>
      </c>
      <c r="AE5326">
        <v>0.14255999999999899</v>
      </c>
      <c r="AF5326">
        <v>-5.9590360427452999E-2</v>
      </c>
      <c r="AG5326">
        <v>-1.1099583885049999</v>
      </c>
      <c r="AH5326">
        <v>15.494829272510501</v>
      </c>
      <c r="AI5326">
        <v>94.097303434125394</v>
      </c>
      <c r="AJ5326">
        <v>90.220348301970901</v>
      </c>
      <c r="AK5326">
        <v>15.534648139546499</v>
      </c>
      <c r="AL5326">
        <v>80.616450117909196</v>
      </c>
      <c r="AM5326">
        <v>88.936985723197694</v>
      </c>
      <c r="AN5326">
        <v>0.99999998746614704</v>
      </c>
    </row>
    <row r="5327" spans="1:40" x14ac:dyDescent="0.25">
      <c r="A5327" t="str">
        <f>"20190312173035177"</f>
        <v>20190312173035177</v>
      </c>
      <c r="B5327" t="str">
        <f>"1552383035173148"</f>
        <v>1552383035173148</v>
      </c>
      <c r="C5327" t="s">
        <v>40</v>
      </c>
      <c r="D5327">
        <v>3.4437989999999998</v>
      </c>
      <c r="E5327">
        <v>0.49528119999999998</v>
      </c>
      <c r="F5327" t="s">
        <v>41</v>
      </c>
      <c r="G5327">
        <v>-355.0471</v>
      </c>
      <c r="H5327" s="1">
        <v>-2.4839419999999999E-6</v>
      </c>
      <c r="I5327">
        <v>17.491710000000001</v>
      </c>
      <c r="J5327">
        <v>-370.73099999999999</v>
      </c>
      <c r="K5327">
        <v>1.1099490000000001</v>
      </c>
      <c r="L5327">
        <v>17.341249999999999</v>
      </c>
      <c r="M5327">
        <v>0.99991209999999997</v>
      </c>
      <c r="N5327">
        <v>0</v>
      </c>
      <c r="O5327">
        <v>5.2731409999999899E-3</v>
      </c>
      <c r="P5327">
        <v>0.98841389999999996</v>
      </c>
      <c r="Q5327">
        <v>0.15123259999999999</v>
      </c>
      <c r="R5327">
        <v>-1.290671E-2</v>
      </c>
      <c r="S5327">
        <v>3.06839</v>
      </c>
      <c r="T5327">
        <v>-0.2155697</v>
      </c>
      <c r="U5327">
        <v>2.9357910000000001E-2</v>
      </c>
      <c r="V5327">
        <v>1.8143039999999999E-2</v>
      </c>
      <c r="W5327">
        <v>0.1632441</v>
      </c>
      <c r="X5327">
        <v>0.98641889999999999</v>
      </c>
      <c r="Y5327">
        <v>-4.2964029999999999E-3</v>
      </c>
      <c r="Z5327">
        <v>-2.192912E-4</v>
      </c>
      <c r="AA5327">
        <v>0.99999079999999996</v>
      </c>
      <c r="AB5327">
        <v>23</v>
      </c>
      <c r="AC5327">
        <v>15.6838999999999</v>
      </c>
      <c r="AD5327">
        <v>-1.1099514839419999</v>
      </c>
      <c r="AE5327">
        <v>0.15046000000000201</v>
      </c>
      <c r="AF5327">
        <v>-6.7410781779148304E-2</v>
      </c>
      <c r="AG5327">
        <v>-1.1099514839419999</v>
      </c>
      <c r="AH5327">
        <v>15.6063197153013</v>
      </c>
      <c r="AI5327">
        <v>94.068098156061197</v>
      </c>
      <c r="AJ5327">
        <v>90.247484950936197</v>
      </c>
      <c r="AK5327">
        <v>15.645886090803801</v>
      </c>
      <c r="AL5327">
        <v>80.604754415130202</v>
      </c>
      <c r="AM5327">
        <v>88.946286996916001</v>
      </c>
      <c r="AN5327">
        <v>1.0000000261812301</v>
      </c>
    </row>
    <row r="5328" spans="1:40" x14ac:dyDescent="0.25">
      <c r="A5328" t="str">
        <f>"20190312173035188"</f>
        <v>20190312173035188</v>
      </c>
      <c r="B5328" t="str">
        <f>"1552383035182909"</f>
        <v>1552383035182909</v>
      </c>
      <c r="C5328" t="s">
        <v>40</v>
      </c>
      <c r="D5328">
        <v>3.427076</v>
      </c>
      <c r="E5328">
        <v>0.49526559999999997</v>
      </c>
      <c r="F5328" t="s">
        <v>41</v>
      </c>
      <c r="G5328">
        <v>-354.86989999999997</v>
      </c>
      <c r="H5328" s="1">
        <v>-2.5594820000000002E-6</v>
      </c>
      <c r="I5328">
        <v>17.494499999999999</v>
      </c>
      <c r="J5328">
        <v>-370.6121</v>
      </c>
      <c r="K5328">
        <v>1.109945</v>
      </c>
      <c r="L5328">
        <v>17.341829999999899</v>
      </c>
      <c r="M5328">
        <v>0.99991289999999999</v>
      </c>
      <c r="N5328">
        <v>0</v>
      </c>
      <c r="O5328">
        <v>5.2368639999999999E-3</v>
      </c>
      <c r="P5328">
        <v>0.98844299999999996</v>
      </c>
      <c r="Q5328">
        <v>0.15106</v>
      </c>
      <c r="R5328">
        <v>-1.27207E-2</v>
      </c>
      <c r="S5328">
        <v>3.0684200000000001</v>
      </c>
      <c r="T5328">
        <v>-0.21472540000000001</v>
      </c>
      <c r="U5328">
        <v>2.966309E-2</v>
      </c>
      <c r="V5328">
        <v>1.7921280000000001E-2</v>
      </c>
      <c r="W5328">
        <v>0.16302949999999999</v>
      </c>
      <c r="X5328">
        <v>0.98645839999999996</v>
      </c>
      <c r="Y5328">
        <v>-4.4316009999999899E-3</v>
      </c>
      <c r="Z5328">
        <v>-2.111716E-4</v>
      </c>
      <c r="AA5328">
        <v>0.99999020000000005</v>
      </c>
      <c r="AB5328">
        <v>23</v>
      </c>
      <c r="AC5328">
        <v>15.7422</v>
      </c>
      <c r="AD5328">
        <v>-1.1099475594820001</v>
      </c>
      <c r="AE5328">
        <v>0.15267</v>
      </c>
      <c r="AF5328">
        <v>-6.9874756352568998E-2</v>
      </c>
      <c r="AG5328">
        <v>-1.1099475594820001</v>
      </c>
      <c r="AH5328">
        <v>15.664915270365899</v>
      </c>
      <c r="AI5328">
        <v>94.052915210905695</v>
      </c>
      <c r="AJ5328">
        <v>90.255571256669995</v>
      </c>
      <c r="AK5328">
        <v>15.704344510170399</v>
      </c>
      <c r="AL5328">
        <v>80.617216632062295</v>
      </c>
      <c r="AM5328">
        <v>88.959205210257196</v>
      </c>
      <c r="AN5328">
        <v>0.99999998253882305</v>
      </c>
    </row>
    <row r="5329" spans="1:40" x14ac:dyDescent="0.25">
      <c r="A5329" t="str">
        <f>"20190312173035199"</f>
        <v>20190312173035199</v>
      </c>
      <c r="B5329" t="str">
        <f>"1552383035192669"</f>
        <v>1552383035192669</v>
      </c>
      <c r="C5329" t="s">
        <v>40</v>
      </c>
      <c r="D5329">
        <v>3.414787</v>
      </c>
      <c r="E5329">
        <v>0.49526900000000001</v>
      </c>
      <c r="F5329" t="s">
        <v>41</v>
      </c>
      <c r="G5329">
        <v>-354.77760000000001</v>
      </c>
      <c r="H5329" s="1">
        <v>-2.5983420000000001E-6</v>
      </c>
      <c r="I5329">
        <v>17.498439999999999</v>
      </c>
      <c r="J5329">
        <v>-370.5009</v>
      </c>
      <c r="K5329">
        <v>1.1099380000000001</v>
      </c>
      <c r="L5329">
        <v>17.342379999999999</v>
      </c>
      <c r="M5329">
        <v>0.99991359999999996</v>
      </c>
      <c r="N5329">
        <v>0</v>
      </c>
      <c r="O5329">
        <v>5.2024879999999999E-3</v>
      </c>
      <c r="P5329">
        <v>0.98844010000000004</v>
      </c>
      <c r="Q5329">
        <v>0.1510975</v>
      </c>
      <c r="R5329">
        <v>-1.248967E-2</v>
      </c>
      <c r="S5329">
        <v>3.0683590000000001</v>
      </c>
      <c r="T5329">
        <v>-0.21508250000000001</v>
      </c>
      <c r="U5329">
        <v>3.0364990000000001E-2</v>
      </c>
      <c r="V5329">
        <v>1.765624E-2</v>
      </c>
      <c r="W5329">
        <v>0.16302620000000001</v>
      </c>
      <c r="X5329">
        <v>0.98646369999999906</v>
      </c>
      <c r="Y5329">
        <v>-4.6941819999999999E-3</v>
      </c>
      <c r="Z5329">
        <v>-1.9992729999999999E-4</v>
      </c>
      <c r="AA5329">
        <v>0.99998900000000002</v>
      </c>
      <c r="AB5329">
        <v>23</v>
      </c>
      <c r="AC5329">
        <v>15.723299999999901</v>
      </c>
      <c r="AD5329">
        <v>-1.1099405983420001</v>
      </c>
      <c r="AE5329">
        <v>0.15606</v>
      </c>
      <c r="AF5329">
        <v>-7.3883504071625902E-2</v>
      </c>
      <c r="AG5329">
        <v>-1.1099405983420001</v>
      </c>
      <c r="AH5329">
        <v>15.6459393058614</v>
      </c>
      <c r="AI5329">
        <v>94.057784101600504</v>
      </c>
      <c r="AJ5329">
        <v>90.270561032526004</v>
      </c>
      <c r="AK5329">
        <v>15.6854341242671</v>
      </c>
      <c r="AL5329">
        <v>80.617408040225797</v>
      </c>
      <c r="AM5329">
        <v>88.974599848476103</v>
      </c>
      <c r="AN5329">
        <v>0.99999995805753195</v>
      </c>
    </row>
    <row r="5330" spans="1:40" x14ac:dyDescent="0.25">
      <c r="A5330" t="str">
        <f>"20190312173035213"</f>
        <v>20190312173035213</v>
      </c>
      <c r="B5330" t="str">
        <f>"1552383035203405"</f>
        <v>1552383035203405</v>
      </c>
      <c r="C5330" t="s">
        <v>40</v>
      </c>
      <c r="D5330">
        <v>3.4063119999999998</v>
      </c>
      <c r="E5330">
        <v>0.495259</v>
      </c>
      <c r="F5330" t="s">
        <v>41</v>
      </c>
      <c r="G5330">
        <v>-354.6431</v>
      </c>
      <c r="H5330" s="1">
        <v>-2.6552910000000002E-6</v>
      </c>
      <c r="I5330">
        <v>17.502859999999998</v>
      </c>
      <c r="J5330">
        <v>-370.36939999999998</v>
      </c>
      <c r="K5330">
        <v>1.1099330000000001</v>
      </c>
      <c r="L5330">
        <v>17.343019999999999</v>
      </c>
      <c r="M5330">
        <v>0.99991439999999998</v>
      </c>
      <c r="N5330">
        <v>0</v>
      </c>
      <c r="O5330">
        <v>5.1614360000000001E-3</v>
      </c>
      <c r="P5330">
        <v>0.98846330000000004</v>
      </c>
      <c r="Q5330">
        <v>0.150972</v>
      </c>
      <c r="R5330">
        <v>-1.217645E-2</v>
      </c>
      <c r="S5330">
        <v>3.068298</v>
      </c>
      <c r="T5330">
        <v>-0.2147609</v>
      </c>
      <c r="U5330">
        <v>3.106689E-2</v>
      </c>
      <c r="V5330">
        <v>1.7302620000000001E-2</v>
      </c>
      <c r="W5330">
        <v>0.16285069999999999</v>
      </c>
      <c r="X5330">
        <v>0.98649900000000001</v>
      </c>
      <c r="Y5330">
        <v>-4.9634099999999997E-3</v>
      </c>
      <c r="Z5330">
        <v>-1.873523E-4</v>
      </c>
      <c r="AA5330">
        <v>0.99998770000000003</v>
      </c>
      <c r="AB5330">
        <v>23</v>
      </c>
      <c r="AC5330">
        <v>15.726299999999901</v>
      </c>
      <c r="AD5330">
        <v>-1.109935655291</v>
      </c>
      <c r="AE5330">
        <v>0.15983999999999901</v>
      </c>
      <c r="AF5330">
        <v>-7.8271857153896396E-2</v>
      </c>
      <c r="AG5330">
        <v>-1.109935655291</v>
      </c>
      <c r="AH5330">
        <v>15.648971421614201</v>
      </c>
      <c r="AI5330">
        <v>94.056976996433804</v>
      </c>
      <c r="AJ5330">
        <v>90.286575363418507</v>
      </c>
      <c r="AK5330">
        <v>15.688479537450601</v>
      </c>
      <c r="AL5330">
        <v>80.627600083409803</v>
      </c>
      <c r="AM5330">
        <v>88.995168306525798</v>
      </c>
      <c r="AN5330">
        <v>1.00000000407517</v>
      </c>
    </row>
    <row r="5331" spans="1:40" x14ac:dyDescent="0.25">
      <c r="A5331" t="str">
        <f>"20190312173035226"</f>
        <v>20190312173035226</v>
      </c>
      <c r="B5331" t="str">
        <f>"1552383035222925"</f>
        <v>1552383035222925</v>
      </c>
      <c r="C5331" t="s">
        <v>40</v>
      </c>
      <c r="D5331">
        <v>3.364242</v>
      </c>
      <c r="E5331">
        <v>0.49530540000000001</v>
      </c>
      <c r="F5331" t="s">
        <v>41</v>
      </c>
      <c r="G5331">
        <v>-354.51459999999997</v>
      </c>
      <c r="H5331" s="1">
        <v>-2.7094720000000001E-6</v>
      </c>
      <c r="I5331">
        <v>17.508040000000001</v>
      </c>
      <c r="J5331">
        <v>-370.22250000000003</v>
      </c>
      <c r="K5331">
        <v>1.1099220000000001</v>
      </c>
      <c r="L5331">
        <v>17.343720000000001</v>
      </c>
      <c r="M5331">
        <v>0.99991540000000001</v>
      </c>
      <c r="N5331">
        <v>0</v>
      </c>
      <c r="O5331">
        <v>5.1154249999999998E-3</v>
      </c>
      <c r="P5331">
        <v>0.98846040000000002</v>
      </c>
      <c r="Q5331">
        <v>0.1510119</v>
      </c>
      <c r="R5331">
        <v>-1.1891550000000001E-2</v>
      </c>
      <c r="S5331">
        <v>3.0682070000000001</v>
      </c>
      <c r="T5331">
        <v>-0.2147944</v>
      </c>
      <c r="U5331">
        <v>3.1951899999999998E-2</v>
      </c>
      <c r="V5331">
        <v>1.6972620000000001E-2</v>
      </c>
      <c r="W5331">
        <v>0.16283239999999999</v>
      </c>
      <c r="X5331">
        <v>0.98650780000000005</v>
      </c>
      <c r="Y5331">
        <v>-5.2972100000000001E-3</v>
      </c>
      <c r="Z5331">
        <v>-1.724997E-4</v>
      </c>
      <c r="AA5331">
        <v>0.99998589999999998</v>
      </c>
      <c r="AB5331">
        <v>23</v>
      </c>
      <c r="AC5331">
        <v>15.7079</v>
      </c>
      <c r="AD5331">
        <v>-1.1099247094719999</v>
      </c>
      <c r="AE5331">
        <v>0.16431999999999999</v>
      </c>
      <c r="AF5331">
        <v>-8.3542447109702406E-2</v>
      </c>
      <c r="AG5331">
        <v>-1.1099247094719999</v>
      </c>
      <c r="AH5331">
        <v>15.6305024551964</v>
      </c>
      <c r="AI5331">
        <v>94.061707569368494</v>
      </c>
      <c r="AJ5331">
        <v>90.306233536880399</v>
      </c>
      <c r="AK5331">
        <v>15.6700835735827</v>
      </c>
      <c r="AL5331">
        <v>80.628663214024797</v>
      </c>
      <c r="AM5331">
        <v>89.014337687069997</v>
      </c>
      <c r="AN5331">
        <v>1.00000004989013</v>
      </c>
    </row>
    <row r="5332" spans="1:40" x14ac:dyDescent="0.25">
      <c r="A5332" t="str">
        <f>"20190312173035245"</f>
        <v>20190312173035245</v>
      </c>
      <c r="B5332" t="str">
        <f>"1552383035232685"</f>
        <v>1552383035232685</v>
      </c>
      <c r="C5332" t="s">
        <v>40</v>
      </c>
      <c r="D5332">
        <v>3.3654060000000001</v>
      </c>
      <c r="E5332">
        <v>0.49534159999999999</v>
      </c>
      <c r="F5332" t="s">
        <v>41</v>
      </c>
      <c r="G5332">
        <v>-354.32760000000002</v>
      </c>
      <c r="H5332" s="1">
        <v>-2.7891399999999999E-6</v>
      </c>
      <c r="I5332">
        <v>17.511220000000002</v>
      </c>
      <c r="J5332">
        <v>-370.03339999999997</v>
      </c>
      <c r="K5332">
        <v>1.1099079999999999</v>
      </c>
      <c r="L5332">
        <v>17.3446</v>
      </c>
      <c r="M5332">
        <v>0.99991660000000004</v>
      </c>
      <c r="N5332">
        <v>0</v>
      </c>
      <c r="O5332">
        <v>5.0555330000000001E-3</v>
      </c>
      <c r="P5332">
        <v>0.98848449999999999</v>
      </c>
      <c r="Q5332">
        <v>0.15089129999999901</v>
      </c>
      <c r="R5332">
        <v>-1.14226E-2</v>
      </c>
      <c r="S5332">
        <v>3.068146</v>
      </c>
      <c r="T5332">
        <v>-0.21424570000000001</v>
      </c>
      <c r="U5332">
        <v>3.2348630000000003E-2</v>
      </c>
      <c r="V5332">
        <v>1.6444299999999999E-2</v>
      </c>
      <c r="W5332">
        <v>0.16263339999999901</v>
      </c>
      <c r="X5332">
        <v>0.98654949999999997</v>
      </c>
      <c r="Y5332">
        <v>-5.4860050000000004E-3</v>
      </c>
      <c r="Z5332">
        <v>-1.613024E-4</v>
      </c>
      <c r="AA5332">
        <v>0.99998489999999995</v>
      </c>
      <c r="AB5332">
        <v>23</v>
      </c>
      <c r="AC5332">
        <v>15.705799999999901</v>
      </c>
      <c r="AD5332">
        <v>-1.10991078914</v>
      </c>
      <c r="AE5332">
        <v>0.16662000000000099</v>
      </c>
      <c r="AF5332">
        <v>-8.6777745770472106E-2</v>
      </c>
      <c r="AG5332">
        <v>-1.10991078914</v>
      </c>
      <c r="AH5332">
        <v>15.6284008796412</v>
      </c>
      <c r="AI5332">
        <v>94.062196565837993</v>
      </c>
      <c r="AJ5332">
        <v>90.3181353953171</v>
      </c>
      <c r="AK5332">
        <v>15.668003905787799</v>
      </c>
      <c r="AL5332">
        <v>80.640218422303406</v>
      </c>
      <c r="AM5332">
        <v>89.045053752823094</v>
      </c>
      <c r="AN5332">
        <v>0.99999997687414899</v>
      </c>
    </row>
    <row r="5333" spans="1:40" x14ac:dyDescent="0.25">
      <c r="A5333" t="str">
        <f>"20190312173035257"</f>
        <v>20190312173035257</v>
      </c>
      <c r="B5333" t="str">
        <f>"1552383035253181"</f>
        <v>1552383035253181</v>
      </c>
      <c r="C5333" t="s">
        <v>40</v>
      </c>
      <c r="D5333">
        <v>3.3426290000000001</v>
      </c>
      <c r="E5333">
        <v>0.49539420000000001</v>
      </c>
      <c r="F5333" t="s">
        <v>41</v>
      </c>
      <c r="G5333">
        <v>-354.16879999999998</v>
      </c>
      <c r="H5333" s="1">
        <v>-2.8564420000000002E-6</v>
      </c>
      <c r="I5333">
        <v>17.515889999999999</v>
      </c>
      <c r="J5333">
        <v>-369.9051</v>
      </c>
      <c r="K5333">
        <v>1.1099000000000001</v>
      </c>
      <c r="L5333">
        <v>17.345210000000002</v>
      </c>
      <c r="M5333">
        <v>0.99991730000000001</v>
      </c>
      <c r="N5333">
        <v>0</v>
      </c>
      <c r="O5333">
        <v>5.0149799999999996E-3</v>
      </c>
      <c r="P5333">
        <v>0.98848720000000001</v>
      </c>
      <c r="Q5333">
        <v>0.15089820000000001</v>
      </c>
      <c r="R5333">
        <v>-1.108372E-2</v>
      </c>
      <c r="S5333">
        <v>3.0681150000000001</v>
      </c>
      <c r="T5333">
        <v>-0.2146496</v>
      </c>
      <c r="U5333">
        <v>3.3142089999999999E-2</v>
      </c>
      <c r="V5333">
        <v>1.6065380000000001E-2</v>
      </c>
      <c r="W5333">
        <v>0.16258590000000001</v>
      </c>
      <c r="X5333">
        <v>0.98656359999999999</v>
      </c>
      <c r="Y5333">
        <v>-5.7844159999999997E-3</v>
      </c>
      <c r="Z5333">
        <v>-1.483476E-4</v>
      </c>
      <c r="AA5333">
        <v>0.99998330000000002</v>
      </c>
      <c r="AB5333">
        <v>23</v>
      </c>
      <c r="AC5333">
        <v>15.7363</v>
      </c>
      <c r="AD5333">
        <v>-1.1099028564419999</v>
      </c>
      <c r="AE5333">
        <v>0.170679999999997</v>
      </c>
      <c r="AF5333">
        <v>-9.1300950126985206E-2</v>
      </c>
      <c r="AG5333">
        <v>-1.1099028564419999</v>
      </c>
      <c r="AH5333">
        <v>15.659068495127</v>
      </c>
      <c r="AI5333">
        <v>94.054232210447296</v>
      </c>
      <c r="AJ5333">
        <v>90.334062005820499</v>
      </c>
      <c r="AK5333">
        <v>15.698619249771999</v>
      </c>
      <c r="AL5333">
        <v>80.642976939869001</v>
      </c>
      <c r="AM5333">
        <v>89.067067626729099</v>
      </c>
      <c r="AN5333">
        <v>1.0000000040791499</v>
      </c>
    </row>
    <row r="5334" spans="1:40" x14ac:dyDescent="0.25">
      <c r="A5334" t="str">
        <f>"20190312173035268"</f>
        <v>20190312173035268</v>
      </c>
      <c r="B5334" t="str">
        <f>"1552383035262942"</f>
        <v>1552383035262942</v>
      </c>
      <c r="C5334" t="s">
        <v>40</v>
      </c>
      <c r="D5334">
        <v>3.3437320000000001</v>
      </c>
      <c r="E5334">
        <v>0.49542459999999999</v>
      </c>
      <c r="F5334" t="s">
        <v>41</v>
      </c>
      <c r="G5334">
        <v>-354.0086</v>
      </c>
      <c r="H5334" s="1">
        <v>-2.924374E-6</v>
      </c>
      <c r="I5334">
        <v>17.520329999999898</v>
      </c>
      <c r="J5334">
        <v>-369.7921</v>
      </c>
      <c r="K5334">
        <v>1.109893</v>
      </c>
      <c r="L5334">
        <v>17.34573</v>
      </c>
      <c r="M5334">
        <v>0.99991799999999997</v>
      </c>
      <c r="N5334">
        <v>0</v>
      </c>
      <c r="O5334">
        <v>4.9791449999999999E-3</v>
      </c>
      <c r="P5334">
        <v>0.98849120000000001</v>
      </c>
      <c r="Q5334">
        <v>0.1508833</v>
      </c>
      <c r="R5334">
        <v>-1.092974E-2</v>
      </c>
      <c r="S5334">
        <v>3.0680239999999999</v>
      </c>
      <c r="T5334">
        <v>-0.21421190000000001</v>
      </c>
      <c r="U5334">
        <v>3.381348E-2</v>
      </c>
      <c r="V5334">
        <v>1.587585E-2</v>
      </c>
      <c r="W5334">
        <v>0.16252469999999999</v>
      </c>
      <c r="X5334">
        <v>0.98657669999999997</v>
      </c>
      <c r="Y5334">
        <v>-6.0386839999999999E-3</v>
      </c>
      <c r="Z5334">
        <v>-1.3668529999999999E-4</v>
      </c>
      <c r="AA5334">
        <v>0.99998180000000003</v>
      </c>
      <c r="AB5334">
        <v>23</v>
      </c>
      <c r="AC5334">
        <v>15.7835</v>
      </c>
      <c r="AD5334">
        <v>-1.1098959243740001</v>
      </c>
      <c r="AE5334">
        <v>0.17459999999999801</v>
      </c>
      <c r="AF5334">
        <v>-9.5531692603129006E-2</v>
      </c>
      <c r="AG5334">
        <v>-1.1098959243740001</v>
      </c>
      <c r="AH5334">
        <v>15.7065160251555</v>
      </c>
      <c r="AI5334">
        <v>94.041994307647499</v>
      </c>
      <c r="AJ5334">
        <v>90.348485640717101</v>
      </c>
      <c r="AK5334">
        <v>15.7459722124643</v>
      </c>
      <c r="AL5334">
        <v>80.646530225251794</v>
      </c>
      <c r="AM5334">
        <v>89.078084148204695</v>
      </c>
      <c r="AN5334">
        <v>0.99999995285309995</v>
      </c>
    </row>
    <row r="5335" spans="1:40" x14ac:dyDescent="0.25">
      <c r="A5335" t="str">
        <f>"20190312173035278"</f>
        <v>20190312173035278</v>
      </c>
      <c r="B5335" t="str">
        <f>"1552383035272701"</f>
        <v>1552383035272701</v>
      </c>
      <c r="C5335" t="s">
        <v>40</v>
      </c>
      <c r="D5335">
        <v>3.3327149999999999</v>
      </c>
      <c r="E5335">
        <v>0.49544519999999997</v>
      </c>
      <c r="F5335" t="s">
        <v>41</v>
      </c>
      <c r="G5335">
        <v>-353.88799999999998</v>
      </c>
      <c r="H5335" s="1">
        <v>-2.9758220000000001E-6</v>
      </c>
      <c r="I5335">
        <v>17.521879999999999</v>
      </c>
      <c r="J5335">
        <v>-369.68029999999999</v>
      </c>
      <c r="K5335">
        <v>1.109885</v>
      </c>
      <c r="L5335">
        <v>17.34628</v>
      </c>
      <c r="M5335">
        <v>0.99991890000000005</v>
      </c>
      <c r="N5335">
        <v>0</v>
      </c>
      <c r="O5335">
        <v>4.9437719999999999E-3</v>
      </c>
      <c r="P5335">
        <v>0.98850669999999996</v>
      </c>
      <c r="Q5335">
        <v>0.1508031</v>
      </c>
      <c r="R5335">
        <v>-1.063181E-2</v>
      </c>
      <c r="S5335">
        <v>3.067993</v>
      </c>
      <c r="T5335">
        <v>-0.21410580000000001</v>
      </c>
      <c r="U5335">
        <v>3.3996579999999998E-2</v>
      </c>
      <c r="V5335">
        <v>1.5543100000000001E-2</v>
      </c>
      <c r="W5335">
        <v>0.16239960000000001</v>
      </c>
      <c r="X5335">
        <v>0.98660270000000005</v>
      </c>
      <c r="Y5335">
        <v>-6.133533E-3</v>
      </c>
      <c r="Z5335">
        <v>-1.3084770000000001E-4</v>
      </c>
      <c r="AA5335">
        <v>0.99998120000000001</v>
      </c>
      <c r="AB5335">
        <v>23</v>
      </c>
      <c r="AC5335">
        <v>15.7922999999999</v>
      </c>
      <c r="AD5335">
        <v>-1.1098879758219999</v>
      </c>
      <c r="AE5335">
        <v>0.17559999999999901</v>
      </c>
      <c r="AF5335">
        <v>-9.7039694014529096E-2</v>
      </c>
      <c r="AG5335">
        <v>-1.1098879758219999</v>
      </c>
      <c r="AH5335">
        <v>15.715361502232399</v>
      </c>
      <c r="AI5335">
        <v>94.039695665415806</v>
      </c>
      <c r="AJ5335">
        <v>90.353787232235504</v>
      </c>
      <c r="AK5335">
        <v>15.7548041932275</v>
      </c>
      <c r="AL5335">
        <v>80.653795377162396</v>
      </c>
      <c r="AM5335">
        <v>89.097427601912898</v>
      </c>
      <c r="AN5335">
        <v>1.0000000528425199</v>
      </c>
    </row>
    <row r="5336" spans="1:40" x14ac:dyDescent="0.25">
      <c r="A5336" t="str">
        <f>"20190312173035290"</f>
        <v>20190312173035290</v>
      </c>
      <c r="B5336" t="str">
        <f>"1552383035283438"</f>
        <v>1552383035283438</v>
      </c>
      <c r="C5336" t="s">
        <v>40</v>
      </c>
      <c r="D5336">
        <v>3.3550420000000001</v>
      </c>
      <c r="E5336">
        <v>0.49546970000000001</v>
      </c>
      <c r="F5336" t="s">
        <v>41</v>
      </c>
      <c r="G5336">
        <v>-353.7817</v>
      </c>
      <c r="H5336" s="1">
        <v>-3.0206220000000001E-6</v>
      </c>
      <c r="I5336">
        <v>17.526489999999999</v>
      </c>
      <c r="J5336">
        <v>-369.57089999999999</v>
      </c>
      <c r="K5336">
        <v>1.1098779999999999</v>
      </c>
      <c r="L5336">
        <v>17.346769999999999</v>
      </c>
      <c r="M5336">
        <v>0.99991940000000001</v>
      </c>
      <c r="N5336">
        <v>0</v>
      </c>
      <c r="O5336">
        <v>4.9095179999999999E-3</v>
      </c>
      <c r="P5336">
        <v>0.98853630000000003</v>
      </c>
      <c r="Q5336">
        <v>0.15063409999999999</v>
      </c>
      <c r="R5336">
        <v>-1.0259600000000001E-2</v>
      </c>
      <c r="S5336">
        <v>3.0679319999999999</v>
      </c>
      <c r="T5336">
        <v>-0.21417340000000001</v>
      </c>
      <c r="U5336">
        <v>3.4790040000000001E-2</v>
      </c>
      <c r="V5336">
        <v>1.5137299999999999E-2</v>
      </c>
      <c r="W5336">
        <v>0.16218829999999901</v>
      </c>
      <c r="X5336">
        <v>0.98664370000000001</v>
      </c>
      <c r="Y5336">
        <v>-6.4258060000000001E-3</v>
      </c>
      <c r="Z5336">
        <v>-1.183137E-4</v>
      </c>
      <c r="AA5336">
        <v>0.99997939999999996</v>
      </c>
      <c r="AB5336">
        <v>23</v>
      </c>
      <c r="AC5336">
        <v>15.7891999999999</v>
      </c>
      <c r="AD5336">
        <v>-1.109881020622</v>
      </c>
      <c r="AE5336">
        <v>0.17971999999999599</v>
      </c>
      <c r="AF5336">
        <v>-0.10169273891769399</v>
      </c>
      <c r="AG5336">
        <v>-1.109881020622</v>
      </c>
      <c r="AH5336">
        <v>15.7122646711187</v>
      </c>
      <c r="AI5336">
        <v>94.040456429946801</v>
      </c>
      <c r="AJ5336">
        <v>90.370823908223997</v>
      </c>
      <c r="AK5336">
        <v>15.7517439792669</v>
      </c>
      <c r="AL5336">
        <v>80.666064011411507</v>
      </c>
      <c r="AM5336">
        <v>89.121024780094501</v>
      </c>
      <c r="AN5336">
        <v>0.99999998662893397</v>
      </c>
    </row>
    <row r="5337" spans="1:40" x14ac:dyDescent="0.25">
      <c r="A5337" t="str">
        <f>"20190312173035301"</f>
        <v>20190312173035301</v>
      </c>
      <c r="B5337" t="str">
        <f>"1552383035293197"</f>
        <v>1552383035293197</v>
      </c>
      <c r="C5337" t="s">
        <v>40</v>
      </c>
      <c r="D5337">
        <v>3.3456220000000001</v>
      </c>
      <c r="E5337">
        <v>0.49549929999999998</v>
      </c>
      <c r="F5337" t="s">
        <v>41</v>
      </c>
      <c r="G5337">
        <v>-353.69560000000001</v>
      </c>
      <c r="H5337" s="1">
        <v>-3.0567290000000001E-6</v>
      </c>
      <c r="I5337">
        <v>17.531300000000002</v>
      </c>
      <c r="J5337">
        <v>-369.45370000000003</v>
      </c>
      <c r="K5337">
        <v>1.1098709999999901</v>
      </c>
      <c r="L5337">
        <v>17.34732</v>
      </c>
      <c r="M5337">
        <v>0.99992020000000004</v>
      </c>
      <c r="N5337">
        <v>0</v>
      </c>
      <c r="O5337">
        <v>4.8722979999999997E-3</v>
      </c>
      <c r="P5337">
        <v>0.98854880000000001</v>
      </c>
      <c r="Q5337">
        <v>0.15056910000000001</v>
      </c>
      <c r="R5337">
        <v>-1.003831E-2</v>
      </c>
      <c r="S5337">
        <v>3.0678709999999998</v>
      </c>
      <c r="T5337">
        <v>-0.2144819</v>
      </c>
      <c r="U5337">
        <v>3.567505E-2</v>
      </c>
      <c r="V5337">
        <v>1.487926E-2</v>
      </c>
      <c r="W5337">
        <v>0.16207820000000001</v>
      </c>
      <c r="X5337">
        <v>0.98666569999999998</v>
      </c>
      <c r="Y5337">
        <v>-6.7507940000000001E-3</v>
      </c>
      <c r="Z5337">
        <v>-1.045404E-4</v>
      </c>
      <c r="AA5337">
        <v>0.99997720000000001</v>
      </c>
      <c r="AB5337">
        <v>23</v>
      </c>
      <c r="AC5337">
        <v>15.758100000000001</v>
      </c>
      <c r="AD5337">
        <v>-1.10987405672899</v>
      </c>
      <c r="AE5337">
        <v>0.183980000000001</v>
      </c>
      <c r="AF5337">
        <v>-0.106665382082795</v>
      </c>
      <c r="AG5337">
        <v>-1.10987405672899</v>
      </c>
      <c r="AH5337">
        <v>15.681031690231199</v>
      </c>
      <c r="AI5337">
        <v>94.048443194501601</v>
      </c>
      <c r="AJ5337">
        <v>90.389730859415906</v>
      </c>
      <c r="AK5337">
        <v>15.7206218959547</v>
      </c>
      <c r="AL5337">
        <v>80.672456699531097</v>
      </c>
      <c r="AM5337">
        <v>89.136025319024895</v>
      </c>
      <c r="AN5337">
        <v>0.99999996942493796</v>
      </c>
    </row>
    <row r="5338" spans="1:40" x14ac:dyDescent="0.25">
      <c r="A5338" t="str">
        <f>"20190312173035311"</f>
        <v>20190312173035311</v>
      </c>
      <c r="B5338" t="str">
        <f>"1552383035302957"</f>
        <v>1552383035302957</v>
      </c>
      <c r="C5338" t="s">
        <v>40</v>
      </c>
      <c r="D5338">
        <v>3.302082</v>
      </c>
      <c r="E5338">
        <v>0.49552459999999998</v>
      </c>
      <c r="F5338" t="s">
        <v>41</v>
      </c>
      <c r="G5338">
        <v>-353.58690000000001</v>
      </c>
      <c r="H5338" s="1">
        <v>-3.1029700000000002E-6</v>
      </c>
      <c r="I5338">
        <v>17.533329999999999</v>
      </c>
      <c r="J5338">
        <v>-369.35019999999997</v>
      </c>
      <c r="K5338">
        <v>1.1098619999999999</v>
      </c>
      <c r="L5338">
        <v>17.34778</v>
      </c>
      <c r="M5338">
        <v>0.9999209</v>
      </c>
      <c r="N5338">
        <v>0</v>
      </c>
      <c r="O5338">
        <v>4.8395809999999999E-3</v>
      </c>
      <c r="P5338">
        <v>0.98858919999999995</v>
      </c>
      <c r="Q5338">
        <v>0.1503266</v>
      </c>
      <c r="R5338">
        <v>-9.6752810000000009E-3</v>
      </c>
      <c r="S5338">
        <v>3.0678100000000001</v>
      </c>
      <c r="T5338">
        <v>-0.21459159999999999</v>
      </c>
      <c r="U5338">
        <v>3.598022E-2</v>
      </c>
      <c r="V5338">
        <v>1.448412E-2</v>
      </c>
      <c r="W5338">
        <v>0.16179540000000001</v>
      </c>
      <c r="X5338">
        <v>0.98671799999999998</v>
      </c>
      <c r="Y5338">
        <v>-6.882801E-3</v>
      </c>
      <c r="Z5338" s="1">
        <v>-9.7698680000000006E-5</v>
      </c>
      <c r="AA5338">
        <v>0.99997630000000004</v>
      </c>
      <c r="AB5338">
        <v>23</v>
      </c>
      <c r="AC5338">
        <v>15.7632999999999</v>
      </c>
      <c r="AD5338">
        <v>-1.10986510297</v>
      </c>
      <c r="AE5338">
        <v>0.18554999999999899</v>
      </c>
      <c r="AF5338">
        <v>-0.108716053770675</v>
      </c>
      <c r="AG5338">
        <v>-1.10986510297</v>
      </c>
      <c r="AH5338">
        <v>15.686262519384499</v>
      </c>
      <c r="AI5338">
        <v>94.047061565915897</v>
      </c>
      <c r="AJ5338">
        <v>90.397090849875994</v>
      </c>
      <c r="AK5338">
        <v>15.725852967460501</v>
      </c>
      <c r="AL5338">
        <v>80.688876736736105</v>
      </c>
      <c r="AM5338">
        <v>89.159010631770201</v>
      </c>
      <c r="AN5338">
        <v>0.999999976358666</v>
      </c>
    </row>
    <row r="5339" spans="1:40" x14ac:dyDescent="0.25">
      <c r="A5339" t="str">
        <f>"20190312173035322"</f>
        <v>20190312173035322</v>
      </c>
      <c r="B5339" t="str">
        <f>"1552383035312717"</f>
        <v>1552383035312717</v>
      </c>
      <c r="C5339" t="s">
        <v>40</v>
      </c>
      <c r="D5339">
        <v>3.33745</v>
      </c>
      <c r="E5339">
        <v>0.49555559999999998</v>
      </c>
      <c r="F5339" t="s">
        <v>41</v>
      </c>
      <c r="G5339">
        <v>-353.524</v>
      </c>
      <c r="H5339" s="1">
        <v>-3.1293369999999998E-6</v>
      </c>
      <c r="I5339">
        <v>17.53678</v>
      </c>
      <c r="J5339">
        <v>-369.2278</v>
      </c>
      <c r="K5339">
        <v>1.109855</v>
      </c>
      <c r="L5339">
        <v>17.34836</v>
      </c>
      <c r="M5339">
        <v>0.99992170000000002</v>
      </c>
      <c r="N5339">
        <v>0</v>
      </c>
      <c r="O5339">
        <v>4.8010079999999998E-3</v>
      </c>
      <c r="P5339">
        <v>0.98859430000000004</v>
      </c>
      <c r="Q5339">
        <v>0.15032029999999999</v>
      </c>
      <c r="R5339">
        <v>-9.2360180000000004E-3</v>
      </c>
      <c r="S5339">
        <v>3.067688</v>
      </c>
      <c r="T5339">
        <v>-0.21513260000000001</v>
      </c>
      <c r="U5339">
        <v>3.6651610000000001E-2</v>
      </c>
      <c r="V5339">
        <v>1.4006960000000001E-2</v>
      </c>
      <c r="W5339">
        <v>0.16174079999999999</v>
      </c>
      <c r="X5339">
        <v>0.98673390000000005</v>
      </c>
      <c r="Y5339">
        <v>-7.1399139999999998E-3</v>
      </c>
      <c r="Z5339" s="1">
        <v>-8.6242069999999997E-5</v>
      </c>
      <c r="AA5339">
        <v>0.99997449999999999</v>
      </c>
      <c r="AB5339">
        <v>23</v>
      </c>
      <c r="AC5339">
        <v>15.703799999999999</v>
      </c>
      <c r="AD5339">
        <v>-1.109858129337</v>
      </c>
      <c r="AE5339">
        <v>0.18842</v>
      </c>
      <c r="AF5339">
        <v>-0.112457094720085</v>
      </c>
      <c r="AG5339">
        <v>-1.109858129337</v>
      </c>
      <c r="AH5339">
        <v>15.626482422145401</v>
      </c>
      <c r="AI5339">
        <v>94.062459071187902</v>
      </c>
      <c r="AJ5339">
        <v>90.412326043613604</v>
      </c>
      <c r="AK5339">
        <v>15.666249856140601</v>
      </c>
      <c r="AL5339">
        <v>80.692047394516905</v>
      </c>
      <c r="AM5339">
        <v>89.186725222634394</v>
      </c>
      <c r="AN5339">
        <v>1.00000003536114</v>
      </c>
    </row>
    <row r="5340" spans="1:40" x14ac:dyDescent="0.25">
      <c r="A5340" t="str">
        <f>"20190312173035334"</f>
        <v>20190312173035334</v>
      </c>
      <c r="B5340" t="str">
        <f>"1552383035323453"</f>
        <v>1552383035323453</v>
      </c>
      <c r="C5340" t="s">
        <v>40</v>
      </c>
      <c r="D5340">
        <v>3.3130649999999999</v>
      </c>
      <c r="E5340">
        <v>0.49559409999999998</v>
      </c>
      <c r="F5340" t="s">
        <v>41</v>
      </c>
      <c r="G5340">
        <v>-353.3965</v>
      </c>
      <c r="H5340" s="1">
        <v>-3.183059E-6</v>
      </c>
      <c r="I5340">
        <v>17.542300000000001</v>
      </c>
      <c r="J5340">
        <v>-369.10930000000002</v>
      </c>
      <c r="K5340">
        <v>1.1098460000000001</v>
      </c>
      <c r="L5340">
        <v>17.348879999999902</v>
      </c>
      <c r="M5340">
        <v>0.99992239999999999</v>
      </c>
      <c r="N5340">
        <v>0</v>
      </c>
      <c r="O5340">
        <v>4.7638000000000003E-3</v>
      </c>
      <c r="P5340">
        <v>0.98855630000000005</v>
      </c>
      <c r="Q5340">
        <v>0.15059239999999999</v>
      </c>
      <c r="R5340">
        <v>-8.8720039999999993E-3</v>
      </c>
      <c r="S5340">
        <v>3.0676269999999999</v>
      </c>
      <c r="T5340">
        <v>-0.21505750000000001</v>
      </c>
      <c r="U5340">
        <v>3.7597659999999998E-2</v>
      </c>
      <c r="V5340">
        <v>1.360579E-2</v>
      </c>
      <c r="W5340">
        <v>0.16196479999999999</v>
      </c>
      <c r="X5340">
        <v>0.98670270000000004</v>
      </c>
      <c r="Y5340">
        <v>-7.4847739999999996E-3</v>
      </c>
      <c r="Z5340" s="1">
        <v>-7.1534919999999898E-5</v>
      </c>
      <c r="AA5340">
        <v>0.99997199999999997</v>
      </c>
      <c r="AB5340">
        <v>23</v>
      </c>
      <c r="AC5340">
        <v>15.7128</v>
      </c>
      <c r="AD5340">
        <v>-1.1098491830589901</v>
      </c>
      <c r="AE5340">
        <v>0.19342000000000301</v>
      </c>
      <c r="AF5340">
        <v>-0.11797172723340001</v>
      </c>
      <c r="AG5340">
        <v>-1.1098491830589901</v>
      </c>
      <c r="AH5340">
        <v>15.635547924284801</v>
      </c>
      <c r="AI5340">
        <v>94.060068521260803</v>
      </c>
      <c r="AJ5340">
        <v>90.432294016443393</v>
      </c>
      <c r="AK5340">
        <v>15.675332259004</v>
      </c>
      <c r="AL5340">
        <v>80.679041006991596</v>
      </c>
      <c r="AM5340">
        <v>89.209990059555693</v>
      </c>
      <c r="AN5340">
        <v>0.99999996607392605</v>
      </c>
    </row>
    <row r="5341" spans="1:40" x14ac:dyDescent="0.25">
      <c r="A5341" t="str">
        <f>"20190312173035347"</f>
        <v>20190312173035347</v>
      </c>
      <c r="B5341" t="str">
        <f>"1552383035343482"</f>
        <v>1552383035343482</v>
      </c>
      <c r="C5341" t="s">
        <v>40</v>
      </c>
      <c r="D5341">
        <v>3.3745199999999902</v>
      </c>
      <c r="E5341">
        <v>0.4956526</v>
      </c>
      <c r="F5341" t="s">
        <v>41</v>
      </c>
      <c r="G5341">
        <v>-353.2079</v>
      </c>
      <c r="H5341" s="1">
        <v>-3.2633109999999998E-6</v>
      </c>
      <c r="I5341">
        <v>17.546050000000001</v>
      </c>
      <c r="J5341">
        <v>-368.9803</v>
      </c>
      <c r="K5341">
        <v>1.1098410000000001</v>
      </c>
      <c r="L5341">
        <v>17.349460000000001</v>
      </c>
      <c r="M5341">
        <v>0.99992329999999996</v>
      </c>
      <c r="N5341">
        <v>0</v>
      </c>
      <c r="O5341">
        <v>4.7230980000000002E-3</v>
      </c>
      <c r="P5341">
        <v>0.98852810000000002</v>
      </c>
      <c r="Q5341">
        <v>0.15079300000000001</v>
      </c>
      <c r="R5341">
        <v>-8.5844530000000006E-3</v>
      </c>
      <c r="S5341">
        <v>3.067688</v>
      </c>
      <c r="T5341">
        <v>-0.214111</v>
      </c>
      <c r="U5341">
        <v>3.805542E-2</v>
      </c>
      <c r="V5341">
        <v>1.32782E-2</v>
      </c>
      <c r="W5341">
        <v>0.16211300000000001</v>
      </c>
      <c r="X5341">
        <v>0.98668279999999997</v>
      </c>
      <c r="Y5341">
        <v>-7.6739319999999996E-3</v>
      </c>
      <c r="Z5341" s="1">
        <v>-6.1788890000000007E-5</v>
      </c>
      <c r="AA5341">
        <v>0.99997060000000004</v>
      </c>
      <c r="AB5341">
        <v>23</v>
      </c>
      <c r="AC5341">
        <v>15.772399999999999</v>
      </c>
      <c r="AD5341">
        <v>-1.1098442633109999</v>
      </c>
      <c r="AE5341">
        <v>0.19658999999999999</v>
      </c>
      <c r="AF5341">
        <v>-0.12148689549995099</v>
      </c>
      <c r="AG5341">
        <v>-1.1098442633109999</v>
      </c>
      <c r="AH5341">
        <v>15.695450157165601</v>
      </c>
      <c r="AI5341">
        <v>94.044600770941997</v>
      </c>
      <c r="AJ5341">
        <v>90.443475485242203</v>
      </c>
      <c r="AK5341">
        <v>15.735109436882</v>
      </c>
      <c r="AL5341">
        <v>80.670435821809903</v>
      </c>
      <c r="AM5341">
        <v>89.228993453656699</v>
      </c>
      <c r="AN5341">
        <v>0.99999994159003802</v>
      </c>
    </row>
    <row r="5342" spans="1:40" x14ac:dyDescent="0.25">
      <c r="A5342" t="str">
        <f>"20190312173035367"</f>
        <v>20190312173035367</v>
      </c>
      <c r="B5342" t="str">
        <f>"1552383035363003"</f>
        <v>1552383035363003</v>
      </c>
      <c r="C5342" t="s">
        <v>40</v>
      </c>
      <c r="D5342">
        <v>3.3868580000000001</v>
      </c>
      <c r="E5342">
        <v>0.49568479999999998</v>
      </c>
      <c r="F5342" t="s">
        <v>41</v>
      </c>
      <c r="G5342">
        <v>-352.9794</v>
      </c>
      <c r="H5342" s="1">
        <v>-3.3605630000000001E-6</v>
      </c>
      <c r="I5342">
        <v>17.550419999999999</v>
      </c>
      <c r="J5342">
        <v>-368.7715</v>
      </c>
      <c r="K5342">
        <v>1.109834</v>
      </c>
      <c r="L5342">
        <v>17.3504</v>
      </c>
      <c r="M5342">
        <v>0.99992449999999999</v>
      </c>
      <c r="N5342">
        <v>0</v>
      </c>
      <c r="O5342">
        <v>4.657301E-3</v>
      </c>
      <c r="P5342">
        <v>0.98840059999999996</v>
      </c>
      <c r="Q5342">
        <v>0.15163699999999999</v>
      </c>
      <c r="R5342">
        <v>-8.4174369999999998E-3</v>
      </c>
      <c r="S5342">
        <v>3.0675659999999998</v>
      </c>
      <c r="T5342">
        <v>-0.21276999999999999</v>
      </c>
      <c r="U5342">
        <v>3.8543699999999903E-2</v>
      </c>
      <c r="V5342">
        <v>1.3045609999999999E-2</v>
      </c>
      <c r="W5342">
        <v>0.1628733</v>
      </c>
      <c r="X5342">
        <v>0.98656080000000002</v>
      </c>
      <c r="Y5342">
        <v>-7.8987659999999998E-3</v>
      </c>
      <c r="Z5342" s="1">
        <v>-4.9058869999999997E-5</v>
      </c>
      <c r="AA5342">
        <v>0.99996879999999999</v>
      </c>
      <c r="AB5342">
        <v>23</v>
      </c>
      <c r="AC5342">
        <v>15.7921</v>
      </c>
      <c r="AD5342">
        <v>-1.1098373605630001</v>
      </c>
      <c r="AE5342">
        <v>0.200020000000002</v>
      </c>
      <c r="AF5342">
        <v>-0.12584307272939199</v>
      </c>
      <c r="AG5342">
        <v>-1.1098373605630001</v>
      </c>
      <c r="AH5342">
        <v>15.715255146855799</v>
      </c>
      <c r="AI5342">
        <v>94.039486970209595</v>
      </c>
      <c r="AJ5342">
        <v>90.458797695065002</v>
      </c>
      <c r="AK5342">
        <v>15.7548982788412</v>
      </c>
      <c r="AL5342">
        <v>80.626288167266097</v>
      </c>
      <c r="AM5342">
        <v>89.242403678689897</v>
      </c>
      <c r="AN5342">
        <v>1.0000000559448901</v>
      </c>
    </row>
    <row r="5343" spans="1:40" x14ac:dyDescent="0.25">
      <c r="A5343" t="str">
        <f>"20190312173035379"</f>
        <v>20190312173035379</v>
      </c>
      <c r="B5343" t="str">
        <f>"1552383035372762"</f>
        <v>1552383035372762</v>
      </c>
      <c r="C5343" t="s">
        <v>40</v>
      </c>
      <c r="D5343">
        <v>3.3569710000000001</v>
      </c>
      <c r="E5343">
        <v>0.49570019999999998</v>
      </c>
      <c r="F5343" t="s">
        <v>41</v>
      </c>
      <c r="G5343">
        <v>-352.47050000000002</v>
      </c>
      <c r="H5343" s="1">
        <v>-3.577868E-6</v>
      </c>
      <c r="I5343">
        <v>17.55611</v>
      </c>
      <c r="J5343">
        <v>-368.6404</v>
      </c>
      <c r="K5343">
        <v>1.109828</v>
      </c>
      <c r="L5343">
        <v>17.350950000000001</v>
      </c>
      <c r="M5343">
        <v>0.99992530000000002</v>
      </c>
      <c r="N5343">
        <v>0</v>
      </c>
      <c r="O5343">
        <v>4.6158630000000004E-3</v>
      </c>
      <c r="P5343">
        <v>0.98836930000000001</v>
      </c>
      <c r="Q5343">
        <v>0.15184810000000001</v>
      </c>
      <c r="R5343">
        <v>-8.2918709999999993E-3</v>
      </c>
      <c r="S5343">
        <v>3.067596</v>
      </c>
      <c r="T5343">
        <v>-0.20885380000000001</v>
      </c>
      <c r="U5343">
        <v>3.872681E-2</v>
      </c>
      <c r="V5343">
        <v>1.2878850000000001E-2</v>
      </c>
      <c r="W5343">
        <v>0.1630356</v>
      </c>
      <c r="X5343">
        <v>0.98653610000000003</v>
      </c>
      <c r="Y5343">
        <v>-7.9997169999999999E-3</v>
      </c>
      <c r="Z5343" s="1">
        <v>-4.1906809999999997E-5</v>
      </c>
      <c r="AA5343">
        <v>0.99996799999999997</v>
      </c>
      <c r="AB5343">
        <v>23</v>
      </c>
      <c r="AC5343">
        <v>16.169899999999899</v>
      </c>
      <c r="AD5343">
        <v>-1.1098315778679999</v>
      </c>
      <c r="AE5343">
        <v>0.20515999999999901</v>
      </c>
      <c r="AF5343">
        <v>-0.12990313442707799</v>
      </c>
      <c r="AG5343">
        <v>-1.1098315778679999</v>
      </c>
      <c r="AH5343">
        <v>16.094866433841901</v>
      </c>
      <c r="AI5343">
        <v>93.944494071380106</v>
      </c>
      <c r="AJ5343">
        <v>90.462429419260403</v>
      </c>
      <c r="AK5343">
        <v>16.133608600644202</v>
      </c>
      <c r="AL5343">
        <v>80.616862308592303</v>
      </c>
      <c r="AM5343">
        <v>89.252068083795805</v>
      </c>
      <c r="AN5343">
        <v>0.99999997412394503</v>
      </c>
    </row>
    <row r="5344" spans="1:40" x14ac:dyDescent="0.25">
      <c r="A5344" t="str">
        <f>"20190312173035392"</f>
        <v>20190312173035392</v>
      </c>
      <c r="B5344" t="str">
        <f>"1552383035383498"</f>
        <v>1552383035383498</v>
      </c>
      <c r="C5344" t="s">
        <v>40</v>
      </c>
      <c r="D5344">
        <v>3.3731779999999998</v>
      </c>
      <c r="E5344">
        <v>0.49573240000000002</v>
      </c>
      <c r="F5344" t="s">
        <v>41</v>
      </c>
      <c r="G5344">
        <v>-352.25009999999997</v>
      </c>
      <c r="H5344" s="1">
        <v>-3.6718909999999999E-6</v>
      </c>
      <c r="I5344">
        <v>17.559100000000001</v>
      </c>
      <c r="J5344">
        <v>-368.51569999999998</v>
      </c>
      <c r="K5344">
        <v>1.1098269999999999</v>
      </c>
      <c r="L5344">
        <v>17.351500000000001</v>
      </c>
      <c r="M5344">
        <v>0.99992590000000003</v>
      </c>
      <c r="N5344">
        <v>0</v>
      </c>
      <c r="O5344">
        <v>4.5767859999999898E-3</v>
      </c>
      <c r="P5344">
        <v>0.98835490000000004</v>
      </c>
      <c r="Q5344">
        <v>0.15194730000000001</v>
      </c>
      <c r="R5344">
        <v>-8.1638319999999993E-3</v>
      </c>
      <c r="S5344">
        <v>3.0675349999999999</v>
      </c>
      <c r="T5344">
        <v>-0.2077118</v>
      </c>
      <c r="U5344">
        <v>3.8970949999999997E-2</v>
      </c>
      <c r="V5344">
        <v>1.271239E-2</v>
      </c>
      <c r="W5344">
        <v>0.1630897</v>
      </c>
      <c r="X5344">
        <v>0.9865294</v>
      </c>
      <c r="Y5344">
        <v>-8.1183439999999996E-3</v>
      </c>
      <c r="Z5344" s="1">
        <v>-3.5024280000000001E-5</v>
      </c>
      <c r="AA5344">
        <v>0.99996700000000005</v>
      </c>
      <c r="AB5344">
        <v>23</v>
      </c>
      <c r="AC5344">
        <v>16.265599999999999</v>
      </c>
      <c r="AD5344">
        <v>-1.109830671891</v>
      </c>
      <c r="AE5344">
        <v>0.20759999999999901</v>
      </c>
      <c r="AF5344">
        <v>-0.132532006064814</v>
      </c>
      <c r="AG5344">
        <v>-1.109830671891</v>
      </c>
      <c r="AH5344">
        <v>16.191013629782599</v>
      </c>
      <c r="AI5344">
        <v>93.921136917911099</v>
      </c>
      <c r="AJ5344">
        <v>90.468985770894605</v>
      </c>
      <c r="AK5344">
        <v>16.229547474058201</v>
      </c>
      <c r="AL5344">
        <v>80.613721333006396</v>
      </c>
      <c r="AM5344">
        <v>89.261729063638299</v>
      </c>
      <c r="AN5344">
        <v>1.00000005608497</v>
      </c>
    </row>
    <row r="5345" spans="1:40" x14ac:dyDescent="0.25">
      <c r="A5345" t="str">
        <f>"20190312173035403"</f>
        <v>20190312173035403</v>
      </c>
      <c r="B5345" t="str">
        <f>"1552383035393259"</f>
        <v>1552383035393259</v>
      </c>
      <c r="C5345" t="s">
        <v>40</v>
      </c>
      <c r="D5345">
        <v>3.3583249999999998</v>
      </c>
      <c r="E5345">
        <v>0.49576039999999999</v>
      </c>
      <c r="F5345" t="s">
        <v>41</v>
      </c>
      <c r="G5345">
        <v>-352.06040000000002</v>
      </c>
      <c r="H5345" s="1">
        <v>-3.7530299999999999E-6</v>
      </c>
      <c r="I5345">
        <v>17.560469999999999</v>
      </c>
      <c r="J5345">
        <v>-368.3997</v>
      </c>
      <c r="K5345">
        <v>1.109823</v>
      </c>
      <c r="L5345">
        <v>17.351959999999998</v>
      </c>
      <c r="M5345">
        <v>0.99992639999999999</v>
      </c>
      <c r="N5345">
        <v>0</v>
      </c>
      <c r="O5345">
        <v>4.5404900000000003E-3</v>
      </c>
      <c r="P5345">
        <v>0.98833300000000002</v>
      </c>
      <c r="Q5345">
        <v>0.15210689999999999</v>
      </c>
      <c r="R5345">
        <v>-7.8341090000000006E-3</v>
      </c>
      <c r="S5345">
        <v>3.0674739999999998</v>
      </c>
      <c r="T5345">
        <v>-0.20688619999999999</v>
      </c>
      <c r="U5345">
        <v>3.8970949999999997E-2</v>
      </c>
      <c r="V5345">
        <v>1.234677E-2</v>
      </c>
      <c r="W5345">
        <v>0.163208299999999</v>
      </c>
      <c r="X5345">
        <v>0.98651440000000001</v>
      </c>
      <c r="Y5345">
        <v>-8.1547949999999994E-3</v>
      </c>
      <c r="Z5345" s="1">
        <v>-3.1213039999999997E-5</v>
      </c>
      <c r="AA5345">
        <v>0.99996669999999999</v>
      </c>
      <c r="AB5345">
        <v>23</v>
      </c>
      <c r="AC5345">
        <v>16.339299999999898</v>
      </c>
      <c r="AD5345">
        <v>-1.1098267530299999</v>
      </c>
      <c r="AE5345">
        <v>0.20851</v>
      </c>
      <c r="AF5345">
        <v>-0.133697992694357</v>
      </c>
      <c r="AG5345">
        <v>-1.1098267530299999</v>
      </c>
      <c r="AH5345">
        <v>16.265049522440801</v>
      </c>
      <c r="AI5345">
        <v>93.903328992769701</v>
      </c>
      <c r="AJ5345">
        <v>90.470958184106905</v>
      </c>
      <c r="AK5345">
        <v>16.303417633810501</v>
      </c>
      <c r="AL5345">
        <v>80.606833491662698</v>
      </c>
      <c r="AM5345">
        <v>89.282949261878699</v>
      </c>
      <c r="AN5345">
        <v>1.0000000266628399</v>
      </c>
    </row>
    <row r="5346" spans="1:40" x14ac:dyDescent="0.25">
      <c r="A5346" t="str">
        <f>"20190312173035413"</f>
        <v>20190312173035413</v>
      </c>
      <c r="B5346" t="str">
        <f>"1552383035403018"</f>
        <v>1552383035403018</v>
      </c>
      <c r="C5346" t="s">
        <v>40</v>
      </c>
      <c r="D5346">
        <v>3.325701</v>
      </c>
      <c r="E5346">
        <v>0.49580400000000002</v>
      </c>
      <c r="F5346" t="s">
        <v>41</v>
      </c>
      <c r="G5346">
        <v>-351.86959999999999</v>
      </c>
      <c r="H5346" s="1">
        <v>-3.8342560000000003E-6</v>
      </c>
      <c r="I5346">
        <v>17.564029999999999</v>
      </c>
      <c r="J5346">
        <v>-368.28399999999999</v>
      </c>
      <c r="K5346">
        <v>1.1098220000000001</v>
      </c>
      <c r="L5346">
        <v>17.352450000000001</v>
      </c>
      <c r="M5346">
        <v>0.99992720000000002</v>
      </c>
      <c r="N5346">
        <v>0</v>
      </c>
      <c r="O5346">
        <v>4.5038989999999996E-3</v>
      </c>
      <c r="P5346">
        <v>0.98832180000000003</v>
      </c>
      <c r="Q5346">
        <v>0.1521921</v>
      </c>
      <c r="R5346">
        <v>-7.59708E-3</v>
      </c>
      <c r="S5346">
        <v>3.0674130000000002</v>
      </c>
      <c r="T5346">
        <v>-0.20594570000000001</v>
      </c>
      <c r="U5346">
        <v>3.9367680000000002E-2</v>
      </c>
      <c r="V5346">
        <v>1.2073560000000001E-2</v>
      </c>
      <c r="W5346">
        <v>0.1632507</v>
      </c>
      <c r="X5346">
        <v>0.98651080000000002</v>
      </c>
      <c r="Y5346">
        <v>-8.3205759999999997E-3</v>
      </c>
      <c r="Z5346" s="1">
        <v>-2.305914E-5</v>
      </c>
      <c r="AA5346">
        <v>0.9999654</v>
      </c>
      <c r="AB5346">
        <v>23</v>
      </c>
      <c r="AC5346">
        <v>16.414400000000001</v>
      </c>
      <c r="AD5346">
        <v>-1.1098258342559999</v>
      </c>
      <c r="AE5346">
        <v>0.21157999999999699</v>
      </c>
      <c r="AF5346">
        <v>-0.13701814587160699</v>
      </c>
      <c r="AG5346">
        <v>-1.1098258342559999</v>
      </c>
      <c r="AH5346">
        <v>16.340498154462999</v>
      </c>
      <c r="AI5346">
        <v>93.885353043912602</v>
      </c>
      <c r="AJ5346">
        <v>90.480424612157805</v>
      </c>
      <c r="AK5346">
        <v>16.378716900010499</v>
      </c>
      <c r="AL5346">
        <v>80.604371443780195</v>
      </c>
      <c r="AM5346">
        <v>89.298812039075798</v>
      </c>
      <c r="AN5346">
        <v>1.0000000602090999</v>
      </c>
    </row>
    <row r="5347" spans="1:40" x14ac:dyDescent="0.25">
      <c r="A5347" t="str">
        <f>"20190312173035427"</f>
        <v>20190312173035427</v>
      </c>
      <c r="B5347" t="str">
        <f>"1552383035423514"</f>
        <v>1552383035423514</v>
      </c>
      <c r="C5347" t="s">
        <v>40</v>
      </c>
      <c r="D5347">
        <v>3.3493460000000002</v>
      </c>
      <c r="E5347">
        <v>0.49590440000000002</v>
      </c>
      <c r="F5347" t="s">
        <v>41</v>
      </c>
      <c r="G5347">
        <v>-351.73759999999999</v>
      </c>
      <c r="H5347" s="1">
        <v>-3.890545E-6</v>
      </c>
      <c r="I5347">
        <v>17.56587</v>
      </c>
      <c r="J5347">
        <v>-368.15690000000001</v>
      </c>
      <c r="K5347">
        <v>1.1098170000000001</v>
      </c>
      <c r="L5347">
        <v>17.352999999999899</v>
      </c>
      <c r="M5347">
        <v>0.99992789999999998</v>
      </c>
      <c r="N5347">
        <v>0</v>
      </c>
      <c r="O5347">
        <v>4.4639939999999998E-3</v>
      </c>
      <c r="P5347">
        <v>0.98829599999999995</v>
      </c>
      <c r="Q5347">
        <v>0.152371799999999</v>
      </c>
      <c r="R5347">
        <v>-7.3500730000000004E-3</v>
      </c>
      <c r="S5347">
        <v>3.0674130000000002</v>
      </c>
      <c r="T5347">
        <v>-0.2057426</v>
      </c>
      <c r="U5347">
        <v>3.95813E-2</v>
      </c>
      <c r="V5347">
        <v>1.178702E-2</v>
      </c>
      <c r="W5347">
        <v>0.1633838</v>
      </c>
      <c r="X5347">
        <v>0.98649219999999904</v>
      </c>
      <c r="Y5347">
        <v>-8.4297929999999997E-3</v>
      </c>
      <c r="Z5347" s="1">
        <v>-1.6704089999999899E-5</v>
      </c>
      <c r="AA5347">
        <v>0.99996450000000003</v>
      </c>
      <c r="AB5347">
        <v>23</v>
      </c>
      <c r="AC5347">
        <v>16.4193</v>
      </c>
      <c r="AD5347">
        <v>-1.109820890545</v>
      </c>
      <c r="AE5347">
        <v>0.212870000000002</v>
      </c>
      <c r="AF5347">
        <v>-0.13893302522287401</v>
      </c>
      <c r="AG5347">
        <v>-1.109820890545</v>
      </c>
      <c r="AH5347">
        <v>16.345421250376301</v>
      </c>
      <c r="AI5347">
        <v>93.884165396519805</v>
      </c>
      <c r="AJ5347">
        <v>90.486991688074895</v>
      </c>
      <c r="AK5347">
        <v>16.383644302988301</v>
      </c>
      <c r="AL5347">
        <v>80.596641308158894</v>
      </c>
      <c r="AM5347">
        <v>89.315438719890295</v>
      </c>
      <c r="AN5347">
        <v>1.0000000303018699</v>
      </c>
    </row>
    <row r="5348" spans="1:40" x14ac:dyDescent="0.25">
      <c r="A5348" t="str">
        <f>"20190312173035447"</f>
        <v>20190312173035447</v>
      </c>
      <c r="B5348" t="str">
        <f>"1552383035443541"</f>
        <v>1552383035443541</v>
      </c>
      <c r="C5348" t="s">
        <v>40</v>
      </c>
      <c r="D5348">
        <v>3.2940930000000002</v>
      </c>
      <c r="E5348">
        <v>0.49602659999999998</v>
      </c>
      <c r="F5348" t="s">
        <v>41</v>
      </c>
      <c r="G5348">
        <v>-351.57209999999998</v>
      </c>
      <c r="H5348" s="1">
        <v>-3.9615019999999997E-6</v>
      </c>
      <c r="I5348">
        <v>17.566089999999999</v>
      </c>
      <c r="J5348">
        <v>-367.94819999999999</v>
      </c>
      <c r="K5348">
        <v>1.109807</v>
      </c>
      <c r="L5348">
        <v>17.353819999999999</v>
      </c>
      <c r="M5348">
        <v>0.99992899999999996</v>
      </c>
      <c r="N5348">
        <v>0</v>
      </c>
      <c r="O5348">
        <v>4.3985090000000001E-3</v>
      </c>
      <c r="P5348">
        <v>0.9882476</v>
      </c>
      <c r="Q5348">
        <v>0.15269369999999999</v>
      </c>
      <c r="R5348">
        <v>-7.1898319999999898E-3</v>
      </c>
      <c r="S5348">
        <v>3.0674739999999998</v>
      </c>
      <c r="T5348">
        <v>-0.20526910000000001</v>
      </c>
      <c r="U5348">
        <v>3.9428709999999999E-2</v>
      </c>
      <c r="V5348">
        <v>1.1561750000000001E-2</v>
      </c>
      <c r="W5348">
        <v>0.16362929999999901</v>
      </c>
      <c r="X5348">
        <v>0.9864541</v>
      </c>
      <c r="Y5348">
        <v>-8.4451549999999993E-3</v>
      </c>
      <c r="Z5348" s="1">
        <v>-1.17745899999999E-5</v>
      </c>
      <c r="AA5348">
        <v>0.99996439999999998</v>
      </c>
      <c r="AB5348">
        <v>23</v>
      </c>
      <c r="AC5348">
        <v>16.376100000000001</v>
      </c>
      <c r="AD5348">
        <v>-1.109810961502</v>
      </c>
      <c r="AE5348">
        <v>0.21226999999999599</v>
      </c>
      <c r="AF5348">
        <v>-0.139592095349518</v>
      </c>
      <c r="AG5348">
        <v>-1.109810961502</v>
      </c>
      <c r="AH5348">
        <v>16.3020160559795</v>
      </c>
      <c r="AI5348">
        <v>93.894438637832806</v>
      </c>
      <c r="AJ5348">
        <v>90.490604500605798</v>
      </c>
      <c r="AK5348">
        <v>16.340345584251502</v>
      </c>
      <c r="AL5348">
        <v>80.582382614151697</v>
      </c>
      <c r="AM5348">
        <v>89.328494708392597</v>
      </c>
      <c r="AN5348">
        <v>0.99999995664417995</v>
      </c>
    </row>
    <row r="5349" spans="1:40" x14ac:dyDescent="0.25">
      <c r="A5349" t="str">
        <f>"20190312173035461"</f>
        <v>20190312173035461</v>
      </c>
      <c r="B5349" t="str">
        <f>"1552383035453301"</f>
        <v>1552383035453301</v>
      </c>
      <c r="C5349" t="s">
        <v>40</v>
      </c>
      <c r="D5349">
        <v>3.3135520000000001</v>
      </c>
      <c r="E5349">
        <v>0.4960717</v>
      </c>
      <c r="F5349" t="s">
        <v>41</v>
      </c>
      <c r="G5349">
        <v>-351.29160000000002</v>
      </c>
      <c r="H5349" s="1">
        <v>-4.0823279999999998E-6</v>
      </c>
      <c r="I5349">
        <v>17.563359999999999</v>
      </c>
      <c r="J5349">
        <v>-367.80470000000003</v>
      </c>
      <c r="K5349">
        <v>1.109802</v>
      </c>
      <c r="L5349">
        <v>17.354429999999901</v>
      </c>
      <c r="M5349">
        <v>0.99992979999999998</v>
      </c>
      <c r="N5349">
        <v>0</v>
      </c>
      <c r="O5349">
        <v>4.3531919999999997E-3</v>
      </c>
      <c r="P5349">
        <v>0.98823749999999999</v>
      </c>
      <c r="Q5349">
        <v>0.15277009999999999</v>
      </c>
      <c r="R5349">
        <v>-6.9369990000000001E-3</v>
      </c>
      <c r="S5349">
        <v>3.0675349999999999</v>
      </c>
      <c r="T5349">
        <v>-0.20438609999999999</v>
      </c>
      <c r="U5349">
        <v>3.8604739999999999E-2</v>
      </c>
      <c r="V5349">
        <v>1.126416E-2</v>
      </c>
      <c r="W5349">
        <v>0.16365660000000001</v>
      </c>
      <c r="X5349">
        <v>0.98645309999999997</v>
      </c>
      <c r="Y5349">
        <v>-8.2221320000000001E-3</v>
      </c>
      <c r="Z5349" s="1">
        <v>-1.6129019999999999E-5</v>
      </c>
      <c r="AA5349">
        <v>0.99996620000000003</v>
      </c>
      <c r="AB5349">
        <v>23</v>
      </c>
      <c r="AC5349">
        <v>16.513100000000001</v>
      </c>
      <c r="AD5349">
        <v>-1.109806082328</v>
      </c>
      <c r="AE5349">
        <v>0.208930000000002</v>
      </c>
      <c r="AF5349">
        <v>-0.136422855079806</v>
      </c>
      <c r="AG5349">
        <v>-1.109806082328</v>
      </c>
      <c r="AH5349">
        <v>16.439609494738701</v>
      </c>
      <c r="AI5349">
        <v>93.861934335245707</v>
      </c>
      <c r="AJ5349">
        <v>90.475453775919704</v>
      </c>
      <c r="AK5349">
        <v>16.477592089721799</v>
      </c>
      <c r="AL5349">
        <v>80.580797869812201</v>
      </c>
      <c r="AM5349">
        <v>89.345776520773796</v>
      </c>
      <c r="AN5349">
        <v>1.00000004126183</v>
      </c>
    </row>
    <row r="5350" spans="1:40" x14ac:dyDescent="0.25">
      <c r="A5350" t="str">
        <f>"20190312173035478"</f>
        <v>20190312173035478</v>
      </c>
      <c r="B5350" t="str">
        <f>"1552383035472822"</f>
        <v>1552383035472822</v>
      </c>
      <c r="C5350" t="s">
        <v>40</v>
      </c>
      <c r="D5350">
        <v>3.3324240000000001</v>
      </c>
      <c r="E5350">
        <v>0.49613879999999999</v>
      </c>
      <c r="F5350" t="s">
        <v>41</v>
      </c>
      <c r="G5350">
        <v>-351.1216</v>
      </c>
      <c r="H5350" s="1">
        <v>-4.1545840000000004E-6</v>
      </c>
      <c r="I5350">
        <v>17.567119999999999</v>
      </c>
      <c r="J5350">
        <v>-367.62549999999999</v>
      </c>
      <c r="K5350">
        <v>1.1097939999999999</v>
      </c>
      <c r="L5350">
        <v>17.355129999999999</v>
      </c>
      <c r="M5350">
        <v>0.99993089999999996</v>
      </c>
      <c r="N5350">
        <v>0</v>
      </c>
      <c r="O5350">
        <v>4.2966660000000002E-3</v>
      </c>
      <c r="P5350">
        <v>0.98822339999999997</v>
      </c>
      <c r="Q5350">
        <v>0.1528688</v>
      </c>
      <c r="R5350">
        <v>-6.7868399999999997E-3</v>
      </c>
      <c r="S5350">
        <v>3.0675349999999999</v>
      </c>
      <c r="T5350">
        <v>-0.20406150000000001</v>
      </c>
      <c r="U5350">
        <v>3.9123539999999998E-2</v>
      </c>
      <c r="V5350">
        <v>1.105806E-2</v>
      </c>
      <c r="W5350">
        <v>0.16369520000000001</v>
      </c>
      <c r="X5350">
        <v>0.98644900000000002</v>
      </c>
      <c r="Y5350">
        <v>-8.4471630000000006E-3</v>
      </c>
      <c r="Z5350" s="1">
        <v>-4.8707300000000002E-6</v>
      </c>
      <c r="AA5350">
        <v>0.99996430000000003</v>
      </c>
      <c r="AB5350">
        <v>23</v>
      </c>
      <c r="AC5350">
        <v>16.503899999999899</v>
      </c>
      <c r="AD5350">
        <v>-1.1097981545840001</v>
      </c>
      <c r="AE5350">
        <v>0.21199000000000301</v>
      </c>
      <c r="AF5350">
        <v>-0.140437122387156</v>
      </c>
      <c r="AG5350">
        <v>-1.1097981545840001</v>
      </c>
      <c r="AH5350">
        <v>16.430375333229101</v>
      </c>
      <c r="AI5350">
        <v>93.864062639615099</v>
      </c>
      <c r="AJ5350">
        <v>90.489718481290296</v>
      </c>
      <c r="AK5350">
        <v>16.468412434720101</v>
      </c>
      <c r="AL5350">
        <v>80.5785557641899</v>
      </c>
      <c r="AM5350">
        <v>89.357743147049803</v>
      </c>
      <c r="AN5350">
        <v>1.0000000143975001</v>
      </c>
    </row>
    <row r="5351" spans="1:40" x14ac:dyDescent="0.25">
      <c r="A5351" t="str">
        <f>"20190312173035489"</f>
        <v>20190312173035489</v>
      </c>
      <c r="B5351" t="str">
        <f>"1552383035483558"</f>
        <v>1552383035483558</v>
      </c>
      <c r="C5351" t="s">
        <v>40</v>
      </c>
      <c r="D5351">
        <v>3.3820480000000002</v>
      </c>
      <c r="E5351">
        <v>0.49613879999999999</v>
      </c>
      <c r="F5351" t="s">
        <v>41</v>
      </c>
      <c r="G5351">
        <v>-350.86180000000002</v>
      </c>
      <c r="H5351" s="1">
        <v>-4.2658519999999996E-6</v>
      </c>
      <c r="I5351">
        <v>17.568189999999898</v>
      </c>
      <c r="J5351">
        <v>-367.50909999999999</v>
      </c>
      <c r="K5351">
        <v>1.109788</v>
      </c>
      <c r="L5351">
        <v>17.355619999999998</v>
      </c>
      <c r="M5351">
        <v>0.99993129999999997</v>
      </c>
      <c r="N5351">
        <v>0</v>
      </c>
      <c r="O5351">
        <v>4.2602289999999999E-3</v>
      </c>
      <c r="P5351">
        <v>0.9882206</v>
      </c>
      <c r="Q5351">
        <v>0.1528979</v>
      </c>
      <c r="R5351">
        <v>-6.5078979999999998E-3</v>
      </c>
      <c r="S5351">
        <v>3.0675050000000001</v>
      </c>
      <c r="T5351">
        <v>-0.20307710000000001</v>
      </c>
      <c r="U5351">
        <v>3.9001460000000002E-2</v>
      </c>
      <c r="V5351">
        <v>1.074339E-2</v>
      </c>
      <c r="W5351">
        <v>0.16368579999999999</v>
      </c>
      <c r="X5351">
        <v>0.98645400000000005</v>
      </c>
      <c r="Y5351">
        <v>-8.4439579999999997E-3</v>
      </c>
      <c r="Z5351" s="1">
        <v>-2.543704E-6</v>
      </c>
      <c r="AA5351">
        <v>0.99996439999999998</v>
      </c>
      <c r="AB5351">
        <v>23</v>
      </c>
      <c r="AC5351">
        <v>16.647299999999898</v>
      </c>
      <c r="AD5351">
        <v>-1.1097922658519901</v>
      </c>
      <c r="AE5351">
        <v>0.21256999999999601</v>
      </c>
      <c r="AF5351">
        <v>-0.14101592762880999</v>
      </c>
      <c r="AG5351">
        <v>-1.1097922658519901</v>
      </c>
      <c r="AH5351">
        <v>16.574406223888499</v>
      </c>
      <c r="AI5351">
        <v>93.830565520408499</v>
      </c>
      <c r="AJ5351">
        <v>90.487463770561703</v>
      </c>
      <c r="AK5351">
        <v>16.612118047969201</v>
      </c>
      <c r="AL5351">
        <v>80.5791013607369</v>
      </c>
      <c r="AM5351">
        <v>89.376021011489101</v>
      </c>
      <c r="AN5351">
        <v>0.99999997783316497</v>
      </c>
    </row>
    <row r="5352" spans="1:40" x14ac:dyDescent="0.25">
      <c r="A5352" t="str">
        <f>"20190312173035501"</f>
        <v>20190312173035501</v>
      </c>
      <c r="B5352" t="str">
        <f>"1552383035493317"</f>
        <v>1552383035493317</v>
      </c>
      <c r="C5352" t="s">
        <v>40</v>
      </c>
      <c r="D5352">
        <v>3.3572549999999999</v>
      </c>
      <c r="E5352">
        <v>0.49509429999999999</v>
      </c>
      <c r="F5352" t="s">
        <v>41</v>
      </c>
      <c r="G5352">
        <v>-350.74020000000002</v>
      </c>
      <c r="H5352" s="1">
        <v>-4.3172069999999999E-6</v>
      </c>
      <c r="I5352">
        <v>17.572749999999999</v>
      </c>
      <c r="J5352">
        <v>-367.38389999999998</v>
      </c>
      <c r="K5352">
        <v>1.109782</v>
      </c>
      <c r="L5352">
        <v>17.356079999999999</v>
      </c>
      <c r="M5352">
        <v>0.99993189999999998</v>
      </c>
      <c r="N5352">
        <v>0</v>
      </c>
      <c r="O5352">
        <v>4.2207119999999997E-3</v>
      </c>
      <c r="P5352">
        <v>0.98819239999999997</v>
      </c>
      <c r="Q5352">
        <v>0.15308550000000001</v>
      </c>
      <c r="R5352">
        <v>-6.3841590000000004E-3</v>
      </c>
      <c r="S5352">
        <v>3.0674440000000001</v>
      </c>
      <c r="T5352">
        <v>-0.20300889999999999</v>
      </c>
      <c r="U5352">
        <v>3.9733890000000001E-2</v>
      </c>
      <c r="V5352">
        <v>1.058043E-2</v>
      </c>
      <c r="W5352">
        <v>0.1638307</v>
      </c>
      <c r="X5352">
        <v>0.98643170000000002</v>
      </c>
      <c r="Y5352">
        <v>-8.7217660000000006E-3</v>
      </c>
      <c r="Z5352" s="1">
        <v>9.2522529999999993E-6</v>
      </c>
      <c r="AA5352">
        <v>0.99996200000000002</v>
      </c>
      <c r="AB5352">
        <v>23</v>
      </c>
      <c r="AC5352">
        <v>16.6436999999999</v>
      </c>
      <c r="AD5352">
        <v>-1.1097863172069999</v>
      </c>
      <c r="AE5352">
        <v>0.21667</v>
      </c>
      <c r="AF5352">
        <v>-0.14576765972781</v>
      </c>
      <c r="AG5352">
        <v>-1.1097863172069999</v>
      </c>
      <c r="AH5352">
        <v>16.5708033665586</v>
      </c>
      <c r="AI5352">
        <v>93.831365875573894</v>
      </c>
      <c r="AJ5352">
        <v>90.503998272824802</v>
      </c>
      <c r="AK5352">
        <v>16.608563998541001</v>
      </c>
      <c r="AL5352">
        <v>80.5706855309177</v>
      </c>
      <c r="AM5352">
        <v>89.385471149717901</v>
      </c>
      <c r="AN5352">
        <v>0.99999997126318196</v>
      </c>
    </row>
    <row r="5353" spans="1:40" x14ac:dyDescent="0.25">
      <c r="A5353" t="str">
        <f>"20190312173035512"</f>
        <v>20190312173035512</v>
      </c>
      <c r="B5353" t="str">
        <f>"1552383035503078"</f>
        <v>1552383035503078</v>
      </c>
      <c r="C5353" t="s">
        <v>40</v>
      </c>
      <c r="D5353">
        <v>3.3491819999999999</v>
      </c>
      <c r="E5353">
        <v>0.4948533</v>
      </c>
      <c r="F5353" t="s">
        <v>41</v>
      </c>
      <c r="G5353">
        <v>-330.56790000000001</v>
      </c>
      <c r="H5353" s="1">
        <v>-4.3364060000000003E-6</v>
      </c>
      <c r="I5353">
        <v>17.881239999999998</v>
      </c>
      <c r="J5353">
        <v>-367.2672</v>
      </c>
      <c r="K5353">
        <v>1.1097779999999999</v>
      </c>
      <c r="L5353">
        <v>17.356570000000001</v>
      </c>
      <c r="M5353">
        <v>0.9999325</v>
      </c>
      <c r="N5353">
        <v>0</v>
      </c>
      <c r="O5353">
        <v>4.1839090000000004E-3</v>
      </c>
      <c r="P5353">
        <v>0.98823490000000003</v>
      </c>
      <c r="Q5353">
        <v>0.15280479999999999</v>
      </c>
      <c r="R5353">
        <v>-6.5510000000000004E-3</v>
      </c>
      <c r="S5353">
        <v>3.0503849999999999</v>
      </c>
      <c r="T5353">
        <v>-9.1951130000000006E-2</v>
      </c>
      <c r="U5353">
        <v>4.3518069999999999E-2</v>
      </c>
      <c r="V5353">
        <v>1.071097E-2</v>
      </c>
      <c r="W5353">
        <v>0.16351270000000001</v>
      </c>
      <c r="X5353">
        <v>0.98648309999999995</v>
      </c>
      <c r="Y5353">
        <v>-1.0078439999999999E-2</v>
      </c>
      <c r="Z5353" s="1">
        <v>2.5769160000000001E-5</v>
      </c>
      <c r="AA5353">
        <v>0.99994919999999998</v>
      </c>
      <c r="AB5353">
        <v>23</v>
      </c>
      <c r="AC5353">
        <v>36.699300000000001</v>
      </c>
      <c r="AD5353">
        <v>-1.109782336406</v>
      </c>
      <c r="AE5353">
        <v>0.52466999999999597</v>
      </c>
      <c r="AF5353">
        <v>-0.37077087255369301</v>
      </c>
      <c r="AG5353">
        <v>-1.109782336406</v>
      </c>
      <c r="AH5353">
        <v>36.667650161193201</v>
      </c>
      <c r="AI5353">
        <v>91.733495096366894</v>
      </c>
      <c r="AJ5353">
        <v>90.579335793056401</v>
      </c>
      <c r="AK5353">
        <v>36.686314290451499</v>
      </c>
      <c r="AL5353">
        <v>80.5891550848322</v>
      </c>
      <c r="AM5353">
        <v>89.377922175231802</v>
      </c>
      <c r="AN5353">
        <v>1.00000001726262</v>
      </c>
    </row>
    <row r="5354" spans="1:40" x14ac:dyDescent="0.25">
      <c r="A5354" t="str">
        <f>"20190312173035523"</f>
        <v>20190312173035523</v>
      </c>
      <c r="B5354" t="str">
        <f>"1552383035512837"</f>
        <v>1552383035512837</v>
      </c>
      <c r="C5354" t="s">
        <v>40</v>
      </c>
      <c r="D5354">
        <v>3.353545</v>
      </c>
      <c r="E5354">
        <v>0.49447000000000002</v>
      </c>
      <c r="F5354" t="s">
        <v>41</v>
      </c>
      <c r="G5354">
        <v>-331.83229999999998</v>
      </c>
      <c r="H5354" s="1">
        <v>-3.7942520000000002E-6</v>
      </c>
      <c r="I5354">
        <v>17.879670000000001</v>
      </c>
      <c r="J5354">
        <v>-367.15269999999998</v>
      </c>
      <c r="K5354">
        <v>1.109772</v>
      </c>
      <c r="L5354">
        <v>17.35699</v>
      </c>
      <c r="M5354">
        <v>0.99993299999999996</v>
      </c>
      <c r="N5354">
        <v>0</v>
      </c>
      <c r="O5354">
        <v>4.1479940000000003E-3</v>
      </c>
      <c r="P5354">
        <v>0.9882206</v>
      </c>
      <c r="Q5354">
        <v>0.15291270000000001</v>
      </c>
      <c r="R5354">
        <v>-6.169908E-3</v>
      </c>
      <c r="S5354">
        <v>3.0507810000000002</v>
      </c>
      <c r="T5354">
        <v>-9.5547199999999999E-2</v>
      </c>
      <c r="U5354">
        <v>4.5043949999999999E-2</v>
      </c>
      <c r="V5354">
        <v>1.0294360000000001E-2</v>
      </c>
      <c r="W5354">
        <v>0.1635837</v>
      </c>
      <c r="X5354">
        <v>0.98647580000000001</v>
      </c>
      <c r="Y5354">
        <v>-1.061204E-2</v>
      </c>
      <c r="Z5354" s="1">
        <v>3.6250929999999998E-5</v>
      </c>
      <c r="AA5354">
        <v>0.99994369999999999</v>
      </c>
      <c r="AB5354">
        <v>23</v>
      </c>
      <c r="AC5354">
        <v>35.320399999999999</v>
      </c>
      <c r="AD5354">
        <v>-1.1097757942519999</v>
      </c>
      <c r="AE5354">
        <v>0.52268000000000103</v>
      </c>
      <c r="AF5354">
        <v>-0.37578723149930798</v>
      </c>
      <c r="AG5354">
        <v>-1.1097757942519999</v>
      </c>
      <c r="AH5354">
        <v>35.287435042973001</v>
      </c>
      <c r="AI5354">
        <v>91.8012336752778</v>
      </c>
      <c r="AJ5354">
        <v>90.610138097558107</v>
      </c>
      <c r="AK5354">
        <v>35.306881627650299</v>
      </c>
      <c r="AL5354">
        <v>80.585031896292705</v>
      </c>
      <c r="AM5354">
        <v>89.402112072389997</v>
      </c>
      <c r="AN5354">
        <v>1.00000005236956</v>
      </c>
    </row>
    <row r="5355" spans="1:40" x14ac:dyDescent="0.25">
      <c r="A5355" t="str">
        <f>"20190312173035534"</f>
        <v>20190312173035534</v>
      </c>
      <c r="B5355" t="str">
        <f>"1552383035522598"</f>
        <v>1552383035522598</v>
      </c>
      <c r="C5355" t="s">
        <v>40</v>
      </c>
      <c r="D5355">
        <v>3.3564180000000001</v>
      </c>
      <c r="E5355">
        <v>0.49447370000000002</v>
      </c>
      <c r="F5355" t="s">
        <v>41</v>
      </c>
      <c r="G5355">
        <v>-331.98689999999999</v>
      </c>
      <c r="H5355" s="1">
        <v>-3.7198369999999999E-6</v>
      </c>
      <c r="I5355">
        <v>17.925339999999998</v>
      </c>
      <c r="J5355">
        <v>-367.03440000000001</v>
      </c>
      <c r="K5355">
        <v>1.1097669999999999</v>
      </c>
      <c r="L5355">
        <v>17.357420000000001</v>
      </c>
      <c r="M5355">
        <v>0.99993350000000003</v>
      </c>
      <c r="N5355">
        <v>0</v>
      </c>
      <c r="O5355">
        <v>4.1106470000000003E-3</v>
      </c>
      <c r="P5355">
        <v>0.9881896</v>
      </c>
      <c r="Q5355">
        <v>0.1531122</v>
      </c>
      <c r="R5355">
        <v>-6.1385779999999996E-3</v>
      </c>
      <c r="S5355">
        <v>3.050964</v>
      </c>
      <c r="T5355">
        <v>-9.6283560000000004E-2</v>
      </c>
      <c r="U5355">
        <v>4.9316409999999998E-2</v>
      </c>
      <c r="V5355">
        <v>1.0226249999999999E-2</v>
      </c>
      <c r="W5355">
        <v>0.16374649999999999</v>
      </c>
      <c r="X5355">
        <v>0.98644949999999998</v>
      </c>
      <c r="Y5355">
        <v>-1.204766E-2</v>
      </c>
      <c r="Z5355" s="1">
        <v>6.0351779999999999E-5</v>
      </c>
      <c r="AA5355">
        <v>0.99992740000000002</v>
      </c>
      <c r="AB5355">
        <v>23</v>
      </c>
      <c r="AC5355">
        <v>35.047499999999999</v>
      </c>
      <c r="AD5355">
        <v>-1.1097707198369999</v>
      </c>
      <c r="AE5355">
        <v>0.56791999999999698</v>
      </c>
      <c r="AF5355">
        <v>-0.42341450864234698</v>
      </c>
      <c r="AG5355">
        <v>-1.1097707198369999</v>
      </c>
      <c r="AH5355">
        <v>35.0144402511782</v>
      </c>
      <c r="AI5355">
        <v>91.8152298152811</v>
      </c>
      <c r="AJ5355">
        <v>90.692819355420298</v>
      </c>
      <c r="AK5355">
        <v>35.034581444624997</v>
      </c>
      <c r="AL5355">
        <v>80.575576666815095</v>
      </c>
      <c r="AM5355">
        <v>89.406051726765895</v>
      </c>
      <c r="AN5355">
        <v>1.0000000542507701</v>
      </c>
    </row>
    <row r="5356" spans="1:40" x14ac:dyDescent="0.25">
      <c r="A5356" t="str">
        <f>"20190312173035545"</f>
        <v>20190312173035545</v>
      </c>
      <c r="B5356" t="str">
        <f>"1552383035542625"</f>
        <v>1552383035542625</v>
      </c>
      <c r="C5356" t="s">
        <v>40</v>
      </c>
      <c r="D5356">
        <v>3.319569</v>
      </c>
      <c r="E5356">
        <v>0.4946276</v>
      </c>
      <c r="F5356" t="s">
        <v>41</v>
      </c>
      <c r="G5356">
        <v>-332.36700000000002</v>
      </c>
      <c r="H5356" s="1">
        <v>-3.5579510000000002E-6</v>
      </c>
      <c r="I5356">
        <v>17.918700000000001</v>
      </c>
      <c r="J5356">
        <v>-366.92410000000001</v>
      </c>
      <c r="K5356">
        <v>1.1097600000000001</v>
      </c>
      <c r="L5356">
        <v>17.357849999999999</v>
      </c>
      <c r="M5356">
        <v>0.99993410000000005</v>
      </c>
      <c r="N5356">
        <v>0</v>
      </c>
      <c r="O5356">
        <v>4.075848E-3</v>
      </c>
      <c r="P5356">
        <v>0.98817270000000001</v>
      </c>
      <c r="Q5356">
        <v>0.1532231</v>
      </c>
      <c r="R5356">
        <v>-6.1145399999999999E-3</v>
      </c>
      <c r="S5356">
        <v>3.0512389999999998</v>
      </c>
      <c r="T5356">
        <v>-9.7676040000000006E-2</v>
      </c>
      <c r="U5356">
        <v>4.9407960000000001E-2</v>
      </c>
      <c r="V5356">
        <v>1.016773E-2</v>
      </c>
      <c r="W5356">
        <v>0.16382360000000001</v>
      </c>
      <c r="X5356">
        <v>0.98643729999999996</v>
      </c>
      <c r="Y5356">
        <v>-1.211083E-2</v>
      </c>
      <c r="Z5356" s="1">
        <v>6.334329E-5</v>
      </c>
      <c r="AA5356">
        <v>0.99992669999999995</v>
      </c>
      <c r="AB5356">
        <v>23</v>
      </c>
      <c r="AC5356">
        <v>34.557099999999998</v>
      </c>
      <c r="AD5356">
        <v>-1.1097635579509999</v>
      </c>
      <c r="AE5356">
        <v>0.56085000000000196</v>
      </c>
      <c r="AF5356">
        <v>-0.41955516689050998</v>
      </c>
      <c r="AG5356">
        <v>-1.1097635579509999</v>
      </c>
      <c r="AH5356">
        <v>34.523504173734302</v>
      </c>
      <c r="AI5356">
        <v>91.841012152216905</v>
      </c>
      <c r="AJ5356">
        <v>90.696266430538202</v>
      </c>
      <c r="AK5356">
        <v>34.543884294133299</v>
      </c>
      <c r="AL5356">
        <v>80.571098658717602</v>
      </c>
      <c r="AM5356">
        <v>89.409443067621396</v>
      </c>
      <c r="AN5356">
        <v>1.0000000507408</v>
      </c>
    </row>
    <row r="5357" spans="1:40" x14ac:dyDescent="0.25">
      <c r="A5357" t="str">
        <f>"20190312173035556"</f>
        <v>20190312173035556</v>
      </c>
      <c r="B5357" t="str">
        <f>"1552383035553361"</f>
        <v>1552383035553361</v>
      </c>
      <c r="C5357" t="s">
        <v>40</v>
      </c>
      <c r="D5357">
        <v>3.332462</v>
      </c>
      <c r="E5357">
        <v>0.49493229999999999</v>
      </c>
      <c r="F5357" t="s">
        <v>41</v>
      </c>
      <c r="G5357">
        <v>-333.92250000000001</v>
      </c>
      <c r="H5357" s="1">
        <v>-2.8968130000000001E-6</v>
      </c>
      <c r="I5357">
        <v>17.884079999999901</v>
      </c>
      <c r="J5357">
        <v>-366.80720000000002</v>
      </c>
      <c r="K5357">
        <v>1.109758</v>
      </c>
      <c r="L5357">
        <v>17.358280000000001</v>
      </c>
      <c r="M5357">
        <v>0.99993469999999995</v>
      </c>
      <c r="N5357">
        <v>0</v>
      </c>
      <c r="O5357">
        <v>4.0390219999999998E-3</v>
      </c>
      <c r="P5357">
        <v>0.98813150000000005</v>
      </c>
      <c r="Q5357">
        <v>0.15349389999999999</v>
      </c>
      <c r="R5357">
        <v>-6.0079859999999999E-3</v>
      </c>
      <c r="S5357">
        <v>3.0521240000000001</v>
      </c>
      <c r="T5357">
        <v>-0.1026354</v>
      </c>
      <c r="U5357">
        <v>4.8675540000000003E-2</v>
      </c>
      <c r="V5357">
        <v>1.002455E-2</v>
      </c>
      <c r="W5357">
        <v>0.16405929999999999</v>
      </c>
      <c r="X5357">
        <v>0.98639949999999998</v>
      </c>
      <c r="Y5357">
        <v>-1.190275E-2</v>
      </c>
      <c r="Z5357" s="1">
        <v>6.4278949999999996E-5</v>
      </c>
      <c r="AA5357">
        <v>0.99992910000000002</v>
      </c>
      <c r="AB5357">
        <v>23</v>
      </c>
      <c r="AC5357">
        <v>32.884700000000002</v>
      </c>
      <c r="AD5357">
        <v>-1.1097608968129999</v>
      </c>
      <c r="AE5357">
        <v>0.52579999999999605</v>
      </c>
      <c r="AF5357">
        <v>-0.39251918272988701</v>
      </c>
      <c r="AG5357">
        <v>-1.1097608968129999</v>
      </c>
      <c r="AH5357">
        <v>32.849154482792798</v>
      </c>
      <c r="AI5357">
        <v>91.934780642031399</v>
      </c>
      <c r="AJ5357">
        <v>90.6846027734925</v>
      </c>
      <c r="AK5357">
        <v>32.8702386786481</v>
      </c>
      <c r="AL5357">
        <v>80.557407952765701</v>
      </c>
      <c r="AM5357">
        <v>89.417736288457704</v>
      </c>
      <c r="AN5357">
        <v>0.99999995955971999</v>
      </c>
    </row>
    <row r="5358" spans="1:40" x14ac:dyDescent="0.25">
      <c r="A5358" t="str">
        <f>"20190312173035568"</f>
        <v>20190312173035568</v>
      </c>
      <c r="B5358" t="str">
        <f>"1552383035563122"</f>
        <v>1552383035563122</v>
      </c>
      <c r="C5358" t="s">
        <v>40</v>
      </c>
      <c r="D5358">
        <v>3.3237160000000001</v>
      </c>
      <c r="E5358">
        <v>0.49507459999999998</v>
      </c>
      <c r="F5358" t="s">
        <v>41</v>
      </c>
      <c r="G5358">
        <v>-334.52980000000002</v>
      </c>
      <c r="H5358" s="1">
        <v>-2.6415579999999999E-6</v>
      </c>
      <c r="I5358">
        <v>17.85416</v>
      </c>
      <c r="J5358">
        <v>-366.69529999999997</v>
      </c>
      <c r="K5358">
        <v>1.109753</v>
      </c>
      <c r="L5358">
        <v>17.358699999999999</v>
      </c>
      <c r="M5358">
        <v>0.99993520000000002</v>
      </c>
      <c r="N5358">
        <v>0</v>
      </c>
      <c r="O5358">
        <v>4.0038560000000001E-3</v>
      </c>
      <c r="P5358">
        <v>0.98811950000000004</v>
      </c>
      <c r="Q5358">
        <v>0.1535697</v>
      </c>
      <c r="R5358">
        <v>-6.0399549999999996E-3</v>
      </c>
      <c r="S5358">
        <v>3.0525820000000001</v>
      </c>
      <c r="T5358">
        <v>-0.1049539</v>
      </c>
      <c r="U5358">
        <v>4.6905519999999999E-2</v>
      </c>
      <c r="V5358">
        <v>1.0021759999999999E-2</v>
      </c>
      <c r="W5358">
        <v>0.164103</v>
      </c>
      <c r="X5358">
        <v>0.9863923</v>
      </c>
      <c r="Y5358">
        <v>-1.135596E-2</v>
      </c>
      <c r="Z5358" s="1">
        <v>5.7532899999999999E-5</v>
      </c>
      <c r="AA5358">
        <v>0.99993549999999998</v>
      </c>
      <c r="AB5358">
        <v>23</v>
      </c>
      <c r="AC5358">
        <v>32.165499999999902</v>
      </c>
      <c r="AD5358">
        <v>-1.1097556415580001</v>
      </c>
      <c r="AE5358">
        <v>0.49546000000000101</v>
      </c>
      <c r="AF5358">
        <v>-0.36622685047401099</v>
      </c>
      <c r="AG5358">
        <v>-1.1097556415580001</v>
      </c>
      <c r="AH5358">
        <v>32.128990390703699</v>
      </c>
      <c r="AI5358">
        <v>91.978117579498402</v>
      </c>
      <c r="AJ5358">
        <v>90.653065779979201</v>
      </c>
      <c r="AK5358">
        <v>32.150236441057601</v>
      </c>
      <c r="AL5358">
        <v>80.554870110536896</v>
      </c>
      <c r="AM5358">
        <v>89.417894082380698</v>
      </c>
      <c r="AN5358">
        <v>0.99999999989089305</v>
      </c>
    </row>
    <row r="5359" spans="1:40" x14ac:dyDescent="0.25">
      <c r="A5359" t="str">
        <f>"20190312173035578"</f>
        <v>20190312173035578</v>
      </c>
      <c r="B5359" t="str">
        <f>"1552383035572882"</f>
        <v>1552383035572882</v>
      </c>
      <c r="C5359" t="s">
        <v>40</v>
      </c>
      <c r="D5359">
        <v>3.3375859999999999</v>
      </c>
      <c r="E5359">
        <v>0.4952047</v>
      </c>
      <c r="F5359" t="s">
        <v>41</v>
      </c>
      <c r="G5359">
        <v>-335.1669</v>
      </c>
      <c r="H5359" s="1">
        <v>-2.3719769999999999E-6</v>
      </c>
      <c r="I5359">
        <v>17.83324</v>
      </c>
      <c r="J5359">
        <v>-366.57159999999999</v>
      </c>
      <c r="K5359">
        <v>1.1097490000000001</v>
      </c>
      <c r="L5359">
        <v>17.359159999999999</v>
      </c>
      <c r="M5359">
        <v>0.99993569999999998</v>
      </c>
      <c r="N5359">
        <v>0</v>
      </c>
      <c r="O5359">
        <v>3.9650709999999997E-3</v>
      </c>
      <c r="P5359">
        <v>0.9881259</v>
      </c>
      <c r="Q5359">
        <v>0.15352569999999999</v>
      </c>
      <c r="R5359">
        <v>-6.0932950000000003E-3</v>
      </c>
      <c r="S5359">
        <v>3.05307</v>
      </c>
      <c r="T5359">
        <v>-0.1074638</v>
      </c>
      <c r="U5359">
        <v>4.5959470000000002E-2</v>
      </c>
      <c r="V5359">
        <v>1.003684E-2</v>
      </c>
      <c r="W5359">
        <v>0.16402310000000001</v>
      </c>
      <c r="X5359">
        <v>0.98640539999999999</v>
      </c>
      <c r="Y5359">
        <v>-1.1082450000000001E-2</v>
      </c>
      <c r="Z5359" s="1">
        <v>5.5451590000000002E-5</v>
      </c>
      <c r="AA5359">
        <v>0.99993860000000001</v>
      </c>
      <c r="AB5359">
        <v>23</v>
      </c>
      <c r="AC5359">
        <v>31.404699999999899</v>
      </c>
      <c r="AD5359">
        <v>-1.10975137197699</v>
      </c>
      <c r="AE5359">
        <v>0.47408</v>
      </c>
      <c r="AF5359">
        <v>-0.34911153915371801</v>
      </c>
      <c r="AG5359">
        <v>-1.10975137197699</v>
      </c>
      <c r="AH5359">
        <v>31.367173345426</v>
      </c>
      <c r="AI5359">
        <v>92.026119051875696</v>
      </c>
      <c r="AJ5359">
        <v>90.637666380836293</v>
      </c>
      <c r="AK5359">
        <v>31.388739870475501</v>
      </c>
      <c r="AL5359">
        <v>80.559510588181396</v>
      </c>
      <c r="AM5359">
        <v>89.417025974825407</v>
      </c>
      <c r="AN5359">
        <v>0.99999996431997695</v>
      </c>
    </row>
    <row r="5360" spans="1:40" x14ac:dyDescent="0.25">
      <c r="A5360" t="str">
        <f>"20190312173035591"</f>
        <v>20190312173035591</v>
      </c>
      <c r="B5360" t="str">
        <f>"1552383035582641"</f>
        <v>1552383035582641</v>
      </c>
      <c r="C5360" t="s">
        <v>40</v>
      </c>
      <c r="D5360">
        <v>3.3469329999999999</v>
      </c>
      <c r="E5360">
        <v>0.4953996</v>
      </c>
      <c r="F5360" t="s">
        <v>41</v>
      </c>
      <c r="G5360">
        <v>-335.57130000000001</v>
      </c>
      <c r="H5360" s="1">
        <v>-2.2015769999999998E-6</v>
      </c>
      <c r="I5360">
        <v>17.81579</v>
      </c>
      <c r="J5360">
        <v>-366.44740000000002</v>
      </c>
      <c r="K5360">
        <v>1.1097440000000001</v>
      </c>
      <c r="L5360">
        <v>17.359590000000001</v>
      </c>
      <c r="M5360">
        <v>0.9999363</v>
      </c>
      <c r="N5360">
        <v>0</v>
      </c>
      <c r="O5360">
        <v>3.9260409999999999E-3</v>
      </c>
      <c r="P5360">
        <v>0.98810240000000005</v>
      </c>
      <c r="Q5360">
        <v>0.15367729999999999</v>
      </c>
      <c r="R5360">
        <v>-6.0960099999999998E-3</v>
      </c>
      <c r="S5360">
        <v>3.0533139999999999</v>
      </c>
      <c r="T5360">
        <v>-0.10930280000000001</v>
      </c>
      <c r="U5360">
        <v>4.4982910000000001E-2</v>
      </c>
      <c r="V5360">
        <v>1.000089E-2</v>
      </c>
      <c r="W5360">
        <v>0.1641397</v>
      </c>
      <c r="X5360">
        <v>0.9863864</v>
      </c>
      <c r="Y5360">
        <v>-1.0800540000000001E-2</v>
      </c>
      <c r="Z5360" s="1">
        <v>5.2748160000000002E-5</v>
      </c>
      <c r="AA5360">
        <v>0.99994159999999999</v>
      </c>
      <c r="AB5360">
        <v>23</v>
      </c>
      <c r="AC5360">
        <v>30.876100000000001</v>
      </c>
      <c r="AD5360">
        <v>-1.1097462015770001</v>
      </c>
      <c r="AE5360">
        <v>0.456199999999999</v>
      </c>
      <c r="AF5360">
        <v>-0.334536793882035</v>
      </c>
      <c r="AG5360">
        <v>-1.1097462015770001</v>
      </c>
      <c r="AH5360">
        <v>30.8378249078953</v>
      </c>
      <c r="AI5360">
        <v>92.060865553662893</v>
      </c>
      <c r="AJ5360">
        <v>90.621535227666399</v>
      </c>
      <c r="AK5360">
        <v>30.859599747054201</v>
      </c>
      <c r="AL5360">
        <v>80.552738399159693</v>
      </c>
      <c r="AM5360">
        <v>89.419102742155602</v>
      </c>
      <c r="AN5360">
        <v>0.99999999451092103</v>
      </c>
    </row>
    <row r="5361" spans="1:40" x14ac:dyDescent="0.25">
      <c r="A5361" t="str">
        <f>"20190312173035612"</f>
        <v>20190312173035612</v>
      </c>
      <c r="B5361" t="str">
        <f>"1552383035603141"</f>
        <v>1552383035603141</v>
      </c>
      <c r="C5361" t="s">
        <v>40</v>
      </c>
      <c r="D5361">
        <v>3.33711</v>
      </c>
      <c r="E5361">
        <v>0.495589</v>
      </c>
      <c r="F5361" t="s">
        <v>41</v>
      </c>
      <c r="G5361">
        <v>-335.8433</v>
      </c>
      <c r="H5361" s="1">
        <v>-2.0885119999999999E-6</v>
      </c>
      <c r="I5361">
        <v>17.795349999999999</v>
      </c>
      <c r="J5361">
        <v>-366.22199999999998</v>
      </c>
      <c r="K5361">
        <v>1.1097349999999999</v>
      </c>
      <c r="L5361">
        <v>17.360410000000002</v>
      </c>
      <c r="M5361">
        <v>0.99993710000000002</v>
      </c>
      <c r="N5361">
        <v>0</v>
      </c>
      <c r="O5361">
        <v>3.8552080000000002E-3</v>
      </c>
      <c r="P5361">
        <v>0.9881027</v>
      </c>
      <c r="Q5361">
        <v>0.1536747</v>
      </c>
      <c r="R5361">
        <v>-6.0850849999999996E-3</v>
      </c>
      <c r="S5361">
        <v>3.0536500000000002</v>
      </c>
      <c r="T5361">
        <v>-0.1107293</v>
      </c>
      <c r="U5361">
        <v>4.348755E-2</v>
      </c>
      <c r="V5361">
        <v>9.9201180000000003E-3</v>
      </c>
      <c r="W5361">
        <v>0.16407569999999999</v>
      </c>
      <c r="X5361">
        <v>0.98639790000000005</v>
      </c>
      <c r="Y5361">
        <v>-1.03803E-2</v>
      </c>
      <c r="Z5361" s="1">
        <v>4.8381860000000002E-5</v>
      </c>
      <c r="AA5361">
        <v>0.99994609999999995</v>
      </c>
      <c r="AB5361">
        <v>23</v>
      </c>
      <c r="AC5361">
        <v>30.378699999999899</v>
      </c>
      <c r="AD5361">
        <v>-1.1097370885119999</v>
      </c>
      <c r="AE5361">
        <v>0.434939999999997</v>
      </c>
      <c r="AF5361">
        <v>-0.31739060895917098</v>
      </c>
      <c r="AG5361">
        <v>-1.1097370885119999</v>
      </c>
      <c r="AH5361">
        <v>30.3396726631189</v>
      </c>
      <c r="AI5361">
        <v>92.094664799239197</v>
      </c>
      <c r="AJ5361">
        <v>90.599363058948299</v>
      </c>
      <c r="AK5361">
        <v>30.361620353819699</v>
      </c>
      <c r="AL5361">
        <v>80.556456070921598</v>
      </c>
      <c r="AM5361">
        <v>89.423800747613598</v>
      </c>
      <c r="AN5361">
        <v>1.0000000305980099</v>
      </c>
    </row>
    <row r="5362" spans="1:40" x14ac:dyDescent="0.25">
      <c r="A5362" t="str">
        <f>"20190312173035623"</f>
        <v>20190312173035623</v>
      </c>
      <c r="B5362" t="str">
        <f>"1552383035612898"</f>
        <v>1552383035612898</v>
      </c>
      <c r="C5362" t="s">
        <v>40</v>
      </c>
      <c r="D5362">
        <v>3.3230420000000001</v>
      </c>
      <c r="E5362">
        <v>0.49566130000000003</v>
      </c>
      <c r="F5362" t="s">
        <v>41</v>
      </c>
      <c r="G5362">
        <v>-336.48970000000003</v>
      </c>
      <c r="H5362" s="1">
        <v>-1.8160080000000001E-6</v>
      </c>
      <c r="I5362">
        <v>17.768239999999999</v>
      </c>
      <c r="J5362">
        <v>-366.10509999999999</v>
      </c>
      <c r="K5362">
        <v>1.1097300000000001</v>
      </c>
      <c r="L5362">
        <v>17.360810000000001</v>
      </c>
      <c r="M5362">
        <v>0.99993750000000003</v>
      </c>
      <c r="N5362">
        <v>0</v>
      </c>
      <c r="O5362">
        <v>3.8183650000000002E-3</v>
      </c>
      <c r="P5362">
        <v>0.98811260000000001</v>
      </c>
      <c r="Q5362">
        <v>0.1536101</v>
      </c>
      <c r="R5362">
        <v>-6.1197059999999999E-3</v>
      </c>
      <c r="S5362">
        <v>3.054138</v>
      </c>
      <c r="T5362">
        <v>-0.1139936</v>
      </c>
      <c r="U5362">
        <v>4.1900630000000001E-2</v>
      </c>
      <c r="V5362">
        <v>9.9184219999999997E-3</v>
      </c>
      <c r="W5362">
        <v>0.1639803</v>
      </c>
      <c r="X5362">
        <v>0.98641380000000001</v>
      </c>
      <c r="Y5362">
        <v>-9.8954620000000007E-3</v>
      </c>
      <c r="Z5362" s="1">
        <v>4.2129499999999997E-5</v>
      </c>
      <c r="AA5362">
        <v>0.99995109999999998</v>
      </c>
      <c r="AB5362">
        <v>23</v>
      </c>
      <c r="AC5362">
        <v>29.615399999999902</v>
      </c>
      <c r="AD5362">
        <v>-1.1097318160080001</v>
      </c>
      <c r="AE5362">
        <v>0.40742999999999802</v>
      </c>
      <c r="AF5362">
        <v>-0.29392575336885901</v>
      </c>
      <c r="AG5362">
        <v>-1.1097318160080001</v>
      </c>
      <c r="AH5362">
        <v>29.5752209026043</v>
      </c>
      <c r="AI5362">
        <v>92.148758226966805</v>
      </c>
      <c r="AJ5362">
        <v>90.569400675036803</v>
      </c>
      <c r="AK5362">
        <v>29.597492942642901</v>
      </c>
      <c r="AL5362">
        <v>80.561997316749697</v>
      </c>
      <c r="AM5362">
        <v>89.423908536826602</v>
      </c>
      <c r="AN5362">
        <v>1.00000004935674</v>
      </c>
    </row>
    <row r="5363" spans="1:40" x14ac:dyDescent="0.25">
      <c r="A5363" t="str">
        <f>"20190312173035636"</f>
        <v>20190312173035636</v>
      </c>
      <c r="B5363" t="str">
        <f>"1552383035633393"</f>
        <v>1552383035633393</v>
      </c>
      <c r="C5363" t="s">
        <v>40</v>
      </c>
      <c r="D5363">
        <v>3.334778</v>
      </c>
      <c r="E5363">
        <v>0.49582579999999998</v>
      </c>
      <c r="F5363" t="s">
        <v>41</v>
      </c>
      <c r="G5363">
        <v>-336.68699999999899</v>
      </c>
      <c r="H5363" s="1">
        <v>-1.7331829999999999E-6</v>
      </c>
      <c r="I5363">
        <v>17.758140000000001</v>
      </c>
      <c r="J5363">
        <v>-365.97059999999999</v>
      </c>
      <c r="K5363">
        <v>1.109728</v>
      </c>
      <c r="L5363">
        <v>17.361270000000001</v>
      </c>
      <c r="M5363">
        <v>0.9999382</v>
      </c>
      <c r="N5363">
        <v>0</v>
      </c>
      <c r="O5363">
        <v>3.775816E-3</v>
      </c>
      <c r="P5363">
        <v>0.9881259</v>
      </c>
      <c r="Q5363">
        <v>0.1535194</v>
      </c>
      <c r="R5363">
        <v>-6.2930869999999898E-3</v>
      </c>
      <c r="S5363">
        <v>3.05423</v>
      </c>
      <c r="T5363">
        <v>-0.11521380000000001</v>
      </c>
      <c r="U5363">
        <v>4.1259770000000001E-2</v>
      </c>
      <c r="V5363">
        <v>1.004966E-2</v>
      </c>
      <c r="W5363">
        <v>0.1638551</v>
      </c>
      <c r="X5363">
        <v>0.98643320000000001</v>
      </c>
      <c r="Y5363">
        <v>-9.7278179999999992E-3</v>
      </c>
      <c r="Z5363" s="1">
        <v>4.1022719999999997E-5</v>
      </c>
      <c r="AA5363">
        <v>0.99995270000000003</v>
      </c>
      <c r="AB5363">
        <v>23</v>
      </c>
      <c r="AC5363">
        <v>29.2836</v>
      </c>
      <c r="AD5363">
        <v>-1.1097297331829901</v>
      </c>
      <c r="AE5363">
        <v>0.396869999999999</v>
      </c>
      <c r="AF5363">
        <v>-0.28588116059603402</v>
      </c>
      <c r="AG5363">
        <v>-1.1097297331829901</v>
      </c>
      <c r="AH5363">
        <v>29.2429017220879</v>
      </c>
      <c r="AI5363">
        <v>92.173153038768106</v>
      </c>
      <c r="AJ5363">
        <v>90.560110700177304</v>
      </c>
      <c r="AK5363">
        <v>29.265346901179601</v>
      </c>
      <c r="AL5363">
        <v>80.569268386659104</v>
      </c>
      <c r="AM5363">
        <v>89.416297846250799</v>
      </c>
      <c r="AN5363">
        <v>0.99999997376218197</v>
      </c>
    </row>
    <row r="5364" spans="1:40" x14ac:dyDescent="0.25">
      <c r="A5364" t="str">
        <f>"20190312173035649"</f>
        <v>20190312173035649</v>
      </c>
      <c r="B5364" t="str">
        <f>"1552383035643153"</f>
        <v>1552383035643153</v>
      </c>
      <c r="C5364" t="s">
        <v>40</v>
      </c>
      <c r="D5364">
        <v>3.3238470000000002</v>
      </c>
      <c r="E5364">
        <v>0.49587150000000002</v>
      </c>
      <c r="F5364" t="s">
        <v>41</v>
      </c>
      <c r="G5364">
        <v>-337.1352</v>
      </c>
      <c r="H5364" s="1">
        <v>-1.5452499999999999E-6</v>
      </c>
      <c r="I5364">
        <v>17.733689999999999</v>
      </c>
      <c r="J5364">
        <v>-365.84269999999998</v>
      </c>
      <c r="K5364">
        <v>1.1097220000000001</v>
      </c>
      <c r="L5364">
        <v>17.361719999999998</v>
      </c>
      <c r="M5364">
        <v>0.99993849999999995</v>
      </c>
      <c r="N5364">
        <v>0</v>
      </c>
      <c r="O5364">
        <v>3.735759E-3</v>
      </c>
      <c r="P5364">
        <v>0.98806099999999997</v>
      </c>
      <c r="Q5364">
        <v>0.153919899999999</v>
      </c>
      <c r="R5364">
        <v>-6.6504140000000003E-3</v>
      </c>
      <c r="S5364">
        <v>3.054535</v>
      </c>
      <c r="T5364">
        <v>-0.1175534</v>
      </c>
      <c r="U5364">
        <v>3.9459229999999998E-2</v>
      </c>
      <c r="V5364">
        <v>1.036727E-2</v>
      </c>
      <c r="W5364">
        <v>0.1642216</v>
      </c>
      <c r="X5364">
        <v>0.98636900000000005</v>
      </c>
      <c r="Y5364">
        <v>-9.1773970000000003E-3</v>
      </c>
      <c r="Z5364" s="1">
        <v>3.2805039999999998E-5</v>
      </c>
      <c r="AA5364">
        <v>0.99995789999999996</v>
      </c>
      <c r="AB5364">
        <v>23</v>
      </c>
      <c r="AC5364">
        <v>28.7074999999999</v>
      </c>
      <c r="AD5364">
        <v>-1.1097235452499901</v>
      </c>
      <c r="AE5364">
        <v>0.37196999999999703</v>
      </c>
      <c r="AF5364">
        <v>-0.26432234363492702</v>
      </c>
      <c r="AG5364">
        <v>-1.1097235452499901</v>
      </c>
      <c r="AH5364">
        <v>28.6658610140618</v>
      </c>
      <c r="AI5364">
        <v>92.216854491409507</v>
      </c>
      <c r="AJ5364">
        <v>90.528298296101994</v>
      </c>
      <c r="AK5364">
        <v>28.688550683604301</v>
      </c>
      <c r="AL5364">
        <v>80.547981462533102</v>
      </c>
      <c r="AM5364">
        <v>89.397812639946594</v>
      </c>
      <c r="AN5364">
        <v>1.0000000091774</v>
      </c>
    </row>
    <row r="5365" spans="1:40" x14ac:dyDescent="0.25">
      <c r="A5365" t="str">
        <f>"20190312173035661"</f>
        <v>20190312173035661</v>
      </c>
      <c r="B5365" t="str">
        <f>"1552383035652914"</f>
        <v>1552383035652914</v>
      </c>
      <c r="C5365" t="s">
        <v>40</v>
      </c>
      <c r="D5365">
        <v>3.365999</v>
      </c>
      <c r="E5365">
        <v>0.49590309999999999</v>
      </c>
      <c r="F5365" t="s">
        <v>41</v>
      </c>
      <c r="G5365">
        <v>-336.89879999999999</v>
      </c>
      <c r="H5365" s="1">
        <v>-1.6483970000000001E-6</v>
      </c>
      <c r="I5365">
        <v>17.723960000000002</v>
      </c>
      <c r="J5365">
        <v>-365.70699999999999</v>
      </c>
      <c r="K5365">
        <v>1.109718</v>
      </c>
      <c r="L5365">
        <v>17.362179999999999</v>
      </c>
      <c r="M5365">
        <v>0.99993909999999997</v>
      </c>
      <c r="N5365">
        <v>0</v>
      </c>
      <c r="O5365">
        <v>3.693029E-3</v>
      </c>
      <c r="P5365">
        <v>0.98809309999999995</v>
      </c>
      <c r="Q5365">
        <v>0.153696</v>
      </c>
      <c r="R5365">
        <v>-7.0348479999999998E-3</v>
      </c>
      <c r="S5365">
        <v>3.0547789999999999</v>
      </c>
      <c r="T5365">
        <v>-0.1171215</v>
      </c>
      <c r="U5365">
        <v>3.823853E-2</v>
      </c>
      <c r="V5365">
        <v>1.0709669999999999E-2</v>
      </c>
      <c r="W5365">
        <v>0.16396379999999999</v>
      </c>
      <c r="X5365">
        <v>0.98640819999999996</v>
      </c>
      <c r="Y5365">
        <v>-8.8198359999999993E-3</v>
      </c>
      <c r="Z5365" s="1">
        <v>2.7468049999999999E-5</v>
      </c>
      <c r="AA5365">
        <v>0.99996110000000005</v>
      </c>
      <c r="AB5365">
        <v>23</v>
      </c>
      <c r="AC5365">
        <v>28.808199999999999</v>
      </c>
      <c r="AD5365">
        <v>-1.109719648397</v>
      </c>
      <c r="AE5365">
        <v>0.36178000000000299</v>
      </c>
      <c r="AF5365">
        <v>-0.255003929065858</v>
      </c>
      <c r="AG5365">
        <v>-1.109719648397</v>
      </c>
      <c r="AH5365">
        <v>28.766660563233099</v>
      </c>
      <c r="AI5365">
        <v>92.209093611659995</v>
      </c>
      <c r="AJ5365">
        <v>90.507888851977498</v>
      </c>
      <c r="AK5365">
        <v>28.789186592575799</v>
      </c>
      <c r="AL5365">
        <v>80.562955016285002</v>
      </c>
      <c r="AM5365">
        <v>89.377950445238099</v>
      </c>
      <c r="AN5365">
        <v>0.99999998088459396</v>
      </c>
    </row>
    <row r="5366" spans="1:40" x14ac:dyDescent="0.25">
      <c r="A5366" t="str">
        <f>"20190312173035680"</f>
        <v>20190312173035680</v>
      </c>
      <c r="B5366" t="str">
        <f>"1552383035673409"</f>
        <v>1552383035673409</v>
      </c>
      <c r="C5366" t="s">
        <v>40</v>
      </c>
      <c r="D5366">
        <v>3.3259759999999998</v>
      </c>
      <c r="E5366">
        <v>0.49600759999999999</v>
      </c>
      <c r="F5366" t="s">
        <v>41</v>
      </c>
      <c r="G5366">
        <v>-337.0831</v>
      </c>
      <c r="H5366" s="1">
        <v>-1.571825E-6</v>
      </c>
      <c r="I5366">
        <v>17.709820000000001</v>
      </c>
      <c r="J5366">
        <v>-365.51339999999999</v>
      </c>
      <c r="K5366">
        <v>1.1097090000000001</v>
      </c>
      <c r="L5366">
        <v>17.362819999999999</v>
      </c>
      <c r="M5366">
        <v>0.99993989999999999</v>
      </c>
      <c r="N5366">
        <v>0</v>
      </c>
      <c r="O5366">
        <v>3.632031E-3</v>
      </c>
      <c r="P5366">
        <v>0.98804610000000004</v>
      </c>
      <c r="Q5366">
        <v>0.15396119999999999</v>
      </c>
      <c r="R5366">
        <v>-7.8096179999999999E-3</v>
      </c>
      <c r="S5366">
        <v>3.05484</v>
      </c>
      <c r="T5366">
        <v>-0.118433</v>
      </c>
      <c r="U5366">
        <v>3.7109379999999997E-2</v>
      </c>
      <c r="V5366">
        <v>1.142398E-2</v>
      </c>
      <c r="W5366">
        <v>0.1641774</v>
      </c>
      <c r="X5366">
        <v>0.98636469999999998</v>
      </c>
      <c r="Y5366">
        <v>-8.5111330000000006E-3</v>
      </c>
      <c r="Z5366" s="1">
        <v>2.4157310000000001E-5</v>
      </c>
      <c r="AA5366">
        <v>0.99996379999999996</v>
      </c>
      <c r="AB5366">
        <v>23</v>
      </c>
      <c r="AC5366">
        <v>28.4302999999999</v>
      </c>
      <c r="AD5366">
        <v>-1.109710571825</v>
      </c>
      <c r="AE5366">
        <v>0.34699999999999698</v>
      </c>
      <c r="AF5366">
        <v>-0.24336173655291601</v>
      </c>
      <c r="AG5366">
        <v>-1.109710571825</v>
      </c>
      <c r="AH5366">
        <v>28.388128563911899</v>
      </c>
      <c r="AI5366">
        <v>92.238507661856502</v>
      </c>
      <c r="AJ5366">
        <v>90.491165129436993</v>
      </c>
      <c r="AK5366">
        <v>28.410852254890699</v>
      </c>
      <c r="AL5366">
        <v>80.550548920269605</v>
      </c>
      <c r="AM5366">
        <v>89.336435524742299</v>
      </c>
      <c r="AN5366">
        <v>1.0000000236979401</v>
      </c>
    </row>
    <row r="5367" spans="1:40" x14ac:dyDescent="0.25">
      <c r="A5367" t="str">
        <f>"20190312173035690"</f>
        <v>20190312173035690</v>
      </c>
      <c r="B5367" t="str">
        <f>"1552383035683170"</f>
        <v>1552383035683170</v>
      </c>
      <c r="C5367" t="s">
        <v>40</v>
      </c>
      <c r="D5367">
        <v>3.3457729999999999</v>
      </c>
      <c r="E5367">
        <v>0.49604609999999899</v>
      </c>
      <c r="F5367" t="s">
        <v>41</v>
      </c>
      <c r="G5367">
        <v>-336.91120000000001</v>
      </c>
      <c r="H5367" s="1">
        <v>-1.6508299999999999E-6</v>
      </c>
      <c r="I5367">
        <v>17.68018</v>
      </c>
      <c r="J5367">
        <v>-365.39960000000002</v>
      </c>
      <c r="K5367">
        <v>1.1097049999999999</v>
      </c>
      <c r="L5367">
        <v>17.363189999999999</v>
      </c>
      <c r="M5367">
        <v>0.9999403</v>
      </c>
      <c r="N5367">
        <v>0</v>
      </c>
      <c r="O5367">
        <v>3.5961859999999999E-3</v>
      </c>
      <c r="P5367">
        <v>0.98808989999999997</v>
      </c>
      <c r="Q5367">
        <v>0.15367430000000001</v>
      </c>
      <c r="R5367">
        <v>-7.9226469999999997E-3</v>
      </c>
      <c r="S5367">
        <v>3.0549930000000001</v>
      </c>
      <c r="T5367">
        <v>-0.1185278</v>
      </c>
      <c r="U5367">
        <v>3.3905030000000003E-2</v>
      </c>
      <c r="V5367">
        <v>1.150179E-2</v>
      </c>
      <c r="W5367">
        <v>0.16386129999999999</v>
      </c>
      <c r="X5367">
        <v>0.98641630000000002</v>
      </c>
      <c r="Y5367">
        <v>-7.4983910000000001E-3</v>
      </c>
      <c r="Z5367" s="1">
        <v>5.9275480000000001E-6</v>
      </c>
      <c r="AA5367">
        <v>0.99997190000000002</v>
      </c>
      <c r="AB5367">
        <v>24</v>
      </c>
      <c r="AC5367">
        <v>28.488399999999999</v>
      </c>
      <c r="AD5367">
        <v>-1.10970665083</v>
      </c>
      <c r="AE5367">
        <v>0.31698999999999999</v>
      </c>
      <c r="AF5367">
        <v>-0.214207926722844</v>
      </c>
      <c r="AG5367">
        <v>-1.10970665083</v>
      </c>
      <c r="AH5367">
        <v>28.446198832494101</v>
      </c>
      <c r="AI5367">
        <v>92.233953434465207</v>
      </c>
      <c r="AJ5367">
        <v>90.431445277973296</v>
      </c>
      <c r="AK5367">
        <v>28.4686417291826</v>
      </c>
      <c r="AL5367">
        <v>80.5689082199506</v>
      </c>
      <c r="AM5367">
        <v>89.331951266141502</v>
      </c>
      <c r="AN5367">
        <v>0.99999996685829096</v>
      </c>
    </row>
    <row r="5368" spans="1:40" x14ac:dyDescent="0.25">
      <c r="A5368" t="str">
        <f>"20190312173035701"</f>
        <v>20190312173035701</v>
      </c>
      <c r="B5368" t="str">
        <f>"1552383035692930"</f>
        <v>1552383035692930</v>
      </c>
      <c r="C5368" t="s">
        <v>40</v>
      </c>
      <c r="D5368">
        <v>3.3535439999999999</v>
      </c>
      <c r="E5368">
        <v>0.49604039999999999</v>
      </c>
      <c r="F5368" t="s">
        <v>41</v>
      </c>
      <c r="G5368">
        <v>-337.1798</v>
      </c>
      <c r="H5368" s="1">
        <v>-1.537503E-6</v>
      </c>
      <c r="I5368">
        <v>17.669519999999999</v>
      </c>
      <c r="J5368">
        <v>-365.28109999999998</v>
      </c>
      <c r="K5368">
        <v>1.1096999999999999</v>
      </c>
      <c r="L5368">
        <v>17.363589999999999</v>
      </c>
      <c r="M5368">
        <v>0.99994079999999996</v>
      </c>
      <c r="N5368">
        <v>0</v>
      </c>
      <c r="O5368">
        <v>3.5588540000000002E-3</v>
      </c>
      <c r="P5368">
        <v>0.98808229999999997</v>
      </c>
      <c r="Q5368">
        <v>0.1537105</v>
      </c>
      <c r="R5368">
        <v>-8.1552969999999902E-3</v>
      </c>
      <c r="S5368">
        <v>3.0551149999999998</v>
      </c>
      <c r="T5368">
        <v>-0.12013799999999999</v>
      </c>
      <c r="U5368">
        <v>3.3172609999999998E-2</v>
      </c>
      <c r="V5368">
        <v>1.169766E-2</v>
      </c>
      <c r="W5368">
        <v>0.16386779999999901</v>
      </c>
      <c r="X5368">
        <v>0.98641290000000004</v>
      </c>
      <c r="Y5368">
        <v>-7.2956280000000002E-3</v>
      </c>
      <c r="Z5368" s="1">
        <v>3.4902480000000001E-6</v>
      </c>
      <c r="AA5368">
        <v>0.99997340000000001</v>
      </c>
      <c r="AB5368">
        <v>24</v>
      </c>
      <c r="AC5368">
        <v>28.101299999999899</v>
      </c>
      <c r="AD5368">
        <v>-1.1097015375029999</v>
      </c>
      <c r="AE5368">
        <v>0.30593000000000298</v>
      </c>
      <c r="AF5368">
        <v>-0.205593784644584</v>
      </c>
      <c r="AG5368">
        <v>-1.1097015375029999</v>
      </c>
      <c r="AH5368">
        <v>28.058461457266802</v>
      </c>
      <c r="AI5368">
        <v>92.264785295835395</v>
      </c>
      <c r="AJ5368">
        <v>90.419817934884406</v>
      </c>
      <c r="AK5368">
        <v>28.081149649819402</v>
      </c>
      <c r="AL5368">
        <v>80.568530535813196</v>
      </c>
      <c r="AM5368">
        <v>89.320573430598202</v>
      </c>
      <c r="AN5368">
        <v>0.99999995020636101</v>
      </c>
    </row>
    <row r="5369" spans="1:40" x14ac:dyDescent="0.25">
      <c r="A5369" t="str">
        <f>"20190312173035713"</f>
        <v>20190312173035713</v>
      </c>
      <c r="B5369" t="str">
        <f>"1552383035702690"</f>
        <v>1552383035702690</v>
      </c>
      <c r="C5369" t="s">
        <v>40</v>
      </c>
      <c r="D5369">
        <v>3.340373</v>
      </c>
      <c r="E5369">
        <v>0.49607879999999899</v>
      </c>
      <c r="F5369" t="s">
        <v>41</v>
      </c>
      <c r="G5369">
        <v>-337.1447</v>
      </c>
      <c r="H5369" s="1">
        <v>-1.5540479999999999E-6</v>
      </c>
      <c r="I5369">
        <v>17.66113</v>
      </c>
      <c r="J5369">
        <v>-365.1585</v>
      </c>
      <c r="K5369">
        <v>1.109699</v>
      </c>
      <c r="L5369">
        <v>17.363979999999898</v>
      </c>
      <c r="M5369">
        <v>0.99994130000000003</v>
      </c>
      <c r="N5369">
        <v>0</v>
      </c>
      <c r="O5369">
        <v>3.5200940000000001E-3</v>
      </c>
      <c r="P5369">
        <v>0.98807040000000002</v>
      </c>
      <c r="Q5369">
        <v>0.15378429999999901</v>
      </c>
      <c r="R5369">
        <v>-8.2137080000000001E-3</v>
      </c>
      <c r="S5369">
        <v>3.055237</v>
      </c>
      <c r="T5369">
        <v>-0.12049849999999999</v>
      </c>
      <c r="U5369">
        <v>3.2318119999999999E-2</v>
      </c>
      <c r="V5369">
        <v>1.1717760000000001E-2</v>
      </c>
      <c r="W5369">
        <v>0.16391059999999999</v>
      </c>
      <c r="X5369">
        <v>0.98640559999999999</v>
      </c>
      <c r="Y5369">
        <v>-7.0544559999999997E-3</v>
      </c>
      <c r="Z5369" s="1">
        <v>2.7485660000000002E-7</v>
      </c>
      <c r="AA5369">
        <v>0.99997510000000001</v>
      </c>
      <c r="AB5369">
        <v>24</v>
      </c>
      <c r="AC5369">
        <v>28.0138</v>
      </c>
      <c r="AD5369">
        <v>-1.1097005540480001</v>
      </c>
      <c r="AE5369">
        <v>0.29715000000000202</v>
      </c>
      <c r="AF5369">
        <v>-0.198220766393507</v>
      </c>
      <c r="AG5369">
        <v>-1.1097005540480001</v>
      </c>
      <c r="AH5369">
        <v>27.970786736491799</v>
      </c>
      <c r="AI5369">
        <v>92.271878786075206</v>
      </c>
      <c r="AJ5369">
        <v>90.406031596959096</v>
      </c>
      <c r="AK5369">
        <v>27.9934927697525</v>
      </c>
      <c r="AL5369">
        <v>80.566045130682298</v>
      </c>
      <c r="AM5369">
        <v>89.319401050491706</v>
      </c>
      <c r="AN5369">
        <v>0.99999999920156801</v>
      </c>
    </row>
    <row r="5370" spans="1:40" x14ac:dyDescent="0.25">
      <c r="A5370" t="str">
        <f>"20190312173035724"</f>
        <v>20190312173035724</v>
      </c>
      <c r="B5370" t="str">
        <f>"1552383035713426"</f>
        <v>1552383035713426</v>
      </c>
      <c r="C5370" t="s">
        <v>40</v>
      </c>
      <c r="D5370">
        <v>3.378231</v>
      </c>
      <c r="E5370">
        <v>0.49610870000000001</v>
      </c>
      <c r="F5370" t="s">
        <v>41</v>
      </c>
      <c r="G5370">
        <v>-337.07279999999997</v>
      </c>
      <c r="H5370" s="1">
        <v>-1.5855859999999999E-6</v>
      </c>
      <c r="I5370">
        <v>17.657060000000001</v>
      </c>
      <c r="J5370">
        <v>-365.04419999999999</v>
      </c>
      <c r="K5370">
        <v>1.1096980000000001</v>
      </c>
      <c r="L5370">
        <v>17.364350000000002</v>
      </c>
      <c r="M5370">
        <v>0.99994159999999999</v>
      </c>
      <c r="N5370">
        <v>0</v>
      </c>
      <c r="O5370">
        <v>3.4842419999999998E-3</v>
      </c>
      <c r="P5370">
        <v>0.98810699999999996</v>
      </c>
      <c r="Q5370">
        <v>0.15354379999999901</v>
      </c>
      <c r="R5370">
        <v>-8.3074359999999996E-3</v>
      </c>
      <c r="S5370">
        <v>3.0552670000000002</v>
      </c>
      <c r="T5370">
        <v>-0.12071750000000001</v>
      </c>
      <c r="U5370">
        <v>3.1890870000000002E-2</v>
      </c>
      <c r="V5370">
        <v>1.177604E-2</v>
      </c>
      <c r="W5370">
        <v>0.16364200000000001</v>
      </c>
      <c r="X5370">
        <v>0.98644949999999998</v>
      </c>
      <c r="Y5370">
        <v>-6.950426E-3</v>
      </c>
      <c r="Z5370" s="1">
        <v>-3.6295390000000002E-7</v>
      </c>
      <c r="AA5370">
        <v>0.99997590000000003</v>
      </c>
      <c r="AB5370">
        <v>24</v>
      </c>
      <c r="AC5370">
        <v>27.971399999999999</v>
      </c>
      <c r="AD5370">
        <v>-1.1096995855859999</v>
      </c>
      <c r="AE5370">
        <v>0.29270999999999903</v>
      </c>
      <c r="AF5370">
        <v>-0.19493721428156599</v>
      </c>
      <c r="AG5370">
        <v>-1.1096995855859999</v>
      </c>
      <c r="AH5370">
        <v>27.928298049879999</v>
      </c>
      <c r="AI5370">
        <v>92.275331199942002</v>
      </c>
      <c r="AJ5370">
        <v>90.399913315543699</v>
      </c>
      <c r="AK5370">
        <v>27.9510154672544</v>
      </c>
      <c r="AL5370">
        <v>80.581645405389295</v>
      </c>
      <c r="AM5370">
        <v>89.3160467489366</v>
      </c>
      <c r="AN5370">
        <v>0.99999999766616499</v>
      </c>
    </row>
    <row r="5371" spans="1:40" x14ac:dyDescent="0.25">
      <c r="A5371" t="str">
        <f>"20190312173035735"</f>
        <v>20190312173035735</v>
      </c>
      <c r="B5371" t="str">
        <f>"1552383035732946"</f>
        <v>1552383035732946</v>
      </c>
      <c r="C5371" t="s">
        <v>40</v>
      </c>
      <c r="D5371">
        <v>3.3805070000000002</v>
      </c>
      <c r="E5371">
        <v>0.49618950000000001</v>
      </c>
      <c r="F5371" t="s">
        <v>41</v>
      </c>
      <c r="G5371">
        <v>-337.3021</v>
      </c>
      <c r="H5371" s="1">
        <v>-1.48863E-6</v>
      </c>
      <c r="I5371">
        <v>17.64912</v>
      </c>
      <c r="J5371">
        <v>-364.92250000000001</v>
      </c>
      <c r="K5371">
        <v>1.109694</v>
      </c>
      <c r="L5371">
        <v>17.364719999999998</v>
      </c>
      <c r="M5371">
        <v>0.99994209999999994</v>
      </c>
      <c r="N5371">
        <v>0</v>
      </c>
      <c r="O5371">
        <v>3.4460099999999998E-3</v>
      </c>
      <c r="P5371">
        <v>0.98811729999999998</v>
      </c>
      <c r="Q5371">
        <v>0.1534683</v>
      </c>
      <c r="R5371">
        <v>-8.4657540000000007E-3</v>
      </c>
      <c r="S5371">
        <v>3.0553590000000002</v>
      </c>
      <c r="T5371">
        <v>-0.12221600000000001</v>
      </c>
      <c r="U5371">
        <v>3.1372070000000002E-2</v>
      </c>
      <c r="V5371">
        <v>1.1896810000000001E-2</v>
      </c>
      <c r="W5371">
        <v>0.16353760000000001</v>
      </c>
      <c r="X5371">
        <v>0.98646540000000005</v>
      </c>
      <c r="Y5371">
        <v>-6.8185779999999996E-3</v>
      </c>
      <c r="Z5371" s="1">
        <v>-1.474546E-6</v>
      </c>
      <c r="AA5371">
        <v>0.9999768</v>
      </c>
      <c r="AB5371">
        <v>24</v>
      </c>
      <c r="AC5371">
        <v>27.6204</v>
      </c>
      <c r="AD5371">
        <v>-1.1096954886299999</v>
      </c>
      <c r="AE5371">
        <v>0.28439999999999799</v>
      </c>
      <c r="AF5371">
        <v>-0.18890829388538499</v>
      </c>
      <c r="AG5371">
        <v>-1.1096954886299999</v>
      </c>
      <c r="AH5371">
        <v>27.5767074674608</v>
      </c>
      <c r="AI5371">
        <v>92.304303136925896</v>
      </c>
      <c r="AJ5371">
        <v>90.392486255556307</v>
      </c>
      <c r="AK5371">
        <v>27.5996721931057</v>
      </c>
      <c r="AL5371">
        <v>80.587709103759906</v>
      </c>
      <c r="AM5371">
        <v>89.309044231287103</v>
      </c>
      <c r="AN5371">
        <v>1.00000003304954</v>
      </c>
    </row>
    <row r="5372" spans="1:40" x14ac:dyDescent="0.25">
      <c r="A5372" t="str">
        <f>"20190312173035747"</f>
        <v>20190312173035747</v>
      </c>
      <c r="B5372" t="str">
        <f>"1552383035742705"</f>
        <v>1552383035742705</v>
      </c>
      <c r="C5372" t="s">
        <v>40</v>
      </c>
      <c r="D5372">
        <v>3.4079839999999901</v>
      </c>
      <c r="E5372">
        <v>0.49618950000000001</v>
      </c>
      <c r="F5372" t="s">
        <v>41</v>
      </c>
      <c r="G5372">
        <v>-337.52030000000002</v>
      </c>
      <c r="H5372" s="1">
        <v>-1.39725599999999E-6</v>
      </c>
      <c r="I5372">
        <v>17.636679999999998</v>
      </c>
      <c r="J5372">
        <v>-364.80579999999998</v>
      </c>
      <c r="K5372">
        <v>1.1096889999999999</v>
      </c>
      <c r="L5372">
        <v>17.365079999999999</v>
      </c>
      <c r="M5372">
        <v>0.99994249999999996</v>
      </c>
      <c r="N5372">
        <v>0</v>
      </c>
      <c r="O5372">
        <v>3.4093159999999999E-3</v>
      </c>
      <c r="P5372">
        <v>0.9881335</v>
      </c>
      <c r="Q5372">
        <v>0.1533648</v>
      </c>
      <c r="R5372">
        <v>-8.46826E-3</v>
      </c>
      <c r="S5372">
        <v>3.055542</v>
      </c>
      <c r="T5372">
        <v>-0.1237388</v>
      </c>
      <c r="U5372">
        <v>3.0334469999999999E-2</v>
      </c>
      <c r="V5372">
        <v>1.1862930000000001E-2</v>
      </c>
      <c r="W5372">
        <v>0.16340779999999999</v>
      </c>
      <c r="X5372">
        <v>0.98648729999999996</v>
      </c>
      <c r="Y5372">
        <v>-6.5152719999999999E-3</v>
      </c>
      <c r="Z5372" s="1">
        <v>-6.1462050000000001E-6</v>
      </c>
      <c r="AA5372">
        <v>0.99997879999999995</v>
      </c>
      <c r="AB5372">
        <v>24</v>
      </c>
      <c r="AC5372">
        <v>27.2854999999999</v>
      </c>
      <c r="AD5372">
        <v>-1.1096903972559999</v>
      </c>
      <c r="AE5372">
        <v>0.27159999999999901</v>
      </c>
      <c r="AF5372">
        <v>-0.178273882416184</v>
      </c>
      <c r="AG5372">
        <v>-1.1096903972559999</v>
      </c>
      <c r="AH5372">
        <v>27.2412144728887</v>
      </c>
      <c r="AI5372">
        <v>92.332645031675497</v>
      </c>
      <c r="AJ5372">
        <v>90.374953739878606</v>
      </c>
      <c r="AK5372">
        <v>27.2643899677369</v>
      </c>
      <c r="AL5372">
        <v>80.595247338049404</v>
      </c>
      <c r="AM5372">
        <v>89.311027054580094</v>
      </c>
      <c r="AN5372">
        <v>1.0000000156351501</v>
      </c>
    </row>
    <row r="5373" spans="1:40" x14ac:dyDescent="0.25">
      <c r="A5373" t="str">
        <f>"20190312173035757"</f>
        <v>20190312173035757</v>
      </c>
      <c r="B5373" t="str">
        <f>"1552383035753442"</f>
        <v>1552383035753442</v>
      </c>
      <c r="C5373" t="s">
        <v>40</v>
      </c>
      <c r="D5373">
        <v>3.4604699999999902</v>
      </c>
      <c r="E5373">
        <v>0.50800970000000001</v>
      </c>
      <c r="F5373" t="s">
        <v>41</v>
      </c>
      <c r="G5373">
        <v>-337.47129999999999</v>
      </c>
      <c r="H5373" s="1">
        <v>-1.418114E-6</v>
      </c>
      <c r="I5373">
        <v>17.637460000000001</v>
      </c>
      <c r="J5373">
        <v>-364.69080000000002</v>
      </c>
      <c r="K5373">
        <v>1.1096870000000001</v>
      </c>
      <c r="L5373">
        <v>17.365449999999999</v>
      </c>
      <c r="M5373">
        <v>0.99994289999999997</v>
      </c>
      <c r="N5373">
        <v>0</v>
      </c>
      <c r="O5373">
        <v>3.3730890000000001E-3</v>
      </c>
      <c r="P5373">
        <v>0.98812100000000003</v>
      </c>
      <c r="Q5373">
        <v>0.15342819999999999</v>
      </c>
      <c r="R5373">
        <v>-8.7598099999999998E-3</v>
      </c>
      <c r="S5373">
        <v>3.055542</v>
      </c>
      <c r="T5373">
        <v>-0.1240449</v>
      </c>
      <c r="U5373">
        <v>3.0456540000000001E-2</v>
      </c>
      <c r="V5373">
        <v>1.211869E-2</v>
      </c>
      <c r="W5373">
        <v>0.16344629999999999</v>
      </c>
      <c r="X5373">
        <v>0.98647779999999996</v>
      </c>
      <c r="Y5373">
        <v>-6.5913430000000004E-3</v>
      </c>
      <c r="Z5373" s="1">
        <v>-3.1477680000000001E-6</v>
      </c>
      <c r="AA5373">
        <v>0.99997829999999999</v>
      </c>
      <c r="AB5373">
        <v>24</v>
      </c>
      <c r="AC5373">
        <v>27.2195</v>
      </c>
      <c r="AD5373">
        <v>-1.1096884181139901</v>
      </c>
      <c r="AE5373">
        <v>0.27201000000000097</v>
      </c>
      <c r="AF5373">
        <v>-0.17989097951866501</v>
      </c>
      <c r="AG5373">
        <v>-1.1096884181139901</v>
      </c>
      <c r="AH5373">
        <v>27.175101065520199</v>
      </c>
      <c r="AI5373">
        <v>92.338308429881494</v>
      </c>
      <c r="AJ5373">
        <v>90.379275253687894</v>
      </c>
      <c r="AK5373">
        <v>27.198343461892101</v>
      </c>
      <c r="AL5373">
        <v>80.593011266984604</v>
      </c>
      <c r="AM5373">
        <v>89.296167776125401</v>
      </c>
      <c r="AN5373">
        <v>1.00000000276192</v>
      </c>
    </row>
    <row r="5374" spans="1:40" x14ac:dyDescent="0.25">
      <c r="A5374" t="str">
        <f>"20190312173035769"</f>
        <v>20190312173035769</v>
      </c>
      <c r="B5374" t="str">
        <f>"1552383035763202"</f>
        <v>1552383035763202</v>
      </c>
      <c r="C5374" t="s">
        <v>40</v>
      </c>
      <c r="D5374">
        <v>3.45905</v>
      </c>
      <c r="E5374">
        <v>0.51508640000000006</v>
      </c>
      <c r="F5374" t="s">
        <v>42</v>
      </c>
      <c r="G5374">
        <v>-363.89690000000002</v>
      </c>
      <c r="H5374">
        <v>1.047768</v>
      </c>
      <c r="I5374">
        <v>17.349729999999902</v>
      </c>
      <c r="J5374">
        <v>-364.57659999999998</v>
      </c>
      <c r="K5374">
        <v>1.109683</v>
      </c>
      <c r="L5374">
        <v>17.365779999999901</v>
      </c>
      <c r="M5374">
        <v>0.99994329999999998</v>
      </c>
      <c r="N5374">
        <v>0</v>
      </c>
      <c r="O5374">
        <v>3.3370320000000002E-3</v>
      </c>
      <c r="P5374">
        <v>0.98807040000000002</v>
      </c>
      <c r="Q5374">
        <v>0.15374989999999999</v>
      </c>
      <c r="R5374">
        <v>-8.8509550000000006E-3</v>
      </c>
      <c r="S5374">
        <v>3.0727540000000002</v>
      </c>
      <c r="T5374">
        <v>-0.23959520000000001</v>
      </c>
      <c r="U5374">
        <v>-5.9661869999999999E-2</v>
      </c>
      <c r="V5374">
        <v>1.2174000000000001E-2</v>
      </c>
      <c r="W5374">
        <v>0.16374359999999999</v>
      </c>
      <c r="X5374">
        <v>0.98642779999999997</v>
      </c>
      <c r="Y5374">
        <v>2.2670309999999999E-2</v>
      </c>
      <c r="Z5374">
        <v>-1.142225E-3</v>
      </c>
      <c r="AA5374">
        <v>0.99974229999999997</v>
      </c>
      <c r="AB5374">
        <v>24</v>
      </c>
      <c r="AC5374">
        <v>0.679699999999968</v>
      </c>
      <c r="AD5374">
        <v>-6.1914999999999901E-2</v>
      </c>
      <c r="AE5374">
        <v>-1.6049999999999801E-2</v>
      </c>
      <c r="AF5374">
        <v>1.8167542627742599E-2</v>
      </c>
      <c r="AG5374">
        <v>-6.1914999999999901E-2</v>
      </c>
      <c r="AH5374">
        <v>0.6740526895383</v>
      </c>
      <c r="AI5374">
        <v>95.246272827438602</v>
      </c>
      <c r="AJ5374">
        <v>88.456097596479196</v>
      </c>
      <c r="AK5374">
        <v>0.67713407468827502</v>
      </c>
      <c r="AL5374">
        <v>80.575744474675602</v>
      </c>
      <c r="AM5374">
        <v>89.292919958885406</v>
      </c>
      <c r="AN5374">
        <v>0.99999998871489904</v>
      </c>
    </row>
    <row r="5375" spans="1:40" x14ac:dyDescent="0.25">
      <c r="A5375" t="str">
        <f>"20190312173035780"</f>
        <v>20190312173035780</v>
      </c>
      <c r="B5375" t="str">
        <f>"1552383035772962"</f>
        <v>1552383035772962</v>
      </c>
      <c r="C5375" t="s">
        <v>40</v>
      </c>
      <c r="D5375">
        <v>3.4179550000000001</v>
      </c>
      <c r="E5375">
        <v>0.52227860000000004</v>
      </c>
      <c r="F5375" t="s">
        <v>42</v>
      </c>
      <c r="G5375">
        <v>-363.69959999999998</v>
      </c>
      <c r="H5375">
        <v>1.024559</v>
      </c>
      <c r="I5375">
        <v>17.33323</v>
      </c>
      <c r="J5375">
        <v>-364.44760000000002</v>
      </c>
      <c r="K5375">
        <v>1.10968</v>
      </c>
      <c r="L5375">
        <v>17.36618</v>
      </c>
      <c r="M5375">
        <v>0.99994369999999999</v>
      </c>
      <c r="N5375">
        <v>0</v>
      </c>
      <c r="O5375">
        <v>3.296453E-3</v>
      </c>
      <c r="P5375">
        <v>0.98809119999999995</v>
      </c>
      <c r="Q5375">
        <v>0.15358749999999999</v>
      </c>
      <c r="R5375">
        <v>-9.3430820000000008E-3</v>
      </c>
      <c r="S5375">
        <v>3.0817869999999998</v>
      </c>
      <c r="T5375">
        <v>-0.29916690000000001</v>
      </c>
      <c r="U5375">
        <v>-0.11346440000000001</v>
      </c>
      <c r="V5375">
        <v>1.262597E-2</v>
      </c>
      <c r="W5375">
        <v>0.1635559</v>
      </c>
      <c r="X5375">
        <v>0.98645320000000003</v>
      </c>
      <c r="Y5375">
        <v>3.9884259999999998E-2</v>
      </c>
      <c r="Z5375">
        <v>-2.2498779999999999E-3</v>
      </c>
      <c r="AA5375">
        <v>0.99920180000000003</v>
      </c>
      <c r="AB5375">
        <v>24</v>
      </c>
      <c r="AC5375">
        <v>0.74800000000004696</v>
      </c>
      <c r="AD5375">
        <v>-8.5121000000000002E-2</v>
      </c>
      <c r="AE5375">
        <v>-3.2949999999999501E-2</v>
      </c>
      <c r="AF5375">
        <v>3.4963788584762297E-2</v>
      </c>
      <c r="AG5375">
        <v>-8.5121000000000002E-2</v>
      </c>
      <c r="AH5375">
        <v>0.73834426131667297</v>
      </c>
      <c r="AI5375">
        <v>96.5690904356602</v>
      </c>
      <c r="AJ5375">
        <v>87.2888227972837</v>
      </c>
      <c r="AK5375">
        <v>0.74405665064728999</v>
      </c>
      <c r="AL5375">
        <v>80.586645317707394</v>
      </c>
      <c r="AM5375">
        <v>89.266690712750901</v>
      </c>
      <c r="AN5375">
        <v>0.99999993166674295</v>
      </c>
    </row>
    <row r="5376" spans="1:40" x14ac:dyDescent="0.25">
      <c r="A5376" t="str">
        <f>"20190312173035791"</f>
        <v>20190312173035791</v>
      </c>
      <c r="B5376" t="str">
        <f>"1552383035782722"</f>
        <v>1552383035782722</v>
      </c>
      <c r="C5376" t="s">
        <v>40</v>
      </c>
      <c r="D5376">
        <v>3.4614790000000002</v>
      </c>
      <c r="E5376">
        <v>0.52910369999999995</v>
      </c>
      <c r="F5376" t="s">
        <v>42</v>
      </c>
      <c r="G5376">
        <v>-363.70139999999998</v>
      </c>
      <c r="H5376">
        <v>1.021021</v>
      </c>
      <c r="I5376">
        <v>17.325109999999999</v>
      </c>
      <c r="J5376">
        <v>-364.33179999999999</v>
      </c>
      <c r="K5376">
        <v>1.109677</v>
      </c>
      <c r="L5376">
        <v>17.366520000000001</v>
      </c>
      <c r="M5376">
        <v>0.99994400000000006</v>
      </c>
      <c r="N5376">
        <v>0</v>
      </c>
      <c r="O5376">
        <v>3.2598470000000002E-3</v>
      </c>
      <c r="P5376">
        <v>0.98810569999999998</v>
      </c>
      <c r="Q5376">
        <v>0.1534877</v>
      </c>
      <c r="R5376">
        <v>-9.4496340000000002E-3</v>
      </c>
      <c r="S5376">
        <v>3.091675</v>
      </c>
      <c r="T5376">
        <v>-0.36738150000000003</v>
      </c>
      <c r="U5376">
        <v>-0.16906740000000001</v>
      </c>
      <c r="V5376">
        <v>1.2696570000000001E-2</v>
      </c>
      <c r="W5376">
        <v>0.163435</v>
      </c>
      <c r="X5376">
        <v>0.98647240000000003</v>
      </c>
      <c r="Y5376">
        <v>5.7432259999999999E-2</v>
      </c>
      <c r="Z5376">
        <v>-3.7835939999999999E-3</v>
      </c>
      <c r="AA5376">
        <v>0.99834219999999896</v>
      </c>
      <c r="AB5376">
        <v>24</v>
      </c>
      <c r="AC5376">
        <v>0.63040000000000795</v>
      </c>
      <c r="AD5376">
        <v>-8.8655999999999999E-2</v>
      </c>
      <c r="AE5376">
        <v>-4.1409999999999003E-2</v>
      </c>
      <c r="AF5376">
        <v>4.2625464456875602E-2</v>
      </c>
      <c r="AG5376">
        <v>-8.8655999999999999E-2</v>
      </c>
      <c r="AH5376">
        <v>0.61808955823846201</v>
      </c>
      <c r="AI5376">
        <v>98.143494147455897</v>
      </c>
      <c r="AJ5376">
        <v>86.054943084356395</v>
      </c>
      <c r="AK5376">
        <v>0.62586861125924897</v>
      </c>
      <c r="AL5376">
        <v>80.5936674986593</v>
      </c>
      <c r="AM5376">
        <v>89.262605106528099</v>
      </c>
      <c r="AN5376">
        <v>0.99999999903826198</v>
      </c>
    </row>
    <row r="5377" spans="1:40" x14ac:dyDescent="0.25">
      <c r="A5377" t="str">
        <f>"20190312173035802"</f>
        <v>20190312173035802</v>
      </c>
      <c r="B5377" t="str">
        <f>"1552383035793458"</f>
        <v>1552383035793458</v>
      </c>
      <c r="C5377" t="s">
        <v>40</v>
      </c>
      <c r="D5377">
        <v>3.4861849999999999</v>
      </c>
      <c r="E5377">
        <v>0.53439369999999997</v>
      </c>
      <c r="F5377" t="s">
        <v>42</v>
      </c>
      <c r="G5377">
        <v>-363.50139999999999</v>
      </c>
      <c r="H5377">
        <v>0.99560329999999997</v>
      </c>
      <c r="I5377">
        <v>17.30697</v>
      </c>
      <c r="J5377">
        <v>-364.21510000000001</v>
      </c>
      <c r="K5377">
        <v>1.109675</v>
      </c>
      <c r="L5377">
        <v>17.366879999999998</v>
      </c>
      <c r="M5377">
        <v>0.99994439999999996</v>
      </c>
      <c r="N5377">
        <v>0</v>
      </c>
      <c r="O5377">
        <v>3.2232990000000002E-3</v>
      </c>
      <c r="P5377">
        <v>0.98813269999999997</v>
      </c>
      <c r="Q5377">
        <v>0.15330559999999999</v>
      </c>
      <c r="R5377">
        <v>-9.5853480000000005E-3</v>
      </c>
      <c r="S5377">
        <v>3.1001590000000001</v>
      </c>
      <c r="T5377">
        <v>-0.42588340000000002</v>
      </c>
      <c r="U5377">
        <v>-0.22128300000000001</v>
      </c>
      <c r="V5377">
        <v>1.2796170000000001E-2</v>
      </c>
      <c r="W5377">
        <v>0.16323280000000001</v>
      </c>
      <c r="X5377">
        <v>0.98650459999999995</v>
      </c>
      <c r="Y5377">
        <v>7.3692939999999998E-2</v>
      </c>
      <c r="Z5377">
        <v>-5.4720159999999997E-3</v>
      </c>
      <c r="AA5377">
        <v>0.99726599999999999</v>
      </c>
      <c r="AB5377">
        <v>24</v>
      </c>
      <c r="AC5377">
        <v>0.71370000000001699</v>
      </c>
      <c r="AD5377">
        <v>-0.114071699999999</v>
      </c>
      <c r="AE5377">
        <v>-5.9909999999998499E-2</v>
      </c>
      <c r="AF5377">
        <v>6.0671206008679097E-2</v>
      </c>
      <c r="AG5377">
        <v>-0.114071699999999</v>
      </c>
      <c r="AH5377">
        <v>0.69585127759091303</v>
      </c>
      <c r="AI5377">
        <v>99.275183733303294</v>
      </c>
      <c r="AJ5377">
        <v>85.016988078992895</v>
      </c>
      <c r="AK5377">
        <v>0.70774455031765804</v>
      </c>
      <c r="AL5377">
        <v>80.605410481747001</v>
      </c>
      <c r="AM5377">
        <v>89.256845411541903</v>
      </c>
      <c r="AN5377">
        <v>1.00000000739183</v>
      </c>
    </row>
    <row r="5378" spans="1:40" x14ac:dyDescent="0.25">
      <c r="A5378" t="str">
        <f>"20190312173035813"</f>
        <v>20190312173035813</v>
      </c>
      <c r="B5378" t="str">
        <f>"1552383035803218"</f>
        <v>1552383035803218</v>
      </c>
      <c r="C5378" t="s">
        <v>40</v>
      </c>
      <c r="D5378">
        <v>3.3861629999999998</v>
      </c>
      <c r="E5378">
        <v>0.53834150000000003</v>
      </c>
      <c r="F5378" t="s">
        <v>42</v>
      </c>
      <c r="G5378">
        <v>-363.4991</v>
      </c>
      <c r="H5378">
        <v>1.000302</v>
      </c>
      <c r="I5378">
        <v>17.306179999999902</v>
      </c>
      <c r="J5378">
        <v>-364.0985</v>
      </c>
      <c r="K5378">
        <v>1.109672</v>
      </c>
      <c r="L5378">
        <v>17.367190000000001</v>
      </c>
      <c r="M5378">
        <v>0.99994459999999996</v>
      </c>
      <c r="N5378">
        <v>0</v>
      </c>
      <c r="O5378">
        <v>3.1866939999999999E-3</v>
      </c>
      <c r="P5378">
        <v>0.98816159999999997</v>
      </c>
      <c r="Q5378">
        <v>0.15312010000000001</v>
      </c>
      <c r="R5378">
        <v>-9.5292050000000007E-3</v>
      </c>
      <c r="S5378">
        <v>3.1071170000000001</v>
      </c>
      <c r="T5378">
        <v>-0.47456470000000001</v>
      </c>
      <c r="U5378">
        <v>-0.26223750000000001</v>
      </c>
      <c r="V5378">
        <v>1.2704150000000001E-2</v>
      </c>
      <c r="W5378">
        <v>0.163025799999999</v>
      </c>
      <c r="X5378">
        <v>0.98653999999999997</v>
      </c>
      <c r="Y5378">
        <v>8.6245249999999996E-2</v>
      </c>
      <c r="Z5378">
        <v>-7.0200410000000003E-3</v>
      </c>
      <c r="AA5378">
        <v>0.99624919999999995</v>
      </c>
      <c r="AB5378">
        <v>24</v>
      </c>
      <c r="AC5378">
        <v>0.59940000000000204</v>
      </c>
      <c r="AD5378">
        <v>-0.109369999999999</v>
      </c>
      <c r="AE5378">
        <v>-6.1010000000003103E-2</v>
      </c>
      <c r="AF5378">
        <v>6.0912673480720499E-2</v>
      </c>
      <c r="AG5378">
        <v>-0.109369999999999</v>
      </c>
      <c r="AH5378">
        <v>0.58008727327235898</v>
      </c>
      <c r="AI5378">
        <v>100.620190148324</v>
      </c>
      <c r="AJ5378">
        <v>84.005564166351803</v>
      </c>
      <c r="AK5378">
        <v>0.59344198983820595</v>
      </c>
      <c r="AL5378">
        <v>80.617431564578595</v>
      </c>
      <c r="AM5378">
        <v>89.262215474427705</v>
      </c>
      <c r="AN5378">
        <v>0.99999998924643096</v>
      </c>
    </row>
    <row r="5379" spans="1:40" x14ac:dyDescent="0.25">
      <c r="A5379" t="str">
        <f>"20190312173035824"</f>
        <v>20190312173035824</v>
      </c>
      <c r="B5379" t="str">
        <f>"1552383035812977"</f>
        <v>1552383035812977</v>
      </c>
      <c r="C5379" t="s">
        <v>40</v>
      </c>
      <c r="D5379">
        <v>3.465576</v>
      </c>
      <c r="E5379">
        <v>0.54143269999999899</v>
      </c>
      <c r="F5379" t="s">
        <v>42</v>
      </c>
      <c r="G5379">
        <v>-363.2971</v>
      </c>
      <c r="H5379">
        <v>0.9780681</v>
      </c>
      <c r="I5379">
        <v>17.291499999999999</v>
      </c>
      <c r="J5379">
        <v>-363.9794</v>
      </c>
      <c r="K5379">
        <v>1.1096680000000001</v>
      </c>
      <c r="L5379">
        <v>17.367519999999999</v>
      </c>
      <c r="M5379">
        <v>0.99994499999999997</v>
      </c>
      <c r="N5379">
        <v>0</v>
      </c>
      <c r="O5379">
        <v>3.1489589999999998E-3</v>
      </c>
      <c r="P5379">
        <v>0.98816700000000002</v>
      </c>
      <c r="Q5379">
        <v>0.15308479999999999</v>
      </c>
      <c r="R5379">
        <v>-9.559629E-3</v>
      </c>
      <c r="S5379">
        <v>3.1123050000000001</v>
      </c>
      <c r="T5379">
        <v>-0.51107479999999905</v>
      </c>
      <c r="U5379">
        <v>-0.2922363</v>
      </c>
      <c r="V5379">
        <v>1.26973E-2</v>
      </c>
      <c r="W5379">
        <v>0.16296840000000001</v>
      </c>
      <c r="X5379">
        <v>0.98654960000000003</v>
      </c>
      <c r="Y5379">
        <v>9.5313389999999998E-2</v>
      </c>
      <c r="Z5379">
        <v>-8.2695679999999997E-3</v>
      </c>
      <c r="AA5379">
        <v>0.99541290000000004</v>
      </c>
      <c r="AB5379">
        <v>24</v>
      </c>
      <c r="AC5379">
        <v>0.68229999999999702</v>
      </c>
      <c r="AD5379">
        <v>-0.13159989999999999</v>
      </c>
      <c r="AE5379">
        <v>-7.6020000000003293E-2</v>
      </c>
      <c r="AF5379">
        <v>7.5397749082181498E-2</v>
      </c>
      <c r="AG5379">
        <v>-0.13159989999999999</v>
      </c>
      <c r="AH5379">
        <v>0.65788308091095304</v>
      </c>
      <c r="AI5379">
        <v>101.24019612290699</v>
      </c>
      <c r="AJ5379">
        <v>83.462050034350895</v>
      </c>
      <c r="AK5379">
        <v>0.67513961696493396</v>
      </c>
      <c r="AL5379">
        <v>80.6207651839037</v>
      </c>
      <c r="AM5379">
        <v>89.262620414028504</v>
      </c>
      <c r="AN5379">
        <v>1.0000000170429999</v>
      </c>
    </row>
    <row r="5380" spans="1:40" x14ac:dyDescent="0.25">
      <c r="A5380" t="str">
        <f>"20190312173035837"</f>
        <v>20190312173035837</v>
      </c>
      <c r="B5380" t="str">
        <f>"1552383035833473"</f>
        <v>1552383035833473</v>
      </c>
      <c r="C5380" t="s">
        <v>40</v>
      </c>
      <c r="D5380">
        <v>3.4895890000000001</v>
      </c>
      <c r="E5380">
        <v>0.54651300000000003</v>
      </c>
      <c r="F5380" t="s">
        <v>42</v>
      </c>
      <c r="G5380">
        <v>-363.09390000000002</v>
      </c>
      <c r="H5380">
        <v>0.95696590000000004</v>
      </c>
      <c r="I5380">
        <v>17.277529999999999</v>
      </c>
      <c r="J5380">
        <v>-363.84469999999999</v>
      </c>
      <c r="K5380">
        <v>1.1096629999999901</v>
      </c>
      <c r="L5380">
        <v>17.367920000000002</v>
      </c>
      <c r="M5380">
        <v>0.99994530000000004</v>
      </c>
      <c r="N5380">
        <v>0</v>
      </c>
      <c r="O5380">
        <v>3.1068250000000001E-3</v>
      </c>
      <c r="P5380">
        <v>0.98818300000000003</v>
      </c>
      <c r="Q5380">
        <v>0.15297569999999999</v>
      </c>
      <c r="R5380">
        <v>-9.6401720000000007E-3</v>
      </c>
      <c r="S5380">
        <v>3.1161189999999999</v>
      </c>
      <c r="T5380">
        <v>-0.5374063</v>
      </c>
      <c r="U5380">
        <v>-0.31610110000000002</v>
      </c>
      <c r="V5380">
        <v>1.2736290000000001E-2</v>
      </c>
      <c r="W5380">
        <v>0.16283529999999999</v>
      </c>
      <c r="X5380">
        <v>0.98657110000000003</v>
      </c>
      <c r="Y5380">
        <v>0.1024704</v>
      </c>
      <c r="Z5380">
        <v>-9.2799149999999997E-3</v>
      </c>
      <c r="AA5380">
        <v>0.99469269999999999</v>
      </c>
      <c r="AB5380">
        <v>24</v>
      </c>
      <c r="AC5380">
        <v>0.75079999999996905</v>
      </c>
      <c r="AD5380">
        <v>-0.152697099999999</v>
      </c>
      <c r="AE5380">
        <v>-9.0390000000002801E-2</v>
      </c>
      <c r="AF5380">
        <v>8.9089898426203504E-2</v>
      </c>
      <c r="AG5380">
        <v>-0.152697099999999</v>
      </c>
      <c r="AH5380">
        <v>0.72111416814742502</v>
      </c>
      <c r="AI5380">
        <v>101.868223167276</v>
      </c>
      <c r="AJ5380">
        <v>82.957092966523703</v>
      </c>
      <c r="AK5380">
        <v>0.74246822009629099</v>
      </c>
      <c r="AL5380">
        <v>80.628494731036497</v>
      </c>
      <c r="AM5380">
        <v>89.260372487424405</v>
      </c>
      <c r="AN5380">
        <v>1.00000004168213</v>
      </c>
    </row>
    <row r="5381" spans="1:40" x14ac:dyDescent="0.25">
      <c r="A5381" t="str">
        <f>"20190312173035849"</f>
        <v>20190312173035849</v>
      </c>
      <c r="B5381" t="str">
        <f>"1552383035843234"</f>
        <v>1552383035843234</v>
      </c>
      <c r="C5381" t="s">
        <v>40</v>
      </c>
      <c r="D5381">
        <v>3.4503900000000001</v>
      </c>
      <c r="E5381">
        <v>0.54867180000000004</v>
      </c>
      <c r="F5381" t="s">
        <v>42</v>
      </c>
      <c r="G5381">
        <v>-363.08780000000002</v>
      </c>
      <c r="H5381">
        <v>0.9697865</v>
      </c>
      <c r="I5381">
        <v>17.281579999999899</v>
      </c>
      <c r="J5381">
        <v>-363.71949999999998</v>
      </c>
      <c r="K5381">
        <v>1.1096600000000001</v>
      </c>
      <c r="L5381">
        <v>17.368259999999999</v>
      </c>
      <c r="M5381">
        <v>0.99994570000000005</v>
      </c>
      <c r="N5381">
        <v>0</v>
      </c>
      <c r="O5381">
        <v>3.0673570000000002E-3</v>
      </c>
      <c r="P5381">
        <v>0.98820649999999999</v>
      </c>
      <c r="Q5381">
        <v>0.15284410000000001</v>
      </c>
      <c r="R5381">
        <v>-9.3068539999999998E-3</v>
      </c>
      <c r="S5381">
        <v>3.1217039999999998</v>
      </c>
      <c r="T5381">
        <v>-0.57687279999999996</v>
      </c>
      <c r="U5381">
        <v>-0.3553772</v>
      </c>
      <c r="V5381">
        <v>1.2364099999999999E-2</v>
      </c>
      <c r="W5381">
        <v>0.16268279999999999</v>
      </c>
      <c r="X5381">
        <v>0.9866009</v>
      </c>
      <c r="Y5381">
        <v>0.1141971</v>
      </c>
      <c r="Z5381">
        <v>-1.0990410000000001E-2</v>
      </c>
      <c r="AA5381">
        <v>0.99339730000000004</v>
      </c>
      <c r="AB5381">
        <v>24</v>
      </c>
      <c r="AC5381">
        <v>0.63169999999996596</v>
      </c>
      <c r="AD5381">
        <v>-0.13987350000000001</v>
      </c>
      <c r="AE5381">
        <v>-8.6680000000001201E-2</v>
      </c>
      <c r="AF5381">
        <v>8.4548646780057093E-2</v>
      </c>
      <c r="AG5381">
        <v>-0.13987350000000001</v>
      </c>
      <c r="AH5381">
        <v>0.60244021642345502</v>
      </c>
      <c r="AI5381">
        <v>102.948679190199</v>
      </c>
      <c r="AJ5381">
        <v>82.011080450902995</v>
      </c>
      <c r="AK5381">
        <v>0.62421733718227401</v>
      </c>
      <c r="AL5381">
        <v>80.637349555313605</v>
      </c>
      <c r="AM5381">
        <v>89.282005859388093</v>
      </c>
      <c r="AN5381">
        <v>0.99999995013272802</v>
      </c>
    </row>
    <row r="5382" spans="1:40" x14ac:dyDescent="0.25">
      <c r="A5382" t="str">
        <f>"20190312173035870"</f>
        <v>20190312173035870</v>
      </c>
      <c r="B5382" t="str">
        <f>"1552383035863730"</f>
        <v>1552383035863730</v>
      </c>
      <c r="C5382" t="s">
        <v>40</v>
      </c>
      <c r="D5382">
        <v>3.359197</v>
      </c>
      <c r="E5382">
        <v>0.55186269999999904</v>
      </c>
      <c r="F5382" t="s">
        <v>42</v>
      </c>
      <c r="G5382">
        <v>-362.88299999999998</v>
      </c>
      <c r="H5382">
        <v>0.95089959999999996</v>
      </c>
      <c r="I5382">
        <v>17.268429999999999</v>
      </c>
      <c r="J5382">
        <v>-363.49110000000002</v>
      </c>
      <c r="K5382">
        <v>1.1096509999999999</v>
      </c>
      <c r="L5382">
        <v>17.3689</v>
      </c>
      <c r="M5382">
        <v>0.99994640000000001</v>
      </c>
      <c r="N5382">
        <v>0</v>
      </c>
      <c r="O5382">
        <v>2.9954729999999998E-3</v>
      </c>
      <c r="P5382">
        <v>0.98818419999999896</v>
      </c>
      <c r="Q5382">
        <v>0.15299079999999901</v>
      </c>
      <c r="R5382">
        <v>-9.2881430000000004E-3</v>
      </c>
      <c r="S5382">
        <v>3.1239620000000001</v>
      </c>
      <c r="T5382">
        <v>-0.59285699999999997</v>
      </c>
      <c r="U5382">
        <v>-0.37109379999999997</v>
      </c>
      <c r="V5382">
        <v>1.227429E-2</v>
      </c>
      <c r="W5382">
        <v>0.1627943</v>
      </c>
      <c r="X5382">
        <v>0.98658369999999995</v>
      </c>
      <c r="Y5382">
        <v>0.1187904</v>
      </c>
      <c r="Z5382">
        <v>-1.169561E-2</v>
      </c>
      <c r="AA5382">
        <v>0.99285049999999997</v>
      </c>
      <c r="AB5382">
        <v>24</v>
      </c>
      <c r="AC5382">
        <v>0.60809999999997899</v>
      </c>
      <c r="AD5382">
        <v>-0.15875139999999999</v>
      </c>
      <c r="AE5382">
        <v>-0.100470000000001</v>
      </c>
      <c r="AF5382">
        <v>9.5927179964300197E-2</v>
      </c>
      <c r="AG5382">
        <v>-0.15875139999999999</v>
      </c>
      <c r="AH5382">
        <v>0.56998249405485202</v>
      </c>
      <c r="AI5382">
        <v>105.357989350477</v>
      </c>
      <c r="AJ5382">
        <v>80.4467335610248</v>
      </c>
      <c r="AK5382">
        <v>0.59940309841279005</v>
      </c>
      <c r="AL5382">
        <v>80.630875419283001</v>
      </c>
      <c r="AM5382">
        <v>89.287208239641998</v>
      </c>
      <c r="AN5382">
        <v>1.0000000197065899</v>
      </c>
    </row>
    <row r="5383" spans="1:40" x14ac:dyDescent="0.25">
      <c r="A5383" t="str">
        <f>"20190312173035881"</f>
        <v>20190312173035881</v>
      </c>
      <c r="B5383" t="str">
        <f>"1552383035873490"</f>
        <v>1552383035873490</v>
      </c>
      <c r="C5383" t="s">
        <v>40</v>
      </c>
      <c r="D5383">
        <v>3.3690349999999998</v>
      </c>
      <c r="E5383">
        <v>0.55321109999999996</v>
      </c>
      <c r="F5383" t="s">
        <v>42</v>
      </c>
      <c r="G5383">
        <v>-362.6703</v>
      </c>
      <c r="H5383">
        <v>0.94807920000000001</v>
      </c>
      <c r="I5383">
        <v>17.265079999999902</v>
      </c>
      <c r="J5383">
        <v>-363.36860000000001</v>
      </c>
      <c r="K5383">
        <v>1.1096469999999901</v>
      </c>
      <c r="L5383">
        <v>17.369199999999999</v>
      </c>
      <c r="M5383">
        <v>0.99994649999999996</v>
      </c>
      <c r="N5383">
        <v>0</v>
      </c>
      <c r="O5383">
        <v>2.957234E-3</v>
      </c>
      <c r="P5383">
        <v>0.9881643</v>
      </c>
      <c r="Q5383">
        <v>0.1531052</v>
      </c>
      <c r="R5383">
        <v>-9.4924829999999995E-3</v>
      </c>
      <c r="S5383">
        <v>3.127472</v>
      </c>
      <c r="T5383">
        <v>-0.61571989999999999</v>
      </c>
      <c r="U5383">
        <v>-0.39520260000000001</v>
      </c>
      <c r="V5383">
        <v>1.244082E-2</v>
      </c>
      <c r="W5383">
        <v>0.16289120000000001</v>
      </c>
      <c r="X5383">
        <v>0.98656560000000004</v>
      </c>
      <c r="Y5383">
        <v>0.1258668</v>
      </c>
      <c r="Z5383">
        <v>-1.279947E-2</v>
      </c>
      <c r="AA5383">
        <v>0.99196459999999997</v>
      </c>
      <c r="AB5383">
        <v>24</v>
      </c>
      <c r="AC5383">
        <v>0.69830000000001702</v>
      </c>
      <c r="AD5383">
        <v>-0.16156779999999901</v>
      </c>
      <c r="AE5383">
        <v>-0.104120000000001</v>
      </c>
      <c r="AF5383">
        <v>0.10090059894919499</v>
      </c>
      <c r="AG5383">
        <v>-0.16156779999999901</v>
      </c>
      <c r="AH5383">
        <v>0.66325489544155802</v>
      </c>
      <c r="AI5383">
        <v>103.540555597519</v>
      </c>
      <c r="AJ5383">
        <v>81.349948407888903</v>
      </c>
      <c r="AK5383">
        <v>0.690066765749763</v>
      </c>
      <c r="AL5383">
        <v>80.625248162680705</v>
      </c>
      <c r="AM5383">
        <v>89.277525285409794</v>
      </c>
      <c r="AN5383">
        <v>1.0000000000715299</v>
      </c>
    </row>
    <row r="5384" spans="1:40" x14ac:dyDescent="0.25">
      <c r="A5384" t="str">
        <f>"20190312173035893"</f>
        <v>20190312173035893</v>
      </c>
      <c r="B5384" t="str">
        <f>"1552383035883250"</f>
        <v>1552383035883250</v>
      </c>
      <c r="C5384" t="s">
        <v>40</v>
      </c>
      <c r="D5384">
        <v>3.4711090000000002</v>
      </c>
      <c r="E5384">
        <v>0.55464690000000005</v>
      </c>
      <c r="F5384" t="s">
        <v>42</v>
      </c>
      <c r="G5384">
        <v>-362.66090000000003</v>
      </c>
      <c r="H5384">
        <v>0.96835959999999999</v>
      </c>
      <c r="I5384">
        <v>17.277290000000001</v>
      </c>
      <c r="J5384">
        <v>-363.25240000000002</v>
      </c>
      <c r="K5384">
        <v>1.1096469999999901</v>
      </c>
      <c r="L5384">
        <v>17.369540000000001</v>
      </c>
      <c r="M5384">
        <v>0.99994680000000002</v>
      </c>
      <c r="N5384">
        <v>0</v>
      </c>
      <c r="O5384">
        <v>2.9205939999999999E-3</v>
      </c>
      <c r="P5384">
        <v>0.98816420000000005</v>
      </c>
      <c r="Q5384">
        <v>0.153109299999999</v>
      </c>
      <c r="R5384">
        <v>-9.4567390000000005E-3</v>
      </c>
      <c r="S5384">
        <v>3.1288149999999999</v>
      </c>
      <c r="T5384">
        <v>-0.62467499999999998</v>
      </c>
      <c r="U5384">
        <v>-0.40585329999999997</v>
      </c>
      <c r="V5384">
        <v>1.236888E-2</v>
      </c>
      <c r="W5384">
        <v>0.1628809</v>
      </c>
      <c r="X5384">
        <v>0.98656820000000001</v>
      </c>
      <c r="Y5384">
        <v>0.12897229999999901</v>
      </c>
      <c r="Z5384">
        <v>-1.327247E-2</v>
      </c>
      <c r="AA5384">
        <v>0.99155939999999998</v>
      </c>
      <c r="AB5384">
        <v>24</v>
      </c>
      <c r="AC5384">
        <v>0.59149999999999603</v>
      </c>
      <c r="AD5384">
        <v>-0.14128739999999901</v>
      </c>
      <c r="AE5384">
        <v>-9.2249999999999902E-2</v>
      </c>
      <c r="AF5384">
        <v>8.9018816085501398E-2</v>
      </c>
      <c r="AG5384">
        <v>-0.14128739999999901</v>
      </c>
      <c r="AH5384">
        <v>0.56003379034426204</v>
      </c>
      <c r="AI5384">
        <v>103.99070868704</v>
      </c>
      <c r="AJ5384">
        <v>80.968247367008203</v>
      </c>
      <c r="AK5384">
        <v>0.58440082592633802</v>
      </c>
      <c r="AL5384">
        <v>80.625846249530099</v>
      </c>
      <c r="AM5384">
        <v>89.281704504903502</v>
      </c>
      <c r="AN5384">
        <v>0.99999999501425196</v>
      </c>
    </row>
    <row r="5385" spans="1:40" x14ac:dyDescent="0.25">
      <c r="A5385" t="str">
        <f>"20190312173035903"</f>
        <v>20190312173035903</v>
      </c>
      <c r="B5385" t="str">
        <f>"1552383035893010"</f>
        <v>1552383035893010</v>
      </c>
      <c r="C5385" t="s">
        <v>40</v>
      </c>
      <c r="D5385">
        <v>3.4082789999999998</v>
      </c>
      <c r="E5385">
        <v>0.55570330000000001</v>
      </c>
      <c r="F5385" t="s">
        <v>42</v>
      </c>
      <c r="G5385">
        <v>-362.45589999999999</v>
      </c>
      <c r="H5385">
        <v>0.94837749999999998</v>
      </c>
      <c r="I5385">
        <v>17.263269999999999</v>
      </c>
      <c r="J5385">
        <v>-363.13400000000001</v>
      </c>
      <c r="K5385">
        <v>1.109645</v>
      </c>
      <c r="L5385">
        <v>17.369810000000001</v>
      </c>
      <c r="M5385">
        <v>0.99994709999999998</v>
      </c>
      <c r="N5385">
        <v>0</v>
      </c>
      <c r="O5385">
        <v>2.8832990000000002E-3</v>
      </c>
      <c r="P5385">
        <v>0.98816309999999996</v>
      </c>
      <c r="Q5385">
        <v>0.15311179999999999</v>
      </c>
      <c r="R5385">
        <v>-9.5302679999999997E-3</v>
      </c>
      <c r="S5385">
        <v>3.1301570000000001</v>
      </c>
      <c r="T5385">
        <v>-0.6337526</v>
      </c>
      <c r="U5385">
        <v>-0.41647339999999999</v>
      </c>
      <c r="V5385">
        <v>1.240576E-2</v>
      </c>
      <c r="W5385">
        <v>0.16286819999999999</v>
      </c>
      <c r="X5385">
        <v>0.98656980000000005</v>
      </c>
      <c r="Y5385">
        <v>0.13205620000000001</v>
      </c>
      <c r="Z5385">
        <v>-1.3753380000000001E-2</v>
      </c>
      <c r="AA5385">
        <v>0.99114679999999999</v>
      </c>
      <c r="AB5385">
        <v>24</v>
      </c>
      <c r="AC5385">
        <v>0.67810000000002801</v>
      </c>
      <c r="AD5385">
        <v>-0.16126750000000001</v>
      </c>
      <c r="AE5385">
        <v>-0.106539999999998</v>
      </c>
      <c r="AF5385">
        <v>0.102819486961875</v>
      </c>
      <c r="AG5385">
        <v>-0.16126750000000001</v>
      </c>
      <c r="AH5385">
        <v>0.64233499427492102</v>
      </c>
      <c r="AI5385">
        <v>103.923403199861</v>
      </c>
      <c r="AJ5385">
        <v>80.9057321302476</v>
      </c>
      <c r="AK5385">
        <v>0.67020392294100695</v>
      </c>
      <c r="AL5385">
        <v>80.626583440438296</v>
      </c>
      <c r="AM5385">
        <v>89.279564173708295</v>
      </c>
      <c r="AN5385">
        <v>0.99999996186222795</v>
      </c>
    </row>
    <row r="5386" spans="1:40" x14ac:dyDescent="0.25">
      <c r="A5386" t="str">
        <f>"20190312173035914"</f>
        <v>20190312173035914</v>
      </c>
      <c r="B5386" t="str">
        <f>"1552383035902770"</f>
        <v>1552383035902770</v>
      </c>
      <c r="C5386" t="s">
        <v>40</v>
      </c>
      <c r="D5386">
        <v>3.485611</v>
      </c>
      <c r="E5386">
        <v>0.55676599999999998</v>
      </c>
      <c r="F5386" t="s">
        <v>42</v>
      </c>
      <c r="G5386">
        <v>-362.25</v>
      </c>
      <c r="H5386">
        <v>0.92875989999999997</v>
      </c>
      <c r="I5386">
        <v>17.249639999999999</v>
      </c>
      <c r="J5386">
        <v>-363.01459999999997</v>
      </c>
      <c r="K5386">
        <v>1.1096429999999999</v>
      </c>
      <c r="L5386">
        <v>17.370149999999999</v>
      </c>
      <c r="M5386">
        <v>0.99994729999999998</v>
      </c>
      <c r="N5386">
        <v>0</v>
      </c>
      <c r="O5386">
        <v>2.8459969999999998E-3</v>
      </c>
      <c r="P5386">
        <v>0.98817549999999998</v>
      </c>
      <c r="Q5386">
        <v>0.15303439999999999</v>
      </c>
      <c r="R5386">
        <v>-9.4757290000000004E-3</v>
      </c>
      <c r="S5386">
        <v>3.1311040000000001</v>
      </c>
      <c r="T5386">
        <v>-0.64070439999999995</v>
      </c>
      <c r="U5386">
        <v>-0.42477419999999999</v>
      </c>
      <c r="V5386">
        <v>1.231437E-2</v>
      </c>
      <c r="W5386">
        <v>0.1627769</v>
      </c>
      <c r="X5386">
        <v>0.98658599999999996</v>
      </c>
      <c r="Y5386">
        <v>0.13445660000000001</v>
      </c>
      <c r="Z5386">
        <v>-1.4129259999999999E-2</v>
      </c>
      <c r="AA5386">
        <v>0.99081870000000005</v>
      </c>
      <c r="AB5386">
        <v>24</v>
      </c>
      <c r="AC5386">
        <v>0.76459999999997297</v>
      </c>
      <c r="AD5386">
        <v>-0.18088309999999999</v>
      </c>
      <c r="AE5386">
        <v>-0.12050999999999901</v>
      </c>
      <c r="AF5386">
        <v>0.11633275683449699</v>
      </c>
      <c r="AG5386">
        <v>-0.18088309999999999</v>
      </c>
      <c r="AH5386">
        <v>0.724679312711205</v>
      </c>
      <c r="AI5386">
        <v>103.844597825126</v>
      </c>
      <c r="AJ5386">
        <v>80.880117771468804</v>
      </c>
      <c r="AK5386">
        <v>0.75591805934896705</v>
      </c>
      <c r="AL5386">
        <v>80.631885176363298</v>
      </c>
      <c r="AM5386">
        <v>89.284882624805803</v>
      </c>
      <c r="AN5386">
        <v>0.99999994913905199</v>
      </c>
    </row>
    <row r="5387" spans="1:40" x14ac:dyDescent="0.25">
      <c r="A5387" t="str">
        <f>"20190312173035925"</f>
        <v>20190312173035925</v>
      </c>
      <c r="B5387" t="str">
        <f>"1552383035923266"</f>
        <v>1552383035923266</v>
      </c>
      <c r="C5387" t="s">
        <v>40</v>
      </c>
      <c r="D5387">
        <v>3.483571</v>
      </c>
      <c r="E5387">
        <v>0.55882279999999995</v>
      </c>
      <c r="F5387" t="s">
        <v>42</v>
      </c>
      <c r="G5387">
        <v>-362.2407</v>
      </c>
      <c r="H5387">
        <v>0.94966459999999997</v>
      </c>
      <c r="I5387">
        <v>17.262920000000001</v>
      </c>
      <c r="J5387">
        <v>-362.90300000000002</v>
      </c>
      <c r="K5387">
        <v>1.109642</v>
      </c>
      <c r="L5387">
        <v>17.370419999999999</v>
      </c>
      <c r="M5387">
        <v>0.99994760000000005</v>
      </c>
      <c r="N5387">
        <v>0</v>
      </c>
      <c r="O5387">
        <v>2.8108949999999999E-3</v>
      </c>
      <c r="P5387">
        <v>0.98818989999999995</v>
      </c>
      <c r="Q5387">
        <v>0.15295029999999901</v>
      </c>
      <c r="R5387">
        <v>-9.3374579999999999E-3</v>
      </c>
      <c r="S5387">
        <v>3.13205</v>
      </c>
      <c r="T5387">
        <v>-0.64747129999999997</v>
      </c>
      <c r="U5387">
        <v>-0.43298340000000002</v>
      </c>
      <c r="V5387">
        <v>1.21414E-2</v>
      </c>
      <c r="W5387">
        <v>0.16267999999999999</v>
      </c>
      <c r="X5387">
        <v>0.98660420000000004</v>
      </c>
      <c r="Y5387">
        <v>0.13682649999999999</v>
      </c>
      <c r="Z5387">
        <v>-1.4502960000000001E-2</v>
      </c>
      <c r="AA5387">
        <v>0.99048879999999995</v>
      </c>
      <c r="AB5387">
        <v>24</v>
      </c>
      <c r="AC5387">
        <v>0.66230000000001599</v>
      </c>
      <c r="AD5387">
        <v>-0.15997739999999899</v>
      </c>
      <c r="AE5387">
        <v>-0.107500000000001</v>
      </c>
      <c r="AF5387">
        <v>0.103478773965376</v>
      </c>
      <c r="AG5387">
        <v>-0.15997739999999899</v>
      </c>
      <c r="AH5387">
        <v>0.62638646488418803</v>
      </c>
      <c r="AI5387">
        <v>104.143074706609</v>
      </c>
      <c r="AJ5387">
        <v>80.619483857079402</v>
      </c>
      <c r="AK5387">
        <v>0.65472179478175896</v>
      </c>
      <c r="AL5387">
        <v>80.637512825797501</v>
      </c>
      <c r="AM5387">
        <v>89.294939284447693</v>
      </c>
      <c r="AN5387">
        <v>1.0000000217257901</v>
      </c>
    </row>
    <row r="5388" spans="1:40" x14ac:dyDescent="0.25">
      <c r="A5388" t="str">
        <f>"20190312173035935"</f>
        <v>20190312173035935</v>
      </c>
      <c r="B5388" t="str">
        <f>"1552383035933026"</f>
        <v>1552383035933026</v>
      </c>
      <c r="C5388" t="s">
        <v>40</v>
      </c>
      <c r="D5388">
        <v>3.395918</v>
      </c>
      <c r="E5388">
        <v>0.55940040000000002</v>
      </c>
      <c r="F5388" t="s">
        <v>42</v>
      </c>
      <c r="G5388">
        <v>-362.03559999999999</v>
      </c>
      <c r="H5388">
        <v>0.92726399999999998</v>
      </c>
      <c r="I5388">
        <v>17.24567</v>
      </c>
      <c r="J5388">
        <v>-362.78280000000001</v>
      </c>
      <c r="K5388">
        <v>1.1096379999999999</v>
      </c>
      <c r="L5388">
        <v>17.370699999999999</v>
      </c>
      <c r="M5388">
        <v>0.99994780000000005</v>
      </c>
      <c r="N5388">
        <v>0</v>
      </c>
      <c r="O5388">
        <v>2.773228E-3</v>
      </c>
      <c r="P5388">
        <v>0.98819140000000005</v>
      </c>
      <c r="Q5388">
        <v>0.15295510000000001</v>
      </c>
      <c r="R5388">
        <v>-9.0975959999999995E-3</v>
      </c>
      <c r="S5388">
        <v>3.1336059999999999</v>
      </c>
      <c r="T5388">
        <v>-0.65892109999999904</v>
      </c>
      <c r="U5388">
        <v>-0.448822</v>
      </c>
      <c r="V5388">
        <v>1.1864390000000001E-2</v>
      </c>
      <c r="W5388">
        <v>0.16267290000000001</v>
      </c>
      <c r="X5388">
        <v>0.98660870000000001</v>
      </c>
      <c r="Y5388">
        <v>0.14143530000000001</v>
      </c>
      <c r="Z5388">
        <v>-1.5211099999999899E-2</v>
      </c>
      <c r="AA5388">
        <v>0.9898306</v>
      </c>
      <c r="AB5388">
        <v>24</v>
      </c>
      <c r="AC5388">
        <v>0.74720000000001996</v>
      </c>
      <c r="AD5388">
        <v>-0.18237399999999901</v>
      </c>
      <c r="AE5388">
        <v>-0.125029999999998</v>
      </c>
      <c r="AF5388">
        <v>0.12013959512668</v>
      </c>
      <c r="AG5388">
        <v>-0.18237399999999901</v>
      </c>
      <c r="AH5388">
        <v>0.70594058342847499</v>
      </c>
      <c r="AI5388">
        <v>104.288340328096</v>
      </c>
      <c r="AJ5388">
        <v>80.341724238967103</v>
      </c>
      <c r="AK5388">
        <v>0.73894919008314697</v>
      </c>
      <c r="AL5388">
        <v>80.637924738070794</v>
      </c>
      <c r="AM5388">
        <v>89.311027048002103</v>
      </c>
      <c r="AN5388">
        <v>0.99999998153008596</v>
      </c>
    </row>
    <row r="5389" spans="1:40" x14ac:dyDescent="0.25">
      <c r="A5389" t="str">
        <f>"20190312173035946"</f>
        <v>20190312173035946</v>
      </c>
      <c r="B5389" t="str">
        <f>"1552383035942787"</f>
        <v>1552383035942787</v>
      </c>
      <c r="C5389" t="s">
        <v>40</v>
      </c>
      <c r="D5389">
        <v>3.3977460000000002</v>
      </c>
      <c r="E5389">
        <v>0.559936199999999</v>
      </c>
      <c r="F5389" t="s">
        <v>42</v>
      </c>
      <c r="G5389">
        <v>-362.0258</v>
      </c>
      <c r="H5389">
        <v>0.94942800000000005</v>
      </c>
      <c r="I5389">
        <v>17.260870000000001</v>
      </c>
      <c r="J5389">
        <v>-362.67160000000001</v>
      </c>
      <c r="K5389">
        <v>1.1096360000000001</v>
      </c>
      <c r="L5389">
        <v>17.370999999999999</v>
      </c>
      <c r="M5389">
        <v>0.99994810000000001</v>
      </c>
      <c r="N5389">
        <v>0</v>
      </c>
      <c r="O5389">
        <v>2.7381179999999999E-3</v>
      </c>
      <c r="P5389">
        <v>0.98819420000000002</v>
      </c>
      <c r="Q5389">
        <v>0.15295320000000001</v>
      </c>
      <c r="R5389">
        <v>-8.8340280000000007E-3</v>
      </c>
      <c r="S5389">
        <v>3.1343380000000001</v>
      </c>
      <c r="T5389">
        <v>-0.66334530000000003</v>
      </c>
      <c r="U5389">
        <v>-0.45257570000000003</v>
      </c>
      <c r="V5389">
        <v>1.1566140000000001E-2</v>
      </c>
      <c r="W5389">
        <v>0.16265969999999999</v>
      </c>
      <c r="X5389">
        <v>0.9866144</v>
      </c>
      <c r="Y5389">
        <v>0.1424686</v>
      </c>
      <c r="Z5389">
        <v>-1.5406629999999999E-2</v>
      </c>
      <c r="AA5389">
        <v>0.98967939999999999</v>
      </c>
      <c r="AB5389">
        <v>24</v>
      </c>
      <c r="AC5389">
        <v>0.64580000000000803</v>
      </c>
      <c r="AD5389">
        <v>-0.16020799999999999</v>
      </c>
      <c r="AE5389">
        <v>-0.11012999999999799</v>
      </c>
      <c r="AF5389">
        <v>0.105583730560288</v>
      </c>
      <c r="AG5389">
        <v>-0.16020799999999999</v>
      </c>
      <c r="AH5389">
        <v>0.60907173059647501</v>
      </c>
      <c r="AI5389">
        <v>104.52971703922</v>
      </c>
      <c r="AJ5389">
        <v>80.165404296727502</v>
      </c>
      <c r="AK5389">
        <v>0.63857881301747899</v>
      </c>
      <c r="AL5389">
        <v>80.638691085338905</v>
      </c>
      <c r="AM5389">
        <v>89.328348895115994</v>
      </c>
      <c r="AN5389">
        <v>0.99999996394297397</v>
      </c>
    </row>
    <row r="5390" spans="1:40" x14ac:dyDescent="0.25">
      <c r="A5390" t="str">
        <f>"20190312173035958"</f>
        <v>20190312173035958</v>
      </c>
      <c r="B5390" t="str">
        <f>"1552383035953522"</f>
        <v>1552383035953522</v>
      </c>
      <c r="C5390" t="s">
        <v>40</v>
      </c>
      <c r="D5390">
        <v>3.4253809999999998</v>
      </c>
      <c r="E5390">
        <v>0.56047369999999996</v>
      </c>
      <c r="F5390" t="s">
        <v>42</v>
      </c>
      <c r="G5390">
        <v>-361.81990000000002</v>
      </c>
      <c r="H5390">
        <v>0.92842400000000003</v>
      </c>
      <c r="I5390">
        <v>17.24699</v>
      </c>
      <c r="J5390">
        <v>-362.54829999999998</v>
      </c>
      <c r="K5390">
        <v>1.109634</v>
      </c>
      <c r="L5390">
        <v>17.371279999999999</v>
      </c>
      <c r="M5390">
        <v>0.99994819999999995</v>
      </c>
      <c r="N5390">
        <v>0</v>
      </c>
      <c r="O5390">
        <v>2.6996099999999999E-3</v>
      </c>
      <c r="P5390">
        <v>0.98822460000000001</v>
      </c>
      <c r="Q5390">
        <v>0.1527522</v>
      </c>
      <c r="R5390">
        <v>-8.8842959999999999E-3</v>
      </c>
      <c r="S5390">
        <v>3.1350099999999999</v>
      </c>
      <c r="T5390">
        <v>-0.66704960000000002</v>
      </c>
      <c r="U5390">
        <v>-0.45626830000000002</v>
      </c>
      <c r="V5390">
        <v>1.1578420000000001E-2</v>
      </c>
      <c r="W5390">
        <v>0.1624476</v>
      </c>
      <c r="X5390">
        <v>0.98664929999999995</v>
      </c>
      <c r="Y5390">
        <v>0.1434877</v>
      </c>
      <c r="Z5390">
        <v>-1.558496E-2</v>
      </c>
      <c r="AA5390">
        <v>0.9895294</v>
      </c>
      <c r="AB5390">
        <v>24</v>
      </c>
      <c r="AC5390">
        <v>0.72839999999996496</v>
      </c>
      <c r="AD5390">
        <v>-0.18121000000000001</v>
      </c>
      <c r="AE5390">
        <v>-0.124289999999998</v>
      </c>
      <c r="AF5390">
        <v>0.11909379194204001</v>
      </c>
      <c r="AG5390">
        <v>-0.18121000000000001</v>
      </c>
      <c r="AH5390">
        <v>0.68676034437922295</v>
      </c>
      <c r="AI5390">
        <v>104.573243705455</v>
      </c>
      <c r="AJ5390">
        <v>80.161954427478406</v>
      </c>
      <c r="AK5390">
        <v>0.72018064816475202</v>
      </c>
      <c r="AL5390">
        <v>80.651008254081304</v>
      </c>
      <c r="AM5390">
        <v>89.327659636106901</v>
      </c>
      <c r="AN5390">
        <v>1.0000000618729701</v>
      </c>
    </row>
    <row r="5391" spans="1:40" x14ac:dyDescent="0.25">
      <c r="A5391" t="str">
        <f>"20190312173035970"</f>
        <v>20190312173035970</v>
      </c>
      <c r="B5391" t="str">
        <f>"1552383035963285"</f>
        <v>1552383035963285</v>
      </c>
      <c r="C5391" t="s">
        <v>40</v>
      </c>
      <c r="D5391">
        <v>3.4109129999999999</v>
      </c>
      <c r="E5391">
        <v>0.56099080000000001</v>
      </c>
      <c r="F5391" t="s">
        <v>42</v>
      </c>
      <c r="G5391">
        <v>-361.80959999999999</v>
      </c>
      <c r="H5391">
        <v>0.95149640000000002</v>
      </c>
      <c r="I5391">
        <v>17.262619999999998</v>
      </c>
      <c r="J5391">
        <v>-362.42919999999998</v>
      </c>
      <c r="K5391">
        <v>1.1096299999999999</v>
      </c>
      <c r="L5391">
        <v>17.371579999999899</v>
      </c>
      <c r="M5391">
        <v>0.99994839999999996</v>
      </c>
      <c r="N5391">
        <v>0</v>
      </c>
      <c r="O5391">
        <v>2.6621190000000001E-3</v>
      </c>
      <c r="P5391">
        <v>0.98821079999999994</v>
      </c>
      <c r="Q5391">
        <v>0.15284519999999999</v>
      </c>
      <c r="R5391">
        <v>-8.839731E-3</v>
      </c>
      <c r="S5391">
        <v>3.135345</v>
      </c>
      <c r="T5391">
        <v>-0.67115880000000006</v>
      </c>
      <c r="U5391">
        <v>-0.4609375</v>
      </c>
      <c r="V5391">
        <v>1.149674E-2</v>
      </c>
      <c r="W5391">
        <v>0.16252849999999999</v>
      </c>
      <c r="X5391">
        <v>0.98663690000000004</v>
      </c>
      <c r="Y5391">
        <v>0.144812</v>
      </c>
      <c r="Z5391">
        <v>-1.5807149999999999E-2</v>
      </c>
      <c r="AA5391">
        <v>0.98933289999999996</v>
      </c>
      <c r="AB5391">
        <v>24</v>
      </c>
      <c r="AC5391">
        <v>0.61959999999999105</v>
      </c>
      <c r="AD5391">
        <v>-0.15813359999999901</v>
      </c>
      <c r="AE5391">
        <v>-0.108959999999996</v>
      </c>
      <c r="AF5391">
        <v>0.104035871829725</v>
      </c>
      <c r="AG5391">
        <v>-0.15813359999999901</v>
      </c>
      <c r="AH5391">
        <v>0.58250356147960303</v>
      </c>
      <c r="AI5391">
        <v>104.96226702173399</v>
      </c>
      <c r="AJ5391">
        <v>79.873671785857098</v>
      </c>
      <c r="AK5391">
        <v>0.61248681390928905</v>
      </c>
      <c r="AL5391">
        <v>80.646310299238607</v>
      </c>
      <c r="AM5391">
        <v>89.332393842925995</v>
      </c>
      <c r="AN5391">
        <v>1.0000000303922401</v>
      </c>
    </row>
    <row r="5392" spans="1:40" x14ac:dyDescent="0.25">
      <c r="A5392" t="str">
        <f>"20190312173035981"</f>
        <v>20190312173035981</v>
      </c>
      <c r="B5392" t="str">
        <f>"1552383035973042"</f>
        <v>1552383035973042</v>
      </c>
      <c r="C5392" t="s">
        <v>40</v>
      </c>
      <c r="D5392">
        <v>3.3821449999999902</v>
      </c>
      <c r="E5392">
        <v>0.56162639999999997</v>
      </c>
      <c r="F5392" t="s">
        <v>42</v>
      </c>
      <c r="G5392">
        <v>-361.60270000000003</v>
      </c>
      <c r="H5392">
        <v>0.93183269999999996</v>
      </c>
      <c r="I5392">
        <v>17.248909999999999</v>
      </c>
      <c r="J5392">
        <v>-362.29329999999999</v>
      </c>
      <c r="K5392">
        <v>1.1096269999999999</v>
      </c>
      <c r="L5392">
        <v>17.37189</v>
      </c>
      <c r="M5392">
        <v>0.99994870000000002</v>
      </c>
      <c r="N5392">
        <v>0</v>
      </c>
      <c r="O5392">
        <v>2.619396E-3</v>
      </c>
      <c r="P5392">
        <v>0.98820229999999998</v>
      </c>
      <c r="Q5392">
        <v>0.152895899999999</v>
      </c>
      <c r="R5392">
        <v>-8.927918E-3</v>
      </c>
      <c r="S5392">
        <v>3.1359859999999999</v>
      </c>
      <c r="T5392">
        <v>-0.67463580000000001</v>
      </c>
      <c r="U5392">
        <v>-0.46435549999999998</v>
      </c>
      <c r="V5392">
        <v>1.1542709999999999E-2</v>
      </c>
      <c r="W5392">
        <v>0.16256519999999999</v>
      </c>
      <c r="X5392">
        <v>0.98663029999999996</v>
      </c>
      <c r="Y5392">
        <v>0.14574429999999999</v>
      </c>
      <c r="Z5392">
        <v>-1.5972469999999999E-2</v>
      </c>
      <c r="AA5392">
        <v>0.9891934</v>
      </c>
      <c r="AB5392">
        <v>24</v>
      </c>
      <c r="AC5392">
        <v>0.69059999999996002</v>
      </c>
      <c r="AD5392">
        <v>-0.17779429999999999</v>
      </c>
      <c r="AE5392">
        <v>-0.12297999999999799</v>
      </c>
      <c r="AF5392">
        <v>0.117255782920081</v>
      </c>
      <c r="AG5392">
        <v>-0.17779429999999999</v>
      </c>
      <c r="AH5392">
        <v>0.648607159488651</v>
      </c>
      <c r="AI5392">
        <v>105.09593813633499</v>
      </c>
      <c r="AJ5392">
        <v>79.752694333860205</v>
      </c>
      <c r="AK5392">
        <v>0.68267926516090105</v>
      </c>
      <c r="AL5392">
        <v>80.644179044246002</v>
      </c>
      <c r="AM5392">
        <v>89.329720162855494</v>
      </c>
      <c r="AN5392">
        <v>1.00000001364163</v>
      </c>
    </row>
    <row r="5393" spans="1:40" x14ac:dyDescent="0.25">
      <c r="A5393" t="str">
        <f>"20190312173035995"</f>
        <v>20190312173035995</v>
      </c>
      <c r="B5393" t="str">
        <f>"1552383035982803"</f>
        <v>1552383035982803</v>
      </c>
      <c r="C5393" t="s">
        <v>40</v>
      </c>
      <c r="D5393">
        <v>3.3768850000000001</v>
      </c>
      <c r="E5393">
        <v>0.56162639999999997</v>
      </c>
      <c r="F5393" t="s">
        <v>42</v>
      </c>
      <c r="G5393">
        <v>-361.59100000000001</v>
      </c>
      <c r="H5393">
        <v>0.95791159999999997</v>
      </c>
      <c r="I5393">
        <v>17.266479999999898</v>
      </c>
      <c r="J5393">
        <v>-362.15190000000001</v>
      </c>
      <c r="K5393">
        <v>1.1096250000000001</v>
      </c>
      <c r="L5393">
        <v>17.372219999999999</v>
      </c>
      <c r="M5393">
        <v>0.99994899999999998</v>
      </c>
      <c r="N5393">
        <v>0</v>
      </c>
      <c r="O5393">
        <v>2.5748889999999999E-3</v>
      </c>
      <c r="P5393">
        <v>0.98818399999999995</v>
      </c>
      <c r="Q5393">
        <v>0.15302109999999999</v>
      </c>
      <c r="R5393">
        <v>-8.7908109999999904E-3</v>
      </c>
      <c r="S5393">
        <v>3.1364139999999998</v>
      </c>
      <c r="T5393">
        <v>-0.6776278</v>
      </c>
      <c r="U5393">
        <v>-0.46948240000000002</v>
      </c>
      <c r="V5393">
        <v>1.136158E-2</v>
      </c>
      <c r="W5393">
        <v>0.16267479999999901</v>
      </c>
      <c r="X5393">
        <v>0.98661430000000006</v>
      </c>
      <c r="Y5393">
        <v>0.14720329999999901</v>
      </c>
      <c r="Z5393">
        <v>-1.6183289999999999E-2</v>
      </c>
      <c r="AA5393">
        <v>0.98897389999999996</v>
      </c>
      <c r="AB5393">
        <v>24</v>
      </c>
      <c r="AC5393">
        <v>0.56090000000000295</v>
      </c>
      <c r="AD5393">
        <v>-0.1517134</v>
      </c>
      <c r="AE5393">
        <v>-0.105740000000004</v>
      </c>
      <c r="AF5393">
        <v>0.100111148739984</v>
      </c>
      <c r="AG5393">
        <v>-0.1517134</v>
      </c>
      <c r="AH5393">
        <v>0.52363144290766295</v>
      </c>
      <c r="AI5393">
        <v>105.885232638593</v>
      </c>
      <c r="AJ5393">
        <v>79.176446440251098</v>
      </c>
      <c r="AK5393">
        <v>0.55428249642502703</v>
      </c>
      <c r="AL5393">
        <v>80.637814359035602</v>
      </c>
      <c r="AM5393">
        <v>89.340226662640504</v>
      </c>
      <c r="AN5393">
        <v>0.99999997650981298</v>
      </c>
    </row>
    <row r="5394" spans="1:40" x14ac:dyDescent="0.25">
      <c r="A5394" t="str">
        <f>"20190312173036007"</f>
        <v>20190312173036007</v>
      </c>
      <c r="B5394" t="str">
        <f>"1552383036003298"</f>
        <v>1552383036003298</v>
      </c>
      <c r="C5394" t="s">
        <v>40</v>
      </c>
      <c r="D5394">
        <v>3.376007</v>
      </c>
      <c r="E5394">
        <v>0.58208119999999997</v>
      </c>
      <c r="F5394" t="s">
        <v>42</v>
      </c>
      <c r="G5394">
        <v>-361.38170000000002</v>
      </c>
      <c r="H5394">
        <v>0.94330170000000002</v>
      </c>
      <c r="I5394">
        <v>17.25675</v>
      </c>
      <c r="J5394">
        <v>-362.03339999999997</v>
      </c>
      <c r="K5394">
        <v>1.1096189999999999</v>
      </c>
      <c r="L5394">
        <v>17.37247</v>
      </c>
      <c r="M5394">
        <v>0.99994919999999998</v>
      </c>
      <c r="N5394">
        <v>0</v>
      </c>
      <c r="O5394">
        <v>2.5375829999999999E-3</v>
      </c>
      <c r="P5394">
        <v>0.98817489999999997</v>
      </c>
      <c r="Q5394">
        <v>0.15308959999999999</v>
      </c>
      <c r="R5394">
        <v>-8.630436E-3</v>
      </c>
      <c r="S5394">
        <v>3.1365660000000002</v>
      </c>
      <c r="T5394">
        <v>-0.67724240000000002</v>
      </c>
      <c r="U5394">
        <v>-0.4689026</v>
      </c>
      <c r="V5394">
        <v>1.1164250000000001E-2</v>
      </c>
      <c r="W5394">
        <v>0.16273029999999999</v>
      </c>
      <c r="X5394">
        <v>0.98660740000000002</v>
      </c>
      <c r="Y5394">
        <v>0.14699019999999999</v>
      </c>
      <c r="Z5394">
        <v>-1.61432E-2</v>
      </c>
      <c r="AA5394">
        <v>0.98900619999999995</v>
      </c>
      <c r="AB5394">
        <v>24</v>
      </c>
      <c r="AC5394">
        <v>0.65169999999994799</v>
      </c>
      <c r="AD5394">
        <v>-0.1663173</v>
      </c>
      <c r="AE5394">
        <v>-0.115719999999999</v>
      </c>
      <c r="AF5394">
        <v>0.110402732004812</v>
      </c>
      <c r="AG5394">
        <v>-0.1663173</v>
      </c>
      <c r="AH5394">
        <v>0.61271785255538602</v>
      </c>
      <c r="AI5394">
        <v>104.95673161367399</v>
      </c>
      <c r="AJ5394">
        <v>79.785744531945994</v>
      </c>
      <c r="AK5394">
        <v>0.64441708105349005</v>
      </c>
      <c r="AL5394">
        <v>80.634591497847595</v>
      </c>
      <c r="AM5394">
        <v>89.351680206233496</v>
      </c>
      <c r="AN5394">
        <v>0.99999997637545601</v>
      </c>
    </row>
    <row r="5395" spans="1:40" x14ac:dyDescent="0.25">
      <c r="A5395" t="str">
        <f>"20190312173036018"</f>
        <v>20190312173036018</v>
      </c>
      <c r="B5395" t="str">
        <f>"1552383036013058"</f>
        <v>1552383036013058</v>
      </c>
      <c r="C5395" t="s">
        <v>40</v>
      </c>
      <c r="D5395">
        <v>3.4092920000000002</v>
      </c>
      <c r="E5395">
        <v>0.58244340000000006</v>
      </c>
      <c r="F5395" t="s">
        <v>42</v>
      </c>
      <c r="G5395">
        <v>-361.17759999999998</v>
      </c>
      <c r="H5395">
        <v>0.90901330000000002</v>
      </c>
      <c r="I5395">
        <v>17.201049999999999</v>
      </c>
      <c r="J5395">
        <v>-361.89620000000002</v>
      </c>
      <c r="K5395">
        <v>1.109615</v>
      </c>
      <c r="L5395">
        <v>17.372769999999999</v>
      </c>
      <c r="M5395">
        <v>0.99994939999999999</v>
      </c>
      <c r="N5395">
        <v>0</v>
      </c>
      <c r="O5395">
        <v>2.4945689999999999E-3</v>
      </c>
      <c r="P5395">
        <v>0.98816530000000002</v>
      </c>
      <c r="Q5395">
        <v>0.15314849999999999</v>
      </c>
      <c r="R5395">
        <v>-8.6649239999999992E-3</v>
      </c>
      <c r="S5395">
        <v>3.1445919999999998</v>
      </c>
      <c r="T5395">
        <v>-0.737116199999999</v>
      </c>
      <c r="U5395">
        <v>-0.62911989999999995</v>
      </c>
      <c r="V5395">
        <v>1.1156309999999999E-2</v>
      </c>
      <c r="W5395">
        <v>0.1627731</v>
      </c>
      <c r="X5395">
        <v>0.98660049999999999</v>
      </c>
      <c r="Y5395">
        <v>0.1935104</v>
      </c>
      <c r="Z5395">
        <v>-2.273735E-2</v>
      </c>
      <c r="AA5395">
        <v>0.98083469999999995</v>
      </c>
      <c r="AB5395">
        <v>24</v>
      </c>
      <c r="AC5395">
        <v>0.71860000000003699</v>
      </c>
      <c r="AD5395">
        <v>-0.20060169999999999</v>
      </c>
      <c r="AE5395">
        <v>-0.17172000000000401</v>
      </c>
      <c r="AF5395">
        <v>0.161599276874692</v>
      </c>
      <c r="AG5395">
        <v>-0.20060169999999999</v>
      </c>
      <c r="AH5395">
        <v>0.66886182411865802</v>
      </c>
      <c r="AI5395">
        <v>106.25283681494</v>
      </c>
      <c r="AJ5395">
        <v>76.417434861573895</v>
      </c>
      <c r="AK5395">
        <v>0.71675065963879803</v>
      </c>
      <c r="AL5395">
        <v>80.632106758581401</v>
      </c>
      <c r="AM5395">
        <v>89.352136720557397</v>
      </c>
      <c r="AN5395">
        <v>1.00000004596833</v>
      </c>
    </row>
    <row r="5396" spans="1:40" x14ac:dyDescent="0.25">
      <c r="A5396" t="str">
        <f>"20190312173036037"</f>
        <v>20190312173036037</v>
      </c>
      <c r="B5396" t="str">
        <f>"1552383036033554"</f>
        <v>1552383036033554</v>
      </c>
      <c r="C5396" t="s">
        <v>40</v>
      </c>
      <c r="D5396">
        <v>3.3777309999999998</v>
      </c>
      <c r="E5396">
        <v>0.58231569999999899</v>
      </c>
      <c r="F5396" t="s">
        <v>42</v>
      </c>
      <c r="G5396">
        <v>-361.16649999999998</v>
      </c>
      <c r="H5396">
        <v>0.93806040000000002</v>
      </c>
      <c r="I5396">
        <v>17.225919999999999</v>
      </c>
      <c r="J5396">
        <v>-361.69630000000001</v>
      </c>
      <c r="K5396">
        <v>1.10961</v>
      </c>
      <c r="L5396">
        <v>17.373200000000001</v>
      </c>
      <c r="M5396">
        <v>0.9999498</v>
      </c>
      <c r="N5396">
        <v>0</v>
      </c>
      <c r="O5396">
        <v>2.431683E-3</v>
      </c>
      <c r="P5396">
        <v>0.98814740000000001</v>
      </c>
      <c r="Q5396">
        <v>0.1532742</v>
      </c>
      <c r="R5396">
        <v>-8.5088719999999902E-3</v>
      </c>
      <c r="S5396">
        <v>3.1450499999999999</v>
      </c>
      <c r="T5396">
        <v>-0.73945079999999996</v>
      </c>
      <c r="U5396">
        <v>-0.63211059999999997</v>
      </c>
      <c r="V5396">
        <v>1.0938069999999999E-2</v>
      </c>
      <c r="W5396">
        <v>0.16287570000000001</v>
      </c>
      <c r="X5396">
        <v>0.98658599999999996</v>
      </c>
      <c r="Y5396">
        <v>0.19427030000000001</v>
      </c>
      <c r="Z5396">
        <v>-2.2875139999999999E-2</v>
      </c>
      <c r="AA5396">
        <v>0.98068129999999998</v>
      </c>
      <c r="AB5396">
        <v>24</v>
      </c>
      <c r="AC5396">
        <v>0.52980000000002203</v>
      </c>
      <c r="AD5396">
        <v>-0.1715496</v>
      </c>
      <c r="AE5396">
        <v>-0.147279999999998</v>
      </c>
      <c r="AF5396">
        <v>0.135390925723925</v>
      </c>
      <c r="AG5396">
        <v>-0.1715496</v>
      </c>
      <c r="AH5396">
        <v>0.482482382912653</v>
      </c>
      <c r="AI5396">
        <v>108.897781267813</v>
      </c>
      <c r="AJ5396">
        <v>74.325179161978298</v>
      </c>
      <c r="AK5396">
        <v>0.52966897006490099</v>
      </c>
      <c r="AL5396">
        <v>80.626148600244605</v>
      </c>
      <c r="AM5396">
        <v>89.364799853877201</v>
      </c>
      <c r="AN5396">
        <v>1.0000000352109</v>
      </c>
    </row>
    <row r="5397" spans="1:40" x14ac:dyDescent="0.25">
      <c r="A5397" t="str">
        <f>"20190312173036051"</f>
        <v>20190312173036051</v>
      </c>
      <c r="B5397" t="str">
        <f>"1552383036043314"</f>
        <v>1552383036043314</v>
      </c>
      <c r="C5397" t="s">
        <v>40</v>
      </c>
      <c r="D5397">
        <v>3.3805679999999998</v>
      </c>
      <c r="E5397">
        <v>0.58215220000000001</v>
      </c>
      <c r="F5397" t="s">
        <v>42</v>
      </c>
      <c r="G5397">
        <v>-360.9511</v>
      </c>
      <c r="H5397">
        <v>0.93490410000000002</v>
      </c>
      <c r="I5397">
        <v>17.223469999999999</v>
      </c>
      <c r="J5397">
        <v>-361.55070000000001</v>
      </c>
      <c r="K5397">
        <v>1.1096060000000001</v>
      </c>
      <c r="L5397">
        <v>17.373539999999998</v>
      </c>
      <c r="M5397">
        <v>0.99995009999999995</v>
      </c>
      <c r="N5397">
        <v>0</v>
      </c>
      <c r="O5397">
        <v>2.3858159999999998E-3</v>
      </c>
      <c r="P5397">
        <v>0.98812109999999997</v>
      </c>
      <c r="Q5397">
        <v>0.15344340000000001</v>
      </c>
      <c r="R5397">
        <v>-8.4965549999999994E-3</v>
      </c>
      <c r="S5397">
        <v>3.1448969999999998</v>
      </c>
      <c r="T5397">
        <v>-0.73734529999999998</v>
      </c>
      <c r="U5397">
        <v>-0.63119510000000001</v>
      </c>
      <c r="V5397">
        <v>1.088078E-2</v>
      </c>
      <c r="W5397">
        <v>0.1630267</v>
      </c>
      <c r="X5397">
        <v>0.98656169999999999</v>
      </c>
      <c r="Y5397">
        <v>0.19399659999999999</v>
      </c>
      <c r="Z5397">
        <v>-2.27715E-2</v>
      </c>
      <c r="AA5397">
        <v>0.98073790000000005</v>
      </c>
      <c r="AB5397">
        <v>24</v>
      </c>
      <c r="AC5397">
        <v>0.59960000000000901</v>
      </c>
      <c r="AD5397">
        <v>-0.17470189999999899</v>
      </c>
      <c r="AE5397">
        <v>-0.15006999999999501</v>
      </c>
      <c r="AF5397">
        <v>0.14029240430409101</v>
      </c>
      <c r="AG5397">
        <v>-0.17470189999999899</v>
      </c>
      <c r="AH5397">
        <v>0.55490928226478198</v>
      </c>
      <c r="AI5397">
        <v>106.97355194771799</v>
      </c>
      <c r="AJ5397">
        <v>75.811764735450296</v>
      </c>
      <c r="AK5397">
        <v>0.59843715134728004</v>
      </c>
      <c r="AL5397">
        <v>80.617379799509195</v>
      </c>
      <c r="AM5397">
        <v>89.368110989690393</v>
      </c>
      <c r="AN5397">
        <v>1.00000004209659</v>
      </c>
    </row>
    <row r="5398" spans="1:40" x14ac:dyDescent="0.25">
      <c r="A5398" t="str">
        <f>"20190312173036071"</f>
        <v>20190312173036071</v>
      </c>
      <c r="B5398" t="str">
        <f>"1552383036062834"</f>
        <v>1552383036062834</v>
      </c>
      <c r="C5398" t="s">
        <v>40</v>
      </c>
      <c r="D5398">
        <v>3.412093</v>
      </c>
      <c r="E5398">
        <v>0.58220179999999999</v>
      </c>
      <c r="F5398" t="s">
        <v>42</v>
      </c>
      <c r="G5398">
        <v>-360.73970000000003</v>
      </c>
      <c r="H5398">
        <v>0.91994240000000005</v>
      </c>
      <c r="I5398">
        <v>17.210570000000001</v>
      </c>
      <c r="J5398">
        <v>-361.32330000000002</v>
      </c>
      <c r="K5398">
        <v>1.109551</v>
      </c>
      <c r="L5398">
        <v>17.373899999999999</v>
      </c>
      <c r="M5398">
        <v>0.99995089999999998</v>
      </c>
      <c r="N5398">
        <v>0</v>
      </c>
      <c r="O5398">
        <v>2.5836589999999999E-3</v>
      </c>
      <c r="P5398">
        <v>0.98809000000000002</v>
      </c>
      <c r="Q5398">
        <v>0.15366109999999999</v>
      </c>
      <c r="R5398">
        <v>-8.1643059999999996E-3</v>
      </c>
      <c r="S5398">
        <v>3.1448670000000001</v>
      </c>
      <c r="T5398">
        <v>-0.73543269999999905</v>
      </c>
      <c r="U5398">
        <v>-0.63018799999999997</v>
      </c>
      <c r="V5398">
        <v>1.075043E-2</v>
      </c>
      <c r="W5398">
        <v>0.16310429999999901</v>
      </c>
      <c r="X5398">
        <v>0.98655029999999999</v>
      </c>
      <c r="Y5398">
        <v>0.193913</v>
      </c>
      <c r="Z5398">
        <v>-2.2750510000000002E-2</v>
      </c>
      <c r="AA5398">
        <v>0.98075489999999999</v>
      </c>
      <c r="AB5398">
        <v>24</v>
      </c>
      <c r="AC5398">
        <v>0.58359999999998902</v>
      </c>
      <c r="AD5398">
        <v>-0.18960859999999899</v>
      </c>
      <c r="AE5398">
        <v>-0.163329999999998</v>
      </c>
      <c r="AF5398">
        <v>0.15014020927055899</v>
      </c>
      <c r="AG5398">
        <v>-0.18960859999999899</v>
      </c>
      <c r="AH5398">
        <v>0.53117921827377501</v>
      </c>
      <c r="AI5398">
        <v>108.957585848715</v>
      </c>
      <c r="AJ5398">
        <v>74.216815135312103</v>
      </c>
      <c r="AK5398">
        <v>0.58364789518999105</v>
      </c>
      <c r="AL5398">
        <v>80.612873303924005</v>
      </c>
      <c r="AM5398">
        <v>89.375673102212204</v>
      </c>
      <c r="AN5398">
        <v>1.00000003942688</v>
      </c>
    </row>
    <row r="5399" spans="1:40" x14ac:dyDescent="0.25">
      <c r="A5399" t="str">
        <f>"20190312173036084"</f>
        <v>20190312173036084</v>
      </c>
      <c r="B5399" t="str">
        <f>"1552383036072594"</f>
        <v>1552383036072594</v>
      </c>
      <c r="C5399" t="s">
        <v>40</v>
      </c>
      <c r="D5399">
        <v>3.3548200000000001</v>
      </c>
      <c r="E5399">
        <v>0.58206199999999997</v>
      </c>
      <c r="F5399" t="s">
        <v>42</v>
      </c>
      <c r="G5399">
        <v>-360.52080000000001</v>
      </c>
      <c r="H5399">
        <v>0.92162049999999995</v>
      </c>
      <c r="I5399">
        <v>17.213139999999999</v>
      </c>
      <c r="J5399">
        <v>-361.18450000000001</v>
      </c>
      <c r="K5399">
        <v>1.1094869999999999</v>
      </c>
      <c r="L5399">
        <v>17.374110000000002</v>
      </c>
      <c r="M5399">
        <v>0.9999517</v>
      </c>
      <c r="N5399">
        <v>0</v>
      </c>
      <c r="O5399">
        <v>2.9293470000000001E-3</v>
      </c>
      <c r="P5399">
        <v>0.98806799999999995</v>
      </c>
      <c r="Q5399">
        <v>0.15383289999999999</v>
      </c>
      <c r="R5399">
        <v>-7.5592580000000001E-3</v>
      </c>
      <c r="S5399">
        <v>3.145508</v>
      </c>
      <c r="T5399">
        <v>-0.73658659999999998</v>
      </c>
      <c r="U5399">
        <v>-0.62942500000000001</v>
      </c>
      <c r="V5399">
        <v>1.0494369999999999E-2</v>
      </c>
      <c r="W5399">
        <v>0.16311329999999999</v>
      </c>
      <c r="X5399">
        <v>0.98655150000000003</v>
      </c>
      <c r="Y5399">
        <v>0.1939602</v>
      </c>
      <c r="Z5399">
        <v>-2.2865900000000002E-2</v>
      </c>
      <c r="AA5399">
        <v>0.98074289999999997</v>
      </c>
      <c r="AB5399">
        <v>24</v>
      </c>
      <c r="AC5399">
        <v>0.66370000000000495</v>
      </c>
      <c r="AD5399">
        <v>-0.18786649999999999</v>
      </c>
      <c r="AE5399">
        <v>-0.160970000000002</v>
      </c>
      <c r="AF5399">
        <v>0.15145294676297399</v>
      </c>
      <c r="AG5399">
        <v>-0.18786649999999999</v>
      </c>
      <c r="AH5399">
        <v>0.61656896121235205</v>
      </c>
      <c r="AI5399">
        <v>106.483504333377</v>
      </c>
      <c r="AJ5399">
        <v>76.199203844855802</v>
      </c>
      <c r="AK5399">
        <v>0.66210958370644102</v>
      </c>
      <c r="AL5399">
        <v>80.612349997113597</v>
      </c>
      <c r="AM5399">
        <v>89.390543289611202</v>
      </c>
      <c r="AN5399">
        <v>0.99999997129541796</v>
      </c>
    </row>
    <row r="5400" spans="1:40" x14ac:dyDescent="0.25">
      <c r="A5400" t="str">
        <f>"20190312173036096"</f>
        <v>20190312173036096</v>
      </c>
      <c r="B5400" t="str">
        <f>"1552383036093090"</f>
        <v>1552383036093090</v>
      </c>
      <c r="C5400" t="s">
        <v>40</v>
      </c>
      <c r="D5400">
        <v>3.418177</v>
      </c>
      <c r="E5400">
        <v>0.58184999999999998</v>
      </c>
      <c r="F5400" t="s">
        <v>42</v>
      </c>
      <c r="G5400">
        <v>-360.3098</v>
      </c>
      <c r="H5400">
        <v>0.90487309999999999</v>
      </c>
      <c r="I5400">
        <v>17.19951</v>
      </c>
      <c r="J5400">
        <v>-361.05579999999998</v>
      </c>
      <c r="K5400">
        <v>1.1095759999999999</v>
      </c>
      <c r="L5400">
        <v>17.374300000000002</v>
      </c>
      <c r="M5400">
        <v>0.99994989999999995</v>
      </c>
      <c r="N5400">
        <v>0</v>
      </c>
      <c r="O5400">
        <v>2.929016E-3</v>
      </c>
      <c r="P5400">
        <v>0.98804979999999998</v>
      </c>
      <c r="Q5400">
        <v>0.15395010000000001</v>
      </c>
      <c r="R5400">
        <v>-7.5377730000000002E-3</v>
      </c>
      <c r="S5400">
        <v>3.1459959999999998</v>
      </c>
      <c r="T5400">
        <v>-0.73588009999999904</v>
      </c>
      <c r="U5400">
        <v>-0.62689209999999995</v>
      </c>
      <c r="V5400">
        <v>1.044463E-2</v>
      </c>
      <c r="W5400">
        <v>0.16339409999999999</v>
      </c>
      <c r="X5400">
        <v>0.98650559999999998</v>
      </c>
      <c r="Y5400">
        <v>0.19320119999999999</v>
      </c>
      <c r="Z5400">
        <v>-2.275601E-2</v>
      </c>
      <c r="AA5400">
        <v>0.98089519999999997</v>
      </c>
      <c r="AB5400">
        <v>24</v>
      </c>
      <c r="AC5400">
        <v>0.74599999999998001</v>
      </c>
      <c r="AD5400">
        <v>-0.20470289999999999</v>
      </c>
      <c r="AE5400">
        <v>-0.174790000000001</v>
      </c>
      <c r="AF5400">
        <v>0.16518401269600799</v>
      </c>
      <c r="AG5400">
        <v>-0.20470289999999999</v>
      </c>
      <c r="AH5400">
        <v>0.69581914417894597</v>
      </c>
      <c r="AI5400">
        <v>105.97296294641799</v>
      </c>
      <c r="AJ5400">
        <v>76.645474420529496</v>
      </c>
      <c r="AK5400">
        <v>0.74387721885045399</v>
      </c>
      <c r="AL5400">
        <v>80.596042935369695</v>
      </c>
      <c r="AM5400">
        <v>89.393403485410701</v>
      </c>
      <c r="AN5400">
        <v>1.0000000105210001</v>
      </c>
    </row>
    <row r="5401" spans="1:40" x14ac:dyDescent="0.25">
      <c r="A5401" t="str">
        <f>"20190312173036106"</f>
        <v>20190312173036106</v>
      </c>
      <c r="B5401" t="str">
        <f>"1552383036102849"</f>
        <v>1552383036102849</v>
      </c>
      <c r="C5401" t="s">
        <v>40</v>
      </c>
      <c r="D5401">
        <v>3.394304</v>
      </c>
      <c r="E5401">
        <v>0.58162419999999904</v>
      </c>
      <c r="F5401" t="s">
        <v>42</v>
      </c>
      <c r="G5401">
        <v>-360.29919999999998</v>
      </c>
      <c r="H5401">
        <v>0.93284089999999997</v>
      </c>
      <c r="I5401">
        <v>17.223649999999999</v>
      </c>
      <c r="J5401">
        <v>-360.94209999999998</v>
      </c>
      <c r="K5401">
        <v>1.109667</v>
      </c>
      <c r="L5401">
        <v>17.374510000000001</v>
      </c>
      <c r="M5401">
        <v>0.99994890000000003</v>
      </c>
      <c r="N5401">
        <v>0</v>
      </c>
      <c r="O5401">
        <v>2.8184379999999999E-3</v>
      </c>
      <c r="P5401">
        <v>0.98803439999999998</v>
      </c>
      <c r="Q5401">
        <v>0.15405079999999999</v>
      </c>
      <c r="R5401">
        <v>-7.5141009999999996E-3</v>
      </c>
      <c r="S5401">
        <v>3.1460270000000001</v>
      </c>
      <c r="T5401">
        <v>-0.73488690000000001</v>
      </c>
      <c r="U5401">
        <v>-0.62521359999999904</v>
      </c>
      <c r="V5401">
        <v>1.028168E-2</v>
      </c>
      <c r="W5401">
        <v>0.16364339999999999</v>
      </c>
      <c r="X5401">
        <v>0.98646599999999995</v>
      </c>
      <c r="Y5401">
        <v>0.1926185</v>
      </c>
      <c r="Z5401">
        <v>-2.2635220000000001E-2</v>
      </c>
      <c r="AA5401">
        <v>0.98101260000000001</v>
      </c>
      <c r="AB5401">
        <v>24</v>
      </c>
      <c r="AC5401">
        <v>0.64289999999999703</v>
      </c>
      <c r="AD5401">
        <v>-0.17682610000000001</v>
      </c>
      <c r="AE5401">
        <v>-0.15086000000000099</v>
      </c>
      <c r="AF5401">
        <v>0.142457092189021</v>
      </c>
      <c r="AG5401">
        <v>-0.17682610000000001</v>
      </c>
      <c r="AH5401">
        <v>0.59948812098487803</v>
      </c>
      <c r="AI5401">
        <v>106.011925702981</v>
      </c>
      <c r="AJ5401">
        <v>76.632664975942006</v>
      </c>
      <c r="AK5401">
        <v>0.641051869943565</v>
      </c>
      <c r="AL5401">
        <v>80.581564328684706</v>
      </c>
      <c r="AM5401">
        <v>89.402842531012695</v>
      </c>
      <c r="AN5401">
        <v>1.0000000222315899</v>
      </c>
    </row>
    <row r="5402" spans="1:40" x14ac:dyDescent="0.25">
      <c r="A5402" t="str">
        <f>"20190312173036116"</f>
        <v>20190312173036116</v>
      </c>
      <c r="B5402" t="str">
        <f>"1552383036113586"</f>
        <v>1552383036113586</v>
      </c>
      <c r="C5402" t="s">
        <v>40</v>
      </c>
      <c r="D5402">
        <v>3.4496850000000001</v>
      </c>
      <c r="E5402">
        <v>0.58166329999999999</v>
      </c>
      <c r="F5402" t="s">
        <v>42</v>
      </c>
      <c r="G5402">
        <v>-360.0899</v>
      </c>
      <c r="H5402">
        <v>0.91099629999999998</v>
      </c>
      <c r="I5402">
        <v>17.205549999999999</v>
      </c>
      <c r="J5402">
        <v>-360.82560000000001</v>
      </c>
      <c r="K5402">
        <v>1.1097790000000001</v>
      </c>
      <c r="L5402">
        <v>17.374759999999998</v>
      </c>
      <c r="M5402">
        <v>0.99994830000000001</v>
      </c>
      <c r="N5402">
        <v>0</v>
      </c>
      <c r="O5402">
        <v>2.4530770000000001E-3</v>
      </c>
      <c r="P5402">
        <v>0.98807</v>
      </c>
      <c r="Q5402">
        <v>0.15380239999999901</v>
      </c>
      <c r="R5402">
        <v>-7.9267109999999995E-3</v>
      </c>
      <c r="S5402">
        <v>3.1459350000000001</v>
      </c>
      <c r="T5402">
        <v>-0.73337339999999995</v>
      </c>
      <c r="U5402">
        <v>-0.62313839999999998</v>
      </c>
      <c r="V5402">
        <v>1.029064E-2</v>
      </c>
      <c r="W5402">
        <v>0.16355449999999999</v>
      </c>
      <c r="X5402">
        <v>0.98648069999999999</v>
      </c>
      <c r="Y5402">
        <v>0.19169600000000001</v>
      </c>
      <c r="Z5402">
        <v>-2.2403389999999999E-2</v>
      </c>
      <c r="AA5402">
        <v>0.98119860000000003</v>
      </c>
      <c r="AB5402">
        <v>24</v>
      </c>
      <c r="AC5402">
        <v>0.73570000000000801</v>
      </c>
      <c r="AD5402">
        <v>-0.19878270000000001</v>
      </c>
      <c r="AE5402">
        <v>-0.169210000000003</v>
      </c>
      <c r="AF5402">
        <v>0.15992546024315299</v>
      </c>
      <c r="AG5402">
        <v>-0.19878270000000001</v>
      </c>
      <c r="AH5402">
        <v>0.68760575000677704</v>
      </c>
      <c r="AI5402">
        <v>105.726069395369</v>
      </c>
      <c r="AJ5402">
        <v>76.9067515092798</v>
      </c>
      <c r="AK5402">
        <v>0.73341146847840899</v>
      </c>
      <c r="AL5402">
        <v>80.586727955975206</v>
      </c>
      <c r="AM5402">
        <v>89.402331079754504</v>
      </c>
      <c r="AN5402">
        <v>1.00000007160717</v>
      </c>
    </row>
    <row r="5403" spans="1:40" x14ac:dyDescent="0.25">
      <c r="A5403" t="str">
        <f>"20190312173036128"</f>
        <v>20190312173036128</v>
      </c>
      <c r="B5403" t="str">
        <f>"1552383036123346"</f>
        <v>1552383036123346</v>
      </c>
      <c r="C5403" t="s">
        <v>40</v>
      </c>
      <c r="D5403">
        <v>3.3910809999999998</v>
      </c>
      <c r="E5403">
        <v>0.58152630000000005</v>
      </c>
      <c r="F5403" t="s">
        <v>42</v>
      </c>
      <c r="G5403">
        <v>-360.0804</v>
      </c>
      <c r="H5403">
        <v>0.93586020000000003</v>
      </c>
      <c r="I5403">
        <v>17.226689999999898</v>
      </c>
      <c r="J5403">
        <v>-360.71230000000003</v>
      </c>
      <c r="K5403">
        <v>1.1098429999999999</v>
      </c>
      <c r="L5403">
        <v>17.375060000000001</v>
      </c>
      <c r="M5403">
        <v>0.99994830000000001</v>
      </c>
      <c r="N5403">
        <v>0</v>
      </c>
      <c r="O5403">
        <v>2.1022979999999998E-3</v>
      </c>
      <c r="P5403">
        <v>0.98806430000000001</v>
      </c>
      <c r="Q5403">
        <v>0.15381919999999999</v>
      </c>
      <c r="R5403">
        <v>-8.2897649999999993E-3</v>
      </c>
      <c r="S5403">
        <v>3.145508</v>
      </c>
      <c r="T5403">
        <v>-0.73413619999999902</v>
      </c>
      <c r="U5403">
        <v>-0.62435909999999994</v>
      </c>
      <c r="V5403">
        <v>1.0276169999999999E-2</v>
      </c>
      <c r="W5403">
        <v>0.16365189999999999</v>
      </c>
      <c r="X5403">
        <v>0.98646460000000002</v>
      </c>
      <c r="Y5403">
        <v>0.19174069999999999</v>
      </c>
      <c r="Z5403">
        <v>-2.235326E-2</v>
      </c>
      <c r="AA5403">
        <v>0.98119100000000004</v>
      </c>
      <c r="AB5403">
        <v>24</v>
      </c>
      <c r="AC5403">
        <v>0.63190000000002999</v>
      </c>
      <c r="AD5403">
        <v>-0.17398279999999999</v>
      </c>
      <c r="AE5403">
        <v>-0.148370000000003</v>
      </c>
      <c r="AF5403">
        <v>0.139663738107318</v>
      </c>
      <c r="AG5403">
        <v>-0.17398279999999999</v>
      </c>
      <c r="AH5403">
        <v>0.58925068635990696</v>
      </c>
      <c r="AI5403">
        <v>106.029428878942</v>
      </c>
      <c r="AJ5403">
        <v>76.665860193732996</v>
      </c>
      <c r="AK5403">
        <v>0.63007328606565305</v>
      </c>
      <c r="AL5403">
        <v>80.581070215630106</v>
      </c>
      <c r="AM5403">
        <v>89.403161680338101</v>
      </c>
      <c r="AN5403">
        <v>0.99999997554831899</v>
      </c>
    </row>
    <row r="5404" spans="1:40" x14ac:dyDescent="0.25">
      <c r="A5404" t="str">
        <f>"20190312173036137"</f>
        <v>20190312173036137</v>
      </c>
      <c r="B5404" t="str">
        <f>"1552383036133106"</f>
        <v>1552383036133106</v>
      </c>
      <c r="C5404" t="s">
        <v>40</v>
      </c>
      <c r="D5404">
        <v>3.4043299999999999</v>
      </c>
      <c r="E5404">
        <v>0.58153500000000002</v>
      </c>
      <c r="F5404" t="s">
        <v>42</v>
      </c>
      <c r="G5404">
        <v>-359.87029999999999</v>
      </c>
      <c r="H5404">
        <v>0.91346000000000005</v>
      </c>
      <c r="I5404">
        <v>17.207650000000001</v>
      </c>
      <c r="J5404">
        <v>-360.59249999999997</v>
      </c>
      <c r="K5404">
        <v>1.1098399999999999</v>
      </c>
      <c r="L5404">
        <v>17.375339999999898</v>
      </c>
      <c r="M5404">
        <v>0.99994919999999998</v>
      </c>
      <c r="N5404">
        <v>0</v>
      </c>
      <c r="O5404">
        <v>1.737677E-3</v>
      </c>
      <c r="P5404">
        <v>0.98799910000000002</v>
      </c>
      <c r="Q5404">
        <v>0.15421770000000001</v>
      </c>
      <c r="R5404">
        <v>-8.6570069999999995E-3</v>
      </c>
      <c r="S5404">
        <v>3.1452330000000002</v>
      </c>
      <c r="T5404">
        <v>-0.73351999999999995</v>
      </c>
      <c r="U5404">
        <v>-0.62445069999999903</v>
      </c>
      <c r="V5404">
        <v>1.0264789999999999E-2</v>
      </c>
      <c r="W5404">
        <v>0.16402539999999999</v>
      </c>
      <c r="X5404">
        <v>0.98640269999999997</v>
      </c>
      <c r="Y5404">
        <v>0.1914515</v>
      </c>
      <c r="Z5404">
        <v>-2.2220670000000001E-2</v>
      </c>
      <c r="AA5404">
        <v>0.98125050000000003</v>
      </c>
      <c r="AB5404">
        <v>24</v>
      </c>
      <c r="AC5404">
        <v>0.72219999999998596</v>
      </c>
      <c r="AD5404">
        <v>-0.196379999999999</v>
      </c>
      <c r="AE5404">
        <v>-0.16768999999999601</v>
      </c>
      <c r="AF5404">
        <v>0.15786905140829</v>
      </c>
      <c r="AG5404">
        <v>-0.196379999999999</v>
      </c>
      <c r="AH5404">
        <v>0.67458057627970602</v>
      </c>
      <c r="AI5404">
        <v>105.82567587765701</v>
      </c>
      <c r="AJ5404">
        <v>76.828373337650007</v>
      </c>
      <c r="AK5404">
        <v>0.72010186479859495</v>
      </c>
      <c r="AL5404">
        <v>80.559377263848603</v>
      </c>
      <c r="AM5404">
        <v>89.403785171811293</v>
      </c>
      <c r="AN5404">
        <v>0.99999999216309698</v>
      </c>
    </row>
    <row r="5405" spans="1:40" x14ac:dyDescent="0.25">
      <c r="A5405" t="str">
        <f>"20190312173036147"</f>
        <v>20190312173036147</v>
      </c>
      <c r="B5405" t="str">
        <f>"1552383036142866"</f>
        <v>1552383036142866</v>
      </c>
      <c r="C5405" t="s">
        <v>40</v>
      </c>
      <c r="D5405">
        <v>3.4003960000000002</v>
      </c>
      <c r="E5405">
        <v>0.58147340000000003</v>
      </c>
      <c r="F5405" t="s">
        <v>42</v>
      </c>
      <c r="G5405">
        <v>-359.8603</v>
      </c>
      <c r="H5405">
        <v>0.93945109999999998</v>
      </c>
      <c r="I5405">
        <v>17.229500000000002</v>
      </c>
      <c r="J5405">
        <v>-360.48989999999998</v>
      </c>
      <c r="K5405">
        <v>1.1098030000000001</v>
      </c>
      <c r="L5405">
        <v>17.375579999999999</v>
      </c>
      <c r="M5405">
        <v>0.99995009999999995</v>
      </c>
      <c r="N5405">
        <v>0</v>
      </c>
      <c r="O5405">
        <v>1.5271480000000001E-3</v>
      </c>
      <c r="P5405">
        <v>0.98798920000000001</v>
      </c>
      <c r="Q5405">
        <v>0.15427160000000001</v>
      </c>
      <c r="R5405">
        <v>-8.8421739999999995E-3</v>
      </c>
      <c r="S5405">
        <v>3.1452330000000002</v>
      </c>
      <c r="T5405">
        <v>-0.73184479999999996</v>
      </c>
      <c r="U5405">
        <v>-0.62542719999999996</v>
      </c>
      <c r="V5405">
        <v>1.02402E-2</v>
      </c>
      <c r="W5405">
        <v>0.16404089999999999</v>
      </c>
      <c r="X5405">
        <v>0.98640039999999996</v>
      </c>
      <c r="Y5405">
        <v>0.1915636</v>
      </c>
      <c r="Z5405">
        <v>-2.2135430000000001E-2</v>
      </c>
      <c r="AA5405">
        <v>0.98123059999999995</v>
      </c>
      <c r="AB5405">
        <v>24</v>
      </c>
      <c r="AC5405">
        <v>0.62959999999998195</v>
      </c>
      <c r="AD5405">
        <v>-0.1703519</v>
      </c>
      <c r="AE5405">
        <v>-0.14607999999999699</v>
      </c>
      <c r="AF5405">
        <v>0.137490040185232</v>
      </c>
      <c r="AG5405">
        <v>-0.1703519</v>
      </c>
      <c r="AH5405">
        <v>0.588493941809479</v>
      </c>
      <c r="AI5405">
        <v>105.742093427721</v>
      </c>
      <c r="AJ5405">
        <v>76.849840138179502</v>
      </c>
      <c r="AK5405">
        <v>0.62789202935712196</v>
      </c>
      <c r="AL5405">
        <v>80.558477191402503</v>
      </c>
      <c r="AM5405">
        <v>89.405211955329094</v>
      </c>
      <c r="AN5405">
        <v>1.0000000138445</v>
      </c>
    </row>
    <row r="5406" spans="1:40" x14ac:dyDescent="0.25">
      <c r="A5406" t="str">
        <f>"20190312173036158"</f>
        <v>20190312173036158</v>
      </c>
      <c r="B5406" t="str">
        <f>"1552383036153601"</f>
        <v>1552383036153601</v>
      </c>
      <c r="C5406" t="s">
        <v>40</v>
      </c>
      <c r="D5406">
        <v>3.353942</v>
      </c>
      <c r="E5406">
        <v>0.58135309999999996</v>
      </c>
      <c r="F5406" t="s">
        <v>42</v>
      </c>
      <c r="G5406">
        <v>-359.65050000000002</v>
      </c>
      <c r="H5406">
        <v>0.9146512</v>
      </c>
      <c r="I5406">
        <v>17.20861</v>
      </c>
      <c r="J5406">
        <v>-360.36599999999999</v>
      </c>
      <c r="K5406">
        <v>1.109718</v>
      </c>
      <c r="L5406">
        <v>17.375789999999999</v>
      </c>
      <c r="M5406">
        <v>0.99995089999999998</v>
      </c>
      <c r="N5406">
        <v>0</v>
      </c>
      <c r="O5406">
        <v>1.397651E-3</v>
      </c>
      <c r="P5406">
        <v>0.98798229999999998</v>
      </c>
      <c r="Q5406">
        <v>0.1542975</v>
      </c>
      <c r="R5406">
        <v>-9.1473240000000001E-3</v>
      </c>
      <c r="S5406">
        <v>3.1450499999999999</v>
      </c>
      <c r="T5406">
        <v>-0.73119309999999904</v>
      </c>
      <c r="U5406">
        <v>-0.62530520000000001</v>
      </c>
      <c r="V5406">
        <v>1.043204E-2</v>
      </c>
      <c r="W5406">
        <v>0.16399949999999999</v>
      </c>
      <c r="X5406">
        <v>0.98640530000000004</v>
      </c>
      <c r="Y5406">
        <v>0.19142590000000001</v>
      </c>
      <c r="Z5406">
        <v>-2.2072439999999999E-2</v>
      </c>
      <c r="AA5406">
        <v>0.98125890000000004</v>
      </c>
      <c r="AB5406">
        <v>24</v>
      </c>
      <c r="AC5406">
        <v>0.71549999999996305</v>
      </c>
      <c r="AD5406">
        <v>-0.19506680000000001</v>
      </c>
      <c r="AE5406">
        <v>-0.167179999999998</v>
      </c>
      <c r="AF5406">
        <v>0.157107097341145</v>
      </c>
      <c r="AG5406">
        <v>-0.19506680000000001</v>
      </c>
      <c r="AH5406">
        <v>0.66817321389367801</v>
      </c>
      <c r="AI5406">
        <v>105.864635648426</v>
      </c>
      <c r="AJ5406">
        <v>76.768428601032397</v>
      </c>
      <c r="AK5406">
        <v>0.71357490164817805</v>
      </c>
      <c r="AL5406">
        <v>80.560882048271097</v>
      </c>
      <c r="AM5406">
        <v>89.394073023591801</v>
      </c>
      <c r="AN5406">
        <v>1.0000000396634501</v>
      </c>
    </row>
    <row r="5407" spans="1:40" x14ac:dyDescent="0.25">
      <c r="A5407" t="str">
        <f>"20190312173036171"</f>
        <v>20190312173036171</v>
      </c>
      <c r="B5407" t="str">
        <f>"1552383036163362"</f>
        <v>1552383036163362</v>
      </c>
      <c r="C5407" t="s">
        <v>40</v>
      </c>
      <c r="D5407">
        <v>3.4159109999999999</v>
      </c>
      <c r="E5407">
        <v>0.58141909999999997</v>
      </c>
      <c r="F5407" t="s">
        <v>42</v>
      </c>
      <c r="G5407">
        <v>-359.64019999999999</v>
      </c>
      <c r="H5407">
        <v>0.9411176</v>
      </c>
      <c r="I5407">
        <v>17.231369999999998</v>
      </c>
      <c r="J5407">
        <v>-360.23239999999998</v>
      </c>
      <c r="K5407">
        <v>1.109629</v>
      </c>
      <c r="L5407">
        <v>17.376010000000001</v>
      </c>
      <c r="M5407">
        <v>0.99995109999999998</v>
      </c>
      <c r="N5407">
        <v>0</v>
      </c>
      <c r="O5407">
        <v>1.4050309999999999E-3</v>
      </c>
      <c r="P5407">
        <v>0.9879907</v>
      </c>
      <c r="Q5407">
        <v>0.15425549999999999</v>
      </c>
      <c r="R5407">
        <v>-8.9447409999999904E-3</v>
      </c>
      <c r="S5407">
        <v>3.1447750000000001</v>
      </c>
      <c r="T5407">
        <v>-0.73056460000000001</v>
      </c>
      <c r="U5407">
        <v>-0.62542719999999996</v>
      </c>
      <c r="V5407">
        <v>1.0260089999999999E-2</v>
      </c>
      <c r="W5407">
        <v>0.163932299999999</v>
      </c>
      <c r="X5407">
        <v>0.98641820000000002</v>
      </c>
      <c r="Y5407">
        <v>0.19149189999999999</v>
      </c>
      <c r="Z5407">
        <v>-2.206487E-2</v>
      </c>
      <c r="AA5407">
        <v>0.98124619999999996</v>
      </c>
      <c r="AB5407">
        <v>24</v>
      </c>
      <c r="AC5407">
        <v>0.59219999999999096</v>
      </c>
      <c r="AD5407">
        <v>-0.16851139999999901</v>
      </c>
      <c r="AE5407">
        <v>-0.14463999999999899</v>
      </c>
      <c r="AF5407">
        <v>0.135145324784124</v>
      </c>
      <c r="AG5407">
        <v>-0.16851139999999901</v>
      </c>
      <c r="AH5407">
        <v>0.54997209249726098</v>
      </c>
      <c r="AI5407">
        <v>106.570269920309</v>
      </c>
      <c r="AJ5407">
        <v>76.1941814403976</v>
      </c>
      <c r="AK5407">
        <v>0.59087194320494096</v>
      </c>
      <c r="AL5407">
        <v>80.564784455848098</v>
      </c>
      <c r="AM5407">
        <v>89.404067508128904</v>
      </c>
      <c r="AN5407">
        <v>0.99999996686066805</v>
      </c>
    </row>
    <row r="5408" spans="1:40" x14ac:dyDescent="0.25">
      <c r="A5408" t="str">
        <f>"20190312173036182"</f>
        <v>20190312173036182</v>
      </c>
      <c r="B5408" t="str">
        <f>"1552383036173122"</f>
        <v>1552383036173122</v>
      </c>
      <c r="C5408" t="s">
        <v>40</v>
      </c>
      <c r="D5408">
        <v>3.3437939999999999</v>
      </c>
      <c r="E5408">
        <v>0.581287</v>
      </c>
      <c r="F5408" t="s">
        <v>42</v>
      </c>
      <c r="G5408">
        <v>-359.4282</v>
      </c>
      <c r="H5408">
        <v>0.92276279999999999</v>
      </c>
      <c r="I5408">
        <v>17.215869999999999</v>
      </c>
      <c r="J5408">
        <v>-360.10539999999997</v>
      </c>
      <c r="K5408">
        <v>1.1095440000000001</v>
      </c>
      <c r="L5408">
        <v>17.376159999999999</v>
      </c>
      <c r="M5408">
        <v>0.99995109999999998</v>
      </c>
      <c r="N5408">
        <v>0</v>
      </c>
      <c r="O5408">
        <v>1.4814769999999999E-3</v>
      </c>
      <c r="P5408">
        <v>0.9879616</v>
      </c>
      <c r="Q5408">
        <v>0.1544507</v>
      </c>
      <c r="R5408">
        <v>-8.7980909999999992E-3</v>
      </c>
      <c r="S5408">
        <v>3.1448670000000001</v>
      </c>
      <c r="T5408">
        <v>-0.730738</v>
      </c>
      <c r="U5408">
        <v>-0.62573239999999997</v>
      </c>
      <c r="V5408">
        <v>1.021452E-2</v>
      </c>
      <c r="W5408">
        <v>0.16412560000000001</v>
      </c>
      <c r="X5408">
        <v>0.98638650000000005</v>
      </c>
      <c r="Y5408">
        <v>0.19164519999999999</v>
      </c>
      <c r="Z5408">
        <v>-2.2103939999999999E-2</v>
      </c>
      <c r="AA5408">
        <v>0.98121539999999996</v>
      </c>
      <c r="AB5408">
        <v>25</v>
      </c>
      <c r="AC5408">
        <v>0.67719999999997005</v>
      </c>
      <c r="AD5408">
        <v>-0.18678120000000001</v>
      </c>
      <c r="AE5408">
        <v>-0.16028999999999899</v>
      </c>
      <c r="AF5408">
        <v>0.150454750526506</v>
      </c>
      <c r="AG5408">
        <v>-0.18678120000000001</v>
      </c>
      <c r="AH5408">
        <v>0.63147213239094802</v>
      </c>
      <c r="AI5408">
        <v>106.052254859836</v>
      </c>
      <c r="AJ5408">
        <v>76.598551668144495</v>
      </c>
      <c r="AK5408">
        <v>0.67548567906048496</v>
      </c>
      <c r="AL5408">
        <v>80.553556839475206</v>
      </c>
      <c r="AM5408">
        <v>89.406695076291697</v>
      </c>
      <c r="AN5408">
        <v>0.99999993818821797</v>
      </c>
    </row>
    <row r="5409" spans="1:40" x14ac:dyDescent="0.25">
      <c r="A5409" t="str">
        <f>"20190312173036192"</f>
        <v>20190312173036192</v>
      </c>
      <c r="B5409" t="str">
        <f>"1552383036182883"</f>
        <v>1552383036182883</v>
      </c>
      <c r="C5409" t="s">
        <v>40</v>
      </c>
      <c r="D5409">
        <v>3.3469340000000001</v>
      </c>
      <c r="E5409">
        <v>0.58117969999999997</v>
      </c>
      <c r="F5409" t="s">
        <v>42</v>
      </c>
      <c r="G5409">
        <v>-359.4171</v>
      </c>
      <c r="H5409">
        <v>0.94990059999999998</v>
      </c>
      <c r="I5409">
        <v>17.2393</v>
      </c>
      <c r="J5409">
        <v>-359.99700000000001</v>
      </c>
      <c r="K5409">
        <v>1.10949599999999</v>
      </c>
      <c r="L5409">
        <v>17.376249999999999</v>
      </c>
      <c r="M5409">
        <v>0.99995060000000002</v>
      </c>
      <c r="N5409">
        <v>0</v>
      </c>
      <c r="O5409">
        <v>1.589771E-3</v>
      </c>
      <c r="P5409">
        <v>0.98796499999999998</v>
      </c>
      <c r="Q5409">
        <v>0.15444559999999999</v>
      </c>
      <c r="R5409">
        <v>-8.4687819999999994E-3</v>
      </c>
      <c r="S5409">
        <v>3.1450499999999999</v>
      </c>
      <c r="T5409">
        <v>-0.72950470000000001</v>
      </c>
      <c r="U5409">
        <v>-0.62484740000000005</v>
      </c>
      <c r="V5409">
        <v>1.0008700000000001E-2</v>
      </c>
      <c r="W5409">
        <v>0.16413269999999999</v>
      </c>
      <c r="X5409">
        <v>0.98638749999999997</v>
      </c>
      <c r="Y5409">
        <v>0.19149260000000001</v>
      </c>
      <c r="Z5409">
        <v>-2.207419E-2</v>
      </c>
      <c r="AA5409">
        <v>0.98124579999999995</v>
      </c>
      <c r="AB5409">
        <v>25</v>
      </c>
      <c r="AC5409">
        <v>0.57989999999995201</v>
      </c>
      <c r="AD5409">
        <v>-0.159595399999999</v>
      </c>
      <c r="AE5409">
        <v>-0.13694999999999799</v>
      </c>
      <c r="AF5409">
        <v>0.12864287736902899</v>
      </c>
      <c r="AG5409">
        <v>-0.159595399999999</v>
      </c>
      <c r="AH5409">
        <v>0.54087864253247298</v>
      </c>
      <c r="AI5409">
        <v>106.016623737332</v>
      </c>
      <c r="AJ5409">
        <v>76.621312373682301</v>
      </c>
      <c r="AK5409">
        <v>0.57841973301981497</v>
      </c>
      <c r="AL5409">
        <v>80.553145119314493</v>
      </c>
      <c r="AM5409">
        <v>89.418649781160298</v>
      </c>
      <c r="AN5409">
        <v>1.00000000872061</v>
      </c>
    </row>
    <row r="5410" spans="1:40" x14ac:dyDescent="0.25">
      <c r="A5410" t="str">
        <f>"20190312173036204"</f>
        <v>20190312173036204</v>
      </c>
      <c r="B5410" t="str">
        <f>"1552383036193618"</f>
        <v>1552383036193618</v>
      </c>
      <c r="C5410" t="s">
        <v>40</v>
      </c>
      <c r="D5410">
        <v>3.3957609999999998</v>
      </c>
      <c r="E5410">
        <v>0.58123340000000001</v>
      </c>
      <c r="F5410" t="s">
        <v>42</v>
      </c>
      <c r="G5410">
        <v>-359.20729999999998</v>
      </c>
      <c r="H5410">
        <v>0.92647869999999999</v>
      </c>
      <c r="I5410">
        <v>17.21969</v>
      </c>
      <c r="J5410">
        <v>-359.87200000000001</v>
      </c>
      <c r="K5410">
        <v>1.109443</v>
      </c>
      <c r="L5410">
        <v>17.376370000000001</v>
      </c>
      <c r="M5410">
        <v>0.99995029999999996</v>
      </c>
      <c r="N5410">
        <v>0</v>
      </c>
      <c r="O5410">
        <v>1.7104220000000001E-3</v>
      </c>
      <c r="P5410">
        <v>0.98796490000000003</v>
      </c>
      <c r="Q5410">
        <v>0.15446770000000001</v>
      </c>
      <c r="R5410">
        <v>-8.0678090000000004E-3</v>
      </c>
      <c r="S5410">
        <v>3.1451720000000001</v>
      </c>
      <c r="T5410">
        <v>-0.72887159999999995</v>
      </c>
      <c r="U5410">
        <v>-0.6230774</v>
      </c>
      <c r="V5410">
        <v>9.7447300000000001E-3</v>
      </c>
      <c r="W5410">
        <v>0.16416610000000001</v>
      </c>
      <c r="X5410">
        <v>0.98638459999999994</v>
      </c>
      <c r="Y5410">
        <v>0.1910877</v>
      </c>
      <c r="Z5410">
        <v>-2.2037310000000001E-2</v>
      </c>
      <c r="AA5410">
        <v>0.98132560000000002</v>
      </c>
      <c r="AB5410">
        <v>25</v>
      </c>
      <c r="AC5410">
        <v>0.66469999999998197</v>
      </c>
      <c r="AD5410">
        <v>-0.1829643</v>
      </c>
      <c r="AE5410">
        <v>-0.15668000000000101</v>
      </c>
      <c r="AF5410">
        <v>0.14724745994615299</v>
      </c>
      <c r="AG5410">
        <v>-0.1829643</v>
      </c>
      <c r="AH5410">
        <v>0.61993283416063805</v>
      </c>
      <c r="AI5410">
        <v>106.02125476849299</v>
      </c>
      <c r="AJ5410">
        <v>76.6386081904337</v>
      </c>
      <c r="AK5410">
        <v>0.66292870537149395</v>
      </c>
      <c r="AL5410">
        <v>80.551205267435606</v>
      </c>
      <c r="AM5410">
        <v>89.433979668502701</v>
      </c>
      <c r="AN5410">
        <v>1.0000000236345701</v>
      </c>
    </row>
    <row r="5411" spans="1:40" x14ac:dyDescent="0.25">
      <c r="A5411" t="str">
        <f>"20190312173036215"</f>
        <v>20190312173036215</v>
      </c>
      <c r="B5411" t="str">
        <f>"1552383036203377"</f>
        <v>1552383036203377</v>
      </c>
      <c r="C5411" t="s">
        <v>40</v>
      </c>
      <c r="D5411">
        <v>3.3589669999999998</v>
      </c>
      <c r="E5411">
        <v>0.58101990000000003</v>
      </c>
      <c r="F5411" t="s">
        <v>42</v>
      </c>
      <c r="G5411">
        <v>-358.99489999999997</v>
      </c>
      <c r="H5411">
        <v>0.90629139999999997</v>
      </c>
      <c r="I5411">
        <v>17.202259999999999</v>
      </c>
      <c r="J5411">
        <v>-359.75139999999999</v>
      </c>
      <c r="K5411">
        <v>1.109421</v>
      </c>
      <c r="L5411">
        <v>17.376460000000002</v>
      </c>
      <c r="M5411">
        <v>0.99995029999999996</v>
      </c>
      <c r="N5411">
        <v>0</v>
      </c>
      <c r="O5411">
        <v>1.7708209999999999E-3</v>
      </c>
      <c r="P5411">
        <v>0.98794789999999999</v>
      </c>
      <c r="Q5411">
        <v>0.15458050000000001</v>
      </c>
      <c r="R5411">
        <v>-8.0004140000000008E-3</v>
      </c>
      <c r="S5411">
        <v>3.1453549999999999</v>
      </c>
      <c r="T5411">
        <v>-0.72855619999999999</v>
      </c>
      <c r="U5411">
        <v>-0.6227722</v>
      </c>
      <c r="V5411">
        <v>9.7420419999999994E-3</v>
      </c>
      <c r="W5411">
        <v>0.1642662</v>
      </c>
      <c r="X5411">
        <v>0.98636789999999996</v>
      </c>
      <c r="Y5411">
        <v>0.19104860000000001</v>
      </c>
      <c r="Z5411">
        <v>-2.2036239999999999E-2</v>
      </c>
      <c r="AA5411">
        <v>0.98133320000000002</v>
      </c>
      <c r="AB5411">
        <v>25</v>
      </c>
      <c r="AC5411">
        <v>0.75650000000001605</v>
      </c>
      <c r="AD5411">
        <v>-0.20312959999999899</v>
      </c>
      <c r="AE5411">
        <v>-0.17420000000000199</v>
      </c>
      <c r="AF5411">
        <v>0.16429070082158401</v>
      </c>
      <c r="AG5411">
        <v>-0.20312959999999899</v>
      </c>
      <c r="AH5411">
        <v>0.70773299678270196</v>
      </c>
      <c r="AI5411">
        <v>105.619948647332</v>
      </c>
      <c r="AJ5411">
        <v>76.931024642742202</v>
      </c>
      <c r="AK5411">
        <v>0.75441305894558297</v>
      </c>
      <c r="AL5411">
        <v>80.545390449575805</v>
      </c>
      <c r="AM5411">
        <v>89.434126210279302</v>
      </c>
      <c r="AN5411">
        <v>0.99999996299758898</v>
      </c>
    </row>
    <row r="5412" spans="1:40" x14ac:dyDescent="0.25">
      <c r="A5412" t="str">
        <f>"20190312173036226"</f>
        <v>20190312173036226</v>
      </c>
      <c r="B5412" t="str">
        <f>"1552383036222898"</f>
        <v>1552383036222898</v>
      </c>
      <c r="C5412" t="s">
        <v>40</v>
      </c>
      <c r="D5412">
        <v>3.4002970000000001</v>
      </c>
      <c r="E5412">
        <v>0.55418500000000004</v>
      </c>
      <c r="F5412" t="s">
        <v>42</v>
      </c>
      <c r="G5412">
        <v>-358.98509999999999</v>
      </c>
      <c r="H5412">
        <v>0.93223820000000002</v>
      </c>
      <c r="I5412">
        <v>17.224710000000002</v>
      </c>
      <c r="J5412">
        <v>-359.62889999999999</v>
      </c>
      <c r="K5412">
        <v>1.1094079999999999</v>
      </c>
      <c r="L5412">
        <v>17.376560000000001</v>
      </c>
      <c r="M5412">
        <v>0.99995049999999996</v>
      </c>
      <c r="N5412">
        <v>0</v>
      </c>
      <c r="O5412">
        <v>1.8095559999999999E-3</v>
      </c>
      <c r="P5412">
        <v>0.98792420000000003</v>
      </c>
      <c r="Q5412">
        <v>0.15473410000000001</v>
      </c>
      <c r="R5412">
        <v>-7.9622770000000002E-3</v>
      </c>
      <c r="S5412">
        <v>3.1452939999999998</v>
      </c>
      <c r="T5412">
        <v>-0.7272303</v>
      </c>
      <c r="U5412">
        <v>-0.62103269999999899</v>
      </c>
      <c r="V5412">
        <v>9.7449059999999994E-3</v>
      </c>
      <c r="W5412">
        <v>0.16440450000000001</v>
      </c>
      <c r="X5412">
        <v>0.98634489999999997</v>
      </c>
      <c r="Y5412">
        <v>0.19059519999999999</v>
      </c>
      <c r="Z5412">
        <v>-2.1956170000000001E-2</v>
      </c>
      <c r="AA5412">
        <v>0.98142309999999999</v>
      </c>
      <c r="AB5412">
        <v>25</v>
      </c>
      <c r="AC5412">
        <v>0.64379999999999804</v>
      </c>
      <c r="AD5412">
        <v>-0.17716979999999999</v>
      </c>
      <c r="AE5412">
        <v>-0.15184999999999901</v>
      </c>
      <c r="AF5412">
        <v>0.14277223936184</v>
      </c>
      <c r="AG5412">
        <v>-0.17716979999999999</v>
      </c>
      <c r="AH5412">
        <v>0.60044769946231102</v>
      </c>
      <c r="AI5412">
        <v>106.016632591579</v>
      </c>
      <c r="AJ5412">
        <v>76.624796305089205</v>
      </c>
      <c r="AK5412">
        <v>0.64211407876950999</v>
      </c>
      <c r="AL5412">
        <v>80.537357889179702</v>
      </c>
      <c r="AM5412">
        <v>89.433946665221498</v>
      </c>
      <c r="AN5412">
        <v>1.0000000322846001</v>
      </c>
    </row>
    <row r="5413" spans="1:40" x14ac:dyDescent="0.25">
      <c r="A5413" t="str">
        <f>"20190312173036238"</f>
        <v>20190312173036238</v>
      </c>
      <c r="B5413" t="str">
        <f>"1552383036233634"</f>
        <v>1552383036233634</v>
      </c>
      <c r="C5413" t="s">
        <v>40</v>
      </c>
      <c r="D5413">
        <v>3.3964470000000002</v>
      </c>
      <c r="E5413">
        <v>0.54893169999999902</v>
      </c>
      <c r="F5413" t="s">
        <v>42</v>
      </c>
      <c r="G5413">
        <v>-358.74509999999998</v>
      </c>
      <c r="H5413">
        <v>0.97659680000000004</v>
      </c>
      <c r="I5413">
        <v>17.25741</v>
      </c>
      <c r="J5413">
        <v>-359.4991</v>
      </c>
      <c r="K5413">
        <v>1.109415</v>
      </c>
      <c r="L5413">
        <v>17.376709999999999</v>
      </c>
      <c r="M5413">
        <v>0.99995060000000002</v>
      </c>
      <c r="N5413">
        <v>0</v>
      </c>
      <c r="O5413">
        <v>1.7890619999999999E-3</v>
      </c>
      <c r="P5413">
        <v>0.98790279999999997</v>
      </c>
      <c r="Q5413">
        <v>0.1548776</v>
      </c>
      <c r="R5413">
        <v>-7.8214219999999997E-3</v>
      </c>
      <c r="S5413">
        <v>3.1064150000000001</v>
      </c>
      <c r="T5413">
        <v>-0.4668293</v>
      </c>
      <c r="U5413">
        <v>-0.41754150000000001</v>
      </c>
      <c r="V5413">
        <v>9.5793070000000004E-3</v>
      </c>
      <c r="W5413">
        <v>0.1645249</v>
      </c>
      <c r="X5413">
        <v>0.98632640000000005</v>
      </c>
      <c r="Y5413">
        <v>0.13349530000000001</v>
      </c>
      <c r="Z5413">
        <v>-1.0197060000000001E-2</v>
      </c>
      <c r="AA5413">
        <v>0.99099700000000002</v>
      </c>
      <c r="AB5413">
        <v>25</v>
      </c>
      <c r="AC5413">
        <v>0.75400000000001899</v>
      </c>
      <c r="AD5413">
        <v>-0.1328182</v>
      </c>
      <c r="AE5413">
        <v>-0.119299999999999</v>
      </c>
      <c r="AF5413">
        <v>0.117103914470395</v>
      </c>
      <c r="AG5413">
        <v>-0.1328182</v>
      </c>
      <c r="AH5413">
        <v>0.73163757680947294</v>
      </c>
      <c r="AI5413">
        <v>100.16256353820199</v>
      </c>
      <c r="AJ5413">
        <v>80.906523584706306</v>
      </c>
      <c r="AK5413">
        <v>0.75275995166797205</v>
      </c>
      <c r="AL5413">
        <v>80.530363808185797</v>
      </c>
      <c r="AM5413">
        <v>89.443554784851699</v>
      </c>
      <c r="AN5413">
        <v>0.99999998658978495</v>
      </c>
    </row>
    <row r="5414" spans="1:40" x14ac:dyDescent="0.25">
      <c r="A5414" t="str">
        <f>"20190312173036250"</f>
        <v>20190312173036250</v>
      </c>
      <c r="B5414" t="str">
        <f>"1552383036243394"</f>
        <v>1552383036243394</v>
      </c>
      <c r="C5414" t="s">
        <v>40</v>
      </c>
      <c r="D5414">
        <v>3.4036439999999999</v>
      </c>
      <c r="E5414">
        <v>0.54381950000000001</v>
      </c>
      <c r="F5414" t="s">
        <v>42</v>
      </c>
      <c r="G5414">
        <v>-358.72770000000003</v>
      </c>
      <c r="H5414">
        <v>1.01363</v>
      </c>
      <c r="I5414">
        <v>17.28201</v>
      </c>
      <c r="J5414">
        <v>-359.37009999999998</v>
      </c>
      <c r="K5414">
        <v>1.1094269999999999</v>
      </c>
      <c r="L5414">
        <v>17.376860000000001</v>
      </c>
      <c r="M5414">
        <v>0.99995100000000003</v>
      </c>
      <c r="N5414">
        <v>0</v>
      </c>
      <c r="O5414">
        <v>1.743669E-3</v>
      </c>
      <c r="P5414">
        <v>0.98789329999999997</v>
      </c>
      <c r="Q5414">
        <v>0.15492919999999999</v>
      </c>
      <c r="R5414">
        <v>-7.9919680000000003E-3</v>
      </c>
      <c r="S5414">
        <v>3.0939640000000002</v>
      </c>
      <c r="T5414">
        <v>-0.38418669999999999</v>
      </c>
      <c r="U5414">
        <v>-0.37838749999999999</v>
      </c>
      <c r="V5414">
        <v>9.6993900000000004E-3</v>
      </c>
      <c r="W5414">
        <v>0.16455639999999999</v>
      </c>
      <c r="X5414">
        <v>0.98631999999999997</v>
      </c>
      <c r="Y5414">
        <v>0.122187</v>
      </c>
      <c r="Z5414">
        <v>-7.744323E-3</v>
      </c>
      <c r="AA5414">
        <v>0.9924769</v>
      </c>
      <c r="AB5414">
        <v>25</v>
      </c>
      <c r="AC5414">
        <v>0.64239999999995201</v>
      </c>
      <c r="AD5414">
        <v>-9.5796999999999896E-2</v>
      </c>
      <c r="AE5414">
        <v>-9.4850000000001003E-2</v>
      </c>
      <c r="AF5414">
        <v>9.3925895311773297E-2</v>
      </c>
      <c r="AG5414">
        <v>-9.5796999999999896E-2</v>
      </c>
      <c r="AH5414">
        <v>0.62855415429473904</v>
      </c>
      <c r="AI5414">
        <v>98.5719388584005</v>
      </c>
      <c r="AJ5414">
        <v>81.501083556363497</v>
      </c>
      <c r="AK5414">
        <v>0.64271258265284703</v>
      </c>
      <c r="AL5414">
        <v>80.528534320529999</v>
      </c>
      <c r="AM5414">
        <v>89.436576164300604</v>
      </c>
      <c r="AN5414">
        <v>1.0000000146736601</v>
      </c>
    </row>
    <row r="5415" spans="1:40" x14ac:dyDescent="0.25">
      <c r="A5415" t="str">
        <f>"20190312173036262"</f>
        <v>20190312173036262</v>
      </c>
      <c r="B5415" t="str">
        <f>"1552383036253154"</f>
        <v>1552383036253154</v>
      </c>
      <c r="C5415" t="s">
        <v>40</v>
      </c>
      <c r="D5415">
        <v>3.3814489999999999</v>
      </c>
      <c r="E5415">
        <v>0.54063019999999995</v>
      </c>
      <c r="F5415" t="s">
        <v>42</v>
      </c>
      <c r="G5415">
        <v>-358.50369999999998</v>
      </c>
      <c r="H5415">
        <v>1.0201439999999999</v>
      </c>
      <c r="I5415">
        <v>17.280650000000001</v>
      </c>
      <c r="J5415">
        <v>-359.2244</v>
      </c>
      <c r="K5415">
        <v>1.1094459999999999</v>
      </c>
      <c r="L5415">
        <v>17.377040000000001</v>
      </c>
      <c r="M5415">
        <v>0.99995129999999999</v>
      </c>
      <c r="N5415">
        <v>0</v>
      </c>
      <c r="O5415">
        <v>1.670906E-3</v>
      </c>
      <c r="P5415">
        <v>0.98791620000000002</v>
      </c>
      <c r="Q5415">
        <v>0.15479579999999901</v>
      </c>
      <c r="R5415">
        <v>-7.7312500000000003E-3</v>
      </c>
      <c r="S5415">
        <v>3.0838320000000001</v>
      </c>
      <c r="T5415">
        <v>-0.31778099999999998</v>
      </c>
      <c r="U5415">
        <v>-0.34075929999999999</v>
      </c>
      <c r="V5415">
        <v>9.3595989999999997E-3</v>
      </c>
      <c r="W5415">
        <v>0.16440399999999999</v>
      </c>
      <c r="X5415">
        <v>0.98634869999999997</v>
      </c>
      <c r="Y5415">
        <v>0.1109019</v>
      </c>
      <c r="Z5415">
        <v>-5.8530589999999999E-3</v>
      </c>
      <c r="AA5415">
        <v>0.99381410000000003</v>
      </c>
      <c r="AB5415">
        <v>25</v>
      </c>
      <c r="AC5415">
        <v>0.72070000000002199</v>
      </c>
      <c r="AD5415">
        <v>-8.9301999999999701E-2</v>
      </c>
      <c r="AE5415">
        <v>-9.6389999999999504E-2</v>
      </c>
      <c r="AF5415">
        <v>9.6143919720598894E-2</v>
      </c>
      <c r="AG5415">
        <v>-8.9301999999999701E-2</v>
      </c>
      <c r="AH5415">
        <v>0.70983091378686403</v>
      </c>
      <c r="AI5415">
        <v>97.106345487516194</v>
      </c>
      <c r="AJ5415">
        <v>82.286444359708298</v>
      </c>
      <c r="AK5415">
        <v>0.72185762216017002</v>
      </c>
      <c r="AL5415">
        <v>80.537386792507206</v>
      </c>
      <c r="AM5415">
        <v>89.456328755013502</v>
      </c>
      <c r="AN5415">
        <v>1.0000000176505599</v>
      </c>
    </row>
    <row r="5416" spans="1:40" x14ac:dyDescent="0.25">
      <c r="A5416" t="str">
        <f>"20190312173036276"</f>
        <v>20190312173036276</v>
      </c>
      <c r="B5416" t="str">
        <f>"1552383036273650"</f>
        <v>1552383036273650</v>
      </c>
      <c r="C5416" t="s">
        <v>40</v>
      </c>
      <c r="D5416">
        <v>3.3740100000000002</v>
      </c>
      <c r="E5416">
        <v>0.53732760000000002</v>
      </c>
      <c r="F5416" t="s">
        <v>42</v>
      </c>
      <c r="G5416">
        <v>-358.49090000000001</v>
      </c>
      <c r="H5416">
        <v>1.0465009999999999</v>
      </c>
      <c r="I5416">
        <v>17.300979999999999</v>
      </c>
      <c r="J5416">
        <v>-359.08339999999998</v>
      </c>
      <c r="K5416">
        <v>1.1094599999999999</v>
      </c>
      <c r="L5416">
        <v>17.377229999999901</v>
      </c>
      <c r="M5416">
        <v>0.99995160000000005</v>
      </c>
      <c r="N5416">
        <v>0</v>
      </c>
      <c r="O5416">
        <v>1.5983130000000001E-3</v>
      </c>
      <c r="P5416">
        <v>0.98794970000000004</v>
      </c>
      <c r="Q5416">
        <v>0.15458179999999999</v>
      </c>
      <c r="R5416">
        <v>-7.7509140000000002E-3</v>
      </c>
      <c r="S5416">
        <v>3.0755309999999998</v>
      </c>
      <c r="T5416">
        <v>-0.26389040000000002</v>
      </c>
      <c r="U5416">
        <v>-0.31692500000000001</v>
      </c>
      <c r="V5416">
        <v>9.3041640000000002E-3</v>
      </c>
      <c r="W5416">
        <v>0.1641736</v>
      </c>
      <c r="X5416">
        <v>0.98638760000000003</v>
      </c>
      <c r="Y5416">
        <v>0.1037114</v>
      </c>
      <c r="Z5416">
        <v>-4.5661E-3</v>
      </c>
      <c r="AA5416">
        <v>0.99459699999999995</v>
      </c>
      <c r="AB5416">
        <v>25</v>
      </c>
      <c r="AC5416">
        <v>0.59249999999997205</v>
      </c>
      <c r="AD5416">
        <v>-6.2958999999999904E-2</v>
      </c>
      <c r="AE5416">
        <v>-7.6249999999998097E-2</v>
      </c>
      <c r="AF5416">
        <v>7.6348923681803793E-2</v>
      </c>
      <c r="AG5416">
        <v>-6.2958999999999904E-2</v>
      </c>
      <c r="AH5416">
        <v>0.58586998152522995</v>
      </c>
      <c r="AI5416">
        <v>96.0825632558238</v>
      </c>
      <c r="AJ5416">
        <v>82.575217557286706</v>
      </c>
      <c r="AK5416">
        <v>0.59416885569738698</v>
      </c>
      <c r="AL5416">
        <v>80.550769584023598</v>
      </c>
      <c r="AM5416">
        <v>89.4595699300056</v>
      </c>
      <c r="AN5416">
        <v>1.0000000179192201</v>
      </c>
    </row>
    <row r="5417" spans="1:40" x14ac:dyDescent="0.25">
      <c r="A5417" t="str">
        <f>"20190312173036294"</f>
        <v>20190312173036294</v>
      </c>
      <c r="B5417" t="str">
        <f>"1552383036283410"</f>
        <v>1552383036283410</v>
      </c>
      <c r="C5417" t="s">
        <v>40</v>
      </c>
      <c r="D5417">
        <v>3.3826849999999999</v>
      </c>
      <c r="E5417">
        <v>0.53612199999999999</v>
      </c>
      <c r="F5417" t="s">
        <v>42</v>
      </c>
      <c r="G5417">
        <v>-358.26179999999999</v>
      </c>
      <c r="H5417">
        <v>1.055115</v>
      </c>
      <c r="I5417">
        <v>17.298469999999998</v>
      </c>
      <c r="J5417">
        <v>-358.88310000000001</v>
      </c>
      <c r="K5417">
        <v>1.10947</v>
      </c>
      <c r="L5417">
        <v>17.37753</v>
      </c>
      <c r="M5417">
        <v>0.9999519</v>
      </c>
      <c r="N5417">
        <v>0</v>
      </c>
      <c r="O5417">
        <v>1.510354E-3</v>
      </c>
      <c r="P5417">
        <v>0.98791320000000005</v>
      </c>
      <c r="Q5417">
        <v>0.1548059</v>
      </c>
      <c r="R5417">
        <v>-7.9258729999999999E-3</v>
      </c>
      <c r="S5417">
        <v>3.0660099999999999</v>
      </c>
      <c r="T5417">
        <v>-0.20283129999999999</v>
      </c>
      <c r="U5417">
        <v>-0.29330440000000002</v>
      </c>
      <c r="V5417">
        <v>9.3918349999999994E-3</v>
      </c>
      <c r="W5417">
        <v>0.16437109999999999</v>
      </c>
      <c r="X5417">
        <v>0.98635390000000001</v>
      </c>
      <c r="Y5417">
        <v>9.6519629999999995E-2</v>
      </c>
      <c r="Z5417">
        <v>-3.2814820000000001E-3</v>
      </c>
      <c r="AA5417">
        <v>0.99532569999999998</v>
      </c>
      <c r="AB5417">
        <v>25</v>
      </c>
      <c r="AC5417">
        <v>0.62130000000001895</v>
      </c>
      <c r="AD5417">
        <v>-5.4355000000000098E-2</v>
      </c>
      <c r="AE5417">
        <v>-7.9059999999998298E-2</v>
      </c>
      <c r="AF5417">
        <v>7.9400307419216901E-2</v>
      </c>
      <c r="AG5417">
        <v>-5.4355000000000098E-2</v>
      </c>
      <c r="AH5417">
        <v>0.616536232643357</v>
      </c>
      <c r="AI5417">
        <v>94.997219248156497</v>
      </c>
      <c r="AJ5417">
        <v>82.661584372891497</v>
      </c>
      <c r="AK5417">
        <v>0.62399984054912205</v>
      </c>
      <c r="AL5417">
        <v>80.539298040338593</v>
      </c>
      <c r="AM5417">
        <v>89.454459250607997</v>
      </c>
      <c r="AN5417">
        <v>1.00000004056254</v>
      </c>
    </row>
    <row r="5418" spans="1:40" x14ac:dyDescent="0.25">
      <c r="A5418" t="str">
        <f>"20190312173036304"</f>
        <v>20190312173036304</v>
      </c>
      <c r="B5418" t="str">
        <f>"1552383036293170"</f>
        <v>1552383036293170</v>
      </c>
      <c r="C5418" t="s">
        <v>40</v>
      </c>
      <c r="D5418">
        <v>3.4075980000000001</v>
      </c>
      <c r="E5418">
        <v>0.53532669999999904</v>
      </c>
      <c r="F5418" t="s">
        <v>41</v>
      </c>
      <c r="G5418">
        <v>-340.35539999999997</v>
      </c>
      <c r="H5418" s="1">
        <v>-4.822829E-6</v>
      </c>
      <c r="I5418">
        <v>15.653029999999999</v>
      </c>
      <c r="J5418">
        <v>-358.76409999999998</v>
      </c>
      <c r="K5418">
        <v>1.10947</v>
      </c>
      <c r="L5418">
        <v>17.37772</v>
      </c>
      <c r="M5418">
        <v>0.99995210000000001</v>
      </c>
      <c r="N5418">
        <v>0</v>
      </c>
      <c r="O5418">
        <v>1.466087E-3</v>
      </c>
      <c r="P5418">
        <v>0.98789470000000001</v>
      </c>
      <c r="Q5418">
        <v>0.1549249</v>
      </c>
      <c r="R5418">
        <v>-7.8688379999999995E-3</v>
      </c>
      <c r="S5418">
        <v>3.0631710000000001</v>
      </c>
      <c r="T5418">
        <v>-0.1834278</v>
      </c>
      <c r="U5418">
        <v>-0.28509519999999999</v>
      </c>
      <c r="V5418">
        <v>9.2932640000000007E-3</v>
      </c>
      <c r="W5418">
        <v>0.16447410000000001</v>
      </c>
      <c r="X5418">
        <v>0.98633760000000004</v>
      </c>
      <c r="Y5418">
        <v>9.3961660000000002E-2</v>
      </c>
      <c r="Z5418">
        <v>-2.8922589999999999E-3</v>
      </c>
      <c r="AA5418">
        <v>0.9955716</v>
      </c>
      <c r="AB5418">
        <v>25</v>
      </c>
      <c r="AC5418">
        <v>18.4087</v>
      </c>
      <c r="AD5418">
        <v>-1.1094748228289999</v>
      </c>
      <c r="AE5418">
        <v>-1.7246900000000001</v>
      </c>
      <c r="AF5418">
        <v>1.7453934366532899</v>
      </c>
      <c r="AG5418">
        <v>-1.1094748228289999</v>
      </c>
      <c r="AH5418">
        <v>18.340113347227401</v>
      </c>
      <c r="AI5418">
        <v>93.446323382570398</v>
      </c>
      <c r="AJ5418">
        <v>84.563643320539299</v>
      </c>
      <c r="AK5418">
        <v>18.456356363604201</v>
      </c>
      <c r="AL5418">
        <v>80.533314547961098</v>
      </c>
      <c r="AM5418">
        <v>89.460175654246896</v>
      </c>
      <c r="AN5418">
        <v>0.99999997775017102</v>
      </c>
    </row>
    <row r="5419" spans="1:40" x14ac:dyDescent="0.25">
      <c r="A5419" t="str">
        <f>"20190312173036315"</f>
        <v>20190312173036315</v>
      </c>
      <c r="B5419" t="str">
        <f>"1552383036302930"</f>
        <v>1552383036302930</v>
      </c>
      <c r="C5419" t="s">
        <v>40</v>
      </c>
      <c r="D5419">
        <v>3.38985</v>
      </c>
      <c r="E5419">
        <v>0.53468919999999998</v>
      </c>
      <c r="F5419" t="s">
        <v>41</v>
      </c>
      <c r="G5419">
        <v>-338.68970000000002</v>
      </c>
      <c r="H5419" s="1">
        <v>-1.51485E-6</v>
      </c>
      <c r="I5419">
        <v>15.546419999999999</v>
      </c>
      <c r="J5419">
        <v>-358.64120000000003</v>
      </c>
      <c r="K5419">
        <v>1.1094649999999999</v>
      </c>
      <c r="L5419">
        <v>17.377929999999999</v>
      </c>
      <c r="M5419">
        <v>0.99995239999999996</v>
      </c>
      <c r="N5419">
        <v>0</v>
      </c>
      <c r="O5419">
        <v>1.431449E-3</v>
      </c>
      <c r="P5419">
        <v>0.98786510000000005</v>
      </c>
      <c r="Q5419">
        <v>0.15510929999999901</v>
      </c>
      <c r="R5419">
        <v>-8.003909E-3</v>
      </c>
      <c r="S5419">
        <v>3.061096</v>
      </c>
      <c r="T5419">
        <v>-0.16918</v>
      </c>
      <c r="U5419">
        <v>-0.27923579999999998</v>
      </c>
      <c r="V5419">
        <v>9.3987830000000008E-3</v>
      </c>
      <c r="W5419">
        <v>0.1646416</v>
      </c>
      <c r="X5419">
        <v>0.98630870000000004</v>
      </c>
      <c r="Y5419">
        <v>9.2127580000000001E-2</v>
      </c>
      <c r="Z5419">
        <v>-2.6175389999999999E-3</v>
      </c>
      <c r="AA5419">
        <v>0.99574379999999996</v>
      </c>
      <c r="AB5419">
        <v>25</v>
      </c>
      <c r="AC5419">
        <v>19.951499999999999</v>
      </c>
      <c r="AD5419">
        <v>-1.10946651485</v>
      </c>
      <c r="AE5419">
        <v>-1.83150999999999</v>
      </c>
      <c r="AF5419">
        <v>1.85438267605745</v>
      </c>
      <c r="AG5419">
        <v>-1.10946651485</v>
      </c>
      <c r="AH5419">
        <v>19.887872977103701</v>
      </c>
      <c r="AI5419">
        <v>93.179235676429499</v>
      </c>
      <c r="AJ5419">
        <v>84.673035771322006</v>
      </c>
      <c r="AK5419">
        <v>20.0049279581369</v>
      </c>
      <c r="AL5419">
        <v>80.523585293358806</v>
      </c>
      <c r="AM5419">
        <v>89.454030670886297</v>
      </c>
      <c r="AN5419">
        <v>1.00000002263406</v>
      </c>
    </row>
    <row r="5420" spans="1:40" x14ac:dyDescent="0.25">
      <c r="A5420" t="str">
        <f>"20190312173036328"</f>
        <v>20190312173036328</v>
      </c>
      <c r="B5420" t="str">
        <f>"1552383036323426"</f>
        <v>1552383036323426</v>
      </c>
      <c r="C5420" t="s">
        <v>40</v>
      </c>
      <c r="D5420">
        <v>3.4180019999999902</v>
      </c>
      <c r="E5420">
        <v>0.53376829999999997</v>
      </c>
      <c r="F5420" t="s">
        <v>41</v>
      </c>
      <c r="G5420">
        <v>-337.16239999999999</v>
      </c>
      <c r="H5420" s="1">
        <v>-2.0609699999999999E-6</v>
      </c>
      <c r="I5420">
        <v>15.44726</v>
      </c>
      <c r="J5420">
        <v>-358.5102</v>
      </c>
      <c r="K5420">
        <v>1.1094580000000001</v>
      </c>
      <c r="L5420">
        <v>17.37811</v>
      </c>
      <c r="M5420">
        <v>0.99995259999999997</v>
      </c>
      <c r="N5420">
        <v>0</v>
      </c>
      <c r="O5420">
        <v>1.39667E-3</v>
      </c>
      <c r="P5420">
        <v>0.98784570000000005</v>
      </c>
      <c r="Q5420">
        <v>0.15522929999999999</v>
      </c>
      <c r="R5420">
        <v>-8.0440559999999904E-3</v>
      </c>
      <c r="S5420">
        <v>3.0594480000000002</v>
      </c>
      <c r="T5420">
        <v>-0.1580327</v>
      </c>
      <c r="U5420">
        <v>-0.27499390000000001</v>
      </c>
      <c r="V5420">
        <v>9.4104649999999998E-3</v>
      </c>
      <c r="W5420">
        <v>0.164745</v>
      </c>
      <c r="X5420">
        <v>0.98629129999999998</v>
      </c>
      <c r="Y5420">
        <v>9.0791720000000006E-2</v>
      </c>
      <c r="Z5420">
        <v>-2.4105659999999998E-3</v>
      </c>
      <c r="AA5420">
        <v>0.99586699999999995</v>
      </c>
      <c r="AB5420">
        <v>25</v>
      </c>
      <c r="AC5420">
        <v>21.347799999999999</v>
      </c>
      <c r="AD5420">
        <v>-1.1094600609700001</v>
      </c>
      <c r="AE5420">
        <v>-1.93084999999999</v>
      </c>
      <c r="AF5420">
        <v>1.95542667224251</v>
      </c>
      <c r="AG5420">
        <v>-1.1094600609700001</v>
      </c>
      <c r="AH5420">
        <v>21.288050815217801</v>
      </c>
      <c r="AI5420">
        <v>92.970875602122206</v>
      </c>
      <c r="AJ5420">
        <v>84.751789259815098</v>
      </c>
      <c r="AK5420">
        <v>21.406440680521801</v>
      </c>
      <c r="AL5420">
        <v>80.517578676414701</v>
      </c>
      <c r="AM5420">
        <v>89.453342468794403</v>
      </c>
      <c r="AN5420">
        <v>1.0000000001661</v>
      </c>
    </row>
    <row r="5421" spans="1:40" x14ac:dyDescent="0.25">
      <c r="A5421" t="str">
        <f>"20190312173036340"</f>
        <v>20190312173036340</v>
      </c>
      <c r="B5421" t="str">
        <f>"1552383036333187"</f>
        <v>1552383036333187</v>
      </c>
      <c r="C5421" t="s">
        <v>40</v>
      </c>
      <c r="D5421">
        <v>3.4101189999999999</v>
      </c>
      <c r="E5421">
        <v>0.53341539999999998</v>
      </c>
      <c r="F5421" t="s">
        <v>41</v>
      </c>
      <c r="G5421">
        <v>-334.55970000000002</v>
      </c>
      <c r="H5421" s="1">
        <v>-3.086394E-6</v>
      </c>
      <c r="I5421">
        <v>15.274240000000001</v>
      </c>
      <c r="J5421">
        <v>-358.37110000000001</v>
      </c>
      <c r="K5421">
        <v>1.1094520000000001</v>
      </c>
      <c r="L5421">
        <v>17.378270000000001</v>
      </c>
      <c r="M5421">
        <v>0.99995290000000003</v>
      </c>
      <c r="N5421">
        <v>0</v>
      </c>
      <c r="O5421">
        <v>1.362687E-3</v>
      </c>
      <c r="P5421">
        <v>0.98782939999999997</v>
      </c>
      <c r="Q5421">
        <v>0.15532580000000001</v>
      </c>
      <c r="R5421">
        <v>-8.2008040000000008E-3</v>
      </c>
      <c r="S5421">
        <v>3.057007</v>
      </c>
      <c r="T5421">
        <v>-0.1416095</v>
      </c>
      <c r="U5421">
        <v>-0.26852419999999999</v>
      </c>
      <c r="V5421">
        <v>9.5405999999999998E-3</v>
      </c>
      <c r="W5421">
        <v>0.16482550000000001</v>
      </c>
      <c r="X5421">
        <v>0.98627659999999995</v>
      </c>
      <c r="Y5421">
        <v>8.8763540000000002E-2</v>
      </c>
      <c r="Z5421">
        <v>-2.1138229999999999E-3</v>
      </c>
      <c r="AA5421">
        <v>0.99605049999999995</v>
      </c>
      <c r="AB5421">
        <v>25</v>
      </c>
      <c r="AC5421">
        <v>23.8113999999999</v>
      </c>
      <c r="AD5421">
        <v>-1.109455086394</v>
      </c>
      <c r="AE5421">
        <v>-2.1040299999999998</v>
      </c>
      <c r="AF5421">
        <v>2.1318846738336199</v>
      </c>
      <c r="AG5421">
        <v>-1.109455086394</v>
      </c>
      <c r="AH5421">
        <v>23.757334245854299</v>
      </c>
      <c r="AI5421">
        <v>92.663055242720304</v>
      </c>
      <c r="AJ5421">
        <v>84.872248651060005</v>
      </c>
      <c r="AK5421">
        <v>23.878583570230798</v>
      </c>
      <c r="AL5421">
        <v>80.512902438918502</v>
      </c>
      <c r="AM5421">
        <v>89.445775085081905</v>
      </c>
      <c r="AN5421">
        <v>1.00000000010308</v>
      </c>
    </row>
    <row r="5422" spans="1:40" x14ac:dyDescent="0.25">
      <c r="A5422" t="str">
        <f>"20190312173036352"</f>
        <v>20190312173036352</v>
      </c>
      <c r="B5422" t="str">
        <f>"1552383036342947"</f>
        <v>1552383036342947</v>
      </c>
      <c r="C5422" t="s">
        <v>40</v>
      </c>
      <c r="D5422">
        <v>3.4252530000000001</v>
      </c>
      <c r="E5422">
        <v>0.53308169999999899</v>
      </c>
      <c r="F5422" t="s">
        <v>41</v>
      </c>
      <c r="G5422">
        <v>-333.37110000000001</v>
      </c>
      <c r="H5422" s="1">
        <v>-3.6099069999999999E-6</v>
      </c>
      <c r="I5422">
        <v>15.197520000000001</v>
      </c>
      <c r="J5422">
        <v>-358.22609999999997</v>
      </c>
      <c r="K5422">
        <v>1.109445</v>
      </c>
      <c r="L5422">
        <v>17.378450000000001</v>
      </c>
      <c r="M5422">
        <v>0.99995310000000004</v>
      </c>
      <c r="N5422">
        <v>0</v>
      </c>
      <c r="O5422">
        <v>1.3259630000000001E-3</v>
      </c>
      <c r="P5422">
        <v>0.98780970000000001</v>
      </c>
      <c r="Q5422">
        <v>0.1554509</v>
      </c>
      <c r="R5422">
        <v>-8.2136659999999997E-3</v>
      </c>
      <c r="S5422">
        <v>3.0560610000000001</v>
      </c>
      <c r="T5422">
        <v>-0.13562249999999901</v>
      </c>
      <c r="U5422">
        <v>-0.266571</v>
      </c>
      <c r="V5422">
        <v>9.5239820000000003E-3</v>
      </c>
      <c r="W5422">
        <v>0.16493459999999999</v>
      </c>
      <c r="X5422">
        <v>0.98625850000000004</v>
      </c>
      <c r="Y5422">
        <v>8.8130609999999998E-2</v>
      </c>
      <c r="Z5422">
        <v>-2.0095859999999998E-3</v>
      </c>
      <c r="AA5422">
        <v>0.99610690000000002</v>
      </c>
      <c r="AB5422">
        <v>25</v>
      </c>
      <c r="AC5422">
        <v>24.854999999999901</v>
      </c>
      <c r="AD5422">
        <v>-1.109448609907</v>
      </c>
      <c r="AE5422">
        <v>-2.18093</v>
      </c>
      <c r="AF5422">
        <v>2.20951769850896</v>
      </c>
      <c r="AG5422">
        <v>-1.109448609907</v>
      </c>
      <c r="AH5422">
        <v>24.803045009069301</v>
      </c>
      <c r="AI5422">
        <v>92.551063623279006</v>
      </c>
      <c r="AJ5422">
        <v>84.909385178764893</v>
      </c>
      <c r="AK5422">
        <v>24.9259681135953</v>
      </c>
      <c r="AL5422">
        <v>80.506564523712896</v>
      </c>
      <c r="AM5422">
        <v>89.446730231712806</v>
      </c>
      <c r="AN5422">
        <v>0.99999997866627299</v>
      </c>
    </row>
    <row r="5423" spans="1:40" x14ac:dyDescent="0.25">
      <c r="A5423" t="str">
        <f>"20190312173036366"</f>
        <v>20190312173036366</v>
      </c>
      <c r="B5423" t="str">
        <f>"1552383036363442"</f>
        <v>1552383036363442</v>
      </c>
      <c r="C5423" t="s">
        <v>40</v>
      </c>
      <c r="D5423">
        <v>3.4302640000000002</v>
      </c>
      <c r="E5423">
        <v>0.53254219999999997</v>
      </c>
      <c r="F5423" t="s">
        <v>41</v>
      </c>
      <c r="G5423">
        <v>-332.26369999999997</v>
      </c>
      <c r="H5423" s="1">
        <v>-4.0962639999999999E-6</v>
      </c>
      <c r="I5423">
        <v>15.133760000000001</v>
      </c>
      <c r="J5423">
        <v>-358.07859999999999</v>
      </c>
      <c r="K5423">
        <v>1.1094409999999999</v>
      </c>
      <c r="L5423">
        <v>17.378629999999902</v>
      </c>
      <c r="M5423">
        <v>0.99995319999999999</v>
      </c>
      <c r="N5423">
        <v>0</v>
      </c>
      <c r="O5423">
        <v>1.2869839999999999E-3</v>
      </c>
      <c r="P5423">
        <v>0.9877842</v>
      </c>
      <c r="Q5423">
        <v>0.15560979999999999</v>
      </c>
      <c r="R5423">
        <v>-8.2523449999999995E-3</v>
      </c>
      <c r="S5423">
        <v>3.0554199999999998</v>
      </c>
      <c r="T5423">
        <v>-0.13056699999999999</v>
      </c>
      <c r="U5423">
        <v>-0.26416020000000001</v>
      </c>
      <c r="V5423">
        <v>9.5307699999999992E-3</v>
      </c>
      <c r="W5423">
        <v>0.165078</v>
      </c>
      <c r="X5423">
        <v>0.98623450000000001</v>
      </c>
      <c r="Y5423">
        <v>8.7336849999999994E-2</v>
      </c>
      <c r="Z5423">
        <v>-1.9166319999999999E-3</v>
      </c>
      <c r="AA5423">
        <v>0.99617699999999998</v>
      </c>
      <c r="AB5423">
        <v>25</v>
      </c>
      <c r="AC5423">
        <v>25.814900000000002</v>
      </c>
      <c r="AD5423">
        <v>-1.1094450962639999</v>
      </c>
      <c r="AE5423">
        <v>-2.2448699999999899</v>
      </c>
      <c r="AF5423">
        <v>2.2739245777403001</v>
      </c>
      <c r="AG5423">
        <v>-1.1094450962639999</v>
      </c>
      <c r="AH5423">
        <v>25.764758607539001</v>
      </c>
      <c r="AI5423">
        <v>92.456130024737405</v>
      </c>
      <c r="AJ5423">
        <v>84.956305446971598</v>
      </c>
      <c r="AK5423">
        <v>25.8886922711756</v>
      </c>
      <c r="AL5423">
        <v>80.498234663191994</v>
      </c>
      <c r="AM5423">
        <v>89.446322453331206</v>
      </c>
      <c r="AN5423">
        <v>1.0000000353255201</v>
      </c>
    </row>
    <row r="5424" spans="1:40" x14ac:dyDescent="0.25">
      <c r="A5424" t="str">
        <f>"20190312173036383"</f>
        <v>20190312173036383</v>
      </c>
      <c r="B5424" t="str">
        <f>"1552383036373202"</f>
        <v>1552383036373202</v>
      </c>
      <c r="C5424" t="s">
        <v>40</v>
      </c>
      <c r="D5424">
        <v>3.4024559999999999</v>
      </c>
      <c r="E5424">
        <v>0.53235120000000002</v>
      </c>
      <c r="F5424" t="s">
        <v>41</v>
      </c>
      <c r="G5424">
        <v>-330.51229999999998</v>
      </c>
      <c r="H5424" s="1">
        <v>-4.8662239999999999E-6</v>
      </c>
      <c r="I5424">
        <v>15.0288</v>
      </c>
      <c r="J5424">
        <v>-357.88139999999999</v>
      </c>
      <c r="K5424">
        <v>1.109437</v>
      </c>
      <c r="L5424">
        <v>17.37885</v>
      </c>
      <c r="M5424">
        <v>0.99995339999999999</v>
      </c>
      <c r="N5424">
        <v>0</v>
      </c>
      <c r="O5424">
        <v>1.2298890000000001E-3</v>
      </c>
      <c r="P5424">
        <v>0.98775460000000004</v>
      </c>
      <c r="Q5424">
        <v>0.1557965</v>
      </c>
      <c r="R5424">
        <v>-8.2625870000000001E-3</v>
      </c>
      <c r="S5424">
        <v>3.0542600000000002</v>
      </c>
      <c r="T5424">
        <v>-0.1229233</v>
      </c>
      <c r="U5424">
        <v>-0.26034550000000001</v>
      </c>
      <c r="V5424">
        <v>9.4917260000000007E-3</v>
      </c>
      <c r="W5424">
        <v>0.165245</v>
      </c>
      <c r="X5424">
        <v>0.9862069</v>
      </c>
      <c r="Y5424">
        <v>8.6087380000000005E-2</v>
      </c>
      <c r="Z5424">
        <v>-1.7779180000000001E-3</v>
      </c>
      <c r="AA5424">
        <v>0.996286</v>
      </c>
      <c r="AB5424">
        <v>25</v>
      </c>
      <c r="AC5424">
        <v>27.3691</v>
      </c>
      <c r="AD5424">
        <v>-1.109441866224</v>
      </c>
      <c r="AE5424">
        <v>-2.3500499999999902</v>
      </c>
      <c r="AF5424">
        <v>2.3798288276745101</v>
      </c>
      <c r="AG5424">
        <v>-1.109441866224</v>
      </c>
      <c r="AH5424">
        <v>27.3216227957627</v>
      </c>
      <c r="AI5424">
        <v>92.316555150911299</v>
      </c>
      <c r="AJ5424">
        <v>85.021860015502298</v>
      </c>
      <c r="AK5424">
        <v>27.4475047808995</v>
      </c>
      <c r="AL5424">
        <v>80.488532944184001</v>
      </c>
      <c r="AM5424">
        <v>89.448575092014195</v>
      </c>
      <c r="AN5424">
        <v>1.0000000262475299</v>
      </c>
    </row>
    <row r="5425" spans="1:40" x14ac:dyDescent="0.25">
      <c r="A5425" t="str">
        <f>"20190312173036395"</f>
        <v>20190312173036395</v>
      </c>
      <c r="B5425" t="str">
        <f>"1552383036382963"</f>
        <v>1552383036382963</v>
      </c>
      <c r="C5425" t="s">
        <v>40</v>
      </c>
      <c r="D5425">
        <v>3.4078189999999999</v>
      </c>
      <c r="E5425">
        <v>0.53213969999999999</v>
      </c>
      <c r="F5425" t="s">
        <v>41</v>
      </c>
      <c r="G5425">
        <v>-329.52210000000002</v>
      </c>
      <c r="H5425" s="1">
        <v>-1.4032679999999999E-6</v>
      </c>
      <c r="I5425">
        <v>14.97282</v>
      </c>
      <c r="J5425">
        <v>-357.74849999999998</v>
      </c>
      <c r="K5425">
        <v>1.109442</v>
      </c>
      <c r="L5425">
        <v>17.378969999999999</v>
      </c>
      <c r="M5425">
        <v>0.9999536</v>
      </c>
      <c r="N5425">
        <v>0</v>
      </c>
      <c r="O5425">
        <v>1.1882469999999999E-3</v>
      </c>
      <c r="P5425">
        <v>0.98778860000000002</v>
      </c>
      <c r="Q5425">
        <v>0.15558150000000001</v>
      </c>
      <c r="R5425">
        <v>-8.2488330000000006E-3</v>
      </c>
      <c r="S5425">
        <v>3.0538940000000001</v>
      </c>
      <c r="T5425">
        <v>-0.1194707</v>
      </c>
      <c r="U5425">
        <v>-0.2590942</v>
      </c>
      <c r="V5425">
        <v>9.4402589999999995E-3</v>
      </c>
      <c r="W5425">
        <v>0.16501879999999999</v>
      </c>
      <c r="X5425">
        <v>0.98624529999999999</v>
      </c>
      <c r="Y5425">
        <v>8.5654939999999999E-2</v>
      </c>
      <c r="Z5425">
        <v>-1.7181900000000001E-3</v>
      </c>
      <c r="AA5425">
        <v>0.99632339999999997</v>
      </c>
      <c r="AB5425">
        <v>25</v>
      </c>
      <c r="AC5425">
        <v>28.226399999999899</v>
      </c>
      <c r="AD5425">
        <v>-1.1094434032680001</v>
      </c>
      <c r="AE5425">
        <v>-2.4061499999999998</v>
      </c>
      <c r="AF5425">
        <v>2.43595362259425</v>
      </c>
      <c r="AG5425">
        <v>-1.1094434032680001</v>
      </c>
      <c r="AH5425">
        <v>28.180299277350201</v>
      </c>
      <c r="AI5425">
        <v>92.246172405943497</v>
      </c>
      <c r="AJ5425">
        <v>85.059535011498298</v>
      </c>
      <c r="AK5425">
        <v>28.307136945963101</v>
      </c>
      <c r="AL5425">
        <v>80.501673949251398</v>
      </c>
      <c r="AM5425">
        <v>89.451586253299297</v>
      </c>
      <c r="AN5425">
        <v>1.0000000573077501</v>
      </c>
    </row>
    <row r="5426" spans="1:40" x14ac:dyDescent="0.25">
      <c r="A5426" t="str">
        <f>"20190312173036406"</f>
        <v>20190312173036406</v>
      </c>
      <c r="B5426" t="str">
        <f>"1552383036403458"</f>
        <v>1552383036403458</v>
      </c>
      <c r="C5426" t="s">
        <v>40</v>
      </c>
      <c r="D5426">
        <v>3.4196789999999999</v>
      </c>
      <c r="E5426">
        <v>0.53185919999999998</v>
      </c>
      <c r="F5426" t="s">
        <v>41</v>
      </c>
      <c r="G5426">
        <v>-329.02820000000003</v>
      </c>
      <c r="H5426" s="1">
        <v>-1.597002E-6</v>
      </c>
      <c r="I5426">
        <v>14.957520000000001</v>
      </c>
      <c r="J5426">
        <v>-357.63350000000003</v>
      </c>
      <c r="K5426">
        <v>1.109442</v>
      </c>
      <c r="L5426">
        <v>17.379089999999898</v>
      </c>
      <c r="M5426">
        <v>0.99995369999999995</v>
      </c>
      <c r="N5426">
        <v>0</v>
      </c>
      <c r="O5426">
        <v>1.1518030000000001E-3</v>
      </c>
      <c r="P5426">
        <v>0.98775020000000002</v>
      </c>
      <c r="Q5426">
        <v>0.15582760000000001</v>
      </c>
      <c r="R5426">
        <v>-8.2139640000000007E-3</v>
      </c>
      <c r="S5426">
        <v>3.053528</v>
      </c>
      <c r="T5426">
        <v>-0.1179552</v>
      </c>
      <c r="U5426">
        <v>-0.25744630000000002</v>
      </c>
      <c r="V5426">
        <v>9.3717200000000001E-3</v>
      </c>
      <c r="W5426">
        <v>0.16525479999999901</v>
      </c>
      <c r="X5426">
        <v>0.98620640000000004</v>
      </c>
      <c r="Y5426">
        <v>8.5096899999999906E-2</v>
      </c>
      <c r="Z5426">
        <v>-1.68449299999999E-3</v>
      </c>
      <c r="AA5426">
        <v>0.99637129999999996</v>
      </c>
      <c r="AB5426">
        <v>25</v>
      </c>
      <c r="AC5426">
        <v>28.6053</v>
      </c>
      <c r="AD5426">
        <v>-1.109443597002</v>
      </c>
      <c r="AE5426">
        <v>-2.4215699999999898</v>
      </c>
      <c r="AF5426">
        <v>2.45085711990217</v>
      </c>
      <c r="AG5426">
        <v>-1.109443597002</v>
      </c>
      <c r="AH5426">
        <v>28.5598365298431</v>
      </c>
      <c r="AI5426">
        <v>92.216471610762397</v>
      </c>
      <c r="AJ5426">
        <v>85.095189637317503</v>
      </c>
      <c r="AK5426">
        <v>28.686265499860198</v>
      </c>
      <c r="AL5426">
        <v>80.487963565341204</v>
      </c>
      <c r="AM5426">
        <v>89.455546181213805</v>
      </c>
      <c r="AN5426">
        <v>1.00000002072987</v>
      </c>
    </row>
    <row r="5427" spans="1:40" x14ac:dyDescent="0.25">
      <c r="A5427" t="str">
        <f>"20190312173036417"</f>
        <v>20190312173036417</v>
      </c>
      <c r="B5427" t="str">
        <f>"1552383036413218"</f>
        <v>1552383036413218</v>
      </c>
      <c r="C5427" t="s">
        <v>40</v>
      </c>
      <c r="D5427">
        <v>3.451559</v>
      </c>
      <c r="E5427">
        <v>0.53172569999999997</v>
      </c>
      <c r="F5427" t="s">
        <v>41</v>
      </c>
      <c r="G5427">
        <v>-327.86360000000002</v>
      </c>
      <c r="H5427" s="1">
        <v>-2.062294E-6</v>
      </c>
      <c r="I5427">
        <v>14.88958</v>
      </c>
      <c r="J5427">
        <v>-357.50220000000002</v>
      </c>
      <c r="K5427">
        <v>1.1094459999999999</v>
      </c>
      <c r="L5427">
        <v>17.379179999999899</v>
      </c>
      <c r="M5427">
        <v>0.99995389999999995</v>
      </c>
      <c r="N5427">
        <v>0</v>
      </c>
      <c r="O5427">
        <v>1.109E-3</v>
      </c>
      <c r="P5427">
        <v>0.98773829999999996</v>
      </c>
      <c r="Q5427">
        <v>0.15590379999999901</v>
      </c>
      <c r="R5427">
        <v>-8.1985649999999997E-3</v>
      </c>
      <c r="S5427">
        <v>3.0530400000000002</v>
      </c>
      <c r="T5427">
        <v>-0.1137785</v>
      </c>
      <c r="U5427">
        <v>-0.25531009999999998</v>
      </c>
      <c r="V5427">
        <v>9.3160559999999996E-3</v>
      </c>
      <c r="W5427">
        <v>0.1653202</v>
      </c>
      <c r="X5427">
        <v>0.98619590000000001</v>
      </c>
      <c r="Y5427">
        <v>8.4380200000000002E-2</v>
      </c>
      <c r="Z5427">
        <v>-1.610275E-3</v>
      </c>
      <c r="AA5427">
        <v>0.99643230000000005</v>
      </c>
      <c r="AB5427">
        <v>25</v>
      </c>
      <c r="AC5427">
        <v>29.6386</v>
      </c>
      <c r="AD5427">
        <v>-1.1094480622939999</v>
      </c>
      <c r="AE5427">
        <v>-2.4895999999999998</v>
      </c>
      <c r="AF5427">
        <v>2.51896434042045</v>
      </c>
      <c r="AG5427">
        <v>-1.1094480622939999</v>
      </c>
      <c r="AH5427">
        <v>29.5946433512418</v>
      </c>
      <c r="AI5427">
        <v>92.139179116658198</v>
      </c>
      <c r="AJ5427">
        <v>85.134964118482202</v>
      </c>
      <c r="AK5427">
        <v>29.722364835901601</v>
      </c>
      <c r="AL5427">
        <v>80.484163533885194</v>
      </c>
      <c r="AM5427">
        <v>89.458774048589603</v>
      </c>
      <c r="AN5427">
        <v>0.99999995530212105</v>
      </c>
    </row>
    <row r="5428" spans="1:40" x14ac:dyDescent="0.25">
      <c r="A5428" t="str">
        <f>"20190312173036427"</f>
        <v>20190312173036427</v>
      </c>
      <c r="B5428" t="str">
        <f>"1552383036422978"</f>
        <v>1552383036422978</v>
      </c>
      <c r="C5428" t="s">
        <v>40</v>
      </c>
      <c r="D5428">
        <v>3.4218449999999998</v>
      </c>
      <c r="E5428">
        <v>0.53158819999999996</v>
      </c>
      <c r="F5428" t="s">
        <v>41</v>
      </c>
      <c r="G5428">
        <v>-327.23140000000001</v>
      </c>
      <c r="H5428" s="1">
        <v>-2.313564E-6</v>
      </c>
      <c r="I5428">
        <v>14.85758</v>
      </c>
      <c r="J5428">
        <v>-357.39339999999999</v>
      </c>
      <c r="K5428">
        <v>1.10945</v>
      </c>
      <c r="L5428">
        <v>17.379300000000001</v>
      </c>
      <c r="M5428">
        <v>0.99995400000000001</v>
      </c>
      <c r="N5428">
        <v>0</v>
      </c>
      <c r="O5428">
        <v>1.073477E-3</v>
      </c>
      <c r="P5428">
        <v>0.98773129999999998</v>
      </c>
      <c r="Q5428">
        <v>0.15595200000000001</v>
      </c>
      <c r="R5428">
        <v>-8.1105629999999995E-3</v>
      </c>
      <c r="S5428">
        <v>3.0527950000000001</v>
      </c>
      <c r="T5428">
        <v>-0.1118876</v>
      </c>
      <c r="U5428">
        <v>-0.254303</v>
      </c>
      <c r="V5428">
        <v>9.1943259999999992E-3</v>
      </c>
      <c r="W5428">
        <v>0.16536020000000001</v>
      </c>
      <c r="X5428">
        <v>0.98619040000000002</v>
      </c>
      <c r="Y5428">
        <v>8.4027190000000002E-2</v>
      </c>
      <c r="Z5428">
        <v>-1.575924E-3</v>
      </c>
      <c r="AA5428">
        <v>0.99646219999999996</v>
      </c>
      <c r="AB5428">
        <v>25</v>
      </c>
      <c r="AC5428">
        <v>30.1619999999999</v>
      </c>
      <c r="AD5428">
        <v>-1.109452313564</v>
      </c>
      <c r="AE5428">
        <v>-2.5217200000000002</v>
      </c>
      <c r="AF5428">
        <v>2.5506711344072301</v>
      </c>
      <c r="AG5428">
        <v>-1.109452313564</v>
      </c>
      <c r="AH5428">
        <v>30.118807683030798</v>
      </c>
      <c r="AI5428">
        <v>92.102068110416894</v>
      </c>
      <c r="AJ5428">
        <v>85.159343115798805</v>
      </c>
      <c r="AK5428">
        <v>30.246973136487</v>
      </c>
      <c r="AL5428">
        <v>80.481840323359506</v>
      </c>
      <c r="AM5428">
        <v>89.465842688109205</v>
      </c>
      <c r="AN5428">
        <v>1.0000000182133899</v>
      </c>
    </row>
    <row r="5429" spans="1:40" x14ac:dyDescent="0.25">
      <c r="A5429" t="str">
        <f>"20190312173036438"</f>
        <v>20190312173036438</v>
      </c>
      <c r="B5429" t="str">
        <f>"1552383036433714"</f>
        <v>1552383036433714</v>
      </c>
      <c r="C5429" t="s">
        <v>40</v>
      </c>
      <c r="D5429">
        <v>3.426104</v>
      </c>
      <c r="E5429">
        <v>0.53150169999999997</v>
      </c>
      <c r="F5429" t="s">
        <v>41</v>
      </c>
      <c r="G5429">
        <v>-326.64819999999997</v>
      </c>
      <c r="H5429" s="1">
        <v>-2.5446269999999999E-6</v>
      </c>
      <c r="I5429">
        <v>14.8309</v>
      </c>
      <c r="J5429">
        <v>-357.2636</v>
      </c>
      <c r="K5429">
        <v>1.1094550000000001</v>
      </c>
      <c r="L5429">
        <v>17.379390000000001</v>
      </c>
      <c r="M5429">
        <v>0.99995429999999996</v>
      </c>
      <c r="N5429">
        <v>0</v>
      </c>
      <c r="O5429">
        <v>1.0303350000000001E-3</v>
      </c>
      <c r="P5429">
        <v>0.98772519999999997</v>
      </c>
      <c r="Q5429">
        <v>0.15599080000000001</v>
      </c>
      <c r="R5429">
        <v>-8.1377700000000008E-3</v>
      </c>
      <c r="S5429">
        <v>3.0525820000000001</v>
      </c>
      <c r="T5429">
        <v>-0.11015369999999999</v>
      </c>
      <c r="U5429">
        <v>-0.2530212</v>
      </c>
      <c r="V5429">
        <v>9.1800019999999996E-3</v>
      </c>
      <c r="W5429">
        <v>0.1653898</v>
      </c>
      <c r="X5429">
        <v>0.9861856</v>
      </c>
      <c r="Y5429">
        <v>8.3576490000000003E-2</v>
      </c>
      <c r="Z5429">
        <v>-1.5419839999999999E-3</v>
      </c>
      <c r="AA5429">
        <v>0.99650019999999995</v>
      </c>
      <c r="AB5429">
        <v>25</v>
      </c>
      <c r="AC5429">
        <v>30.615400000000001</v>
      </c>
      <c r="AD5429">
        <v>-1.1094575446270001</v>
      </c>
      <c r="AE5429">
        <v>-2.5484900000000001</v>
      </c>
      <c r="AF5429">
        <v>2.5766737051280399</v>
      </c>
      <c r="AG5429">
        <v>-1.1094575446270001</v>
      </c>
      <c r="AH5429">
        <v>30.572884826186598</v>
      </c>
      <c r="AI5429">
        <v>92.070955434026601</v>
      </c>
      <c r="AJ5429">
        <v>85.182513409150403</v>
      </c>
      <c r="AK5429">
        <v>30.701326193200501</v>
      </c>
      <c r="AL5429">
        <v>80.480120976613193</v>
      </c>
      <c r="AM5429">
        <v>89.466672217277306</v>
      </c>
      <c r="AN5429">
        <v>1.0000000480140501</v>
      </c>
    </row>
    <row r="5430" spans="1:40" x14ac:dyDescent="0.25">
      <c r="A5430" t="str">
        <f>"20190312173036462"</f>
        <v>20190312173036462</v>
      </c>
      <c r="B5430" t="str">
        <f>"1552383036453234"</f>
        <v>1552383036453234</v>
      </c>
      <c r="C5430" t="s">
        <v>40</v>
      </c>
      <c r="D5430">
        <v>3.4636610000000001</v>
      </c>
      <c r="E5430">
        <v>0.53132500000000005</v>
      </c>
      <c r="F5430" t="s">
        <v>41</v>
      </c>
      <c r="G5430">
        <v>-326.12110000000001</v>
      </c>
      <c r="H5430" s="1">
        <v>-2.7541169999999999E-6</v>
      </c>
      <c r="I5430">
        <v>14.804410000000001</v>
      </c>
      <c r="J5430">
        <v>-357.00170000000003</v>
      </c>
      <c r="K5430">
        <v>1.109464</v>
      </c>
      <c r="L5430">
        <v>17.379579999999901</v>
      </c>
      <c r="M5430">
        <v>0.99995449999999997</v>
      </c>
      <c r="N5430">
        <v>0</v>
      </c>
      <c r="O5430">
        <v>9.4412900000000004E-4</v>
      </c>
      <c r="P5430">
        <v>0.98774499999999998</v>
      </c>
      <c r="Q5430">
        <v>0.15588750000000001</v>
      </c>
      <c r="R5430">
        <v>-7.6932550000000004E-3</v>
      </c>
      <c r="S5430">
        <v>3.052368</v>
      </c>
      <c r="T5430">
        <v>-0.1087409</v>
      </c>
      <c r="U5430">
        <v>-0.2523804</v>
      </c>
      <c r="V5430">
        <v>8.6517820000000002E-3</v>
      </c>
      <c r="W5430">
        <v>0.1652699</v>
      </c>
      <c r="X5430">
        <v>0.98621040000000004</v>
      </c>
      <c r="Y5430">
        <v>8.3290110000000001E-2</v>
      </c>
      <c r="Z5430">
        <v>-1.514184E-3</v>
      </c>
      <c r="AA5430">
        <v>0.99652419999999997</v>
      </c>
      <c r="AB5430">
        <v>25</v>
      </c>
      <c r="AC5430">
        <v>30.880600000000001</v>
      </c>
      <c r="AD5430">
        <v>-1.109466754117</v>
      </c>
      <c r="AE5430">
        <v>-2.5751699999999902</v>
      </c>
      <c r="AF5430">
        <v>2.60099127645673</v>
      </c>
      <c r="AG5430">
        <v>-1.109466754117</v>
      </c>
      <c r="AH5430">
        <v>30.8386234111797</v>
      </c>
      <c r="AI5430">
        <v>92.053131533894998</v>
      </c>
      <c r="AJ5430">
        <v>85.178969158215807</v>
      </c>
      <c r="AK5430">
        <v>30.9679958343328</v>
      </c>
      <c r="AL5430">
        <v>80.487085879795103</v>
      </c>
      <c r="AM5430">
        <v>89.4973710704909</v>
      </c>
      <c r="AN5430">
        <v>0.99999997312297195</v>
      </c>
    </row>
    <row r="5431" spans="1:40" x14ac:dyDescent="0.25">
      <c r="A5431" t="str">
        <f>"20190312173036475"</f>
        <v>20190312173036475</v>
      </c>
      <c r="B5431" t="str">
        <f>"1552383036462995"</f>
        <v>1552383036462995</v>
      </c>
      <c r="C5431" t="s">
        <v>40</v>
      </c>
      <c r="D5431">
        <v>3.4344549999999998</v>
      </c>
      <c r="E5431">
        <v>0.53126309999999999</v>
      </c>
      <c r="F5431" t="s">
        <v>41</v>
      </c>
      <c r="G5431">
        <v>-325.34160000000003</v>
      </c>
      <c r="H5431" s="1">
        <v>-3.0575910000000001E-6</v>
      </c>
      <c r="I5431">
        <v>14.78885</v>
      </c>
      <c r="J5431">
        <v>-356.85950000000003</v>
      </c>
      <c r="K5431">
        <v>1.1094679999999999</v>
      </c>
      <c r="L5431">
        <v>17.379670000000001</v>
      </c>
      <c r="M5431">
        <v>0.99995460000000003</v>
      </c>
      <c r="N5431">
        <v>0</v>
      </c>
      <c r="O5431">
        <v>8.9796310000000003E-4</v>
      </c>
      <c r="P5431">
        <v>0.98775489999999999</v>
      </c>
      <c r="Q5431">
        <v>0.15581929999999999</v>
      </c>
      <c r="R5431">
        <v>-7.8021599999999998E-3</v>
      </c>
      <c r="S5431">
        <v>3.052155</v>
      </c>
      <c r="T5431">
        <v>-0.1069567</v>
      </c>
      <c r="U5431">
        <v>-0.2497559</v>
      </c>
      <c r="V5431">
        <v>8.7155010000000005E-3</v>
      </c>
      <c r="W5431">
        <v>0.1651937</v>
      </c>
      <c r="X5431">
        <v>0.98622259999999995</v>
      </c>
      <c r="Y5431">
        <v>8.2400950000000001E-2</v>
      </c>
      <c r="Z5431">
        <v>-1.4723469999999999E-3</v>
      </c>
      <c r="AA5431">
        <v>0.99659819999999999</v>
      </c>
      <c r="AB5431">
        <v>25</v>
      </c>
      <c r="AC5431">
        <v>31.517900000000001</v>
      </c>
      <c r="AD5431">
        <v>-1.1094710575910001</v>
      </c>
      <c r="AE5431">
        <v>-2.5908199999999999</v>
      </c>
      <c r="AF5431">
        <v>2.6159024486598899</v>
      </c>
      <c r="AG5431">
        <v>-1.1094710575910001</v>
      </c>
      <c r="AH5431">
        <v>31.476818592174499</v>
      </c>
      <c r="AI5431">
        <v>92.0117530695439</v>
      </c>
      <c r="AJ5431">
        <v>85.249312108757096</v>
      </c>
      <c r="AK5431">
        <v>31.604809449405</v>
      </c>
      <c r="AL5431">
        <v>80.491512612679301</v>
      </c>
      <c r="AM5431">
        <v>89.493675743494094</v>
      </c>
      <c r="AN5431">
        <v>0.99999996761406496</v>
      </c>
    </row>
    <row r="5432" spans="1:40" x14ac:dyDescent="0.25">
      <c r="A5432" t="str">
        <f>"20190312173036489"</f>
        <v>20190312173036489</v>
      </c>
      <c r="B5432" t="str">
        <f>"1552383036483490"</f>
        <v>1552383036483490</v>
      </c>
      <c r="C5432" t="s">
        <v>40</v>
      </c>
      <c r="D5432">
        <v>3.4462489999999999</v>
      </c>
      <c r="E5432">
        <v>0.53115400000000002</v>
      </c>
      <c r="F5432" t="s">
        <v>41</v>
      </c>
      <c r="G5432">
        <v>-325.0283</v>
      </c>
      <c r="H5432" s="1">
        <v>-3.1894400000000002E-6</v>
      </c>
      <c r="I5432">
        <v>14.77481</v>
      </c>
      <c r="J5432">
        <v>-356.7072</v>
      </c>
      <c r="K5432">
        <v>1.109475</v>
      </c>
      <c r="L5432">
        <v>17.379729999999999</v>
      </c>
      <c r="M5432">
        <v>0.99995449999999997</v>
      </c>
      <c r="N5432">
        <v>0</v>
      </c>
      <c r="O5432">
        <v>8.4893770000000004E-4</v>
      </c>
      <c r="P5432">
        <v>0.98774169999999994</v>
      </c>
      <c r="Q5432">
        <v>0.1559276</v>
      </c>
      <c r="R5432">
        <v>-7.2809900000000002E-3</v>
      </c>
      <c r="S5432">
        <v>3.0520019999999999</v>
      </c>
      <c r="T5432">
        <v>-0.1063769</v>
      </c>
      <c r="U5432">
        <v>-0.2497559</v>
      </c>
      <c r="V5432">
        <v>8.1462010000000005E-3</v>
      </c>
      <c r="W5432">
        <v>0.16529389999999999</v>
      </c>
      <c r="X5432">
        <v>0.9862107</v>
      </c>
      <c r="Y5432">
        <v>8.2356730000000003E-2</v>
      </c>
      <c r="Z5432">
        <v>-1.4619679999999999E-3</v>
      </c>
      <c r="AA5432">
        <v>0.99660179999999998</v>
      </c>
      <c r="AB5432">
        <v>25</v>
      </c>
      <c r="AC5432">
        <v>31.678899999999999</v>
      </c>
      <c r="AD5432">
        <v>-1.1094781894399901</v>
      </c>
      <c r="AE5432">
        <v>-2.6049199999999901</v>
      </c>
      <c r="AF5432">
        <v>2.6286111293550798</v>
      </c>
      <c r="AG5432">
        <v>-1.1094781894399901</v>
      </c>
      <c r="AH5432">
        <v>31.638130872157902</v>
      </c>
      <c r="AI5432">
        <v>92.001520668303002</v>
      </c>
      <c r="AJ5432">
        <v>85.250566215521502</v>
      </c>
      <c r="AK5432">
        <v>31.766521109589601</v>
      </c>
      <c r="AL5432">
        <v>80.485691760822306</v>
      </c>
      <c r="AM5432">
        <v>89.5267417787895</v>
      </c>
      <c r="AN5432">
        <v>0.99999998938121604</v>
      </c>
    </row>
    <row r="5433" spans="1:40" x14ac:dyDescent="0.25">
      <c r="A5433" t="str">
        <f>"20190312173036505"</f>
        <v>20190312173036505</v>
      </c>
      <c r="B5433" t="str">
        <f>"1552383036493250"</f>
        <v>1552383036493250</v>
      </c>
      <c r="C5433" t="s">
        <v>40</v>
      </c>
      <c r="D5433">
        <v>3.4884499999999998</v>
      </c>
      <c r="E5433">
        <v>0.53096189999999999</v>
      </c>
      <c r="F5433" t="s">
        <v>41</v>
      </c>
      <c r="G5433">
        <v>-324.23430000000002</v>
      </c>
      <c r="H5433" s="1">
        <v>-3.5693989999999998E-6</v>
      </c>
      <c r="I5433">
        <v>14.748519999999999</v>
      </c>
      <c r="J5433">
        <v>-356.52050000000003</v>
      </c>
      <c r="K5433">
        <v>1.109488</v>
      </c>
      <c r="L5433">
        <v>17.379850000000001</v>
      </c>
      <c r="M5433">
        <v>0.99995480000000003</v>
      </c>
      <c r="N5433">
        <v>0</v>
      </c>
      <c r="O5433">
        <v>7.8936729999999904E-4</v>
      </c>
      <c r="P5433">
        <v>0.98774479999999998</v>
      </c>
      <c r="Q5433">
        <v>0.15593360000000001</v>
      </c>
      <c r="R5433">
        <v>-6.7137219999999897E-3</v>
      </c>
      <c r="S5433">
        <v>3.0518489999999998</v>
      </c>
      <c r="T5433">
        <v>-0.1042703</v>
      </c>
      <c r="U5433">
        <v>-0.2472839</v>
      </c>
      <c r="V5433">
        <v>7.5205929999999999E-3</v>
      </c>
      <c r="W5433">
        <v>0.1652911</v>
      </c>
      <c r="X5433">
        <v>0.98621610000000004</v>
      </c>
      <c r="Y5433">
        <v>8.1501980000000002E-2</v>
      </c>
      <c r="Z5433">
        <v>-1.4165479999999999E-3</v>
      </c>
      <c r="AA5433">
        <v>0.99667220000000001</v>
      </c>
      <c r="AB5433">
        <v>25</v>
      </c>
      <c r="AC5433">
        <v>32.286200000000001</v>
      </c>
      <c r="AD5433">
        <v>-1.109491569399</v>
      </c>
      <c r="AE5433">
        <v>-2.63132999999999</v>
      </c>
      <c r="AF5433">
        <v>2.65370290753614</v>
      </c>
      <c r="AG5433">
        <v>-1.109491569399</v>
      </c>
      <c r="AH5433">
        <v>32.246284301195999</v>
      </c>
      <c r="AI5433">
        <v>91.963953331674702</v>
      </c>
      <c r="AJ5433">
        <v>85.295454121496206</v>
      </c>
      <c r="AK5433">
        <v>32.3743102150083</v>
      </c>
      <c r="AL5433">
        <v>80.485854062579406</v>
      </c>
      <c r="AM5433">
        <v>89.563087759178501</v>
      </c>
      <c r="AN5433">
        <v>0.99999995147874399</v>
      </c>
    </row>
    <row r="5434" spans="1:40" x14ac:dyDescent="0.25">
      <c r="A5434" t="str">
        <f>"20190312173036517"</f>
        <v>20190312173036517</v>
      </c>
      <c r="B5434" t="str">
        <f>"1552383036512771"</f>
        <v>1552383036512771</v>
      </c>
      <c r="C5434" t="s">
        <v>40</v>
      </c>
      <c r="D5434">
        <v>3.5000260000000001</v>
      </c>
      <c r="E5434">
        <v>0.49124430000000002</v>
      </c>
      <c r="F5434" t="s">
        <v>41</v>
      </c>
      <c r="G5434">
        <v>-323.94470000000001</v>
      </c>
      <c r="H5434" s="1">
        <v>-3.7013379999999998E-6</v>
      </c>
      <c r="I5434">
        <v>14.77655</v>
      </c>
      <c r="J5434">
        <v>-356.38099999999997</v>
      </c>
      <c r="K5434">
        <v>1.1094930000000001</v>
      </c>
      <c r="L5434">
        <v>17.379909999999999</v>
      </c>
      <c r="M5434">
        <v>0.99995500000000004</v>
      </c>
      <c r="N5434">
        <v>0</v>
      </c>
      <c r="O5434">
        <v>7.4540309999999999E-4</v>
      </c>
      <c r="P5434">
        <v>0.98773529999999998</v>
      </c>
      <c r="Q5434">
        <v>0.15600820000000001</v>
      </c>
      <c r="R5434">
        <v>-6.3851230000000004E-3</v>
      </c>
      <c r="S5434">
        <v>3.0519409999999998</v>
      </c>
      <c r="T5434">
        <v>-0.1039453</v>
      </c>
      <c r="U5434">
        <v>-0.24389649999999999</v>
      </c>
      <c r="V5434">
        <v>7.1488250000000001E-3</v>
      </c>
      <c r="W5434">
        <v>0.1653597</v>
      </c>
      <c r="X5434">
        <v>0.98620739999999996</v>
      </c>
      <c r="Y5434">
        <v>8.035755E-2</v>
      </c>
      <c r="Z5434">
        <v>-1.3912079999999999E-3</v>
      </c>
      <c r="AA5434">
        <v>0.99676509999999996</v>
      </c>
      <c r="AB5434">
        <v>25</v>
      </c>
      <c r="AC5434">
        <v>32.436299999999903</v>
      </c>
      <c r="AD5434">
        <v>-1.1094967013379999</v>
      </c>
      <c r="AE5434">
        <v>-2.6033599999999901</v>
      </c>
      <c r="AF5434">
        <v>2.62448745517717</v>
      </c>
      <c r="AG5434">
        <v>-1.1094967013379999</v>
      </c>
      <c r="AH5434">
        <v>32.396688522160197</v>
      </c>
      <c r="AI5434">
        <v>91.955055071597101</v>
      </c>
      <c r="AJ5434">
        <v>85.368526913192994</v>
      </c>
      <c r="AK5434">
        <v>32.521751867550599</v>
      </c>
      <c r="AL5434">
        <v>80.481869061186799</v>
      </c>
      <c r="AM5434">
        <v>89.584681348892602</v>
      </c>
      <c r="AN5434">
        <v>0.99999998594886497</v>
      </c>
    </row>
    <row r="5435" spans="1:40" x14ac:dyDescent="0.25">
      <c r="A5435" t="str">
        <f>"20190312173036527"</f>
        <v>20190312173036527</v>
      </c>
      <c r="B5435" t="str">
        <f>"1552383036523506"</f>
        <v>1552383036523506</v>
      </c>
      <c r="C5435" t="s">
        <v>40</v>
      </c>
      <c r="D5435">
        <v>3.264891</v>
      </c>
      <c r="E5435">
        <v>0.48067219999999999</v>
      </c>
      <c r="F5435" t="s">
        <v>43</v>
      </c>
      <c r="G5435">
        <v>-313.22809999999998</v>
      </c>
      <c r="H5435">
        <v>-0.05</v>
      </c>
      <c r="I5435">
        <v>18.419429999999998</v>
      </c>
      <c r="J5435">
        <v>-356.27319999999997</v>
      </c>
      <c r="K5435">
        <v>1.1094980000000001</v>
      </c>
      <c r="L5435">
        <v>17.37997</v>
      </c>
      <c r="M5435">
        <v>0.99995489999999998</v>
      </c>
      <c r="N5435">
        <v>0</v>
      </c>
      <c r="O5435">
        <v>7.1168449999999895E-4</v>
      </c>
      <c r="P5435">
        <v>0.98772110000000002</v>
      </c>
      <c r="Q5435">
        <v>0.15611800000000001</v>
      </c>
      <c r="R5435">
        <v>-5.876048E-3</v>
      </c>
      <c r="S5435">
        <v>3.0505979999999999</v>
      </c>
      <c r="T5435">
        <v>-8.1967830000000005E-2</v>
      </c>
      <c r="U5435">
        <v>7.3486330000000002E-2</v>
      </c>
      <c r="V5435">
        <v>6.6064849999999996E-3</v>
      </c>
      <c r="W5435">
        <v>0.16546459999999999</v>
      </c>
      <c r="X5435">
        <v>0.9861936</v>
      </c>
      <c r="Y5435">
        <v>-2.3362480000000001E-2</v>
      </c>
      <c r="Z5435">
        <v>2.9464900000000002E-4</v>
      </c>
      <c r="AA5435">
        <v>0.99972700000000003</v>
      </c>
      <c r="AB5435">
        <v>25</v>
      </c>
      <c r="AC5435">
        <v>43.045099999999898</v>
      </c>
      <c r="AD5435">
        <v>-1.1594979999999999</v>
      </c>
      <c r="AE5435">
        <v>1.0394599999999901</v>
      </c>
      <c r="AF5435">
        <v>-1.0080927944358999</v>
      </c>
      <c r="AG5435">
        <v>-1.1594979999999999</v>
      </c>
      <c r="AH5435">
        <v>43.014636006830301</v>
      </c>
      <c r="AI5435">
        <v>91.5436614224229</v>
      </c>
      <c r="AJ5435">
        <v>91.342540506349494</v>
      </c>
      <c r="AK5435">
        <v>43.0420677650865</v>
      </c>
      <c r="AL5435">
        <v>80.475774898963493</v>
      </c>
      <c r="AM5435">
        <v>89.616182820667603</v>
      </c>
      <c r="AN5435">
        <v>0.99999999808908702</v>
      </c>
    </row>
    <row r="5436" spans="1:40" x14ac:dyDescent="0.25">
      <c r="A5436" t="str">
        <f>"20190312173036539"</f>
        <v>20190312173036539</v>
      </c>
      <c r="B5436" t="str">
        <f>"1552383036533267"</f>
        <v>1552383036533267</v>
      </c>
      <c r="C5436" t="s">
        <v>40</v>
      </c>
      <c r="D5436">
        <v>3.3926590000000001</v>
      </c>
      <c r="E5436">
        <v>0.47347600000000001</v>
      </c>
      <c r="F5436" t="s">
        <v>43</v>
      </c>
      <c r="G5436">
        <v>-314.45339999999999</v>
      </c>
      <c r="H5436">
        <v>-0.05</v>
      </c>
      <c r="I5436">
        <v>19.56812</v>
      </c>
      <c r="J5436">
        <v>-356.13209999999998</v>
      </c>
      <c r="K5436">
        <v>1.1095029999999999</v>
      </c>
      <c r="L5436">
        <v>17.38</v>
      </c>
      <c r="M5436">
        <v>0.99995500000000004</v>
      </c>
      <c r="N5436">
        <v>0</v>
      </c>
      <c r="O5436">
        <v>6.6771720000000003E-4</v>
      </c>
      <c r="P5436">
        <v>0.9877087</v>
      </c>
      <c r="Q5436">
        <v>0.15622030000000001</v>
      </c>
      <c r="R5436">
        <v>-5.1947080000000001E-3</v>
      </c>
      <c r="S5436">
        <v>3.0515750000000001</v>
      </c>
      <c r="T5436">
        <v>-8.4608199999999995E-2</v>
      </c>
      <c r="U5436">
        <v>0.159668</v>
      </c>
      <c r="V5436">
        <v>5.882038E-3</v>
      </c>
      <c r="W5436">
        <v>0.16556189999999901</v>
      </c>
      <c r="X5436">
        <v>0.98618189999999994</v>
      </c>
      <c r="Y5436">
        <v>-5.1565319999999998E-2</v>
      </c>
      <c r="Z5436">
        <v>6.9572880000000001E-4</v>
      </c>
      <c r="AA5436">
        <v>0.99866940000000004</v>
      </c>
      <c r="AB5436">
        <v>25</v>
      </c>
      <c r="AC5436">
        <v>41.6786999999999</v>
      </c>
      <c r="AD5436">
        <v>-1.159503</v>
      </c>
      <c r="AE5436">
        <v>2.1881200000000001</v>
      </c>
      <c r="AF5436">
        <v>-2.1586225975677298</v>
      </c>
      <c r="AG5436">
        <v>-1.159503</v>
      </c>
      <c r="AH5436">
        <v>41.6480067558307</v>
      </c>
      <c r="AI5436">
        <v>91.592596895246899</v>
      </c>
      <c r="AJ5436">
        <v>92.966994157901993</v>
      </c>
      <c r="AK5436">
        <v>41.720025952286498</v>
      </c>
      <c r="AL5436">
        <v>80.4701224609951</v>
      </c>
      <c r="AM5436">
        <v>89.658265928421599</v>
      </c>
      <c r="AN5436">
        <v>1.0000000404951199</v>
      </c>
    </row>
    <row r="5437" spans="1:40" x14ac:dyDescent="0.25">
      <c r="A5437" t="str">
        <f>"20190312173036551"</f>
        <v>20190312173036551</v>
      </c>
      <c r="B5437" t="str">
        <f>"1552383036543026"</f>
        <v>1552383036543026</v>
      </c>
      <c r="C5437" t="s">
        <v>40</v>
      </c>
      <c r="D5437">
        <v>3.2650260000000002</v>
      </c>
      <c r="E5437">
        <v>0.47347600000000001</v>
      </c>
      <c r="F5437" t="s">
        <v>41</v>
      </c>
      <c r="G5437">
        <v>-320.93239999999997</v>
      </c>
      <c r="H5437" s="1">
        <v>-4.3453149999999999E-6</v>
      </c>
      <c r="I5437">
        <v>19.911390000000001</v>
      </c>
      <c r="J5437">
        <v>-355.99919999999997</v>
      </c>
      <c r="K5437">
        <v>1.1095079999999999</v>
      </c>
      <c r="L5437">
        <v>17.380040000000001</v>
      </c>
      <c r="M5437">
        <v>0.99995520000000004</v>
      </c>
      <c r="N5437">
        <v>0</v>
      </c>
      <c r="O5437">
        <v>6.2648979999999999E-4</v>
      </c>
      <c r="P5437">
        <v>0.98771310000000001</v>
      </c>
      <c r="Q5437">
        <v>0.15621280000000001</v>
      </c>
      <c r="R5437">
        <v>-4.5609140000000001E-3</v>
      </c>
      <c r="S5437">
        <v>3.0536799999999999</v>
      </c>
      <c r="T5437">
        <v>-9.6252920000000006E-2</v>
      </c>
      <c r="U5437">
        <v>0.21960450000000001</v>
      </c>
      <c r="V5437">
        <v>5.2075400000000001E-3</v>
      </c>
      <c r="W5437">
        <v>0.16554969999999999</v>
      </c>
      <c r="X5437">
        <v>0.9861877</v>
      </c>
      <c r="Y5437">
        <v>-7.1069720000000003E-2</v>
      </c>
      <c r="Z5437">
        <v>1.09863E-3</v>
      </c>
      <c r="AA5437">
        <v>0.99747070000000004</v>
      </c>
      <c r="AB5437">
        <v>25</v>
      </c>
      <c r="AC5437">
        <v>35.066800000000001</v>
      </c>
      <c r="AD5437">
        <v>-1.109512345315</v>
      </c>
      <c r="AE5437">
        <v>2.5313500000000002</v>
      </c>
      <c r="AF5437">
        <v>-2.5068829312693501</v>
      </c>
      <c r="AG5437">
        <v>-1.109512345315</v>
      </c>
      <c r="AH5437">
        <v>35.033489274815203</v>
      </c>
      <c r="AI5437">
        <v>91.809330664929703</v>
      </c>
      <c r="AJ5437">
        <v>94.092924009132105</v>
      </c>
      <c r="AK5437">
        <v>35.140586939379503</v>
      </c>
      <c r="AL5437">
        <v>80.470830867115197</v>
      </c>
      <c r="AM5437">
        <v>89.697453851331503</v>
      </c>
      <c r="AN5437">
        <v>1.0000000006371099</v>
      </c>
    </row>
    <row r="5438" spans="1:40" x14ac:dyDescent="0.25">
      <c r="A5438" t="str">
        <f>"20190312173036561"</f>
        <v>20190312173036561</v>
      </c>
      <c r="B5438" t="str">
        <f>"1552383036553763"</f>
        <v>1552383036553763</v>
      </c>
      <c r="C5438" t="s">
        <v>40</v>
      </c>
      <c r="D5438">
        <v>3.243824</v>
      </c>
      <c r="E5438">
        <v>0.43107010000000001</v>
      </c>
      <c r="F5438" t="s">
        <v>41</v>
      </c>
      <c r="G5438">
        <v>-320.78190000000001</v>
      </c>
      <c r="H5438" s="1">
        <v>-4.4233529999999996E-6</v>
      </c>
      <c r="I5438">
        <v>19.937380000000001</v>
      </c>
      <c r="J5438">
        <v>-355.87720000000002</v>
      </c>
      <c r="K5438">
        <v>1.109513</v>
      </c>
      <c r="L5438">
        <v>17.380099999999999</v>
      </c>
      <c r="M5438">
        <v>0.99995509999999999</v>
      </c>
      <c r="N5438">
        <v>0</v>
      </c>
      <c r="O5438">
        <v>5.8871759999999998E-4</v>
      </c>
      <c r="P5438">
        <v>0.98773520000000004</v>
      </c>
      <c r="Q5438">
        <v>0.15609339999999999</v>
      </c>
      <c r="R5438">
        <v>-3.760617E-3</v>
      </c>
      <c r="S5438">
        <v>3.0535890000000001</v>
      </c>
      <c r="T5438">
        <v>-9.6202609999999994E-2</v>
      </c>
      <c r="U5438">
        <v>0.22174070000000001</v>
      </c>
      <c r="V5438">
        <v>4.3702050000000003E-3</v>
      </c>
      <c r="W5438">
        <v>0.16542699999999999</v>
      </c>
      <c r="X5438">
        <v>0.98621239999999999</v>
      </c>
      <c r="Y5438">
        <v>-7.180338E-2</v>
      </c>
      <c r="Z5438">
        <v>1.110789E-3</v>
      </c>
      <c r="AA5438">
        <v>0.99741820000000003</v>
      </c>
      <c r="AB5438">
        <v>25</v>
      </c>
      <c r="AC5438">
        <v>35.095300000000002</v>
      </c>
      <c r="AD5438">
        <v>-1.1095174233530001</v>
      </c>
      <c r="AE5438">
        <v>2.5572799999999898</v>
      </c>
      <c r="AF5438">
        <v>-2.53409803037865</v>
      </c>
      <c r="AG5438">
        <v>-1.1095174233530001</v>
      </c>
      <c r="AH5438">
        <v>35.061941178631301</v>
      </c>
      <c r="AI5438">
        <v>91.807778857577304</v>
      </c>
      <c r="AJ5438">
        <v>94.133858348685806</v>
      </c>
      <c r="AK5438">
        <v>35.1709027600102</v>
      </c>
      <c r="AL5438">
        <v>80.477959769819407</v>
      </c>
      <c r="AM5438">
        <v>89.746106758365997</v>
      </c>
      <c r="AN5438">
        <v>1.0000000444672501</v>
      </c>
    </row>
    <row r="5439" spans="1:40" x14ac:dyDescent="0.25">
      <c r="A5439" t="str">
        <f>"20190312173036573"</f>
        <v>20190312173036573</v>
      </c>
      <c r="B5439" t="str">
        <f>"1552383036563522"</f>
        <v>1552383036563522</v>
      </c>
      <c r="C5439" t="s">
        <v>40</v>
      </c>
      <c r="D5439">
        <v>3.363251</v>
      </c>
      <c r="E5439">
        <v>0.43289450000000002</v>
      </c>
      <c r="F5439" t="s">
        <v>41</v>
      </c>
      <c r="G5439">
        <v>-325.9699</v>
      </c>
      <c r="H5439" s="1">
        <v>-2.7567499999999999E-6</v>
      </c>
      <c r="I5439">
        <v>22.89066</v>
      </c>
      <c r="J5439">
        <v>-355.75510000000003</v>
      </c>
      <c r="K5439">
        <v>1.1095139999999999</v>
      </c>
      <c r="L5439">
        <v>17.380129999999902</v>
      </c>
      <c r="M5439">
        <v>0.99995529999999999</v>
      </c>
      <c r="N5439">
        <v>0</v>
      </c>
      <c r="O5439">
        <v>5.5082459999999998E-4</v>
      </c>
      <c r="P5439">
        <v>0.98770800000000003</v>
      </c>
      <c r="Q5439">
        <v>0.1562877</v>
      </c>
      <c r="R5439">
        <v>-2.6944069999999998E-3</v>
      </c>
      <c r="S5439">
        <v>3.057312</v>
      </c>
      <c r="T5439">
        <v>-0.1134217</v>
      </c>
      <c r="U5439">
        <v>0.56332399999999905</v>
      </c>
      <c r="V5439">
        <v>3.2667780000000001E-3</v>
      </c>
      <c r="W5439">
        <v>0.16561689999999901</v>
      </c>
      <c r="X5439">
        <v>0.98618470000000003</v>
      </c>
      <c r="Y5439">
        <v>-0.18054290000000001</v>
      </c>
      <c r="Z5439">
        <v>3.2996119999999999E-3</v>
      </c>
      <c r="AA5439">
        <v>0.98356160000000004</v>
      </c>
      <c r="AB5439">
        <v>25</v>
      </c>
      <c r="AC5439">
        <v>29.7852</v>
      </c>
      <c r="AD5439">
        <v>-1.1095167567499999</v>
      </c>
      <c r="AE5439">
        <v>5.5105300000000002</v>
      </c>
      <c r="AF5439">
        <v>-5.4867605130440102</v>
      </c>
      <c r="AG5439">
        <v>-1.1095167567499999</v>
      </c>
      <c r="AH5439">
        <v>29.748318107532</v>
      </c>
      <c r="AI5439">
        <v>92.100561596812497</v>
      </c>
      <c r="AJ5439">
        <v>100.450155284166</v>
      </c>
      <c r="AK5439">
        <v>30.270414575752401</v>
      </c>
      <c r="AL5439">
        <v>80.466926170701896</v>
      </c>
      <c r="AM5439">
        <v>89.8102060319938</v>
      </c>
      <c r="AN5439">
        <v>0.99999994595909902</v>
      </c>
    </row>
    <row r="5440" spans="1:40" x14ac:dyDescent="0.25">
      <c r="A5440" t="str">
        <f>"20190312173036584"</f>
        <v>20190312173036584</v>
      </c>
      <c r="B5440" t="str">
        <f>"1552383036573284"</f>
        <v>1552383036573284</v>
      </c>
      <c r="C5440" t="s">
        <v>40</v>
      </c>
      <c r="D5440">
        <v>3.3269259999999998</v>
      </c>
      <c r="E5440">
        <v>0.4336526</v>
      </c>
      <c r="F5440" t="s">
        <v>41</v>
      </c>
      <c r="G5440">
        <v>-323.43450000000001</v>
      </c>
      <c r="H5440" s="1">
        <v>-4.031131E-6</v>
      </c>
      <c r="I5440">
        <v>23.21733</v>
      </c>
      <c r="J5440">
        <v>-355.62950000000001</v>
      </c>
      <c r="K5440">
        <v>1.109518</v>
      </c>
      <c r="L5440">
        <v>17.38016</v>
      </c>
      <c r="M5440">
        <v>0.99995520000000004</v>
      </c>
      <c r="N5440">
        <v>0</v>
      </c>
      <c r="O5440">
        <v>5.1221649999999997E-4</v>
      </c>
      <c r="P5440">
        <v>0.98771209999999998</v>
      </c>
      <c r="Q5440">
        <v>0.15627659999999999</v>
      </c>
      <c r="R5440">
        <v>-1.5917699999999999E-3</v>
      </c>
      <c r="S5440">
        <v>3.0554199999999998</v>
      </c>
      <c r="T5440">
        <v>-0.1048882</v>
      </c>
      <c r="U5440">
        <v>0.55181880000000005</v>
      </c>
      <c r="V5440">
        <v>2.1260469999999998E-3</v>
      </c>
      <c r="W5440">
        <v>0.1656029</v>
      </c>
      <c r="X5440">
        <v>0.98619029999999996</v>
      </c>
      <c r="Y5440">
        <v>-0.17712320000000001</v>
      </c>
      <c r="Z5440">
        <v>2.9974929999999999E-3</v>
      </c>
      <c r="AA5440">
        <v>0.98418410000000001</v>
      </c>
      <c r="AB5440">
        <v>25</v>
      </c>
      <c r="AC5440">
        <v>32.194999999999901</v>
      </c>
      <c r="AD5440">
        <v>-1.1095220311309999</v>
      </c>
      <c r="AE5440">
        <v>5.8371699999999898</v>
      </c>
      <c r="AF5440">
        <v>-5.8139923565502896</v>
      </c>
      <c r="AG5440">
        <v>-1.1095220311309999</v>
      </c>
      <c r="AH5440">
        <v>32.161004855451203</v>
      </c>
      <c r="AI5440">
        <v>91.944371239774895</v>
      </c>
      <c r="AJ5440">
        <v>100.247128162937</v>
      </c>
      <c r="AK5440">
        <v>32.701128108552197</v>
      </c>
      <c r="AL5440">
        <v>80.467740776969805</v>
      </c>
      <c r="AM5440">
        <v>89.876480906945204</v>
      </c>
      <c r="AN5440">
        <v>1.0000000741891699</v>
      </c>
    </row>
    <row r="5441" spans="1:40" x14ac:dyDescent="0.25">
      <c r="A5441" t="str">
        <f>"20190312173036594"</f>
        <v>20190312173036594</v>
      </c>
      <c r="B5441" t="str">
        <f>"1552383036583042"</f>
        <v>1552383036583042</v>
      </c>
      <c r="C5441" t="s">
        <v>40</v>
      </c>
      <c r="D5441">
        <v>3.3460830000000001</v>
      </c>
      <c r="E5441">
        <v>0.43378329999999998</v>
      </c>
      <c r="F5441" t="s">
        <v>41</v>
      </c>
      <c r="G5441">
        <v>-323.37650000000002</v>
      </c>
      <c r="H5441" s="1">
        <v>-4.0467380000000004E-6</v>
      </c>
      <c r="I5441">
        <v>23.179590000000001</v>
      </c>
      <c r="J5441">
        <v>-355.50510000000003</v>
      </c>
      <c r="K5441">
        <v>1.109521</v>
      </c>
      <c r="L5441">
        <v>17.380189999999999</v>
      </c>
      <c r="M5441">
        <v>0.99995540000000005</v>
      </c>
      <c r="N5441">
        <v>0</v>
      </c>
      <c r="O5441">
        <v>4.7366610000000001E-4</v>
      </c>
      <c r="P5441">
        <v>0.98769200000000001</v>
      </c>
      <c r="Q5441">
        <v>0.15641060000000001</v>
      </c>
      <c r="R5441">
        <v>-5.7390049999999997E-4</v>
      </c>
      <c r="S5441">
        <v>3.0548099999999998</v>
      </c>
      <c r="T5441">
        <v>-0.105087</v>
      </c>
      <c r="U5441">
        <v>0.54928589999999999</v>
      </c>
      <c r="V5441">
        <v>1.0702870000000001E-3</v>
      </c>
      <c r="W5441">
        <v>0.16573360000000001</v>
      </c>
      <c r="X5441">
        <v>0.98616999999999999</v>
      </c>
      <c r="Y5441">
        <v>-0.17640500000000001</v>
      </c>
      <c r="Z5441">
        <v>2.9930460000000001E-3</v>
      </c>
      <c r="AA5441">
        <v>0.98431310000000005</v>
      </c>
      <c r="AB5441">
        <v>25</v>
      </c>
      <c r="AC5441">
        <v>32.128599999999999</v>
      </c>
      <c r="AD5441">
        <v>-1.109525046738</v>
      </c>
      <c r="AE5441">
        <v>5.7994000000000003</v>
      </c>
      <c r="AF5441">
        <v>-5.77750766916839</v>
      </c>
      <c r="AG5441">
        <v>-1.109525046738</v>
      </c>
      <c r="AH5441">
        <v>32.094275979541599</v>
      </c>
      <c r="AI5441">
        <v>91.948674909163501</v>
      </c>
      <c r="AJ5441">
        <v>100.204904020163</v>
      </c>
      <c r="AK5441">
        <v>32.629023757195398</v>
      </c>
      <c r="AL5441">
        <v>80.460146769865503</v>
      </c>
      <c r="AM5441">
        <v>89.937817106694595</v>
      </c>
      <c r="AN5441">
        <v>1.0000000202916099</v>
      </c>
    </row>
    <row r="5442" spans="1:40" x14ac:dyDescent="0.25">
      <c r="A5442" t="str">
        <f>"20190312173036606"</f>
        <v>20190312173036606</v>
      </c>
      <c r="B5442" t="str">
        <f>"1552383036603539"</f>
        <v>1552383036603539</v>
      </c>
      <c r="C5442" t="s">
        <v>40</v>
      </c>
      <c r="D5442">
        <v>3.321272</v>
      </c>
      <c r="E5442">
        <v>0.43362129999999999</v>
      </c>
      <c r="F5442" t="s">
        <v>41</v>
      </c>
      <c r="G5442">
        <v>-324.56650000000002</v>
      </c>
      <c r="H5442" s="1">
        <v>-3.4401910000000001E-6</v>
      </c>
      <c r="I5442">
        <v>22.966059999999999</v>
      </c>
      <c r="J5442">
        <v>-355.37889999999999</v>
      </c>
      <c r="K5442">
        <v>1.109524</v>
      </c>
      <c r="L5442">
        <v>17.380220000000001</v>
      </c>
      <c r="M5442">
        <v>0.9999555</v>
      </c>
      <c r="N5442">
        <v>0</v>
      </c>
      <c r="O5442">
        <v>4.345792E-4</v>
      </c>
      <c r="P5442">
        <v>0.98764249999999998</v>
      </c>
      <c r="Q5442">
        <v>0.15672469999999999</v>
      </c>
      <c r="R5442">
        <v>3.0097369999999997E-4</v>
      </c>
      <c r="S5442">
        <v>3.0550229999999998</v>
      </c>
      <c r="T5442">
        <v>-0.1095597</v>
      </c>
      <c r="U5442">
        <v>0.55157469999999997</v>
      </c>
      <c r="V5442">
        <v>1.5685659999999999E-4</v>
      </c>
      <c r="W5442">
        <v>0.16604389999999999</v>
      </c>
      <c r="X5442">
        <v>0.9861183</v>
      </c>
      <c r="Y5442">
        <v>-0.1771365</v>
      </c>
      <c r="Z5442">
        <v>3.1343310000000002E-3</v>
      </c>
      <c r="AA5442">
        <v>0.98418130000000004</v>
      </c>
      <c r="AB5442">
        <v>25</v>
      </c>
      <c r="AC5442">
        <v>30.812399999999901</v>
      </c>
      <c r="AD5442">
        <v>-1.109527440191</v>
      </c>
      <c r="AE5442">
        <v>5.5858399999999904</v>
      </c>
      <c r="AF5442">
        <v>-5.5654615756724999</v>
      </c>
      <c r="AG5442">
        <v>-1.109527440191</v>
      </c>
      <c r="AH5442">
        <v>30.776188296575299</v>
      </c>
      <c r="AI5442">
        <v>92.031778080685797</v>
      </c>
      <c r="AJ5442">
        <v>100.250396861425</v>
      </c>
      <c r="AK5442">
        <v>31.2950344265202</v>
      </c>
      <c r="AL5442">
        <v>80.442117428937294</v>
      </c>
      <c r="AM5442">
        <v>89.990886264768605</v>
      </c>
      <c r="AN5442">
        <v>0.99999995146304499</v>
      </c>
    </row>
    <row r="5443" spans="1:40" x14ac:dyDescent="0.25">
      <c r="A5443" t="str">
        <f>"20190312173036617"</f>
        <v>20190312173036617</v>
      </c>
      <c r="B5443" t="str">
        <f>"1552383036613299"</f>
        <v>1552383036613299</v>
      </c>
      <c r="C5443" t="s">
        <v>40</v>
      </c>
      <c r="D5443">
        <v>3.2945660000000001</v>
      </c>
      <c r="E5443">
        <v>0.43343480000000001</v>
      </c>
      <c r="F5443" t="s">
        <v>41</v>
      </c>
      <c r="G5443">
        <v>-324.68020000000001</v>
      </c>
      <c r="H5443" s="1">
        <v>-3.3862350000000002E-6</v>
      </c>
      <c r="I5443">
        <v>22.965299999999999</v>
      </c>
      <c r="J5443">
        <v>-355.25290000000001</v>
      </c>
      <c r="K5443">
        <v>1.109524</v>
      </c>
      <c r="L5443">
        <v>17.380220000000001</v>
      </c>
      <c r="M5443">
        <v>0.9999555</v>
      </c>
      <c r="N5443">
        <v>0</v>
      </c>
      <c r="O5443">
        <v>3.9549140000000001E-4</v>
      </c>
      <c r="P5443">
        <v>0.98758970000000001</v>
      </c>
      <c r="Q5443">
        <v>0.15705239999999901</v>
      </c>
      <c r="R5443">
        <v>1.1413700000000001E-3</v>
      </c>
      <c r="S5443">
        <v>3.0549010000000001</v>
      </c>
      <c r="T5443">
        <v>-0.110411999999999</v>
      </c>
      <c r="U5443">
        <v>0.55578609999999995</v>
      </c>
      <c r="V5443">
        <v>-7.2204210000000003E-4</v>
      </c>
      <c r="W5443">
        <v>0.16636879999999901</v>
      </c>
      <c r="X5443">
        <v>0.98606329999999998</v>
      </c>
      <c r="Y5443">
        <v>-0.1784927</v>
      </c>
      <c r="Z5443">
        <v>3.184143E-3</v>
      </c>
      <c r="AA5443">
        <v>0.98393609999999998</v>
      </c>
      <c r="AB5443">
        <v>25</v>
      </c>
      <c r="AC5443">
        <v>30.572700000000001</v>
      </c>
      <c r="AD5443">
        <v>-1.1095273862349999</v>
      </c>
      <c r="AE5443">
        <v>5.5850799999999898</v>
      </c>
      <c r="AF5443">
        <v>-5.5658938641868696</v>
      </c>
      <c r="AG5443">
        <v>-1.1095273862349999</v>
      </c>
      <c r="AH5443">
        <v>30.535987398655202</v>
      </c>
      <c r="AI5443">
        <v>92.047230150103402</v>
      </c>
      <c r="AJ5443">
        <v>100.330083942013</v>
      </c>
      <c r="AK5443">
        <v>31.058923869622902</v>
      </c>
      <c r="AL5443">
        <v>80.423239588904494</v>
      </c>
      <c r="AM5443">
        <v>90.041954667176796</v>
      </c>
      <c r="AN5443">
        <v>0.99999996528256097</v>
      </c>
    </row>
    <row r="5444" spans="1:40" x14ac:dyDescent="0.25">
      <c r="A5444" t="str">
        <f>"20190312173036628"</f>
        <v>20190312173036628</v>
      </c>
      <c r="B5444" t="str">
        <f>"1552383036623059"</f>
        <v>1552383036623059</v>
      </c>
      <c r="C5444" t="s">
        <v>40</v>
      </c>
      <c r="D5444">
        <v>3.2377120000000001</v>
      </c>
      <c r="E5444">
        <v>0.43327260000000001</v>
      </c>
      <c r="F5444" t="s">
        <v>41</v>
      </c>
      <c r="G5444">
        <v>-324.57639999999998</v>
      </c>
      <c r="H5444" s="1">
        <v>-3.445322E-6</v>
      </c>
      <c r="I5444">
        <v>23.002849999999999</v>
      </c>
      <c r="J5444">
        <v>-355.1266</v>
      </c>
      <c r="K5444">
        <v>1.109526</v>
      </c>
      <c r="L5444">
        <v>17.38025</v>
      </c>
      <c r="M5444">
        <v>0.9999555</v>
      </c>
      <c r="N5444">
        <v>0</v>
      </c>
      <c r="O5444">
        <v>3.562242E-4</v>
      </c>
      <c r="P5444">
        <v>0.98756679999999997</v>
      </c>
      <c r="Q5444">
        <v>0.157187299999999</v>
      </c>
      <c r="R5444">
        <v>2.0213290000000001E-3</v>
      </c>
      <c r="S5444">
        <v>3.0546259999999998</v>
      </c>
      <c r="T5444">
        <v>-0.1104815</v>
      </c>
      <c r="U5444">
        <v>0.55987549999999997</v>
      </c>
      <c r="V5444">
        <v>-1.6407590000000001E-3</v>
      </c>
      <c r="W5444">
        <v>0.16650100000000001</v>
      </c>
      <c r="X5444">
        <v>0.98603989999999997</v>
      </c>
      <c r="Y5444">
        <v>-0.17982049999999999</v>
      </c>
      <c r="Z5444">
        <v>3.2112619999999999E-3</v>
      </c>
      <c r="AA5444">
        <v>0.98369419999999996</v>
      </c>
      <c r="AB5444">
        <v>25</v>
      </c>
      <c r="AC5444">
        <v>30.5502</v>
      </c>
      <c r="AD5444">
        <v>-1.1095294453219999</v>
      </c>
      <c r="AE5444">
        <v>5.6225999999999896</v>
      </c>
      <c r="AF5444">
        <v>-5.6045661335858403</v>
      </c>
      <c r="AG5444">
        <v>-1.1095294453219999</v>
      </c>
      <c r="AH5444">
        <v>30.5132722239705</v>
      </c>
      <c r="AI5444">
        <v>92.048248243567897</v>
      </c>
      <c r="AJ5444">
        <v>100.40787036439301</v>
      </c>
      <c r="AK5444">
        <v>31.043550037808199</v>
      </c>
      <c r="AL5444">
        <v>80.415558086333306</v>
      </c>
      <c r="AM5444">
        <v>90.095339427068595</v>
      </c>
      <c r="AN5444">
        <v>0.99999997974155197</v>
      </c>
    </row>
    <row r="5445" spans="1:40" x14ac:dyDescent="0.25">
      <c r="A5445" t="str">
        <f>"20190312173036639"</f>
        <v>20190312173036639</v>
      </c>
      <c r="B5445" t="str">
        <f>"1552383036632818"</f>
        <v>1552383036632818</v>
      </c>
      <c r="C5445" t="s">
        <v>40</v>
      </c>
      <c r="D5445">
        <v>3.2653919999999999</v>
      </c>
      <c r="E5445">
        <v>0.43314659999999999</v>
      </c>
      <c r="F5445" t="s">
        <v>41</v>
      </c>
      <c r="G5445">
        <v>-324.33010000000002</v>
      </c>
      <c r="H5445" s="1">
        <v>-3.5784119999999998E-6</v>
      </c>
      <c r="I5445">
        <v>23.065480000000001</v>
      </c>
      <c r="J5445">
        <v>-354.99259999999998</v>
      </c>
      <c r="K5445">
        <v>1.109529</v>
      </c>
      <c r="L5445">
        <v>17.380220000000001</v>
      </c>
      <c r="M5445">
        <v>0.9999555</v>
      </c>
      <c r="N5445">
        <v>0</v>
      </c>
      <c r="O5445">
        <v>3.1457289999999998E-4</v>
      </c>
      <c r="P5445">
        <v>0.98754839999999999</v>
      </c>
      <c r="Q5445">
        <v>0.15729189999999901</v>
      </c>
      <c r="R5445">
        <v>2.7471660000000001E-3</v>
      </c>
      <c r="S5445">
        <v>3.054138</v>
      </c>
      <c r="T5445">
        <v>-0.1100336</v>
      </c>
      <c r="U5445">
        <v>0.56381230000000004</v>
      </c>
      <c r="V5445">
        <v>-2.4075809999999998E-3</v>
      </c>
      <c r="W5445">
        <v>0.166603</v>
      </c>
      <c r="X5445">
        <v>0.98602109999999998</v>
      </c>
      <c r="Y5445">
        <v>-0.18111569999999999</v>
      </c>
      <c r="Z5445">
        <v>3.223002E-3</v>
      </c>
      <c r="AA5445">
        <v>0.98345649999999996</v>
      </c>
      <c r="AB5445">
        <v>25</v>
      </c>
      <c r="AC5445">
        <v>30.662499999999898</v>
      </c>
      <c r="AD5445">
        <v>-1.109532578412</v>
      </c>
      <c r="AE5445">
        <v>5.6852599999999898</v>
      </c>
      <c r="AF5445">
        <v>-5.6684382511153597</v>
      </c>
      <c r="AG5445">
        <v>-1.109532578412</v>
      </c>
      <c r="AH5445">
        <v>30.6255193817967</v>
      </c>
      <c r="AI5445">
        <v>92.040239743604005</v>
      </c>
      <c r="AJ5445">
        <v>100.48613325517</v>
      </c>
      <c r="AK5445">
        <v>31.165440669980502</v>
      </c>
      <c r="AL5445">
        <v>80.409631163095298</v>
      </c>
      <c r="AM5445">
        <v>90.139899598494694</v>
      </c>
      <c r="AN5445">
        <v>0.99999998285024005</v>
      </c>
    </row>
    <row r="5446" spans="1:40" x14ac:dyDescent="0.25">
      <c r="A5446" t="str">
        <f>"20190312173036653"</f>
        <v>20190312173036653</v>
      </c>
      <c r="B5446" t="str">
        <f>"1552383036643554"</f>
        <v>1552383036643554</v>
      </c>
      <c r="C5446" t="s">
        <v>40</v>
      </c>
      <c r="D5446">
        <v>3.3006310000000001</v>
      </c>
      <c r="E5446">
        <v>0.43317889999999998</v>
      </c>
      <c r="F5446" t="s">
        <v>41</v>
      </c>
      <c r="G5446">
        <v>-323.95280000000002</v>
      </c>
      <c r="H5446" s="1">
        <v>-3.777651E-6</v>
      </c>
      <c r="I5446">
        <v>23.143899999999999</v>
      </c>
      <c r="J5446">
        <v>-354.84870000000001</v>
      </c>
      <c r="K5446">
        <v>1.1095330000000001</v>
      </c>
      <c r="L5446">
        <v>17.38025</v>
      </c>
      <c r="M5446">
        <v>0.9999555</v>
      </c>
      <c r="N5446">
        <v>0</v>
      </c>
      <c r="O5446">
        <v>2.6976129999999997E-4</v>
      </c>
      <c r="P5446">
        <v>0.98752269999999998</v>
      </c>
      <c r="Q5446">
        <v>0.1574361</v>
      </c>
      <c r="R5446">
        <v>3.5796439999999999E-3</v>
      </c>
      <c r="S5446">
        <v>3.0536189999999999</v>
      </c>
      <c r="T5446">
        <v>-0.109153</v>
      </c>
      <c r="U5446">
        <v>0.56701659999999998</v>
      </c>
      <c r="V5446">
        <v>-3.2843709999999999E-3</v>
      </c>
      <c r="W5446">
        <v>0.16674410000000001</v>
      </c>
      <c r="X5446">
        <v>0.98599479999999995</v>
      </c>
      <c r="Y5446">
        <v>-0.1821884</v>
      </c>
      <c r="Z5446">
        <v>3.2180469999999999E-3</v>
      </c>
      <c r="AA5446">
        <v>0.98325839999999998</v>
      </c>
      <c r="AB5446">
        <v>25</v>
      </c>
      <c r="AC5446">
        <v>30.895899999999902</v>
      </c>
      <c r="AD5446">
        <v>-1.1095367776509999</v>
      </c>
      <c r="AE5446">
        <v>5.7636499999999904</v>
      </c>
      <c r="AF5446">
        <v>-5.7481509445652499</v>
      </c>
      <c r="AG5446">
        <v>-1.1095367776509999</v>
      </c>
      <c r="AH5446">
        <v>30.8589939947848</v>
      </c>
      <c r="AI5446">
        <v>92.024394681723507</v>
      </c>
      <c r="AJ5446">
        <v>100.551642561313</v>
      </c>
      <c r="AK5446">
        <v>31.409390658091901</v>
      </c>
      <c r="AL5446">
        <v>80.401432824596995</v>
      </c>
      <c r="AM5446">
        <v>90.190852832753805</v>
      </c>
      <c r="AN5446">
        <v>1.0000000638023501</v>
      </c>
    </row>
    <row r="5447" spans="1:40" x14ac:dyDescent="0.25">
      <c r="A5447" t="str">
        <f>"20190312173036666"</f>
        <v>20190312173036666</v>
      </c>
      <c r="B5447" t="str">
        <f>"1552383036653315"</f>
        <v>1552383036653315</v>
      </c>
      <c r="C5447" t="s">
        <v>40</v>
      </c>
      <c r="D5447">
        <v>3.2528350000000001</v>
      </c>
      <c r="E5447">
        <v>0.43320259999999999</v>
      </c>
      <c r="F5447" t="s">
        <v>41</v>
      </c>
      <c r="G5447">
        <v>-323.97390000000001</v>
      </c>
      <c r="H5447" s="1">
        <v>-3.7662180000000001E-6</v>
      </c>
      <c r="I5447">
        <v>23.138439999999999</v>
      </c>
      <c r="J5447">
        <v>-354.69929999999999</v>
      </c>
      <c r="K5447">
        <v>1.1095349999999999</v>
      </c>
      <c r="L5447">
        <v>17.380220000000001</v>
      </c>
      <c r="M5447">
        <v>0.9999557</v>
      </c>
      <c r="N5447">
        <v>0</v>
      </c>
      <c r="O5447">
        <v>2.232802E-4</v>
      </c>
      <c r="P5447">
        <v>0.98746789999999995</v>
      </c>
      <c r="Q5447">
        <v>0.15775719999999999</v>
      </c>
      <c r="R5447">
        <v>4.4613959999999899E-3</v>
      </c>
      <c r="S5447">
        <v>3.053375</v>
      </c>
      <c r="T5447">
        <v>-0.10972800000000001</v>
      </c>
      <c r="U5447">
        <v>0.56945800000000002</v>
      </c>
      <c r="V5447">
        <v>-4.211762E-3</v>
      </c>
      <c r="W5447">
        <v>0.167062299999999</v>
      </c>
      <c r="X5447">
        <v>0.98593739999999996</v>
      </c>
      <c r="Y5447">
        <v>-0.18300640000000001</v>
      </c>
      <c r="Z5447">
        <v>3.251229E-3</v>
      </c>
      <c r="AA5447">
        <v>0.98310640000000005</v>
      </c>
      <c r="AB5447">
        <v>26</v>
      </c>
      <c r="AC5447">
        <v>30.725399999999901</v>
      </c>
      <c r="AD5447">
        <v>-1.1095387662180001</v>
      </c>
      <c r="AE5447">
        <v>5.7582199999999899</v>
      </c>
      <c r="AF5447">
        <v>-5.7441227891092703</v>
      </c>
      <c r="AG5447">
        <v>-1.1095387662180001</v>
      </c>
      <c r="AH5447">
        <v>30.688024512102899</v>
      </c>
      <c r="AI5447">
        <v>92.035334544426405</v>
      </c>
      <c r="AJ5447">
        <v>100.60183109972201</v>
      </c>
      <c r="AK5447">
        <v>31.240692555472201</v>
      </c>
      <c r="AL5447">
        <v>80.382941845929196</v>
      </c>
      <c r="AM5447">
        <v>90.2447566336741</v>
      </c>
      <c r="AN5447">
        <v>1.0000000538695899</v>
      </c>
    </row>
    <row r="5448" spans="1:40" x14ac:dyDescent="0.25">
      <c r="A5448" t="str">
        <f>"20190312173036678"</f>
        <v>20190312173036678</v>
      </c>
      <c r="B5448" t="str">
        <f>"1552383036672835"</f>
        <v>1552383036672835</v>
      </c>
      <c r="C5448" t="s">
        <v>40</v>
      </c>
      <c r="D5448">
        <v>3.254651</v>
      </c>
      <c r="E5448">
        <v>0.43315910000000002</v>
      </c>
      <c r="F5448" t="s">
        <v>41</v>
      </c>
      <c r="G5448">
        <v>-323.7407</v>
      </c>
      <c r="H5448" s="1">
        <v>-3.8870589999999999E-6</v>
      </c>
      <c r="I5448">
        <v>23.178419999999999</v>
      </c>
      <c r="J5448">
        <v>-354.5478</v>
      </c>
      <c r="K5448">
        <v>1.1095379999999999</v>
      </c>
      <c r="L5448">
        <v>17.380220000000001</v>
      </c>
      <c r="M5448">
        <v>0.9999555</v>
      </c>
      <c r="N5448">
        <v>0</v>
      </c>
      <c r="O5448">
        <v>1.762612E-4</v>
      </c>
      <c r="P5448">
        <v>0.98747189999999996</v>
      </c>
      <c r="Q5448">
        <v>0.15770399999999901</v>
      </c>
      <c r="R5448">
        <v>5.3677289999999999E-3</v>
      </c>
      <c r="S5448">
        <v>3.0529169999999999</v>
      </c>
      <c r="T5448">
        <v>-0.10941480000000001</v>
      </c>
      <c r="U5448">
        <v>0.57177730000000004</v>
      </c>
      <c r="V5448">
        <v>-5.1642959999999996E-3</v>
      </c>
      <c r="W5448">
        <v>0.1670073</v>
      </c>
      <c r="X5448">
        <v>0.98594210000000004</v>
      </c>
      <c r="Y5448">
        <v>-0.18380089999999999</v>
      </c>
      <c r="Z5448">
        <v>3.2579900000000001E-3</v>
      </c>
      <c r="AA5448">
        <v>0.98295809999999995</v>
      </c>
      <c r="AB5448">
        <v>26</v>
      </c>
      <c r="AC5448">
        <v>30.807099999999899</v>
      </c>
      <c r="AD5448">
        <v>-1.1095418870589999</v>
      </c>
      <c r="AE5448">
        <v>5.7981999999999996</v>
      </c>
      <c r="AF5448">
        <v>-5.7855217000722901</v>
      </c>
      <c r="AG5448">
        <v>-1.1095418870589999</v>
      </c>
      <c r="AH5448">
        <v>30.769574663130498</v>
      </c>
      <c r="AI5448">
        <v>92.029638243554004</v>
      </c>
      <c r="AJ5448">
        <v>100.648841455495</v>
      </c>
      <c r="AK5448">
        <v>31.3284227099148</v>
      </c>
      <c r="AL5448">
        <v>80.3861371675264</v>
      </c>
      <c r="AM5448">
        <v>90.300108555030803</v>
      </c>
      <c r="AN5448">
        <v>0.999999966379437</v>
      </c>
    </row>
    <row r="5449" spans="1:40" x14ac:dyDescent="0.25">
      <c r="A5449" t="str">
        <f>"20190312173036696"</f>
        <v>20190312173036696</v>
      </c>
      <c r="B5449" t="str">
        <f>"1552383036683570"</f>
        <v>1552383036683570</v>
      </c>
      <c r="C5449" t="s">
        <v>40</v>
      </c>
      <c r="D5449">
        <v>3.2946249999999999</v>
      </c>
      <c r="E5449">
        <v>0.43316959999999999</v>
      </c>
      <c r="F5449" t="s">
        <v>41</v>
      </c>
      <c r="G5449">
        <v>-323.6472</v>
      </c>
      <c r="H5449" s="1">
        <v>-3.9375080000000002E-6</v>
      </c>
      <c r="I5449">
        <v>23.201899999999998</v>
      </c>
      <c r="J5449">
        <v>-354.35680000000002</v>
      </c>
      <c r="K5449">
        <v>1.1095389999999901</v>
      </c>
      <c r="L5449">
        <v>17.380220000000001</v>
      </c>
      <c r="M5449">
        <v>0.9999557</v>
      </c>
      <c r="N5449">
        <v>0</v>
      </c>
      <c r="O5449">
        <v>1.165477E-4</v>
      </c>
      <c r="P5449">
        <v>0.9873961</v>
      </c>
      <c r="Q5449">
        <v>0.15809860000000001</v>
      </c>
      <c r="R5449">
        <v>7.3518589999999997E-3</v>
      </c>
      <c r="S5449">
        <v>3.0523989999999999</v>
      </c>
      <c r="T5449">
        <v>-0.10960209999999999</v>
      </c>
      <c r="U5449">
        <v>0.57507319999999995</v>
      </c>
      <c r="V5449">
        <v>-7.2069990000000004E-3</v>
      </c>
      <c r="W5449">
        <v>0.16739889999999999</v>
      </c>
      <c r="X5449">
        <v>0.98586289999999999</v>
      </c>
      <c r="Y5449">
        <v>-0.18491369999999999</v>
      </c>
      <c r="Z5449">
        <v>3.2857099999999998E-3</v>
      </c>
      <c r="AA5449">
        <v>0.98274930000000005</v>
      </c>
      <c r="AB5449">
        <v>26</v>
      </c>
      <c r="AC5449">
        <v>30.709599999999998</v>
      </c>
      <c r="AD5449">
        <v>-1.1095429375079999</v>
      </c>
      <c r="AE5449">
        <v>5.82167999999999</v>
      </c>
      <c r="AF5449">
        <v>-5.8107784843669599</v>
      </c>
      <c r="AG5449">
        <v>-1.1095429375079999</v>
      </c>
      <c r="AH5449">
        <v>30.671628887419999</v>
      </c>
      <c r="AI5449">
        <v>92.035588241522007</v>
      </c>
      <c r="AJ5449">
        <v>100.72761854777499</v>
      </c>
      <c r="AK5449">
        <v>31.236918073525999</v>
      </c>
      <c r="AL5449">
        <v>80.363380050658606</v>
      </c>
      <c r="AM5449">
        <v>90.418844516879901</v>
      </c>
      <c r="AN5449">
        <v>0.99999999507610304</v>
      </c>
    </row>
    <row r="5450" spans="1:40" x14ac:dyDescent="0.25">
      <c r="A5450" t="str">
        <f>"20190312173036706"</f>
        <v>20190312173036706</v>
      </c>
      <c r="B5450" t="str">
        <f>"1552383036703091"</f>
        <v>1552383036703091</v>
      </c>
      <c r="C5450" t="s">
        <v>40</v>
      </c>
      <c r="D5450">
        <v>3.269406</v>
      </c>
      <c r="E5450">
        <v>0.4332897</v>
      </c>
      <c r="F5450" t="s">
        <v>41</v>
      </c>
      <c r="G5450">
        <v>-323.38889999999998</v>
      </c>
      <c r="H5450" s="1">
        <v>-4.0598170000000003E-6</v>
      </c>
      <c r="I5450">
        <v>23.280139999999999</v>
      </c>
      <c r="J5450">
        <v>-354.23129999999998</v>
      </c>
      <c r="K5450">
        <v>1.1095360000000001</v>
      </c>
      <c r="L5450">
        <v>17.380189999999999</v>
      </c>
      <c r="M5450">
        <v>0.99995560000000006</v>
      </c>
      <c r="N5450">
        <v>0</v>
      </c>
      <c r="O5450" s="1">
        <v>7.7453489999999999E-5</v>
      </c>
      <c r="P5450">
        <v>0.98739359999999998</v>
      </c>
      <c r="Q5450">
        <v>0.15806779999999901</v>
      </c>
      <c r="R5450">
        <v>8.2779769999999902E-3</v>
      </c>
      <c r="S5450">
        <v>3.0514830000000002</v>
      </c>
      <c r="T5450">
        <v>-0.10933089999999999</v>
      </c>
      <c r="U5450">
        <v>0.58135990000000004</v>
      </c>
      <c r="V5450">
        <v>-8.1716759999999992E-3</v>
      </c>
      <c r="W5450">
        <v>0.16736699999999999</v>
      </c>
      <c r="X5450">
        <v>0.98586079999999998</v>
      </c>
      <c r="Y5450">
        <v>-0.18695909999999999</v>
      </c>
      <c r="Z5450">
        <v>3.31562E-3</v>
      </c>
      <c r="AA5450">
        <v>0.98236210000000002</v>
      </c>
      <c r="AB5450">
        <v>26</v>
      </c>
      <c r="AC5450">
        <v>30.842400000000001</v>
      </c>
      <c r="AD5450">
        <v>-1.109540059817</v>
      </c>
      <c r="AE5450">
        <v>5.8999499999999996</v>
      </c>
      <c r="AF5450">
        <v>-5.89020722387865</v>
      </c>
      <c r="AG5450">
        <v>-1.109540059817</v>
      </c>
      <c r="AH5450">
        <v>30.804398250897599</v>
      </c>
      <c r="AI5450">
        <v>92.026161493671395</v>
      </c>
      <c r="AJ5450">
        <v>100.825040841044</v>
      </c>
      <c r="AK5450">
        <v>31.382105918572002</v>
      </c>
      <c r="AL5450">
        <v>80.3652340176493</v>
      </c>
      <c r="AM5450">
        <v>90.4749066238399</v>
      </c>
      <c r="AN5450">
        <v>1.0000000029771401</v>
      </c>
    </row>
    <row r="5451" spans="1:40" x14ac:dyDescent="0.25">
      <c r="A5451" t="str">
        <f>"20190312173036717"</f>
        <v>20190312173036717</v>
      </c>
      <c r="B5451" t="str">
        <f>"1552383036712851"</f>
        <v>1552383036712851</v>
      </c>
      <c r="C5451" t="s">
        <v>40</v>
      </c>
      <c r="D5451">
        <v>3.3021950000000002</v>
      </c>
      <c r="E5451">
        <v>0.43333139999999998</v>
      </c>
      <c r="F5451" t="s">
        <v>41</v>
      </c>
      <c r="G5451">
        <v>-323.84410000000003</v>
      </c>
      <c r="H5451" s="1">
        <v>-3.8413699999999998E-6</v>
      </c>
      <c r="I5451">
        <v>23.190300000000001</v>
      </c>
      <c r="J5451">
        <v>-354.09530000000001</v>
      </c>
      <c r="K5451">
        <v>1.1095349999999999</v>
      </c>
      <c r="L5451">
        <v>17.38016</v>
      </c>
      <c r="M5451">
        <v>0.9999557</v>
      </c>
      <c r="N5451">
        <v>0</v>
      </c>
      <c r="O5451" s="1">
        <v>3.5140800000000001E-5</v>
      </c>
      <c r="P5451">
        <v>0.98733320000000002</v>
      </c>
      <c r="Q5451">
        <v>0.1583862</v>
      </c>
      <c r="R5451">
        <v>9.3319400000000004E-3</v>
      </c>
      <c r="S5451">
        <v>3.0512389999999998</v>
      </c>
      <c r="T5451">
        <v>-0.1114111</v>
      </c>
      <c r="U5451">
        <v>0.58340449999999999</v>
      </c>
      <c r="V5451">
        <v>-9.2679000000000008E-3</v>
      </c>
      <c r="W5451">
        <v>0.16768339999999901</v>
      </c>
      <c r="X5451">
        <v>0.98579729999999999</v>
      </c>
      <c r="Y5451">
        <v>-0.18764529999999999</v>
      </c>
      <c r="Z5451">
        <v>3.3926609999999999E-3</v>
      </c>
      <c r="AA5451">
        <v>0.98223099999999997</v>
      </c>
      <c r="AB5451">
        <v>26</v>
      </c>
      <c r="AC5451">
        <v>30.251199999999901</v>
      </c>
      <c r="AD5451">
        <v>-1.10953884137</v>
      </c>
      <c r="AE5451">
        <v>5.8101399999999996</v>
      </c>
      <c r="AF5451">
        <v>-5.8015500715266102</v>
      </c>
      <c r="AG5451">
        <v>-1.10953884137</v>
      </c>
      <c r="AH5451">
        <v>30.2122073903925</v>
      </c>
      <c r="AI5451">
        <v>92.065529700517303</v>
      </c>
      <c r="AJ5451">
        <v>100.869999984703</v>
      </c>
      <c r="AK5451">
        <v>30.784192941719699</v>
      </c>
      <c r="AL5451">
        <v>80.346845412368793</v>
      </c>
      <c r="AM5451">
        <v>90.538646140514004</v>
      </c>
      <c r="AN5451">
        <v>0.99999996664662905</v>
      </c>
    </row>
    <row r="5452" spans="1:40" x14ac:dyDescent="0.25">
      <c r="A5452" t="str">
        <f>"20190312173036729"</f>
        <v>20190312173036729</v>
      </c>
      <c r="B5452" t="str">
        <f>"1552383036723587"</f>
        <v>1552383036723587</v>
      </c>
      <c r="C5452" t="s">
        <v>40</v>
      </c>
      <c r="D5452">
        <v>3.3046820000000001</v>
      </c>
      <c r="E5452">
        <v>0.4334055</v>
      </c>
      <c r="F5452" t="s">
        <v>41</v>
      </c>
      <c r="G5452">
        <v>-323.61520000000002</v>
      </c>
      <c r="H5452" s="1">
        <v>-3.962547E-6</v>
      </c>
      <c r="I5452">
        <v>23.2392</v>
      </c>
      <c r="J5452">
        <v>-353.97129999999999</v>
      </c>
      <c r="K5452">
        <v>1.109537</v>
      </c>
      <c r="L5452">
        <v>17.380099999999999</v>
      </c>
      <c r="M5452">
        <v>0.9999557</v>
      </c>
      <c r="N5452">
        <v>0</v>
      </c>
      <c r="O5452" s="1">
        <v>-3.4179630000000002E-6</v>
      </c>
      <c r="P5452">
        <v>0.98729750000000005</v>
      </c>
      <c r="Q5452">
        <v>0.15858429999999901</v>
      </c>
      <c r="R5452">
        <v>9.7400109999999998E-3</v>
      </c>
      <c r="S5452">
        <v>3.0507200000000001</v>
      </c>
      <c r="T5452">
        <v>-0.11105279999999999</v>
      </c>
      <c r="U5452">
        <v>0.5864258</v>
      </c>
      <c r="V5452">
        <v>-9.7136589999999995E-3</v>
      </c>
      <c r="W5452">
        <v>0.167879799999999</v>
      </c>
      <c r="X5452">
        <v>0.98575959999999996</v>
      </c>
      <c r="Y5452">
        <v>-0.18865229999999999</v>
      </c>
      <c r="Z5452">
        <v>3.4015540000000002E-3</v>
      </c>
      <c r="AA5452">
        <v>0.98203810000000002</v>
      </c>
      <c r="AB5452">
        <v>26</v>
      </c>
      <c r="AC5452">
        <v>30.356099999999898</v>
      </c>
      <c r="AD5452">
        <v>-1.1095409625470001</v>
      </c>
      <c r="AE5452">
        <v>5.8590999999999998</v>
      </c>
      <c r="AF5452">
        <v>-5.8516669201707003</v>
      </c>
      <c r="AG5452">
        <v>-1.1095409625470001</v>
      </c>
      <c r="AH5452">
        <v>30.3170321874472</v>
      </c>
      <c r="AI5452">
        <v>92.058020356961293</v>
      </c>
      <c r="AJ5452">
        <v>100.924647849008</v>
      </c>
      <c r="AK5452">
        <v>30.896529377049799</v>
      </c>
      <c r="AL5452">
        <v>80.335430894159501</v>
      </c>
      <c r="AM5452">
        <v>90.564573402553805</v>
      </c>
      <c r="AN5452">
        <v>0.99999998570568405</v>
      </c>
    </row>
    <row r="5453" spans="1:40" x14ac:dyDescent="0.25">
      <c r="A5453" t="str">
        <f>"20190312173036741"</f>
        <v>20190312173036741</v>
      </c>
      <c r="B5453" t="str">
        <f>"1552383036733347"</f>
        <v>1552383036733347</v>
      </c>
      <c r="C5453" t="s">
        <v>40</v>
      </c>
      <c r="D5453">
        <v>3.3224239999999998</v>
      </c>
      <c r="E5453">
        <v>0.4335138</v>
      </c>
      <c r="F5453" t="s">
        <v>41</v>
      </c>
      <c r="G5453">
        <v>-323.38819999999998</v>
      </c>
      <c r="H5453" s="1">
        <v>-4.0579069999999997E-6</v>
      </c>
      <c r="I5453">
        <v>23.268039999999999</v>
      </c>
      <c r="J5453">
        <v>-353.83659999999998</v>
      </c>
      <c r="K5453">
        <v>1.1095389999999901</v>
      </c>
      <c r="L5453">
        <v>17.38007</v>
      </c>
      <c r="M5453">
        <v>0.9999557</v>
      </c>
      <c r="N5453">
        <v>0</v>
      </c>
      <c r="O5453" s="1">
        <v>-4.5433889999999998E-5</v>
      </c>
      <c r="P5453">
        <v>0.98724400000000001</v>
      </c>
      <c r="Q5453">
        <v>0.1588734</v>
      </c>
      <c r="R5453">
        <v>1.0425810000000001E-2</v>
      </c>
      <c r="S5453">
        <v>3.0505979999999999</v>
      </c>
      <c r="T5453">
        <v>-0.1106745</v>
      </c>
      <c r="U5453">
        <v>0.58731080000000002</v>
      </c>
      <c r="V5453">
        <v>-1.044077E-2</v>
      </c>
      <c r="W5453">
        <v>0.16816710000000001</v>
      </c>
      <c r="X5453">
        <v>0.9857032</v>
      </c>
      <c r="Y5453">
        <v>-0.18897610000000001</v>
      </c>
      <c r="Z5453">
        <v>3.3973459999999999E-3</v>
      </c>
      <c r="AA5453">
        <v>0.98197579999999995</v>
      </c>
      <c r="AB5453">
        <v>26</v>
      </c>
      <c r="AC5453">
        <v>30.4483999999999</v>
      </c>
      <c r="AD5453">
        <v>-1.10954305790699</v>
      </c>
      <c r="AE5453">
        <v>5.8879699999999904</v>
      </c>
      <c r="AF5453">
        <v>-5.8818246109097103</v>
      </c>
      <c r="AG5453">
        <v>-1.10954305790699</v>
      </c>
      <c r="AH5453">
        <v>30.409208149972599</v>
      </c>
      <c r="AI5453">
        <v>92.0516360478275</v>
      </c>
      <c r="AJ5453">
        <v>100.94710930111501</v>
      </c>
      <c r="AK5453">
        <v>30.992690861866301</v>
      </c>
      <c r="AL5453">
        <v>80.318732464322807</v>
      </c>
      <c r="AM5453">
        <v>90.606865926050403</v>
      </c>
      <c r="AN5453">
        <v>0.99999999084542102</v>
      </c>
    </row>
    <row r="5454" spans="1:40" x14ac:dyDescent="0.25">
      <c r="A5454" t="str">
        <f>"20190312173036751"</f>
        <v>20190312173036751</v>
      </c>
      <c r="B5454" t="str">
        <f>"1552383036743107"</f>
        <v>1552383036743107</v>
      </c>
      <c r="C5454" t="s">
        <v>40</v>
      </c>
      <c r="D5454">
        <v>3.3007040000000001</v>
      </c>
      <c r="E5454">
        <v>0.4335389</v>
      </c>
      <c r="F5454" t="s">
        <v>41</v>
      </c>
      <c r="G5454">
        <v>-323.25049999999999</v>
      </c>
      <c r="H5454" s="1">
        <v>-4.1131950000000004E-6</v>
      </c>
      <c r="I5454">
        <v>23.281610000000001</v>
      </c>
      <c r="J5454">
        <v>-353.70949999999999</v>
      </c>
      <c r="K5454">
        <v>1.10954</v>
      </c>
      <c r="L5454">
        <v>17.38</v>
      </c>
      <c r="M5454">
        <v>0.99995579999999995</v>
      </c>
      <c r="N5454">
        <v>0</v>
      </c>
      <c r="O5454" s="1">
        <v>-8.5007019999999996E-5</v>
      </c>
      <c r="P5454">
        <v>0.98721099999999995</v>
      </c>
      <c r="Q5454">
        <v>0.15902359999999999</v>
      </c>
      <c r="R5454">
        <v>1.1240190000000001E-2</v>
      </c>
      <c r="S5454">
        <v>3.050354</v>
      </c>
      <c r="T5454">
        <v>-0.110655</v>
      </c>
      <c r="U5454">
        <v>0.58856200000000003</v>
      </c>
      <c r="V5454">
        <v>-1.1294500000000001E-2</v>
      </c>
      <c r="W5454">
        <v>0.16831650000000001</v>
      </c>
      <c r="X5454">
        <v>0.98566830000000005</v>
      </c>
      <c r="Y5454">
        <v>-0.18941769999999999</v>
      </c>
      <c r="Z5454">
        <v>3.4062390000000001E-3</v>
      </c>
      <c r="AA5454">
        <v>0.98189070000000001</v>
      </c>
      <c r="AB5454">
        <v>26</v>
      </c>
      <c r="AC5454">
        <v>30.459</v>
      </c>
      <c r="AD5454">
        <v>-1.1095441131949999</v>
      </c>
      <c r="AE5454">
        <v>5.9016099999999998</v>
      </c>
      <c r="AF5454">
        <v>-5.8966578106935996</v>
      </c>
      <c r="AG5454">
        <v>-1.1095441131949999</v>
      </c>
      <c r="AH5454">
        <v>30.419593150204399</v>
      </c>
      <c r="AI5454">
        <v>92.050776953163904</v>
      </c>
      <c r="AJ5454">
        <v>100.970391520813</v>
      </c>
      <c r="AK5454">
        <v>31.005698006971301</v>
      </c>
      <c r="AL5454">
        <v>80.310048820586104</v>
      </c>
      <c r="AM5454">
        <v>90.656507732711702</v>
      </c>
      <c r="AN5454">
        <v>1.00000000376369</v>
      </c>
    </row>
    <row r="5455" spans="1:40" x14ac:dyDescent="0.25">
      <c r="A5455" t="str">
        <f>"20190312173036764"</f>
        <v>20190312173036764</v>
      </c>
      <c r="B5455" t="str">
        <f>"1552383036752867"</f>
        <v>1552383036752867</v>
      </c>
      <c r="C5455" t="s">
        <v>40</v>
      </c>
      <c r="D5455">
        <v>3.332211</v>
      </c>
      <c r="E5455">
        <v>0.43363350000000001</v>
      </c>
      <c r="F5455" t="s">
        <v>41</v>
      </c>
      <c r="G5455">
        <v>-323.04919999999998</v>
      </c>
      <c r="H5455" s="1">
        <v>-4.1974340000000003E-6</v>
      </c>
      <c r="I5455">
        <v>23.320640000000001</v>
      </c>
      <c r="J5455">
        <v>-353.56950000000001</v>
      </c>
      <c r="K5455">
        <v>1.1095410000000001</v>
      </c>
      <c r="L5455">
        <v>17.37997</v>
      </c>
      <c r="M5455">
        <v>0.9999557</v>
      </c>
      <c r="N5455">
        <v>0</v>
      </c>
      <c r="O5455">
        <v>-1.285139E-4</v>
      </c>
      <c r="P5455">
        <v>0.98718629999999996</v>
      </c>
      <c r="Q5455">
        <v>0.1591397</v>
      </c>
      <c r="R5455">
        <v>1.174499E-2</v>
      </c>
      <c r="S5455">
        <v>3.0499269999999998</v>
      </c>
      <c r="T5455">
        <v>-0.1103716</v>
      </c>
      <c r="U5455">
        <v>0.59094239999999998</v>
      </c>
      <c r="V5455">
        <v>-1.1841819999999999E-2</v>
      </c>
      <c r="W5455">
        <v>0.16843069999999999</v>
      </c>
      <c r="X5455">
        <v>0.98564240000000003</v>
      </c>
      <c r="Y5455">
        <v>-0.1902247</v>
      </c>
      <c r="Z5455">
        <v>3.4137619999999999E-3</v>
      </c>
      <c r="AA5455">
        <v>0.98173460000000001</v>
      </c>
      <c r="AB5455">
        <v>26</v>
      </c>
      <c r="AC5455">
        <v>30.520299999999999</v>
      </c>
      <c r="AD5455">
        <v>-1.10954519743399</v>
      </c>
      <c r="AE5455">
        <v>5.9406699999999999</v>
      </c>
      <c r="AF5455">
        <v>-5.9370322363744803</v>
      </c>
      <c r="AG5455">
        <v>-1.10954519743399</v>
      </c>
      <c r="AH5455">
        <v>30.480722338622101</v>
      </c>
      <c r="AI5455">
        <v>92.046311316079397</v>
      </c>
      <c r="AJ5455">
        <v>101.022059998972</v>
      </c>
      <c r="AK5455">
        <v>31.073362814556699</v>
      </c>
      <c r="AL5455">
        <v>80.303411180513194</v>
      </c>
      <c r="AM5455">
        <v>90.688336525987197</v>
      </c>
      <c r="AN5455">
        <v>1.00000003504058</v>
      </c>
    </row>
    <row r="5456" spans="1:40" x14ac:dyDescent="0.25">
      <c r="A5456" t="str">
        <f>"20190312173036776"</f>
        <v>20190312173036776</v>
      </c>
      <c r="B5456" t="str">
        <f>"1552383036763603"</f>
        <v>1552383036763603</v>
      </c>
      <c r="C5456" t="s">
        <v>40</v>
      </c>
      <c r="D5456">
        <v>3.316192</v>
      </c>
      <c r="E5456">
        <v>0.43371759999999898</v>
      </c>
      <c r="F5456" t="s">
        <v>41</v>
      </c>
      <c r="G5456">
        <v>-323.0564</v>
      </c>
      <c r="H5456" s="1">
        <v>-4.1909549999999996E-6</v>
      </c>
      <c r="I5456">
        <v>23.299700000000001</v>
      </c>
      <c r="J5456">
        <v>-353.42849999999999</v>
      </c>
      <c r="K5456">
        <v>1.1095410000000001</v>
      </c>
      <c r="L5456">
        <v>17.379909999999999</v>
      </c>
      <c r="M5456">
        <v>0.99995579999999995</v>
      </c>
      <c r="N5456">
        <v>0</v>
      </c>
      <c r="O5456">
        <v>-1.7249839999999999E-4</v>
      </c>
      <c r="P5456">
        <v>0.9871221</v>
      </c>
      <c r="Q5456">
        <v>0.15950690000000001</v>
      </c>
      <c r="R5456">
        <v>1.216649E-2</v>
      </c>
      <c r="S5456">
        <v>3.0497740000000002</v>
      </c>
      <c r="T5456">
        <v>-0.1108987</v>
      </c>
      <c r="U5456">
        <v>0.59167479999999995</v>
      </c>
      <c r="V5456">
        <v>-1.2306330000000001E-2</v>
      </c>
      <c r="W5456">
        <v>0.1687969</v>
      </c>
      <c r="X5456">
        <v>0.98557399999999995</v>
      </c>
      <c r="Y5456">
        <v>-0.1905029</v>
      </c>
      <c r="Z5456">
        <v>3.4367410000000001E-3</v>
      </c>
      <c r="AA5456">
        <v>0.98168060000000001</v>
      </c>
      <c r="AB5456">
        <v>26</v>
      </c>
      <c r="AC5456">
        <v>30.3720999999999</v>
      </c>
      <c r="AD5456">
        <v>-1.10954519095499</v>
      </c>
      <c r="AE5456">
        <v>5.9197899999999999</v>
      </c>
      <c r="AF5456">
        <v>-5.9174211176799201</v>
      </c>
      <c r="AG5456">
        <v>-1.10954519095499</v>
      </c>
      <c r="AH5456">
        <v>30.3320796963459</v>
      </c>
      <c r="AI5456">
        <v>92.056211858017406</v>
      </c>
      <c r="AJ5456">
        <v>101.039059616792</v>
      </c>
      <c r="AK5456">
        <v>30.923809951560202</v>
      </c>
      <c r="AL5456">
        <v>80.282124095254403</v>
      </c>
      <c r="AM5456">
        <v>90.715384262614506</v>
      </c>
      <c r="AN5456">
        <v>0.99999997434183896</v>
      </c>
    </row>
    <row r="5457" spans="1:40" x14ac:dyDescent="0.25">
      <c r="A5457" t="str">
        <f>"20190312173036788"</f>
        <v>20190312173036788</v>
      </c>
      <c r="B5457" t="str">
        <f>"1552383036783123"</f>
        <v>1552383036783123</v>
      </c>
      <c r="C5457" t="s">
        <v>40</v>
      </c>
      <c r="D5457">
        <v>3.321132</v>
      </c>
      <c r="E5457">
        <v>0.4339557</v>
      </c>
      <c r="F5457" t="s">
        <v>41</v>
      </c>
      <c r="G5457">
        <v>-322.8768</v>
      </c>
      <c r="H5457" s="1">
        <v>-4.2622730000000001E-6</v>
      </c>
      <c r="I5457">
        <v>23.312999999999999</v>
      </c>
      <c r="J5457">
        <v>-353.2955</v>
      </c>
      <c r="K5457">
        <v>1.109542</v>
      </c>
      <c r="L5457">
        <v>17.379850000000001</v>
      </c>
      <c r="M5457">
        <v>0.9999557</v>
      </c>
      <c r="N5457">
        <v>0</v>
      </c>
      <c r="O5457">
        <v>-2.138606E-4</v>
      </c>
      <c r="P5457">
        <v>0.98713139999999999</v>
      </c>
      <c r="Q5457">
        <v>0.1594312</v>
      </c>
      <c r="R5457">
        <v>1.239872E-2</v>
      </c>
      <c r="S5457">
        <v>3.049744</v>
      </c>
      <c r="T5457">
        <v>-0.11075749999999999</v>
      </c>
      <c r="U5457">
        <v>0.59225459999999996</v>
      </c>
      <c r="V5457">
        <v>-1.257954E-2</v>
      </c>
      <c r="W5457">
        <v>0.16872029999999999</v>
      </c>
      <c r="X5457">
        <v>0.98558369999999995</v>
      </c>
      <c r="Y5457">
        <v>-0.19072539999999999</v>
      </c>
      <c r="Z5457">
        <v>3.4378270000000001E-3</v>
      </c>
      <c r="AA5457">
        <v>0.98163739999999999</v>
      </c>
      <c r="AB5457">
        <v>26</v>
      </c>
      <c r="AC5457">
        <v>30.418700000000001</v>
      </c>
      <c r="AD5457">
        <v>-1.1095462622729999</v>
      </c>
      <c r="AE5457">
        <v>5.9331500000000004</v>
      </c>
      <c r="AF5457">
        <v>-5.9320522751765399</v>
      </c>
      <c r="AG5457">
        <v>-1.1095462622729999</v>
      </c>
      <c r="AH5457">
        <v>30.378493614372999</v>
      </c>
      <c r="AI5457">
        <v>92.053004140827895</v>
      </c>
      <c r="AJ5457">
        <v>101.049191039137</v>
      </c>
      <c r="AK5457">
        <v>30.972136048100602</v>
      </c>
      <c r="AL5457">
        <v>80.286577136716502</v>
      </c>
      <c r="AM5457">
        <v>90.731257441797695</v>
      </c>
      <c r="AN5457">
        <v>1.0000000070821899</v>
      </c>
    </row>
    <row r="5458" spans="1:40" x14ac:dyDescent="0.25">
      <c r="A5458" t="str">
        <f>"20190312173036798"</f>
        <v>20190312173036798</v>
      </c>
      <c r="B5458" t="str">
        <f>"1552383036792883"</f>
        <v>1552383036792883</v>
      </c>
      <c r="C5458" t="s">
        <v>40</v>
      </c>
      <c r="D5458">
        <v>3.3461859999999999</v>
      </c>
      <c r="E5458">
        <v>0.43406169999999999</v>
      </c>
      <c r="F5458" t="s">
        <v>41</v>
      </c>
      <c r="G5458">
        <v>-323.31180000000001</v>
      </c>
      <c r="H5458" s="1">
        <v>-4.0734230000000003E-6</v>
      </c>
      <c r="I5458">
        <v>23.189990000000002</v>
      </c>
      <c r="J5458">
        <v>-353.1626</v>
      </c>
      <c r="K5458">
        <v>1.109542</v>
      </c>
      <c r="L5458">
        <v>17.379760000000001</v>
      </c>
      <c r="M5458">
        <v>0.99995560000000006</v>
      </c>
      <c r="N5458">
        <v>0</v>
      </c>
      <c r="O5458">
        <v>-2.5510369999999998E-4</v>
      </c>
      <c r="P5458">
        <v>0.98711879999999996</v>
      </c>
      <c r="Q5458">
        <v>0.15950120000000001</v>
      </c>
      <c r="R5458">
        <v>1.248577E-2</v>
      </c>
      <c r="S5458">
        <v>3.0499269999999998</v>
      </c>
      <c r="T5458">
        <v>-0.1128623</v>
      </c>
      <c r="U5458">
        <v>0.59100339999999996</v>
      </c>
      <c r="V5458">
        <v>-1.270722E-2</v>
      </c>
      <c r="W5458">
        <v>0.16878940000000001</v>
      </c>
      <c r="X5458">
        <v>0.98557030000000001</v>
      </c>
      <c r="Y5458">
        <v>-0.19036230000000001</v>
      </c>
      <c r="Z5458">
        <v>3.4979030000000001E-3</v>
      </c>
      <c r="AA5458">
        <v>0.98170769999999996</v>
      </c>
      <c r="AB5458">
        <v>26</v>
      </c>
      <c r="AC5458">
        <v>29.8507999999999</v>
      </c>
      <c r="AD5458">
        <v>-1.109546073423</v>
      </c>
      <c r="AE5458">
        <v>5.81022999999999</v>
      </c>
      <c r="AF5458">
        <v>-5.8101110293179099</v>
      </c>
      <c r="AG5458">
        <v>-1.109546073423</v>
      </c>
      <c r="AH5458">
        <v>29.8096354516784</v>
      </c>
      <c r="AI5458">
        <v>92.092289949473198</v>
      </c>
      <c r="AJ5458">
        <v>101.02908377069799</v>
      </c>
      <c r="AK5458">
        <v>30.390834941212301</v>
      </c>
      <c r="AL5458">
        <v>80.282561062869604</v>
      </c>
      <c r="AM5458">
        <v>90.738688793152704</v>
      </c>
      <c r="AN5458">
        <v>1.00000007561728</v>
      </c>
    </row>
    <row r="5459" spans="1:40" x14ac:dyDescent="0.25">
      <c r="A5459" t="str">
        <f>"20190312173036810"</f>
        <v>20190312173036810</v>
      </c>
      <c r="B5459" t="str">
        <f>"1552383036803618"</f>
        <v>1552383036803618</v>
      </c>
      <c r="C5459" t="s">
        <v>40</v>
      </c>
      <c r="D5459">
        <v>3.3326929999999999</v>
      </c>
      <c r="E5459">
        <v>0.4341796</v>
      </c>
      <c r="F5459" t="s">
        <v>41</v>
      </c>
      <c r="G5459">
        <v>-323.36840000000001</v>
      </c>
      <c r="H5459" s="1">
        <v>-4.0439450000000001E-6</v>
      </c>
      <c r="I5459">
        <v>23.14649</v>
      </c>
      <c r="J5459">
        <v>-353.04039999999998</v>
      </c>
      <c r="K5459">
        <v>1.10954</v>
      </c>
      <c r="L5459">
        <v>17.379729999999999</v>
      </c>
      <c r="M5459">
        <v>0.9999557</v>
      </c>
      <c r="N5459">
        <v>0</v>
      </c>
      <c r="O5459">
        <v>-2.9324800000000002E-4</v>
      </c>
      <c r="P5459">
        <v>0.98711910000000003</v>
      </c>
      <c r="Q5459">
        <v>0.15951399999999999</v>
      </c>
      <c r="R5459">
        <v>1.230653E-2</v>
      </c>
      <c r="S5459">
        <v>3.0499879999999999</v>
      </c>
      <c r="T5459">
        <v>-0.11358260000000001</v>
      </c>
      <c r="U5459">
        <v>0.59033199999999997</v>
      </c>
      <c r="V5459">
        <v>-1.2565730000000001E-2</v>
      </c>
      <c r="W5459">
        <v>0.1688016</v>
      </c>
      <c r="X5459">
        <v>0.98556999999999995</v>
      </c>
      <c r="Y5459">
        <v>-0.1901862</v>
      </c>
      <c r="Z5459">
        <v>3.5183760000000001E-3</v>
      </c>
      <c r="AA5459">
        <v>0.98174170000000005</v>
      </c>
      <c r="AB5459">
        <v>26</v>
      </c>
      <c r="AC5459">
        <v>29.671999999999901</v>
      </c>
      <c r="AD5459">
        <v>-1.1095440439449999</v>
      </c>
      <c r="AE5459">
        <v>5.7667599999999997</v>
      </c>
      <c r="AF5459">
        <v>-5.7676900606782899</v>
      </c>
      <c r="AG5459">
        <v>-1.1095440439449999</v>
      </c>
      <c r="AH5459">
        <v>29.630383859050401</v>
      </c>
      <c r="AI5459">
        <v>92.105031920246503</v>
      </c>
      <c r="AJ5459">
        <v>101.015141899878</v>
      </c>
      <c r="AK5459">
        <v>30.206902923937299</v>
      </c>
      <c r="AL5459">
        <v>80.281851639942801</v>
      </c>
      <c r="AM5459">
        <v>90.730464896536404</v>
      </c>
      <c r="AN5459">
        <v>1.0000000513164899</v>
      </c>
    </row>
    <row r="5460" spans="1:40" x14ac:dyDescent="0.25">
      <c r="A5460" t="str">
        <f>"20190312173036821"</f>
        <v>20190312173036821</v>
      </c>
      <c r="B5460" t="str">
        <f>"1552383036813380"</f>
        <v>1552383036813380</v>
      </c>
      <c r="C5460" t="s">
        <v>40</v>
      </c>
      <c r="D5460">
        <v>3.3255340000000002</v>
      </c>
      <c r="E5460">
        <v>0.4342878</v>
      </c>
      <c r="F5460" t="s">
        <v>41</v>
      </c>
      <c r="G5460">
        <v>-323.36130000000003</v>
      </c>
      <c r="H5460" s="1">
        <v>-4.040034E-6</v>
      </c>
      <c r="I5460">
        <v>23.10895</v>
      </c>
      <c r="J5460">
        <v>-352.91070000000002</v>
      </c>
      <c r="K5460">
        <v>1.10954</v>
      </c>
      <c r="L5460">
        <v>17.379639999999998</v>
      </c>
      <c r="M5460">
        <v>0.9999557</v>
      </c>
      <c r="N5460">
        <v>0</v>
      </c>
      <c r="O5460">
        <v>-3.3353830000000002E-4</v>
      </c>
      <c r="P5460">
        <v>0.98709069999999999</v>
      </c>
      <c r="Q5460">
        <v>0.15970989999999999</v>
      </c>
      <c r="R5460">
        <v>1.2035540000000001E-2</v>
      </c>
      <c r="S5460">
        <v>3.0502009999999999</v>
      </c>
      <c r="T5460">
        <v>-0.1140307</v>
      </c>
      <c r="U5460">
        <v>0.58880619999999995</v>
      </c>
      <c r="V5460">
        <v>-1.233457E-2</v>
      </c>
      <c r="W5460">
        <v>0.16899620000000001</v>
      </c>
      <c r="X5460">
        <v>0.98553959999999996</v>
      </c>
      <c r="Y5460">
        <v>-0.18973880000000001</v>
      </c>
      <c r="Z5460">
        <v>3.5253770000000001E-3</v>
      </c>
      <c r="AA5460">
        <v>0.98182829999999999</v>
      </c>
      <c r="AB5460">
        <v>26</v>
      </c>
      <c r="AC5460">
        <v>29.549399999999899</v>
      </c>
      <c r="AD5460">
        <v>-1.109544040034</v>
      </c>
      <c r="AE5460">
        <v>5.7293099999999999</v>
      </c>
      <c r="AF5460">
        <v>-5.73137801307948</v>
      </c>
      <c r="AG5460">
        <v>-1.109544040034</v>
      </c>
      <c r="AH5460">
        <v>29.507391836449699</v>
      </c>
      <c r="AI5460">
        <v>92.113964013513097</v>
      </c>
      <c r="AJ5460">
        <v>100.991995562356</v>
      </c>
      <c r="AK5460">
        <v>30.079327700189101</v>
      </c>
      <c r="AL5460">
        <v>80.270539646391896</v>
      </c>
      <c r="AM5460">
        <v>90.717050747296298</v>
      </c>
      <c r="AN5460">
        <v>1.0000000801998301</v>
      </c>
    </row>
    <row r="5461" spans="1:40" x14ac:dyDescent="0.25">
      <c r="A5461" t="str">
        <f>"20190312173036831"</f>
        <v>20190312173036831</v>
      </c>
      <c r="B5461" t="str">
        <f>"1552383036823138"</f>
        <v>1552383036823138</v>
      </c>
      <c r="C5461" t="s">
        <v>40</v>
      </c>
      <c r="D5461">
        <v>3.3525200000000002</v>
      </c>
      <c r="E5461">
        <v>0.43439509999999998</v>
      </c>
      <c r="F5461" t="s">
        <v>41</v>
      </c>
      <c r="G5461">
        <v>-323.19869999999997</v>
      </c>
      <c r="H5461" s="1">
        <v>-4.1003170000000002E-6</v>
      </c>
      <c r="I5461">
        <v>23.096789999999999</v>
      </c>
      <c r="J5461">
        <v>-352.78050000000002</v>
      </c>
      <c r="K5461">
        <v>1.10954</v>
      </c>
      <c r="L5461">
        <v>17.379549999999998</v>
      </c>
      <c r="M5461">
        <v>0.9999557</v>
      </c>
      <c r="N5461">
        <v>0</v>
      </c>
      <c r="O5461">
        <v>-3.7394750000000002E-4</v>
      </c>
      <c r="P5461">
        <v>0.9871122</v>
      </c>
      <c r="Q5461">
        <v>0.15960849999999999</v>
      </c>
      <c r="R5461">
        <v>1.160345E-2</v>
      </c>
      <c r="S5461">
        <v>3.0505070000000001</v>
      </c>
      <c r="T5461">
        <v>-0.1139159</v>
      </c>
      <c r="U5461">
        <v>0.58697509999999997</v>
      </c>
      <c r="V5461">
        <v>-1.194191E-2</v>
      </c>
      <c r="W5461">
        <v>0.16889460000000001</v>
      </c>
      <c r="X5461">
        <v>0.98556180000000004</v>
      </c>
      <c r="Y5461">
        <v>-0.18919250000000001</v>
      </c>
      <c r="Z5461">
        <v>3.5130750000000001E-3</v>
      </c>
      <c r="AA5461">
        <v>0.98193370000000002</v>
      </c>
      <c r="AB5461">
        <v>26</v>
      </c>
      <c r="AC5461">
        <v>29.581800000000001</v>
      </c>
      <c r="AD5461">
        <v>-1.1095441003169999</v>
      </c>
      <c r="AE5461">
        <v>5.7172400000000003</v>
      </c>
      <c r="AF5461">
        <v>-5.7205441116990796</v>
      </c>
      <c r="AG5461">
        <v>-1.1095441003169999</v>
      </c>
      <c r="AH5461">
        <v>29.5395992347127</v>
      </c>
      <c r="AI5461">
        <v>92.111889488829505</v>
      </c>
      <c r="AJ5461">
        <v>100.96004955428199</v>
      </c>
      <c r="AK5461">
        <v>30.108863080360301</v>
      </c>
      <c r="AL5461">
        <v>80.276445286725803</v>
      </c>
      <c r="AM5461">
        <v>90.694210713026493</v>
      </c>
      <c r="AN5461">
        <v>1.0000000283714201</v>
      </c>
    </row>
    <row r="5462" spans="1:40" x14ac:dyDescent="0.25">
      <c r="A5462" t="str">
        <f>"20190312173036842"</f>
        <v>20190312173036842</v>
      </c>
      <c r="B5462" t="str">
        <f>"1552383036832899"</f>
        <v>1552383036832899</v>
      </c>
      <c r="C5462" t="s">
        <v>40</v>
      </c>
      <c r="D5462">
        <v>3.3576450000000002</v>
      </c>
      <c r="E5462">
        <v>0.43451990000000001</v>
      </c>
      <c r="F5462" t="s">
        <v>41</v>
      </c>
      <c r="G5462">
        <v>-323.36079999999998</v>
      </c>
      <c r="H5462" s="1">
        <v>-4.0240330000000002E-6</v>
      </c>
      <c r="I5462">
        <v>23.018219999999999</v>
      </c>
      <c r="J5462">
        <v>-352.65140000000002</v>
      </c>
      <c r="K5462">
        <v>1.1095440000000001</v>
      </c>
      <c r="L5462">
        <v>17.379460000000002</v>
      </c>
      <c r="M5462">
        <v>0.9999557</v>
      </c>
      <c r="N5462">
        <v>0</v>
      </c>
      <c r="O5462">
        <v>-4.1411829999999999E-4</v>
      </c>
      <c r="P5462">
        <v>0.98707109999999998</v>
      </c>
      <c r="Q5462">
        <v>0.15988759999999999</v>
      </c>
      <c r="R5462">
        <v>1.1262110000000001E-2</v>
      </c>
      <c r="S5462">
        <v>3.0509029999999999</v>
      </c>
      <c r="T5462">
        <v>-0.115063</v>
      </c>
      <c r="U5462">
        <v>0.58474729999999997</v>
      </c>
      <c r="V5462">
        <v>-1.1640569999999999E-2</v>
      </c>
      <c r="W5462">
        <v>0.16917189999999999</v>
      </c>
      <c r="X5462">
        <v>0.9855178</v>
      </c>
      <c r="Y5462">
        <v>-0.1885146</v>
      </c>
      <c r="Z5462">
        <v>3.537049E-3</v>
      </c>
      <c r="AA5462">
        <v>0.98206400000000005</v>
      </c>
      <c r="AB5462">
        <v>26</v>
      </c>
      <c r="AC5462">
        <v>29.290600000000001</v>
      </c>
      <c r="AD5462">
        <v>-1.109548024033</v>
      </c>
      <c r="AE5462">
        <v>5.6387599999999898</v>
      </c>
      <c r="AF5462">
        <v>-5.6430816800489501</v>
      </c>
      <c r="AG5462">
        <v>-1.109548024033</v>
      </c>
      <c r="AH5462">
        <v>29.2477930635342</v>
      </c>
      <c r="AI5462">
        <v>92.133232521803393</v>
      </c>
      <c r="AJ5462">
        <v>100.920483067418</v>
      </c>
      <c r="AK5462">
        <v>29.807865853708101</v>
      </c>
      <c r="AL5462">
        <v>80.260324772374702</v>
      </c>
      <c r="AM5462">
        <v>90.676724984624798</v>
      </c>
      <c r="AN5462">
        <v>0.99999998436818704</v>
      </c>
    </row>
    <row r="5463" spans="1:40" x14ac:dyDescent="0.25">
      <c r="A5463" t="str">
        <f>"20190312173036854"</f>
        <v>20190312173036854</v>
      </c>
      <c r="B5463" t="str">
        <f>"1552383036842876"</f>
        <v>1552383036842876</v>
      </c>
      <c r="C5463" t="s">
        <v>40</v>
      </c>
      <c r="D5463">
        <v>3.3657339999999998</v>
      </c>
      <c r="E5463">
        <v>0.434556</v>
      </c>
      <c r="F5463" t="s">
        <v>41</v>
      </c>
      <c r="G5463">
        <v>-323.19029999999998</v>
      </c>
      <c r="H5463" s="1">
        <v>-4.0868630000000002E-6</v>
      </c>
      <c r="I5463">
        <v>23.00271</v>
      </c>
      <c r="J5463">
        <v>-352.52269999999999</v>
      </c>
      <c r="K5463">
        <v>1.1095440000000001</v>
      </c>
      <c r="L5463">
        <v>17.379359999999998</v>
      </c>
      <c r="M5463">
        <v>0.9999557</v>
      </c>
      <c r="N5463">
        <v>0</v>
      </c>
      <c r="O5463">
        <v>-4.542897E-4</v>
      </c>
      <c r="P5463">
        <v>0.98709290000000005</v>
      </c>
      <c r="Q5463">
        <v>0.15976089999999901</v>
      </c>
      <c r="R5463">
        <v>1.114853E-2</v>
      </c>
      <c r="S5463">
        <v>3.0512700000000001</v>
      </c>
      <c r="T5463">
        <v>-0.1149153</v>
      </c>
      <c r="U5463">
        <v>0.58239750000000001</v>
      </c>
      <c r="V5463">
        <v>-1.156658E-2</v>
      </c>
      <c r="W5463">
        <v>0.169045</v>
      </c>
      <c r="X5463">
        <v>0.98554039999999998</v>
      </c>
      <c r="Y5463">
        <v>-0.18780340000000001</v>
      </c>
      <c r="Z5463">
        <v>3.5205800000000002E-3</v>
      </c>
      <c r="AA5463">
        <v>0.98220030000000003</v>
      </c>
      <c r="AB5463">
        <v>26</v>
      </c>
      <c r="AC5463">
        <v>29.3324</v>
      </c>
      <c r="AD5463">
        <v>-1.1095480868629899</v>
      </c>
      <c r="AE5463">
        <v>5.6233499999999896</v>
      </c>
      <c r="AF5463">
        <v>-5.6289067626266203</v>
      </c>
      <c r="AG5463">
        <v>-1.1095480868629899</v>
      </c>
      <c r="AH5463">
        <v>29.289418867632701</v>
      </c>
      <c r="AI5463">
        <v>92.130503331278504</v>
      </c>
      <c r="AJ5463">
        <v>100.87859655021499</v>
      </c>
      <c r="AK5463">
        <v>29.846034006263601</v>
      </c>
      <c r="AL5463">
        <v>80.267701409066404</v>
      </c>
      <c r="AM5463">
        <v>90.672408551019203</v>
      </c>
      <c r="AN5463">
        <v>0.99999993891502603</v>
      </c>
    </row>
    <row r="5464" spans="1:40" x14ac:dyDescent="0.25">
      <c r="A5464" t="str">
        <f>"20190312173036868"</f>
        <v>20190312173036868</v>
      </c>
      <c r="B5464" t="str">
        <f>"1552383036863371"</f>
        <v>1552383036863371</v>
      </c>
      <c r="C5464" t="s">
        <v>40</v>
      </c>
      <c r="D5464">
        <v>3.4376950000000002</v>
      </c>
      <c r="E5464">
        <v>0.433645</v>
      </c>
      <c r="F5464" t="s">
        <v>41</v>
      </c>
      <c r="G5464">
        <v>-323.37040000000002</v>
      </c>
      <c r="H5464" s="1">
        <v>-3.997789E-6</v>
      </c>
      <c r="I5464">
        <v>22.936630000000001</v>
      </c>
      <c r="J5464">
        <v>-352.37569999999999</v>
      </c>
      <c r="K5464">
        <v>1.1095440000000001</v>
      </c>
      <c r="L5464">
        <v>17.37921</v>
      </c>
      <c r="M5464">
        <v>0.99995560000000006</v>
      </c>
      <c r="N5464">
        <v>0</v>
      </c>
      <c r="O5464">
        <v>-4.9994449999999995E-4</v>
      </c>
      <c r="P5464">
        <v>0.98708379999999996</v>
      </c>
      <c r="Q5464">
        <v>0.15984400000000001</v>
      </c>
      <c r="R5464">
        <v>1.0752930000000001E-2</v>
      </c>
      <c r="S5464">
        <v>3.051453</v>
      </c>
      <c r="T5464">
        <v>-0.11613950000000001</v>
      </c>
      <c r="U5464">
        <v>0.58169559999999998</v>
      </c>
      <c r="V5464">
        <v>-1.121631E-2</v>
      </c>
      <c r="W5464">
        <v>0.16912729999999901</v>
      </c>
      <c r="X5464">
        <v>0.98553040000000003</v>
      </c>
      <c r="Y5464">
        <v>-0.1876167</v>
      </c>
      <c r="Z5464">
        <v>3.5561289999999999E-3</v>
      </c>
      <c r="AA5464">
        <v>0.98223590000000005</v>
      </c>
      <c r="AB5464">
        <v>26</v>
      </c>
      <c r="AC5464">
        <v>29.005299999999899</v>
      </c>
      <c r="AD5464">
        <v>-1.1095479977889999</v>
      </c>
      <c r="AE5464">
        <v>5.5574199999999898</v>
      </c>
      <c r="AF5464">
        <v>-5.5640673241079597</v>
      </c>
      <c r="AG5464">
        <v>-1.1095479977889999</v>
      </c>
      <c r="AH5464">
        <v>28.961638588214399</v>
      </c>
      <c r="AI5464">
        <v>92.154618465007999</v>
      </c>
      <c r="AJ5464">
        <v>100.87507480693</v>
      </c>
      <c r="AK5464">
        <v>29.512140750222599</v>
      </c>
      <c r="AL5464">
        <v>80.262917769568006</v>
      </c>
      <c r="AM5464">
        <v>90.652054447195596</v>
      </c>
      <c r="AN5464">
        <v>1.0000000092697301</v>
      </c>
    </row>
    <row r="5465" spans="1:40" x14ac:dyDescent="0.25">
      <c r="A5465" t="str">
        <f>"20190312173036886"</f>
        <v>20190312173036886</v>
      </c>
      <c r="B5465" t="str">
        <f>"1552383036882891"</f>
        <v>1552383036882891</v>
      </c>
      <c r="C5465" t="s">
        <v>40</v>
      </c>
      <c r="D5465">
        <v>3.4517359999999999</v>
      </c>
      <c r="E5465">
        <v>0.4104334</v>
      </c>
      <c r="F5465" t="s">
        <v>41</v>
      </c>
      <c r="G5465">
        <v>-323.26060000000001</v>
      </c>
      <c r="H5465" s="1">
        <v>-4.0568059999999996E-6</v>
      </c>
      <c r="I5465">
        <v>22.985489999999999</v>
      </c>
      <c r="J5465">
        <v>-352.15390000000002</v>
      </c>
      <c r="K5465">
        <v>1.1095440000000001</v>
      </c>
      <c r="L5465">
        <v>17.379059999999999</v>
      </c>
      <c r="M5465">
        <v>0.9999557</v>
      </c>
      <c r="N5465">
        <v>0</v>
      </c>
      <c r="O5465">
        <v>-5.6908239999999997E-4</v>
      </c>
      <c r="P5465">
        <v>0.98711380000000004</v>
      </c>
      <c r="Q5465">
        <v>0.1596796</v>
      </c>
      <c r="R5465">
        <v>1.043728E-2</v>
      </c>
      <c r="S5465">
        <v>3.051666</v>
      </c>
      <c r="T5465">
        <v>-0.1162961</v>
      </c>
      <c r="U5465">
        <v>0.58761600000000003</v>
      </c>
      <c r="V5465">
        <v>-1.096803E-2</v>
      </c>
      <c r="W5465">
        <v>0.1689628</v>
      </c>
      <c r="X5465">
        <v>0.98556140000000003</v>
      </c>
      <c r="Y5465">
        <v>-0.18950810000000001</v>
      </c>
      <c r="Z5465">
        <v>3.5983399999999998E-3</v>
      </c>
      <c r="AA5465">
        <v>0.98187259999999998</v>
      </c>
      <c r="AB5465">
        <v>26</v>
      </c>
      <c r="AC5465">
        <v>28.8933</v>
      </c>
      <c r="AD5465">
        <v>-1.1095480568060001</v>
      </c>
      <c r="AE5465">
        <v>5.6064299999999996</v>
      </c>
      <c r="AF5465">
        <v>-5.6148927595314504</v>
      </c>
      <c r="AG5465">
        <v>-1.1095480568060001</v>
      </c>
      <c r="AH5465">
        <v>28.849105126938099</v>
      </c>
      <c r="AI5465">
        <v>92.162003970804093</v>
      </c>
      <c r="AJ5465">
        <v>101.013768323514</v>
      </c>
      <c r="AK5465">
        <v>29.411375082041399</v>
      </c>
      <c r="AL5465">
        <v>80.272480451891795</v>
      </c>
      <c r="AM5465">
        <v>90.637601967283203</v>
      </c>
      <c r="AN5465">
        <v>0.99999999931794004</v>
      </c>
    </row>
    <row r="5466" spans="1:40" x14ac:dyDescent="0.25">
      <c r="A5466" t="str">
        <f>"20190312173036899"</f>
        <v>20190312173036899</v>
      </c>
      <c r="B5466" t="str">
        <f>"1552383036893627"</f>
        <v>1552383036893627</v>
      </c>
      <c r="C5466" t="s">
        <v>40</v>
      </c>
      <c r="D5466">
        <v>3.4721660000000001</v>
      </c>
      <c r="E5466">
        <v>0.41060180000000002</v>
      </c>
      <c r="F5466" t="s">
        <v>43</v>
      </c>
      <c r="G5466">
        <v>-316.6155</v>
      </c>
      <c r="H5466">
        <v>-0.05</v>
      </c>
      <c r="I5466">
        <v>26.375330000000002</v>
      </c>
      <c r="J5466">
        <v>-351.9982</v>
      </c>
      <c r="K5466">
        <v>1.1095440000000001</v>
      </c>
      <c r="L5466">
        <v>17.37894</v>
      </c>
      <c r="M5466">
        <v>0.99995560000000006</v>
      </c>
      <c r="N5466">
        <v>0</v>
      </c>
      <c r="O5466">
        <v>-6.1735960000000004E-4</v>
      </c>
      <c r="P5466">
        <v>0.98710529999999996</v>
      </c>
      <c r="Q5466">
        <v>0.15974769999999999</v>
      </c>
      <c r="R5466">
        <v>1.0187979999999999E-2</v>
      </c>
      <c r="S5466">
        <v>3.0470280000000001</v>
      </c>
      <c r="T5466">
        <v>-9.9418039999999999E-2</v>
      </c>
      <c r="U5466">
        <v>0.77133180000000001</v>
      </c>
      <c r="V5466">
        <v>-1.076629E-2</v>
      </c>
      <c r="W5466">
        <v>0.1690305</v>
      </c>
      <c r="X5466">
        <v>0.98555199999999998</v>
      </c>
      <c r="Y5466">
        <v>-0.24587680000000001</v>
      </c>
      <c r="Z5466">
        <v>3.9677619999999997E-3</v>
      </c>
      <c r="AA5466">
        <v>0.96929290000000001</v>
      </c>
      <c r="AB5466">
        <v>26</v>
      </c>
      <c r="AC5466">
        <v>35.3827</v>
      </c>
      <c r="AD5466">
        <v>-1.1595439999999999</v>
      </c>
      <c r="AE5466">
        <v>8.9963899999999892</v>
      </c>
      <c r="AF5466">
        <v>-9.0091450635795702</v>
      </c>
      <c r="AG5466">
        <v>-1.1595439999999999</v>
      </c>
      <c r="AH5466">
        <v>35.341488033932599</v>
      </c>
      <c r="AI5466">
        <v>91.820989753924394</v>
      </c>
      <c r="AJ5466">
        <v>104.301084972269</v>
      </c>
      <c r="AK5466">
        <v>36.4901358385682</v>
      </c>
      <c r="AL5466">
        <v>80.268544769094902</v>
      </c>
      <c r="AM5466">
        <v>90.625881172880199</v>
      </c>
      <c r="AN5466">
        <v>0.99999998381730604</v>
      </c>
    </row>
    <row r="5467" spans="1:40" x14ac:dyDescent="0.25">
      <c r="A5467" t="str">
        <f>"20190312173036910"</f>
        <v>20190312173036910</v>
      </c>
      <c r="B5467" t="str">
        <f>"1552383036903387"</f>
        <v>1552383036903387</v>
      </c>
      <c r="C5467" t="s">
        <v>40</v>
      </c>
      <c r="D5467">
        <v>3.485611</v>
      </c>
      <c r="E5467">
        <v>0.410412</v>
      </c>
      <c r="F5467" t="s">
        <v>43</v>
      </c>
      <c r="G5467">
        <v>-317.2296</v>
      </c>
      <c r="H5467">
        <v>-0.05</v>
      </c>
      <c r="I5467">
        <v>26.156110000000002</v>
      </c>
      <c r="J5467">
        <v>-351.87830000000002</v>
      </c>
      <c r="K5467">
        <v>1.1095429999999999</v>
      </c>
      <c r="L5467">
        <v>17.378810000000001</v>
      </c>
      <c r="M5467">
        <v>0.99995560000000006</v>
      </c>
      <c r="N5467">
        <v>0</v>
      </c>
      <c r="O5467">
        <v>-6.5455159999999995E-4</v>
      </c>
      <c r="P5467">
        <v>0.98712820000000001</v>
      </c>
      <c r="Q5467">
        <v>0.159608</v>
      </c>
      <c r="R5467">
        <v>1.0163510000000001E-2</v>
      </c>
      <c r="S5467">
        <v>3.0476990000000002</v>
      </c>
      <c r="T5467">
        <v>-0.10164189999999999</v>
      </c>
      <c r="U5467">
        <v>0.76937869999999997</v>
      </c>
      <c r="V5467">
        <v>-1.0779240000000001E-2</v>
      </c>
      <c r="W5467">
        <v>0.16889089999999901</v>
      </c>
      <c r="X5467">
        <v>0.9855758</v>
      </c>
      <c r="Y5467">
        <v>-0.24527289999999999</v>
      </c>
      <c r="Z5467">
        <v>4.0472260000000001E-3</v>
      </c>
      <c r="AA5467">
        <v>0.96944560000000002</v>
      </c>
      <c r="AB5467">
        <v>26</v>
      </c>
      <c r="AC5467">
        <v>34.648699999999998</v>
      </c>
      <c r="AD5467">
        <v>-1.159543</v>
      </c>
      <c r="AE5467">
        <v>8.7773000000000003</v>
      </c>
      <c r="AF5467">
        <v>-8.7907269732568096</v>
      </c>
      <c r="AG5467">
        <v>-1.159543</v>
      </c>
      <c r="AH5467">
        <v>34.606526630466398</v>
      </c>
      <c r="AI5467">
        <v>91.860033532511906</v>
      </c>
      <c r="AJ5467">
        <v>104.252782199354</v>
      </c>
      <c r="AK5467">
        <v>35.724404909142699</v>
      </c>
      <c r="AL5467">
        <v>80.276660021989002</v>
      </c>
      <c r="AM5467">
        <v>90.626618809620794</v>
      </c>
      <c r="AN5467">
        <v>0.99999999283171304</v>
      </c>
    </row>
    <row r="5468" spans="1:40" x14ac:dyDescent="0.25">
      <c r="A5468" t="str">
        <f>"20190312173036920"</f>
        <v>20190312173036920</v>
      </c>
      <c r="B5468" t="str">
        <f>"1552383036913147"</f>
        <v>1552383036913147</v>
      </c>
      <c r="C5468" t="s">
        <v>40</v>
      </c>
      <c r="D5468">
        <v>3.4876360000000002</v>
      </c>
      <c r="E5468">
        <v>0.41030630000000001</v>
      </c>
      <c r="F5468" t="s">
        <v>43</v>
      </c>
      <c r="G5468">
        <v>-318.21730000000002</v>
      </c>
      <c r="H5468">
        <v>-0.05</v>
      </c>
      <c r="I5468">
        <v>25.891649999999998</v>
      </c>
      <c r="J5468">
        <v>-351.7482</v>
      </c>
      <c r="K5468">
        <v>1.10954</v>
      </c>
      <c r="L5468">
        <v>17.37866</v>
      </c>
      <c r="M5468">
        <v>0.9999555</v>
      </c>
      <c r="N5468">
        <v>0</v>
      </c>
      <c r="O5468">
        <v>-6.9508169999999998E-4</v>
      </c>
      <c r="P5468">
        <v>0.98711389999999999</v>
      </c>
      <c r="Q5468">
        <v>0.15970279999999901</v>
      </c>
      <c r="R5468">
        <v>1.0059830000000001E-2</v>
      </c>
      <c r="S5468">
        <v>3.0481569999999998</v>
      </c>
      <c r="T5468">
        <v>-0.1050017</v>
      </c>
      <c r="U5468">
        <v>0.77087399999999995</v>
      </c>
      <c r="V5468">
        <v>-1.071515E-2</v>
      </c>
      <c r="W5468">
        <v>0.16898529999999901</v>
      </c>
      <c r="X5468">
        <v>0.98556029999999994</v>
      </c>
      <c r="Y5468">
        <v>-0.24571589999999999</v>
      </c>
      <c r="Z5468">
        <v>4.1889609999999997E-3</v>
      </c>
      <c r="AA5468">
        <v>0.96933290000000005</v>
      </c>
      <c r="AB5468">
        <v>26</v>
      </c>
      <c r="AC5468">
        <v>33.530899999999903</v>
      </c>
      <c r="AD5468">
        <v>-1.15954</v>
      </c>
      <c r="AE5468">
        <v>8.5129899999999896</v>
      </c>
      <c r="AF5468">
        <v>-8.5267163734936595</v>
      </c>
      <c r="AG5468">
        <v>-1.15954</v>
      </c>
      <c r="AH5468">
        <v>33.487353137720298</v>
      </c>
      <c r="AI5468">
        <v>91.921868611437105</v>
      </c>
      <c r="AJ5468">
        <v>104.285374462286</v>
      </c>
      <c r="AK5468">
        <v>34.5753126565182</v>
      </c>
      <c r="AL5468">
        <v>80.271172254985302</v>
      </c>
      <c r="AM5468">
        <v>90.622903219525298</v>
      </c>
      <c r="AN5468">
        <v>0.99999997549584996</v>
      </c>
    </row>
    <row r="5469" spans="1:40" x14ac:dyDescent="0.25">
      <c r="A5469" t="str">
        <f>"20190312173036931"</f>
        <v>20190312173036931</v>
      </c>
      <c r="B5469" t="str">
        <f>"1552383036922907"</f>
        <v>1552383036922907</v>
      </c>
      <c r="C5469" t="s">
        <v>40</v>
      </c>
      <c r="D5469">
        <v>3.4653800000000001</v>
      </c>
      <c r="E5469">
        <v>0.41029949999999998</v>
      </c>
      <c r="F5469" t="s">
        <v>43</v>
      </c>
      <c r="G5469">
        <v>-318.43509999999998</v>
      </c>
      <c r="H5469">
        <v>-0.05</v>
      </c>
      <c r="I5469">
        <v>25.8081</v>
      </c>
      <c r="J5469">
        <v>-351.62990000000002</v>
      </c>
      <c r="K5469">
        <v>1.10954</v>
      </c>
      <c r="L5469">
        <v>17.37857</v>
      </c>
      <c r="M5469">
        <v>0.9999555</v>
      </c>
      <c r="N5469">
        <v>0</v>
      </c>
      <c r="O5469">
        <v>-7.3167779999999997E-4</v>
      </c>
      <c r="P5469">
        <v>0.98714519999999994</v>
      </c>
      <c r="Q5469">
        <v>0.15951979999999999</v>
      </c>
      <c r="R5469">
        <v>9.9029389999999995E-3</v>
      </c>
      <c r="S5469">
        <v>3.0484309999999999</v>
      </c>
      <c r="T5469">
        <v>-0.10610749999999999</v>
      </c>
      <c r="U5469">
        <v>0.77136229999999995</v>
      </c>
      <c r="V5469">
        <v>-1.059471E-2</v>
      </c>
      <c r="W5469">
        <v>0.16880209999999901</v>
      </c>
      <c r="X5469">
        <v>0.98559300000000005</v>
      </c>
      <c r="Y5469">
        <v>-0.24587349999999999</v>
      </c>
      <c r="Z5469">
        <v>4.2365529999999997E-3</v>
      </c>
      <c r="AA5469">
        <v>0.96929259999999995</v>
      </c>
      <c r="AB5469">
        <v>26</v>
      </c>
      <c r="AC5469">
        <v>33.194800000000001</v>
      </c>
      <c r="AD5469">
        <v>-1.15954</v>
      </c>
      <c r="AE5469">
        <v>8.4295299999999997</v>
      </c>
      <c r="AF5469">
        <v>-8.4441373564856494</v>
      </c>
      <c r="AG5469">
        <v>-1.15954</v>
      </c>
      <c r="AH5469">
        <v>33.150623190619299</v>
      </c>
      <c r="AI5469">
        <v>91.941331037498998</v>
      </c>
      <c r="AJ5469">
        <v>104.29050474394499</v>
      </c>
      <c r="AK5469">
        <v>34.228815443033099</v>
      </c>
      <c r="AL5469">
        <v>80.281821867790697</v>
      </c>
      <c r="AM5469">
        <v>90.615881797285198</v>
      </c>
      <c r="AN5469">
        <v>0.99999997924669604</v>
      </c>
    </row>
    <row r="5470" spans="1:40" x14ac:dyDescent="0.25">
      <c r="A5470" t="str">
        <f>"20190312173036940"</f>
        <v>20190312173036940</v>
      </c>
      <c r="B5470" t="str">
        <f>"1552383036933643"</f>
        <v>1552383036933643</v>
      </c>
      <c r="C5470" t="s">
        <v>40</v>
      </c>
      <c r="D5470">
        <v>3.4758010000000001</v>
      </c>
      <c r="E5470">
        <v>0.41019990000000001</v>
      </c>
      <c r="F5470" t="s">
        <v>41</v>
      </c>
      <c r="G5470">
        <v>-320.45609999999999</v>
      </c>
      <c r="H5470" s="1">
        <v>-5.537164E-6</v>
      </c>
      <c r="I5470">
        <v>25.259699999999999</v>
      </c>
      <c r="J5470">
        <v>-351.51139999999998</v>
      </c>
      <c r="K5470">
        <v>1.1095389999999901</v>
      </c>
      <c r="L5470">
        <v>17.378419999999998</v>
      </c>
      <c r="M5470">
        <v>0.9999555</v>
      </c>
      <c r="N5470">
        <v>0</v>
      </c>
      <c r="O5470">
        <v>-7.6863159999999997E-4</v>
      </c>
      <c r="P5470">
        <v>0.98715059999999999</v>
      </c>
      <c r="Q5470">
        <v>0.15948870000000001</v>
      </c>
      <c r="R5470">
        <v>9.8676730000000004E-3</v>
      </c>
      <c r="S5470">
        <v>3.0488279999999999</v>
      </c>
      <c r="T5470">
        <v>-0.10851470000000001</v>
      </c>
      <c r="U5470">
        <v>0.77078250000000004</v>
      </c>
      <c r="V5470">
        <v>-1.059571E-2</v>
      </c>
      <c r="W5470">
        <v>0.16877059999999999</v>
      </c>
      <c r="X5470">
        <v>0.98559839999999999</v>
      </c>
      <c r="Y5470">
        <v>-0.2456998</v>
      </c>
      <c r="Z5470">
        <v>4.3304119999999996E-3</v>
      </c>
      <c r="AA5470">
        <v>0.96933630000000004</v>
      </c>
      <c r="AB5470">
        <v>26</v>
      </c>
      <c r="AC5470">
        <v>31.0552999999999</v>
      </c>
      <c r="AD5470">
        <v>-1.10954453716399</v>
      </c>
      <c r="AE5470">
        <v>7.8812799999999896</v>
      </c>
      <c r="AF5470">
        <v>-7.8956798907160097</v>
      </c>
      <c r="AG5470">
        <v>-1.10954453716399</v>
      </c>
      <c r="AH5470">
        <v>31.0120414601096</v>
      </c>
      <c r="AI5470">
        <v>91.985750572854599</v>
      </c>
      <c r="AJ5470">
        <v>104.284055275131</v>
      </c>
      <c r="AK5470">
        <v>32.0206115734875</v>
      </c>
      <c r="AL5470">
        <v>80.283653113510098</v>
      </c>
      <c r="AM5470">
        <v>90.615936549457501</v>
      </c>
      <c r="AN5470">
        <v>0.99999999528866101</v>
      </c>
    </row>
    <row r="5471" spans="1:40" x14ac:dyDescent="0.25">
      <c r="A5471" t="str">
        <f>"20190312173036952"</f>
        <v>20190312173036952</v>
      </c>
      <c r="B5471" t="str">
        <f>"1552383036942935"</f>
        <v>1552383036942935</v>
      </c>
      <c r="C5471" t="s">
        <v>40</v>
      </c>
      <c r="D5471">
        <v>3.489808</v>
      </c>
      <c r="E5471">
        <v>0.41018700000000002</v>
      </c>
      <c r="F5471" t="s">
        <v>41</v>
      </c>
      <c r="G5471">
        <v>-320.27440000000001</v>
      </c>
      <c r="H5471" s="1">
        <v>-5.6111770000000002E-6</v>
      </c>
      <c r="I5471">
        <v>25.28342</v>
      </c>
      <c r="J5471">
        <v>-351.37580000000003</v>
      </c>
      <c r="K5471">
        <v>1.109537</v>
      </c>
      <c r="L5471">
        <v>17.378270000000001</v>
      </c>
      <c r="M5471">
        <v>0.99995540000000005</v>
      </c>
      <c r="N5471">
        <v>0</v>
      </c>
      <c r="O5471">
        <v>-8.1059269999999998E-4</v>
      </c>
      <c r="P5471">
        <v>0.98715869999999994</v>
      </c>
      <c r="Q5471">
        <v>0.15944510000000001</v>
      </c>
      <c r="R5471">
        <v>9.7532460000000001E-3</v>
      </c>
      <c r="S5471">
        <v>3.0487980000000001</v>
      </c>
      <c r="T5471">
        <v>-0.108293899999999</v>
      </c>
      <c r="U5471">
        <v>0.77154540000000005</v>
      </c>
      <c r="V5471">
        <v>-1.052294E-2</v>
      </c>
      <c r="W5471">
        <v>0.16872679999999901</v>
      </c>
      <c r="X5471">
        <v>0.98560669999999995</v>
      </c>
      <c r="Y5471">
        <v>-0.2459711</v>
      </c>
      <c r="Z5471">
        <v>4.3277289999999998E-3</v>
      </c>
      <c r="AA5471">
        <v>0.96926749999999995</v>
      </c>
      <c r="AB5471">
        <v>26</v>
      </c>
      <c r="AC5471">
        <v>31.101400000000002</v>
      </c>
      <c r="AD5471">
        <v>-1.1095426111769999</v>
      </c>
      <c r="AE5471">
        <v>7.9051499999999901</v>
      </c>
      <c r="AF5471">
        <v>-7.9208898729422597</v>
      </c>
      <c r="AG5471">
        <v>-1.1095426111769999</v>
      </c>
      <c r="AH5471">
        <v>31.057852801694199</v>
      </c>
      <c r="AI5471">
        <v>91.9826136628174</v>
      </c>
      <c r="AJ5471">
        <v>104.307522018282</v>
      </c>
      <c r="AK5471">
        <v>32.071198946048199</v>
      </c>
      <c r="AL5471">
        <v>80.286199386598398</v>
      </c>
      <c r="AM5471">
        <v>90.611701546546399</v>
      </c>
      <c r="AN5471">
        <v>1.00000001619468</v>
      </c>
    </row>
    <row r="5472" spans="1:40" x14ac:dyDescent="0.25">
      <c r="A5472" t="str">
        <f>"20190312173036964"</f>
        <v>20190312173036964</v>
      </c>
      <c r="B5472" t="str">
        <f>"1552383036953672"</f>
        <v>1552383036953672</v>
      </c>
      <c r="C5472" t="s">
        <v>40</v>
      </c>
      <c r="D5472">
        <v>3.4529909999999999</v>
      </c>
      <c r="E5472">
        <v>0.41000049999999999</v>
      </c>
      <c r="F5472" t="s">
        <v>41</v>
      </c>
      <c r="G5472">
        <v>-320.14859999999999</v>
      </c>
      <c r="H5472" s="1">
        <v>-5.6582309999999899E-6</v>
      </c>
      <c r="I5472">
        <v>25.27647</v>
      </c>
      <c r="J5472">
        <v>-351.25080000000003</v>
      </c>
      <c r="K5472">
        <v>1.1095360000000001</v>
      </c>
      <c r="L5472">
        <v>17.37811</v>
      </c>
      <c r="M5472">
        <v>0.9999555</v>
      </c>
      <c r="N5472">
        <v>0</v>
      </c>
      <c r="O5472">
        <v>-8.4957380000000001E-4</v>
      </c>
      <c r="P5472">
        <v>0.98714659999999999</v>
      </c>
      <c r="Q5472">
        <v>0.15955150000000001</v>
      </c>
      <c r="R5472">
        <v>9.2255549999999999E-3</v>
      </c>
      <c r="S5472">
        <v>3.048889</v>
      </c>
      <c r="T5472">
        <v>-0.1083312</v>
      </c>
      <c r="U5472">
        <v>0.77114869999999902</v>
      </c>
      <c r="V5472">
        <v>-1.0033520000000001E-2</v>
      </c>
      <c r="W5472">
        <v>0.16883310000000001</v>
      </c>
      <c r="X5472">
        <v>0.98559359999999996</v>
      </c>
      <c r="Y5472">
        <v>-0.2458834</v>
      </c>
      <c r="Z5472">
        <v>4.3289899999999996E-3</v>
      </c>
      <c r="AA5472">
        <v>0.96928979999999998</v>
      </c>
      <c r="AB5472">
        <v>26</v>
      </c>
      <c r="AC5472">
        <v>31.1022</v>
      </c>
      <c r="AD5472">
        <v>-1.109541658231</v>
      </c>
      <c r="AE5472">
        <v>7.8983600000000003</v>
      </c>
      <c r="AF5472">
        <v>-7.9153188636968004</v>
      </c>
      <c r="AG5472">
        <v>-1.109541658231</v>
      </c>
      <c r="AH5472">
        <v>31.058346797990399</v>
      </c>
      <c r="AI5472">
        <v>91.982667440228795</v>
      </c>
      <c r="AJ5472">
        <v>104.297653728481</v>
      </c>
      <c r="AK5472">
        <v>32.0703018574753</v>
      </c>
      <c r="AL5472">
        <v>80.280020193013698</v>
      </c>
      <c r="AM5472">
        <v>90.583261185461495</v>
      </c>
      <c r="AN5472">
        <v>1.0000000157700799</v>
      </c>
    </row>
    <row r="5473" spans="1:40" x14ac:dyDescent="0.25">
      <c r="A5473" t="str">
        <f>"20190312173036974"</f>
        <v>20190312173036974</v>
      </c>
      <c r="B5473" t="str">
        <f>"1552383036963432"</f>
        <v>1552383036963432</v>
      </c>
      <c r="C5473" t="s">
        <v>40</v>
      </c>
      <c r="D5473">
        <v>3.5249060000000001</v>
      </c>
      <c r="E5473">
        <v>0.40987760000000001</v>
      </c>
      <c r="F5473" t="s">
        <v>43</v>
      </c>
      <c r="G5473">
        <v>-318.11290000000002</v>
      </c>
      <c r="H5473">
        <v>-0.05</v>
      </c>
      <c r="I5473">
        <v>25.75704</v>
      </c>
      <c r="J5473">
        <v>-351.12040000000002</v>
      </c>
      <c r="K5473">
        <v>1.1095389999999901</v>
      </c>
      <c r="L5473">
        <v>17.37799</v>
      </c>
      <c r="M5473">
        <v>0.99995529999999999</v>
      </c>
      <c r="N5473">
        <v>0</v>
      </c>
      <c r="O5473">
        <v>-8.8986700000000002E-4</v>
      </c>
      <c r="P5473">
        <v>0.98716099999999996</v>
      </c>
      <c r="Q5473">
        <v>0.1594814</v>
      </c>
      <c r="R5473">
        <v>8.8816060000000002E-3</v>
      </c>
      <c r="S5473">
        <v>3.0491030000000001</v>
      </c>
      <c r="T5473">
        <v>-0.106692</v>
      </c>
      <c r="U5473">
        <v>0.77096560000000003</v>
      </c>
      <c r="V5473">
        <v>-9.7290910000000005E-3</v>
      </c>
      <c r="W5473">
        <v>0.16876250000000001</v>
      </c>
      <c r="X5473">
        <v>0.9856087</v>
      </c>
      <c r="Y5473">
        <v>-0.24585589999999999</v>
      </c>
      <c r="Z5473">
        <v>4.2641800000000002E-3</v>
      </c>
      <c r="AA5473">
        <v>0.96929699999999996</v>
      </c>
      <c r="AB5473">
        <v>26</v>
      </c>
      <c r="AC5473">
        <v>33.007499999999901</v>
      </c>
      <c r="AD5473">
        <v>-1.1595390000000001</v>
      </c>
      <c r="AE5473">
        <v>8.3790499999999994</v>
      </c>
      <c r="AF5473">
        <v>-8.3986830496835108</v>
      </c>
      <c r="AG5473">
        <v>-1.1595390000000001</v>
      </c>
      <c r="AH5473">
        <v>32.961815271972299</v>
      </c>
      <c r="AI5473">
        <v>91.952403507037701</v>
      </c>
      <c r="AJ5473">
        <v>104.294812246704</v>
      </c>
      <c r="AK5473">
        <v>34.034742156878302</v>
      </c>
      <c r="AL5473">
        <v>80.284123745171399</v>
      </c>
      <c r="AM5473">
        <v>90.5655568466631</v>
      </c>
      <c r="AN5473">
        <v>0.99999997306681199</v>
      </c>
    </row>
    <row r="5474" spans="1:40" x14ac:dyDescent="0.25">
      <c r="A5474" t="str">
        <f>"20190312173036987"</f>
        <v>20190312173036987</v>
      </c>
      <c r="B5474" t="str">
        <f>"1552383036982951"</f>
        <v>1552383036982951</v>
      </c>
      <c r="C5474" t="s">
        <v>40</v>
      </c>
      <c r="D5474">
        <v>3.490224</v>
      </c>
      <c r="E5474">
        <v>0.4097693</v>
      </c>
      <c r="F5474" t="s">
        <v>43</v>
      </c>
      <c r="G5474">
        <v>-317.9307</v>
      </c>
      <c r="H5474">
        <v>-0.05</v>
      </c>
      <c r="I5474">
        <v>25.76718</v>
      </c>
      <c r="J5474">
        <v>-350.9683</v>
      </c>
      <c r="K5474">
        <v>1.10954</v>
      </c>
      <c r="L5474">
        <v>17.377779999999898</v>
      </c>
      <c r="M5474">
        <v>0.99995540000000005</v>
      </c>
      <c r="N5474">
        <v>0</v>
      </c>
      <c r="O5474">
        <v>-9.3719340000000004E-4</v>
      </c>
      <c r="P5474">
        <v>0.9871588</v>
      </c>
      <c r="Q5474">
        <v>0.1595249</v>
      </c>
      <c r="R5474">
        <v>8.3449930000000002E-3</v>
      </c>
      <c r="S5474">
        <v>3.0492859999999999</v>
      </c>
      <c r="T5474">
        <v>-0.1065321</v>
      </c>
      <c r="U5474">
        <v>0.77075199999999999</v>
      </c>
      <c r="V5474">
        <v>-9.2393079999999999E-3</v>
      </c>
      <c r="W5474">
        <v>0.16880629999999999</v>
      </c>
      <c r="X5474">
        <v>0.98560599999999998</v>
      </c>
      <c r="Y5474">
        <v>-0.2458246</v>
      </c>
      <c r="Z5474">
        <v>4.25867E-3</v>
      </c>
      <c r="AA5474">
        <v>0.96930499999999997</v>
      </c>
      <c r="AB5474">
        <v>26</v>
      </c>
      <c r="AC5474">
        <v>33.037599999999998</v>
      </c>
      <c r="AD5474">
        <v>-1.15954</v>
      </c>
      <c r="AE5474">
        <v>8.3894000000000002</v>
      </c>
      <c r="AF5474">
        <v>-8.4106273605180792</v>
      </c>
      <c r="AG5474">
        <v>-1.15954</v>
      </c>
      <c r="AH5474">
        <v>32.991544190404703</v>
      </c>
      <c r="AI5474">
        <v>91.950585444938099</v>
      </c>
      <c r="AJ5474">
        <v>104.301937607456</v>
      </c>
      <c r="AK5474">
        <v>34.066481674462999</v>
      </c>
      <c r="AL5474">
        <v>80.281578509267007</v>
      </c>
      <c r="AM5474">
        <v>90.537088703158901</v>
      </c>
      <c r="AN5474">
        <v>1.0000000594839999</v>
      </c>
    </row>
    <row r="5475" spans="1:40" x14ac:dyDescent="0.25">
      <c r="A5475" t="str">
        <f>"20190312173037009"</f>
        <v>20190312173037009</v>
      </c>
      <c r="B5475" t="str">
        <f>"1552383037003447"</f>
        <v>1552383037003447</v>
      </c>
      <c r="C5475" t="s">
        <v>40</v>
      </c>
      <c r="D5475">
        <v>3.4957590000000001</v>
      </c>
      <c r="E5475">
        <v>0.40946270000000001</v>
      </c>
      <c r="F5475" t="s">
        <v>43</v>
      </c>
      <c r="G5475">
        <v>-317.80169999999998</v>
      </c>
      <c r="H5475">
        <v>-0.05</v>
      </c>
      <c r="I5475">
        <v>25.75421</v>
      </c>
      <c r="J5475">
        <v>-350.72489999999999</v>
      </c>
      <c r="K5475">
        <v>1.109537</v>
      </c>
      <c r="L5475">
        <v>17.377469999999999</v>
      </c>
      <c r="M5475">
        <v>0.99995540000000005</v>
      </c>
      <c r="N5475">
        <v>0</v>
      </c>
      <c r="O5475">
        <v>-1.012771E-3</v>
      </c>
      <c r="P5475">
        <v>0.98716470000000001</v>
      </c>
      <c r="Q5475">
        <v>0.15955839999999999</v>
      </c>
      <c r="R5475">
        <v>6.8816379999999998E-3</v>
      </c>
      <c r="S5475">
        <v>3.049744</v>
      </c>
      <c r="T5475">
        <v>-0.1066225</v>
      </c>
      <c r="U5475">
        <v>0.77023319999999995</v>
      </c>
      <c r="V5475">
        <v>-7.8504830000000001E-3</v>
      </c>
      <c r="W5475">
        <v>0.16883919999999999</v>
      </c>
      <c r="X5475">
        <v>0.9856123</v>
      </c>
      <c r="Y5475">
        <v>-0.24570810000000001</v>
      </c>
      <c r="Z5475">
        <v>4.2623449999999998E-3</v>
      </c>
      <c r="AA5475">
        <v>0.96933449999999999</v>
      </c>
      <c r="AB5475">
        <v>26</v>
      </c>
      <c r="AC5475">
        <v>32.923200000000001</v>
      </c>
      <c r="AD5475">
        <v>-1.159537</v>
      </c>
      <c r="AE5475">
        <v>8.3767399999999892</v>
      </c>
      <c r="AF5475">
        <v>-8.4002945542191902</v>
      </c>
      <c r="AG5475">
        <v>-1.159537</v>
      </c>
      <c r="AH5475">
        <v>32.876398257133502</v>
      </c>
      <c r="AI5475">
        <v>91.957135650691299</v>
      </c>
      <c r="AJ5475">
        <v>104.333060578355</v>
      </c>
      <c r="AK5475">
        <v>33.952423139058297</v>
      </c>
      <c r="AL5475">
        <v>80.279665008931701</v>
      </c>
      <c r="AM5475">
        <v>90.456355943670999</v>
      </c>
      <c r="AN5475">
        <v>0.99999995572563005</v>
      </c>
    </row>
    <row r="5476" spans="1:40" x14ac:dyDescent="0.25">
      <c r="A5476" t="str">
        <f>"20190312173037020"</f>
        <v>20190312173037020</v>
      </c>
      <c r="B5476" t="str">
        <f>"1552383037013207"</f>
        <v>1552383037013207</v>
      </c>
      <c r="C5476" t="s">
        <v>40</v>
      </c>
      <c r="D5476">
        <v>3.4962930000000001</v>
      </c>
      <c r="E5476">
        <v>0.40932160000000001</v>
      </c>
      <c r="F5476" t="s">
        <v>43</v>
      </c>
      <c r="G5476">
        <v>-317.3938</v>
      </c>
      <c r="H5476">
        <v>-0.05</v>
      </c>
      <c r="I5476">
        <v>25.766839999999998</v>
      </c>
      <c r="J5476">
        <v>-350.58589999999998</v>
      </c>
      <c r="K5476">
        <v>1.1095360000000001</v>
      </c>
      <c r="L5476">
        <v>17.377289999999999</v>
      </c>
      <c r="M5476">
        <v>0.99995520000000004</v>
      </c>
      <c r="N5476">
        <v>0</v>
      </c>
      <c r="O5476">
        <v>-1.055924E-3</v>
      </c>
      <c r="P5476">
        <v>0.98716839999999995</v>
      </c>
      <c r="Q5476">
        <v>0.1595712</v>
      </c>
      <c r="R5476">
        <v>5.9714340000000003E-3</v>
      </c>
      <c r="S5476">
        <v>3.0508120000000001</v>
      </c>
      <c r="T5476">
        <v>-0.10613300000000001</v>
      </c>
      <c r="U5476">
        <v>0.76788330000000005</v>
      </c>
      <c r="V5476">
        <v>-6.9828879999999996E-3</v>
      </c>
      <c r="W5476">
        <v>0.1688519</v>
      </c>
      <c r="X5476">
        <v>0.98561670000000001</v>
      </c>
      <c r="Y5476">
        <v>-0.2449691</v>
      </c>
      <c r="Z5476">
        <v>4.2305679999999997E-3</v>
      </c>
      <c r="AA5476">
        <v>0.96952159999999998</v>
      </c>
      <c r="AB5476">
        <v>26</v>
      </c>
      <c r="AC5476">
        <v>33.192099999999897</v>
      </c>
      <c r="AD5476">
        <v>-1.1595359999999999</v>
      </c>
      <c r="AE5476">
        <v>8.3895499999999998</v>
      </c>
      <c r="AF5476">
        <v>-8.4149423720573697</v>
      </c>
      <c r="AG5476">
        <v>-1.1595359999999999</v>
      </c>
      <c r="AH5476">
        <v>33.145201295005897</v>
      </c>
      <c r="AI5476">
        <v>91.942030579519198</v>
      </c>
      <c r="AJ5476">
        <v>104.245345198742</v>
      </c>
      <c r="AK5476">
        <v>34.216372510054299</v>
      </c>
      <c r="AL5476">
        <v>80.278927208078599</v>
      </c>
      <c r="AM5476">
        <v>90.405921812546595</v>
      </c>
      <c r="AN5476">
        <v>1.0000000020886599</v>
      </c>
    </row>
    <row r="5477" spans="1:40" x14ac:dyDescent="0.25">
      <c r="A5477" t="str">
        <f>"20190312173037030"</f>
        <v>20190312173037030</v>
      </c>
      <c r="B5477" t="str">
        <f>"1552383037022967"</f>
        <v>1552383037022967</v>
      </c>
      <c r="C5477" t="s">
        <v>40</v>
      </c>
      <c r="D5477">
        <v>3.4393349999999998</v>
      </c>
      <c r="E5477">
        <v>0.40920309999999999</v>
      </c>
      <c r="F5477" t="s">
        <v>43</v>
      </c>
      <c r="G5477">
        <v>-317.25990000000002</v>
      </c>
      <c r="H5477">
        <v>-0.05</v>
      </c>
      <c r="I5477">
        <v>25.744129999999998</v>
      </c>
      <c r="J5477">
        <v>-350.45890000000003</v>
      </c>
      <c r="K5477">
        <v>1.1095349999999999</v>
      </c>
      <c r="L5477">
        <v>17.377109999999998</v>
      </c>
      <c r="M5477">
        <v>0.99995520000000004</v>
      </c>
      <c r="N5477">
        <v>0</v>
      </c>
      <c r="O5477">
        <v>-1.095501E-3</v>
      </c>
      <c r="P5477">
        <v>0.98714170000000001</v>
      </c>
      <c r="Q5477">
        <v>0.15977079999999999</v>
      </c>
      <c r="R5477">
        <v>4.9467119999999998E-3</v>
      </c>
      <c r="S5477">
        <v>3.0515140000000001</v>
      </c>
      <c r="T5477">
        <v>-0.1061735</v>
      </c>
      <c r="U5477">
        <v>0.7661133</v>
      </c>
      <c r="V5477">
        <v>-5.9966610000000004E-3</v>
      </c>
      <c r="W5477">
        <v>0.1690507</v>
      </c>
      <c r="X5477">
        <v>0.9855891</v>
      </c>
      <c r="Y5477">
        <v>-0.2444259</v>
      </c>
      <c r="Z5477">
        <v>4.223587E-3</v>
      </c>
      <c r="AA5477">
        <v>0.96965880000000004</v>
      </c>
      <c r="AB5477">
        <v>26</v>
      </c>
      <c r="AC5477">
        <v>33.198999999999998</v>
      </c>
      <c r="AD5477">
        <v>-1.159535</v>
      </c>
      <c r="AE5477">
        <v>8.3670199999999895</v>
      </c>
      <c r="AF5477">
        <v>-8.3937582668579793</v>
      </c>
      <c r="AG5477">
        <v>-1.159535</v>
      </c>
      <c r="AH5477">
        <v>33.151787637201501</v>
      </c>
      <c r="AI5477">
        <v>91.941962053906295</v>
      </c>
      <c r="AJ5477">
        <v>104.208228912704</v>
      </c>
      <c r="AK5477">
        <v>34.217549923990497</v>
      </c>
      <c r="AL5477">
        <v>80.267370522574396</v>
      </c>
      <c r="AM5477">
        <v>90.348602807027703</v>
      </c>
      <c r="AN5477">
        <v>0.99999998657622402</v>
      </c>
    </row>
    <row r="5478" spans="1:40" x14ac:dyDescent="0.25">
      <c r="A5478" t="str">
        <f>"20190312173037042"</f>
        <v>20190312173037042</v>
      </c>
      <c r="B5478" t="str">
        <f>"1552383037033704"</f>
        <v>1552383037033704</v>
      </c>
      <c r="C5478" t="s">
        <v>40</v>
      </c>
      <c r="D5478">
        <v>3.4404319999999999</v>
      </c>
      <c r="E5478">
        <v>0.40917439999999999</v>
      </c>
      <c r="F5478" t="s">
        <v>43</v>
      </c>
      <c r="G5478">
        <v>-317.18049999999999</v>
      </c>
      <c r="H5478">
        <v>-0.05</v>
      </c>
      <c r="I5478">
        <v>25.70776</v>
      </c>
      <c r="J5478">
        <v>-350.3245</v>
      </c>
      <c r="K5478">
        <v>1.1095360000000001</v>
      </c>
      <c r="L5478">
        <v>17.37689</v>
      </c>
      <c r="M5478">
        <v>0.99995520000000004</v>
      </c>
      <c r="N5478">
        <v>0</v>
      </c>
      <c r="O5478">
        <v>-1.1371039999999999E-3</v>
      </c>
      <c r="P5478">
        <v>0.98713240000000002</v>
      </c>
      <c r="Q5478">
        <v>0.15987129999999999</v>
      </c>
      <c r="R5478">
        <v>3.3038859999999998E-3</v>
      </c>
      <c r="S5478">
        <v>3.05246</v>
      </c>
      <c r="T5478">
        <v>-0.1063583</v>
      </c>
      <c r="U5478">
        <v>0.76412959999999996</v>
      </c>
      <c r="V5478">
        <v>-4.394935E-3</v>
      </c>
      <c r="W5478">
        <v>0.1691512</v>
      </c>
      <c r="X5478">
        <v>0.98558029999999996</v>
      </c>
      <c r="Y5478">
        <v>-0.2438022</v>
      </c>
      <c r="Z5478">
        <v>4.2207190000000004E-3</v>
      </c>
      <c r="AA5478">
        <v>0.96981580000000001</v>
      </c>
      <c r="AB5478">
        <v>26</v>
      </c>
      <c r="AC5478">
        <v>33.143999999999998</v>
      </c>
      <c r="AD5478">
        <v>-1.1595359999999999</v>
      </c>
      <c r="AE5478">
        <v>8.3308699999999902</v>
      </c>
      <c r="AF5478">
        <v>-8.3589316157676699</v>
      </c>
      <c r="AG5478">
        <v>-1.1595359999999999</v>
      </c>
      <c r="AH5478">
        <v>33.096404367786398</v>
      </c>
      <c r="AI5478">
        <v>91.945501317643703</v>
      </c>
      <c r="AJ5478">
        <v>104.17437802740599</v>
      </c>
      <c r="AK5478">
        <v>34.155354537296297</v>
      </c>
      <c r="AL5478">
        <v>80.261528151912898</v>
      </c>
      <c r="AM5478">
        <v>90.255493700192204</v>
      </c>
      <c r="AN5478">
        <v>0.999999985831592</v>
      </c>
    </row>
    <row r="5479" spans="1:40" x14ac:dyDescent="0.25">
      <c r="A5479" t="str">
        <f>"20190312173037054"</f>
        <v>20190312173037054</v>
      </c>
      <c r="B5479" t="str">
        <f>"1552383037043463"</f>
        <v>1552383037043463</v>
      </c>
      <c r="C5479" t="s">
        <v>40</v>
      </c>
      <c r="D5479">
        <v>3.5060009999999999</v>
      </c>
      <c r="E5479">
        <v>0.40917439999999999</v>
      </c>
      <c r="F5479" t="s">
        <v>43</v>
      </c>
      <c r="G5479">
        <v>-317.01780000000002</v>
      </c>
      <c r="H5479">
        <v>-0.05</v>
      </c>
      <c r="I5479">
        <v>25.660029999999999</v>
      </c>
      <c r="J5479">
        <v>-350.19299999999998</v>
      </c>
      <c r="K5479">
        <v>1.1095360000000001</v>
      </c>
      <c r="L5479">
        <v>17.37668</v>
      </c>
      <c r="M5479">
        <v>0.99995509999999999</v>
      </c>
      <c r="N5479">
        <v>0</v>
      </c>
      <c r="O5479">
        <v>-1.1777549999999999E-3</v>
      </c>
      <c r="P5479">
        <v>0.98716389999999998</v>
      </c>
      <c r="Q5479">
        <v>0.1597016</v>
      </c>
      <c r="R5479">
        <v>1.7872020000000001E-3</v>
      </c>
      <c r="S5479">
        <v>3.0538020000000001</v>
      </c>
      <c r="T5479">
        <v>-0.1063149</v>
      </c>
      <c r="U5479">
        <v>0.75946040000000004</v>
      </c>
      <c r="V5479">
        <v>-2.9188690000000002E-3</v>
      </c>
      <c r="W5479">
        <v>0.1689811</v>
      </c>
      <c r="X5479">
        <v>0.98561500000000002</v>
      </c>
      <c r="Y5479">
        <v>-0.2423459</v>
      </c>
      <c r="Z5479">
        <v>4.1943989999999997E-3</v>
      </c>
      <c r="AA5479">
        <v>0.97018090000000001</v>
      </c>
      <c r="AB5479">
        <v>26</v>
      </c>
      <c r="AC5479">
        <v>33.175199999999997</v>
      </c>
      <c r="AD5479">
        <v>-1.1595359999999999</v>
      </c>
      <c r="AE5479">
        <v>8.2833499999999898</v>
      </c>
      <c r="AF5479">
        <v>-8.3128589154504695</v>
      </c>
      <c r="AG5479">
        <v>-1.1595359999999999</v>
      </c>
      <c r="AH5479">
        <v>33.127326223587701</v>
      </c>
      <c r="AI5479">
        <v>91.944434761868294</v>
      </c>
      <c r="AJ5479">
        <v>104.08673939111</v>
      </c>
      <c r="AK5479">
        <v>34.174082135552403</v>
      </c>
      <c r="AL5479">
        <v>80.271416944733005</v>
      </c>
      <c r="AM5479">
        <v>90.169679221341198</v>
      </c>
      <c r="AN5479">
        <v>1.00000003008922</v>
      </c>
    </row>
    <row r="5480" spans="1:40" x14ac:dyDescent="0.25">
      <c r="A5480" t="str">
        <f>"20190312173037153"</f>
        <v>20190312173037153</v>
      </c>
      <c r="B5480" t="str">
        <f>"1552383037143015"</f>
        <v>1552383037143015</v>
      </c>
      <c r="C5480" t="s">
        <v>40</v>
      </c>
      <c r="D5480">
        <v>3.5449809999999999</v>
      </c>
      <c r="E5480">
        <v>0.41575519999999999</v>
      </c>
      <c r="F5480" t="s">
        <v>43</v>
      </c>
      <c r="G5480">
        <v>-317.0095</v>
      </c>
      <c r="H5480">
        <v>-0.05</v>
      </c>
      <c r="I5480">
        <v>25.576139999999999</v>
      </c>
      <c r="J5480">
        <v>-349.00959999999998</v>
      </c>
      <c r="K5480">
        <v>1.1095189999999999</v>
      </c>
      <c r="L5480">
        <v>17.374659999999999</v>
      </c>
      <c r="M5480">
        <v>0.99995460000000003</v>
      </c>
      <c r="N5480">
        <v>0</v>
      </c>
      <c r="O5480">
        <v>-1.5434859999999999E-3</v>
      </c>
      <c r="P5480">
        <v>0.98756149999999998</v>
      </c>
      <c r="Q5480">
        <v>0.1567096</v>
      </c>
      <c r="R5480">
        <v>-1.283079E-2</v>
      </c>
      <c r="S5480">
        <v>3.0549010000000001</v>
      </c>
      <c r="T5480">
        <v>-0.1067481</v>
      </c>
      <c r="U5480">
        <v>0.75485230000000003</v>
      </c>
      <c r="V5480">
        <v>1.133727E-2</v>
      </c>
      <c r="W5480">
        <v>0.16599029999999901</v>
      </c>
      <c r="X5480">
        <v>0.9860622</v>
      </c>
      <c r="Y5480">
        <v>-0.24123939999999999</v>
      </c>
      <c r="Z5480">
        <v>4.2043109999999996E-3</v>
      </c>
      <c r="AA5480">
        <v>0.97045650000000006</v>
      </c>
      <c r="AB5480">
        <v>27</v>
      </c>
      <c r="AC5480">
        <v>32.000099999999897</v>
      </c>
      <c r="AD5480">
        <v>-1.159519</v>
      </c>
      <c r="AE5480">
        <v>8.2014799999999894</v>
      </c>
      <c r="AF5480">
        <v>-8.2407112701381706</v>
      </c>
      <c r="AG5480">
        <v>-1.159519</v>
      </c>
      <c r="AH5480">
        <v>31.948041325671099</v>
      </c>
      <c r="AI5480">
        <v>92.012752139407496</v>
      </c>
      <c r="AJ5480">
        <v>104.463661420785</v>
      </c>
      <c r="AK5480">
        <v>33.014105335385501</v>
      </c>
      <c r="AL5480">
        <v>80.445232050711198</v>
      </c>
      <c r="AM5480">
        <v>89.341269646815604</v>
      </c>
      <c r="AN5480">
        <v>0.99999998782699095</v>
      </c>
    </row>
    <row r="5481" spans="1:40" x14ac:dyDescent="0.25">
      <c r="A5481" t="str">
        <f>"20190312173037164"</f>
        <v>20190312173037164</v>
      </c>
      <c r="B5481" t="str">
        <f>"1552383037153752"</f>
        <v>1552383037153752</v>
      </c>
      <c r="C5481" t="s">
        <v>40</v>
      </c>
      <c r="D5481">
        <v>3.5873729999999999</v>
      </c>
      <c r="E5481">
        <v>0.54917039999999995</v>
      </c>
      <c r="F5481" t="s">
        <v>41</v>
      </c>
      <c r="G5481">
        <v>-333.63709999999998</v>
      </c>
      <c r="H5481" s="1">
        <v>-2.9929939999999998E-6</v>
      </c>
      <c r="I5481">
        <v>20.672419999999999</v>
      </c>
      <c r="J5481">
        <v>-348.87699999999899</v>
      </c>
      <c r="K5481">
        <v>1.109518</v>
      </c>
      <c r="L5481">
        <v>17.374420000000001</v>
      </c>
      <c r="M5481">
        <v>0.99995449999999997</v>
      </c>
      <c r="N5481">
        <v>0</v>
      </c>
      <c r="O5481">
        <v>-1.584135E-3</v>
      </c>
      <c r="P5481">
        <v>0.98750689999999997</v>
      </c>
      <c r="Q5481">
        <v>0.15690960000000001</v>
      </c>
      <c r="R5481">
        <v>-1.447973E-2</v>
      </c>
      <c r="S5481">
        <v>3.0816650000000001</v>
      </c>
      <c r="T5481">
        <v>-0.22242110000000001</v>
      </c>
      <c r="U5481">
        <v>0.66110230000000003</v>
      </c>
      <c r="V5481">
        <v>1.294615E-2</v>
      </c>
      <c r="W5481">
        <v>0.1661897</v>
      </c>
      <c r="X5481">
        <v>0.98600880000000002</v>
      </c>
      <c r="Y5481">
        <v>-0.21077570000000001</v>
      </c>
      <c r="Z5481">
        <v>7.6243489999999999E-3</v>
      </c>
      <c r="AA5481">
        <v>0.9775047</v>
      </c>
      <c r="AB5481">
        <v>27</v>
      </c>
      <c r="AC5481">
        <v>15.239899999999899</v>
      </c>
      <c r="AD5481">
        <v>-1.109520992994</v>
      </c>
      <c r="AE5481">
        <v>3.298</v>
      </c>
      <c r="AF5481">
        <v>-3.3054028804321298</v>
      </c>
      <c r="AG5481">
        <v>-1.109520992994</v>
      </c>
      <c r="AH5481">
        <v>15.157907766843399</v>
      </c>
      <c r="AI5481">
        <v>94.090649599269199</v>
      </c>
      <c r="AJ5481">
        <v>102.30160396443</v>
      </c>
      <c r="AK5481">
        <v>15.553742086841799</v>
      </c>
      <c r="AL5481">
        <v>80.433646340237999</v>
      </c>
      <c r="AM5481">
        <v>89.247758097477501</v>
      </c>
      <c r="AN5481">
        <v>0.99999998643167598</v>
      </c>
    </row>
    <row r="5482" spans="1:40" x14ac:dyDescent="0.25">
      <c r="A5482" t="str">
        <f>"20190312173037175"</f>
        <v>20190312173037175</v>
      </c>
      <c r="B5482" t="str">
        <f>"1552383037163511"</f>
        <v>1552383037163511</v>
      </c>
      <c r="C5482" t="s">
        <v>40</v>
      </c>
      <c r="D5482">
        <v>3.6373060000000002</v>
      </c>
      <c r="E5482">
        <v>0.54892159999999901</v>
      </c>
      <c r="F5482" t="s">
        <v>42</v>
      </c>
      <c r="G5482">
        <v>-347.94659999999999</v>
      </c>
      <c r="H5482">
        <v>0.99452819999999997</v>
      </c>
      <c r="I5482">
        <v>17.2531</v>
      </c>
      <c r="J5482">
        <v>-348.74759999999998</v>
      </c>
      <c r="K5482">
        <v>1.1095170000000001</v>
      </c>
      <c r="L5482">
        <v>17.37415</v>
      </c>
      <c r="M5482">
        <v>0.99995449999999997</v>
      </c>
      <c r="N5482">
        <v>0</v>
      </c>
      <c r="O5482">
        <v>-1.6238299999999999E-3</v>
      </c>
      <c r="P5482">
        <v>0.98746869999999998</v>
      </c>
      <c r="Q5482">
        <v>0.15699160000000001</v>
      </c>
      <c r="R5482">
        <v>-1.6101319999999999E-2</v>
      </c>
      <c r="S5482">
        <v>3.0928040000000001</v>
      </c>
      <c r="T5482">
        <v>-0.3822412</v>
      </c>
      <c r="U5482">
        <v>-0.40240480000000001</v>
      </c>
      <c r="V5482">
        <v>1.452868E-2</v>
      </c>
      <c r="W5482">
        <v>0.166271</v>
      </c>
      <c r="X5482">
        <v>0.98597310000000005</v>
      </c>
      <c r="Y5482">
        <v>0.1264779</v>
      </c>
      <c r="Z5482">
        <v>-7.5547009999999996E-3</v>
      </c>
      <c r="AA5482">
        <v>0.99194070000000001</v>
      </c>
      <c r="AB5482">
        <v>27</v>
      </c>
      <c r="AC5482">
        <v>0.80099999999998694</v>
      </c>
      <c r="AD5482">
        <v>-0.1149888</v>
      </c>
      <c r="AE5482">
        <v>-0.12105</v>
      </c>
      <c r="AF5482">
        <v>0.117384003471542</v>
      </c>
      <c r="AG5482">
        <v>-0.1149888</v>
      </c>
      <c r="AH5482">
        <v>0.78537159128497303</v>
      </c>
      <c r="AI5482">
        <v>98.239431051598203</v>
      </c>
      <c r="AJ5482">
        <v>81.499326883446102</v>
      </c>
      <c r="AK5482">
        <v>0.80237769460145003</v>
      </c>
      <c r="AL5482">
        <v>80.428922996588796</v>
      </c>
      <c r="AM5482">
        <v>89.155786496851505</v>
      </c>
      <c r="AN5482">
        <v>1.0000000409535701</v>
      </c>
    </row>
    <row r="5483" spans="1:40" x14ac:dyDescent="0.25">
      <c r="A5483" t="str">
        <f>"20190312173037186"</f>
        <v>20190312173037186</v>
      </c>
      <c r="B5483" t="str">
        <f>"1552383037183031"</f>
        <v>1552383037183031</v>
      </c>
      <c r="C5483" t="s">
        <v>40</v>
      </c>
      <c r="D5483">
        <v>3.5496279999999998</v>
      </c>
      <c r="E5483">
        <v>0.54981329999999995</v>
      </c>
      <c r="F5483" t="s">
        <v>42</v>
      </c>
      <c r="G5483">
        <v>-347.92720000000003</v>
      </c>
      <c r="H5483">
        <v>1.03488</v>
      </c>
      <c r="I5483">
        <v>17.264700000000001</v>
      </c>
      <c r="J5483">
        <v>-348.6157</v>
      </c>
      <c r="K5483">
        <v>1.1095159999999999</v>
      </c>
      <c r="L5483">
        <v>17.373929999999898</v>
      </c>
      <c r="M5483">
        <v>0.99995440000000002</v>
      </c>
      <c r="N5483">
        <v>0</v>
      </c>
      <c r="O5483">
        <v>-1.6640019999999999E-3</v>
      </c>
      <c r="P5483">
        <v>0.98744319999999997</v>
      </c>
      <c r="Q5483">
        <v>0.1569951</v>
      </c>
      <c r="R5483">
        <v>-1.7568429999999999E-2</v>
      </c>
      <c r="S5483">
        <v>3.0758670000000001</v>
      </c>
      <c r="T5483">
        <v>-0.27979419999999999</v>
      </c>
      <c r="U5483">
        <v>-0.40930179999999999</v>
      </c>
      <c r="V5483">
        <v>1.5955980000000002E-2</v>
      </c>
      <c r="W5483">
        <v>0.16627439999999999</v>
      </c>
      <c r="X5483">
        <v>0.9859504</v>
      </c>
      <c r="Y5483">
        <v>0.12973680000000001</v>
      </c>
      <c r="Z5483">
        <v>-5.7124760000000002E-3</v>
      </c>
      <c r="AA5483">
        <v>0.99153199999999997</v>
      </c>
      <c r="AB5483">
        <v>27</v>
      </c>
      <c r="AC5483">
        <v>0.68849999999997602</v>
      </c>
      <c r="AD5483">
        <v>-7.4635999999999897E-2</v>
      </c>
      <c r="AE5483">
        <v>-0.109229999999996</v>
      </c>
      <c r="AF5483">
        <v>0.10685922009929</v>
      </c>
      <c r="AG5483">
        <v>-7.4635999999999897E-2</v>
      </c>
      <c r="AH5483">
        <v>0.68087602492398702</v>
      </c>
      <c r="AI5483">
        <v>96.180591141311595</v>
      </c>
      <c r="AJ5483">
        <v>81.080544677600898</v>
      </c>
      <c r="AK5483">
        <v>0.69323992003671997</v>
      </c>
      <c r="AL5483">
        <v>80.428724855198496</v>
      </c>
      <c r="AM5483">
        <v>89.072843305576896</v>
      </c>
      <c r="AN5483">
        <v>0.99999998032663995</v>
      </c>
    </row>
    <row r="5484" spans="1:40" x14ac:dyDescent="0.25">
      <c r="A5484" t="str">
        <f>"20190312173037197"</f>
        <v>20190312173037197</v>
      </c>
      <c r="B5484" t="str">
        <f>"1552383037192791"</f>
        <v>1552383037192791</v>
      </c>
      <c r="C5484" t="s">
        <v>40</v>
      </c>
      <c r="D5484">
        <v>3.5240300000000002</v>
      </c>
      <c r="E5484">
        <v>0.55012680000000003</v>
      </c>
      <c r="F5484" t="s">
        <v>41</v>
      </c>
      <c r="G5484">
        <v>-330.63209999999998</v>
      </c>
      <c r="H5484" s="1">
        <v>-4.8410720000000002E-6</v>
      </c>
      <c r="I5484">
        <v>14.880879999999999</v>
      </c>
      <c r="J5484">
        <v>-348.48180000000002</v>
      </c>
      <c r="K5484">
        <v>1.1095170000000001</v>
      </c>
      <c r="L5484">
        <v>17.373660000000001</v>
      </c>
      <c r="M5484">
        <v>0.99995429999999996</v>
      </c>
      <c r="N5484">
        <v>0</v>
      </c>
      <c r="O5484">
        <v>-1.705009E-3</v>
      </c>
      <c r="P5484">
        <v>0.98740490000000003</v>
      </c>
      <c r="Q5484">
        <v>0.15708559999999999</v>
      </c>
      <c r="R5484">
        <v>-1.8861659999999999E-2</v>
      </c>
      <c r="S5484">
        <v>3.0606689999999999</v>
      </c>
      <c r="T5484">
        <v>-0.18883240000000001</v>
      </c>
      <c r="U5484">
        <v>-0.42428589999999999</v>
      </c>
      <c r="V5484">
        <v>1.7208879999999999E-2</v>
      </c>
      <c r="W5484">
        <v>0.1663646</v>
      </c>
      <c r="X5484">
        <v>0.98591410000000002</v>
      </c>
      <c r="Y5484">
        <v>0.13537370000000001</v>
      </c>
      <c r="Z5484">
        <v>-4.0476770000000004E-3</v>
      </c>
      <c r="AA5484">
        <v>0.99078639999999996</v>
      </c>
      <c r="AB5484">
        <v>27</v>
      </c>
      <c r="AC5484">
        <v>17.849699999999999</v>
      </c>
      <c r="AD5484">
        <v>-1.109521841072</v>
      </c>
      <c r="AE5484">
        <v>-2.4927800000000002</v>
      </c>
      <c r="AF5484">
        <v>2.4530444759818302</v>
      </c>
      <c r="AG5484">
        <v>-1.109521841072</v>
      </c>
      <c r="AH5484">
        <v>17.7865163403639</v>
      </c>
      <c r="AI5484">
        <v>93.536097048545898</v>
      </c>
      <c r="AJ5484">
        <v>82.147534279315295</v>
      </c>
      <c r="AK5484">
        <v>17.989125310670101</v>
      </c>
      <c r="AL5484">
        <v>80.423483669391103</v>
      </c>
      <c r="AM5484">
        <v>89.000018278906296</v>
      </c>
      <c r="AN5484">
        <v>0.99999996913141098</v>
      </c>
    </row>
    <row r="5485" spans="1:40" x14ac:dyDescent="0.25">
      <c r="A5485" t="str">
        <f>"20190312173037209"</f>
        <v>20190312173037209</v>
      </c>
      <c r="B5485" t="str">
        <f>"1552383037203528"</f>
        <v>1552383037203528</v>
      </c>
      <c r="C5485" t="s">
        <v>40</v>
      </c>
      <c r="D5485">
        <v>3.5336699999999999</v>
      </c>
      <c r="E5485">
        <v>0.54968909999999904</v>
      </c>
      <c r="F5485" t="s">
        <v>41</v>
      </c>
      <c r="G5485">
        <v>-329.56869999999998</v>
      </c>
      <c r="H5485" s="1">
        <v>-1.4556859999999999E-6</v>
      </c>
      <c r="I5485">
        <v>14.70853</v>
      </c>
      <c r="J5485">
        <v>-348.34620000000001</v>
      </c>
      <c r="K5485">
        <v>1.1095120000000001</v>
      </c>
      <c r="L5485">
        <v>17.373349999999999</v>
      </c>
      <c r="M5485">
        <v>0.99995429999999996</v>
      </c>
      <c r="N5485">
        <v>0</v>
      </c>
      <c r="O5485">
        <v>-1.7462549999999999E-3</v>
      </c>
      <c r="P5485">
        <v>0.98734920000000004</v>
      </c>
      <c r="Q5485">
        <v>0.1572498</v>
      </c>
      <c r="R5485">
        <v>-2.035435E-2</v>
      </c>
      <c r="S5485">
        <v>3.0585939999999998</v>
      </c>
      <c r="T5485">
        <v>-0.17942930000000001</v>
      </c>
      <c r="U5485">
        <v>-0.43099979999999899</v>
      </c>
      <c r="V5485">
        <v>1.8660840000000001E-2</v>
      </c>
      <c r="W5485">
        <v>0.166527799999999</v>
      </c>
      <c r="X5485">
        <v>0.98586019999999996</v>
      </c>
      <c r="Y5485">
        <v>0.13757739999999999</v>
      </c>
      <c r="Z5485">
        <v>-3.9103300000000001E-3</v>
      </c>
      <c r="AA5485">
        <v>0.99048329999999996</v>
      </c>
      <c r="AB5485">
        <v>27</v>
      </c>
      <c r="AC5485">
        <v>18.7775</v>
      </c>
      <c r="AD5485">
        <v>-1.109513455686</v>
      </c>
      <c r="AE5485">
        <v>-2.6648200000000002</v>
      </c>
      <c r="AF5485">
        <v>2.6230470880775698</v>
      </c>
      <c r="AG5485">
        <v>-1.109513455686</v>
      </c>
      <c r="AH5485">
        <v>18.718064464908</v>
      </c>
      <c r="AI5485">
        <v>93.359489068944896</v>
      </c>
      <c r="AJ5485">
        <v>82.022830151613604</v>
      </c>
      <c r="AK5485">
        <v>18.933497654872699</v>
      </c>
      <c r="AL5485">
        <v>80.414001348617504</v>
      </c>
      <c r="AM5485">
        <v>88.915607193150294</v>
      </c>
      <c r="AN5485">
        <v>1.0000000345331901</v>
      </c>
    </row>
    <row r="5486" spans="1:40" x14ac:dyDescent="0.25">
      <c r="A5486" t="str">
        <f>"20190312173037220"</f>
        <v>20190312173037220</v>
      </c>
      <c r="B5486" t="str">
        <f>"1552383037213287"</f>
        <v>1552383037213287</v>
      </c>
      <c r="C5486" t="s">
        <v>40</v>
      </c>
      <c r="D5486">
        <v>3.5639850000000002</v>
      </c>
      <c r="E5486">
        <v>0.54954369999999997</v>
      </c>
      <c r="F5486" t="s">
        <v>41</v>
      </c>
      <c r="G5486">
        <v>-328.7509</v>
      </c>
      <c r="H5486" s="1">
        <v>-1.7977839999999999E-6</v>
      </c>
      <c r="I5486">
        <v>14.60309</v>
      </c>
      <c r="J5486">
        <v>-348.20569999999998</v>
      </c>
      <c r="K5486">
        <v>1.10951</v>
      </c>
      <c r="L5486">
        <v>17.373049999999999</v>
      </c>
      <c r="M5486">
        <v>0.99995429999999996</v>
      </c>
      <c r="N5486">
        <v>0</v>
      </c>
      <c r="O5486">
        <v>-1.7889309999999999E-3</v>
      </c>
      <c r="P5486">
        <v>0.98726570000000002</v>
      </c>
      <c r="Q5486">
        <v>0.157583</v>
      </c>
      <c r="R5486">
        <v>-2.1785209999999999E-2</v>
      </c>
      <c r="S5486">
        <v>3.0570680000000001</v>
      </c>
      <c r="T5486">
        <v>-0.17309579999999999</v>
      </c>
      <c r="U5486">
        <v>-0.43218990000000002</v>
      </c>
      <c r="V5486">
        <v>2.0049709999999998E-2</v>
      </c>
      <c r="W5486">
        <v>0.16686019999999999</v>
      </c>
      <c r="X5486">
        <v>0.98577669999999995</v>
      </c>
      <c r="Y5486">
        <v>0.1379966</v>
      </c>
      <c r="Z5486">
        <v>-3.7836810000000001E-3</v>
      </c>
      <c r="AA5486">
        <v>0.99042549999999996</v>
      </c>
      <c r="AB5486">
        <v>27</v>
      </c>
      <c r="AC5486">
        <v>19.454799999999899</v>
      </c>
      <c r="AD5486">
        <v>-1.1095117977840001</v>
      </c>
      <c r="AE5486">
        <v>-2.76995999999999</v>
      </c>
      <c r="AF5486">
        <v>2.72645926397866</v>
      </c>
      <c r="AG5486">
        <v>-1.1095117977840001</v>
      </c>
      <c r="AH5486">
        <v>19.397887292608601</v>
      </c>
      <c r="AI5486">
        <v>93.241815532433506</v>
      </c>
      <c r="AJ5486">
        <v>81.999235347026101</v>
      </c>
      <c r="AK5486">
        <v>19.6199548410363</v>
      </c>
      <c r="AL5486">
        <v>80.394685744168996</v>
      </c>
      <c r="AM5486">
        <v>88.834821924799797</v>
      </c>
      <c r="AN5486">
        <v>1.0000000097390001</v>
      </c>
    </row>
    <row r="5487" spans="1:40" x14ac:dyDescent="0.25">
      <c r="A5487" t="str">
        <f>"20190312173037232"</f>
        <v>20190312173037232</v>
      </c>
      <c r="B5487" t="str">
        <f>"1552383037223048"</f>
        <v>1552383037223048</v>
      </c>
      <c r="C5487" t="s">
        <v>40</v>
      </c>
      <c r="D5487">
        <v>3.5602909999999999</v>
      </c>
      <c r="E5487">
        <v>0.54940900000000004</v>
      </c>
      <c r="F5487" t="s">
        <v>41</v>
      </c>
      <c r="G5487">
        <v>-328.1979</v>
      </c>
      <c r="H5487" s="1">
        <v>-2.0315400000000002E-6</v>
      </c>
      <c r="I5487">
        <v>14.52262</v>
      </c>
      <c r="J5487">
        <v>-348.06889999999999</v>
      </c>
      <c r="K5487">
        <v>1.10951</v>
      </c>
      <c r="L5487">
        <v>17.372769999999999</v>
      </c>
      <c r="M5487">
        <v>0.99995409999999996</v>
      </c>
      <c r="N5487">
        <v>0</v>
      </c>
      <c r="O5487">
        <v>-1.830298E-3</v>
      </c>
      <c r="P5487">
        <v>0.98717739999999998</v>
      </c>
      <c r="Q5487">
        <v>0.15792400000000001</v>
      </c>
      <c r="R5487">
        <v>-2.3258270000000001E-2</v>
      </c>
      <c r="S5487">
        <v>3.0561219999999998</v>
      </c>
      <c r="T5487">
        <v>-0.16947470000000001</v>
      </c>
      <c r="U5487">
        <v>-0.43539430000000001</v>
      </c>
      <c r="V5487">
        <v>2.1482310000000001E-2</v>
      </c>
      <c r="W5487">
        <v>0.1672006</v>
      </c>
      <c r="X5487">
        <v>0.98568889999999998</v>
      </c>
      <c r="Y5487">
        <v>0.13902320000000001</v>
      </c>
      <c r="Z5487">
        <v>-3.731533E-3</v>
      </c>
      <c r="AA5487">
        <v>0.99028210000000005</v>
      </c>
      <c r="AB5487">
        <v>27</v>
      </c>
      <c r="AC5487">
        <v>19.870999999999899</v>
      </c>
      <c r="AD5487">
        <v>-1.10951203154</v>
      </c>
      <c r="AE5487">
        <v>-2.8501500000000002</v>
      </c>
      <c r="AF5487">
        <v>2.8052044710438002</v>
      </c>
      <c r="AG5487">
        <v>-1.10951203154</v>
      </c>
      <c r="AH5487">
        <v>19.815651028929501</v>
      </c>
      <c r="AI5487">
        <v>93.1731691129512</v>
      </c>
      <c r="AJ5487">
        <v>81.942459183709303</v>
      </c>
      <c r="AK5487">
        <v>20.043957063733899</v>
      </c>
      <c r="AL5487">
        <v>80.374904942274796</v>
      </c>
      <c r="AM5487">
        <v>88.7514814522943</v>
      </c>
      <c r="AN5487">
        <v>1.00000006893325</v>
      </c>
    </row>
    <row r="5488" spans="1:40" x14ac:dyDescent="0.25">
      <c r="A5488" t="str">
        <f>"20190312173037243"</f>
        <v>20190312173037243</v>
      </c>
      <c r="B5488" t="str">
        <f>"1552383037232807"</f>
        <v>1552383037232807</v>
      </c>
      <c r="C5488" t="s">
        <v>40</v>
      </c>
      <c r="D5488">
        <v>3.5373410000000001</v>
      </c>
      <c r="E5488">
        <v>0.54910950000000003</v>
      </c>
      <c r="F5488" t="s">
        <v>41</v>
      </c>
      <c r="G5488">
        <v>-327.7484</v>
      </c>
      <c r="H5488" s="1">
        <v>-2.2222620000000001E-6</v>
      </c>
      <c r="I5488">
        <v>14.45467</v>
      </c>
      <c r="J5488">
        <v>-347.93369999999999</v>
      </c>
      <c r="K5488">
        <v>1.109515</v>
      </c>
      <c r="L5488">
        <v>17.372499999999999</v>
      </c>
      <c r="M5488">
        <v>0.99995400000000001</v>
      </c>
      <c r="N5488">
        <v>0</v>
      </c>
      <c r="O5488">
        <v>-1.871307E-3</v>
      </c>
      <c r="P5488">
        <v>0.9871299</v>
      </c>
      <c r="Q5488">
        <v>0.1580068</v>
      </c>
      <c r="R5488">
        <v>-2.466811E-2</v>
      </c>
      <c r="S5488">
        <v>3.0552980000000001</v>
      </c>
      <c r="T5488">
        <v>-0.16682079999999999</v>
      </c>
      <c r="U5488">
        <v>-0.43875120000000001</v>
      </c>
      <c r="V5488">
        <v>2.2851690000000001E-2</v>
      </c>
      <c r="W5488">
        <v>0.16728280000000001</v>
      </c>
      <c r="X5488">
        <v>0.98564410000000002</v>
      </c>
      <c r="Y5488">
        <v>0.14009089999999999</v>
      </c>
      <c r="Z5488">
        <v>-3.700633E-3</v>
      </c>
      <c r="AA5488">
        <v>0.99013169999999995</v>
      </c>
      <c r="AB5488">
        <v>27</v>
      </c>
      <c r="AC5488">
        <v>20.185299999999899</v>
      </c>
      <c r="AD5488">
        <v>-1.109517222262</v>
      </c>
      <c r="AE5488">
        <v>-2.9178299999999902</v>
      </c>
      <c r="AF5488">
        <v>2.87155200486252</v>
      </c>
      <c r="AG5488">
        <v>-1.109517222262</v>
      </c>
      <c r="AH5488">
        <v>20.131147180893301</v>
      </c>
      <c r="AI5488">
        <v>93.1230852304314</v>
      </c>
      <c r="AJ5488">
        <v>81.881964559539298</v>
      </c>
      <c r="AK5488">
        <v>20.365164526757798</v>
      </c>
      <c r="AL5488">
        <v>80.370127410035096</v>
      </c>
      <c r="AM5488">
        <v>88.671862517305996</v>
      </c>
      <c r="AN5488">
        <v>1.0000000133882501</v>
      </c>
    </row>
    <row r="5489" spans="1:40" x14ac:dyDescent="0.25">
      <c r="A5489" t="str">
        <f>"20190312173037254"</f>
        <v>20190312173037254</v>
      </c>
      <c r="B5489" t="str">
        <f>"1552383037243544"</f>
        <v>1552383037243544</v>
      </c>
      <c r="C5489" t="s">
        <v>40</v>
      </c>
      <c r="D5489">
        <v>3.5302730000000002</v>
      </c>
      <c r="E5489">
        <v>0.54872840000000001</v>
      </c>
      <c r="F5489" t="s">
        <v>41</v>
      </c>
      <c r="G5489">
        <v>-327.2697</v>
      </c>
      <c r="H5489" s="1">
        <v>-2.4231269999999998E-6</v>
      </c>
      <c r="I5489">
        <v>14.390529999999901</v>
      </c>
      <c r="J5489">
        <v>-347.79509999999999</v>
      </c>
      <c r="K5489">
        <v>1.109515</v>
      </c>
      <c r="L5489">
        <v>17.372160000000001</v>
      </c>
      <c r="M5489">
        <v>0.99995389999999995</v>
      </c>
      <c r="N5489">
        <v>0</v>
      </c>
      <c r="O5489">
        <v>-1.9131490000000001E-3</v>
      </c>
      <c r="P5489">
        <v>0.987043</v>
      </c>
      <c r="Q5489">
        <v>0.15838550000000001</v>
      </c>
      <c r="R5489">
        <v>-2.5691990000000001E-2</v>
      </c>
      <c r="S5489">
        <v>3.0543520000000002</v>
      </c>
      <c r="T5489">
        <v>-0.16399820000000001</v>
      </c>
      <c r="U5489">
        <v>-0.44076539999999997</v>
      </c>
      <c r="V5489">
        <v>2.3834520000000001E-2</v>
      </c>
      <c r="W5489">
        <v>0.1676608</v>
      </c>
      <c r="X5489">
        <v>0.9855566</v>
      </c>
      <c r="Y5489">
        <v>0.1407381</v>
      </c>
      <c r="Z5489">
        <v>-3.6540919999999998E-3</v>
      </c>
      <c r="AA5489">
        <v>0.99004009999999998</v>
      </c>
      <c r="AB5489">
        <v>27</v>
      </c>
      <c r="AC5489">
        <v>20.525399999999902</v>
      </c>
      <c r="AD5489">
        <v>-1.109517423127</v>
      </c>
      <c r="AE5489">
        <v>-2.98163</v>
      </c>
      <c r="AF5489">
        <v>2.9339587058118801</v>
      </c>
      <c r="AG5489">
        <v>-1.109517423127</v>
      </c>
      <c r="AH5489">
        <v>20.472481999765101</v>
      </c>
      <c r="AI5489">
        <v>93.070827777595895</v>
      </c>
      <c r="AJ5489">
        <v>81.844341650833798</v>
      </c>
      <c r="AK5489">
        <v>20.711389664393302</v>
      </c>
      <c r="AL5489">
        <v>80.348159412103797</v>
      </c>
      <c r="AM5489">
        <v>88.614639417143394</v>
      </c>
      <c r="AN5489">
        <v>1.0000000200019099</v>
      </c>
    </row>
    <row r="5490" spans="1:40" x14ac:dyDescent="0.25">
      <c r="A5490" t="str">
        <f>"20190312173037265"</f>
        <v>20190312173037265</v>
      </c>
      <c r="B5490" t="str">
        <f>"1552383037263064"</f>
        <v>1552383037263064</v>
      </c>
      <c r="C5490" t="s">
        <v>40</v>
      </c>
      <c r="D5490">
        <v>3.5079950000000002</v>
      </c>
      <c r="E5490">
        <v>0.54821839999999999</v>
      </c>
      <c r="F5490" t="s">
        <v>41</v>
      </c>
      <c r="G5490">
        <v>-326.72809999999998</v>
      </c>
      <c r="H5490" s="1">
        <v>-2.6475399999999999E-6</v>
      </c>
      <c r="I5490">
        <v>14.3288799999999</v>
      </c>
      <c r="J5490">
        <v>-347.66090000000003</v>
      </c>
      <c r="K5490">
        <v>1.1095159999999999</v>
      </c>
      <c r="L5490">
        <v>17.371860000000002</v>
      </c>
      <c r="M5490">
        <v>0.99995389999999995</v>
      </c>
      <c r="N5490">
        <v>0</v>
      </c>
      <c r="O5490">
        <v>-1.9537999999999999E-3</v>
      </c>
      <c r="P5490">
        <v>0.98700200000000005</v>
      </c>
      <c r="Q5490">
        <v>0.1584082</v>
      </c>
      <c r="R5490">
        <v>-2.7095370000000001E-2</v>
      </c>
      <c r="S5490">
        <v>3.0537109999999998</v>
      </c>
      <c r="T5490">
        <v>-0.1608272</v>
      </c>
      <c r="U5490">
        <v>-0.44113160000000001</v>
      </c>
      <c r="V5490">
        <v>2.5197790000000001E-2</v>
      </c>
      <c r="W5490">
        <v>0.16768239999999901</v>
      </c>
      <c r="X5490">
        <v>0.98551900000000003</v>
      </c>
      <c r="Y5490">
        <v>0.1408509</v>
      </c>
      <c r="Z5490">
        <v>-3.5850700000000001E-3</v>
      </c>
      <c r="AA5490">
        <v>0.99002429999999997</v>
      </c>
      <c r="AB5490">
        <v>27</v>
      </c>
      <c r="AC5490">
        <v>20.9328</v>
      </c>
      <c r="AD5490">
        <v>-1.1095186475399901</v>
      </c>
      <c r="AE5490">
        <v>-3.04298</v>
      </c>
      <c r="AF5490">
        <v>2.9938370366563301</v>
      </c>
      <c r="AG5490">
        <v>-1.1095186475399901</v>
      </c>
      <c r="AH5490">
        <v>20.881255786035499</v>
      </c>
      <c r="AI5490">
        <v>93.010801735394196</v>
      </c>
      <c r="AJ5490">
        <v>81.840857131607393</v>
      </c>
      <c r="AK5490">
        <v>21.123942222822301</v>
      </c>
      <c r="AL5490">
        <v>80.346903930415493</v>
      </c>
      <c r="AM5490">
        <v>88.535378269331005</v>
      </c>
      <c r="AN5490">
        <v>1.00000000762582</v>
      </c>
    </row>
    <row r="5491" spans="1:40" x14ac:dyDescent="0.25">
      <c r="A5491" t="str">
        <f>"20190312173037277"</f>
        <v>20190312173037277</v>
      </c>
      <c r="B5491" t="str">
        <f>"1552383037272823"</f>
        <v>1552383037272823</v>
      </c>
      <c r="C5491" t="s">
        <v>40</v>
      </c>
      <c r="D5491">
        <v>3.5096810000000001</v>
      </c>
      <c r="E5491">
        <v>0.54790340000000004</v>
      </c>
      <c r="F5491" t="s">
        <v>41</v>
      </c>
      <c r="G5491">
        <v>-326.3098</v>
      </c>
      <c r="H5491" s="1">
        <v>-2.8205599999999999E-6</v>
      </c>
      <c r="I5491">
        <v>14.282220000000001</v>
      </c>
      <c r="J5491">
        <v>-347.51780000000002</v>
      </c>
      <c r="K5491">
        <v>1.1095189999999999</v>
      </c>
      <c r="L5491">
        <v>17.37152</v>
      </c>
      <c r="M5491">
        <v>0.99995369999999995</v>
      </c>
      <c r="N5491">
        <v>0</v>
      </c>
      <c r="O5491">
        <v>-1.9971939999999999E-3</v>
      </c>
      <c r="P5491">
        <v>0.98691439999999997</v>
      </c>
      <c r="Q5491">
        <v>0.1587211</v>
      </c>
      <c r="R5491">
        <v>-2.841956E-2</v>
      </c>
      <c r="S5491">
        <v>3.0528870000000001</v>
      </c>
      <c r="T5491">
        <v>-0.158644799999999</v>
      </c>
      <c r="U5491">
        <v>-0.44177250000000001</v>
      </c>
      <c r="V5491">
        <v>2.6479579999999999E-2</v>
      </c>
      <c r="W5491">
        <v>0.16799500000000001</v>
      </c>
      <c r="X5491">
        <v>0.98543210000000003</v>
      </c>
      <c r="Y5491">
        <v>0.14105399999999901</v>
      </c>
      <c r="Z5491">
        <v>-3.5403829999999998E-3</v>
      </c>
      <c r="AA5491">
        <v>0.98999559999999998</v>
      </c>
      <c r="AB5491">
        <v>27</v>
      </c>
      <c r="AC5491">
        <v>21.207999999999998</v>
      </c>
      <c r="AD5491">
        <v>-1.1095218205599999</v>
      </c>
      <c r="AE5491">
        <v>-3.0893000000000002</v>
      </c>
      <c r="AF5491">
        <v>3.03879116064532</v>
      </c>
      <c r="AG5491">
        <v>-1.1095218205599999</v>
      </c>
      <c r="AH5491">
        <v>21.157423570833799</v>
      </c>
      <c r="AI5491">
        <v>92.971475499094296</v>
      </c>
      <c r="AJ5491">
        <v>81.8266380960644</v>
      </c>
      <c r="AK5491">
        <v>21.403314288772801</v>
      </c>
      <c r="AL5491">
        <v>80.328735036978998</v>
      </c>
      <c r="AM5491">
        <v>88.460773525605205</v>
      </c>
      <c r="AN5491">
        <v>0.99999995594619195</v>
      </c>
    </row>
    <row r="5492" spans="1:40" x14ac:dyDescent="0.25">
      <c r="A5492" t="str">
        <f>"20190312173037290"</f>
        <v>20190312173037290</v>
      </c>
      <c r="B5492" t="str">
        <f>"1552383037283559"</f>
        <v>1552383037283559</v>
      </c>
      <c r="C5492" t="s">
        <v>40</v>
      </c>
      <c r="D5492">
        <v>3.5084170000000001</v>
      </c>
      <c r="E5492">
        <v>0.5476664</v>
      </c>
      <c r="F5492" t="s">
        <v>41</v>
      </c>
      <c r="G5492">
        <v>-325.87419999999997</v>
      </c>
      <c r="H5492" s="1">
        <v>-3.0033230000000001E-6</v>
      </c>
      <c r="I5492">
        <v>14.224080000000001</v>
      </c>
      <c r="J5492">
        <v>-347.36759999999998</v>
      </c>
      <c r="K5492">
        <v>1.1095200000000001</v>
      </c>
      <c r="L5492">
        <v>17.37115</v>
      </c>
      <c r="M5492">
        <v>0.9999536</v>
      </c>
      <c r="N5492">
        <v>0</v>
      </c>
      <c r="O5492">
        <v>-2.042613E-3</v>
      </c>
      <c r="P5492">
        <v>0.98683849999999995</v>
      </c>
      <c r="Q5492">
        <v>0.158968</v>
      </c>
      <c r="R5492">
        <v>-2.965367E-2</v>
      </c>
      <c r="S5492">
        <v>3.052155</v>
      </c>
      <c r="T5492">
        <v>-0.15646350000000001</v>
      </c>
      <c r="U5492">
        <v>-0.44384770000000001</v>
      </c>
      <c r="V5492">
        <v>2.7668979999999999E-2</v>
      </c>
      <c r="W5492">
        <v>0.16824129999999901</v>
      </c>
      <c r="X5492">
        <v>0.9853575</v>
      </c>
      <c r="Y5492">
        <v>0.1417061</v>
      </c>
      <c r="Z5492">
        <v>-3.5067290000000001E-3</v>
      </c>
      <c r="AA5492">
        <v>0.98990259999999997</v>
      </c>
      <c r="AB5492">
        <v>27</v>
      </c>
      <c r="AC5492">
        <v>21.493400000000001</v>
      </c>
      <c r="AD5492">
        <v>-1.1095230033229999</v>
      </c>
      <c r="AE5492">
        <v>-3.1470699999999998</v>
      </c>
      <c r="AF5492">
        <v>3.0950841637755899</v>
      </c>
      <c r="AG5492">
        <v>-1.1095230033229999</v>
      </c>
      <c r="AH5492">
        <v>21.443839814603301</v>
      </c>
      <c r="AI5492">
        <v>92.931567834012696</v>
      </c>
      <c r="AJ5492">
        <v>81.786965993318006</v>
      </c>
      <c r="AK5492">
        <v>21.694442912186499</v>
      </c>
      <c r="AL5492">
        <v>80.314420298249104</v>
      </c>
      <c r="AM5492">
        <v>88.391548951985001</v>
      </c>
      <c r="AN5492">
        <v>1.0000000551430801</v>
      </c>
    </row>
    <row r="5493" spans="1:40" x14ac:dyDescent="0.25">
      <c r="A5493" t="str">
        <f>"20190312173037309"</f>
        <v>20190312173037309</v>
      </c>
      <c r="B5493" t="str">
        <f>"1552383037303083"</f>
        <v>1552383037303083</v>
      </c>
      <c r="C5493" t="s">
        <v>40</v>
      </c>
      <c r="D5493">
        <v>3.4751699999999999</v>
      </c>
      <c r="E5493">
        <v>0.54716929999999997</v>
      </c>
      <c r="F5493" t="s">
        <v>41</v>
      </c>
      <c r="G5493">
        <v>-325.43360000000001</v>
      </c>
      <c r="H5493" s="1">
        <v>-3.1886540000000001E-6</v>
      </c>
      <c r="I5493">
        <v>14.163399999999999</v>
      </c>
      <c r="J5493">
        <v>-347.1318</v>
      </c>
      <c r="K5493">
        <v>1.1095250000000001</v>
      </c>
      <c r="L5493">
        <v>17.370609999999999</v>
      </c>
      <c r="M5493">
        <v>0.9999536</v>
      </c>
      <c r="N5493">
        <v>0</v>
      </c>
      <c r="O5493">
        <v>-2.1141409999999999E-3</v>
      </c>
      <c r="P5493">
        <v>0.98650230000000005</v>
      </c>
      <c r="Q5493">
        <v>0.16050449999999999</v>
      </c>
      <c r="R5493">
        <v>-3.2436949999999999E-2</v>
      </c>
      <c r="S5493">
        <v>3.0514220000000001</v>
      </c>
      <c r="T5493">
        <v>-0.15435560000000001</v>
      </c>
      <c r="U5493">
        <v>-0.4462585</v>
      </c>
      <c r="V5493">
        <v>3.0382570000000001E-2</v>
      </c>
      <c r="W5493">
        <v>0.16977439999999999</v>
      </c>
      <c r="X5493">
        <v>0.98501450000000002</v>
      </c>
      <c r="Y5493">
        <v>0.14243889999999901</v>
      </c>
      <c r="Z5493">
        <v>-3.474998E-3</v>
      </c>
      <c r="AA5493">
        <v>0.9897975</v>
      </c>
      <c r="AB5493">
        <v>27</v>
      </c>
      <c r="AC5493">
        <v>21.6981999999999</v>
      </c>
      <c r="AD5493">
        <v>-1.109528188654</v>
      </c>
      <c r="AE5493">
        <v>-3.2072099999999999</v>
      </c>
      <c r="AF5493">
        <v>3.1532590675032002</v>
      </c>
      <c r="AG5493">
        <v>-1.109528188654</v>
      </c>
      <c r="AH5493">
        <v>21.649534612436302</v>
      </c>
      <c r="AI5493">
        <v>92.903234512837898</v>
      </c>
      <c r="AJ5493">
        <v>81.713129504229599</v>
      </c>
      <c r="AK5493">
        <v>21.906082362743199</v>
      </c>
      <c r="AL5493">
        <v>80.225297602900696</v>
      </c>
      <c r="AM5493">
        <v>88.2332835888175</v>
      </c>
      <c r="AN5493">
        <v>1.0000000063326999</v>
      </c>
    </row>
    <row r="5494" spans="1:40" x14ac:dyDescent="0.25">
      <c r="A5494" t="str">
        <f>"20190312173037321"</f>
        <v>20190312173037321</v>
      </c>
      <c r="B5494" t="str">
        <f>"1552383037312840"</f>
        <v>1552383037312840</v>
      </c>
      <c r="C5494" t="s">
        <v>40</v>
      </c>
      <c r="D5494">
        <v>3.4834610000000001</v>
      </c>
      <c r="E5494">
        <v>0.54690969999999905</v>
      </c>
      <c r="F5494" t="s">
        <v>41</v>
      </c>
      <c r="G5494">
        <v>-324.17230000000001</v>
      </c>
      <c r="H5494" s="1">
        <v>-3.735774E-6</v>
      </c>
      <c r="I5494">
        <v>13.97592</v>
      </c>
      <c r="J5494">
        <v>-346.99270000000001</v>
      </c>
      <c r="K5494">
        <v>1.1095280000000001</v>
      </c>
      <c r="L5494">
        <v>17.370270000000001</v>
      </c>
      <c r="M5494">
        <v>0.99995350000000005</v>
      </c>
      <c r="N5494">
        <v>0</v>
      </c>
      <c r="O5494">
        <v>-2.156224E-3</v>
      </c>
      <c r="P5494">
        <v>0.98637169999999996</v>
      </c>
      <c r="Q5494">
        <v>0.16101509999999999</v>
      </c>
      <c r="R5494">
        <v>-3.3844140000000002E-2</v>
      </c>
      <c r="S5494">
        <v>3.0502009999999999</v>
      </c>
      <c r="T5494">
        <v>-0.14740239999999999</v>
      </c>
      <c r="U5494">
        <v>-0.45098880000000002</v>
      </c>
      <c r="V5494">
        <v>3.1748930000000002E-2</v>
      </c>
      <c r="W5494">
        <v>0.17028370000000001</v>
      </c>
      <c r="X5494">
        <v>0.98488350000000002</v>
      </c>
      <c r="Y5494">
        <v>0.14396989999999901</v>
      </c>
      <c r="Z5494">
        <v>-3.354335E-3</v>
      </c>
      <c r="AA5494">
        <v>0.98957640000000002</v>
      </c>
      <c r="AB5494">
        <v>27</v>
      </c>
      <c r="AC5494">
        <v>22.820399999999999</v>
      </c>
      <c r="AD5494">
        <v>-1.109531735774</v>
      </c>
      <c r="AE5494">
        <v>-3.3943500000000002</v>
      </c>
      <c r="AF5494">
        <v>3.3374154223037702</v>
      </c>
      <c r="AG5494">
        <v>-1.109531735774</v>
      </c>
      <c r="AH5494">
        <v>22.774993308271402</v>
      </c>
      <c r="AI5494">
        <v>92.759653278945805</v>
      </c>
      <c r="AJ5494">
        <v>81.663292232088196</v>
      </c>
      <c r="AK5494">
        <v>23.044950044760999</v>
      </c>
      <c r="AL5494">
        <v>80.195685827895005</v>
      </c>
      <c r="AM5494">
        <v>88.153639519875995</v>
      </c>
      <c r="AN5494">
        <v>1.0000000208070401</v>
      </c>
    </row>
    <row r="5495" spans="1:40" x14ac:dyDescent="0.25">
      <c r="A5495" t="str">
        <f>"20190312173037333"</f>
        <v>20190312173037333</v>
      </c>
      <c r="B5495" t="str">
        <f>"1552383037323575"</f>
        <v>1552383037323575</v>
      </c>
      <c r="C5495" t="s">
        <v>40</v>
      </c>
      <c r="D5495">
        <v>3.4501219999999999</v>
      </c>
      <c r="E5495">
        <v>0.54668090000000003</v>
      </c>
      <c r="F5495" t="s">
        <v>41</v>
      </c>
      <c r="G5495">
        <v>-323.71480000000003</v>
      </c>
      <c r="H5495" s="1">
        <v>-3.9627780000000002E-6</v>
      </c>
      <c r="I5495">
        <v>13.91553</v>
      </c>
      <c r="J5495">
        <v>-346.85599999999999</v>
      </c>
      <c r="K5495">
        <v>1.1095269999999999</v>
      </c>
      <c r="L5495">
        <v>17.369900000000001</v>
      </c>
      <c r="M5495">
        <v>0.99995339999999999</v>
      </c>
      <c r="N5495">
        <v>0</v>
      </c>
      <c r="O5495">
        <v>-2.197591E-3</v>
      </c>
      <c r="P5495">
        <v>0.98628320000000003</v>
      </c>
      <c r="Q5495">
        <v>0.16124189999999999</v>
      </c>
      <c r="R5495">
        <v>-3.5312969999999999E-2</v>
      </c>
      <c r="S5495">
        <v>3.049652</v>
      </c>
      <c r="T5495">
        <v>-0.14535989999999999</v>
      </c>
      <c r="U5495">
        <v>-0.45260620000000001</v>
      </c>
      <c r="V5495">
        <v>3.3177030000000003E-2</v>
      </c>
      <c r="W5495">
        <v>0.1705102</v>
      </c>
      <c r="X5495">
        <v>0.98479720000000004</v>
      </c>
      <c r="Y5495">
        <v>0.1444722</v>
      </c>
      <c r="Z5495">
        <v>-3.3183069999999999E-3</v>
      </c>
      <c r="AA5495">
        <v>0.98950329999999997</v>
      </c>
      <c r="AB5495">
        <v>27</v>
      </c>
      <c r="AC5495">
        <v>23.141199999999898</v>
      </c>
      <c r="AD5495">
        <v>-1.1095309627779999</v>
      </c>
      <c r="AE5495">
        <v>-3.4543699999999999</v>
      </c>
      <c r="AF5495">
        <v>3.3958681482260902</v>
      </c>
      <c r="AG5495">
        <v>-1.1095309627779999</v>
      </c>
      <c r="AH5495">
        <v>23.0967974240187</v>
      </c>
      <c r="AI5495">
        <v>92.721068828127102</v>
      </c>
      <c r="AJ5495">
        <v>81.635861456631304</v>
      </c>
      <c r="AK5495">
        <v>23.3714576071681</v>
      </c>
      <c r="AL5495">
        <v>80.182515366773401</v>
      </c>
      <c r="AM5495">
        <v>88.070480771284906</v>
      </c>
      <c r="AN5495">
        <v>0.99999998437575</v>
      </c>
    </row>
    <row r="5496" spans="1:40" x14ac:dyDescent="0.25">
      <c r="A5496" t="str">
        <f>"20190312173037345"</f>
        <v>20190312173037345</v>
      </c>
      <c r="B5496" t="str">
        <f>"1552383037333336"</f>
        <v>1552383037333336</v>
      </c>
      <c r="C5496" t="s">
        <v>40</v>
      </c>
      <c r="D5496">
        <v>3.455762</v>
      </c>
      <c r="E5496">
        <v>0.54652909999999999</v>
      </c>
      <c r="F5496" t="s">
        <v>41</v>
      </c>
      <c r="G5496">
        <v>-323.48540000000003</v>
      </c>
      <c r="H5496" s="1">
        <v>-4.0767670000000002E-6</v>
      </c>
      <c r="I5496">
        <v>13.88395</v>
      </c>
      <c r="J5496">
        <v>-346.71289999999999</v>
      </c>
      <c r="K5496">
        <v>1.1095280000000001</v>
      </c>
      <c r="L5496">
        <v>17.369540000000001</v>
      </c>
      <c r="M5496">
        <v>0.99995330000000004</v>
      </c>
      <c r="N5496">
        <v>0</v>
      </c>
      <c r="O5496">
        <v>-2.240747E-3</v>
      </c>
      <c r="P5496">
        <v>0.98627640000000005</v>
      </c>
      <c r="Q5496">
        <v>0.16101509999999999</v>
      </c>
      <c r="R5496">
        <v>-3.6512000000000003E-2</v>
      </c>
      <c r="S5496">
        <v>3.0491030000000001</v>
      </c>
      <c r="T5496">
        <v>-0.14475769999999999</v>
      </c>
      <c r="U5496">
        <v>-0.45480350000000003</v>
      </c>
      <c r="V5496">
        <v>3.4333610000000001E-2</v>
      </c>
      <c r="W5496">
        <v>0.17028279999999901</v>
      </c>
      <c r="X5496">
        <v>0.98479689999999998</v>
      </c>
      <c r="Y5496">
        <v>0.14515349999999999</v>
      </c>
      <c r="Z5496">
        <v>-3.3190310000000001E-3</v>
      </c>
      <c r="AA5496">
        <v>0.98940360000000005</v>
      </c>
      <c r="AB5496">
        <v>27</v>
      </c>
      <c r="AC5496">
        <v>23.2274999999999</v>
      </c>
      <c r="AD5496">
        <v>-1.1095320767670001</v>
      </c>
      <c r="AE5496">
        <v>-3.4855900000000002</v>
      </c>
      <c r="AF5496">
        <v>3.4258870157501198</v>
      </c>
      <c r="AG5496">
        <v>-1.1095320767670001</v>
      </c>
      <c r="AH5496">
        <v>23.183517554639302</v>
      </c>
      <c r="AI5496">
        <v>92.710617483667406</v>
      </c>
      <c r="AJ5496">
        <v>81.594091322532904</v>
      </c>
      <c r="AK5496">
        <v>23.461527006576699</v>
      </c>
      <c r="AL5496">
        <v>80.195737769196796</v>
      </c>
      <c r="AM5496">
        <v>88.003268984402993</v>
      </c>
      <c r="AN5496">
        <v>0.99999998150054004</v>
      </c>
    </row>
    <row r="5497" spans="1:40" x14ac:dyDescent="0.25">
      <c r="A5497" t="str">
        <f>"20190312173037356"</f>
        <v>20190312173037356</v>
      </c>
      <c r="B5497" t="str">
        <f>"1552383037352855"</f>
        <v>1552383037352855</v>
      </c>
      <c r="C5497" t="s">
        <v>40</v>
      </c>
      <c r="D5497">
        <v>3.4510629999999902</v>
      </c>
      <c r="E5497">
        <v>0.54619410000000002</v>
      </c>
      <c r="F5497" t="s">
        <v>41</v>
      </c>
      <c r="G5497">
        <v>-323.4708</v>
      </c>
      <c r="H5497" s="1">
        <v>-4.0834730000000003E-6</v>
      </c>
      <c r="I5497">
        <v>13.88517</v>
      </c>
      <c r="J5497">
        <v>-346.56349999999998</v>
      </c>
      <c r="K5497">
        <v>1.109529</v>
      </c>
      <c r="L5497">
        <v>17.369139999999899</v>
      </c>
      <c r="M5497">
        <v>0.99995310000000004</v>
      </c>
      <c r="N5497">
        <v>0</v>
      </c>
      <c r="O5497">
        <v>-2.2860480000000002E-3</v>
      </c>
      <c r="P5497">
        <v>0.98632679999999995</v>
      </c>
      <c r="Q5497">
        <v>0.1605094</v>
      </c>
      <c r="R5497">
        <v>-3.7364870000000001E-2</v>
      </c>
      <c r="S5497">
        <v>3.048584</v>
      </c>
      <c r="T5497">
        <v>-0.14553329999999901</v>
      </c>
      <c r="U5497">
        <v>-0.45703129999999997</v>
      </c>
      <c r="V5497">
        <v>3.5141749999999999E-2</v>
      </c>
      <c r="W5497">
        <v>0.1697786</v>
      </c>
      <c r="X5497">
        <v>0.98485549999999999</v>
      </c>
      <c r="Y5497">
        <v>0.145838</v>
      </c>
      <c r="Z5497">
        <v>-3.3512630000000002E-3</v>
      </c>
      <c r="AA5497">
        <v>0.98930280000000004</v>
      </c>
      <c r="AB5497">
        <v>27</v>
      </c>
      <c r="AC5497">
        <v>23.092699999999901</v>
      </c>
      <c r="AD5497">
        <v>-1.1095330834729999</v>
      </c>
      <c r="AE5497">
        <v>-3.48396999999999</v>
      </c>
      <c r="AF5497">
        <v>3.4234403837480198</v>
      </c>
      <c r="AG5497">
        <v>-1.1095330834729999</v>
      </c>
      <c r="AH5497">
        <v>23.0485808643826</v>
      </c>
      <c r="AI5497">
        <v>92.726165723455196</v>
      </c>
      <c r="AJ5497">
        <v>81.551539219005804</v>
      </c>
      <c r="AK5497">
        <v>23.327839325286501</v>
      </c>
      <c r="AL5497">
        <v>80.225053705994696</v>
      </c>
      <c r="AM5497">
        <v>87.956431087092596</v>
      </c>
      <c r="AN5497">
        <v>1.00000003574563</v>
      </c>
    </row>
    <row r="5498" spans="1:40" x14ac:dyDescent="0.25">
      <c r="A5498" t="str">
        <f>"20190312173037369"</f>
        <v>20190312173037369</v>
      </c>
      <c r="B5498" t="str">
        <f>"1552383037363592"</f>
        <v>1552383037363592</v>
      </c>
      <c r="C5498" t="s">
        <v>40</v>
      </c>
      <c r="D5498">
        <v>3.4247200000000002</v>
      </c>
      <c r="E5498">
        <v>0.54603459999999904</v>
      </c>
      <c r="F5498" t="s">
        <v>41</v>
      </c>
      <c r="G5498">
        <v>-323.50799999999998</v>
      </c>
      <c r="H5498" s="1">
        <v>-4.061008E-6</v>
      </c>
      <c r="I5498">
        <v>13.912699999999999</v>
      </c>
      <c r="J5498">
        <v>-346.42079999999999</v>
      </c>
      <c r="K5498">
        <v>1.109524</v>
      </c>
      <c r="L5498">
        <v>17.368770000000001</v>
      </c>
      <c r="M5498">
        <v>0.99995319999999999</v>
      </c>
      <c r="N5498">
        <v>0</v>
      </c>
      <c r="O5498">
        <v>-2.3293229999999999E-3</v>
      </c>
      <c r="P5498">
        <v>0.98636360000000001</v>
      </c>
      <c r="Q5498">
        <v>0.16000519999999999</v>
      </c>
      <c r="R5498">
        <v>-3.8540709999999999E-2</v>
      </c>
      <c r="S5498">
        <v>3.0481259999999999</v>
      </c>
      <c r="T5498">
        <v>-0.146689299999999</v>
      </c>
      <c r="U5498">
        <v>-0.45697019999999999</v>
      </c>
      <c r="V5498">
        <v>3.6274580000000001E-2</v>
      </c>
      <c r="W5498">
        <v>0.16927439999999999</v>
      </c>
      <c r="X5498">
        <v>0.98490120000000003</v>
      </c>
      <c r="Y5498">
        <v>0.14579510000000001</v>
      </c>
      <c r="Z5498">
        <v>-3.375262E-3</v>
      </c>
      <c r="AA5498">
        <v>0.98930910000000005</v>
      </c>
      <c r="AB5498">
        <v>27</v>
      </c>
      <c r="AC5498">
        <v>22.912800000000001</v>
      </c>
      <c r="AD5498">
        <v>-1.1095280610079901</v>
      </c>
      <c r="AE5498">
        <v>-3.45607</v>
      </c>
      <c r="AF5498">
        <v>3.3949034106873301</v>
      </c>
      <c r="AG5498">
        <v>-1.1095280610079901</v>
      </c>
      <c r="AH5498">
        <v>22.868357855991299</v>
      </c>
      <c r="AI5498">
        <v>92.7476359405224</v>
      </c>
      <c r="AJ5498">
        <v>81.555873744621493</v>
      </c>
      <c r="AK5498">
        <v>23.145587327085501</v>
      </c>
      <c r="AL5498">
        <v>80.254366373865594</v>
      </c>
      <c r="AM5498">
        <v>87.890710938122993</v>
      </c>
      <c r="AN5498">
        <v>1.00000002070548</v>
      </c>
    </row>
    <row r="5499" spans="1:40" x14ac:dyDescent="0.25">
      <c r="A5499" t="str">
        <f>"20190312173037381"</f>
        <v>20190312173037381</v>
      </c>
      <c r="B5499" t="str">
        <f>"1552383037373352"</f>
        <v>1552383037373352</v>
      </c>
      <c r="C5499" t="s">
        <v>40</v>
      </c>
      <c r="D5499">
        <v>3.4286759999999998</v>
      </c>
      <c r="E5499">
        <v>0.54584540000000004</v>
      </c>
      <c r="F5499" t="s">
        <v>41</v>
      </c>
      <c r="G5499">
        <v>-323.52640000000002</v>
      </c>
      <c r="H5499" s="1">
        <v>-4.0518900000000003E-6</v>
      </c>
      <c r="I5499">
        <v>13.915089999999999</v>
      </c>
      <c r="J5499">
        <v>-346.26929999999999</v>
      </c>
      <c r="K5499">
        <v>1.1095219999999999</v>
      </c>
      <c r="L5499">
        <v>17.368379999999998</v>
      </c>
      <c r="M5499">
        <v>0.99995299999999998</v>
      </c>
      <c r="N5499">
        <v>0</v>
      </c>
      <c r="O5499">
        <v>-2.3753390000000002E-3</v>
      </c>
      <c r="P5499">
        <v>0.98638519999999996</v>
      </c>
      <c r="Q5499">
        <v>0.15953390000000001</v>
      </c>
      <c r="R5499">
        <v>-3.991981E-2</v>
      </c>
      <c r="S5499">
        <v>3.0474549999999998</v>
      </c>
      <c r="T5499">
        <v>-0.1476885</v>
      </c>
      <c r="U5499">
        <v>-0.45971679999999998</v>
      </c>
      <c r="V5499">
        <v>3.76084E-2</v>
      </c>
      <c r="W5499">
        <v>0.16880339999999999</v>
      </c>
      <c r="X5499">
        <v>0.98493200000000003</v>
      </c>
      <c r="Y5499">
        <v>0.14665020000000001</v>
      </c>
      <c r="Z5499">
        <v>-3.4171169999999999E-3</v>
      </c>
      <c r="AA5499">
        <v>0.98918249999999996</v>
      </c>
      <c r="AB5499">
        <v>27</v>
      </c>
      <c r="AC5499">
        <v>22.742899999999899</v>
      </c>
      <c r="AD5499">
        <v>-1.1095260518900001</v>
      </c>
      <c r="AE5499">
        <v>-3.4532899999999902</v>
      </c>
      <c r="AF5499">
        <v>3.3913661034648199</v>
      </c>
      <c r="AG5499">
        <v>-1.1095260518900001</v>
      </c>
      <c r="AH5499">
        <v>22.698233790742002</v>
      </c>
      <c r="AI5499">
        <v>92.767807362185906</v>
      </c>
      <c r="AJ5499">
        <v>81.502241121543307</v>
      </c>
      <c r="AK5499">
        <v>22.976993478841699</v>
      </c>
      <c r="AL5499">
        <v>80.281746621352596</v>
      </c>
      <c r="AM5499">
        <v>87.813294444611401</v>
      </c>
      <c r="AN5499">
        <v>1.0000000121130499</v>
      </c>
    </row>
    <row r="5500" spans="1:40" x14ac:dyDescent="0.25">
      <c r="A5500" t="str">
        <f>"20190312173037399"</f>
        <v>20190312173037399</v>
      </c>
      <c r="B5500" t="str">
        <f>"1552383037392875"</f>
        <v>1552383037392875</v>
      </c>
      <c r="C5500" t="s">
        <v>40</v>
      </c>
      <c r="D5500">
        <v>3.4358789999999999</v>
      </c>
      <c r="E5500">
        <v>0.5454502</v>
      </c>
      <c r="F5500" t="s">
        <v>41</v>
      </c>
      <c r="G5500">
        <v>-323.5027</v>
      </c>
      <c r="H5500" s="1">
        <v>-4.0637130000000003E-6</v>
      </c>
      <c r="I5500">
        <v>13.91164</v>
      </c>
      <c r="J5500">
        <v>-346.05189999999999</v>
      </c>
      <c r="K5500">
        <v>1.109518</v>
      </c>
      <c r="L5500">
        <v>17.36777</v>
      </c>
      <c r="M5500">
        <v>0.99995270000000003</v>
      </c>
      <c r="N5500">
        <v>0</v>
      </c>
      <c r="O5500">
        <v>-2.4409280000000002E-3</v>
      </c>
      <c r="P5500">
        <v>0.98626930000000002</v>
      </c>
      <c r="Q5500">
        <v>0.1593745</v>
      </c>
      <c r="R5500">
        <v>-4.3274600000000003E-2</v>
      </c>
      <c r="S5500">
        <v>3.0466609999999998</v>
      </c>
      <c r="T5500">
        <v>-0.14847859999999999</v>
      </c>
      <c r="U5500">
        <v>-0.46258539999999998</v>
      </c>
      <c r="V5500">
        <v>4.089868E-2</v>
      </c>
      <c r="W5500">
        <v>0.16864689999999999</v>
      </c>
      <c r="X5500">
        <v>0.98482760000000003</v>
      </c>
      <c r="Y5500">
        <v>0.147531</v>
      </c>
      <c r="Z5500">
        <v>-3.4541730000000001E-3</v>
      </c>
      <c r="AA5500">
        <v>0.98905140000000002</v>
      </c>
      <c r="AB5500">
        <v>27</v>
      </c>
      <c r="AC5500">
        <v>22.5491999999999</v>
      </c>
      <c r="AD5500">
        <v>-1.1095220637129899</v>
      </c>
      <c r="AE5500">
        <v>-3.4561299999999999</v>
      </c>
      <c r="AF5500">
        <v>3.39304998842956</v>
      </c>
      <c r="AG5500">
        <v>-1.1095220637129899</v>
      </c>
      <c r="AH5500">
        <v>22.504335076061398</v>
      </c>
      <c r="AI5500">
        <v>92.791050147221299</v>
      </c>
      <c r="AJ5500">
        <v>81.425914611720998</v>
      </c>
      <c r="AK5500">
        <v>22.785717558363</v>
      </c>
      <c r="AL5500">
        <v>80.290843132386698</v>
      </c>
      <c r="AM5500">
        <v>87.621943154283102</v>
      </c>
      <c r="AN5500">
        <v>0.99999994031355399</v>
      </c>
    </row>
    <row r="5501" spans="1:40" x14ac:dyDescent="0.25">
      <c r="A5501" t="str">
        <f>"20190312173037410"</f>
        <v>20190312173037410</v>
      </c>
      <c r="B5501" t="str">
        <f>"1552383037403607"</f>
        <v>1552383037403607</v>
      </c>
      <c r="C5501" t="s">
        <v>40</v>
      </c>
      <c r="D5501">
        <v>3.432194</v>
      </c>
      <c r="E5501">
        <v>0.545261</v>
      </c>
      <c r="F5501" t="s">
        <v>41</v>
      </c>
      <c r="G5501">
        <v>-323.26229999999998</v>
      </c>
      <c r="H5501" s="1">
        <v>-4.1878760000000004E-6</v>
      </c>
      <c r="I5501">
        <v>13.852329999999901</v>
      </c>
      <c r="J5501">
        <v>-345.92320000000001</v>
      </c>
      <c r="K5501">
        <v>1.109515</v>
      </c>
      <c r="L5501">
        <v>17.3674</v>
      </c>
      <c r="M5501">
        <v>0.99995259999999997</v>
      </c>
      <c r="N5501">
        <v>0</v>
      </c>
      <c r="O5501">
        <v>-2.4799290000000001E-3</v>
      </c>
      <c r="P5501">
        <v>0.98616280000000001</v>
      </c>
      <c r="Q5501">
        <v>0.15941949999999999</v>
      </c>
      <c r="R5501">
        <v>-4.5480199999999998E-2</v>
      </c>
      <c r="S5501">
        <v>3.045105</v>
      </c>
      <c r="T5501">
        <v>-0.1482522</v>
      </c>
      <c r="U5501">
        <v>-0.46972659999999999</v>
      </c>
      <c r="V5501">
        <v>4.3065989999999998E-2</v>
      </c>
      <c r="W5501">
        <v>0.16869489999999901</v>
      </c>
      <c r="X5501">
        <v>0.98472700000000002</v>
      </c>
      <c r="Y5501">
        <v>0.14983109999999999</v>
      </c>
      <c r="Z5501">
        <v>-3.5037900000000001E-3</v>
      </c>
      <c r="AA5501">
        <v>0.98870539999999996</v>
      </c>
      <c r="AB5501">
        <v>27</v>
      </c>
      <c r="AC5501">
        <v>22.660900000000002</v>
      </c>
      <c r="AD5501">
        <v>-1.109519187876</v>
      </c>
      <c r="AE5501">
        <v>-3.5150700000000001</v>
      </c>
      <c r="AF5501">
        <v>3.4507812187499698</v>
      </c>
      <c r="AG5501">
        <v>-1.109519187876</v>
      </c>
      <c r="AH5501">
        <v>22.616603804277698</v>
      </c>
      <c r="AI5501">
        <v>92.776468319929293</v>
      </c>
      <c r="AJ5501">
        <v>81.324868126078002</v>
      </c>
      <c r="AK5501">
        <v>22.905232840720299</v>
      </c>
      <c r="AL5501">
        <v>80.288053118614002</v>
      </c>
      <c r="AM5501">
        <v>87.495825634829501</v>
      </c>
      <c r="AN5501">
        <v>0.99999995665484398</v>
      </c>
    </row>
    <row r="5502" spans="1:40" x14ac:dyDescent="0.25">
      <c r="A5502" t="str">
        <f>"20190312173037421"</f>
        <v>20190312173037421</v>
      </c>
      <c r="B5502" t="str">
        <f>"1552383037413368"</f>
        <v>1552383037413368</v>
      </c>
      <c r="C5502" t="s">
        <v>40</v>
      </c>
      <c r="D5502">
        <v>3.4356249999999999</v>
      </c>
      <c r="E5502">
        <v>0.54506919999999903</v>
      </c>
      <c r="F5502" t="s">
        <v>41</v>
      </c>
      <c r="G5502">
        <v>-323.13979999999998</v>
      </c>
      <c r="H5502" s="1">
        <v>-4.2521180000000004E-6</v>
      </c>
      <c r="I5502">
        <v>13.816470000000001</v>
      </c>
      <c r="J5502">
        <v>-345.78829999999999</v>
      </c>
      <c r="K5502">
        <v>1.1095109999999999</v>
      </c>
      <c r="L5502">
        <v>17.36703</v>
      </c>
      <c r="M5502">
        <v>0.99995250000000002</v>
      </c>
      <c r="N5502">
        <v>0</v>
      </c>
      <c r="O5502">
        <v>-2.520839E-3</v>
      </c>
      <c r="P5502">
        <v>0.98604480000000005</v>
      </c>
      <c r="Q5502">
        <v>0.15953819999999999</v>
      </c>
      <c r="R5502">
        <v>-4.7573770000000001E-2</v>
      </c>
      <c r="S5502">
        <v>3.0441889999999998</v>
      </c>
      <c r="T5502">
        <v>-0.14824809999999999</v>
      </c>
      <c r="U5502">
        <v>-0.47445680000000001</v>
      </c>
      <c r="V5502">
        <v>4.5119800000000002E-2</v>
      </c>
      <c r="W5502">
        <v>0.1688161</v>
      </c>
      <c r="X5502">
        <v>0.98461430000000005</v>
      </c>
      <c r="Y5502">
        <v>0.15133379999999999</v>
      </c>
      <c r="Z5502">
        <v>-3.5386860000000001E-3</v>
      </c>
      <c r="AA5502">
        <v>0.98847640000000003</v>
      </c>
      <c r="AB5502">
        <v>27</v>
      </c>
      <c r="AC5502">
        <v>22.648499999999999</v>
      </c>
      <c r="AD5502">
        <v>-1.1095152521179901</v>
      </c>
      <c r="AE5502">
        <v>-3.5505599999999902</v>
      </c>
      <c r="AF5502">
        <v>3.4852893551966302</v>
      </c>
      <c r="AG5502">
        <v>-1.1095152521179901</v>
      </c>
      <c r="AH5502">
        <v>22.604432349627899</v>
      </c>
      <c r="AI5502">
        <v>92.777282553036102</v>
      </c>
      <c r="AJ5502">
        <v>81.234811357574898</v>
      </c>
      <c r="AK5502">
        <v>22.898441602716801</v>
      </c>
      <c r="AL5502">
        <v>80.281008210642995</v>
      </c>
      <c r="AM5502">
        <v>87.376265163971595</v>
      </c>
      <c r="AN5502">
        <v>0.99999999586787003</v>
      </c>
    </row>
    <row r="5503" spans="1:40" x14ac:dyDescent="0.25">
      <c r="A5503" t="str">
        <f>"20190312173037432"</f>
        <v>20190312173037432</v>
      </c>
      <c r="B5503" t="str">
        <f>"1552383037423128"</f>
        <v>1552383037423128</v>
      </c>
      <c r="C5503" t="s">
        <v>40</v>
      </c>
      <c r="D5503">
        <v>3.4165399999999999</v>
      </c>
      <c r="E5503">
        <v>0.54488130000000001</v>
      </c>
      <c r="F5503" t="s">
        <v>41</v>
      </c>
      <c r="G5503">
        <v>-322.94159999999999</v>
      </c>
      <c r="H5503" s="1">
        <v>-4.3538630000000004E-6</v>
      </c>
      <c r="I5503">
        <v>13.771240000000001</v>
      </c>
      <c r="J5503">
        <v>-345.64749999999998</v>
      </c>
      <c r="K5503">
        <v>1.1095109999999999</v>
      </c>
      <c r="L5503">
        <v>17.36664</v>
      </c>
      <c r="M5503">
        <v>0.99995230000000002</v>
      </c>
      <c r="N5503">
        <v>0</v>
      </c>
      <c r="O5503">
        <v>-2.5634170000000001E-3</v>
      </c>
      <c r="P5503">
        <v>0.98593509999999995</v>
      </c>
      <c r="Q5503">
        <v>0.15959609999999999</v>
      </c>
      <c r="R5503">
        <v>-4.9611019999999999E-2</v>
      </c>
      <c r="S5503">
        <v>3.0432739999999998</v>
      </c>
      <c r="T5503">
        <v>-0.1477917</v>
      </c>
      <c r="U5503">
        <v>-0.47897339999999999</v>
      </c>
      <c r="V5503">
        <v>4.7115320000000002E-2</v>
      </c>
      <c r="W5503">
        <v>0.16887720000000001</v>
      </c>
      <c r="X5503">
        <v>0.98451040000000001</v>
      </c>
      <c r="Y5503">
        <v>0.15276809999999999</v>
      </c>
      <c r="Z5503">
        <v>-3.5609940000000001E-3</v>
      </c>
      <c r="AA5503">
        <v>0.98825560000000001</v>
      </c>
      <c r="AB5503">
        <v>27</v>
      </c>
      <c r="AC5503">
        <v>22.7058999999999</v>
      </c>
      <c r="AD5503">
        <v>-1.109515353863</v>
      </c>
      <c r="AE5503">
        <v>-3.5954000000000002</v>
      </c>
      <c r="AF5503">
        <v>3.5289607376753498</v>
      </c>
      <c r="AG5503">
        <v>-1.109515353863</v>
      </c>
      <c r="AH5503">
        <v>22.662254063718201</v>
      </c>
      <c r="AI5503">
        <v>92.769565936034297</v>
      </c>
      <c r="AJ5503">
        <v>81.148999789141399</v>
      </c>
      <c r="AK5503">
        <v>22.962193872908198</v>
      </c>
      <c r="AL5503">
        <v>80.277456924590894</v>
      </c>
      <c r="AM5503">
        <v>87.260109228050297</v>
      </c>
      <c r="AN5503">
        <v>1.0000000448833499</v>
      </c>
    </row>
    <row r="5504" spans="1:40" x14ac:dyDescent="0.25">
      <c r="A5504" t="str">
        <f>"20190312173037443"</f>
        <v>20190312173037443</v>
      </c>
      <c r="B5504" t="str">
        <f>"1552383037432888"</f>
        <v>1552383037432888</v>
      </c>
      <c r="C5504" t="s">
        <v>40</v>
      </c>
      <c r="D5504">
        <v>3.4616479999999998</v>
      </c>
      <c r="E5504">
        <v>0.54470529999999995</v>
      </c>
      <c r="F5504" t="s">
        <v>41</v>
      </c>
      <c r="G5504">
        <v>-322.7251</v>
      </c>
      <c r="H5504" s="1">
        <v>-4.4646980000000002E-6</v>
      </c>
      <c r="I5504">
        <v>13.723330000000001</v>
      </c>
      <c r="J5504">
        <v>-345.51459999999997</v>
      </c>
      <c r="K5504">
        <v>1.1095139999999999</v>
      </c>
      <c r="L5504">
        <v>17.366239999999902</v>
      </c>
      <c r="M5504">
        <v>0.99995219999999996</v>
      </c>
      <c r="N5504">
        <v>0</v>
      </c>
      <c r="O5504">
        <v>-2.6036089999999998E-3</v>
      </c>
      <c r="P5504">
        <v>0.98583750000000003</v>
      </c>
      <c r="Q5504">
        <v>0.15963649999999999</v>
      </c>
      <c r="R5504">
        <v>-5.1388650000000001E-2</v>
      </c>
      <c r="S5504">
        <v>3.0423279999999999</v>
      </c>
      <c r="T5504">
        <v>-0.14725820000000001</v>
      </c>
      <c r="U5504">
        <v>-0.48355100000000001</v>
      </c>
      <c r="V5504">
        <v>4.8853599999999997E-2</v>
      </c>
      <c r="W5504">
        <v>0.16891999999999999</v>
      </c>
      <c r="X5504">
        <v>0.98441829999999997</v>
      </c>
      <c r="Y5504">
        <v>0.15422569999999999</v>
      </c>
      <c r="Z5504">
        <v>-3.5819290000000002E-3</v>
      </c>
      <c r="AA5504">
        <v>0.98802920000000005</v>
      </c>
      <c r="AB5504">
        <v>27</v>
      </c>
      <c r="AC5504">
        <v>22.789499999999901</v>
      </c>
      <c r="AD5504">
        <v>-1.1095184646980001</v>
      </c>
      <c r="AE5504">
        <v>-3.6429099999999899</v>
      </c>
      <c r="AF5504">
        <v>3.57529676332789</v>
      </c>
      <c r="AG5504">
        <v>-1.1095184646980001</v>
      </c>
      <c r="AH5504">
        <v>22.746336044695401</v>
      </c>
      <c r="AI5504">
        <v>92.758736974000499</v>
      </c>
      <c r="AJ5504">
        <v>81.067265065386493</v>
      </c>
      <c r="AK5504">
        <v>23.0523226948517</v>
      </c>
      <c r="AL5504">
        <v>80.274968627871402</v>
      </c>
      <c r="AM5504">
        <v>87.158920572259504</v>
      </c>
      <c r="AN5504">
        <v>1.0000000150039201</v>
      </c>
    </row>
    <row r="5505" spans="1:40" x14ac:dyDescent="0.25">
      <c r="A5505" t="str">
        <f>"20190312173037454"</f>
        <v>20190312173037454</v>
      </c>
      <c r="B5505" t="str">
        <f>"1552383037443624"</f>
        <v>1552383037443624</v>
      </c>
      <c r="C5505" t="s">
        <v>40</v>
      </c>
      <c r="D5505">
        <v>3.4389759999999998</v>
      </c>
      <c r="E5505">
        <v>0.54455569999999998</v>
      </c>
      <c r="F5505" t="s">
        <v>41</v>
      </c>
      <c r="G5505">
        <v>-322.5104</v>
      </c>
      <c r="H5505" s="1">
        <v>-4.5746290000000004E-6</v>
      </c>
      <c r="I5505">
        <v>13.675599999999999</v>
      </c>
      <c r="J5505">
        <v>-345.37759999999997</v>
      </c>
      <c r="K5505">
        <v>1.1095170000000001</v>
      </c>
      <c r="L5505">
        <v>17.36581</v>
      </c>
      <c r="M5505">
        <v>0.99995199999999995</v>
      </c>
      <c r="N5505">
        <v>0</v>
      </c>
      <c r="O5505">
        <v>-2.6451119999999998E-3</v>
      </c>
      <c r="P5505">
        <v>0.98576299999999994</v>
      </c>
      <c r="Q5505">
        <v>0.1593967</v>
      </c>
      <c r="R5505">
        <v>-5.3516630000000003E-2</v>
      </c>
      <c r="S5505">
        <v>3.0414119999999998</v>
      </c>
      <c r="T5505">
        <v>-0.14669099999999999</v>
      </c>
      <c r="U5505">
        <v>-0.48794559999999998</v>
      </c>
      <c r="V5505">
        <v>5.0940770000000003E-2</v>
      </c>
      <c r="W5505">
        <v>0.16868269999999999</v>
      </c>
      <c r="X5505">
        <v>0.98435320000000004</v>
      </c>
      <c r="Y5505">
        <v>0.1556225</v>
      </c>
      <c r="Z5505">
        <v>-3.6002669999999999E-3</v>
      </c>
      <c r="AA5505">
        <v>0.98781010000000002</v>
      </c>
      <c r="AB5505">
        <v>27</v>
      </c>
      <c r="AC5505">
        <v>22.867199999999901</v>
      </c>
      <c r="AD5505">
        <v>-1.1095215746289999</v>
      </c>
      <c r="AE5505">
        <v>-3.69021</v>
      </c>
      <c r="AF5505">
        <v>3.6213989402839899</v>
      </c>
      <c r="AG5505">
        <v>-1.1095215746289999</v>
      </c>
      <c r="AH5505">
        <v>22.8245115391592</v>
      </c>
      <c r="AI5505">
        <v>92.748683784404307</v>
      </c>
      <c r="AJ5505">
        <v>80.984446952409897</v>
      </c>
      <c r="AK5505">
        <v>23.1366353519795</v>
      </c>
      <c r="AL5505">
        <v>80.288762899768798</v>
      </c>
      <c r="AM5505">
        <v>87.037557478866802</v>
      </c>
      <c r="AN5505">
        <v>1.00000001883886</v>
      </c>
    </row>
    <row r="5506" spans="1:40" x14ac:dyDescent="0.25">
      <c r="A5506" t="str">
        <f>"20190312173037467"</f>
        <v>20190312173037467</v>
      </c>
      <c r="B5506" t="str">
        <f>"1552383037463144"</f>
        <v>1552383037463144</v>
      </c>
      <c r="C5506" t="s">
        <v>40</v>
      </c>
      <c r="D5506">
        <v>3.4031150000000001</v>
      </c>
      <c r="E5506">
        <v>0.54418290000000002</v>
      </c>
      <c r="F5506" t="s">
        <v>41</v>
      </c>
      <c r="G5506">
        <v>-322.42950000000002</v>
      </c>
      <c r="H5506" s="1">
        <v>-4.6191929999999998E-6</v>
      </c>
      <c r="I5506">
        <v>13.639950000000001</v>
      </c>
      <c r="J5506">
        <v>-345.23329999999999</v>
      </c>
      <c r="K5506">
        <v>1.10951</v>
      </c>
      <c r="L5506">
        <v>17.365389999999898</v>
      </c>
      <c r="M5506">
        <v>0.9999519</v>
      </c>
      <c r="N5506">
        <v>0</v>
      </c>
      <c r="O5506">
        <v>-2.6888810000000002E-3</v>
      </c>
      <c r="P5506">
        <v>0.98564399999999996</v>
      </c>
      <c r="Q5506">
        <v>0.15946949999999999</v>
      </c>
      <c r="R5506">
        <v>-5.5456890000000002E-2</v>
      </c>
      <c r="S5506">
        <v>3.0402830000000001</v>
      </c>
      <c r="T5506">
        <v>-0.14699519999999999</v>
      </c>
      <c r="U5506">
        <v>-0.4936218</v>
      </c>
      <c r="V5506">
        <v>5.2838499999999997E-2</v>
      </c>
      <c r="W5506">
        <v>0.16875789999999999</v>
      </c>
      <c r="X5506">
        <v>0.98424020000000001</v>
      </c>
      <c r="Y5506">
        <v>0.15743089999999901</v>
      </c>
      <c r="Z5506">
        <v>-3.6498239999999999E-3</v>
      </c>
      <c r="AA5506">
        <v>0.98752329999999999</v>
      </c>
      <c r="AB5506">
        <v>27</v>
      </c>
      <c r="AC5506">
        <v>22.803799999999899</v>
      </c>
      <c r="AD5506">
        <v>-1.1095146191930001</v>
      </c>
      <c r="AE5506">
        <v>-3.7254399999999901</v>
      </c>
      <c r="AF5506">
        <v>3.6556780140767202</v>
      </c>
      <c r="AG5506">
        <v>-1.1095146191930001</v>
      </c>
      <c r="AH5506">
        <v>22.7612534739167</v>
      </c>
      <c r="AI5506">
        <v>92.755459931507204</v>
      </c>
      <c r="AJ5506">
        <v>80.875665245777</v>
      </c>
      <c r="AK5506">
        <v>23.079637435122098</v>
      </c>
      <c r="AL5506">
        <v>80.284390949974195</v>
      </c>
      <c r="AM5506">
        <v>86.927051254115298</v>
      </c>
      <c r="AN5506">
        <v>0.99999995359534799</v>
      </c>
    </row>
    <row r="5507" spans="1:40" x14ac:dyDescent="0.25">
      <c r="A5507" t="str">
        <f>"20190312173037489"</f>
        <v>20190312173037489</v>
      </c>
      <c r="B5507" t="str">
        <f>"1552383037483639"</f>
        <v>1552383037483639</v>
      </c>
      <c r="C5507" t="s">
        <v>40</v>
      </c>
      <c r="D5507">
        <v>3.4137499999999998</v>
      </c>
      <c r="E5507">
        <v>0.54380980000000001</v>
      </c>
      <c r="F5507" t="s">
        <v>41</v>
      </c>
      <c r="G5507">
        <v>-322.13659999999999</v>
      </c>
      <c r="H5507" s="1">
        <v>-4.7669409999999997E-6</v>
      </c>
      <c r="I5507">
        <v>13.587529999999999</v>
      </c>
      <c r="J5507">
        <v>-344.95650000000001</v>
      </c>
      <c r="K5507">
        <v>1.109513</v>
      </c>
      <c r="L5507">
        <v>17.364560000000001</v>
      </c>
      <c r="M5507">
        <v>0.99995149999999999</v>
      </c>
      <c r="N5507">
        <v>0</v>
      </c>
      <c r="O5507">
        <v>-2.7726119999999998E-3</v>
      </c>
      <c r="P5507">
        <v>0.98530240000000002</v>
      </c>
      <c r="Q5507">
        <v>0.1599632</v>
      </c>
      <c r="R5507">
        <v>-5.9923230000000001E-2</v>
      </c>
      <c r="S5507">
        <v>3.039307</v>
      </c>
      <c r="T5507">
        <v>-0.1460021</v>
      </c>
      <c r="U5507">
        <v>-0.4971313</v>
      </c>
      <c r="V5507">
        <v>5.7223309999999999E-2</v>
      </c>
      <c r="W5507">
        <v>0.1692565</v>
      </c>
      <c r="X5507">
        <v>0.98390940000000005</v>
      </c>
      <c r="Y5507">
        <v>0.1585104</v>
      </c>
      <c r="Z5507">
        <v>-3.647754E-3</v>
      </c>
      <c r="AA5507">
        <v>0.98735059999999997</v>
      </c>
      <c r="AB5507">
        <v>27</v>
      </c>
      <c r="AC5507">
        <v>22.819900000000001</v>
      </c>
      <c r="AD5507">
        <v>-1.1095177669409999</v>
      </c>
      <c r="AE5507">
        <v>-3.7770299999999999</v>
      </c>
      <c r="AF5507">
        <v>3.7052164803490402</v>
      </c>
      <c r="AG5507">
        <v>-1.1095177669409999</v>
      </c>
      <c r="AH5507">
        <v>22.777874673934502</v>
      </c>
      <c r="AI5507">
        <v>92.752569191427099</v>
      </c>
      <c r="AJ5507">
        <v>80.760772313380102</v>
      </c>
      <c r="AK5507">
        <v>23.1039224700672</v>
      </c>
      <c r="AL5507">
        <v>80.255406668895802</v>
      </c>
      <c r="AM5507">
        <v>86.671477097248399</v>
      </c>
      <c r="AN5507">
        <v>0.99999998870398299</v>
      </c>
    </row>
    <row r="5508" spans="1:40" x14ac:dyDescent="0.25">
      <c r="A5508" t="str">
        <f>"20190312173037501"</f>
        <v>20190312173037501</v>
      </c>
      <c r="B5508" t="str">
        <f>"1552383037493401"</f>
        <v>1552383037493401</v>
      </c>
      <c r="C5508" t="s">
        <v>40</v>
      </c>
      <c r="D5508">
        <v>3.4419550000000001</v>
      </c>
      <c r="E5508">
        <v>0.54365750000000002</v>
      </c>
      <c r="F5508" t="s">
        <v>41</v>
      </c>
      <c r="G5508">
        <v>-321.55029999999999</v>
      </c>
      <c r="H5508" s="1">
        <v>-5.0688800000000002E-6</v>
      </c>
      <c r="I5508">
        <v>13.448</v>
      </c>
      <c r="J5508">
        <v>-344.80829999999997</v>
      </c>
      <c r="K5508">
        <v>1.1095139999999999</v>
      </c>
      <c r="L5508">
        <v>17.364070000000002</v>
      </c>
      <c r="M5508">
        <v>0.99995140000000005</v>
      </c>
      <c r="N5508">
        <v>0</v>
      </c>
      <c r="O5508">
        <v>-2.81759E-3</v>
      </c>
      <c r="P5508">
        <v>0.98504139999999996</v>
      </c>
      <c r="Q5508">
        <v>0.1605789</v>
      </c>
      <c r="R5508">
        <v>-6.2515070000000006E-2</v>
      </c>
      <c r="S5508">
        <v>3.0371700000000001</v>
      </c>
      <c r="T5508">
        <v>-0.14396979999999901</v>
      </c>
      <c r="U5508">
        <v>-0.50820920000000003</v>
      </c>
      <c r="V5508">
        <v>5.9771659999999997E-2</v>
      </c>
      <c r="W5508">
        <v>0.16987639999999901</v>
      </c>
      <c r="X5508">
        <v>0.98365100000000005</v>
      </c>
      <c r="Y5508">
        <v>0.1620817</v>
      </c>
      <c r="Z5508">
        <v>-3.680366E-3</v>
      </c>
      <c r="AA5508">
        <v>0.98677049999999999</v>
      </c>
      <c r="AB5508">
        <v>27</v>
      </c>
      <c r="AC5508">
        <v>23.2579999999999</v>
      </c>
      <c r="AD5508">
        <v>-1.1095190688799901</v>
      </c>
      <c r="AE5508">
        <v>-3.9160699999999999</v>
      </c>
      <c r="AF5508">
        <v>3.8420175899818201</v>
      </c>
      <c r="AG5508">
        <v>-1.1095190688799901</v>
      </c>
      <c r="AH5508">
        <v>23.2175613012068</v>
      </c>
      <c r="AI5508">
        <v>92.699311958685499</v>
      </c>
      <c r="AJ5508">
        <v>80.6039026313005</v>
      </c>
      <c r="AK5508">
        <v>23.559441515053599</v>
      </c>
      <c r="AL5508">
        <v>80.219366894403606</v>
      </c>
      <c r="AM5508">
        <v>86.522691389851701</v>
      </c>
      <c r="AN5508">
        <v>0.99999996620855702</v>
      </c>
    </row>
    <row r="5509" spans="1:40" x14ac:dyDescent="0.25">
      <c r="A5509" t="str">
        <f>"20190312173037511"</f>
        <v>20190312173037511</v>
      </c>
      <c r="B5509" t="str">
        <f>"1552383037503161"</f>
        <v>1552383037503161</v>
      </c>
      <c r="C5509" t="s">
        <v>40</v>
      </c>
      <c r="D5509">
        <v>3.4331670000000001</v>
      </c>
      <c r="E5509">
        <v>0.54347489999999998</v>
      </c>
      <c r="F5509" t="s">
        <v>41</v>
      </c>
      <c r="G5509">
        <v>-321.05680000000001</v>
      </c>
      <c r="H5509" s="1">
        <v>-5.322152E-6</v>
      </c>
      <c r="I5509">
        <v>13.335190000000001</v>
      </c>
      <c r="J5509">
        <v>-344.69229999999999</v>
      </c>
      <c r="K5509">
        <v>1.1095200000000001</v>
      </c>
      <c r="L5509">
        <v>17.363710000000001</v>
      </c>
      <c r="M5509">
        <v>0.99995129999999999</v>
      </c>
      <c r="N5509">
        <v>0</v>
      </c>
      <c r="O5509">
        <v>-2.8527869999999999E-3</v>
      </c>
      <c r="P5509">
        <v>0.9848133</v>
      </c>
      <c r="Q5509">
        <v>0.16106210000000001</v>
      </c>
      <c r="R5509">
        <v>-6.4824779999999999E-2</v>
      </c>
      <c r="S5509">
        <v>3.0359799999999999</v>
      </c>
      <c r="T5509">
        <v>-0.141822</v>
      </c>
      <c r="U5509">
        <v>-0.51498409999999994</v>
      </c>
      <c r="V5509">
        <v>6.2047520000000002E-2</v>
      </c>
      <c r="W5509">
        <v>0.17036319999999999</v>
      </c>
      <c r="X5509">
        <v>0.98342589999999996</v>
      </c>
      <c r="Y5509">
        <v>0.1642536</v>
      </c>
      <c r="Z5509">
        <v>-3.6749640000000002E-3</v>
      </c>
      <c r="AA5509">
        <v>0.98641129999999999</v>
      </c>
      <c r="AB5509">
        <v>27</v>
      </c>
      <c r="AC5509">
        <v>23.635499999999901</v>
      </c>
      <c r="AD5509">
        <v>-1.1095253221520001</v>
      </c>
      <c r="AE5509">
        <v>-4.0285200000000003</v>
      </c>
      <c r="AF5509">
        <v>3.9526092340277801</v>
      </c>
      <c r="AG5509">
        <v>-1.1095253221520001</v>
      </c>
      <c r="AH5509">
        <v>23.596366397278398</v>
      </c>
      <c r="AI5509">
        <v>92.655183749744495</v>
      </c>
      <c r="AJ5509">
        <v>80.490713474121804</v>
      </c>
      <c r="AK5509">
        <v>23.950838677424802</v>
      </c>
      <c r="AL5509">
        <v>80.191063140042004</v>
      </c>
      <c r="AM5509">
        <v>86.389809355911694</v>
      </c>
      <c r="AN5509">
        <v>1.0000000077216</v>
      </c>
    </row>
    <row r="5510" spans="1:40" x14ac:dyDescent="0.25">
      <c r="A5510" t="str">
        <f>"20190312173037521"</f>
        <v>20190312173037521</v>
      </c>
      <c r="B5510" t="str">
        <f>"1552383037512920"</f>
        <v>1552383037512920</v>
      </c>
      <c r="C5510" t="s">
        <v>40</v>
      </c>
      <c r="D5510">
        <v>3.4024269999999999</v>
      </c>
      <c r="E5510">
        <v>0.54326770000000002</v>
      </c>
      <c r="F5510" t="s">
        <v>41</v>
      </c>
      <c r="G5510">
        <v>-320.637</v>
      </c>
      <c r="H5510" s="1">
        <v>-5.5380859999999996E-6</v>
      </c>
      <c r="I5510">
        <v>13.236579999999901</v>
      </c>
      <c r="J5510">
        <v>-344.55610000000001</v>
      </c>
      <c r="K5510">
        <v>1.109521</v>
      </c>
      <c r="L5510">
        <v>17.36328</v>
      </c>
      <c r="M5510">
        <v>0.99995109999999998</v>
      </c>
      <c r="N5510">
        <v>0</v>
      </c>
      <c r="O5510">
        <v>-2.8939510000000001E-3</v>
      </c>
      <c r="P5510">
        <v>0.98454070000000005</v>
      </c>
      <c r="Q5510">
        <v>0.16160369999999999</v>
      </c>
      <c r="R5510">
        <v>-6.755854E-2</v>
      </c>
      <c r="S5510">
        <v>3.0348820000000001</v>
      </c>
      <c r="T5510">
        <v>-0.13998089999999999</v>
      </c>
      <c r="U5510">
        <v>-0.52069089999999996</v>
      </c>
      <c r="V5510">
        <v>6.4741599999999996E-2</v>
      </c>
      <c r="W5510">
        <v>0.17090959999999999</v>
      </c>
      <c r="X5510">
        <v>0.98315739999999996</v>
      </c>
      <c r="Y5510">
        <v>0.16607649999999999</v>
      </c>
      <c r="Z5510">
        <v>-3.6678610000000001E-3</v>
      </c>
      <c r="AA5510">
        <v>0.98610600000000004</v>
      </c>
      <c r="AB5510">
        <v>27</v>
      </c>
      <c r="AC5510">
        <v>23.9191</v>
      </c>
      <c r="AD5510">
        <v>-1.109526538086</v>
      </c>
      <c r="AE5510">
        <v>-4.1266999999999996</v>
      </c>
      <c r="AF5510">
        <v>4.0489984413233904</v>
      </c>
      <c r="AG5510">
        <v>-1.109526538086</v>
      </c>
      <c r="AH5510">
        <v>23.881042827316602</v>
      </c>
      <c r="AI5510">
        <v>92.622704271260901</v>
      </c>
      <c r="AJ5510">
        <v>80.377090936767999</v>
      </c>
      <c r="AK5510">
        <v>24.247260547053301</v>
      </c>
      <c r="AL5510">
        <v>80.159290872810104</v>
      </c>
      <c r="AM5510">
        <v>86.232472431829095</v>
      </c>
      <c r="AN5510">
        <v>1.00000001965873</v>
      </c>
    </row>
    <row r="5511" spans="1:40" x14ac:dyDescent="0.25">
      <c r="A5511" t="str">
        <f>"20190312173037533"</f>
        <v>20190312173037533</v>
      </c>
      <c r="B5511" t="str">
        <f>"1552383037523655"</f>
        <v>1552383037523655</v>
      </c>
      <c r="C5511" t="s">
        <v>40</v>
      </c>
      <c r="D5511">
        <v>3.3989829999999999</v>
      </c>
      <c r="E5511">
        <v>0.54307130000000003</v>
      </c>
      <c r="F5511" t="s">
        <v>41</v>
      </c>
      <c r="G5511">
        <v>-320.21519999999998</v>
      </c>
      <c r="H5511" s="1">
        <v>-5.7556530000000004E-6</v>
      </c>
      <c r="I5511">
        <v>13.13401</v>
      </c>
      <c r="J5511">
        <v>-344.42020000000002</v>
      </c>
      <c r="K5511">
        <v>1.1095219999999999</v>
      </c>
      <c r="L5511">
        <v>17.362819999999999</v>
      </c>
      <c r="M5511">
        <v>0.99995080000000003</v>
      </c>
      <c r="N5511">
        <v>0</v>
      </c>
      <c r="O5511">
        <v>-2.935006E-3</v>
      </c>
      <c r="P5511">
        <v>0.98428919999999998</v>
      </c>
      <c r="Q5511">
        <v>0.1621359</v>
      </c>
      <c r="R5511">
        <v>-6.9906800000000005E-2</v>
      </c>
      <c r="S5511">
        <v>3.03363</v>
      </c>
      <c r="T5511">
        <v>-0.1382816</v>
      </c>
      <c r="U5511">
        <v>-0.5270996</v>
      </c>
      <c r="V5511">
        <v>6.7050269999999995E-2</v>
      </c>
      <c r="W5511">
        <v>0.17144799999999999</v>
      </c>
      <c r="X5511">
        <v>0.98290880000000003</v>
      </c>
      <c r="Y5511">
        <v>0.16812820000000001</v>
      </c>
      <c r="Z5511">
        <v>-3.6687400000000002E-3</v>
      </c>
      <c r="AA5511">
        <v>0.98575829999999998</v>
      </c>
      <c r="AB5511">
        <v>27</v>
      </c>
      <c r="AC5511">
        <v>24.204999999999998</v>
      </c>
      <c r="AD5511">
        <v>-1.1095277556530001</v>
      </c>
      <c r="AE5511">
        <v>-4.2288100000000002</v>
      </c>
      <c r="AF5511">
        <v>4.1492865491817303</v>
      </c>
      <c r="AG5511">
        <v>-1.1095277556530001</v>
      </c>
      <c r="AH5511">
        <v>24.168030251576202</v>
      </c>
      <c r="AI5511">
        <v>92.590689604944401</v>
      </c>
      <c r="AJ5511">
        <v>80.258153201276201</v>
      </c>
      <c r="AK5511">
        <v>24.546717029959201</v>
      </c>
      <c r="AL5511">
        <v>80.127979814951601</v>
      </c>
      <c r="AM5511">
        <v>86.097547375614496</v>
      </c>
      <c r="AN5511">
        <v>0.99999993226425399</v>
      </c>
    </row>
    <row r="5512" spans="1:40" x14ac:dyDescent="0.25">
      <c r="A5512" t="str">
        <f>"20190312173037544"</f>
        <v>20190312173037544</v>
      </c>
      <c r="B5512" t="str">
        <f>"1552383037533417"</f>
        <v>1552383037533417</v>
      </c>
      <c r="C5512" t="s">
        <v>40</v>
      </c>
      <c r="D5512">
        <v>3.430129</v>
      </c>
      <c r="E5512">
        <v>0.54285269999999997</v>
      </c>
      <c r="F5512" t="s">
        <v>43</v>
      </c>
      <c r="G5512">
        <v>-318.66410000000002</v>
      </c>
      <c r="H5512">
        <v>-0.05</v>
      </c>
      <c r="I5512">
        <v>12.83887</v>
      </c>
      <c r="J5512">
        <v>-344.2878</v>
      </c>
      <c r="K5512">
        <v>1.109526</v>
      </c>
      <c r="L5512">
        <v>17.362400000000001</v>
      </c>
      <c r="M5512">
        <v>0.99995060000000002</v>
      </c>
      <c r="N5512">
        <v>0</v>
      </c>
      <c r="O5512">
        <v>-2.9749870000000001E-3</v>
      </c>
      <c r="P5512">
        <v>0.98402889999999998</v>
      </c>
      <c r="Q5512">
        <v>0.16258649999999999</v>
      </c>
      <c r="R5512">
        <v>-7.2478260000000003E-2</v>
      </c>
      <c r="S5512">
        <v>3.0325319999999998</v>
      </c>
      <c r="T5512">
        <v>-0.136522799999999</v>
      </c>
      <c r="U5512">
        <v>-0.53265379999999996</v>
      </c>
      <c r="V5512">
        <v>6.9583510000000001E-2</v>
      </c>
      <c r="W5512">
        <v>0.171905</v>
      </c>
      <c r="X5512">
        <v>0.982653</v>
      </c>
      <c r="Y5512">
        <v>0.1699032</v>
      </c>
      <c r="Z5512">
        <v>-3.6606939999999999E-3</v>
      </c>
      <c r="AA5512">
        <v>0.98545400000000005</v>
      </c>
      <c r="AB5512">
        <v>27</v>
      </c>
      <c r="AC5512">
        <v>25.6236999999999</v>
      </c>
      <c r="AD5512">
        <v>-1.1595260000000001</v>
      </c>
      <c r="AE5512">
        <v>-4.5235300000000001</v>
      </c>
      <c r="AF5512">
        <v>4.4384622049946003</v>
      </c>
      <c r="AG5512">
        <v>-1.1595260000000001</v>
      </c>
      <c r="AH5512">
        <v>25.586233922494198</v>
      </c>
      <c r="AI5512">
        <v>92.556644566229195</v>
      </c>
      <c r="AJ5512">
        <v>80.158794606983193</v>
      </c>
      <c r="AK5512">
        <v>25.9942265441084</v>
      </c>
      <c r="AL5512">
        <v>80.101402275203</v>
      </c>
      <c r="AM5512">
        <v>85.949538999361707</v>
      </c>
      <c r="AN5512">
        <v>1.0000000561489499</v>
      </c>
    </row>
    <row r="5513" spans="1:40" x14ac:dyDescent="0.25">
      <c r="A5513" t="str">
        <f>"20190312173037554"</f>
        <v>20190312173037554</v>
      </c>
      <c r="B5513" t="str">
        <f>"1552383037543175"</f>
        <v>1552383037543175</v>
      </c>
      <c r="C5513" t="s">
        <v>40</v>
      </c>
      <c r="D5513">
        <v>3.4375689999999999</v>
      </c>
      <c r="E5513">
        <v>0.54263619999999901</v>
      </c>
      <c r="F5513" t="s">
        <v>43</v>
      </c>
      <c r="G5513">
        <v>-318.27769999999998</v>
      </c>
      <c r="H5513">
        <v>-0.05</v>
      </c>
      <c r="I5513">
        <v>12.7386</v>
      </c>
      <c r="J5513">
        <v>-344.15199999999999</v>
      </c>
      <c r="K5513">
        <v>1.109531</v>
      </c>
      <c r="L5513">
        <v>17.361940000000001</v>
      </c>
      <c r="M5513">
        <v>0.99995040000000002</v>
      </c>
      <c r="N5513">
        <v>0</v>
      </c>
      <c r="O5513">
        <v>-3.0160450000000002E-3</v>
      </c>
      <c r="P5513">
        <v>0.98381750000000001</v>
      </c>
      <c r="Q5513">
        <v>0.16267329999999999</v>
      </c>
      <c r="R5513">
        <v>-7.5105850000000002E-2</v>
      </c>
      <c r="S5513">
        <v>3.031342</v>
      </c>
      <c r="T5513">
        <v>-0.1351367</v>
      </c>
      <c r="U5513">
        <v>-0.53887940000000001</v>
      </c>
      <c r="V5513">
        <v>7.2171170000000007E-2</v>
      </c>
      <c r="W5513">
        <v>0.1719995</v>
      </c>
      <c r="X5513">
        <v>0.98244980000000004</v>
      </c>
      <c r="Y5513">
        <v>0.171892299999999</v>
      </c>
      <c r="Z5513">
        <v>-3.6664789999999998E-3</v>
      </c>
      <c r="AA5513">
        <v>0.98510889999999995</v>
      </c>
      <c r="AB5513">
        <v>27</v>
      </c>
      <c r="AC5513">
        <v>25.874300000000002</v>
      </c>
      <c r="AD5513">
        <v>-1.1595309999999901</v>
      </c>
      <c r="AE5513">
        <v>-4.6233399999999998</v>
      </c>
      <c r="AF5513">
        <v>4.5364487561882001</v>
      </c>
      <c r="AG5513">
        <v>-1.1595309999999901</v>
      </c>
      <c r="AH5513">
        <v>25.837842619422101</v>
      </c>
      <c r="AI5513">
        <v>92.5308909741794</v>
      </c>
      <c r="AJ5513">
        <v>80.041857035556006</v>
      </c>
      <c r="AK5513">
        <v>26.258674579717599</v>
      </c>
      <c r="AL5513">
        <v>80.095905973292801</v>
      </c>
      <c r="AM5513">
        <v>85.798574984513493</v>
      </c>
      <c r="AN5513">
        <v>1.0000000576497201</v>
      </c>
    </row>
    <row r="5514" spans="1:40" x14ac:dyDescent="0.25">
      <c r="A5514" t="str">
        <f>"20190312173037566"</f>
        <v>20190312173037566</v>
      </c>
      <c r="B5514" t="str">
        <f>"1552383037563672"</f>
        <v>1552383037563672</v>
      </c>
      <c r="C5514" t="s">
        <v>40</v>
      </c>
      <c r="D5514">
        <v>3.426752</v>
      </c>
      <c r="E5514">
        <v>0.54241169999999905</v>
      </c>
      <c r="F5514" t="s">
        <v>43</v>
      </c>
      <c r="G5514">
        <v>-318.0926</v>
      </c>
      <c r="H5514">
        <v>-0.05</v>
      </c>
      <c r="I5514">
        <v>12.66963</v>
      </c>
      <c r="J5514">
        <v>-344.01780000000002</v>
      </c>
      <c r="K5514">
        <v>1.1095330000000001</v>
      </c>
      <c r="L5514">
        <v>17.361509999999999</v>
      </c>
      <c r="M5514">
        <v>0.99995020000000001</v>
      </c>
      <c r="N5514">
        <v>0</v>
      </c>
      <c r="O5514">
        <v>-3.0563909999999999E-3</v>
      </c>
      <c r="P5514">
        <v>0.9835585</v>
      </c>
      <c r="Q5514">
        <v>0.16296759999999999</v>
      </c>
      <c r="R5514">
        <v>-7.7811050000000007E-2</v>
      </c>
      <c r="S5514">
        <v>3.0300289999999999</v>
      </c>
      <c r="T5514">
        <v>-0.1348232</v>
      </c>
      <c r="U5514">
        <v>-0.54559329999999995</v>
      </c>
      <c r="V5514">
        <v>7.4837570000000006E-2</v>
      </c>
      <c r="W5514">
        <v>0.1723015</v>
      </c>
      <c r="X5514">
        <v>0.98219730000000005</v>
      </c>
      <c r="Y5514">
        <v>0.17403929999999901</v>
      </c>
      <c r="Z5514">
        <v>-3.704415E-3</v>
      </c>
      <c r="AA5514">
        <v>0.98473169999999999</v>
      </c>
      <c r="AB5514">
        <v>27</v>
      </c>
      <c r="AC5514">
        <v>25.9252</v>
      </c>
      <c r="AD5514">
        <v>-1.1595329999999999</v>
      </c>
      <c r="AE5514">
        <v>-4.6918799999999896</v>
      </c>
      <c r="AF5514">
        <v>4.6036996760133304</v>
      </c>
      <c r="AG5514">
        <v>-1.1595329999999999</v>
      </c>
      <c r="AH5514">
        <v>25.889272710842</v>
      </c>
      <c r="AI5514">
        <v>92.5249022608659</v>
      </c>
      <c r="AJ5514">
        <v>79.916908530735796</v>
      </c>
      <c r="AK5514">
        <v>26.320961399260501</v>
      </c>
      <c r="AL5514">
        <v>80.078339853368306</v>
      </c>
      <c r="AM5514">
        <v>85.642822582542806</v>
      </c>
      <c r="AN5514">
        <v>1.0000000024565201</v>
      </c>
    </row>
    <row r="5515" spans="1:40" x14ac:dyDescent="0.25">
      <c r="A5515" t="str">
        <f>"20190312173037577"</f>
        <v>20190312173037577</v>
      </c>
      <c r="B5515" t="str">
        <f>"1552383037573432"</f>
        <v>1552383037573432</v>
      </c>
      <c r="C5515" t="s">
        <v>40</v>
      </c>
      <c r="D5515">
        <v>3.4193069999999999</v>
      </c>
      <c r="E5515">
        <v>0.53223030000000005</v>
      </c>
      <c r="F5515" t="s">
        <v>43</v>
      </c>
      <c r="G5515">
        <v>-317.79480000000001</v>
      </c>
      <c r="H5515">
        <v>-0.05</v>
      </c>
      <c r="I5515">
        <v>12.57652</v>
      </c>
      <c r="J5515">
        <v>-343.88199999999898</v>
      </c>
      <c r="K5515">
        <v>1.1095349999999999</v>
      </c>
      <c r="L5515">
        <v>17.36102</v>
      </c>
      <c r="M5515">
        <v>0.99994989999999995</v>
      </c>
      <c r="N5515">
        <v>0</v>
      </c>
      <c r="O5515">
        <v>-3.0974599999999998E-3</v>
      </c>
      <c r="P5515">
        <v>0.9832864</v>
      </c>
      <c r="Q5515">
        <v>0.16317429999999999</v>
      </c>
      <c r="R5515">
        <v>-8.0757560000000006E-2</v>
      </c>
      <c r="S5515">
        <v>3.0286249999999999</v>
      </c>
      <c r="T5515">
        <v>-0.13392029999999999</v>
      </c>
      <c r="U5515">
        <v>-0.55264279999999999</v>
      </c>
      <c r="V5515">
        <v>7.7744709999999995E-2</v>
      </c>
      <c r="W5515">
        <v>0.17251759999999999</v>
      </c>
      <c r="X5515">
        <v>0.98193350000000001</v>
      </c>
      <c r="Y5515">
        <v>0.17629719999999999</v>
      </c>
      <c r="Z5515">
        <v>-3.728238E-3</v>
      </c>
      <c r="AA5515">
        <v>0.98432989999999998</v>
      </c>
      <c r="AB5515">
        <v>27</v>
      </c>
      <c r="AC5515">
        <v>26.0871999999999</v>
      </c>
      <c r="AD5515">
        <v>-1.159535</v>
      </c>
      <c r="AE5515">
        <v>-4.7845000000000004</v>
      </c>
      <c r="AF5515">
        <v>4.69469602664741</v>
      </c>
      <c r="AG5515">
        <v>-1.159535</v>
      </c>
      <c r="AH5515">
        <v>26.0521001170071</v>
      </c>
      <c r="AI5515">
        <v>92.508111076111902</v>
      </c>
      <c r="AJ5515">
        <v>79.784697965654104</v>
      </c>
      <c r="AK5515">
        <v>26.497105742050501</v>
      </c>
      <c r="AL5515">
        <v>80.065769784390795</v>
      </c>
      <c r="AM5515">
        <v>85.473042973909003</v>
      </c>
      <c r="AN5515">
        <v>0.99999998033249604</v>
      </c>
    </row>
    <row r="5516" spans="1:40" x14ac:dyDescent="0.25">
      <c r="A5516" t="str">
        <f>"20190312173037588"</f>
        <v>20190312173037588</v>
      </c>
      <c r="B5516" t="str">
        <f>"1552383037583192"</f>
        <v>1552383037583192</v>
      </c>
      <c r="C5516" t="s">
        <v>40</v>
      </c>
      <c r="D5516">
        <v>3.390933</v>
      </c>
      <c r="E5516">
        <v>0.53222609999999904</v>
      </c>
      <c r="F5516" t="s">
        <v>41</v>
      </c>
      <c r="G5516">
        <v>-320.27210000000002</v>
      </c>
      <c r="H5516" s="1">
        <v>-5.6423080000000004E-6</v>
      </c>
      <c r="I5516">
        <v>13.62144</v>
      </c>
      <c r="J5516">
        <v>-343.745</v>
      </c>
      <c r="K5516">
        <v>1.1095389999999901</v>
      </c>
      <c r="L5516">
        <v>17.360529999999901</v>
      </c>
      <c r="M5516">
        <v>0.99994970000000005</v>
      </c>
      <c r="N5516">
        <v>0</v>
      </c>
      <c r="O5516">
        <v>-3.1388890000000002E-3</v>
      </c>
      <c r="P5516">
        <v>0.98300290000000001</v>
      </c>
      <c r="Q5516">
        <v>0.16328019999999999</v>
      </c>
      <c r="R5516">
        <v>-8.3934239999999993E-2</v>
      </c>
      <c r="S5516">
        <v>3.0351870000000001</v>
      </c>
      <c r="T5516">
        <v>-0.1426376</v>
      </c>
      <c r="U5516">
        <v>-0.48074339999999999</v>
      </c>
      <c r="V5516">
        <v>8.0881419999999996E-2</v>
      </c>
      <c r="W5516">
        <v>0.1726326</v>
      </c>
      <c r="X5516">
        <v>0.98165990000000003</v>
      </c>
      <c r="Y5516">
        <v>0.15317720000000001</v>
      </c>
      <c r="Z5516">
        <v>-3.4285100000000001E-3</v>
      </c>
      <c r="AA5516">
        <v>0.98819279999999998</v>
      </c>
      <c r="AB5516">
        <v>27</v>
      </c>
      <c r="AC5516">
        <v>23.4728999999999</v>
      </c>
      <c r="AD5516">
        <v>-1.10954464230799</v>
      </c>
      <c r="AE5516">
        <v>-3.7390899999999898</v>
      </c>
      <c r="AF5516">
        <v>3.6574195911248402</v>
      </c>
      <c r="AG5516">
        <v>-1.10954464230799</v>
      </c>
      <c r="AH5516">
        <v>23.433458053808899</v>
      </c>
      <c r="AI5516">
        <v>92.678478721617495</v>
      </c>
      <c r="AJ5516">
        <v>81.129027169662393</v>
      </c>
      <c r="AK5516">
        <v>23.743099286707199</v>
      </c>
      <c r="AL5516">
        <v>80.059080491378793</v>
      </c>
      <c r="AM5516">
        <v>85.289896089722404</v>
      </c>
      <c r="AN5516">
        <v>0.99999998897599296</v>
      </c>
    </row>
    <row r="5517" spans="1:40" x14ac:dyDescent="0.25">
      <c r="A5517" t="str">
        <f>"20190312173037599"</f>
        <v>20190312173037599</v>
      </c>
      <c r="B5517" t="str">
        <f>"1552383037592951"</f>
        <v>1552383037592951</v>
      </c>
      <c r="C5517" t="s">
        <v>40</v>
      </c>
      <c r="D5517">
        <v>3.4186589999999901</v>
      </c>
      <c r="E5517">
        <v>0.53190760000000004</v>
      </c>
      <c r="F5517" t="s">
        <v>41</v>
      </c>
      <c r="G5517">
        <v>-320.0378</v>
      </c>
      <c r="H5517" s="1">
        <v>-5.7704540000000001E-6</v>
      </c>
      <c r="I5517">
        <v>13.52346</v>
      </c>
      <c r="J5517">
        <v>-343.59890000000001</v>
      </c>
      <c r="K5517">
        <v>1.10954</v>
      </c>
      <c r="L5517">
        <v>17.360050000000001</v>
      </c>
      <c r="M5517">
        <v>0.99994950000000005</v>
      </c>
      <c r="N5517">
        <v>0</v>
      </c>
      <c r="O5517">
        <v>-3.1830650000000001E-3</v>
      </c>
      <c r="P5517">
        <v>0.9826066</v>
      </c>
      <c r="Q5517">
        <v>0.1639147</v>
      </c>
      <c r="R5517">
        <v>-8.7273139999999999E-2</v>
      </c>
      <c r="S5517">
        <v>3.0335999999999999</v>
      </c>
      <c r="T5517">
        <v>-0.14197860000000001</v>
      </c>
      <c r="U5517">
        <v>-0.49099730000000003</v>
      </c>
      <c r="V5517">
        <v>8.41784E-2</v>
      </c>
      <c r="W5517">
        <v>0.17327699999999999</v>
      </c>
      <c r="X5517">
        <v>0.98126910000000001</v>
      </c>
      <c r="Y5517">
        <v>0.1564672</v>
      </c>
      <c r="Z5517">
        <v>-3.4879400000000001E-3</v>
      </c>
      <c r="AA5517">
        <v>0.98767700000000003</v>
      </c>
      <c r="AB5517">
        <v>27</v>
      </c>
      <c r="AC5517">
        <v>23.5611</v>
      </c>
      <c r="AD5517">
        <v>-1.1095457704539999</v>
      </c>
      <c r="AE5517">
        <v>-3.8365900000000002</v>
      </c>
      <c r="AF5517">
        <v>3.7534616699653198</v>
      </c>
      <c r="AG5517">
        <v>-1.1095457704539999</v>
      </c>
      <c r="AH5517">
        <v>23.522375601133</v>
      </c>
      <c r="AI5517">
        <v>92.666938297783901</v>
      </c>
      <c r="AJ5517">
        <v>80.933755943189894</v>
      </c>
      <c r="AK5517">
        <v>23.845790409324</v>
      </c>
      <c r="AL5517">
        <v>80.021594113743404</v>
      </c>
      <c r="AM5517">
        <v>85.096872143935997</v>
      </c>
      <c r="AN5517">
        <v>0.99999998418518399</v>
      </c>
    </row>
    <row r="5518" spans="1:40" x14ac:dyDescent="0.25">
      <c r="A5518" t="str">
        <f>"20190312173037611"</f>
        <v>20190312173037611</v>
      </c>
      <c r="B5518" t="str">
        <f>"1552383037603687"</f>
        <v>1552383037603687</v>
      </c>
      <c r="C5518" t="s">
        <v>40</v>
      </c>
      <c r="D5518">
        <v>3.4197129999999998</v>
      </c>
      <c r="E5518">
        <v>0.53154809999999997</v>
      </c>
      <c r="F5518" t="s">
        <v>41</v>
      </c>
      <c r="G5518">
        <v>-320.05020000000002</v>
      </c>
      <c r="H5518" s="1">
        <v>-5.7714959999999996E-6</v>
      </c>
      <c r="I5518">
        <v>13.484360000000001</v>
      </c>
      <c r="J5518">
        <v>-343.45639999999997</v>
      </c>
      <c r="K5518">
        <v>1.1095429999999999</v>
      </c>
      <c r="L5518">
        <v>17.359529999999999</v>
      </c>
      <c r="M5518">
        <v>0.99994910000000004</v>
      </c>
      <c r="N5518">
        <v>0</v>
      </c>
      <c r="O5518">
        <v>-3.2260549999999998E-3</v>
      </c>
      <c r="P5518">
        <v>0.98222149999999997</v>
      </c>
      <c r="Q5518">
        <v>0.1642313</v>
      </c>
      <c r="R5518">
        <v>-9.0934429999999997E-2</v>
      </c>
      <c r="S5518">
        <v>3.0326230000000001</v>
      </c>
      <c r="T5518">
        <v>-0.142888299999999</v>
      </c>
      <c r="U5518">
        <v>-0.49911499999999998</v>
      </c>
      <c r="V5518">
        <v>8.7798909999999994E-2</v>
      </c>
      <c r="W5518">
        <v>0.17360429999999999</v>
      </c>
      <c r="X5518">
        <v>0.98089389999999999</v>
      </c>
      <c r="Y5518">
        <v>0.15904470000000001</v>
      </c>
      <c r="Z5518">
        <v>-3.5688999999999999E-3</v>
      </c>
      <c r="AA5518">
        <v>0.9872649</v>
      </c>
      <c r="AB5518">
        <v>27</v>
      </c>
      <c r="AC5518">
        <v>23.406199999999899</v>
      </c>
      <c r="AD5518">
        <v>-1.109548771496</v>
      </c>
      <c r="AE5518">
        <v>-3.87516999999999</v>
      </c>
      <c r="AF5518">
        <v>3.7913442959292198</v>
      </c>
      <c r="AG5518">
        <v>-1.109548771496</v>
      </c>
      <c r="AH5518">
        <v>23.3674711275922</v>
      </c>
      <c r="AI5518">
        <v>92.683472917650604</v>
      </c>
      <c r="AJ5518">
        <v>80.784136384102197</v>
      </c>
      <c r="AK5518">
        <v>23.6990315613414</v>
      </c>
      <c r="AL5518">
        <v>80.002552498076398</v>
      </c>
      <c r="AM5518">
        <v>84.885138336452798</v>
      </c>
      <c r="AN5518">
        <v>0.999999972316443</v>
      </c>
    </row>
    <row r="5519" spans="1:40" x14ac:dyDescent="0.25">
      <c r="A5519" t="str">
        <f>"20190312173037621"</f>
        <v>20190312173037621</v>
      </c>
      <c r="B5519" t="str">
        <f>"1552383037613448"</f>
        <v>1552383037613448</v>
      </c>
      <c r="C5519" t="s">
        <v>40</v>
      </c>
      <c r="D5519">
        <v>3.4013140000000002</v>
      </c>
      <c r="E5519">
        <v>0.53093729999999995</v>
      </c>
      <c r="F5519" t="s">
        <v>41</v>
      </c>
      <c r="G5519">
        <v>-320.06639999999999</v>
      </c>
      <c r="H5519" s="1">
        <v>-5.7715050000000001E-6</v>
      </c>
      <c r="I5519">
        <v>13.44122</v>
      </c>
      <c r="J5519">
        <v>-343.32530000000003</v>
      </c>
      <c r="K5519">
        <v>1.109545</v>
      </c>
      <c r="L5519">
        <v>17.35904</v>
      </c>
      <c r="M5519">
        <v>0.99994879999999997</v>
      </c>
      <c r="N5519">
        <v>0</v>
      </c>
      <c r="O5519">
        <v>-3.2655850000000001E-3</v>
      </c>
      <c r="P5519">
        <v>0.98179570000000005</v>
      </c>
      <c r="Q5519">
        <v>0.16470000000000001</v>
      </c>
      <c r="R5519">
        <v>-9.4610719999999995E-2</v>
      </c>
      <c r="S5519">
        <v>3.031342</v>
      </c>
      <c r="T5519">
        <v>-0.14379739999999999</v>
      </c>
      <c r="U5519">
        <v>-0.5078125</v>
      </c>
      <c r="V5519">
        <v>9.1437870000000004E-2</v>
      </c>
      <c r="W5519">
        <v>0.1740823</v>
      </c>
      <c r="X5519">
        <v>0.98047660000000003</v>
      </c>
      <c r="Y5519">
        <v>0.1618233</v>
      </c>
      <c r="Z5519">
        <v>-3.655794E-3</v>
      </c>
      <c r="AA5519">
        <v>0.98681289999999999</v>
      </c>
      <c r="AB5519">
        <v>28</v>
      </c>
      <c r="AC5519">
        <v>23.258900000000001</v>
      </c>
      <c r="AD5519">
        <v>-1.1095507715049999</v>
      </c>
      <c r="AE5519">
        <v>-3.9178199999999901</v>
      </c>
      <c r="AF5519">
        <v>3.8333588027899999</v>
      </c>
      <c r="AG5519">
        <v>-1.1095507715049999</v>
      </c>
      <c r="AH5519">
        <v>23.2201861784357</v>
      </c>
      <c r="AI5519">
        <v>92.699254085867906</v>
      </c>
      <c r="AJ5519">
        <v>80.625743309817494</v>
      </c>
      <c r="AK5519">
        <v>23.560619448280502</v>
      </c>
      <c r="AL5519">
        <v>79.974741393243406</v>
      </c>
      <c r="AM5519">
        <v>84.672086366736806</v>
      </c>
      <c r="AN5519">
        <v>0.99999994719549201</v>
      </c>
    </row>
    <row r="5520" spans="1:40" x14ac:dyDescent="0.25">
      <c r="A5520" t="str">
        <f>"20190312173037633"</f>
        <v>20190312173037633</v>
      </c>
      <c r="B5520" t="str">
        <f>"1552383037623208"</f>
        <v>1552383037623208</v>
      </c>
      <c r="C5520" t="s">
        <v>40</v>
      </c>
      <c r="D5520">
        <v>3.4552870000000002</v>
      </c>
      <c r="E5520">
        <v>0.5305938</v>
      </c>
      <c r="F5520" t="s">
        <v>43</v>
      </c>
      <c r="G5520">
        <v>-318.67610000000002</v>
      </c>
      <c r="H5520">
        <v>-0.05</v>
      </c>
      <c r="I5520">
        <v>13.17435</v>
      </c>
      <c r="J5520">
        <v>-343.18540000000002</v>
      </c>
      <c r="K5520">
        <v>1.109542</v>
      </c>
      <c r="L5520">
        <v>17.358519999999999</v>
      </c>
      <c r="M5520">
        <v>0.99994859999999997</v>
      </c>
      <c r="N5520">
        <v>0</v>
      </c>
      <c r="O5520">
        <v>-3.3079810000000002E-3</v>
      </c>
      <c r="P5520">
        <v>0.98138860000000006</v>
      </c>
      <c r="Q5520">
        <v>0.16500780000000001</v>
      </c>
      <c r="R5520">
        <v>-9.8229029999999995E-2</v>
      </c>
      <c r="S5520">
        <v>3.0299990000000001</v>
      </c>
      <c r="T5520">
        <v>-0.14253689999999999</v>
      </c>
      <c r="U5520">
        <v>-0.51440429999999904</v>
      </c>
      <c r="V5520">
        <v>9.5015909999999995E-2</v>
      </c>
      <c r="W5520">
        <v>0.17440159999999999</v>
      </c>
      <c r="X5520">
        <v>0.98007960000000005</v>
      </c>
      <c r="Y5520">
        <v>0.16394049999999999</v>
      </c>
      <c r="Z5520">
        <v>-3.672153E-3</v>
      </c>
      <c r="AA5520">
        <v>0.98646339999999999</v>
      </c>
      <c r="AB5520">
        <v>28</v>
      </c>
      <c r="AC5520">
        <v>24.5093</v>
      </c>
      <c r="AD5520">
        <v>-1.1595420000000001</v>
      </c>
      <c r="AE5520">
        <v>-4.1841699999999999</v>
      </c>
      <c r="AF5520">
        <v>4.0941627798246696</v>
      </c>
      <c r="AG5520">
        <v>-1.1595420000000001</v>
      </c>
      <c r="AH5520">
        <v>24.469788886611099</v>
      </c>
      <c r="AI5520">
        <v>92.675886081621499</v>
      </c>
      <c r="AJ5520">
        <v>80.501538680077502</v>
      </c>
      <c r="AK5520">
        <v>24.837014206075199</v>
      </c>
      <c r="AL5520">
        <v>79.956162999314103</v>
      </c>
      <c r="AM5520">
        <v>84.462643092384099</v>
      </c>
      <c r="AN5520">
        <v>0.99999998178592397</v>
      </c>
    </row>
    <row r="5521" spans="1:40" x14ac:dyDescent="0.25">
      <c r="A5521" t="str">
        <f>"20190312173037644"</f>
        <v>20190312173037644</v>
      </c>
      <c r="B5521" t="str">
        <f>"1552383037632969"</f>
        <v>1552383037632969</v>
      </c>
      <c r="C5521" t="s">
        <v>40</v>
      </c>
      <c r="D5521">
        <v>3.432258</v>
      </c>
      <c r="E5521">
        <v>0.53019130000000003</v>
      </c>
      <c r="F5521" t="s">
        <v>43</v>
      </c>
      <c r="G5521">
        <v>-318.46510000000001</v>
      </c>
      <c r="H5521">
        <v>-0.05</v>
      </c>
      <c r="I5521">
        <v>13.08907</v>
      </c>
      <c r="J5521">
        <v>-343.05430000000001</v>
      </c>
      <c r="K5521">
        <v>1.109545</v>
      </c>
      <c r="L5521">
        <v>17.358029999999999</v>
      </c>
      <c r="M5521">
        <v>0.99994819999999995</v>
      </c>
      <c r="N5521">
        <v>0</v>
      </c>
      <c r="O5521">
        <v>-3.3473930000000002E-3</v>
      </c>
      <c r="P5521">
        <v>0.98099259999999999</v>
      </c>
      <c r="Q5521">
        <v>0.16510610000000001</v>
      </c>
      <c r="R5521">
        <v>-0.1019494</v>
      </c>
      <c r="S5521">
        <v>3.0284119999999999</v>
      </c>
      <c r="T5521">
        <v>-0.1420525</v>
      </c>
      <c r="U5521">
        <v>-0.52304079999999997</v>
      </c>
      <c r="V5521">
        <v>9.8698770000000005E-2</v>
      </c>
      <c r="W5521">
        <v>0.1745101</v>
      </c>
      <c r="X5521">
        <v>0.97969629999999996</v>
      </c>
      <c r="Y5521">
        <v>0.16671749999999999</v>
      </c>
      <c r="Z5521">
        <v>-3.7234859999999998E-3</v>
      </c>
      <c r="AA5521">
        <v>0.98599769999999998</v>
      </c>
      <c r="AB5521">
        <v>28</v>
      </c>
      <c r="AC5521">
        <v>24.589200000000002</v>
      </c>
      <c r="AD5521">
        <v>-1.159545</v>
      </c>
      <c r="AE5521">
        <v>-4.2689599999999999</v>
      </c>
      <c r="AF5521">
        <v>4.1776044190366397</v>
      </c>
      <c r="AG5521">
        <v>-1.159545</v>
      </c>
      <c r="AH5521">
        <v>24.550356221177001</v>
      </c>
      <c r="AI5521">
        <v>92.665879255334801</v>
      </c>
      <c r="AJ5521">
        <v>80.342782429113399</v>
      </c>
      <c r="AK5521">
        <v>24.930240951015001</v>
      </c>
      <c r="AL5521">
        <v>79.949850092935804</v>
      </c>
      <c r="AM5521">
        <v>84.247189739396504</v>
      </c>
      <c r="AN5521">
        <v>1.0000000312176001</v>
      </c>
    </row>
    <row r="5522" spans="1:40" x14ac:dyDescent="0.25">
      <c r="A5522" t="str">
        <f>"20190312173037655"</f>
        <v>20190312173037655</v>
      </c>
      <c r="B5522" t="str">
        <f>"1552383037643703"</f>
        <v>1552383037643703</v>
      </c>
      <c r="C5522" t="s">
        <v>40</v>
      </c>
      <c r="D5522">
        <v>3.4100190000000001</v>
      </c>
      <c r="E5522">
        <v>0.53019130000000003</v>
      </c>
      <c r="F5522" t="s">
        <v>43</v>
      </c>
      <c r="G5522">
        <v>-318.44909999999999</v>
      </c>
      <c r="H5522">
        <v>-0.05</v>
      </c>
      <c r="I5522">
        <v>13.036619999999999</v>
      </c>
      <c r="J5522">
        <v>-342.91379999999998</v>
      </c>
      <c r="K5522">
        <v>1.1095459999999999</v>
      </c>
      <c r="L5522">
        <v>17.357510000000001</v>
      </c>
      <c r="M5522">
        <v>0.99994799999999995</v>
      </c>
      <c r="N5522">
        <v>0</v>
      </c>
      <c r="O5522">
        <v>-3.3900380000000002E-3</v>
      </c>
      <c r="P5522">
        <v>0.98055139999999996</v>
      </c>
      <c r="Q5522">
        <v>0.16558639999999999</v>
      </c>
      <c r="R5522">
        <v>-0.10536040000000001</v>
      </c>
      <c r="S5522">
        <v>3.0269170000000001</v>
      </c>
      <c r="T5522">
        <v>-0.14264640000000001</v>
      </c>
      <c r="U5522">
        <v>-0.53161619999999998</v>
      </c>
      <c r="V5522">
        <v>0.1020697</v>
      </c>
      <c r="W5522">
        <v>0.17500309999999999</v>
      </c>
      <c r="X5522">
        <v>0.97926279999999999</v>
      </c>
      <c r="Y5522">
        <v>0.16946320000000001</v>
      </c>
      <c r="Z5522">
        <v>-3.8021299999999999E-3</v>
      </c>
      <c r="AA5522">
        <v>0.98552919999999999</v>
      </c>
      <c r="AB5522">
        <v>28</v>
      </c>
      <c r="AC5522">
        <v>24.464700000000001</v>
      </c>
      <c r="AD5522">
        <v>-1.159546</v>
      </c>
      <c r="AE5522">
        <v>-4.3208900000000003</v>
      </c>
      <c r="AF5522">
        <v>4.2287128537688501</v>
      </c>
      <c r="AG5522">
        <v>-1.159546</v>
      </c>
      <c r="AH5522">
        <v>24.425996234115399</v>
      </c>
      <c r="AI5522">
        <v>92.678115059500101</v>
      </c>
      <c r="AJ5522">
        <v>80.178110853934797</v>
      </c>
      <c r="AK5522">
        <v>24.8164431648608</v>
      </c>
      <c r="AL5522">
        <v>79.921161186525396</v>
      </c>
      <c r="AM5522">
        <v>84.049481300008097</v>
      </c>
      <c r="AN5522">
        <v>0.99999997006576902</v>
      </c>
    </row>
    <row r="5523" spans="1:40" x14ac:dyDescent="0.25">
      <c r="A5523" t="str">
        <f>"20190312173037669"</f>
        <v>20190312173037669</v>
      </c>
      <c r="B5523" t="str">
        <f>"1552383037663224"</f>
        <v>1552383037663224</v>
      </c>
      <c r="C5523" t="s">
        <v>40</v>
      </c>
      <c r="D5523">
        <v>3.4570460000000001</v>
      </c>
      <c r="E5523">
        <v>0.52485000000000004</v>
      </c>
      <c r="F5523" t="s">
        <v>43</v>
      </c>
      <c r="G5523">
        <v>-318.03730000000002</v>
      </c>
      <c r="H5523">
        <v>-0.05</v>
      </c>
      <c r="I5523">
        <v>12.89513</v>
      </c>
      <c r="J5523">
        <v>-342.76089999999999</v>
      </c>
      <c r="K5523">
        <v>1.109548</v>
      </c>
      <c r="L5523">
        <v>17.356929999999998</v>
      </c>
      <c r="M5523">
        <v>0.99994769999999999</v>
      </c>
      <c r="N5523">
        <v>0</v>
      </c>
      <c r="O5523">
        <v>-3.4361470000000001E-3</v>
      </c>
      <c r="P5523">
        <v>0.98009489999999999</v>
      </c>
      <c r="Q5523">
        <v>0.1659929</v>
      </c>
      <c r="R5523">
        <v>-0.10890610000000001</v>
      </c>
      <c r="S5523">
        <v>3.0250240000000002</v>
      </c>
      <c r="T5523">
        <v>-0.1410024</v>
      </c>
      <c r="U5523">
        <v>-0.54263309999999998</v>
      </c>
      <c r="V5523">
        <v>0.10557179999999999</v>
      </c>
      <c r="W5523">
        <v>0.17542369999999999</v>
      </c>
      <c r="X5523">
        <v>0.97881620000000003</v>
      </c>
      <c r="Y5523">
        <v>0.1730015</v>
      </c>
      <c r="Z5523">
        <v>-3.8391200000000001E-3</v>
      </c>
      <c r="AA5523">
        <v>0.98491410000000001</v>
      </c>
      <c r="AB5523">
        <v>28</v>
      </c>
      <c r="AC5523">
        <v>24.723599999999902</v>
      </c>
      <c r="AD5523">
        <v>-1.159548</v>
      </c>
      <c r="AE5523">
        <v>-4.4617999999999904</v>
      </c>
      <c r="AF5523">
        <v>4.3675118001197299</v>
      </c>
      <c r="AG5523">
        <v>-1.159548</v>
      </c>
      <c r="AH5523">
        <v>24.686197807477601</v>
      </c>
      <c r="AI5523">
        <v>92.648225717844198</v>
      </c>
      <c r="AJ5523">
        <v>79.9669835851127</v>
      </c>
      <c r="AK5523">
        <v>25.096375696072101</v>
      </c>
      <c r="AL5523">
        <v>79.896684402622597</v>
      </c>
      <c r="AM5523">
        <v>83.844068435657306</v>
      </c>
      <c r="AN5523">
        <v>1.0000000164296801</v>
      </c>
    </row>
    <row r="5524" spans="1:40" x14ac:dyDescent="0.25">
      <c r="A5524" t="str">
        <f>"20190312173037679"</f>
        <v>20190312173037679</v>
      </c>
      <c r="B5524" t="str">
        <f>"1552383037672984"</f>
        <v>1552383037672984</v>
      </c>
      <c r="C5524" t="s">
        <v>40</v>
      </c>
      <c r="D5524">
        <v>3.4654639999999999</v>
      </c>
      <c r="E5524">
        <v>0.52452290000000001</v>
      </c>
      <c r="F5524" t="s">
        <v>41</v>
      </c>
      <c r="G5524">
        <v>-320.30919999999998</v>
      </c>
      <c r="H5524" s="1">
        <v>-5.6345449999999998E-6</v>
      </c>
      <c r="I5524">
        <v>13.56635</v>
      </c>
      <c r="J5524">
        <v>-342.6103</v>
      </c>
      <c r="K5524">
        <v>1.109558</v>
      </c>
      <c r="L5524">
        <v>17.356349999999999</v>
      </c>
      <c r="M5524">
        <v>0.99994720000000004</v>
      </c>
      <c r="N5524">
        <v>0</v>
      </c>
      <c r="O5524">
        <v>-3.4816600000000001E-3</v>
      </c>
      <c r="P5524">
        <v>0.97956790000000005</v>
      </c>
      <c r="Q5524">
        <v>0.16643649999999999</v>
      </c>
      <c r="R5524">
        <v>-0.11289680000000001</v>
      </c>
      <c r="S5524">
        <v>3.02948</v>
      </c>
      <c r="T5524">
        <v>-0.14971570000000001</v>
      </c>
      <c r="U5524">
        <v>-0.5114746</v>
      </c>
      <c r="V5524">
        <v>0.109519699999999</v>
      </c>
      <c r="W5524">
        <v>0.1758805</v>
      </c>
      <c r="X5524">
        <v>0.97830030000000001</v>
      </c>
      <c r="Y5524">
        <v>0.1628532</v>
      </c>
      <c r="Z5524">
        <v>-3.8226610000000002E-3</v>
      </c>
      <c r="AA5524">
        <v>0.98664289999999999</v>
      </c>
      <c r="AB5524">
        <v>28</v>
      </c>
      <c r="AC5524">
        <v>22.301100000000002</v>
      </c>
      <c r="AD5524">
        <v>-1.109563634545</v>
      </c>
      <c r="AE5524">
        <v>-3.7899999999999898</v>
      </c>
      <c r="AF5524">
        <v>3.7034183158742202</v>
      </c>
      <c r="AG5524">
        <v>-1.109563634545</v>
      </c>
      <c r="AH5524">
        <v>22.260603063833901</v>
      </c>
      <c r="AI5524">
        <v>92.814879599095406</v>
      </c>
      <c r="AJ5524">
        <v>80.554412831480903</v>
      </c>
      <c r="AK5524">
        <v>22.5938240996744</v>
      </c>
      <c r="AL5524">
        <v>79.870098129301894</v>
      </c>
      <c r="AM5524">
        <v>83.612392915991705</v>
      </c>
      <c r="AN5524">
        <v>0.99999999597421496</v>
      </c>
    </row>
    <row r="5525" spans="1:40" x14ac:dyDescent="0.25">
      <c r="A5525" t="str">
        <f>"20190312173037692"</f>
        <v>20190312173037692</v>
      </c>
      <c r="B5525" t="str">
        <f>"1552383037683719"</f>
        <v>1552383037683719</v>
      </c>
      <c r="C5525" t="s">
        <v>40</v>
      </c>
      <c r="D5525">
        <v>3.4695079999999998</v>
      </c>
      <c r="E5525">
        <v>0.52404600000000001</v>
      </c>
      <c r="F5525" t="s">
        <v>43</v>
      </c>
      <c r="G5525">
        <v>-318.6902</v>
      </c>
      <c r="H5525">
        <v>-0.05</v>
      </c>
      <c r="I5525">
        <v>13.23602</v>
      </c>
      <c r="J5525">
        <v>-342.46420000000001</v>
      </c>
      <c r="K5525">
        <v>1.109559</v>
      </c>
      <c r="L5525">
        <v>17.35577</v>
      </c>
      <c r="M5525">
        <v>0.99994700000000003</v>
      </c>
      <c r="N5525">
        <v>0</v>
      </c>
      <c r="O5525">
        <v>-3.5257460000000002E-3</v>
      </c>
      <c r="P5525">
        <v>0.97898229999999997</v>
      </c>
      <c r="Q5525">
        <v>0.16730419999999999</v>
      </c>
      <c r="R5525">
        <v>-0.11663220000000001</v>
      </c>
      <c r="S5525">
        <v>3.0274049999999999</v>
      </c>
      <c r="T5525">
        <v>-0.14675779999999999</v>
      </c>
      <c r="U5525">
        <v>-0.52148439999999996</v>
      </c>
      <c r="V5525">
        <v>0.1132142</v>
      </c>
      <c r="W5525">
        <v>0.176761</v>
      </c>
      <c r="X5525">
        <v>0.9777209</v>
      </c>
      <c r="Y5525">
        <v>0.1660934</v>
      </c>
      <c r="Z5525">
        <v>-3.8245240000000002E-3</v>
      </c>
      <c r="AA5525">
        <v>0.98610260000000005</v>
      </c>
      <c r="AB5525">
        <v>28</v>
      </c>
      <c r="AC5525">
        <v>23.774000000000001</v>
      </c>
      <c r="AD5525">
        <v>-1.159559</v>
      </c>
      <c r="AE5525">
        <v>-4.11974999999999</v>
      </c>
      <c r="AF5525">
        <v>4.0265996553874297</v>
      </c>
      <c r="AG5525">
        <v>-1.159559</v>
      </c>
      <c r="AH5525">
        <v>23.733563675154599</v>
      </c>
      <c r="AI5525">
        <v>92.757749896764693</v>
      </c>
      <c r="AJ5525">
        <v>80.370975391922599</v>
      </c>
      <c r="AK5525">
        <v>24.100625024713899</v>
      </c>
      <c r="AL5525">
        <v>79.818846590929397</v>
      </c>
      <c r="AM5525">
        <v>83.394909399063707</v>
      </c>
      <c r="AN5525">
        <v>1.00000003224972</v>
      </c>
    </row>
    <row r="5526" spans="1:40" x14ac:dyDescent="0.25">
      <c r="A5526" t="str">
        <f>"20190312173037707"</f>
        <v>20190312173037707</v>
      </c>
      <c r="B5526" t="str">
        <f>"1552383037703240"</f>
        <v>1552383037703240</v>
      </c>
      <c r="C5526" t="s">
        <v>40</v>
      </c>
      <c r="D5526">
        <v>3.468229</v>
      </c>
      <c r="E5526">
        <v>0.5199471</v>
      </c>
      <c r="F5526" t="s">
        <v>43</v>
      </c>
      <c r="G5526">
        <v>-318.06599999999997</v>
      </c>
      <c r="H5526">
        <v>-0.05</v>
      </c>
      <c r="I5526">
        <v>13.088469999999999</v>
      </c>
      <c r="J5526">
        <v>-342.2885</v>
      </c>
      <c r="K5526">
        <v>1.1095660000000001</v>
      </c>
      <c r="L5526">
        <v>17.355070000000001</v>
      </c>
      <c r="M5526">
        <v>0.99994649999999996</v>
      </c>
      <c r="N5526">
        <v>0</v>
      </c>
      <c r="O5526">
        <v>-3.5789189999999999E-3</v>
      </c>
      <c r="P5526">
        <v>0.97834589999999999</v>
      </c>
      <c r="Q5526">
        <v>0.16809569999999999</v>
      </c>
      <c r="R5526">
        <v>-0.12076190000000001</v>
      </c>
      <c r="S5526">
        <v>3.0258790000000002</v>
      </c>
      <c r="T5526">
        <v>-0.143809299999999</v>
      </c>
      <c r="U5526">
        <v>-0.52923580000000003</v>
      </c>
      <c r="V5526">
        <v>0.1172942</v>
      </c>
      <c r="W5526">
        <v>0.17757000000000001</v>
      </c>
      <c r="X5526">
        <v>0.97709310000000005</v>
      </c>
      <c r="Y5526">
        <v>0.16858039999999999</v>
      </c>
      <c r="Z5526">
        <v>-3.804932E-3</v>
      </c>
      <c r="AA5526">
        <v>0.98568060000000002</v>
      </c>
      <c r="AB5526">
        <v>28</v>
      </c>
      <c r="AC5526">
        <v>24.2225</v>
      </c>
      <c r="AD5526">
        <v>-1.1595659999999901</v>
      </c>
      <c r="AE5526">
        <v>-4.2666000000000004</v>
      </c>
      <c r="AF5526">
        <v>4.17060815915214</v>
      </c>
      <c r="AG5526">
        <v>-1.1595659999999901</v>
      </c>
      <c r="AH5526">
        <v>24.1838616067269</v>
      </c>
      <c r="AI5526">
        <v>92.705239251907798</v>
      </c>
      <c r="AJ5526">
        <v>80.215345471896001</v>
      </c>
      <c r="AK5526">
        <v>24.568225982737498</v>
      </c>
      <c r="AL5526">
        <v>79.771748737949906</v>
      </c>
      <c r="AM5526">
        <v>83.154739297833402</v>
      </c>
      <c r="AN5526">
        <v>0.99999998016062397</v>
      </c>
    </row>
    <row r="5527" spans="1:40" x14ac:dyDescent="0.25">
      <c r="A5527" t="str">
        <f>"20190312173037723"</f>
        <v>20190312173037723</v>
      </c>
      <c r="B5527" t="str">
        <f>"1552383037712999"</f>
        <v>1552383037712999</v>
      </c>
      <c r="C5527" t="s">
        <v>40</v>
      </c>
      <c r="D5527">
        <v>3.4846870000000001</v>
      </c>
      <c r="E5527">
        <v>0.51937679999999997</v>
      </c>
      <c r="F5527" t="s">
        <v>43</v>
      </c>
      <c r="G5527">
        <v>-316.92180000000002</v>
      </c>
      <c r="H5527">
        <v>-0.05</v>
      </c>
      <c r="I5527">
        <v>13.08582</v>
      </c>
      <c r="J5527">
        <v>-342.07049999999998</v>
      </c>
      <c r="K5527">
        <v>1.1095740000000001</v>
      </c>
      <c r="L5527">
        <v>17.354220000000002</v>
      </c>
      <c r="M5527">
        <v>0.99994609999999995</v>
      </c>
      <c r="N5527">
        <v>0</v>
      </c>
      <c r="O5527">
        <v>-3.6445380000000001E-3</v>
      </c>
      <c r="P5527">
        <v>0.97720079999999998</v>
      </c>
      <c r="Q5527">
        <v>0.1689773</v>
      </c>
      <c r="R5527">
        <v>-0.12855129999999901</v>
      </c>
      <c r="S5527">
        <v>3.0272519999999998</v>
      </c>
      <c r="T5527">
        <v>-0.13838220000000001</v>
      </c>
      <c r="U5527">
        <v>-0.50949100000000003</v>
      </c>
      <c r="V5527">
        <v>0.125024</v>
      </c>
      <c r="W5527">
        <v>0.1784733</v>
      </c>
      <c r="X5527">
        <v>0.97596939999999999</v>
      </c>
      <c r="Y5527">
        <v>0.1622111</v>
      </c>
      <c r="Z5527">
        <v>-3.5143919999999999E-3</v>
      </c>
      <c r="AA5527">
        <v>0.98674980000000001</v>
      </c>
      <c r="AB5527">
        <v>28</v>
      </c>
      <c r="AC5527">
        <v>25.148699999999899</v>
      </c>
      <c r="AD5527">
        <v>-1.1595739999999899</v>
      </c>
      <c r="AE5527">
        <v>-4.2683999999999997</v>
      </c>
      <c r="AF5527">
        <v>4.1680986183848301</v>
      </c>
      <c r="AG5527">
        <v>-1.1595739999999899</v>
      </c>
      <c r="AH5527">
        <v>25.112196108264801</v>
      </c>
      <c r="AI5527">
        <v>92.608164652266098</v>
      </c>
      <c r="AJ5527">
        <v>80.576014429577796</v>
      </c>
      <c r="AK5527">
        <v>25.482151622930299</v>
      </c>
      <c r="AL5527">
        <v>79.719153477882998</v>
      </c>
      <c r="AM5527">
        <v>82.700032552556905</v>
      </c>
      <c r="AN5527">
        <v>0.99999999456262401</v>
      </c>
    </row>
    <row r="5528" spans="1:40" x14ac:dyDescent="0.25">
      <c r="A5528" t="str">
        <f>"20190312173037734"</f>
        <v>20190312173037734</v>
      </c>
      <c r="B5528" t="str">
        <f>"1552383037722760"</f>
        <v>1552383037722760</v>
      </c>
      <c r="C5528" t="s">
        <v>40</v>
      </c>
      <c r="D5528">
        <v>3.4729809999999999</v>
      </c>
      <c r="E5528">
        <v>0.51895930000000001</v>
      </c>
      <c r="F5528" t="s">
        <v>43</v>
      </c>
      <c r="G5528">
        <v>-316.65839999999997</v>
      </c>
      <c r="H5528">
        <v>-0.05</v>
      </c>
      <c r="I5528">
        <v>12.91466</v>
      </c>
      <c r="J5528">
        <v>-341.92950000000002</v>
      </c>
      <c r="K5528">
        <v>1.1095790000000001</v>
      </c>
      <c r="L5528">
        <v>17.353639999999999</v>
      </c>
      <c r="M5528">
        <v>0.99994559999999999</v>
      </c>
      <c r="N5528">
        <v>0</v>
      </c>
      <c r="O5528">
        <v>-3.6872049999999998E-3</v>
      </c>
      <c r="P5528">
        <v>0.97666039999999998</v>
      </c>
      <c r="Q5528">
        <v>0.1691357</v>
      </c>
      <c r="R5528">
        <v>-0.13239389999999901</v>
      </c>
      <c r="S5528">
        <v>3.024292</v>
      </c>
      <c r="T5528">
        <v>-0.1380007</v>
      </c>
      <c r="U5528">
        <v>-0.52835080000000001</v>
      </c>
      <c r="V5528">
        <v>0.12882650000000001</v>
      </c>
      <c r="W5528">
        <v>0.17864739999999901</v>
      </c>
      <c r="X5528">
        <v>0.9754429</v>
      </c>
      <c r="Y5528">
        <v>0.1682961</v>
      </c>
      <c r="Z5528">
        <v>-3.6420469999999998E-3</v>
      </c>
      <c r="AA5528">
        <v>0.98572979999999999</v>
      </c>
      <c r="AB5528">
        <v>28</v>
      </c>
      <c r="AC5528">
        <v>25.271100000000001</v>
      </c>
      <c r="AD5528">
        <v>-1.1595789999999999</v>
      </c>
      <c r="AE5528">
        <v>-4.4389799999999902</v>
      </c>
      <c r="AF5528">
        <v>4.3369076694982702</v>
      </c>
      <c r="AG5528">
        <v>-1.1595789999999999</v>
      </c>
      <c r="AH5528">
        <v>25.235753213819802</v>
      </c>
      <c r="AI5528">
        <v>92.592923197986593</v>
      </c>
      <c r="AJ5528">
        <v>80.248649943885894</v>
      </c>
      <c r="AK5528">
        <v>25.631945534036401</v>
      </c>
      <c r="AL5528">
        <v>79.709015470283902</v>
      </c>
      <c r="AM5528">
        <v>82.476501766837799</v>
      </c>
      <c r="AN5528">
        <v>1.0000000058947101</v>
      </c>
    </row>
    <row r="5529" spans="1:40" x14ac:dyDescent="0.25">
      <c r="A5529" t="str">
        <f>"20190312173037745"</f>
        <v>20190312173037745</v>
      </c>
      <c r="B5529" t="str">
        <f>"1552383037733496"</f>
        <v>1552383037733496</v>
      </c>
      <c r="C5529" t="s">
        <v>40</v>
      </c>
      <c r="D5529">
        <v>3.4972180000000002</v>
      </c>
      <c r="E5529">
        <v>0.51851519999999995</v>
      </c>
      <c r="F5529" t="s">
        <v>43</v>
      </c>
      <c r="G5529">
        <v>-316.12540000000001</v>
      </c>
      <c r="H5529">
        <v>-0.05</v>
      </c>
      <c r="I5529">
        <v>12.766450000000001</v>
      </c>
      <c r="J5529">
        <v>-341.8091</v>
      </c>
      <c r="K5529">
        <v>1.109583</v>
      </c>
      <c r="L5529">
        <v>17.353149999999999</v>
      </c>
      <c r="M5529">
        <v>0.99994519999999998</v>
      </c>
      <c r="N5529">
        <v>0</v>
      </c>
      <c r="O5529">
        <v>-3.7234199999999999E-3</v>
      </c>
      <c r="P5529">
        <v>0.97613459999999996</v>
      </c>
      <c r="Q5529">
        <v>0.169215899999999</v>
      </c>
      <c r="R5529">
        <v>-0.13611589999999901</v>
      </c>
      <c r="S5529">
        <v>3.0224000000000002</v>
      </c>
      <c r="T5529">
        <v>-0.13581979999999999</v>
      </c>
      <c r="U5529">
        <v>-0.53729249999999995</v>
      </c>
      <c r="V5529">
        <v>0.132515299999999</v>
      </c>
      <c r="W5529">
        <v>0.1787407</v>
      </c>
      <c r="X5529">
        <v>0.97493149999999995</v>
      </c>
      <c r="Y5529">
        <v>0.17119489999999901</v>
      </c>
      <c r="Z5529">
        <v>-3.6488229999999998E-3</v>
      </c>
      <c r="AA5529">
        <v>0.98523039999999995</v>
      </c>
      <c r="AB5529">
        <v>28</v>
      </c>
      <c r="AC5529">
        <v>25.683699999999899</v>
      </c>
      <c r="AD5529">
        <v>-1.159583</v>
      </c>
      <c r="AE5529">
        <v>-4.5866999999999898</v>
      </c>
      <c r="AF5529">
        <v>4.48217834545492</v>
      </c>
      <c r="AG5529">
        <v>-1.159583</v>
      </c>
      <c r="AH5529">
        <v>25.6499322026641</v>
      </c>
      <c r="AI5529">
        <v>92.549880972295696</v>
      </c>
      <c r="AJ5529">
        <v>80.0879726903012</v>
      </c>
      <c r="AK5529">
        <v>26.064412087281301</v>
      </c>
      <c r="AL5529">
        <v>79.703582120225803</v>
      </c>
      <c r="AM5529">
        <v>82.2596392893781</v>
      </c>
      <c r="AN5529">
        <v>0.99999998613141405</v>
      </c>
    </row>
    <row r="5530" spans="1:40" x14ac:dyDescent="0.25">
      <c r="A5530" t="str">
        <f>"20190312173037755"</f>
        <v>20190312173037755</v>
      </c>
      <c r="B5530" t="str">
        <f>"1552383037743256"</f>
        <v>1552383037743256</v>
      </c>
      <c r="C5530" t="s">
        <v>40</v>
      </c>
      <c r="D5530">
        <v>3.4855480000000001</v>
      </c>
      <c r="E5530">
        <v>0.51851519999999995</v>
      </c>
      <c r="F5530" t="s">
        <v>43</v>
      </c>
      <c r="G5530">
        <v>-316.13929999999999</v>
      </c>
      <c r="H5530">
        <v>-0.05</v>
      </c>
      <c r="I5530">
        <v>12.71785</v>
      </c>
      <c r="J5530">
        <v>-341.67230000000001</v>
      </c>
      <c r="K5530">
        <v>1.1095889999999999</v>
      </c>
      <c r="L5530">
        <v>17.35257</v>
      </c>
      <c r="M5530">
        <v>0.99994479999999997</v>
      </c>
      <c r="N5530">
        <v>0</v>
      </c>
      <c r="O5530">
        <v>-3.7647790000000002E-3</v>
      </c>
      <c r="P5530">
        <v>0.97563710000000003</v>
      </c>
      <c r="Q5530">
        <v>0.16918369999999999</v>
      </c>
      <c r="R5530">
        <v>-0.1396753</v>
      </c>
      <c r="S5530">
        <v>3.0209350000000001</v>
      </c>
      <c r="T5530">
        <v>-0.13646459999999999</v>
      </c>
      <c r="U5530">
        <v>-0.54550169999999998</v>
      </c>
      <c r="V5530">
        <v>0.1360362</v>
      </c>
      <c r="W5530">
        <v>0.1787252</v>
      </c>
      <c r="X5530">
        <v>0.97444929999999996</v>
      </c>
      <c r="Y5530">
        <v>0.1738257</v>
      </c>
      <c r="Z5530">
        <v>-3.724069E-3</v>
      </c>
      <c r="AA5530">
        <v>0.98476940000000002</v>
      </c>
      <c r="AB5530">
        <v>28</v>
      </c>
      <c r="AC5530">
        <v>25.533000000000001</v>
      </c>
      <c r="AD5530">
        <v>-1.159589</v>
      </c>
      <c r="AE5530">
        <v>-4.6347199999999997</v>
      </c>
      <c r="AF5530">
        <v>4.5295120818219203</v>
      </c>
      <c r="AG5530">
        <v>-1.159589</v>
      </c>
      <c r="AH5530">
        <v>25.4993525191191</v>
      </c>
      <c r="AI5530">
        <v>92.563667924322402</v>
      </c>
      <c r="AJ5530">
        <v>79.927474608267303</v>
      </c>
      <c r="AK5530">
        <v>25.924469237432799</v>
      </c>
      <c r="AL5530">
        <v>79.704484795505294</v>
      </c>
      <c r="AM5530">
        <v>82.052691082288803</v>
      </c>
      <c r="AN5530">
        <v>0.99999999154798402</v>
      </c>
    </row>
    <row r="5531" spans="1:40" x14ac:dyDescent="0.25">
      <c r="A5531" t="str">
        <f>"20190312173037767"</f>
        <v>20190312173037767</v>
      </c>
      <c r="B5531" t="str">
        <f>"1552383037762777"</f>
        <v>1552383037762777</v>
      </c>
      <c r="C5531" t="s">
        <v>40</v>
      </c>
      <c r="D5531">
        <v>3.4877410000000002</v>
      </c>
      <c r="E5531">
        <v>0.51380400000000004</v>
      </c>
      <c r="F5531" t="s">
        <v>43</v>
      </c>
      <c r="G5531">
        <v>-316.02080000000001</v>
      </c>
      <c r="H5531">
        <v>-0.05</v>
      </c>
      <c r="I5531">
        <v>12.61937</v>
      </c>
      <c r="J5531">
        <v>-341.52730000000003</v>
      </c>
      <c r="K5531">
        <v>1.109586</v>
      </c>
      <c r="L5531">
        <v>17.351990000000001</v>
      </c>
      <c r="M5531">
        <v>0.99994430000000001</v>
      </c>
      <c r="N5531">
        <v>0</v>
      </c>
      <c r="O5531">
        <v>-3.8085340000000001E-3</v>
      </c>
      <c r="P5531">
        <v>0.97510059999999998</v>
      </c>
      <c r="Q5531">
        <v>0.1694531</v>
      </c>
      <c r="R5531">
        <v>-0.14305370000000001</v>
      </c>
      <c r="S5531">
        <v>3.0188600000000001</v>
      </c>
      <c r="T5531">
        <v>-0.136468899999999</v>
      </c>
      <c r="U5531">
        <v>-0.55703740000000002</v>
      </c>
      <c r="V5531">
        <v>0.139374</v>
      </c>
      <c r="W5531">
        <v>0.17901329999999999</v>
      </c>
      <c r="X5531">
        <v>0.97392460000000003</v>
      </c>
      <c r="Y5531">
        <v>0.17753759999999999</v>
      </c>
      <c r="Z5531">
        <v>-3.806631E-3</v>
      </c>
      <c r="AA5531">
        <v>0.9841067</v>
      </c>
      <c r="AB5531">
        <v>28</v>
      </c>
      <c r="AC5531">
        <v>25.506499999999999</v>
      </c>
      <c r="AD5531">
        <v>-1.159586</v>
      </c>
      <c r="AE5531">
        <v>-4.7326199999999998</v>
      </c>
      <c r="AF5531">
        <v>4.6261952694173702</v>
      </c>
      <c r="AG5531">
        <v>-1.159586</v>
      </c>
      <c r="AH5531">
        <v>25.473443245377499</v>
      </c>
      <c r="AI5531">
        <v>92.564492806908206</v>
      </c>
      <c r="AJ5531">
        <v>79.706780238066102</v>
      </c>
      <c r="AK5531">
        <v>25.916069013985201</v>
      </c>
      <c r="AL5531">
        <v>79.687707396009699</v>
      </c>
      <c r="AM5531">
        <v>81.855950999860795</v>
      </c>
      <c r="AN5531">
        <v>0.999999999969025</v>
      </c>
    </row>
    <row r="5532" spans="1:40" x14ac:dyDescent="0.25">
      <c r="A5532" t="str">
        <f>"20190312173037778"</f>
        <v>20190312173037778</v>
      </c>
      <c r="B5532" t="str">
        <f>"1552383037773512"</f>
        <v>1552383037773512</v>
      </c>
      <c r="C5532" t="s">
        <v>40</v>
      </c>
      <c r="D5532">
        <v>3.5190589999999902</v>
      </c>
      <c r="E5532">
        <v>0.51302619999999999</v>
      </c>
      <c r="F5532" t="s">
        <v>43</v>
      </c>
      <c r="G5532">
        <v>-316.79199999999997</v>
      </c>
      <c r="H5532">
        <v>-0.05</v>
      </c>
      <c r="I5532">
        <v>13.008039999999999</v>
      </c>
      <c r="J5532">
        <v>-341.38929999999999</v>
      </c>
      <c r="K5532">
        <v>1.109591</v>
      </c>
      <c r="L5532">
        <v>17.351410000000001</v>
      </c>
      <c r="M5532">
        <v>0.99994400000000006</v>
      </c>
      <c r="N5532">
        <v>0</v>
      </c>
      <c r="O5532">
        <v>-3.8501479999999999E-3</v>
      </c>
      <c r="P5532">
        <v>0.97456549999999997</v>
      </c>
      <c r="Q5532">
        <v>0.16966129999999999</v>
      </c>
      <c r="R5532">
        <v>-0.14641419999999999</v>
      </c>
      <c r="S5532">
        <v>3.0233150000000002</v>
      </c>
      <c r="T5532">
        <v>-0.14173229999999901</v>
      </c>
      <c r="U5532">
        <v>-0.53094479999999999</v>
      </c>
      <c r="V5532">
        <v>0.14269599999999999</v>
      </c>
      <c r="W5532">
        <v>0.17924079999999901</v>
      </c>
      <c r="X5532">
        <v>0.97340150000000003</v>
      </c>
      <c r="Y5532">
        <v>0.16900019999999999</v>
      </c>
      <c r="Z5532">
        <v>-3.7501359999999998E-3</v>
      </c>
      <c r="AA5532">
        <v>0.98560890000000001</v>
      </c>
      <c r="AB5532">
        <v>28</v>
      </c>
      <c r="AC5532">
        <v>24.597299999999901</v>
      </c>
      <c r="AD5532">
        <v>-1.159591</v>
      </c>
      <c r="AE5532">
        <v>-4.3433700000000002</v>
      </c>
      <c r="AF5532">
        <v>4.2394927364227799</v>
      </c>
      <c r="AG5532">
        <v>-1.159591</v>
      </c>
      <c r="AH5532">
        <v>24.560905893788501</v>
      </c>
      <c r="AI5532">
        <v>92.663757600388493</v>
      </c>
      <c r="AJ5532">
        <v>80.206597267943906</v>
      </c>
      <c r="AK5532">
        <v>24.951073088606801</v>
      </c>
      <c r="AL5532">
        <v>79.674457756700093</v>
      </c>
      <c r="AM5532">
        <v>81.660116251852301</v>
      </c>
      <c r="AN5532">
        <v>0.99999994650144297</v>
      </c>
    </row>
    <row r="5533" spans="1:40" x14ac:dyDescent="0.25">
      <c r="A5533" t="str">
        <f>"20190312173037789"</f>
        <v>20190312173037789</v>
      </c>
      <c r="B5533" t="str">
        <f>"1552383037783272"</f>
        <v>1552383037783272</v>
      </c>
      <c r="C5533" t="s">
        <v>40</v>
      </c>
      <c r="D5533">
        <v>3.5062069999999999</v>
      </c>
      <c r="E5533">
        <v>0.51302619999999999</v>
      </c>
      <c r="F5533" t="s">
        <v>43</v>
      </c>
      <c r="G5533">
        <v>-316.88159999999999</v>
      </c>
      <c r="H5533">
        <v>-0.05</v>
      </c>
      <c r="I5533">
        <v>13.008800000000001</v>
      </c>
      <c r="J5533">
        <v>-341.25420000000003</v>
      </c>
      <c r="K5533">
        <v>1.1095950000000001</v>
      </c>
      <c r="L5533">
        <v>17.350829999999998</v>
      </c>
      <c r="M5533">
        <v>0.99994349999999999</v>
      </c>
      <c r="N5533">
        <v>0</v>
      </c>
      <c r="O5533">
        <v>-3.8910590000000001E-3</v>
      </c>
      <c r="P5533">
        <v>0.97387619999999997</v>
      </c>
      <c r="Q5533">
        <v>0.1703983</v>
      </c>
      <c r="R5533">
        <v>-0.15010000000000001</v>
      </c>
      <c r="S5533">
        <v>3.0227659999999998</v>
      </c>
      <c r="T5533">
        <v>-0.14302329999999999</v>
      </c>
      <c r="U5533">
        <v>-0.53561400000000003</v>
      </c>
      <c r="V5533">
        <v>0.14634469999999999</v>
      </c>
      <c r="W5533">
        <v>0.17999789999999999</v>
      </c>
      <c r="X5533">
        <v>0.97271989999999997</v>
      </c>
      <c r="Y5533">
        <v>0.1704619</v>
      </c>
      <c r="Z5533">
        <v>-3.8168030000000001E-3</v>
      </c>
      <c r="AA5533">
        <v>0.98535689999999998</v>
      </c>
      <c r="AB5533">
        <v>28</v>
      </c>
      <c r="AC5533">
        <v>24.372599999999998</v>
      </c>
      <c r="AD5533">
        <v>-1.1595949999999999</v>
      </c>
      <c r="AE5533">
        <v>-4.3420299999999896</v>
      </c>
      <c r="AF5533">
        <v>4.2378593378629201</v>
      </c>
      <c r="AG5533">
        <v>-1.1595949999999999</v>
      </c>
      <c r="AH5533">
        <v>24.335918046755001</v>
      </c>
      <c r="AI5533">
        <v>92.687666965903603</v>
      </c>
      <c r="AJ5533">
        <v>80.121565777577004</v>
      </c>
      <c r="AK5533">
        <v>24.7293554204293</v>
      </c>
      <c r="AL5533">
        <v>79.630362613532895</v>
      </c>
      <c r="AM5533">
        <v>81.444078424387897</v>
      </c>
      <c r="AN5533">
        <v>1.0000000095392501</v>
      </c>
    </row>
    <row r="5534" spans="1:40" x14ac:dyDescent="0.25">
      <c r="A5534" t="str">
        <f>"20190312173037800"</f>
        <v>20190312173037800</v>
      </c>
      <c r="B5534" t="str">
        <f>"1552383037793032"</f>
        <v>1552383037793032</v>
      </c>
      <c r="C5534" t="s">
        <v>40</v>
      </c>
      <c r="D5534">
        <v>3.520124</v>
      </c>
      <c r="E5534">
        <v>0.50899839999999996</v>
      </c>
      <c r="F5534" t="s">
        <v>43</v>
      </c>
      <c r="G5534">
        <v>-316.36579999999998</v>
      </c>
      <c r="H5534">
        <v>-0.05</v>
      </c>
      <c r="I5534">
        <v>12.84308</v>
      </c>
      <c r="J5534">
        <v>-341.11270000000002</v>
      </c>
      <c r="K5534">
        <v>1.1096029999999999</v>
      </c>
      <c r="L5534">
        <v>17.350249999999999</v>
      </c>
      <c r="M5534">
        <v>0.99994309999999997</v>
      </c>
      <c r="N5534">
        <v>0</v>
      </c>
      <c r="O5534">
        <v>-3.9337779999999998E-3</v>
      </c>
      <c r="P5534">
        <v>0.97327739999999996</v>
      </c>
      <c r="Q5534">
        <v>0.1706868</v>
      </c>
      <c r="R5534">
        <v>-0.15361520000000001</v>
      </c>
      <c r="S5534">
        <v>3.0207820000000001</v>
      </c>
      <c r="T5534">
        <v>-0.14074349999999999</v>
      </c>
      <c r="U5534">
        <v>-0.54711909999999997</v>
      </c>
      <c r="V5534">
        <v>0.1498207</v>
      </c>
      <c r="W5534">
        <v>0.18031079999999999</v>
      </c>
      <c r="X5534">
        <v>0.97213260000000001</v>
      </c>
      <c r="Y5534">
        <v>0.17416770000000001</v>
      </c>
      <c r="Z5534">
        <v>-3.8408190000000001E-3</v>
      </c>
      <c r="AA5534">
        <v>0.98470849999999999</v>
      </c>
      <c r="AB5534">
        <v>28</v>
      </c>
      <c r="AC5534">
        <v>24.7469</v>
      </c>
      <c r="AD5534">
        <v>-1.1596029999999999</v>
      </c>
      <c r="AE5534">
        <v>-4.5071699999999897</v>
      </c>
      <c r="AF5534">
        <v>4.4004296299467596</v>
      </c>
      <c r="AG5534">
        <v>-1.1596029999999999</v>
      </c>
      <c r="AH5534">
        <v>24.711921229587499</v>
      </c>
      <c r="AI5534">
        <v>92.645076541871205</v>
      </c>
      <c r="AJ5534">
        <v>79.903222535505094</v>
      </c>
      <c r="AK5534">
        <v>25.127425473037601</v>
      </c>
      <c r="AL5534">
        <v>79.612136554060598</v>
      </c>
      <c r="AM5534">
        <v>81.238762867378895</v>
      </c>
      <c r="AN5534">
        <v>1.0000000093639401</v>
      </c>
    </row>
    <row r="5535" spans="1:40" x14ac:dyDescent="0.25">
      <c r="A5535" t="str">
        <f>"20190312173037812"</f>
        <v>20190312173037812</v>
      </c>
      <c r="B5535" t="str">
        <f>"1552383037802792"</f>
        <v>1552383037802792</v>
      </c>
      <c r="C5535" t="s">
        <v>40</v>
      </c>
      <c r="D5535">
        <v>3.523542</v>
      </c>
      <c r="E5535">
        <v>0.50852759999999997</v>
      </c>
      <c r="F5535" t="s">
        <v>43</v>
      </c>
      <c r="G5535">
        <v>-314.70769999999999</v>
      </c>
      <c r="H5535">
        <v>-0.05</v>
      </c>
      <c r="I5535">
        <v>12.75409</v>
      </c>
      <c r="J5535">
        <v>-340.97370000000001</v>
      </c>
      <c r="K5535">
        <v>1.10961</v>
      </c>
      <c r="L5535">
        <v>17.349640000000001</v>
      </c>
      <c r="M5535">
        <v>0.99994249999999996</v>
      </c>
      <c r="N5535">
        <v>0</v>
      </c>
      <c r="O5535">
        <v>-3.9754450000000002E-3</v>
      </c>
      <c r="P5535">
        <v>0.97270979999999996</v>
      </c>
      <c r="Q5535">
        <v>0.1709522</v>
      </c>
      <c r="R5535">
        <v>-0.15687950000000001</v>
      </c>
      <c r="S5535">
        <v>3.022583</v>
      </c>
      <c r="T5535">
        <v>-0.13273989999999999</v>
      </c>
      <c r="U5535">
        <v>-0.52612300000000001</v>
      </c>
      <c r="V5535">
        <v>0.15304679999999901</v>
      </c>
      <c r="W5535">
        <v>0.18060480000000001</v>
      </c>
      <c r="X5535">
        <v>0.97157530000000003</v>
      </c>
      <c r="Y5535">
        <v>0.1674146</v>
      </c>
      <c r="Z5535">
        <v>-3.4737499999999998E-3</v>
      </c>
      <c r="AA5535">
        <v>0.98588039999999999</v>
      </c>
      <c r="AB5535">
        <v>28</v>
      </c>
      <c r="AC5535">
        <v>26.265999999999998</v>
      </c>
      <c r="AD5535">
        <v>-1.15961</v>
      </c>
      <c r="AE5535">
        <v>-4.5955500000000002</v>
      </c>
      <c r="AF5535">
        <v>4.48261188026318</v>
      </c>
      <c r="AG5535">
        <v>-1.15961</v>
      </c>
      <c r="AH5535">
        <v>26.234447696901899</v>
      </c>
      <c r="AI5535">
        <v>92.494819279918005</v>
      </c>
      <c r="AJ5535">
        <v>80.303659172469295</v>
      </c>
      <c r="AK5535">
        <v>26.6399089822518</v>
      </c>
      <c r="AL5535">
        <v>79.595010228829693</v>
      </c>
      <c r="AM5535">
        <v>81.048078103462899</v>
      </c>
      <c r="AN5535">
        <v>0.99999999017168495</v>
      </c>
    </row>
    <row r="5536" spans="1:40" x14ac:dyDescent="0.25">
      <c r="A5536" t="str">
        <f>"20190312173037822"</f>
        <v>20190312173037822</v>
      </c>
      <c r="B5536" t="str">
        <f>"1552383037813528"</f>
        <v>1552383037813528</v>
      </c>
      <c r="C5536" t="s">
        <v>40</v>
      </c>
      <c r="D5536">
        <v>3.5191189999999999</v>
      </c>
      <c r="E5536">
        <v>0.50797119999999996</v>
      </c>
      <c r="F5536" t="s">
        <v>43</v>
      </c>
      <c r="G5536">
        <v>-314.8272</v>
      </c>
      <c r="H5536">
        <v>-0.05</v>
      </c>
      <c r="I5536">
        <v>12.74103</v>
      </c>
      <c r="J5536">
        <v>-340.83420000000001</v>
      </c>
      <c r="K5536">
        <v>1.109615</v>
      </c>
      <c r="L5536">
        <v>17.349029999999999</v>
      </c>
      <c r="M5536">
        <v>0.99994209999999994</v>
      </c>
      <c r="N5536">
        <v>0</v>
      </c>
      <c r="O5536">
        <v>-4.0175979999999998E-3</v>
      </c>
      <c r="P5536">
        <v>0.9721535</v>
      </c>
      <c r="Q5536">
        <v>0.17121040000000001</v>
      </c>
      <c r="R5536">
        <v>-0.1600144</v>
      </c>
      <c r="S5536">
        <v>3.0217900000000002</v>
      </c>
      <c r="T5536">
        <v>-0.13401769999999999</v>
      </c>
      <c r="U5536">
        <v>-0.53262330000000002</v>
      </c>
      <c r="V5536">
        <v>0.15614320000000001</v>
      </c>
      <c r="W5536">
        <v>0.18089369999999999</v>
      </c>
      <c r="X5536">
        <v>0.97102869999999997</v>
      </c>
      <c r="Y5536">
        <v>0.16946910000000001</v>
      </c>
      <c r="Z5536">
        <v>-3.5507540000000001E-3</v>
      </c>
      <c r="AA5536">
        <v>0.98552910000000005</v>
      </c>
      <c r="AB5536">
        <v>28</v>
      </c>
      <c r="AC5536">
        <v>26.007000000000001</v>
      </c>
      <c r="AD5536">
        <v>-1.1596150000000001</v>
      </c>
      <c r="AE5536">
        <v>-4.6079999999999899</v>
      </c>
      <c r="AF5536">
        <v>4.4948076246425597</v>
      </c>
      <c r="AG5536">
        <v>-1.1596150000000001</v>
      </c>
      <c r="AH5536">
        <v>25.975233586164901</v>
      </c>
      <c r="AI5536">
        <v>92.518780888577297</v>
      </c>
      <c r="AJ5536">
        <v>80.182639434766401</v>
      </c>
      <c r="AK5536">
        <v>26.386753540111702</v>
      </c>
      <c r="AL5536">
        <v>79.578180198803494</v>
      </c>
      <c r="AM5536">
        <v>80.864933497740594</v>
      </c>
      <c r="AN5536">
        <v>0.99999998291480896</v>
      </c>
    </row>
    <row r="5537" spans="1:40" x14ac:dyDescent="0.25">
      <c r="A5537" t="str">
        <f>"20190312173037834"</f>
        <v>20190312173037834</v>
      </c>
      <c r="B5537" t="str">
        <f>"1552383037823288"</f>
        <v>1552383037823288</v>
      </c>
      <c r="C5537" t="s">
        <v>40</v>
      </c>
      <c r="D5537">
        <v>3.520451</v>
      </c>
      <c r="E5537">
        <v>0.50758119999999995</v>
      </c>
      <c r="F5537" t="s">
        <v>43</v>
      </c>
      <c r="G5537">
        <v>-315.02199999999999</v>
      </c>
      <c r="H5537">
        <v>-0.05</v>
      </c>
      <c r="I5537">
        <v>12.753769999999999</v>
      </c>
      <c r="J5537">
        <v>-340.69479999999999</v>
      </c>
      <c r="K5537">
        <v>1.1096200000000001</v>
      </c>
      <c r="L5537">
        <v>17.348420000000001</v>
      </c>
      <c r="M5537">
        <v>0.99994150000000004</v>
      </c>
      <c r="N5537">
        <v>0</v>
      </c>
      <c r="O5537">
        <v>-4.0593000000000001E-3</v>
      </c>
      <c r="P5537">
        <v>0.97162709999999997</v>
      </c>
      <c r="Q5537">
        <v>0.17143439999999999</v>
      </c>
      <c r="R5537">
        <v>-0.16294600000000001</v>
      </c>
      <c r="S5537">
        <v>3.0213009999999998</v>
      </c>
      <c r="T5537">
        <v>-0.1357322</v>
      </c>
      <c r="U5537">
        <v>-0.53787229999999997</v>
      </c>
      <c r="V5537">
        <v>0.15903610000000001</v>
      </c>
      <c r="W5537">
        <v>0.1811536</v>
      </c>
      <c r="X5537">
        <v>0.97051069999999995</v>
      </c>
      <c r="Y5537">
        <v>0.1711095</v>
      </c>
      <c r="Z5537">
        <v>-3.6308489999999998E-3</v>
      </c>
      <c r="AA5537">
        <v>0.98524529999999999</v>
      </c>
      <c r="AB5537">
        <v>28</v>
      </c>
      <c r="AC5537">
        <v>25.672799999999899</v>
      </c>
      <c r="AD5537">
        <v>-1.1596200000000001</v>
      </c>
      <c r="AE5537">
        <v>-4.5946499999999997</v>
      </c>
      <c r="AF5537">
        <v>4.4815336018399199</v>
      </c>
      <c r="AG5537">
        <v>-1.1596200000000001</v>
      </c>
      <c r="AH5537">
        <v>25.640550739900601</v>
      </c>
      <c r="AI5537">
        <v>92.550877226049593</v>
      </c>
      <c r="AJ5537">
        <v>80.085816020624506</v>
      </c>
      <c r="AK5537">
        <v>26.055070604668099</v>
      </c>
      <c r="AL5537">
        <v>79.563039720606994</v>
      </c>
      <c r="AM5537">
        <v>80.693740178989302</v>
      </c>
      <c r="AN5537">
        <v>1.0000000633553201</v>
      </c>
    </row>
    <row r="5538" spans="1:40" x14ac:dyDescent="0.25">
      <c r="A5538" t="str">
        <f>"20190312173037845"</f>
        <v>20190312173037845</v>
      </c>
      <c r="B5538" t="str">
        <f>"1552383037833048"</f>
        <v>1552383037833048</v>
      </c>
      <c r="C5538" t="s">
        <v>40</v>
      </c>
      <c r="D5538">
        <v>3.5374569999999999</v>
      </c>
      <c r="E5538">
        <v>0.50720489999999996</v>
      </c>
      <c r="F5538" t="s">
        <v>43</v>
      </c>
      <c r="G5538">
        <v>-314.80860000000001</v>
      </c>
      <c r="H5538">
        <v>-0.05</v>
      </c>
      <c r="I5538">
        <v>12.6828</v>
      </c>
      <c r="J5538">
        <v>-340.55919999999998</v>
      </c>
      <c r="K5538">
        <v>1.1096269999999999</v>
      </c>
      <c r="L5538">
        <v>17.347809999999999</v>
      </c>
      <c r="M5538">
        <v>0.99994079999999996</v>
      </c>
      <c r="N5538">
        <v>0</v>
      </c>
      <c r="O5538">
        <v>-4.099933E-3</v>
      </c>
      <c r="P5538">
        <v>0.97111429999999999</v>
      </c>
      <c r="Q5538">
        <v>0.1713971</v>
      </c>
      <c r="R5538">
        <v>-0.16601289999999999</v>
      </c>
      <c r="S5538">
        <v>3.0201720000000001</v>
      </c>
      <c r="T5538">
        <v>-0.135294</v>
      </c>
      <c r="U5538">
        <v>-0.54434199999999999</v>
      </c>
      <c r="V5538">
        <v>0.16206579999999901</v>
      </c>
      <c r="W5538">
        <v>0.1811526</v>
      </c>
      <c r="X5538">
        <v>0.97000949999999997</v>
      </c>
      <c r="Y5538">
        <v>0.17317660000000001</v>
      </c>
      <c r="Z5538">
        <v>-3.6638949999999999E-3</v>
      </c>
      <c r="AA5538">
        <v>0.98488399999999998</v>
      </c>
      <c r="AB5538">
        <v>28</v>
      </c>
      <c r="AC5538">
        <v>25.750599999999899</v>
      </c>
      <c r="AD5538">
        <v>-1.159627</v>
      </c>
      <c r="AE5538">
        <v>-4.6650099999999899</v>
      </c>
      <c r="AF5538">
        <v>4.5504547354571496</v>
      </c>
      <c r="AG5538">
        <v>-1.159627</v>
      </c>
      <c r="AH5538">
        <v>25.7190107001875</v>
      </c>
      <c r="AI5538">
        <v>92.542191123324301</v>
      </c>
      <c r="AJ5538">
        <v>79.966516051692693</v>
      </c>
      <c r="AK5538">
        <v>26.144194087310002</v>
      </c>
      <c r="AL5538">
        <v>79.563097407197105</v>
      </c>
      <c r="AM5538">
        <v>80.514831785598503</v>
      </c>
      <c r="AN5538">
        <v>1.0000000090533201</v>
      </c>
    </row>
    <row r="5539" spans="1:40" x14ac:dyDescent="0.25">
      <c r="A5539" t="str">
        <f>"20190312173037855"</f>
        <v>20190312173037855</v>
      </c>
      <c r="B5539" t="str">
        <f>"1552383037853544"</f>
        <v>1552383037853544</v>
      </c>
      <c r="C5539" t="s">
        <v>40</v>
      </c>
      <c r="D5539">
        <v>3.5465710000000001</v>
      </c>
      <c r="E5539">
        <v>0.50626979999999999</v>
      </c>
      <c r="F5539" t="s">
        <v>43</v>
      </c>
      <c r="G5539">
        <v>-314.77289999999999</v>
      </c>
      <c r="H5539">
        <v>-0.05</v>
      </c>
      <c r="I5539">
        <v>12.6389</v>
      </c>
      <c r="J5539">
        <v>-340.4239</v>
      </c>
      <c r="K5539">
        <v>1.109637</v>
      </c>
      <c r="L5539">
        <v>17.347200000000001</v>
      </c>
      <c r="M5539">
        <v>0.99994019999999995</v>
      </c>
      <c r="N5539">
        <v>0</v>
      </c>
      <c r="O5539">
        <v>-4.1407199999999996E-3</v>
      </c>
      <c r="P5539">
        <v>0.97065500000000005</v>
      </c>
      <c r="Q5539">
        <v>0.17153470000000001</v>
      </c>
      <c r="R5539">
        <v>-0.16853760000000001</v>
      </c>
      <c r="S5539">
        <v>3.0189509999999999</v>
      </c>
      <c r="T5539">
        <v>-0.13576450000000001</v>
      </c>
      <c r="U5539">
        <v>-0.55130000000000001</v>
      </c>
      <c r="V5539">
        <v>0.164552799999999</v>
      </c>
      <c r="W5539">
        <v>0.1813331</v>
      </c>
      <c r="X5539">
        <v>0.96955690000000005</v>
      </c>
      <c r="Y5539">
        <v>0.17539979999999999</v>
      </c>
      <c r="Z5539">
        <v>-3.7250730000000002E-3</v>
      </c>
      <c r="AA5539">
        <v>0.98449019999999998</v>
      </c>
      <c r="AB5539">
        <v>28</v>
      </c>
      <c r="AC5539">
        <v>25.651</v>
      </c>
      <c r="AD5539">
        <v>-1.159637</v>
      </c>
      <c r="AE5539">
        <v>-4.7083000000000004</v>
      </c>
      <c r="AF5539">
        <v>4.5929595083721697</v>
      </c>
      <c r="AG5539">
        <v>-1.159637</v>
      </c>
      <c r="AH5539">
        <v>25.6196224090287</v>
      </c>
      <c r="AI5539">
        <v>92.551030496921697</v>
      </c>
      <c r="AJ5539">
        <v>79.836263472849893</v>
      </c>
      <c r="AK5539">
        <v>26.053888143586601</v>
      </c>
      <c r="AL5539">
        <v>79.552580729512499</v>
      </c>
      <c r="AM5539">
        <v>80.367570416158998</v>
      </c>
      <c r="AN5539">
        <v>0.99999994974052797</v>
      </c>
    </row>
    <row r="5540" spans="1:40" x14ac:dyDescent="0.25">
      <c r="A5540" t="str">
        <f>"20190312173037868"</f>
        <v>20190312173037868</v>
      </c>
      <c r="B5540" t="str">
        <f>"1552383037863305"</f>
        <v>1552383037863305</v>
      </c>
      <c r="C5540" t="s">
        <v>40</v>
      </c>
      <c r="D5540">
        <v>3.505166</v>
      </c>
      <c r="E5540">
        <v>0.50626979999999999</v>
      </c>
      <c r="F5540" t="s">
        <v>43</v>
      </c>
      <c r="G5540">
        <v>-314.9015</v>
      </c>
      <c r="H5540">
        <v>-0.05</v>
      </c>
      <c r="I5540">
        <v>12.677289999999999</v>
      </c>
      <c r="J5540">
        <v>-340.27949999999998</v>
      </c>
      <c r="K5540">
        <v>1.109648</v>
      </c>
      <c r="L5540">
        <v>17.34656</v>
      </c>
      <c r="M5540">
        <v>0.99993949999999998</v>
      </c>
      <c r="N5540">
        <v>0</v>
      </c>
      <c r="O5540">
        <v>-4.1843920000000003E-3</v>
      </c>
      <c r="P5540">
        <v>0.97012509999999996</v>
      </c>
      <c r="Q5540">
        <v>0.17154449999999999</v>
      </c>
      <c r="R5540">
        <v>-0.17155200000000001</v>
      </c>
      <c r="S5540">
        <v>3.019012</v>
      </c>
      <c r="T5540">
        <v>-0.1371723</v>
      </c>
      <c r="U5540">
        <v>-0.55239869999999902</v>
      </c>
      <c r="V5540">
        <v>0.16752700000000001</v>
      </c>
      <c r="W5540">
        <v>0.18138989999999999</v>
      </c>
      <c r="X5540">
        <v>0.96903689999999998</v>
      </c>
      <c r="Y5540">
        <v>0.1756962</v>
      </c>
      <c r="Z5540">
        <v>-3.7681759999999998E-3</v>
      </c>
      <c r="AA5540">
        <v>0.98443720000000001</v>
      </c>
      <c r="AB5540">
        <v>28</v>
      </c>
      <c r="AC5540">
        <v>25.377999999999901</v>
      </c>
      <c r="AD5540">
        <v>-1.159648</v>
      </c>
      <c r="AE5540">
        <v>-4.66927</v>
      </c>
      <c r="AF5540">
        <v>4.5538349038269104</v>
      </c>
      <c r="AG5540">
        <v>-1.159648</v>
      </c>
      <c r="AH5540">
        <v>25.346126196757499</v>
      </c>
      <c r="AI5540">
        <v>92.578369759724396</v>
      </c>
      <c r="AJ5540">
        <v>79.814568403610707</v>
      </c>
      <c r="AK5540">
        <v>25.778058673941501</v>
      </c>
      <c r="AL5540">
        <v>79.549272536189505</v>
      </c>
      <c r="AM5540">
        <v>80.191660129067003</v>
      </c>
      <c r="AN5540">
        <v>1.0000000525563</v>
      </c>
    </row>
    <row r="5541" spans="1:40" x14ac:dyDescent="0.25">
      <c r="A5541" t="str">
        <f>"20190312173037878"</f>
        <v>20190312173037878</v>
      </c>
      <c r="B5541" t="str">
        <f>"1552383037873064"</f>
        <v>1552383037873064</v>
      </c>
      <c r="C5541" t="s">
        <v>40</v>
      </c>
      <c r="D5541">
        <v>3.5000249999999999</v>
      </c>
      <c r="E5541">
        <v>0.50365559999999998</v>
      </c>
      <c r="F5541" t="s">
        <v>43</v>
      </c>
      <c r="G5541">
        <v>-314.76280000000003</v>
      </c>
      <c r="H5541">
        <v>-0.05</v>
      </c>
      <c r="I5541">
        <v>12.5923</v>
      </c>
      <c r="J5541">
        <v>-340.1336</v>
      </c>
      <c r="K5541">
        <v>1.1096600000000001</v>
      </c>
      <c r="L5541">
        <v>17.345890000000001</v>
      </c>
      <c r="M5541">
        <v>0.99993860000000001</v>
      </c>
      <c r="N5541">
        <v>0</v>
      </c>
      <c r="O5541">
        <v>-4.2281999999999997E-3</v>
      </c>
      <c r="P5541">
        <v>0.9696844</v>
      </c>
      <c r="Q5541">
        <v>0.1714155</v>
      </c>
      <c r="R5541">
        <v>-0.17415220000000001</v>
      </c>
      <c r="S5541">
        <v>3.0172119999999998</v>
      </c>
      <c r="T5541">
        <v>-0.13712189999999999</v>
      </c>
      <c r="U5541">
        <v>-0.56216429999999995</v>
      </c>
      <c r="V5541">
        <v>0.1700866</v>
      </c>
      <c r="W5541">
        <v>0.1813111</v>
      </c>
      <c r="X5541">
        <v>0.96860559999999996</v>
      </c>
      <c r="Y5541">
        <v>0.178834299999999</v>
      </c>
      <c r="Z5541">
        <v>-3.8365949999999999E-3</v>
      </c>
      <c r="AA5541">
        <v>0.98387179999999996</v>
      </c>
      <c r="AB5541">
        <v>28</v>
      </c>
      <c r="AC5541">
        <v>25.3707999999999</v>
      </c>
      <c r="AD5541">
        <v>-1.1596599999999999</v>
      </c>
      <c r="AE5541">
        <v>-4.75359</v>
      </c>
      <c r="AF5541">
        <v>4.6369098949845897</v>
      </c>
      <c r="AG5541">
        <v>-1.1596599999999999</v>
      </c>
      <c r="AH5541">
        <v>25.3395279314079</v>
      </c>
      <c r="AI5541">
        <v>92.577563789806803</v>
      </c>
      <c r="AJ5541">
        <v>79.630110278487393</v>
      </c>
      <c r="AK5541">
        <v>25.786380522989401</v>
      </c>
      <c r="AL5541">
        <v>79.553862881378294</v>
      </c>
      <c r="AM5541">
        <v>80.040433132938105</v>
      </c>
      <c r="AN5541">
        <v>0.99999998741706397</v>
      </c>
    </row>
    <row r="5542" spans="1:40" x14ac:dyDescent="0.25">
      <c r="A5542" t="str">
        <f>"20190312173037891"</f>
        <v>20190312173037891</v>
      </c>
      <c r="B5542" t="str">
        <f>"1552383037882824"</f>
        <v>1552383037882824</v>
      </c>
      <c r="C5542" t="s">
        <v>40</v>
      </c>
      <c r="D5542">
        <v>3.5105149999999998</v>
      </c>
      <c r="E5542">
        <v>0.50315429999999906</v>
      </c>
      <c r="F5542" t="s">
        <v>41</v>
      </c>
      <c r="G5542">
        <v>-321.58699999999999</v>
      </c>
      <c r="H5542" s="1">
        <v>-4.9582999999999996E-6</v>
      </c>
      <c r="I5542">
        <v>13.97344</v>
      </c>
      <c r="J5542">
        <v>-339.9864</v>
      </c>
      <c r="K5542">
        <v>1.109672</v>
      </c>
      <c r="L5542">
        <v>17.345210000000002</v>
      </c>
      <c r="M5542">
        <v>0.99993779999999999</v>
      </c>
      <c r="N5542">
        <v>0</v>
      </c>
      <c r="O5542">
        <v>-4.2723930000000002E-3</v>
      </c>
      <c r="P5542">
        <v>0.9691765</v>
      </c>
      <c r="Q5542">
        <v>0.17149249999999999</v>
      </c>
      <c r="R5542">
        <v>-0.17688199999999901</v>
      </c>
      <c r="S5542">
        <v>3.0269780000000002</v>
      </c>
      <c r="T5542">
        <v>-0.18110780000000001</v>
      </c>
      <c r="U5542">
        <v>-0.55041499999999999</v>
      </c>
      <c r="V5542">
        <v>0.1727757</v>
      </c>
      <c r="W5542">
        <v>0.1814424</v>
      </c>
      <c r="X5542">
        <v>0.96810499999999999</v>
      </c>
      <c r="Y5542">
        <v>0.17440310000000001</v>
      </c>
      <c r="Z5542">
        <v>-4.9171249999999996E-3</v>
      </c>
      <c r="AA5542">
        <v>0.98466209999999998</v>
      </c>
      <c r="AB5542">
        <v>28</v>
      </c>
      <c r="AC5542">
        <v>18.3994</v>
      </c>
      <c r="AD5542">
        <v>-1.1096769582999999</v>
      </c>
      <c r="AE5542">
        <v>-3.3717700000000002</v>
      </c>
      <c r="AF5542">
        <v>3.2815771406891199</v>
      </c>
      <c r="AG5542">
        <v>-1.1096769582999999</v>
      </c>
      <c r="AH5542">
        <v>18.349064784896001</v>
      </c>
      <c r="AI5542">
        <v>93.406877005391493</v>
      </c>
      <c r="AJ5542">
        <v>79.860324587368893</v>
      </c>
      <c r="AK5542">
        <v>18.673197636248201</v>
      </c>
      <c r="AL5542">
        <v>79.546213608706694</v>
      </c>
      <c r="AM5542">
        <v>79.881074961538204</v>
      </c>
      <c r="AN5542">
        <v>1.0000000390266199</v>
      </c>
    </row>
    <row r="5543" spans="1:40" x14ac:dyDescent="0.25">
      <c r="A5543" t="str">
        <f>"20190312173037902"</f>
        <v>20190312173037902</v>
      </c>
      <c r="B5543" t="str">
        <f>"1552383037893560"</f>
        <v>1552383037893560</v>
      </c>
      <c r="C5543" t="s">
        <v>40</v>
      </c>
      <c r="D5543">
        <v>3.491406</v>
      </c>
      <c r="E5543">
        <v>0.50263610000000003</v>
      </c>
      <c r="F5543" t="s">
        <v>41</v>
      </c>
      <c r="G5543">
        <v>-321.40899999999999</v>
      </c>
      <c r="H5543" s="1">
        <v>-5.0493920000000001E-6</v>
      </c>
      <c r="I5543">
        <v>13.934229999999999</v>
      </c>
      <c r="J5543">
        <v>-339.83699999999999</v>
      </c>
      <c r="K5543">
        <v>1.109685</v>
      </c>
      <c r="L5543">
        <v>17.344539999999999</v>
      </c>
      <c r="M5543">
        <v>0.99993690000000002</v>
      </c>
      <c r="N5543">
        <v>0</v>
      </c>
      <c r="O5543">
        <v>-4.3175590000000003E-3</v>
      </c>
      <c r="P5543">
        <v>0.96858250000000001</v>
      </c>
      <c r="Q5543">
        <v>0.17199779999999901</v>
      </c>
      <c r="R5543">
        <v>-0.17962349999999999</v>
      </c>
      <c r="S5543">
        <v>3.0260009999999999</v>
      </c>
      <c r="T5543">
        <v>-0.1807511</v>
      </c>
      <c r="U5543">
        <v>-0.55560299999999996</v>
      </c>
      <c r="V5543">
        <v>0.17547639999999901</v>
      </c>
      <c r="W5543">
        <v>0.18200459999999999</v>
      </c>
      <c r="X5543">
        <v>0.96751350000000003</v>
      </c>
      <c r="Y5543">
        <v>0.17604629999999999</v>
      </c>
      <c r="Z5543">
        <v>-4.9542170000000003E-3</v>
      </c>
      <c r="AA5543">
        <v>0.98436939999999995</v>
      </c>
      <c r="AB5543">
        <v>28</v>
      </c>
      <c r="AC5543">
        <v>18.428000000000001</v>
      </c>
      <c r="AD5543">
        <v>-1.1096900493919899</v>
      </c>
      <c r="AE5543">
        <v>-3.4103099999999902</v>
      </c>
      <c r="AF5543">
        <v>3.3190730023618298</v>
      </c>
      <c r="AG5543">
        <v>-1.1096900493919899</v>
      </c>
      <c r="AH5543">
        <v>18.3781179860582</v>
      </c>
      <c r="AI5543">
        <v>93.400505704796899</v>
      </c>
      <c r="AJ5543">
        <v>79.762776778578399</v>
      </c>
      <c r="AK5543">
        <v>18.7083638597875</v>
      </c>
      <c r="AL5543">
        <v>79.513456166309794</v>
      </c>
      <c r="AM5543">
        <v>79.720100039061805</v>
      </c>
      <c r="AN5543">
        <v>1.00000000703018</v>
      </c>
    </row>
    <row r="5544" spans="1:40" x14ac:dyDescent="0.25">
      <c r="A5544" t="str">
        <f>"20190312173037914"</f>
        <v>20190312173037914</v>
      </c>
      <c r="B5544" t="str">
        <f>"1552383037903319"</f>
        <v>1552383037903319</v>
      </c>
      <c r="C5544" t="s">
        <v>40</v>
      </c>
      <c r="D5544">
        <v>3.5189810000000001</v>
      </c>
      <c r="E5544">
        <v>0.50221759999999904</v>
      </c>
      <c r="F5544" t="s">
        <v>41</v>
      </c>
      <c r="G5544">
        <v>-321.01979999999998</v>
      </c>
      <c r="H5544" s="1">
        <v>-5.2473620000000002E-6</v>
      </c>
      <c r="I5544">
        <v>13.855499999999999</v>
      </c>
      <c r="J5544">
        <v>-339.70179999999999</v>
      </c>
      <c r="K5544">
        <v>1.1096999999999999</v>
      </c>
      <c r="L5544">
        <v>17.343900000000001</v>
      </c>
      <c r="M5544">
        <v>0.99993600000000005</v>
      </c>
      <c r="N5544">
        <v>0</v>
      </c>
      <c r="O5544">
        <v>-4.3588259999999997E-3</v>
      </c>
      <c r="P5544">
        <v>0.96804049999999997</v>
      </c>
      <c r="Q5544">
        <v>0.17220389999999999</v>
      </c>
      <c r="R5544">
        <v>-0.18232799999999999</v>
      </c>
      <c r="S5544">
        <v>3.0249630000000001</v>
      </c>
      <c r="T5544">
        <v>-0.1783884</v>
      </c>
      <c r="U5544">
        <v>-0.56088260000000001</v>
      </c>
      <c r="V5544">
        <v>0.17814349999999901</v>
      </c>
      <c r="W5544">
        <v>0.18227280000000001</v>
      </c>
      <c r="X5544">
        <v>0.96697549999999999</v>
      </c>
      <c r="Y5544">
        <v>0.17773169999999999</v>
      </c>
      <c r="Z5544">
        <v>-4.9372729999999998E-3</v>
      </c>
      <c r="AA5544">
        <v>0.98406660000000001</v>
      </c>
      <c r="AB5544">
        <v>28</v>
      </c>
      <c r="AC5544">
        <v>18.681999999999999</v>
      </c>
      <c r="AD5544">
        <v>-1.1097052473619999</v>
      </c>
      <c r="AE5544">
        <v>-3.4883999999999999</v>
      </c>
      <c r="AF5544">
        <v>3.39535454109431</v>
      </c>
      <c r="AG5544">
        <v>-1.1097052473619999</v>
      </c>
      <c r="AH5544">
        <v>18.633498685687201</v>
      </c>
      <c r="AI5544">
        <v>93.353102021143997</v>
      </c>
      <c r="AJ5544">
        <v>79.672993114645905</v>
      </c>
      <c r="AK5544">
        <v>18.972800306366398</v>
      </c>
      <c r="AL5544">
        <v>79.497828468775495</v>
      </c>
      <c r="AM5544">
        <v>79.561582841525507</v>
      </c>
      <c r="AN5544">
        <v>1.00000004890616</v>
      </c>
    </row>
    <row r="5545" spans="1:40" x14ac:dyDescent="0.25">
      <c r="A5545" t="str">
        <f>"20190312173037923"</f>
        <v>20190312173037923</v>
      </c>
      <c r="B5545" t="str">
        <f>"1552383037913080"</f>
        <v>1552383037913080</v>
      </c>
      <c r="C5545" t="s">
        <v>40</v>
      </c>
      <c r="D5545">
        <v>3.5075090000000002</v>
      </c>
      <c r="E5545">
        <v>0.50191339999999995</v>
      </c>
      <c r="F5545" t="s">
        <v>41</v>
      </c>
      <c r="G5545">
        <v>-320.8279</v>
      </c>
      <c r="H5545" s="1">
        <v>-5.3464500000000003E-6</v>
      </c>
      <c r="I5545">
        <v>13.808179999999901</v>
      </c>
      <c r="J5545">
        <v>-339.57350000000002</v>
      </c>
      <c r="K5545">
        <v>1.109712</v>
      </c>
      <c r="L5545">
        <v>17.34329</v>
      </c>
      <c r="M5545">
        <v>0.99993529999999997</v>
      </c>
      <c r="N5545">
        <v>0</v>
      </c>
      <c r="O5545">
        <v>-4.3980570000000004E-3</v>
      </c>
      <c r="P5545">
        <v>0.96737629999999997</v>
      </c>
      <c r="Q5545">
        <v>0.1731645</v>
      </c>
      <c r="R5545">
        <v>-0.18492639999999999</v>
      </c>
      <c r="S5545">
        <v>3.023987</v>
      </c>
      <c r="T5545">
        <v>-0.17779819999999999</v>
      </c>
      <c r="U5545">
        <v>-0.56649780000000005</v>
      </c>
      <c r="V5545">
        <v>0.1807067</v>
      </c>
      <c r="W5545">
        <v>0.18329239999999999</v>
      </c>
      <c r="X5545">
        <v>0.96630689999999997</v>
      </c>
      <c r="Y5545">
        <v>0.1795146</v>
      </c>
      <c r="Z5545">
        <v>-4.9713309999999998E-3</v>
      </c>
      <c r="AA5545">
        <v>0.98374269999999997</v>
      </c>
      <c r="AB5545">
        <v>28</v>
      </c>
      <c r="AC5545">
        <v>18.7456</v>
      </c>
      <c r="AD5545">
        <v>-1.1097173464499901</v>
      </c>
      <c r="AE5545">
        <v>-3.53511</v>
      </c>
      <c r="AF5545">
        <v>3.4409822620168802</v>
      </c>
      <c r="AG5545">
        <v>-1.1097173464499901</v>
      </c>
      <c r="AH5545">
        <v>18.697691414820699</v>
      </c>
      <c r="AI5545">
        <v>93.340580818531706</v>
      </c>
      <c r="AJ5545">
        <v>79.5723922278885</v>
      </c>
      <c r="AK5545">
        <v>19.044040951446899</v>
      </c>
      <c r="AL5545">
        <v>79.438408360665093</v>
      </c>
      <c r="AM5545">
        <v>79.407603397407399</v>
      </c>
      <c r="AN5545">
        <v>1.00000002015512</v>
      </c>
    </row>
    <row r="5546" spans="1:40" x14ac:dyDescent="0.25">
      <c r="A5546" t="str">
        <f>"20190312173037934"</f>
        <v>20190312173037934</v>
      </c>
      <c r="B5546" t="str">
        <f>"1552383037922840"</f>
        <v>1552383037922840</v>
      </c>
      <c r="C5546" t="s">
        <v>40</v>
      </c>
      <c r="D5546">
        <v>3.499619</v>
      </c>
      <c r="E5546">
        <v>0.50152029999999903</v>
      </c>
      <c r="F5546" t="s">
        <v>41</v>
      </c>
      <c r="G5546">
        <v>-320.50220000000002</v>
      </c>
      <c r="H5546" s="1">
        <v>-5.5142289999999998E-6</v>
      </c>
      <c r="I5546">
        <v>13.730359999999999</v>
      </c>
      <c r="J5546">
        <v>-339.43970000000002</v>
      </c>
      <c r="K5546">
        <v>1.109721</v>
      </c>
      <c r="L5546">
        <v>17.34262</v>
      </c>
      <c r="M5546">
        <v>0.9999342</v>
      </c>
      <c r="N5546">
        <v>0</v>
      </c>
      <c r="O5546">
        <v>-4.4390530000000001E-3</v>
      </c>
      <c r="P5546">
        <v>0.96677769999999996</v>
      </c>
      <c r="Q5546">
        <v>0.17383989999999999</v>
      </c>
      <c r="R5546">
        <v>-0.18740560000000001</v>
      </c>
      <c r="S5546">
        <v>3.023193</v>
      </c>
      <c r="T5546">
        <v>-0.1759126</v>
      </c>
      <c r="U5546">
        <v>-0.57272339999999999</v>
      </c>
      <c r="V5546">
        <v>0.1831496</v>
      </c>
      <c r="W5546">
        <v>0.18404239999999999</v>
      </c>
      <c r="X5546">
        <v>0.96570420000000001</v>
      </c>
      <c r="Y5546">
        <v>0.18148</v>
      </c>
      <c r="Z5546">
        <v>-4.9733059999999898E-3</v>
      </c>
      <c r="AA5546">
        <v>0.98338199999999998</v>
      </c>
      <c r="AB5546">
        <v>28</v>
      </c>
      <c r="AC5546">
        <v>18.9375</v>
      </c>
      <c r="AD5546">
        <v>-1.109726514229</v>
      </c>
      <c r="AE5546">
        <v>-3.6122599999999898</v>
      </c>
      <c r="AF5546">
        <v>3.5165037675228699</v>
      </c>
      <c r="AG5546">
        <v>-1.109726514229</v>
      </c>
      <c r="AH5546">
        <v>18.890757823410699</v>
      </c>
      <c r="AI5546">
        <v>93.305293300633906</v>
      </c>
      <c r="AJ5546">
        <v>79.455116965788903</v>
      </c>
      <c r="AK5546">
        <v>19.2472861158694</v>
      </c>
      <c r="AL5546">
        <v>79.394692549070598</v>
      </c>
      <c r="AM5546">
        <v>79.261171426342699</v>
      </c>
      <c r="AN5546">
        <v>0.99999999143777996</v>
      </c>
    </row>
    <row r="5547" spans="1:40" x14ac:dyDescent="0.25">
      <c r="A5547" t="str">
        <f>"20190312173037945"</f>
        <v>20190312173037945</v>
      </c>
      <c r="B5547" t="str">
        <f>"1552383037943336"</f>
        <v>1552383037943336</v>
      </c>
      <c r="C5547" t="s">
        <v>40</v>
      </c>
      <c r="D5547">
        <v>3.5127959999999998</v>
      </c>
      <c r="E5547">
        <v>0.4976624</v>
      </c>
      <c r="F5547" t="s">
        <v>41</v>
      </c>
      <c r="G5547">
        <v>-320.12509999999997</v>
      </c>
      <c r="H5547" s="1">
        <v>-5.7066279999999996E-6</v>
      </c>
      <c r="I5547">
        <v>13.65058</v>
      </c>
      <c r="J5547">
        <v>-339.30529999999999</v>
      </c>
      <c r="K5547">
        <v>1.1097360000000001</v>
      </c>
      <c r="L5547">
        <v>17.34198</v>
      </c>
      <c r="M5547">
        <v>0.99993310000000002</v>
      </c>
      <c r="N5547">
        <v>0</v>
      </c>
      <c r="O5547">
        <v>-4.4788780000000004E-3</v>
      </c>
      <c r="P5547">
        <v>0.96626469999999998</v>
      </c>
      <c r="Q5547">
        <v>0.17412540000000001</v>
      </c>
      <c r="R5547">
        <v>-0.1897712</v>
      </c>
      <c r="S5547">
        <v>3.0223390000000001</v>
      </c>
      <c r="T5547">
        <v>-0.17364939999999901</v>
      </c>
      <c r="U5547">
        <v>-0.57772829999999997</v>
      </c>
      <c r="V5547">
        <v>0.18547949999999999</v>
      </c>
      <c r="W5547">
        <v>0.1844065</v>
      </c>
      <c r="X5547">
        <v>0.96518990000000005</v>
      </c>
      <c r="Y5547">
        <v>0.18306790000000001</v>
      </c>
      <c r="Z5547">
        <v>-4.952939E-3</v>
      </c>
      <c r="AA5547">
        <v>0.98308779999999996</v>
      </c>
      <c r="AB5547">
        <v>28</v>
      </c>
      <c r="AC5547">
        <v>19.180199999999999</v>
      </c>
      <c r="AD5547">
        <v>-1.109741706628</v>
      </c>
      <c r="AE5547">
        <v>-3.6913999999999998</v>
      </c>
      <c r="AF5547">
        <v>3.5938511344445399</v>
      </c>
      <c r="AG5547">
        <v>-1.109741706628</v>
      </c>
      <c r="AH5547">
        <v>19.134773631276602</v>
      </c>
      <c r="AI5547">
        <v>93.262297527730794</v>
      </c>
      <c r="AJ5547">
        <v>79.362755405965004</v>
      </c>
      <c r="AK5547">
        <v>19.500944965620899</v>
      </c>
      <c r="AL5547">
        <v>79.373467675851302</v>
      </c>
      <c r="AM5547">
        <v>79.122140687368599</v>
      </c>
      <c r="AN5547">
        <v>0.99999997261225404</v>
      </c>
    </row>
    <row r="5548" spans="1:40" x14ac:dyDescent="0.25">
      <c r="A5548" t="str">
        <f>"20190312173037957"</f>
        <v>20190312173037957</v>
      </c>
      <c r="B5548" t="str">
        <f>"1552383037953096"</f>
        <v>1552383037953096</v>
      </c>
      <c r="C5548" t="s">
        <v>40</v>
      </c>
      <c r="D5548">
        <v>3.4791210000000001</v>
      </c>
      <c r="E5548">
        <v>0.49737809999999999</v>
      </c>
      <c r="F5548" t="s">
        <v>41</v>
      </c>
      <c r="G5548">
        <v>-320.0514</v>
      </c>
      <c r="H5548" s="1">
        <v>-5.71327599999999E-6</v>
      </c>
      <c r="I5548">
        <v>13.8096</v>
      </c>
      <c r="J5548">
        <v>-339.16770000000002</v>
      </c>
      <c r="K5548">
        <v>1.1097520000000001</v>
      </c>
      <c r="L5548">
        <v>17.341339999999999</v>
      </c>
      <c r="M5548">
        <v>0.99993180000000004</v>
      </c>
      <c r="N5548">
        <v>0</v>
      </c>
      <c r="O5548">
        <v>-4.5143650000000002E-3</v>
      </c>
      <c r="P5548">
        <v>0.96577109999999999</v>
      </c>
      <c r="Q5548">
        <v>0.17446439999999999</v>
      </c>
      <c r="R5548">
        <v>-0.19196009999999999</v>
      </c>
      <c r="S5548">
        <v>3.0270999999999999</v>
      </c>
      <c r="T5548">
        <v>-0.17447299999999999</v>
      </c>
      <c r="U5548">
        <v>-0.55535889999999999</v>
      </c>
      <c r="V5548">
        <v>0.18763750000000001</v>
      </c>
      <c r="W5548">
        <v>0.1848312</v>
      </c>
      <c r="X5548">
        <v>0.96469150000000004</v>
      </c>
      <c r="Y5548">
        <v>0.17573349999999999</v>
      </c>
      <c r="Z5548">
        <v>-4.7605829999999997E-3</v>
      </c>
      <c r="AA5548">
        <v>0.98442629999999998</v>
      </c>
      <c r="AB5548">
        <v>28</v>
      </c>
      <c r="AC5548">
        <v>19.116299999999999</v>
      </c>
      <c r="AD5548">
        <v>-1.1097577132759999</v>
      </c>
      <c r="AE5548">
        <v>-3.5317399999999899</v>
      </c>
      <c r="AF5548">
        <v>3.4342092655854599</v>
      </c>
      <c r="AG5548">
        <v>-1.1097577132759999</v>
      </c>
      <c r="AH5548">
        <v>19.069902569732999</v>
      </c>
      <c r="AI5548">
        <v>93.277915015389397</v>
      </c>
      <c r="AJ5548">
        <v>79.791291990248894</v>
      </c>
      <c r="AK5548">
        <v>19.408414141323298</v>
      </c>
      <c r="AL5548">
        <v>79.348709354876206</v>
      </c>
      <c r="AM5548">
        <v>78.993105720270705</v>
      </c>
      <c r="AN5548">
        <v>1.00000004703596</v>
      </c>
    </row>
    <row r="5549" spans="1:40" x14ac:dyDescent="0.25">
      <c r="A5549" t="str">
        <f>"20190312173037968"</f>
        <v>20190312173037968</v>
      </c>
      <c r="B5549" t="str">
        <f>"1552383037962856"</f>
        <v>1552383037962856</v>
      </c>
      <c r="C5549" t="s">
        <v>40</v>
      </c>
      <c r="D5549">
        <v>3.5215740000000002</v>
      </c>
      <c r="E5549">
        <v>0.49691459999999998</v>
      </c>
      <c r="F5549" t="s">
        <v>43</v>
      </c>
      <c r="G5549">
        <v>-318.96929999999998</v>
      </c>
      <c r="H5549">
        <v>-0.05</v>
      </c>
      <c r="I5549">
        <v>13.60139</v>
      </c>
      <c r="J5549">
        <v>-339.02069999999998</v>
      </c>
      <c r="K5549">
        <v>1.1097649999999999</v>
      </c>
      <c r="L5549">
        <v>17.340610000000002</v>
      </c>
      <c r="M5549">
        <v>0.99993030000000005</v>
      </c>
      <c r="N5549">
        <v>0</v>
      </c>
      <c r="O5549">
        <v>-4.5533520000000001E-3</v>
      </c>
      <c r="P5549">
        <v>0.96530340000000003</v>
      </c>
      <c r="Q5549">
        <v>0.17459530000000001</v>
      </c>
      <c r="R5549">
        <v>-0.19417999999999999</v>
      </c>
      <c r="S5549">
        <v>3.026367</v>
      </c>
      <c r="T5549">
        <v>-0.17376800000000001</v>
      </c>
      <c r="U5549">
        <v>-0.56036379999999997</v>
      </c>
      <c r="V5549">
        <v>0.18982250000000001</v>
      </c>
      <c r="W5549">
        <v>0.1850589</v>
      </c>
      <c r="X5549">
        <v>0.96422019999999997</v>
      </c>
      <c r="Y5549">
        <v>0.17731140000000001</v>
      </c>
      <c r="Z5549">
        <v>-4.7844659999999898E-3</v>
      </c>
      <c r="AA5549">
        <v>0.9841432</v>
      </c>
      <c r="AB5549">
        <v>28</v>
      </c>
      <c r="AC5549">
        <v>20.051400000000001</v>
      </c>
      <c r="AD5549">
        <v>-1.1597649999999999</v>
      </c>
      <c r="AE5549">
        <v>-3.73922</v>
      </c>
      <c r="AF5549">
        <v>3.63611919250789</v>
      </c>
      <c r="AG5549">
        <v>-1.1597649999999999</v>
      </c>
      <c r="AH5549">
        <v>20.0035478182559</v>
      </c>
      <c r="AI5549">
        <v>93.264797787619202</v>
      </c>
      <c r="AJ5549">
        <v>79.697619804254501</v>
      </c>
      <c r="AK5549">
        <v>20.364389088666499</v>
      </c>
      <c r="AL5549">
        <v>79.335433434927893</v>
      </c>
      <c r="AM5549">
        <v>78.862811098175598</v>
      </c>
      <c r="AN5549">
        <v>0.999999986031749</v>
      </c>
    </row>
    <row r="5550" spans="1:40" x14ac:dyDescent="0.25">
      <c r="A5550" t="str">
        <f>"20190312173037979"</f>
        <v>20190312173037979</v>
      </c>
      <c r="B5550" t="str">
        <f>"1552383037973592"</f>
        <v>1552383037973592</v>
      </c>
      <c r="C5550" t="s">
        <v>40</v>
      </c>
      <c r="D5550">
        <v>3.5659619999999999</v>
      </c>
      <c r="E5550">
        <v>0.49691459999999998</v>
      </c>
      <c r="F5550" t="s">
        <v>43</v>
      </c>
      <c r="G5550">
        <v>-317.98779999999999</v>
      </c>
      <c r="H5550">
        <v>-0.05</v>
      </c>
      <c r="I5550">
        <v>13.418060000000001</v>
      </c>
      <c r="J5550">
        <v>-338.88639999999998</v>
      </c>
      <c r="K5550">
        <v>1.109783</v>
      </c>
      <c r="L5550">
        <v>17.339939999999999</v>
      </c>
      <c r="M5550">
        <v>0.99992919999999996</v>
      </c>
      <c r="N5550">
        <v>0</v>
      </c>
      <c r="O5550">
        <v>-4.5906209999999996E-3</v>
      </c>
      <c r="P5550">
        <v>0.96483209999999997</v>
      </c>
      <c r="Q5550">
        <v>0.1745351</v>
      </c>
      <c r="R5550">
        <v>-0.1965623</v>
      </c>
      <c r="S5550">
        <v>3.0245060000000001</v>
      </c>
      <c r="T5550">
        <v>-0.16677220000000001</v>
      </c>
      <c r="U5550">
        <v>-0.56405640000000001</v>
      </c>
      <c r="V5550">
        <v>0.1921707</v>
      </c>
      <c r="W5550">
        <v>0.18509120000000001</v>
      </c>
      <c r="X5550">
        <v>0.96374879999999996</v>
      </c>
      <c r="Y5550">
        <v>0.178564</v>
      </c>
      <c r="Z5550">
        <v>-4.6265849999999999E-3</v>
      </c>
      <c r="AA5550">
        <v>0.98391740000000005</v>
      </c>
      <c r="AB5550">
        <v>28</v>
      </c>
      <c r="AC5550">
        <v>20.898599999999899</v>
      </c>
      <c r="AD5550">
        <v>-1.159783</v>
      </c>
      <c r="AE5550">
        <v>-3.92187999999999</v>
      </c>
      <c r="AF5550">
        <v>3.8145470418013199</v>
      </c>
      <c r="AG5550">
        <v>-1.159783</v>
      </c>
      <c r="AH5550">
        <v>20.8543429507653</v>
      </c>
      <c r="AI5550">
        <v>93.131294221790796</v>
      </c>
      <c r="AJ5550">
        <v>79.634399945105599</v>
      </c>
      <c r="AK5550">
        <v>21.232039130741502</v>
      </c>
      <c r="AL5550">
        <v>79.333550829103402</v>
      </c>
      <c r="AM5550">
        <v>78.723172949219801</v>
      </c>
      <c r="AN5550">
        <v>1.0000000398786799</v>
      </c>
    </row>
    <row r="5551" spans="1:40" x14ac:dyDescent="0.25">
      <c r="A5551" t="str">
        <f>"20190312173037992"</f>
        <v>20190312173037992</v>
      </c>
      <c r="B5551" t="str">
        <f>"1552383037983352"</f>
        <v>1552383037983352</v>
      </c>
      <c r="C5551" t="s">
        <v>40</v>
      </c>
      <c r="D5551">
        <v>3.541242</v>
      </c>
      <c r="E5551">
        <v>0.50128079999999997</v>
      </c>
      <c r="F5551" t="s">
        <v>43</v>
      </c>
      <c r="G5551">
        <v>-317.89</v>
      </c>
      <c r="H5551">
        <v>-0.05</v>
      </c>
      <c r="I5551">
        <v>13.367579999999901</v>
      </c>
      <c r="J5551">
        <v>-338.73070000000001</v>
      </c>
      <c r="K5551">
        <v>1.1098049999999999</v>
      </c>
      <c r="L5551">
        <v>17.33914</v>
      </c>
      <c r="M5551">
        <v>0.99992760000000003</v>
      </c>
      <c r="N5551">
        <v>0</v>
      </c>
      <c r="O5551">
        <v>-4.636233E-3</v>
      </c>
      <c r="P5551">
        <v>0.96438259999999998</v>
      </c>
      <c r="Q5551">
        <v>0.1744772</v>
      </c>
      <c r="R5551">
        <v>-0.1988057</v>
      </c>
      <c r="S5551">
        <v>3.0230100000000002</v>
      </c>
      <c r="T5551">
        <v>-0.16698279999999999</v>
      </c>
      <c r="U5551">
        <v>-0.57192989999999999</v>
      </c>
      <c r="V5551">
        <v>0.19437109999999999</v>
      </c>
      <c r="W5551">
        <v>0.1851507</v>
      </c>
      <c r="X5551">
        <v>0.96329589999999998</v>
      </c>
      <c r="Y5551">
        <v>0.18107719999999999</v>
      </c>
      <c r="Z5551">
        <v>-4.6998170000000002E-3</v>
      </c>
      <c r="AA5551">
        <v>0.98345769999999999</v>
      </c>
      <c r="AB5551">
        <v>28</v>
      </c>
      <c r="AC5551">
        <v>20.840699999999998</v>
      </c>
      <c r="AD5551">
        <v>-1.159805</v>
      </c>
      <c r="AE5551">
        <v>-3.9715600000000002</v>
      </c>
      <c r="AF5551">
        <v>3.8633434133564601</v>
      </c>
      <c r="AG5551">
        <v>-1.159805</v>
      </c>
      <c r="AH5551">
        <v>20.796739161716602</v>
      </c>
      <c r="AI5551">
        <v>93.138416016729295</v>
      </c>
      <c r="AJ5551">
        <v>79.476307903405797</v>
      </c>
      <c r="AK5551">
        <v>21.1843085732819</v>
      </c>
      <c r="AL5551">
        <v>79.330080784814498</v>
      </c>
      <c r="AM5551">
        <v>78.592194227322906</v>
      </c>
      <c r="AN5551">
        <v>0.99999994859125296</v>
      </c>
    </row>
    <row r="5552" spans="1:40" x14ac:dyDescent="0.25">
      <c r="A5552" t="str">
        <f>"20190312173038001"</f>
        <v>20190312173038001</v>
      </c>
      <c r="B5552" t="str">
        <f>"1552383037993113"</f>
        <v>1552383037993113</v>
      </c>
      <c r="C5552" t="s">
        <v>40</v>
      </c>
      <c r="D5552">
        <v>3.5544989999999999</v>
      </c>
      <c r="E5552">
        <v>0.50289220000000001</v>
      </c>
      <c r="F5552" t="s">
        <v>43</v>
      </c>
      <c r="G5552">
        <v>-317.87189999999998</v>
      </c>
      <c r="H5552">
        <v>-0.05</v>
      </c>
      <c r="I5552">
        <v>13.094760000000001</v>
      </c>
      <c r="J5552">
        <v>-338.59730000000002</v>
      </c>
      <c r="K5552">
        <v>1.109828</v>
      </c>
      <c r="L5552">
        <v>17.338470000000001</v>
      </c>
      <c r="M5552">
        <v>0.99992619999999999</v>
      </c>
      <c r="N5552">
        <v>0</v>
      </c>
      <c r="O5552">
        <v>-4.6766389999999998E-3</v>
      </c>
      <c r="P5552">
        <v>0.96392610000000001</v>
      </c>
      <c r="Q5552">
        <v>0.17423959999999999</v>
      </c>
      <c r="R5552">
        <v>-0.2012137</v>
      </c>
      <c r="S5552">
        <v>3.0146790000000001</v>
      </c>
      <c r="T5552">
        <v>-0.16762439999999901</v>
      </c>
      <c r="U5552">
        <v>-0.61343380000000003</v>
      </c>
      <c r="V5552">
        <v>0.1967409</v>
      </c>
      <c r="W5552">
        <v>0.18501580000000001</v>
      </c>
      <c r="X5552">
        <v>0.96284069999999999</v>
      </c>
      <c r="Y5552">
        <v>0.19452939999999999</v>
      </c>
      <c r="Z5552">
        <v>-5.0921350000000002E-3</v>
      </c>
      <c r="AA5552">
        <v>0.98088350000000002</v>
      </c>
      <c r="AB5552">
        <v>28</v>
      </c>
      <c r="AC5552">
        <v>20.7254</v>
      </c>
      <c r="AD5552">
        <v>-1.1598280000000001</v>
      </c>
      <c r="AE5552">
        <v>-4.2437100000000001</v>
      </c>
      <c r="AF5552">
        <v>4.1343058324339497</v>
      </c>
      <c r="AG5552">
        <v>-1.1598280000000001</v>
      </c>
      <c r="AH5552">
        <v>20.682854599315199</v>
      </c>
      <c r="AI5552">
        <v>93.147466031011504</v>
      </c>
      <c r="AJ5552">
        <v>78.696101076160005</v>
      </c>
      <c r="AK5552">
        <v>21.123876540116701</v>
      </c>
      <c r="AL5552">
        <v>79.337946650905096</v>
      </c>
      <c r="AM5552">
        <v>78.451509545405401</v>
      </c>
      <c r="AN5552">
        <v>1.0000000207794699</v>
      </c>
    </row>
    <row r="5553" spans="1:40" x14ac:dyDescent="0.25">
      <c r="A5553" t="str">
        <f>"20190312173038012"</f>
        <v>20190312173038012</v>
      </c>
      <c r="B5553" t="str">
        <f>"1552383038002872"</f>
        <v>1552383038002872</v>
      </c>
      <c r="C5553" t="s">
        <v>40</v>
      </c>
      <c r="D5553">
        <v>3.5708700000000002</v>
      </c>
      <c r="E5553">
        <v>0.50402979999999997</v>
      </c>
      <c r="F5553" t="s">
        <v>43</v>
      </c>
      <c r="G5553">
        <v>-317.82249999999999</v>
      </c>
      <c r="H5553">
        <v>-0.05</v>
      </c>
      <c r="I5553">
        <v>12.963710000000001</v>
      </c>
      <c r="J5553">
        <v>-338.46910000000003</v>
      </c>
      <c r="K5553">
        <v>1.109847</v>
      </c>
      <c r="L5553">
        <v>17.33783</v>
      </c>
      <c r="M5553">
        <v>0.9999247</v>
      </c>
      <c r="N5553">
        <v>0</v>
      </c>
      <c r="O5553">
        <v>-4.7175050000000003E-3</v>
      </c>
      <c r="P5553">
        <v>0.96344350000000001</v>
      </c>
      <c r="Q5553">
        <v>0.17409910000000001</v>
      </c>
      <c r="R5553">
        <v>-0.2036326</v>
      </c>
      <c r="S5553">
        <v>3.0103149999999999</v>
      </c>
      <c r="T5553">
        <v>-0.1680614</v>
      </c>
      <c r="U5553">
        <v>-0.63391109999999995</v>
      </c>
      <c r="V5553">
        <v>0.19912150000000001</v>
      </c>
      <c r="W5553">
        <v>0.1849732</v>
      </c>
      <c r="X5553">
        <v>0.96235939999999998</v>
      </c>
      <c r="Y5553">
        <v>0.20114879999999999</v>
      </c>
      <c r="Z5553">
        <v>-5.2895299999999998E-3</v>
      </c>
      <c r="AA5553">
        <v>0.97954640000000004</v>
      </c>
      <c r="AB5553">
        <v>28</v>
      </c>
      <c r="AC5553">
        <v>20.646599999999999</v>
      </c>
      <c r="AD5553">
        <v>-1.1598469999999901</v>
      </c>
      <c r="AE5553">
        <v>-4.3741199999999996</v>
      </c>
      <c r="AF5553">
        <v>4.2637871162806702</v>
      </c>
      <c r="AG5553">
        <v>-1.1598469999999901</v>
      </c>
      <c r="AH5553">
        <v>20.6047758174435</v>
      </c>
      <c r="AI5553">
        <v>93.155086742476598</v>
      </c>
      <c r="AJ5553">
        <v>78.308684115492795</v>
      </c>
      <c r="AK5553">
        <v>21.0732511047411</v>
      </c>
      <c r="AL5553">
        <v>79.340430480388605</v>
      </c>
      <c r="AM5553">
        <v>78.309908109682794</v>
      </c>
      <c r="AN5553">
        <v>1.0000000356244201</v>
      </c>
    </row>
    <row r="5554" spans="1:40" x14ac:dyDescent="0.25">
      <c r="A5554" t="str">
        <f>"20190312173038024"</f>
        <v>20190312173038024</v>
      </c>
      <c r="B5554" t="str">
        <f>"1552383038013609"</f>
        <v>1552383038013609</v>
      </c>
      <c r="C5554" t="s">
        <v>40</v>
      </c>
      <c r="D5554">
        <v>3.5228820000000001</v>
      </c>
      <c r="E5554">
        <v>0.50483339999999999</v>
      </c>
      <c r="F5554" t="s">
        <v>43</v>
      </c>
      <c r="G5554">
        <v>-317.86169999999998</v>
      </c>
      <c r="H5554">
        <v>-0.05</v>
      </c>
      <c r="I5554">
        <v>12.87947</v>
      </c>
      <c r="J5554">
        <v>-338.33089999999999</v>
      </c>
      <c r="K5554">
        <v>1.109866</v>
      </c>
      <c r="L5554">
        <v>17.337129999999998</v>
      </c>
      <c r="M5554">
        <v>0.99992320000000001</v>
      </c>
      <c r="N5554">
        <v>0</v>
      </c>
      <c r="O5554">
        <v>-4.7615189999999996E-3</v>
      </c>
      <c r="P5554">
        <v>0.96296190000000004</v>
      </c>
      <c r="Q5554">
        <v>0.17398810000000001</v>
      </c>
      <c r="R5554">
        <v>-0.2059928</v>
      </c>
      <c r="S5554">
        <v>3.0069270000000001</v>
      </c>
      <c r="T5554">
        <v>-0.16923940000000001</v>
      </c>
      <c r="U5554">
        <v>-0.65054319999999999</v>
      </c>
      <c r="V5554">
        <v>0.20144010000000001</v>
      </c>
      <c r="W5554">
        <v>0.18496799999999999</v>
      </c>
      <c r="X5554">
        <v>0.96187769999999995</v>
      </c>
      <c r="Y5554">
        <v>0.2064945</v>
      </c>
      <c r="Z5554">
        <v>-5.4755319999999904E-3</v>
      </c>
      <c r="AA5554">
        <v>0.97843239999999998</v>
      </c>
      <c r="AB5554">
        <v>28</v>
      </c>
      <c r="AC5554">
        <v>20.469200000000001</v>
      </c>
      <c r="AD5554">
        <v>-1.1598660000000001</v>
      </c>
      <c r="AE5554">
        <v>-4.45765999999999</v>
      </c>
      <c r="AF5554">
        <v>4.3468137623763203</v>
      </c>
      <c r="AG5554">
        <v>-1.1598660000000001</v>
      </c>
      <c r="AH5554">
        <v>20.427575343941001</v>
      </c>
      <c r="AI5554">
        <v>93.178713382838595</v>
      </c>
      <c r="AJ5554">
        <v>77.987123229721604</v>
      </c>
      <c r="AK5554">
        <v>20.917120104238201</v>
      </c>
      <c r="AL5554">
        <v>79.340733183072103</v>
      </c>
      <c r="AM5554">
        <v>78.171842986626302</v>
      </c>
      <c r="AN5554">
        <v>0.99999999233464998</v>
      </c>
    </row>
    <row r="5555" spans="1:40" x14ac:dyDescent="0.25">
      <c r="A5555" t="str">
        <f>"20190312173038036"</f>
        <v>20190312173038036</v>
      </c>
      <c r="B5555" t="str">
        <f>"1552383038033128"</f>
        <v>1552383038033128</v>
      </c>
      <c r="C5555" t="s">
        <v>40</v>
      </c>
      <c r="D5555">
        <v>3.5577800000000002</v>
      </c>
      <c r="E5555">
        <v>0.5058144</v>
      </c>
      <c r="F5555" t="s">
        <v>43</v>
      </c>
      <c r="G5555">
        <v>-317.78149999999999</v>
      </c>
      <c r="H5555">
        <v>-0.05</v>
      </c>
      <c r="I5555">
        <v>12.791119999999999</v>
      </c>
      <c r="J5555">
        <v>-338.17919999999998</v>
      </c>
      <c r="K5555">
        <v>1.109883</v>
      </c>
      <c r="L5555">
        <v>17.336359999999999</v>
      </c>
      <c r="M5555">
        <v>0.99992159999999997</v>
      </c>
      <c r="N5555">
        <v>0</v>
      </c>
      <c r="O5555">
        <v>-4.8095250000000003E-3</v>
      </c>
      <c r="P5555">
        <v>0.96242430000000001</v>
      </c>
      <c r="Q5555">
        <v>0.17386989999999999</v>
      </c>
      <c r="R5555">
        <v>-0.20858789999999999</v>
      </c>
      <c r="S5555">
        <v>3.0038450000000001</v>
      </c>
      <c r="T5555">
        <v>-0.16954530000000001</v>
      </c>
      <c r="U5555">
        <v>-0.66452029999999995</v>
      </c>
      <c r="V5555">
        <v>0.2039908</v>
      </c>
      <c r="W5555">
        <v>0.18496099999999999</v>
      </c>
      <c r="X5555">
        <v>0.96134129999999995</v>
      </c>
      <c r="Y5555">
        <v>0.21098929999999999</v>
      </c>
      <c r="Z5555">
        <v>-5.6107759999999996E-3</v>
      </c>
      <c r="AA5555">
        <v>0.97747220000000001</v>
      </c>
      <c r="AB5555">
        <v>28</v>
      </c>
      <c r="AC5555">
        <v>20.397699999999901</v>
      </c>
      <c r="AD5555">
        <v>-1.159883</v>
      </c>
      <c r="AE5555">
        <v>-4.5452399999999997</v>
      </c>
      <c r="AF5555">
        <v>4.4334205064571997</v>
      </c>
      <c r="AG5555">
        <v>-1.159883</v>
      </c>
      <c r="AH5555">
        <v>20.356617581541599</v>
      </c>
      <c r="AI5555">
        <v>93.186546723586304</v>
      </c>
      <c r="AJ5555">
        <v>77.713542279171904</v>
      </c>
      <c r="AK5555">
        <v>20.866059170861501</v>
      </c>
      <c r="AL5555">
        <v>79.341140909495607</v>
      </c>
      <c r="AM5555">
        <v>78.019879930304498</v>
      </c>
      <c r="AN5555">
        <v>0.99999995654566398</v>
      </c>
    </row>
    <row r="5556" spans="1:40" x14ac:dyDescent="0.25">
      <c r="A5556" t="str">
        <f>"20190312173038046"</f>
        <v>20190312173038046</v>
      </c>
      <c r="B5556" t="str">
        <f>"1552383038042888"</f>
        <v>1552383038042888</v>
      </c>
      <c r="C5556" t="s">
        <v>40</v>
      </c>
      <c r="D5556">
        <v>3.5804809999999998</v>
      </c>
      <c r="E5556">
        <v>0.50619579999999997</v>
      </c>
      <c r="F5556" t="s">
        <v>43</v>
      </c>
      <c r="G5556">
        <v>-317.49430000000001</v>
      </c>
      <c r="H5556">
        <v>-0.05</v>
      </c>
      <c r="I5556">
        <v>12.645</v>
      </c>
      <c r="J5556">
        <v>-338.04860000000002</v>
      </c>
      <c r="K5556">
        <v>1.1098980000000001</v>
      </c>
      <c r="L5556">
        <v>17.335660000000001</v>
      </c>
      <c r="M5556">
        <v>0.99992040000000004</v>
      </c>
      <c r="N5556">
        <v>0</v>
      </c>
      <c r="O5556">
        <v>-4.8502830000000004E-3</v>
      </c>
      <c r="P5556">
        <v>0.961974</v>
      </c>
      <c r="Q5556">
        <v>0.17376539999999999</v>
      </c>
      <c r="R5556">
        <v>-0.2107424</v>
      </c>
      <c r="S5556">
        <v>3.0000610000000001</v>
      </c>
      <c r="T5556">
        <v>-0.1682254</v>
      </c>
      <c r="U5556">
        <v>-0.68041989999999997</v>
      </c>
      <c r="V5556">
        <v>0.20610780000000001</v>
      </c>
      <c r="W5556">
        <v>0.18494920000000001</v>
      </c>
      <c r="X5556">
        <v>0.96089199999999997</v>
      </c>
      <c r="Y5556">
        <v>0.21613589999999999</v>
      </c>
      <c r="Z5556">
        <v>-5.7109509999999997E-3</v>
      </c>
      <c r="AA5556">
        <v>0.97634659999999995</v>
      </c>
      <c r="AB5556">
        <v>28</v>
      </c>
      <c r="AC5556">
        <v>20.554300000000001</v>
      </c>
      <c r="AD5556">
        <v>-1.1598979999999901</v>
      </c>
      <c r="AE5556">
        <v>-4.6906600000000003</v>
      </c>
      <c r="AF5556">
        <v>4.57704999912111</v>
      </c>
      <c r="AG5556">
        <v>-1.1598979999999901</v>
      </c>
      <c r="AH5556">
        <v>20.514716514524999</v>
      </c>
      <c r="AI5556">
        <v>93.158550748289699</v>
      </c>
      <c r="AJ5556">
        <v>77.422698328944307</v>
      </c>
      <c r="AK5556">
        <v>21.0510888966861</v>
      </c>
      <c r="AL5556">
        <v>79.341829701406198</v>
      </c>
      <c r="AM5556">
        <v>77.893706246409096</v>
      </c>
      <c r="AN5556">
        <v>1.0000000337327299</v>
      </c>
    </row>
    <row r="5557" spans="1:40" x14ac:dyDescent="0.25">
      <c r="A5557" t="str">
        <f>"20190312173038056"</f>
        <v>20190312173038056</v>
      </c>
      <c r="B5557" t="str">
        <f>"1552383038053624"</f>
        <v>1552383038053624</v>
      </c>
      <c r="C5557" t="s">
        <v>40</v>
      </c>
      <c r="D5557">
        <v>3.5565530000000001</v>
      </c>
      <c r="E5557">
        <v>0.50630350000000002</v>
      </c>
      <c r="F5557" t="s">
        <v>43</v>
      </c>
      <c r="G5557">
        <v>-317.42869999999999</v>
      </c>
      <c r="H5557">
        <v>-0.05</v>
      </c>
      <c r="I5557">
        <v>12.58521</v>
      </c>
      <c r="J5557">
        <v>-337.9205</v>
      </c>
      <c r="K5557">
        <v>1.1099079999999999</v>
      </c>
      <c r="L5557">
        <v>17.334989999999902</v>
      </c>
      <c r="M5557">
        <v>0.99991909999999895</v>
      </c>
      <c r="N5557">
        <v>0</v>
      </c>
      <c r="O5557">
        <v>-4.8892340000000001E-3</v>
      </c>
      <c r="P5557">
        <v>0.96147059999999995</v>
      </c>
      <c r="Q5557">
        <v>0.17392439999999901</v>
      </c>
      <c r="R5557">
        <v>-0.21289730000000001</v>
      </c>
      <c r="S5557">
        <v>2.997681</v>
      </c>
      <c r="T5557">
        <v>-0.1686231</v>
      </c>
      <c r="U5557">
        <v>-0.69061280000000003</v>
      </c>
      <c r="V5557">
        <v>0.20822750000000001</v>
      </c>
      <c r="W5557">
        <v>0.18519430000000001</v>
      </c>
      <c r="X5557">
        <v>0.96038760000000001</v>
      </c>
      <c r="Y5557">
        <v>0.2194122</v>
      </c>
      <c r="Z5557">
        <v>-5.8154449999999998E-3</v>
      </c>
      <c r="AA5557">
        <v>0.97561489999999995</v>
      </c>
      <c r="AB5557">
        <v>28</v>
      </c>
      <c r="AC5557">
        <v>20.491800000000001</v>
      </c>
      <c r="AD5557">
        <v>-1.1599079999999999</v>
      </c>
      <c r="AE5557">
        <v>-4.7497799999999897</v>
      </c>
      <c r="AF5557">
        <v>4.6354326186445096</v>
      </c>
      <c r="AG5557">
        <v>-1.1599079999999999</v>
      </c>
      <c r="AH5557">
        <v>20.452591311734899</v>
      </c>
      <c r="AI5557">
        <v>93.165763058153402</v>
      </c>
      <c r="AJ5557">
        <v>77.230057926761205</v>
      </c>
      <c r="AK5557">
        <v>21.0033595763942</v>
      </c>
      <c r="AL5557">
        <v>79.327539080364204</v>
      </c>
      <c r="AM5557">
        <v>77.766699242593901</v>
      </c>
      <c r="AN5557">
        <v>0.99999998137124901</v>
      </c>
    </row>
    <row r="5558" spans="1:40" x14ac:dyDescent="0.25">
      <c r="A5558" t="str">
        <f>"20190312173038068"</f>
        <v>20190312173038068</v>
      </c>
      <c r="B5558" t="str">
        <f>"1552383038063384"</f>
        <v>1552383038063384</v>
      </c>
      <c r="C5558" t="s">
        <v>40</v>
      </c>
      <c r="D5558">
        <v>3.5659320000000001</v>
      </c>
      <c r="E5558">
        <v>0.50651380000000001</v>
      </c>
      <c r="F5558" t="s">
        <v>43</v>
      </c>
      <c r="G5558">
        <v>-317.11470000000003</v>
      </c>
      <c r="H5558">
        <v>-0.05</v>
      </c>
      <c r="I5558">
        <v>12.484830000000001</v>
      </c>
      <c r="J5558">
        <v>-337.7765</v>
      </c>
      <c r="K5558">
        <v>1.1099159999999999</v>
      </c>
      <c r="L5558">
        <v>17.33426</v>
      </c>
      <c r="M5558">
        <v>0.99991739999999996</v>
      </c>
      <c r="N5558">
        <v>0</v>
      </c>
      <c r="O5558">
        <v>-4.9319439999999997E-3</v>
      </c>
      <c r="P5558">
        <v>0.96100180000000002</v>
      </c>
      <c r="Q5558">
        <v>0.1738092</v>
      </c>
      <c r="R5558">
        <v>-0.2150955</v>
      </c>
      <c r="S5558">
        <v>2.9957889999999998</v>
      </c>
      <c r="T5558">
        <v>-0.1670132</v>
      </c>
      <c r="U5558">
        <v>-0.69836430000000005</v>
      </c>
      <c r="V5558">
        <v>0.21038709999999999</v>
      </c>
      <c r="W5558">
        <v>0.1851737</v>
      </c>
      <c r="X5558">
        <v>0.95992080000000002</v>
      </c>
      <c r="Y5558">
        <v>0.2219025</v>
      </c>
      <c r="Z5558">
        <v>-5.8279890000000004E-3</v>
      </c>
      <c r="AA5558">
        <v>0.97505140000000001</v>
      </c>
      <c r="AB5558">
        <v>28</v>
      </c>
      <c r="AC5558">
        <v>20.6617999999999</v>
      </c>
      <c r="AD5558">
        <v>-1.1599159999999999</v>
      </c>
      <c r="AE5558">
        <v>-4.8494299999999999</v>
      </c>
      <c r="AF5558">
        <v>4.7333227704982903</v>
      </c>
      <c r="AG5558">
        <v>-1.1599159999999999</v>
      </c>
      <c r="AH5558">
        <v>20.623864914704399</v>
      </c>
      <c r="AI5558">
        <v>93.137601937927002</v>
      </c>
      <c r="AJ5558">
        <v>77.074062302079795</v>
      </c>
      <c r="AK5558">
        <v>21.191827519040199</v>
      </c>
      <c r="AL5558">
        <v>79.328740204201694</v>
      </c>
      <c r="AM5558">
        <v>77.637877773485798</v>
      </c>
      <c r="AN5558">
        <v>0.99999998664536904</v>
      </c>
    </row>
    <row r="5559" spans="1:40" x14ac:dyDescent="0.25">
      <c r="A5559" t="str">
        <f>"20190312173038080"</f>
        <v>20190312173038080</v>
      </c>
      <c r="B5559" t="str">
        <f>"1552383038073144"</f>
        <v>1552383038073144</v>
      </c>
      <c r="C5559" t="s">
        <v>40</v>
      </c>
      <c r="D5559">
        <v>3.592635</v>
      </c>
      <c r="E5559">
        <v>0.50671820000000001</v>
      </c>
      <c r="F5559" t="s">
        <v>43</v>
      </c>
      <c r="G5559">
        <v>-317.13459999999998</v>
      </c>
      <c r="H5559">
        <v>-0.05</v>
      </c>
      <c r="I5559">
        <v>12.45889</v>
      </c>
      <c r="J5559">
        <v>-337.61939999999998</v>
      </c>
      <c r="K5559">
        <v>1.109926</v>
      </c>
      <c r="L5559">
        <v>17.333400000000001</v>
      </c>
      <c r="M5559">
        <v>0.99991589999999997</v>
      </c>
      <c r="N5559">
        <v>0</v>
      </c>
      <c r="O5559">
        <v>-4.977563E-3</v>
      </c>
      <c r="P5559">
        <v>0.96056129999999995</v>
      </c>
      <c r="Q5559">
        <v>0.17361070000000001</v>
      </c>
      <c r="R5559">
        <v>-0.21721299999999999</v>
      </c>
      <c r="S5559">
        <v>2.9938959999999999</v>
      </c>
      <c r="T5559">
        <v>-0.1682341</v>
      </c>
      <c r="U5559">
        <v>-0.70712280000000005</v>
      </c>
      <c r="V5559">
        <v>0.2124634</v>
      </c>
      <c r="W5559">
        <v>0.1850753</v>
      </c>
      <c r="X5559">
        <v>0.95948239999999996</v>
      </c>
      <c r="Y5559">
        <v>0.224688</v>
      </c>
      <c r="Z5559">
        <v>-5.9468189999999999E-3</v>
      </c>
      <c r="AA5559">
        <v>0.97441259999999996</v>
      </c>
      <c r="AB5559">
        <v>28</v>
      </c>
      <c r="AC5559">
        <v>20.4848</v>
      </c>
      <c r="AD5559">
        <v>-1.159926</v>
      </c>
      <c r="AE5559">
        <v>-4.8745099999999999</v>
      </c>
      <c r="AF5559">
        <v>4.7580399833114102</v>
      </c>
      <c r="AG5559">
        <v>-1.159926</v>
      </c>
      <c r="AH5559">
        <v>20.446766886084099</v>
      </c>
      <c r="AI5559">
        <v>93.162536033628697</v>
      </c>
      <c r="AJ5559">
        <v>76.900190646331197</v>
      </c>
      <c r="AK5559">
        <v>21.025095693055299</v>
      </c>
      <c r="AL5559">
        <v>79.334477627882805</v>
      </c>
      <c r="AM5559">
        <v>77.514157785358506</v>
      </c>
      <c r="AN5559">
        <v>1.0000000194597001</v>
      </c>
    </row>
    <row r="5560" spans="1:40" x14ac:dyDescent="0.25">
      <c r="A5560" t="str">
        <f>"20190312173038092"</f>
        <v>20190312173038092</v>
      </c>
      <c r="B5560" t="str">
        <f>"1552383038082904"</f>
        <v>1552383038082904</v>
      </c>
      <c r="C5560" t="s">
        <v>40</v>
      </c>
      <c r="D5560">
        <v>3.5754250000000001</v>
      </c>
      <c r="E5560">
        <v>0.50672289999999998</v>
      </c>
      <c r="F5560" t="s">
        <v>43</v>
      </c>
      <c r="G5560">
        <v>-317.0856</v>
      </c>
      <c r="H5560">
        <v>-0.05</v>
      </c>
      <c r="I5560">
        <v>12.421720000000001</v>
      </c>
      <c r="J5560">
        <v>-337.48320000000001</v>
      </c>
      <c r="K5560">
        <v>1.1099300000000001</v>
      </c>
      <c r="L5560">
        <v>17.332699999999999</v>
      </c>
      <c r="M5560">
        <v>0.99991459999999999</v>
      </c>
      <c r="N5560">
        <v>0</v>
      </c>
      <c r="O5560">
        <v>-5.0166239999999999E-3</v>
      </c>
      <c r="P5560">
        <v>0.96002140000000002</v>
      </c>
      <c r="Q5560">
        <v>0.1735999</v>
      </c>
      <c r="R5560">
        <v>-0.21959490000000001</v>
      </c>
      <c r="S5560">
        <v>2.9919129999999998</v>
      </c>
      <c r="T5560">
        <v>-0.169009299999999</v>
      </c>
      <c r="U5560">
        <v>-0.71566770000000002</v>
      </c>
      <c r="V5560">
        <v>0.2148108</v>
      </c>
      <c r="W5560">
        <v>0.18514420000000001</v>
      </c>
      <c r="X5560">
        <v>0.95894630000000003</v>
      </c>
      <c r="Y5560">
        <v>0.22742029999999999</v>
      </c>
      <c r="Z5560">
        <v>-6.0499530000000003E-3</v>
      </c>
      <c r="AA5560">
        <v>0.97377789999999997</v>
      </c>
      <c r="AB5560">
        <v>28</v>
      </c>
      <c r="AC5560">
        <v>20.397600000000001</v>
      </c>
      <c r="AD5560">
        <v>-1.1599299999999999</v>
      </c>
      <c r="AE5560">
        <v>-4.9109799999999897</v>
      </c>
      <c r="AF5560">
        <v>4.7939306989284001</v>
      </c>
      <c r="AG5560">
        <v>-1.1599299999999999</v>
      </c>
      <c r="AH5560">
        <v>20.3597507529791</v>
      </c>
      <c r="AI5560">
        <v>93.174096880418503</v>
      </c>
      <c r="AJ5560">
        <v>76.7504112252239</v>
      </c>
      <c r="AK5560">
        <v>20.948667257715002</v>
      </c>
      <c r="AL5560">
        <v>79.330460643082503</v>
      </c>
      <c r="AM5560">
        <v>77.373774604125998</v>
      </c>
      <c r="AN5560">
        <v>1.00000003043698</v>
      </c>
    </row>
    <row r="5561" spans="1:40" x14ac:dyDescent="0.25">
      <c r="A5561" t="str">
        <f>"20190312173038104"</f>
        <v>20190312173038104</v>
      </c>
      <c r="B5561" t="str">
        <f>"1552383038093641"</f>
        <v>1552383038093641</v>
      </c>
      <c r="C5561" t="s">
        <v>40</v>
      </c>
      <c r="D5561">
        <v>3.5689700000000002</v>
      </c>
      <c r="E5561">
        <v>0.50678869999999998</v>
      </c>
      <c r="F5561" t="s">
        <v>43</v>
      </c>
      <c r="G5561">
        <v>-316.899</v>
      </c>
      <c r="H5561">
        <v>-0.05</v>
      </c>
      <c r="I5561">
        <v>12.35361</v>
      </c>
      <c r="J5561">
        <v>-337.33409999999998</v>
      </c>
      <c r="K5561">
        <v>1.1099380000000001</v>
      </c>
      <c r="L5561">
        <v>17.331910000000001</v>
      </c>
      <c r="M5561">
        <v>0.99991339999999995</v>
      </c>
      <c r="N5561">
        <v>0</v>
      </c>
      <c r="O5561">
        <v>-5.0593050000000001E-3</v>
      </c>
      <c r="P5561">
        <v>0.9595456</v>
      </c>
      <c r="Q5561">
        <v>0.1733364</v>
      </c>
      <c r="R5561">
        <v>-0.2218714</v>
      </c>
      <c r="S5561">
        <v>2.98996</v>
      </c>
      <c r="T5561">
        <v>-0.16848529999999901</v>
      </c>
      <c r="U5561">
        <v>-0.72323609999999905</v>
      </c>
      <c r="V5561">
        <v>0.21704899999999999</v>
      </c>
      <c r="W5561">
        <v>0.18496609999999999</v>
      </c>
      <c r="X5561">
        <v>0.95847649999999995</v>
      </c>
      <c r="Y5561">
        <v>0.22985030000000001</v>
      </c>
      <c r="Z5561">
        <v>-6.0983640000000002E-3</v>
      </c>
      <c r="AA5561">
        <v>0.97320689999999999</v>
      </c>
      <c r="AB5561">
        <v>28</v>
      </c>
      <c r="AC5561">
        <v>20.435099999999899</v>
      </c>
      <c r="AD5561">
        <v>-1.1599379999999999</v>
      </c>
      <c r="AE5561">
        <v>-4.9782999999999999</v>
      </c>
      <c r="AF5561">
        <v>4.8600597311725604</v>
      </c>
      <c r="AG5561">
        <v>-1.1599379999999999</v>
      </c>
      <c r="AH5561">
        <v>20.397988055253901</v>
      </c>
      <c r="AI5561">
        <v>93.166195505493604</v>
      </c>
      <c r="AJ5561">
        <v>76.598475574359398</v>
      </c>
      <c r="AK5561">
        <v>21.001036961461899</v>
      </c>
      <c r="AL5561">
        <v>79.340843648779696</v>
      </c>
      <c r="AM5561">
        <v>77.240451902355005</v>
      </c>
      <c r="AN5561">
        <v>0.99999996380122902</v>
      </c>
    </row>
    <row r="5562" spans="1:40" x14ac:dyDescent="0.25">
      <c r="A5562" t="str">
        <f>"20190312173038116"</f>
        <v>20190312173038116</v>
      </c>
      <c r="B5562" t="str">
        <f>"1552383038103401"</f>
        <v>1552383038103401</v>
      </c>
      <c r="C5562" t="s">
        <v>40</v>
      </c>
      <c r="D5562">
        <v>3.5685880000000001</v>
      </c>
      <c r="E5562">
        <v>0.506857</v>
      </c>
      <c r="F5562" t="s">
        <v>43</v>
      </c>
      <c r="G5562">
        <v>-316.85939999999999</v>
      </c>
      <c r="H5562">
        <v>-0.05</v>
      </c>
      <c r="I5562">
        <v>12.32391</v>
      </c>
      <c r="J5562">
        <v>-337.18610000000001</v>
      </c>
      <c r="K5562">
        <v>1.1099429999999999</v>
      </c>
      <c r="L5562">
        <v>17.33109</v>
      </c>
      <c r="M5562">
        <v>0.99991200000000002</v>
      </c>
      <c r="N5562">
        <v>0</v>
      </c>
      <c r="O5562">
        <v>-5.1021690000000001E-3</v>
      </c>
      <c r="P5562">
        <v>0.95904909999999999</v>
      </c>
      <c r="Q5562">
        <v>0.17322279999999901</v>
      </c>
      <c r="R5562">
        <v>-0.22409499999999999</v>
      </c>
      <c r="S5562">
        <v>2.9880680000000002</v>
      </c>
      <c r="T5562">
        <v>-0.16928109999999999</v>
      </c>
      <c r="U5562">
        <v>-0.73086549999999995</v>
      </c>
      <c r="V5562">
        <v>0.21923429999999999</v>
      </c>
      <c r="W5562">
        <v>0.18493000000000001</v>
      </c>
      <c r="X5562">
        <v>0.957986</v>
      </c>
      <c r="Y5562">
        <v>0.23228760000000001</v>
      </c>
      <c r="Z5562">
        <v>-6.1946659999999997E-3</v>
      </c>
      <c r="AA5562">
        <v>0.97262740000000003</v>
      </c>
      <c r="AB5562">
        <v>28</v>
      </c>
      <c r="AC5562">
        <v>20.326699999999999</v>
      </c>
      <c r="AD5562">
        <v>-1.1599429999999999</v>
      </c>
      <c r="AE5562">
        <v>-5.00718</v>
      </c>
      <c r="AF5562">
        <v>4.8883888604577104</v>
      </c>
      <c r="AG5562">
        <v>-1.1599429999999999</v>
      </c>
      <c r="AH5562">
        <v>20.289693072023201</v>
      </c>
      <c r="AI5562">
        <v>93.181154206373193</v>
      </c>
      <c r="AJ5562">
        <v>76.453912742421096</v>
      </c>
      <c r="AK5562">
        <v>20.902474934112501</v>
      </c>
      <c r="AL5562">
        <v>79.342948507306502</v>
      </c>
      <c r="AM5562">
        <v>77.109876111750395</v>
      </c>
      <c r="AN5562">
        <v>0.99999997969624399</v>
      </c>
    </row>
    <row r="5563" spans="1:40" x14ac:dyDescent="0.25">
      <c r="A5563" t="str">
        <f>"20190312173038125"</f>
        <v>20190312173038125</v>
      </c>
      <c r="B5563" t="str">
        <f>"1552383038113161"</f>
        <v>1552383038113161</v>
      </c>
      <c r="C5563" t="s">
        <v>40</v>
      </c>
      <c r="D5563">
        <v>3.5799820000000002</v>
      </c>
      <c r="E5563">
        <v>0.50687990000000005</v>
      </c>
      <c r="F5563" t="s">
        <v>43</v>
      </c>
      <c r="G5563">
        <v>-316.80709999999999</v>
      </c>
      <c r="H5563">
        <v>-0.05</v>
      </c>
      <c r="I5563">
        <v>12.292949999999999</v>
      </c>
      <c r="J5563">
        <v>-337.07139999999998</v>
      </c>
      <c r="K5563">
        <v>1.109947</v>
      </c>
      <c r="L5563">
        <v>17.330439999999999</v>
      </c>
      <c r="M5563">
        <v>0.99991099999999999</v>
      </c>
      <c r="N5563">
        <v>0</v>
      </c>
      <c r="O5563">
        <v>-5.1354850000000004E-3</v>
      </c>
      <c r="P5563">
        <v>0.95854689999999998</v>
      </c>
      <c r="Q5563">
        <v>0.1729658</v>
      </c>
      <c r="R5563">
        <v>-0.22643060000000001</v>
      </c>
      <c r="S5563">
        <v>2.9862980000000001</v>
      </c>
      <c r="T5563">
        <v>-0.1699764</v>
      </c>
      <c r="U5563">
        <v>-0.73828130000000003</v>
      </c>
      <c r="V5563">
        <v>0.22154019999999999</v>
      </c>
      <c r="W5563">
        <v>0.18472949999999999</v>
      </c>
      <c r="X5563">
        <v>0.95749410000000001</v>
      </c>
      <c r="Y5563">
        <v>0.23465849999999999</v>
      </c>
      <c r="Z5563">
        <v>-6.2863859999999997E-3</v>
      </c>
      <c r="AA5563">
        <v>0.97205750000000002</v>
      </c>
      <c r="AB5563">
        <v>28</v>
      </c>
      <c r="AC5563">
        <v>20.264299999999899</v>
      </c>
      <c r="AD5563">
        <v>-1.1599469999999901</v>
      </c>
      <c r="AE5563">
        <v>-5.03749</v>
      </c>
      <c r="AF5563">
        <v>4.9181720303462502</v>
      </c>
      <c r="AG5563">
        <v>-1.1599469999999901</v>
      </c>
      <c r="AH5563">
        <v>20.227486113335502</v>
      </c>
      <c r="AI5563">
        <v>93.189317141482604</v>
      </c>
      <c r="AJ5563">
        <v>76.334114661745105</v>
      </c>
      <c r="AK5563">
        <v>20.8491028015133</v>
      </c>
      <c r="AL5563">
        <v>79.354637928073899</v>
      </c>
      <c r="AM5563">
        <v>76.972434316062206</v>
      </c>
      <c r="AN5563">
        <v>0.99999999996055</v>
      </c>
    </row>
    <row r="5564" spans="1:40" x14ac:dyDescent="0.25">
      <c r="A5564" t="str">
        <f>"20190312173038134"</f>
        <v>20190312173038134</v>
      </c>
      <c r="B5564" t="str">
        <f>"1552383038122920"</f>
        <v>1552383038122920</v>
      </c>
      <c r="C5564" t="s">
        <v>40</v>
      </c>
      <c r="D5564">
        <v>3.5887820000000001</v>
      </c>
      <c r="E5564">
        <v>0.50689189999999995</v>
      </c>
      <c r="F5564" t="s">
        <v>43</v>
      </c>
      <c r="G5564">
        <v>-316.87240000000003</v>
      </c>
      <c r="H5564">
        <v>-0.05</v>
      </c>
      <c r="I5564">
        <v>12.28105</v>
      </c>
      <c r="J5564">
        <v>-336.94839999999999</v>
      </c>
      <c r="K5564">
        <v>1.1099460000000001</v>
      </c>
      <c r="L5564">
        <v>17.32977</v>
      </c>
      <c r="M5564">
        <v>0.99991010000000002</v>
      </c>
      <c r="N5564">
        <v>0</v>
      </c>
      <c r="O5564">
        <v>-5.1721340000000001E-3</v>
      </c>
      <c r="P5564">
        <v>0.95813709999999996</v>
      </c>
      <c r="Q5564">
        <v>0.1724629</v>
      </c>
      <c r="R5564">
        <v>-0.22853960000000001</v>
      </c>
      <c r="S5564">
        <v>2.984467</v>
      </c>
      <c r="T5564">
        <v>-0.17138539999999999</v>
      </c>
      <c r="U5564">
        <v>-0.74606319999999904</v>
      </c>
      <c r="V5564">
        <v>0.22361610000000001</v>
      </c>
      <c r="W5564">
        <v>0.1842847</v>
      </c>
      <c r="X5564">
        <v>0.95709719999999998</v>
      </c>
      <c r="Y5564">
        <v>0.2371384</v>
      </c>
      <c r="Z5564">
        <v>-6.408225E-3</v>
      </c>
      <c r="AA5564">
        <v>0.9714547</v>
      </c>
      <c r="AB5564">
        <v>28</v>
      </c>
      <c r="AC5564">
        <v>20.075999999999901</v>
      </c>
      <c r="AD5564">
        <v>-1.1599459999999999</v>
      </c>
      <c r="AE5564">
        <v>-5.0487199999999897</v>
      </c>
      <c r="AF5564">
        <v>4.9293321011857598</v>
      </c>
      <c r="AG5564">
        <v>-1.1599459999999999</v>
      </c>
      <c r="AH5564">
        <v>20.038929750994601</v>
      </c>
      <c r="AI5564">
        <v>93.217153225795798</v>
      </c>
      <c r="AJ5564">
        <v>76.180319980494701</v>
      </c>
      <c r="AK5564">
        <v>20.6688774550529</v>
      </c>
      <c r="AL5564">
        <v>79.380568613158104</v>
      </c>
      <c r="AM5564">
        <v>76.849320450555197</v>
      </c>
      <c r="AN5564">
        <v>1.0000000305405601</v>
      </c>
    </row>
    <row r="5565" spans="1:40" x14ac:dyDescent="0.25">
      <c r="A5565" t="str">
        <f>"20190312173038146"</f>
        <v>20190312173038146</v>
      </c>
      <c r="B5565" t="str">
        <f>"1552383038143416"</f>
        <v>1552383038143416</v>
      </c>
      <c r="C5565" t="s">
        <v>40</v>
      </c>
      <c r="D5565">
        <v>3.5455390000000002</v>
      </c>
      <c r="E5565">
        <v>0.50682890000000003</v>
      </c>
      <c r="F5565" t="s">
        <v>43</v>
      </c>
      <c r="G5565">
        <v>-316.99759999999998</v>
      </c>
      <c r="H5565">
        <v>-0.05</v>
      </c>
      <c r="I5565">
        <v>12.29463</v>
      </c>
      <c r="J5565">
        <v>-336.81009999999998</v>
      </c>
      <c r="K5565">
        <v>1.1099509999999999</v>
      </c>
      <c r="L5565">
        <v>17.329039999999999</v>
      </c>
      <c r="M5565">
        <v>0.99990889999999999</v>
      </c>
      <c r="N5565">
        <v>0</v>
      </c>
      <c r="O5565">
        <v>-5.212993E-3</v>
      </c>
      <c r="P5565">
        <v>0.95769110000000002</v>
      </c>
      <c r="Q5565">
        <v>0.17208619999999999</v>
      </c>
      <c r="R5565">
        <v>-0.2306819</v>
      </c>
      <c r="S5565">
        <v>2.9827270000000001</v>
      </c>
      <c r="T5565">
        <v>-0.173417299999999</v>
      </c>
      <c r="U5565">
        <v>-0.75277709999999998</v>
      </c>
      <c r="V5565">
        <v>0.2257217</v>
      </c>
      <c r="W5565">
        <v>0.1839702</v>
      </c>
      <c r="X5565">
        <v>0.95666329999999999</v>
      </c>
      <c r="Y5565">
        <v>0.23927609999999999</v>
      </c>
      <c r="Z5565">
        <v>-6.5447919999999998E-3</v>
      </c>
      <c r="AA5565">
        <v>0.9709295</v>
      </c>
      <c r="AB5565">
        <v>28</v>
      </c>
      <c r="AC5565">
        <v>19.8125</v>
      </c>
      <c r="AD5565">
        <v>-1.159951</v>
      </c>
      <c r="AE5565">
        <v>-5.0344099999999896</v>
      </c>
      <c r="AF5565">
        <v>4.9152251713675996</v>
      </c>
      <c r="AG5565">
        <v>-1.159951</v>
      </c>
      <c r="AH5565">
        <v>19.7748064500787</v>
      </c>
      <c r="AI5565">
        <v>93.258096047258803</v>
      </c>
      <c r="AJ5565">
        <v>76.041437401257099</v>
      </c>
      <c r="AK5565">
        <v>20.4095050147161</v>
      </c>
      <c r="AL5565">
        <v>79.3989012039534</v>
      </c>
      <c r="AM5565">
        <v>76.724047895768294</v>
      </c>
      <c r="AN5565">
        <v>0.99999999495290903</v>
      </c>
    </row>
    <row r="5566" spans="1:40" x14ac:dyDescent="0.25">
      <c r="A5566" t="str">
        <f>"20190312173038157"</f>
        <v>20190312173038157</v>
      </c>
      <c r="B5566" t="str">
        <f>"1552383038153176"</f>
        <v>1552383038153176</v>
      </c>
      <c r="C5566" t="s">
        <v>40</v>
      </c>
      <c r="D5566">
        <v>3.5665800000000001</v>
      </c>
      <c r="E5566">
        <v>0.50675389999999998</v>
      </c>
      <c r="F5566" t="s">
        <v>43</v>
      </c>
      <c r="G5566">
        <v>-317.10489999999999</v>
      </c>
      <c r="H5566">
        <v>-0.05</v>
      </c>
      <c r="I5566">
        <v>12.309889999999999</v>
      </c>
      <c r="J5566">
        <v>-336.67340000000002</v>
      </c>
      <c r="K5566">
        <v>1.109955</v>
      </c>
      <c r="L5566">
        <v>17.328279999999999</v>
      </c>
      <c r="M5566">
        <v>0.99990800000000002</v>
      </c>
      <c r="N5566">
        <v>0</v>
      </c>
      <c r="O5566">
        <v>-5.253934E-3</v>
      </c>
      <c r="P5566">
        <v>0.95726690000000003</v>
      </c>
      <c r="Q5566">
        <v>0.1720853</v>
      </c>
      <c r="R5566">
        <v>-0.2324377</v>
      </c>
      <c r="S5566">
        <v>2.9811709999999998</v>
      </c>
      <c r="T5566">
        <v>-0.17548729999999901</v>
      </c>
      <c r="U5566">
        <v>-0.75933839999999997</v>
      </c>
      <c r="V5566">
        <v>0.22744020000000001</v>
      </c>
      <c r="W5566">
        <v>0.18402650000000001</v>
      </c>
      <c r="X5566">
        <v>0.95624540000000002</v>
      </c>
      <c r="Y5566">
        <v>0.2413515</v>
      </c>
      <c r="Z5566">
        <v>-6.6820769999999998E-3</v>
      </c>
      <c r="AA5566">
        <v>0.97041480000000002</v>
      </c>
      <c r="AB5566">
        <v>28</v>
      </c>
      <c r="AC5566">
        <v>19.5685</v>
      </c>
      <c r="AD5566">
        <v>-1.1599549999999901</v>
      </c>
      <c r="AE5566">
        <v>-5.0183900000000001</v>
      </c>
      <c r="AF5566">
        <v>4.8993484598508603</v>
      </c>
      <c r="AG5566">
        <v>-1.1599549999999901</v>
      </c>
      <c r="AH5566">
        <v>19.5302092539923</v>
      </c>
      <c r="AI5566">
        <v>93.297043341796694</v>
      </c>
      <c r="AJ5566">
        <v>75.917389587335705</v>
      </c>
      <c r="AK5566">
        <v>20.168742757985498</v>
      </c>
      <c r="AL5566">
        <v>79.395619808474507</v>
      </c>
      <c r="AM5566">
        <v>76.620957267289995</v>
      </c>
      <c r="AN5566">
        <v>1.0000000311497199</v>
      </c>
    </row>
    <row r="5567" spans="1:40" x14ac:dyDescent="0.25">
      <c r="A5567" t="str">
        <f>"20190312173038169"</f>
        <v>20190312173038169</v>
      </c>
      <c r="B5567" t="str">
        <f>"1552383038162940"</f>
        <v>1552383038162940</v>
      </c>
      <c r="C5567" t="s">
        <v>40</v>
      </c>
      <c r="D5567">
        <v>3.5690460000000002</v>
      </c>
      <c r="E5567">
        <v>0.50666140000000004</v>
      </c>
      <c r="F5567" t="s">
        <v>43</v>
      </c>
      <c r="G5567">
        <v>-316.98610000000002</v>
      </c>
      <c r="H5567">
        <v>-0.05</v>
      </c>
      <c r="I5567">
        <v>12.276759999999999</v>
      </c>
      <c r="J5567">
        <v>-336.5274</v>
      </c>
      <c r="K5567">
        <v>1.1099589999999999</v>
      </c>
      <c r="L5567">
        <v>17.32742</v>
      </c>
      <c r="M5567">
        <v>0.99990679999999998</v>
      </c>
      <c r="N5567">
        <v>0</v>
      </c>
      <c r="O5567">
        <v>-5.2977419999999898E-3</v>
      </c>
      <c r="P5567">
        <v>0.95686329999999997</v>
      </c>
      <c r="Q5567">
        <v>0.1718047</v>
      </c>
      <c r="R5567">
        <v>-0.23429920000000001</v>
      </c>
      <c r="S5567">
        <v>2.9798279999999999</v>
      </c>
      <c r="T5567">
        <v>-0.17556849999999999</v>
      </c>
      <c r="U5567">
        <v>-0.76458740000000003</v>
      </c>
      <c r="V5567">
        <v>0.22926179999999999</v>
      </c>
      <c r="W5567">
        <v>0.18380379999999999</v>
      </c>
      <c r="X5567">
        <v>0.95585310000000001</v>
      </c>
      <c r="Y5567">
        <v>0.2430146</v>
      </c>
      <c r="Z5567">
        <v>-6.7322809999999997E-3</v>
      </c>
      <c r="AA5567">
        <v>0.96999930000000001</v>
      </c>
      <c r="AB5567">
        <v>28</v>
      </c>
      <c r="AC5567">
        <v>19.5412999999999</v>
      </c>
      <c r="AD5567">
        <v>-1.159959</v>
      </c>
      <c r="AE5567">
        <v>-5.0506599999999899</v>
      </c>
      <c r="AF5567">
        <v>4.9307703413053998</v>
      </c>
      <c r="AG5567">
        <v>-1.159959</v>
      </c>
      <c r="AH5567">
        <v>19.503367399236399</v>
      </c>
      <c r="AI5567">
        <v>93.300056397488902</v>
      </c>
      <c r="AJ5567">
        <v>75.811984045928796</v>
      </c>
      <c r="AK5567">
        <v>20.150417885244298</v>
      </c>
      <c r="AL5567">
        <v>79.408600454493794</v>
      </c>
      <c r="AM5567">
        <v>76.512368690566703</v>
      </c>
      <c r="AN5567">
        <v>0.99999997930664397</v>
      </c>
    </row>
    <row r="5568" spans="1:40" x14ac:dyDescent="0.25">
      <c r="A5568" t="str">
        <f>"20190312173038180"</f>
        <v>20190312173038180</v>
      </c>
      <c r="B5568" t="str">
        <f>"1552383038173672"</f>
        <v>1552383038173672</v>
      </c>
      <c r="C5568" t="s">
        <v>40</v>
      </c>
      <c r="D5568">
        <v>3.5334159999999999</v>
      </c>
      <c r="E5568">
        <v>0.50664109999999996</v>
      </c>
      <c r="F5568" t="s">
        <v>43</v>
      </c>
      <c r="G5568">
        <v>-316.96269999999998</v>
      </c>
      <c r="H5568">
        <v>-0.05</v>
      </c>
      <c r="I5568">
        <v>12.27295</v>
      </c>
      <c r="J5568">
        <v>-336.38600000000002</v>
      </c>
      <c r="K5568">
        <v>1.1099619999999999</v>
      </c>
      <c r="L5568">
        <v>17.326629999999899</v>
      </c>
      <c r="M5568">
        <v>0.99990570000000001</v>
      </c>
      <c r="N5568">
        <v>0</v>
      </c>
      <c r="O5568">
        <v>-5.3400870000000003E-3</v>
      </c>
      <c r="P5568">
        <v>0.95646410000000004</v>
      </c>
      <c r="Q5568">
        <v>0.17181440000000001</v>
      </c>
      <c r="R5568">
        <v>-0.23591570000000001</v>
      </c>
      <c r="S5568">
        <v>2.9785460000000001</v>
      </c>
      <c r="T5568">
        <v>-0.17659349999999999</v>
      </c>
      <c r="U5568">
        <v>-0.76950069999999904</v>
      </c>
      <c r="V5568">
        <v>0.23083989999999999</v>
      </c>
      <c r="W5568">
        <v>0.18386659999999999</v>
      </c>
      <c r="X5568">
        <v>0.95546109999999995</v>
      </c>
      <c r="Y5568">
        <v>0.24456710000000001</v>
      </c>
      <c r="Z5568">
        <v>-6.8157490000000003E-3</v>
      </c>
      <c r="AA5568">
        <v>0.96960840000000004</v>
      </c>
      <c r="AB5568">
        <v>28</v>
      </c>
      <c r="AC5568">
        <v>19.423299999999902</v>
      </c>
      <c r="AD5568">
        <v>-1.1599619999999999</v>
      </c>
      <c r="AE5568">
        <v>-5.0536799999999902</v>
      </c>
      <c r="AF5568">
        <v>4.93339818361585</v>
      </c>
      <c r="AG5568">
        <v>-1.1599619999999999</v>
      </c>
      <c r="AH5568">
        <v>19.3852584918513</v>
      </c>
      <c r="AI5568">
        <v>93.318803601687407</v>
      </c>
      <c r="AJ5568">
        <v>75.721766829695497</v>
      </c>
      <c r="AK5568">
        <v>20.0367706049513</v>
      </c>
      <c r="AL5568">
        <v>79.404939576779995</v>
      </c>
      <c r="AM5568">
        <v>76.417589563227196</v>
      </c>
      <c r="AN5568">
        <v>0.99999994982038798</v>
      </c>
    </row>
    <row r="5569" spans="1:40" x14ac:dyDescent="0.25">
      <c r="A5569" t="str">
        <f>"20190312173038192"</f>
        <v>20190312173038192</v>
      </c>
      <c r="B5569" t="str">
        <f>"1552383038183432"</f>
        <v>1552383038183432</v>
      </c>
      <c r="C5569" t="s">
        <v>40</v>
      </c>
      <c r="D5569">
        <v>3.5409549999999999</v>
      </c>
      <c r="E5569">
        <v>0.50657799999999997</v>
      </c>
      <c r="F5569" t="s">
        <v>43</v>
      </c>
      <c r="G5569">
        <v>-316.93959999999998</v>
      </c>
      <c r="H5569">
        <v>-0.05</v>
      </c>
      <c r="I5569">
        <v>12.2681</v>
      </c>
      <c r="J5569">
        <v>-336.25189999999998</v>
      </c>
      <c r="K5569">
        <v>1.1099650000000001</v>
      </c>
      <c r="L5569">
        <v>17.325900000000001</v>
      </c>
      <c r="M5569">
        <v>0.99990489999999999</v>
      </c>
      <c r="N5569">
        <v>0</v>
      </c>
      <c r="O5569">
        <v>-5.380475E-3</v>
      </c>
      <c r="P5569">
        <v>0.9559898</v>
      </c>
      <c r="Q5569">
        <v>0.17203260000000001</v>
      </c>
      <c r="R5569">
        <v>-0.23767279999999999</v>
      </c>
      <c r="S5569">
        <v>2.977417</v>
      </c>
      <c r="T5569">
        <v>-0.17760029999999999</v>
      </c>
      <c r="U5569">
        <v>-0.77450559999999902</v>
      </c>
      <c r="V5569">
        <v>0.23256080000000001</v>
      </c>
      <c r="W5569">
        <v>0.1841286</v>
      </c>
      <c r="X5569">
        <v>0.95499319999999999</v>
      </c>
      <c r="Y5569">
        <v>0.24613679999999999</v>
      </c>
      <c r="Z5569">
        <v>-6.8992749999999999E-3</v>
      </c>
      <c r="AA5569">
        <v>0.96921060000000003</v>
      </c>
      <c r="AB5569">
        <v>28</v>
      </c>
      <c r="AC5569">
        <v>19.3123</v>
      </c>
      <c r="AD5569">
        <v>-1.1599649999999999</v>
      </c>
      <c r="AE5569">
        <v>-5.0578000000000003</v>
      </c>
      <c r="AF5569">
        <v>4.9371409344969699</v>
      </c>
      <c r="AG5569">
        <v>-1.1599649999999999</v>
      </c>
      <c r="AH5569">
        <v>19.274165105602599</v>
      </c>
      <c r="AI5569">
        <v>93.336572466821494</v>
      </c>
      <c r="AJ5569">
        <v>75.632420716877803</v>
      </c>
      <c r="AK5569">
        <v>19.930236323895901</v>
      </c>
      <c r="AL5569">
        <v>79.3896672236868</v>
      </c>
      <c r="AM5569">
        <v>76.313674152120697</v>
      </c>
      <c r="AN5569">
        <v>0.99999993954041799</v>
      </c>
    </row>
    <row r="5570" spans="1:40" x14ac:dyDescent="0.25">
      <c r="A5570" t="str">
        <f>"20190312173038201"</f>
        <v>20190312173038201</v>
      </c>
      <c r="B5570" t="str">
        <f>"1552383038193193"</f>
        <v>1552383038193193</v>
      </c>
      <c r="C5570" t="s">
        <v>40</v>
      </c>
      <c r="D5570">
        <v>3.5268220000000001</v>
      </c>
      <c r="E5570">
        <v>0.50655229999999996</v>
      </c>
      <c r="F5570" t="s">
        <v>43</v>
      </c>
      <c r="G5570">
        <v>-316.86680000000001</v>
      </c>
      <c r="H5570">
        <v>-0.05</v>
      </c>
      <c r="I5570">
        <v>12.2498</v>
      </c>
      <c r="J5570">
        <v>-336.1189</v>
      </c>
      <c r="K5570">
        <v>1.1099730000000001</v>
      </c>
      <c r="L5570">
        <v>17.325129999999898</v>
      </c>
      <c r="M5570">
        <v>0.99990420000000002</v>
      </c>
      <c r="N5570">
        <v>0</v>
      </c>
      <c r="O5570">
        <v>-5.4203760000000002E-3</v>
      </c>
      <c r="P5570">
        <v>0.95559260000000001</v>
      </c>
      <c r="Q5570">
        <v>0.17215420000000001</v>
      </c>
      <c r="R5570">
        <v>-0.23917820000000001</v>
      </c>
      <c r="S5570">
        <v>2.97641</v>
      </c>
      <c r="T5570">
        <v>-0.17810190000000001</v>
      </c>
      <c r="U5570">
        <v>-0.77938839999999998</v>
      </c>
      <c r="V5570">
        <v>0.23403009999999999</v>
      </c>
      <c r="W5570">
        <v>0.18429309999999999</v>
      </c>
      <c r="X5570">
        <v>0.95460250000000002</v>
      </c>
      <c r="Y5570">
        <v>0.24766150000000001</v>
      </c>
      <c r="Z5570">
        <v>-6.9620609999999899E-3</v>
      </c>
      <c r="AA5570">
        <v>0.96882159999999995</v>
      </c>
      <c r="AB5570">
        <v>28</v>
      </c>
      <c r="AC5570">
        <v>19.252099999999899</v>
      </c>
      <c r="AD5570">
        <v>-1.1599729999999999</v>
      </c>
      <c r="AE5570">
        <v>-5.0753299999999903</v>
      </c>
      <c r="AF5570">
        <v>4.9540773577151196</v>
      </c>
      <c r="AG5570">
        <v>-1.1599729999999999</v>
      </c>
      <c r="AH5570">
        <v>19.214109707411001</v>
      </c>
      <c r="AI5570">
        <v>93.345646711852993</v>
      </c>
      <c r="AJ5570">
        <v>75.542015158979297</v>
      </c>
      <c r="AK5570">
        <v>19.876378736464599</v>
      </c>
      <c r="AL5570">
        <v>79.380078438476403</v>
      </c>
      <c r="AM5570">
        <v>76.225065510952504</v>
      </c>
      <c r="AN5570">
        <v>0.99999998370993404</v>
      </c>
    </row>
    <row r="5571" spans="1:40" x14ac:dyDescent="0.25">
      <c r="A5571" t="str">
        <f>"20190312173038214"</f>
        <v>20190312173038214</v>
      </c>
      <c r="B5571" t="str">
        <f>"1552383038202952"</f>
        <v>1552383038202952</v>
      </c>
      <c r="C5571" t="s">
        <v>40</v>
      </c>
      <c r="D5571">
        <v>3.548597</v>
      </c>
      <c r="E5571">
        <v>0.50651259999999998</v>
      </c>
      <c r="F5571" t="s">
        <v>43</v>
      </c>
      <c r="G5571">
        <v>-316.83530000000002</v>
      </c>
      <c r="H5571">
        <v>-0.05</v>
      </c>
      <c r="I5571">
        <v>12.248139999999999</v>
      </c>
      <c r="J5571">
        <v>-335.97309999999999</v>
      </c>
      <c r="K5571">
        <v>1.109977</v>
      </c>
      <c r="L5571">
        <v>17.324279999999899</v>
      </c>
      <c r="M5571">
        <v>0.99990330000000005</v>
      </c>
      <c r="N5571">
        <v>0</v>
      </c>
      <c r="O5571">
        <v>-5.46373E-3</v>
      </c>
      <c r="P5571">
        <v>0.9552406</v>
      </c>
      <c r="Q5571">
        <v>0.17218639999999999</v>
      </c>
      <c r="R5571">
        <v>-0.2405572</v>
      </c>
      <c r="S5571">
        <v>2.9755859999999998</v>
      </c>
      <c r="T5571">
        <v>-0.17899189999999901</v>
      </c>
      <c r="U5571">
        <v>-0.78341669999999997</v>
      </c>
      <c r="V5571">
        <v>0.23536950000000001</v>
      </c>
      <c r="W5571">
        <v>0.18436810000000001</v>
      </c>
      <c r="X5571">
        <v>0.95425870000000002</v>
      </c>
      <c r="Y5571">
        <v>0.24890580000000001</v>
      </c>
      <c r="Z5571">
        <v>-7.0316889999999998E-3</v>
      </c>
      <c r="AA5571">
        <v>0.96850219999999998</v>
      </c>
      <c r="AB5571">
        <v>28</v>
      </c>
      <c r="AC5571">
        <v>19.137799999999899</v>
      </c>
      <c r="AD5571">
        <v>-1.159977</v>
      </c>
      <c r="AE5571">
        <v>-5.0761399999999899</v>
      </c>
      <c r="AF5571">
        <v>4.9544865174751198</v>
      </c>
      <c r="AG5571">
        <v>-1.159977</v>
      </c>
      <c r="AH5571">
        <v>19.099694974205502</v>
      </c>
      <c r="AI5571">
        <v>93.364379690291798</v>
      </c>
      <c r="AJ5571">
        <v>75.457917135264395</v>
      </c>
      <c r="AK5571">
        <v>19.765900723216799</v>
      </c>
      <c r="AL5571">
        <v>79.375706856805905</v>
      </c>
      <c r="AM5571">
        <v>76.144458576360407</v>
      </c>
      <c r="AN5571">
        <v>1.0000000321767699</v>
      </c>
    </row>
    <row r="5572" spans="1:40" x14ac:dyDescent="0.25">
      <c r="A5572" t="str">
        <f>"20190312173038225"</f>
        <v>20190312173038225</v>
      </c>
      <c r="B5572" t="str">
        <f>"1552383038212712"</f>
        <v>1552383038212712</v>
      </c>
      <c r="C5572" t="s">
        <v>40</v>
      </c>
      <c r="D5572">
        <v>3.547215</v>
      </c>
      <c r="E5572">
        <v>0.5064765</v>
      </c>
      <c r="F5572" t="s">
        <v>43</v>
      </c>
      <c r="G5572">
        <v>-316.76960000000003</v>
      </c>
      <c r="H5572">
        <v>-0.05</v>
      </c>
      <c r="I5572">
        <v>12.239380000000001</v>
      </c>
      <c r="J5572">
        <v>-335.84309999999999</v>
      </c>
      <c r="K5572">
        <v>1.109979</v>
      </c>
      <c r="L5572">
        <v>17.323519999999998</v>
      </c>
      <c r="M5572">
        <v>0.99990239999999997</v>
      </c>
      <c r="N5572">
        <v>0</v>
      </c>
      <c r="O5572">
        <v>-5.5023930000000004E-3</v>
      </c>
      <c r="P5572">
        <v>0.95493430000000001</v>
      </c>
      <c r="Q5572">
        <v>0.17213100000000001</v>
      </c>
      <c r="R5572">
        <v>-0.24180940000000001</v>
      </c>
      <c r="S5572">
        <v>2.97464</v>
      </c>
      <c r="T5572">
        <v>-0.17968129999999999</v>
      </c>
      <c r="U5572">
        <v>-0.78765869999999905</v>
      </c>
      <c r="V5572">
        <v>0.2365864</v>
      </c>
      <c r="W5572">
        <v>0.18434980000000001</v>
      </c>
      <c r="X5572">
        <v>0.95396130000000001</v>
      </c>
      <c r="Y5572">
        <v>0.2502296</v>
      </c>
      <c r="Z5572">
        <v>-7.0966090000000003E-3</v>
      </c>
      <c r="AA5572">
        <v>0.96816049999999998</v>
      </c>
      <c r="AB5572">
        <v>28</v>
      </c>
      <c r="AC5572">
        <v>19.0734999999999</v>
      </c>
      <c r="AD5572">
        <v>-1.1599790000000001</v>
      </c>
      <c r="AE5572">
        <v>-5.0841399999999997</v>
      </c>
      <c r="AF5572">
        <v>4.9619695125684604</v>
      </c>
      <c r="AG5572">
        <v>-1.1599790000000001</v>
      </c>
      <c r="AH5572">
        <v>19.035454118199802</v>
      </c>
      <c r="AI5572">
        <v>93.374672963779204</v>
      </c>
      <c r="AJ5572">
        <v>75.389838741577407</v>
      </c>
      <c r="AK5572">
        <v>19.7057150646758</v>
      </c>
      <c r="AL5572">
        <v>79.376774036893494</v>
      </c>
      <c r="AM5572">
        <v>76.071431873059097</v>
      </c>
      <c r="AN5572">
        <v>1.0000000676613401</v>
      </c>
    </row>
    <row r="5573" spans="1:40" x14ac:dyDescent="0.25">
      <c r="A5573" t="str">
        <f>"20190312173038235"</f>
        <v>20190312173038235</v>
      </c>
      <c r="B5573" t="str">
        <f>"1552383038233208"</f>
        <v>1552383038233208</v>
      </c>
      <c r="C5573" t="s">
        <v>40</v>
      </c>
      <c r="D5573">
        <v>3.5349949999999999</v>
      </c>
      <c r="E5573">
        <v>0.50641080000000005</v>
      </c>
      <c r="F5573" t="s">
        <v>43</v>
      </c>
      <c r="G5573">
        <v>-316.76170000000002</v>
      </c>
      <c r="H5573">
        <v>-0.05</v>
      </c>
      <c r="I5573">
        <v>12.247249999999999</v>
      </c>
      <c r="J5573">
        <v>-335.70549999999997</v>
      </c>
      <c r="K5573">
        <v>1.109977</v>
      </c>
      <c r="L5573">
        <v>17.32272</v>
      </c>
      <c r="M5573">
        <v>0.9999017</v>
      </c>
      <c r="N5573">
        <v>0</v>
      </c>
      <c r="O5573">
        <v>-5.5433080000000003E-3</v>
      </c>
      <c r="P5573">
        <v>0.95468810000000004</v>
      </c>
      <c r="Q5573">
        <v>0.1719561</v>
      </c>
      <c r="R5573">
        <v>-0.2429027</v>
      </c>
      <c r="S5573">
        <v>2.973846</v>
      </c>
      <c r="T5573">
        <v>-0.180783</v>
      </c>
      <c r="U5573">
        <v>-0.79113769999999894</v>
      </c>
      <c r="V5573">
        <v>0.2376422</v>
      </c>
      <c r="W5573">
        <v>0.18421109999999999</v>
      </c>
      <c r="X5573">
        <v>0.95372559999999995</v>
      </c>
      <c r="Y5573">
        <v>0.2513049</v>
      </c>
      <c r="Z5573">
        <v>-7.1704899999999998E-3</v>
      </c>
      <c r="AA5573">
        <v>0.9678814</v>
      </c>
      <c r="AB5573">
        <v>28</v>
      </c>
      <c r="AC5573">
        <v>18.9437999999999</v>
      </c>
      <c r="AD5573">
        <v>-1.159977</v>
      </c>
      <c r="AE5573">
        <v>-5.0754700000000001</v>
      </c>
      <c r="AF5573">
        <v>4.95304470773877</v>
      </c>
      <c r="AG5573">
        <v>-1.159977</v>
      </c>
      <c r="AH5573">
        <v>18.9055088486726</v>
      </c>
      <c r="AI5573">
        <v>93.396714363582802</v>
      </c>
      <c r="AJ5573">
        <v>75.319063769048796</v>
      </c>
      <c r="AK5573">
        <v>19.577958610249102</v>
      </c>
      <c r="AL5573">
        <v>79.384859054580104</v>
      </c>
      <c r="AM5573">
        <v>76.008388065600201</v>
      </c>
      <c r="AN5573">
        <v>1.0000000323397</v>
      </c>
    </row>
    <row r="5574" spans="1:40" x14ac:dyDescent="0.25">
      <c r="A5574" t="str">
        <f>"20190312173038246"</f>
        <v>20190312173038246</v>
      </c>
      <c r="B5574" t="str">
        <f>"1552383038242969"</f>
        <v>1552383038242969</v>
      </c>
      <c r="C5574" t="s">
        <v>40</v>
      </c>
      <c r="D5574">
        <v>3.5274899999999998</v>
      </c>
      <c r="E5574">
        <v>0.50634269999999904</v>
      </c>
      <c r="F5574" t="s">
        <v>43</v>
      </c>
      <c r="G5574">
        <v>-316.86799999999999</v>
      </c>
      <c r="H5574">
        <v>-0.05</v>
      </c>
      <c r="I5574">
        <v>12.29013</v>
      </c>
      <c r="J5574">
        <v>-335.5675</v>
      </c>
      <c r="K5574">
        <v>1.1099810000000001</v>
      </c>
      <c r="L5574">
        <v>17.321899999999999</v>
      </c>
      <c r="M5574">
        <v>0.99990109999999999</v>
      </c>
      <c r="N5574">
        <v>0</v>
      </c>
      <c r="O5574">
        <v>-5.5844529999999996E-3</v>
      </c>
      <c r="P5574">
        <v>0.95444600000000002</v>
      </c>
      <c r="Q5574">
        <v>0.17179079999999999</v>
      </c>
      <c r="R5574">
        <v>-0.2439693</v>
      </c>
      <c r="S5574">
        <v>2.9732970000000001</v>
      </c>
      <c r="T5574">
        <v>-0.18309020000000001</v>
      </c>
      <c r="U5574">
        <v>-0.79434199999999999</v>
      </c>
      <c r="V5574">
        <v>0.23867050000000001</v>
      </c>
      <c r="W5574">
        <v>0.1840803</v>
      </c>
      <c r="X5574">
        <v>0.95349399999999995</v>
      </c>
      <c r="Y5574">
        <v>0.25227070000000001</v>
      </c>
      <c r="Z5574">
        <v>-7.2888550000000003E-3</v>
      </c>
      <c r="AA5574">
        <v>0.96762930000000003</v>
      </c>
      <c r="AB5574">
        <v>28</v>
      </c>
      <c r="AC5574">
        <v>18.6995</v>
      </c>
      <c r="AD5574">
        <v>-1.1599809999999999</v>
      </c>
      <c r="AE5574">
        <v>-5.0317699999999999</v>
      </c>
      <c r="AF5574">
        <v>4.90963935924648</v>
      </c>
      <c r="AG5574">
        <v>-1.1599809999999999</v>
      </c>
      <c r="AH5574">
        <v>18.660352479702802</v>
      </c>
      <c r="AI5574">
        <v>93.4403042856773</v>
      </c>
      <c r="AJ5574">
        <v>75.259250539485805</v>
      </c>
      <c r="AK5574">
        <v>19.330257867524001</v>
      </c>
      <c r="AL5574">
        <v>79.392483237424599</v>
      </c>
      <c r="AM5574">
        <v>75.946960745884894</v>
      </c>
      <c r="AN5574">
        <v>0.99999998622716901</v>
      </c>
    </row>
    <row r="5575" spans="1:40" x14ac:dyDescent="0.25">
      <c r="A5575" t="str">
        <f>"20190312173038257"</f>
        <v>20190312173038257</v>
      </c>
      <c r="B5575" t="str">
        <f>"1552383038253575"</f>
        <v>1552383038253575</v>
      </c>
      <c r="C5575" t="s">
        <v>40</v>
      </c>
      <c r="D5575">
        <v>3.5393880000000002</v>
      </c>
      <c r="E5575">
        <v>0.5062932</v>
      </c>
      <c r="F5575" t="s">
        <v>43</v>
      </c>
      <c r="G5575">
        <v>-316.87430000000001</v>
      </c>
      <c r="H5575">
        <v>-0.05</v>
      </c>
      <c r="I5575">
        <v>12.305770000000001</v>
      </c>
      <c r="J5575">
        <v>-335.4359</v>
      </c>
      <c r="K5575">
        <v>1.1099840000000001</v>
      </c>
      <c r="L5575">
        <v>17.321110000000001</v>
      </c>
      <c r="M5575">
        <v>0.99990029999999996</v>
      </c>
      <c r="N5575">
        <v>0</v>
      </c>
      <c r="O5575">
        <v>-5.6235410000000001E-3</v>
      </c>
      <c r="P5575">
        <v>0.95422209999999996</v>
      </c>
      <c r="Q5575">
        <v>0.17158389999999901</v>
      </c>
      <c r="R5575">
        <v>-0.24498829999999999</v>
      </c>
      <c r="S5575">
        <v>2.9725039999999998</v>
      </c>
      <c r="T5575">
        <v>-0.18445410000000001</v>
      </c>
      <c r="U5575">
        <v>-0.79763790000000001</v>
      </c>
      <c r="V5575">
        <v>0.23965349999999999</v>
      </c>
      <c r="W5575">
        <v>0.1839037</v>
      </c>
      <c r="X5575">
        <v>0.9532815</v>
      </c>
      <c r="Y5575">
        <v>0.25328990000000001</v>
      </c>
      <c r="Z5575">
        <v>-7.3725719999999896E-3</v>
      </c>
      <c r="AA5575">
        <v>0.96736230000000001</v>
      </c>
      <c r="AB5575">
        <v>28</v>
      </c>
      <c r="AC5575">
        <v>18.561599999999999</v>
      </c>
      <c r="AD5575">
        <v>-1.1599839999999999</v>
      </c>
      <c r="AE5575">
        <v>-5.0153400000000001</v>
      </c>
      <c r="AF5575">
        <v>4.8930605436243697</v>
      </c>
      <c r="AG5575">
        <v>-1.1599839999999999</v>
      </c>
      <c r="AH5575">
        <v>18.522097185402998</v>
      </c>
      <c r="AI5575">
        <v>93.465019640800804</v>
      </c>
      <c r="AJ5575">
        <v>75.201991193540707</v>
      </c>
      <c r="AK5575">
        <v>19.192594626817499</v>
      </c>
      <c r="AL5575">
        <v>79.402777506786506</v>
      </c>
      <c r="AM5575">
        <v>75.888368870855004</v>
      </c>
      <c r="AN5575">
        <v>0.99999999458909405</v>
      </c>
    </row>
    <row r="5576" spans="1:40" x14ac:dyDescent="0.25">
      <c r="A5576" t="str">
        <f>"20190312173038269"</f>
        <v>20190312173038269</v>
      </c>
      <c r="B5576" t="str">
        <f>"1552383038263339"</f>
        <v>1552383038263339</v>
      </c>
      <c r="C5576" t="s">
        <v>40</v>
      </c>
      <c r="D5576">
        <v>3.5620020000000001</v>
      </c>
      <c r="E5576">
        <v>0.50625940000000003</v>
      </c>
      <c r="F5576" t="s">
        <v>43</v>
      </c>
      <c r="G5576">
        <v>-316.89269999999999</v>
      </c>
      <c r="H5576">
        <v>-0.05</v>
      </c>
      <c r="I5576">
        <v>12.323790000000001</v>
      </c>
      <c r="J5576">
        <v>-335.29309999999998</v>
      </c>
      <c r="K5576">
        <v>1.10999</v>
      </c>
      <c r="L5576">
        <v>17.320250000000001</v>
      </c>
      <c r="M5576">
        <v>0.99989969999999995</v>
      </c>
      <c r="N5576">
        <v>0</v>
      </c>
      <c r="O5576">
        <v>-5.6662079999999998E-3</v>
      </c>
      <c r="P5576">
        <v>0.95398989999999995</v>
      </c>
      <c r="Q5576">
        <v>0.17122999999999999</v>
      </c>
      <c r="R5576">
        <v>-0.24613750000000001</v>
      </c>
      <c r="S5576">
        <v>2.9717410000000002</v>
      </c>
      <c r="T5576">
        <v>-0.1858997</v>
      </c>
      <c r="U5576">
        <v>-0.80087280000000005</v>
      </c>
      <c r="V5576">
        <v>0.24076339999999999</v>
      </c>
      <c r="W5576">
        <v>0.1835802</v>
      </c>
      <c r="X5576">
        <v>0.95306409999999997</v>
      </c>
      <c r="Y5576">
        <v>0.25428390000000001</v>
      </c>
      <c r="Z5576">
        <v>-7.4589560000000001E-3</v>
      </c>
      <c r="AA5576">
        <v>0.96710090000000004</v>
      </c>
      <c r="AB5576">
        <v>28</v>
      </c>
      <c r="AC5576">
        <v>18.400399999999902</v>
      </c>
      <c r="AD5576">
        <v>-1.1599899999999901</v>
      </c>
      <c r="AE5576">
        <v>-4.9964599999999999</v>
      </c>
      <c r="AF5576">
        <v>4.8740699885147203</v>
      </c>
      <c r="AG5576">
        <v>-1.1599899999999901</v>
      </c>
      <c r="AH5576">
        <v>18.3604599258314</v>
      </c>
      <c r="AI5576">
        <v>93.494352769418796</v>
      </c>
      <c r="AJ5576">
        <v>75.132850884022702</v>
      </c>
      <c r="AK5576">
        <v>19.031779310960399</v>
      </c>
      <c r="AL5576">
        <v>79.421633161627994</v>
      </c>
      <c r="AM5576">
        <v>75.822539597857599</v>
      </c>
      <c r="AN5576">
        <v>0.99999994166020301</v>
      </c>
    </row>
    <row r="5577" spans="1:40" x14ac:dyDescent="0.25">
      <c r="A5577" t="str">
        <f>"20190312173038280"</f>
        <v>20190312173038280</v>
      </c>
      <c r="B5577" t="str">
        <f>"1552383038273095"</f>
        <v>1552383038273095</v>
      </c>
      <c r="C5577" t="s">
        <v>40</v>
      </c>
      <c r="D5577">
        <v>3.5486599999999999</v>
      </c>
      <c r="E5577">
        <v>0.50621059999999996</v>
      </c>
      <c r="F5577" t="s">
        <v>43</v>
      </c>
      <c r="G5577">
        <v>-316.92680000000001</v>
      </c>
      <c r="H5577">
        <v>-0.05</v>
      </c>
      <c r="I5577">
        <v>12.347200000000001</v>
      </c>
      <c r="J5577">
        <v>-335.15480000000002</v>
      </c>
      <c r="K5577">
        <v>1.1099909999999999</v>
      </c>
      <c r="L5577">
        <v>17.319430000000001</v>
      </c>
      <c r="M5577">
        <v>0.99989899999999998</v>
      </c>
      <c r="N5577">
        <v>0</v>
      </c>
      <c r="O5577">
        <v>-5.7073059999999997E-3</v>
      </c>
      <c r="P5577">
        <v>0.95371600000000001</v>
      </c>
      <c r="Q5577">
        <v>0.17117389999999999</v>
      </c>
      <c r="R5577">
        <v>-0.24723629999999999</v>
      </c>
      <c r="S5577">
        <v>2.970825</v>
      </c>
      <c r="T5577">
        <v>-0.1876332</v>
      </c>
      <c r="U5577">
        <v>-0.80441280000000004</v>
      </c>
      <c r="V5577">
        <v>0.24182419999999999</v>
      </c>
      <c r="W5577">
        <v>0.18355160000000001</v>
      </c>
      <c r="X5577">
        <v>0.95280100000000001</v>
      </c>
      <c r="Y5577">
        <v>0.25538240000000001</v>
      </c>
      <c r="Z5577">
        <v>-7.5609630000000004E-3</v>
      </c>
      <c r="AA5577">
        <v>0.96681059999999996</v>
      </c>
      <c r="AB5577">
        <v>28</v>
      </c>
      <c r="AC5577">
        <v>18.228000000000002</v>
      </c>
      <c r="AD5577">
        <v>-1.159991</v>
      </c>
      <c r="AE5577">
        <v>-4.9722299999999997</v>
      </c>
      <c r="AF5577">
        <v>4.8498269253300199</v>
      </c>
      <c r="AG5577">
        <v>-1.159991</v>
      </c>
      <c r="AH5577">
        <v>18.187529115366999</v>
      </c>
      <c r="AI5577">
        <v>93.5264560976441</v>
      </c>
      <c r="AJ5577">
        <v>75.069114693731294</v>
      </c>
      <c r="AK5577">
        <v>18.858754350382199</v>
      </c>
      <c r="AL5577">
        <v>79.423300125228096</v>
      </c>
      <c r="AM5577">
        <v>75.758837005645304</v>
      </c>
      <c r="AN5577">
        <v>0.99999993958459799</v>
      </c>
    </row>
    <row r="5578" spans="1:40" x14ac:dyDescent="0.25">
      <c r="A5578" t="str">
        <f>"20190312173038292"</f>
        <v>20190312173038292</v>
      </c>
      <c r="B5578" t="str">
        <f>"1552383038282855"</f>
        <v>1552383038282855</v>
      </c>
      <c r="C5578" t="s">
        <v>40</v>
      </c>
      <c r="D5578">
        <v>3.5311859999999999</v>
      </c>
      <c r="E5578">
        <v>0.5061795</v>
      </c>
      <c r="F5578" t="s">
        <v>43</v>
      </c>
      <c r="G5578">
        <v>-316.89139999999998</v>
      </c>
      <c r="H5578">
        <v>-0.05</v>
      </c>
      <c r="I5578">
        <v>12.35284</v>
      </c>
      <c r="J5578">
        <v>-335.01029999999997</v>
      </c>
      <c r="K5578">
        <v>1.1099920000000001</v>
      </c>
      <c r="L5578">
        <v>17.318539999999999</v>
      </c>
      <c r="M5578">
        <v>0.99989830000000002</v>
      </c>
      <c r="N5578">
        <v>0</v>
      </c>
      <c r="O5578">
        <v>-5.7502990000000004E-3</v>
      </c>
      <c r="P5578">
        <v>0.95350310000000005</v>
      </c>
      <c r="Q5578">
        <v>0.17080529999999999</v>
      </c>
      <c r="R5578">
        <v>-0.24830930000000001</v>
      </c>
      <c r="S5578">
        <v>2.9700319999999998</v>
      </c>
      <c r="T5578">
        <v>-0.1886408</v>
      </c>
      <c r="U5578">
        <v>-0.80767819999999901</v>
      </c>
      <c r="V5578">
        <v>0.2428574</v>
      </c>
      <c r="W5578">
        <v>0.18320900000000001</v>
      </c>
      <c r="X5578">
        <v>0.95260420000000001</v>
      </c>
      <c r="Y5578">
        <v>0.25638889999999998</v>
      </c>
      <c r="Z5578">
        <v>-7.6310630000000004E-3</v>
      </c>
      <c r="AA5578">
        <v>0.96654359999999995</v>
      </c>
      <c r="AB5578">
        <v>28</v>
      </c>
      <c r="AC5578">
        <v>18.1189</v>
      </c>
      <c r="AD5578">
        <v>-1.1599919999999999</v>
      </c>
      <c r="AE5578">
        <v>-4.9657</v>
      </c>
      <c r="AF5578">
        <v>4.8429568447560003</v>
      </c>
      <c r="AG5578">
        <v>-1.1599919999999999</v>
      </c>
      <c r="AH5578">
        <v>18.0782364037725</v>
      </c>
      <c r="AI5578">
        <v>93.546636778931699</v>
      </c>
      <c r="AJ5578">
        <v>75.003229114231303</v>
      </c>
      <c r="AK5578">
        <v>18.751598436157899</v>
      </c>
      <c r="AL5578">
        <v>79.443269011644702</v>
      </c>
      <c r="AM5578">
        <v>75.697648650196797</v>
      </c>
      <c r="AN5578">
        <v>1.0000000081367</v>
      </c>
    </row>
    <row r="5579" spans="1:40" x14ac:dyDescent="0.25">
      <c r="A5579" t="str">
        <f>"20190312173038305"</f>
        <v>20190312173038305</v>
      </c>
      <c r="B5579" t="str">
        <f>"1552383038293591"</f>
        <v>1552383038293591</v>
      </c>
      <c r="C5579" t="s">
        <v>40</v>
      </c>
      <c r="D5579">
        <v>3.5418530000000001</v>
      </c>
      <c r="E5579">
        <v>0.50613790000000003</v>
      </c>
      <c r="F5579" t="s">
        <v>43</v>
      </c>
      <c r="G5579">
        <v>-316.92989999999998</v>
      </c>
      <c r="H5579">
        <v>-0.05</v>
      </c>
      <c r="I5579">
        <v>12.382250000000001</v>
      </c>
      <c r="J5579">
        <v>-334.86279999999999</v>
      </c>
      <c r="K5579">
        <v>1.1099950000000001</v>
      </c>
      <c r="L5579">
        <v>17.31766</v>
      </c>
      <c r="M5579">
        <v>0.9998977</v>
      </c>
      <c r="N5579">
        <v>0</v>
      </c>
      <c r="O5579">
        <v>-5.7942430000000001E-3</v>
      </c>
      <c r="P5579">
        <v>0.95324929999999997</v>
      </c>
      <c r="Q5579">
        <v>0.1703905</v>
      </c>
      <c r="R5579">
        <v>-0.2495658</v>
      </c>
      <c r="S5579">
        <v>2.9692690000000002</v>
      </c>
      <c r="T5579">
        <v>-0.19050030000000001</v>
      </c>
      <c r="U5579">
        <v>-0.81066890000000003</v>
      </c>
      <c r="V5579">
        <v>0.24407300000000001</v>
      </c>
      <c r="W5579">
        <v>0.18281939999999999</v>
      </c>
      <c r="X5579">
        <v>0.95236829999999995</v>
      </c>
      <c r="Y5579">
        <v>0.25730439999999999</v>
      </c>
      <c r="Z5579">
        <v>-7.7330899999999998E-3</v>
      </c>
      <c r="AA5579">
        <v>0.96629949999999998</v>
      </c>
      <c r="AB5579">
        <v>28</v>
      </c>
      <c r="AC5579">
        <v>17.9329</v>
      </c>
      <c r="AD5579">
        <v>-1.1599950000000001</v>
      </c>
      <c r="AE5579">
        <v>-4.9354099999999903</v>
      </c>
      <c r="AF5579">
        <v>4.8126913331873498</v>
      </c>
      <c r="AG5579">
        <v>-1.1599950000000001</v>
      </c>
      <c r="AH5579">
        <v>17.891607526622099</v>
      </c>
      <c r="AI5579">
        <v>93.582558576924001</v>
      </c>
      <c r="AJ5579">
        <v>74.944292229941098</v>
      </c>
      <c r="AK5579">
        <v>18.563868297185401</v>
      </c>
      <c r="AL5579">
        <v>79.465974544413399</v>
      </c>
      <c r="AM5579">
        <v>75.625605427413404</v>
      </c>
      <c r="AN5579">
        <v>0.99999997059512402</v>
      </c>
    </row>
    <row r="5580" spans="1:40" x14ac:dyDescent="0.25">
      <c r="A5580" t="str">
        <f>"20190312173038316"</f>
        <v>20190312173038316</v>
      </c>
      <c r="B5580" t="str">
        <f>"1552383038313111"</f>
        <v>1552383038313111</v>
      </c>
      <c r="C5580" t="s">
        <v>40</v>
      </c>
      <c r="D5580">
        <v>3.5316809999999998</v>
      </c>
      <c r="E5580">
        <v>0.50603909999999996</v>
      </c>
      <c r="F5580" t="s">
        <v>43</v>
      </c>
      <c r="G5580">
        <v>-316.97289999999998</v>
      </c>
      <c r="H5580">
        <v>-0.05</v>
      </c>
      <c r="I5580">
        <v>12.4122</v>
      </c>
      <c r="J5580">
        <v>-334.72</v>
      </c>
      <c r="K5580">
        <v>1.109998</v>
      </c>
      <c r="L5580">
        <v>17.316770000000002</v>
      </c>
      <c r="M5580">
        <v>0.99989709999999998</v>
      </c>
      <c r="N5580">
        <v>0</v>
      </c>
      <c r="O5580">
        <v>-5.8368450000000002E-3</v>
      </c>
      <c r="P5580">
        <v>0.95294900000000005</v>
      </c>
      <c r="Q5580">
        <v>0.17014489999999999</v>
      </c>
      <c r="R5580">
        <v>-0.25087680000000001</v>
      </c>
      <c r="S5580">
        <v>2.9684750000000002</v>
      </c>
      <c r="T5580">
        <v>-0.1924787</v>
      </c>
      <c r="U5580">
        <v>-0.81396480000000004</v>
      </c>
      <c r="V5580">
        <v>0.2453449</v>
      </c>
      <c r="W5580">
        <v>0.18259439999999999</v>
      </c>
      <c r="X5580">
        <v>0.95208470000000001</v>
      </c>
      <c r="Y5580">
        <v>0.25831480000000001</v>
      </c>
      <c r="Z5580">
        <v>-7.8435580000000005E-3</v>
      </c>
      <c r="AA5580">
        <v>0.96602889999999997</v>
      </c>
      <c r="AB5580">
        <v>27</v>
      </c>
      <c r="AC5580">
        <v>17.7471</v>
      </c>
      <c r="AD5580">
        <v>-1.1599979999999901</v>
      </c>
      <c r="AE5580">
        <v>-4.9045699999999997</v>
      </c>
      <c r="AF5580">
        <v>4.78191040137812</v>
      </c>
      <c r="AG5580">
        <v>-1.1599979999999901</v>
      </c>
      <c r="AH5580">
        <v>17.705153082650199</v>
      </c>
      <c r="AI5580">
        <v>93.619203683111905</v>
      </c>
      <c r="AJ5580">
        <v>74.885843122874505</v>
      </c>
      <c r="AK5580">
        <v>18.376199501716599</v>
      </c>
      <c r="AL5580">
        <v>79.479087710983194</v>
      </c>
      <c r="AM5580">
        <v>75.549702294851897</v>
      </c>
      <c r="AN5580">
        <v>1.00000005542072</v>
      </c>
    </row>
    <row r="5581" spans="1:40" x14ac:dyDescent="0.25">
      <c r="A5581" t="str">
        <f>"20190312173038328"</f>
        <v>20190312173038328</v>
      </c>
      <c r="B5581" t="str">
        <f>"1552383038322871"</f>
        <v>1552383038322871</v>
      </c>
      <c r="C5581" t="s">
        <v>40</v>
      </c>
      <c r="D5581">
        <v>3.5551210000000002</v>
      </c>
      <c r="E5581">
        <v>0.50599890000000003</v>
      </c>
      <c r="F5581" t="s">
        <v>43</v>
      </c>
      <c r="G5581">
        <v>-317.02179999999998</v>
      </c>
      <c r="H5581">
        <v>-0.05</v>
      </c>
      <c r="I5581">
        <v>12.4427</v>
      </c>
      <c r="J5581">
        <v>-334.57150000000001</v>
      </c>
      <c r="K5581">
        <v>1.1100000000000001</v>
      </c>
      <c r="L5581">
        <v>17.315829999999998</v>
      </c>
      <c r="M5581">
        <v>0.99989660000000002</v>
      </c>
      <c r="N5581">
        <v>0</v>
      </c>
      <c r="O5581">
        <v>-5.8813540000000001E-3</v>
      </c>
      <c r="P5581">
        <v>0.952623</v>
      </c>
      <c r="Q5581">
        <v>0.17001830000000001</v>
      </c>
      <c r="R5581">
        <v>-0.25219760000000002</v>
      </c>
      <c r="S5581">
        <v>2.967651</v>
      </c>
      <c r="T5581">
        <v>-0.19450970000000001</v>
      </c>
      <c r="U5581">
        <v>-0.81729130000000005</v>
      </c>
      <c r="V5581">
        <v>0.24662529999999999</v>
      </c>
      <c r="W5581">
        <v>0.18248710000000001</v>
      </c>
      <c r="X5581">
        <v>0.95177440000000002</v>
      </c>
      <c r="Y5581">
        <v>0.25933440000000002</v>
      </c>
      <c r="Z5581">
        <v>-7.957034E-3</v>
      </c>
      <c r="AA5581">
        <v>0.96575480000000002</v>
      </c>
      <c r="AB5581">
        <v>27</v>
      </c>
      <c r="AC5581">
        <v>17.549700000000001</v>
      </c>
      <c r="AD5581">
        <v>-1.1599999999999999</v>
      </c>
      <c r="AE5581">
        <v>-4.87312999999999</v>
      </c>
      <c r="AF5581">
        <v>4.7505516467277404</v>
      </c>
      <c r="AG5581">
        <v>-1.1599999999999999</v>
      </c>
      <c r="AH5581">
        <v>17.507047469053099</v>
      </c>
      <c r="AI5581">
        <v>93.658888841282007</v>
      </c>
      <c r="AJ5581">
        <v>74.818312087282195</v>
      </c>
      <c r="AK5581">
        <v>18.177184931443801</v>
      </c>
      <c r="AL5581">
        <v>79.485340489732096</v>
      </c>
      <c r="AM5581">
        <v>75.472936006279696</v>
      </c>
      <c r="AN5581">
        <v>1.0000000443809201</v>
      </c>
    </row>
    <row r="5582" spans="1:40" x14ac:dyDescent="0.25">
      <c r="A5582" t="str">
        <f>"20190312173038340"</f>
        <v>20190312173038340</v>
      </c>
      <c r="B5582" t="str">
        <f>"1552383038333608"</f>
        <v>1552383038333608</v>
      </c>
      <c r="C5582" t="s">
        <v>40</v>
      </c>
      <c r="D5582">
        <v>3.560343</v>
      </c>
      <c r="E5582">
        <v>0.5059688</v>
      </c>
      <c r="F5582" t="s">
        <v>43</v>
      </c>
      <c r="G5582">
        <v>-316.97140000000002</v>
      </c>
      <c r="H5582">
        <v>-0.05</v>
      </c>
      <c r="I5582">
        <v>12.44402</v>
      </c>
      <c r="J5582">
        <v>-334.42399999999998</v>
      </c>
      <c r="K5582">
        <v>1.109993</v>
      </c>
      <c r="L5582">
        <v>17.31494</v>
      </c>
      <c r="M5582">
        <v>0.99989589999999995</v>
      </c>
      <c r="N5582">
        <v>0</v>
      </c>
      <c r="O5582">
        <v>-5.9254930000000004E-3</v>
      </c>
      <c r="P5582">
        <v>0.95227150000000005</v>
      </c>
      <c r="Q5582">
        <v>0.1696367</v>
      </c>
      <c r="R5582">
        <v>-0.25377640000000001</v>
      </c>
      <c r="S5582">
        <v>2.9667050000000001</v>
      </c>
      <c r="T5582">
        <v>-0.19553100000000001</v>
      </c>
      <c r="U5582">
        <v>-0.82119750000000002</v>
      </c>
      <c r="V5582">
        <v>0.24816389999999999</v>
      </c>
      <c r="W5582">
        <v>0.1821228</v>
      </c>
      <c r="X5582">
        <v>0.95144410000000001</v>
      </c>
      <c r="Y5582">
        <v>0.2605441</v>
      </c>
      <c r="Z5582">
        <v>-8.0360459999999998E-3</v>
      </c>
      <c r="AA5582">
        <v>0.96542850000000002</v>
      </c>
      <c r="AB5582">
        <v>27</v>
      </c>
      <c r="AC5582">
        <v>17.4526</v>
      </c>
      <c r="AD5582">
        <v>-1.1599930000000001</v>
      </c>
      <c r="AE5582">
        <v>-4.8709199999999999</v>
      </c>
      <c r="AF5582">
        <v>4.7479512482439903</v>
      </c>
      <c r="AG5582">
        <v>-1.1599930000000001</v>
      </c>
      <c r="AH5582">
        <v>17.4098062630034</v>
      </c>
      <c r="AI5582">
        <v>93.677977666206601</v>
      </c>
      <c r="AJ5582">
        <v>74.745425722958998</v>
      </c>
      <c r="AK5582">
        <v>18.082864234713</v>
      </c>
      <c r="AL5582">
        <v>79.506568146044401</v>
      </c>
      <c r="AM5582">
        <v>75.381319814181296</v>
      </c>
      <c r="AN5582">
        <v>0.99999995548392895</v>
      </c>
    </row>
    <row r="5583" spans="1:40" x14ac:dyDescent="0.25">
      <c r="A5583" t="str">
        <f>"20190312173038351"</f>
        <v>20190312173038351</v>
      </c>
      <c r="B5583" t="str">
        <f>"1552383038343369"</f>
        <v>1552383038343369</v>
      </c>
      <c r="C5583" t="s">
        <v>40</v>
      </c>
      <c r="D5583">
        <v>3.5718839999999998</v>
      </c>
      <c r="E5583">
        <v>0.50595210000000002</v>
      </c>
      <c r="F5583" t="s">
        <v>43</v>
      </c>
      <c r="G5583">
        <v>-316.99610000000001</v>
      </c>
      <c r="H5583">
        <v>-0.05</v>
      </c>
      <c r="I5583">
        <v>12.460889999999999</v>
      </c>
      <c r="J5583">
        <v>-334.29160000000002</v>
      </c>
      <c r="K5583">
        <v>1.1099950000000001</v>
      </c>
      <c r="L5583">
        <v>17.31409</v>
      </c>
      <c r="M5583">
        <v>0.9998956</v>
      </c>
      <c r="N5583">
        <v>0</v>
      </c>
      <c r="O5583">
        <v>-5.965433E-3</v>
      </c>
      <c r="P5583">
        <v>0.95200510000000005</v>
      </c>
      <c r="Q5583">
        <v>0.1692408</v>
      </c>
      <c r="R5583">
        <v>-0.25503749999999997</v>
      </c>
      <c r="S5583">
        <v>2.9653930000000002</v>
      </c>
      <c r="T5583">
        <v>-0.19737550000000001</v>
      </c>
      <c r="U5583">
        <v>-0.82592770000000004</v>
      </c>
      <c r="V5583">
        <v>0.24938850000000001</v>
      </c>
      <c r="W5583">
        <v>0.1817415</v>
      </c>
      <c r="X5583">
        <v>0.95119679999999995</v>
      </c>
      <c r="Y5583">
        <v>0.26203199999999999</v>
      </c>
      <c r="Z5583">
        <v>-8.1593889999999995E-3</v>
      </c>
      <c r="AA5583">
        <v>0.96502469999999996</v>
      </c>
      <c r="AB5583">
        <v>27</v>
      </c>
      <c r="AC5583">
        <v>17.295500000000001</v>
      </c>
      <c r="AD5583">
        <v>-1.1599950000000001</v>
      </c>
      <c r="AE5583">
        <v>-4.8532000000000002</v>
      </c>
      <c r="AF5583">
        <v>4.7302048867058701</v>
      </c>
      <c r="AG5583">
        <v>-1.1599950000000001</v>
      </c>
      <c r="AH5583">
        <v>17.2522055220529</v>
      </c>
      <c r="AI5583">
        <v>93.710112218674297</v>
      </c>
      <c r="AJ5583">
        <v>74.6674520931074</v>
      </c>
      <c r="AK5583">
        <v>17.926489395455899</v>
      </c>
      <c r="AL5583">
        <v>79.528786018530795</v>
      </c>
      <c r="AM5583">
        <v>75.308640336203794</v>
      </c>
      <c r="AN5583">
        <v>0.999999974542369</v>
      </c>
    </row>
    <row r="5584" spans="1:40" x14ac:dyDescent="0.25">
      <c r="A5584" t="str">
        <f>"20190312173038362"</f>
        <v>20190312173038362</v>
      </c>
      <c r="B5584" t="str">
        <f>"1552383038353127"</f>
        <v>1552383038353127</v>
      </c>
      <c r="C5584" t="s">
        <v>40</v>
      </c>
      <c r="D5584">
        <v>3.5603509999999998</v>
      </c>
      <c r="E5584">
        <v>0.50591390000000003</v>
      </c>
      <c r="F5584" t="s">
        <v>43</v>
      </c>
      <c r="G5584">
        <v>-317.0231</v>
      </c>
      <c r="H5584">
        <v>-0.05</v>
      </c>
      <c r="I5584">
        <v>12.479900000000001</v>
      </c>
      <c r="J5584">
        <v>-334.14440000000002</v>
      </c>
      <c r="K5584">
        <v>1.1099920000000001</v>
      </c>
      <c r="L5584">
        <v>17.31317</v>
      </c>
      <c r="M5584">
        <v>0.99989490000000003</v>
      </c>
      <c r="N5584">
        <v>0</v>
      </c>
      <c r="O5584">
        <v>-6.0094349999999996E-3</v>
      </c>
      <c r="P5584">
        <v>0.95156810000000003</v>
      </c>
      <c r="Q5584">
        <v>0.16925560000000001</v>
      </c>
      <c r="R5584">
        <v>-0.2566522</v>
      </c>
      <c r="S5584">
        <v>2.9642940000000002</v>
      </c>
      <c r="T5584">
        <v>-0.1991242</v>
      </c>
      <c r="U5584">
        <v>-0.82983399999999996</v>
      </c>
      <c r="V5584">
        <v>0.25096390000000002</v>
      </c>
      <c r="W5584">
        <v>0.18176970000000001</v>
      </c>
      <c r="X5584">
        <v>0.95077699999999998</v>
      </c>
      <c r="Y5584">
        <v>0.26324950000000003</v>
      </c>
      <c r="Z5584">
        <v>-8.2702130000000002E-3</v>
      </c>
      <c r="AA5584">
        <v>0.96469240000000001</v>
      </c>
      <c r="AB5584">
        <v>27</v>
      </c>
      <c r="AC5584">
        <v>17.121300000000002</v>
      </c>
      <c r="AD5584">
        <v>-1.1599919999999999</v>
      </c>
      <c r="AE5584">
        <v>-4.83326999999999</v>
      </c>
      <c r="AF5584">
        <v>4.7102589846860798</v>
      </c>
      <c r="AG5584">
        <v>-1.1599919999999999</v>
      </c>
      <c r="AH5584">
        <v>17.077434679907899</v>
      </c>
      <c r="AI5584">
        <v>93.746399487019602</v>
      </c>
      <c r="AJ5584">
        <v>74.580200370770399</v>
      </c>
      <c r="AK5584">
        <v>17.753053156834799</v>
      </c>
      <c r="AL5584">
        <v>79.527143214392595</v>
      </c>
      <c r="AM5584">
        <v>75.213645018385606</v>
      </c>
      <c r="AN5584">
        <v>1.0000000033351499</v>
      </c>
    </row>
    <row r="5585" spans="1:40" x14ac:dyDescent="0.25">
      <c r="A5585" t="str">
        <f>"20190312173038374"</f>
        <v>20190312173038374</v>
      </c>
      <c r="B5585" t="str">
        <f>"1552383038362887"</f>
        <v>1552383038362887</v>
      </c>
      <c r="C5585" t="s">
        <v>40</v>
      </c>
      <c r="D5585">
        <v>3.5531589999999902</v>
      </c>
      <c r="E5585">
        <v>0.50589830000000002</v>
      </c>
      <c r="F5585" t="s">
        <v>43</v>
      </c>
      <c r="G5585">
        <v>-316.91890000000001</v>
      </c>
      <c r="H5585">
        <v>-0.05</v>
      </c>
      <c r="I5585">
        <v>12.461169999999999</v>
      </c>
      <c r="J5585">
        <v>-334.00330000000002</v>
      </c>
      <c r="K5585">
        <v>1.1099969999999999</v>
      </c>
      <c r="L5585">
        <v>17.312259999999998</v>
      </c>
      <c r="M5585">
        <v>0.99989450000000002</v>
      </c>
      <c r="N5585">
        <v>0</v>
      </c>
      <c r="O5585">
        <v>-6.0523460000000001E-3</v>
      </c>
      <c r="P5585">
        <v>0.95123000000000002</v>
      </c>
      <c r="Q5585">
        <v>0.1686231</v>
      </c>
      <c r="R5585">
        <v>-0.25831660000000001</v>
      </c>
      <c r="S5585">
        <v>2.9630740000000002</v>
      </c>
      <c r="T5585">
        <v>-0.1995381</v>
      </c>
      <c r="U5585">
        <v>-0.83462519999999996</v>
      </c>
      <c r="V5585">
        <v>0.25258950000000002</v>
      </c>
      <c r="W5585">
        <v>0.1811488</v>
      </c>
      <c r="X5585">
        <v>0.950465</v>
      </c>
      <c r="Y5585">
        <v>0.26475130000000002</v>
      </c>
      <c r="Z5585">
        <v>-8.335594E-3</v>
      </c>
      <c r="AA5585">
        <v>0.96428069999999999</v>
      </c>
      <c r="AB5585">
        <v>27</v>
      </c>
      <c r="AC5585">
        <v>17.084399999999999</v>
      </c>
      <c r="AD5585">
        <v>-1.1599969999999999</v>
      </c>
      <c r="AE5585">
        <v>-4.8510900000000001</v>
      </c>
      <c r="AF5585">
        <v>4.72742340799853</v>
      </c>
      <c r="AG5585">
        <v>-1.1599969999999999</v>
      </c>
      <c r="AH5585">
        <v>17.0407512613295</v>
      </c>
      <c r="AI5585">
        <v>93.7529176004101</v>
      </c>
      <c r="AJ5585">
        <v>74.494989575588306</v>
      </c>
      <c r="AK5585">
        <v>17.722339819250902</v>
      </c>
      <c r="AL5585">
        <v>79.563319012226103</v>
      </c>
      <c r="AM5585">
        <v>75.117435337823807</v>
      </c>
      <c r="AN5585">
        <v>1.00000002973834</v>
      </c>
    </row>
    <row r="5586" spans="1:40" x14ac:dyDescent="0.25">
      <c r="A5586" t="str">
        <f>"20190312173038386"</f>
        <v>20190312173038386</v>
      </c>
      <c r="B5586" t="str">
        <f>"1552383038383383"</f>
        <v>1552383038383383</v>
      </c>
      <c r="C5586" t="s">
        <v>40</v>
      </c>
      <c r="D5586">
        <v>3.565353</v>
      </c>
      <c r="E5586">
        <v>0.50586070000000005</v>
      </c>
      <c r="F5586" t="s">
        <v>43</v>
      </c>
      <c r="G5586">
        <v>-317.00420000000003</v>
      </c>
      <c r="H5586">
        <v>-0.05</v>
      </c>
      <c r="I5586">
        <v>12.49319</v>
      </c>
      <c r="J5586">
        <v>-333.86579999999998</v>
      </c>
      <c r="K5586">
        <v>1.1099969999999999</v>
      </c>
      <c r="L5586">
        <v>17.31137</v>
      </c>
      <c r="M5586">
        <v>0.99989399999999995</v>
      </c>
      <c r="N5586">
        <v>0</v>
      </c>
      <c r="O5586">
        <v>-6.0944179999999999E-3</v>
      </c>
      <c r="P5586">
        <v>0.95081490000000002</v>
      </c>
      <c r="Q5586">
        <v>0.1682341</v>
      </c>
      <c r="R5586">
        <v>-0.26009349999999998</v>
      </c>
      <c r="S5586">
        <v>2.9616699999999998</v>
      </c>
      <c r="T5586">
        <v>-0.2021</v>
      </c>
      <c r="U5586">
        <v>-0.839599599999999</v>
      </c>
      <c r="V5586">
        <v>0.25432870000000002</v>
      </c>
      <c r="W5586">
        <v>0.18076900000000001</v>
      </c>
      <c r="X5586">
        <v>0.95007339999999996</v>
      </c>
      <c r="Y5586">
        <v>0.26631199999999999</v>
      </c>
      <c r="Z5586">
        <v>-8.4936939999999995E-3</v>
      </c>
      <c r="AA5586">
        <v>0.96384950000000003</v>
      </c>
      <c r="AB5586">
        <v>27</v>
      </c>
      <c r="AC5586">
        <v>16.8615999999999</v>
      </c>
      <c r="AD5586">
        <v>-1.1599969999999999</v>
      </c>
      <c r="AE5586">
        <v>-4.8181799999999999</v>
      </c>
      <c r="AF5586">
        <v>4.6947778436255598</v>
      </c>
      <c r="AG5586">
        <v>-1.1599969999999999</v>
      </c>
      <c r="AH5586">
        <v>16.817070151057401</v>
      </c>
      <c r="AI5586">
        <v>93.800976921187299</v>
      </c>
      <c r="AJ5586">
        <v>74.401999139335899</v>
      </c>
      <c r="AK5586">
        <v>17.498582242758701</v>
      </c>
      <c r="AL5586">
        <v>79.585444842823094</v>
      </c>
      <c r="AM5586">
        <v>75.013656865611097</v>
      </c>
      <c r="AN5586">
        <v>0.99999999219612401</v>
      </c>
    </row>
    <row r="5587" spans="1:40" x14ac:dyDescent="0.25">
      <c r="A5587" t="str">
        <f>"20190312173038397"</f>
        <v>20190312173038397</v>
      </c>
      <c r="B5587" t="str">
        <f>"1552383038393143"</f>
        <v>1552383038393143</v>
      </c>
      <c r="C5587" t="s">
        <v>40</v>
      </c>
      <c r="D5587">
        <v>3.5847099999999998</v>
      </c>
      <c r="E5587">
        <v>0.5058395</v>
      </c>
      <c r="F5587" t="s">
        <v>43</v>
      </c>
      <c r="G5587">
        <v>-317.08210000000003</v>
      </c>
      <c r="H5587">
        <v>-0.05</v>
      </c>
      <c r="I5587">
        <v>12.52177</v>
      </c>
      <c r="J5587">
        <v>-333.72289999999998</v>
      </c>
      <c r="K5587">
        <v>1.109996</v>
      </c>
      <c r="L5587">
        <v>17.310459999999999</v>
      </c>
      <c r="M5587">
        <v>0.99989349999999999</v>
      </c>
      <c r="N5587">
        <v>0</v>
      </c>
      <c r="O5587">
        <v>-6.139594E-3</v>
      </c>
      <c r="P5587">
        <v>0.95035559999999997</v>
      </c>
      <c r="Q5587">
        <v>0.16799449999999999</v>
      </c>
      <c r="R5587">
        <v>-0.26192090000000001</v>
      </c>
      <c r="S5587">
        <v>2.9602970000000002</v>
      </c>
      <c r="T5587">
        <v>-0.2045997</v>
      </c>
      <c r="U5587">
        <v>-0.84478759999999997</v>
      </c>
      <c r="V5587">
        <v>0.25611600000000001</v>
      </c>
      <c r="W5587">
        <v>0.1805368</v>
      </c>
      <c r="X5587">
        <v>0.94963730000000002</v>
      </c>
      <c r="Y5587">
        <v>0.26793050000000002</v>
      </c>
      <c r="Z5587">
        <v>-8.6520480000000007E-3</v>
      </c>
      <c r="AA5587">
        <v>0.96339940000000002</v>
      </c>
      <c r="AB5587">
        <v>27</v>
      </c>
      <c r="AC5587">
        <v>16.640799999999899</v>
      </c>
      <c r="AD5587">
        <v>-1.15999599999999</v>
      </c>
      <c r="AE5587">
        <v>-4.7886899999999901</v>
      </c>
      <c r="AF5587">
        <v>4.6654862773618699</v>
      </c>
      <c r="AG5587">
        <v>-1.15999599999999</v>
      </c>
      <c r="AH5587">
        <v>16.5954162484812</v>
      </c>
      <c r="AI5587">
        <v>93.849630742633096</v>
      </c>
      <c r="AJ5587">
        <v>74.297679770887001</v>
      </c>
      <c r="AK5587">
        <v>17.277736928909999</v>
      </c>
      <c r="AL5587">
        <v>79.598971261065401</v>
      </c>
      <c r="AM5587">
        <v>74.906513259673702</v>
      </c>
      <c r="AN5587">
        <v>0.99999997158076404</v>
      </c>
    </row>
    <row r="5588" spans="1:40" x14ac:dyDescent="0.25">
      <c r="A5588" t="str">
        <f>"20190312173038407"</f>
        <v>20190312173038407</v>
      </c>
      <c r="B5588" t="str">
        <f>"1552383038402903"</f>
        <v>1552383038402903</v>
      </c>
      <c r="C5588" t="s">
        <v>40</v>
      </c>
      <c r="D5588">
        <v>3.6102460000000001</v>
      </c>
      <c r="E5588">
        <v>0.50576069999999995</v>
      </c>
      <c r="F5588" t="s">
        <v>43</v>
      </c>
      <c r="G5588">
        <v>-317.05380000000002</v>
      </c>
      <c r="H5588">
        <v>-0.05</v>
      </c>
      <c r="I5588">
        <v>12.52257</v>
      </c>
      <c r="J5588">
        <v>-333.59679999999997</v>
      </c>
      <c r="K5588">
        <v>1.109996</v>
      </c>
      <c r="L5588">
        <v>17.309629999999999</v>
      </c>
      <c r="M5588">
        <v>0.99989309999999998</v>
      </c>
      <c r="N5588">
        <v>0</v>
      </c>
      <c r="O5588">
        <v>-6.1807040000000004E-3</v>
      </c>
      <c r="P5588">
        <v>0.94989570000000001</v>
      </c>
      <c r="Q5588">
        <v>0.16764849999999901</v>
      </c>
      <c r="R5588">
        <v>-0.26380330000000002</v>
      </c>
      <c r="S5588">
        <v>2.9588930000000002</v>
      </c>
      <c r="T5588">
        <v>-0.2059077</v>
      </c>
      <c r="U5588">
        <v>-0.84988399999999997</v>
      </c>
      <c r="V5588">
        <v>0.25796279999999999</v>
      </c>
      <c r="W5588">
        <v>0.18019579999999999</v>
      </c>
      <c r="X5588">
        <v>0.94920210000000005</v>
      </c>
      <c r="Y5588">
        <v>0.26953359999999998</v>
      </c>
      <c r="Z5588">
        <v>-8.7609929999999999E-3</v>
      </c>
      <c r="AA5588">
        <v>0.96295109999999995</v>
      </c>
      <c r="AB5588">
        <v>27</v>
      </c>
      <c r="AC5588">
        <v>16.5429999999999</v>
      </c>
      <c r="AD5588">
        <v>-1.15999599999999</v>
      </c>
      <c r="AE5588">
        <v>-4.7870599999999897</v>
      </c>
      <c r="AF5588">
        <v>4.6635540093274299</v>
      </c>
      <c r="AG5588">
        <v>-1.15999599999999</v>
      </c>
      <c r="AH5588">
        <v>16.4974264464655</v>
      </c>
      <c r="AI5588">
        <v>93.870861882313704</v>
      </c>
      <c r="AJ5588">
        <v>74.215265694310602</v>
      </c>
      <c r="AK5588">
        <v>17.1831139807216</v>
      </c>
      <c r="AL5588">
        <v>79.618834979880603</v>
      </c>
      <c r="AM5588">
        <v>74.796048485709207</v>
      </c>
      <c r="AN5588">
        <v>0.99999997958294395</v>
      </c>
    </row>
    <row r="5589" spans="1:40" x14ac:dyDescent="0.25">
      <c r="A5589" t="str">
        <f>"20190312173038418"</f>
        <v>20190312173038418</v>
      </c>
      <c r="B5589" t="str">
        <f>"1552383038413639"</f>
        <v>1552383038413639</v>
      </c>
      <c r="C5589" t="s">
        <v>40</v>
      </c>
      <c r="D5589">
        <v>3.6230129999999998</v>
      </c>
      <c r="E5589">
        <v>0.50570619999999999</v>
      </c>
      <c r="F5589" t="s">
        <v>43</v>
      </c>
      <c r="G5589">
        <v>-316.99029999999999</v>
      </c>
      <c r="H5589">
        <v>-0.05</v>
      </c>
      <c r="I5589">
        <v>12.509410000000001</v>
      </c>
      <c r="J5589">
        <v>-333.46339999999998</v>
      </c>
      <c r="K5589">
        <v>1.1099969999999999</v>
      </c>
      <c r="L5589">
        <v>17.30875</v>
      </c>
      <c r="M5589">
        <v>0.99989269999999997</v>
      </c>
      <c r="N5589">
        <v>0</v>
      </c>
      <c r="O5589">
        <v>-6.2258729999999998E-3</v>
      </c>
      <c r="P5589">
        <v>0.94943379999999999</v>
      </c>
      <c r="Q5589">
        <v>0.16744579999999901</v>
      </c>
      <c r="R5589">
        <v>-0.26558910000000002</v>
      </c>
      <c r="S5589">
        <v>2.957306</v>
      </c>
      <c r="T5589">
        <v>-0.20657349999999999</v>
      </c>
      <c r="U5589">
        <v>-0.85482789999999997</v>
      </c>
      <c r="V5589">
        <v>0.25970910000000003</v>
      </c>
      <c r="W5589">
        <v>0.17999789999999999</v>
      </c>
      <c r="X5589">
        <v>0.94876340000000003</v>
      </c>
      <c r="Y5589">
        <v>0.27110570000000001</v>
      </c>
      <c r="Z5589">
        <v>-8.8424469999999998E-3</v>
      </c>
      <c r="AA5589">
        <v>0.96250899999999995</v>
      </c>
      <c r="AB5589">
        <v>27</v>
      </c>
      <c r="AC5589">
        <v>16.473099999999899</v>
      </c>
      <c r="AD5589">
        <v>-1.1599969999999999</v>
      </c>
      <c r="AE5589">
        <v>-4.7993399999999902</v>
      </c>
      <c r="AF5589">
        <v>4.6753091799432198</v>
      </c>
      <c r="AG5589">
        <v>-1.1599969999999999</v>
      </c>
      <c r="AH5589">
        <v>16.427578186028601</v>
      </c>
      <c r="AI5589">
        <v>93.885323024147894</v>
      </c>
      <c r="AJ5589">
        <v>74.113581009766904</v>
      </c>
      <c r="AK5589">
        <v>17.119270838039601</v>
      </c>
      <c r="AL5589">
        <v>79.630362774616003</v>
      </c>
      <c r="AM5589">
        <v>74.691190296926493</v>
      </c>
      <c r="AN5589">
        <v>1.00000002490338</v>
      </c>
    </row>
    <row r="5590" spans="1:40" x14ac:dyDescent="0.25">
      <c r="A5590" t="str">
        <f>"20190312173038428"</f>
        <v>20190312173038428</v>
      </c>
      <c r="B5590" t="str">
        <f>"1552383038423400"</f>
        <v>1552383038423400</v>
      </c>
      <c r="C5590" t="s">
        <v>40</v>
      </c>
      <c r="D5590">
        <v>3.6266150000000001</v>
      </c>
      <c r="E5590">
        <v>0.50562580000000001</v>
      </c>
      <c r="F5590" t="s">
        <v>43</v>
      </c>
      <c r="G5590">
        <v>-316.90530000000001</v>
      </c>
      <c r="H5590">
        <v>-0.05</v>
      </c>
      <c r="I5590">
        <v>12.49248</v>
      </c>
      <c r="J5590">
        <v>-333.34300000000002</v>
      </c>
      <c r="K5590">
        <v>1.1099950000000001</v>
      </c>
      <c r="L5590">
        <v>17.307950000000002</v>
      </c>
      <c r="M5590">
        <v>0.99989220000000001</v>
      </c>
      <c r="N5590">
        <v>0</v>
      </c>
      <c r="O5590">
        <v>-6.2694930000000001E-3</v>
      </c>
      <c r="P5590">
        <v>0.94894650000000003</v>
      </c>
      <c r="Q5590">
        <v>0.16729469999999999</v>
      </c>
      <c r="R5590">
        <v>-0.26741979999999999</v>
      </c>
      <c r="S5590">
        <v>2.9557500000000001</v>
      </c>
      <c r="T5590">
        <v>-0.20706859999999999</v>
      </c>
      <c r="U5590">
        <v>-0.85974119999999998</v>
      </c>
      <c r="V5590">
        <v>0.26150250000000003</v>
      </c>
      <c r="W5590">
        <v>0.179847799999999</v>
      </c>
      <c r="X5590">
        <v>0.94829909999999995</v>
      </c>
      <c r="Y5590">
        <v>0.27266790000000002</v>
      </c>
      <c r="Z5590">
        <v>-8.9166169999999999E-3</v>
      </c>
      <c r="AA5590">
        <v>0.96206689999999995</v>
      </c>
      <c r="AB5590">
        <v>27</v>
      </c>
      <c r="AC5590">
        <v>16.4377</v>
      </c>
      <c r="AD5590">
        <v>-1.1599950000000001</v>
      </c>
      <c r="AE5590">
        <v>-4.8154700000000004</v>
      </c>
      <c r="AF5590">
        <v>4.6907963526726801</v>
      </c>
      <c r="AG5590">
        <v>-1.1599950000000001</v>
      </c>
      <c r="AH5590">
        <v>16.392388081940499</v>
      </c>
      <c r="AI5590">
        <v>93.892038205918993</v>
      </c>
      <c r="AJ5590">
        <v>74.031156359174204</v>
      </c>
      <c r="AK5590">
        <v>17.0897497305027</v>
      </c>
      <c r="AL5590">
        <v>79.639105137682407</v>
      </c>
      <c r="AM5590">
        <v>74.583299194150598</v>
      </c>
      <c r="AN5590">
        <v>0.99999998586594896</v>
      </c>
    </row>
    <row r="5591" spans="1:40" x14ac:dyDescent="0.25">
      <c r="A5591" t="str">
        <f>"20190312173038439"</f>
        <v>20190312173038439</v>
      </c>
      <c r="B5591" t="str">
        <f>"1552383038433159"</f>
        <v>1552383038433159</v>
      </c>
      <c r="C5591" t="s">
        <v>40</v>
      </c>
      <c r="D5591">
        <v>3.6223540000000001</v>
      </c>
      <c r="E5591">
        <v>0.50555039999999996</v>
      </c>
      <c r="F5591" t="s">
        <v>43</v>
      </c>
      <c r="G5591">
        <v>-316.82889999999998</v>
      </c>
      <c r="H5591">
        <v>-0.05</v>
      </c>
      <c r="I5591">
        <v>12.47377</v>
      </c>
      <c r="J5591">
        <v>-333.21350000000001</v>
      </c>
      <c r="K5591">
        <v>1.1099870000000001</v>
      </c>
      <c r="L5591">
        <v>17.30707</v>
      </c>
      <c r="M5591">
        <v>0.99989170000000005</v>
      </c>
      <c r="N5591">
        <v>0</v>
      </c>
      <c r="O5591">
        <v>-6.3193310000000001E-3</v>
      </c>
      <c r="P5591">
        <v>0.9484686</v>
      </c>
      <c r="Q5591">
        <v>0.16718329999999901</v>
      </c>
      <c r="R5591">
        <v>-0.2691788</v>
      </c>
      <c r="S5591">
        <v>2.954285</v>
      </c>
      <c r="T5591">
        <v>-0.2075167</v>
      </c>
      <c r="U5591">
        <v>-0.86480709999999905</v>
      </c>
      <c r="V5591">
        <v>0.26321850000000002</v>
      </c>
      <c r="W5591">
        <v>0.17973800000000001</v>
      </c>
      <c r="X5591">
        <v>0.94784500000000005</v>
      </c>
      <c r="Y5591">
        <v>0.27426139999999999</v>
      </c>
      <c r="Z5591">
        <v>-8.9893460000000005E-3</v>
      </c>
      <c r="AA5591">
        <v>0.96161319999999995</v>
      </c>
      <c r="AB5591">
        <v>27</v>
      </c>
      <c r="AC5591">
        <v>16.384599999999999</v>
      </c>
      <c r="AD5591">
        <v>-1.1599870000000001</v>
      </c>
      <c r="AE5591">
        <v>-4.8333000000000004</v>
      </c>
      <c r="AF5591">
        <v>4.7079461704923302</v>
      </c>
      <c r="AG5591">
        <v>-1.1599870000000001</v>
      </c>
      <c r="AH5591">
        <v>16.3394770052806</v>
      </c>
      <c r="AI5591">
        <v>93.902535695378205</v>
      </c>
      <c r="AJ5591">
        <v>73.926551232344096</v>
      </c>
      <c r="AK5591">
        <v>17.043733035650298</v>
      </c>
      <c r="AL5591">
        <v>79.645499903820905</v>
      </c>
      <c r="AM5591">
        <v>74.479917132347296</v>
      </c>
      <c r="AN5591">
        <v>0.99999993570562296</v>
      </c>
    </row>
    <row r="5592" spans="1:40" x14ac:dyDescent="0.25">
      <c r="A5592" t="str">
        <f>"20190312173038449"</f>
        <v>20190312173038449</v>
      </c>
      <c r="B5592" t="str">
        <f>"1552383038442919"</f>
        <v>1552383038442919</v>
      </c>
      <c r="C5592" t="s">
        <v>40</v>
      </c>
      <c r="D5592">
        <v>3.6314160000000002</v>
      </c>
      <c r="E5592">
        <v>0.50547710000000001</v>
      </c>
      <c r="F5592" t="s">
        <v>43</v>
      </c>
      <c r="G5592">
        <v>-316.72980000000001</v>
      </c>
      <c r="H5592">
        <v>-0.05</v>
      </c>
      <c r="I5592">
        <v>12.45288</v>
      </c>
      <c r="J5592">
        <v>-333.09210000000002</v>
      </c>
      <c r="K5592">
        <v>1.1099859999999999</v>
      </c>
      <c r="L5592">
        <v>17.306270000000001</v>
      </c>
      <c r="M5592">
        <v>0.99989119999999998</v>
      </c>
      <c r="N5592">
        <v>0</v>
      </c>
      <c r="O5592">
        <v>-6.3710879999999996E-3</v>
      </c>
      <c r="P5592">
        <v>0.94804409999999895</v>
      </c>
      <c r="Q5592">
        <v>0.16675470000000001</v>
      </c>
      <c r="R5592">
        <v>-0.2709337</v>
      </c>
      <c r="S5592">
        <v>2.9528500000000002</v>
      </c>
      <c r="T5592">
        <v>-0.20779800000000001</v>
      </c>
      <c r="U5592">
        <v>-0.86956789999999995</v>
      </c>
      <c r="V5592">
        <v>0.26492919999999998</v>
      </c>
      <c r="W5592">
        <v>0.17930879999999999</v>
      </c>
      <c r="X5592">
        <v>0.94744969999999995</v>
      </c>
      <c r="Y5592">
        <v>0.27575919999999998</v>
      </c>
      <c r="Z5592">
        <v>-9.0516829999999996E-3</v>
      </c>
      <c r="AA5592">
        <v>0.96118409999999999</v>
      </c>
      <c r="AB5592">
        <v>27</v>
      </c>
      <c r="AC5592">
        <v>16.362300000000001</v>
      </c>
      <c r="AD5592">
        <v>-1.159986</v>
      </c>
      <c r="AE5592">
        <v>-4.8533900000000001</v>
      </c>
      <c r="AF5592">
        <v>4.7271993291630201</v>
      </c>
      <c r="AG5592">
        <v>-1.159986</v>
      </c>
      <c r="AH5592">
        <v>16.3175133084811</v>
      </c>
      <c r="AI5592">
        <v>93.906140716082803</v>
      </c>
      <c r="AJ5592">
        <v>73.843646623353607</v>
      </c>
      <c r="AK5592">
        <v>17.028012849134601</v>
      </c>
      <c r="AL5592">
        <v>79.670498359378897</v>
      </c>
      <c r="AM5592">
        <v>74.377759144559903</v>
      </c>
      <c r="AN5592">
        <v>1.00000003040008</v>
      </c>
    </row>
    <row r="5593" spans="1:40" x14ac:dyDescent="0.25">
      <c r="A5593" t="str">
        <f>"20190312173038460"</f>
        <v>20190312173038460</v>
      </c>
      <c r="B5593" t="str">
        <f>"1552383038453188"</f>
        <v>1552383038453188</v>
      </c>
      <c r="C5593" t="s">
        <v>40</v>
      </c>
      <c r="D5593">
        <v>3.6274350000000002</v>
      </c>
      <c r="E5593">
        <v>0.50541469999999999</v>
      </c>
      <c r="F5593" t="s">
        <v>43</v>
      </c>
      <c r="G5593">
        <v>-316.71690000000001</v>
      </c>
      <c r="H5593">
        <v>-0.05</v>
      </c>
      <c r="I5593">
        <v>12.45364</v>
      </c>
      <c r="J5593">
        <v>-332.95609999999999</v>
      </c>
      <c r="K5593">
        <v>1.1099779999999999</v>
      </c>
      <c r="L5593">
        <v>17.305329999999898</v>
      </c>
      <c r="M5593">
        <v>0.99989079999999997</v>
      </c>
      <c r="N5593">
        <v>0</v>
      </c>
      <c r="O5593">
        <v>-6.4336080000000004E-3</v>
      </c>
      <c r="P5593">
        <v>0.9474728</v>
      </c>
      <c r="Q5593">
        <v>0.16687379999999999</v>
      </c>
      <c r="R5593">
        <v>-0.27285300000000001</v>
      </c>
      <c r="S5593">
        <v>2.9512330000000002</v>
      </c>
      <c r="T5593">
        <v>-0.20905969999999999</v>
      </c>
      <c r="U5593">
        <v>-0.87457280000000004</v>
      </c>
      <c r="V5593">
        <v>0.26679570000000002</v>
      </c>
      <c r="W5593">
        <v>0.17942469999999999</v>
      </c>
      <c r="X5593">
        <v>0.94690379999999996</v>
      </c>
      <c r="Y5593">
        <v>0.2773294</v>
      </c>
      <c r="Z5593">
        <v>-9.1592070000000008E-3</v>
      </c>
      <c r="AA5593">
        <v>0.96073120000000001</v>
      </c>
      <c r="AB5593">
        <v>27</v>
      </c>
      <c r="AC5593">
        <v>16.239199999999901</v>
      </c>
      <c r="AD5593">
        <v>-1.159978</v>
      </c>
      <c r="AE5593">
        <v>-4.8516899999999898</v>
      </c>
      <c r="AF5593">
        <v>4.7249708034689499</v>
      </c>
      <c r="AG5593">
        <v>-1.159978</v>
      </c>
      <c r="AH5593">
        <v>16.1942229414088</v>
      </c>
      <c r="AI5593">
        <v>93.933584505849495</v>
      </c>
      <c r="AJ5593">
        <v>73.734396514683795</v>
      </c>
      <c r="AK5593">
        <v>16.909280136368</v>
      </c>
      <c r="AL5593">
        <v>79.663747859787193</v>
      </c>
      <c r="AM5593">
        <v>74.264506355533499</v>
      </c>
      <c r="AN5593">
        <v>0.99999998748150898</v>
      </c>
    </row>
    <row r="5594" spans="1:40" x14ac:dyDescent="0.25">
      <c r="A5594" t="str">
        <f>"20190312173038471"</f>
        <v>20190312173038471</v>
      </c>
      <c r="B5594" t="str">
        <f>"1552383038462948"</f>
        <v>1552383038462948</v>
      </c>
      <c r="C5594" t="s">
        <v>40</v>
      </c>
      <c r="D5594">
        <v>3.6354060000000001</v>
      </c>
      <c r="E5594">
        <v>0.50535959999999902</v>
      </c>
      <c r="F5594" t="s">
        <v>43</v>
      </c>
      <c r="G5594">
        <v>-316.55079999999998</v>
      </c>
      <c r="H5594">
        <v>-0.05</v>
      </c>
      <c r="I5594">
        <v>12.408799999999999</v>
      </c>
      <c r="J5594">
        <v>-332.82510000000002</v>
      </c>
      <c r="K5594">
        <v>1.109974</v>
      </c>
      <c r="L5594">
        <v>17.304410000000001</v>
      </c>
      <c r="M5594">
        <v>0.99989030000000001</v>
      </c>
      <c r="N5594">
        <v>0</v>
      </c>
      <c r="O5594">
        <v>-6.5033069999999998E-3</v>
      </c>
      <c r="P5594">
        <v>0.94701310000000005</v>
      </c>
      <c r="Q5594">
        <v>0.16652629999999999</v>
      </c>
      <c r="R5594">
        <v>-0.27465509999999999</v>
      </c>
      <c r="S5594">
        <v>2.9494929999999999</v>
      </c>
      <c r="T5594">
        <v>-0.20855119999999999</v>
      </c>
      <c r="U5594">
        <v>-0.88034059999999903</v>
      </c>
      <c r="V5594">
        <v>0.26853840000000001</v>
      </c>
      <c r="W5594">
        <v>0.17907239999999999</v>
      </c>
      <c r="X5594">
        <v>0.94647780000000004</v>
      </c>
      <c r="Y5594">
        <v>0.27914109999999998</v>
      </c>
      <c r="Z5594">
        <v>-9.1974450000000003E-3</v>
      </c>
      <c r="AA5594">
        <v>0.960206</v>
      </c>
      <c r="AB5594">
        <v>27</v>
      </c>
      <c r="AC5594">
        <v>16.2743</v>
      </c>
      <c r="AD5594">
        <v>-1.1599740000000001</v>
      </c>
      <c r="AE5594">
        <v>-4.8956099999999996</v>
      </c>
      <c r="AF5594">
        <v>4.7674499518323303</v>
      </c>
      <c r="AG5594">
        <v>-1.1599740000000001</v>
      </c>
      <c r="AH5594">
        <v>16.230183881350801</v>
      </c>
      <c r="AI5594">
        <v>93.922804006350106</v>
      </c>
      <c r="AJ5594">
        <v>73.630390395327098</v>
      </c>
      <c r="AK5594">
        <v>16.9556181705758</v>
      </c>
      <c r="AL5594">
        <v>79.684265718632105</v>
      </c>
      <c r="AM5594">
        <v>74.160091767199404</v>
      </c>
      <c r="AN5594">
        <v>1.0000000113045799</v>
      </c>
    </row>
    <row r="5595" spans="1:40" x14ac:dyDescent="0.25">
      <c r="A5595" t="str">
        <f>"20190312173038481"</f>
        <v>20190312173038481</v>
      </c>
      <c r="B5595" t="str">
        <f>"1552383038473685"</f>
        <v>1552383038473685</v>
      </c>
      <c r="C5595" t="s">
        <v>40</v>
      </c>
      <c r="D5595">
        <v>3.6530330000000002</v>
      </c>
      <c r="E5595">
        <v>0.50528869999999904</v>
      </c>
      <c r="F5595" t="s">
        <v>43</v>
      </c>
      <c r="G5595">
        <v>-316.50569999999999</v>
      </c>
      <c r="H5595">
        <v>-0.05</v>
      </c>
      <c r="I5595">
        <v>12.40286</v>
      </c>
      <c r="J5595">
        <v>-332.69040000000001</v>
      </c>
      <c r="K5595">
        <v>1.1099699999999999</v>
      </c>
      <c r="L5595">
        <v>17.303470000000001</v>
      </c>
      <c r="M5595">
        <v>0.99988969999999999</v>
      </c>
      <c r="N5595">
        <v>0</v>
      </c>
      <c r="O5595">
        <v>-6.5791060000000004E-3</v>
      </c>
      <c r="P5595">
        <v>0.94658439999999999</v>
      </c>
      <c r="Q5595">
        <v>0.16647129999999999</v>
      </c>
      <c r="R5595">
        <v>-0.27616180000000001</v>
      </c>
      <c r="S5595">
        <v>2.9479060000000001</v>
      </c>
      <c r="T5595">
        <v>-0.2095351</v>
      </c>
      <c r="U5595">
        <v>-0.88540649999999999</v>
      </c>
      <c r="V5595">
        <v>0.26998050000000001</v>
      </c>
      <c r="W5595">
        <v>0.1790128</v>
      </c>
      <c r="X5595">
        <v>0.94607870000000005</v>
      </c>
      <c r="Y5595">
        <v>0.28071430000000003</v>
      </c>
      <c r="Z5595">
        <v>-9.2926450000000004E-3</v>
      </c>
      <c r="AA5595">
        <v>0.9597464</v>
      </c>
      <c r="AB5595">
        <v>27</v>
      </c>
      <c r="AC5595">
        <v>16.184699999999999</v>
      </c>
      <c r="AD5595">
        <v>-1.1599699999999999</v>
      </c>
      <c r="AE5595">
        <v>-4.9006099999999897</v>
      </c>
      <c r="AF5595">
        <v>4.7715619827831599</v>
      </c>
      <c r="AG5595">
        <v>-1.1599699999999999</v>
      </c>
      <c r="AH5595">
        <v>16.140647534154699</v>
      </c>
      <c r="AI5595">
        <v>93.942474466023398</v>
      </c>
      <c r="AJ5595">
        <v>73.531058682925703</v>
      </c>
      <c r="AK5595">
        <v>16.871094717837899</v>
      </c>
      <c r="AL5595">
        <v>79.687736303667293</v>
      </c>
      <c r="AM5595">
        <v>74.072953916287403</v>
      </c>
      <c r="AN5595">
        <v>0.99999997976888899</v>
      </c>
    </row>
    <row r="5596" spans="1:40" x14ac:dyDescent="0.25">
      <c r="A5596" t="str">
        <f>"20190312173038493"</f>
        <v>20190312173038493</v>
      </c>
      <c r="B5596" t="str">
        <f>"1552383038483444"</f>
        <v>1552383038483444</v>
      </c>
      <c r="C5596" t="s">
        <v>40</v>
      </c>
      <c r="D5596">
        <v>3.641972</v>
      </c>
      <c r="E5596">
        <v>0.50522029999999996</v>
      </c>
      <c r="F5596" t="s">
        <v>43</v>
      </c>
      <c r="G5596">
        <v>-316.38369999999998</v>
      </c>
      <c r="H5596">
        <v>-0.05</v>
      </c>
      <c r="I5596">
        <v>12.37842</v>
      </c>
      <c r="J5596">
        <v>-332.55279999999999</v>
      </c>
      <c r="K5596">
        <v>1.1099570000000001</v>
      </c>
      <c r="L5596">
        <v>17.30246</v>
      </c>
      <c r="M5596">
        <v>0.99988889999999997</v>
      </c>
      <c r="N5596">
        <v>0</v>
      </c>
      <c r="O5596">
        <v>-6.6730790000000002E-3</v>
      </c>
      <c r="P5596">
        <v>0.94606040000000002</v>
      </c>
      <c r="Q5596">
        <v>0.16652220000000001</v>
      </c>
      <c r="R5596">
        <v>-0.27792149999999999</v>
      </c>
      <c r="S5596">
        <v>2.9465029999999999</v>
      </c>
      <c r="T5596">
        <v>-0.20959900000000001</v>
      </c>
      <c r="U5596">
        <v>-0.88992309999999997</v>
      </c>
      <c r="V5596">
        <v>0.27166040000000002</v>
      </c>
      <c r="W5596">
        <v>0.17905409999999999</v>
      </c>
      <c r="X5596">
        <v>0.94558989999999998</v>
      </c>
      <c r="Y5596">
        <v>0.28209489999999998</v>
      </c>
      <c r="Z5596">
        <v>-9.3391489999999997E-3</v>
      </c>
      <c r="AA5596">
        <v>0.959341</v>
      </c>
      <c r="AB5596">
        <v>27</v>
      </c>
      <c r="AC5596">
        <v>16.1691</v>
      </c>
      <c r="AD5596">
        <v>-1.1599569999999999</v>
      </c>
      <c r="AE5596">
        <v>-4.9240399999999998</v>
      </c>
      <c r="AF5596">
        <v>4.7934472947076001</v>
      </c>
      <c r="AG5596">
        <v>-1.1599569999999999</v>
      </c>
      <c r="AH5596">
        <v>16.125654075973401</v>
      </c>
      <c r="AI5596">
        <v>93.944335496088897</v>
      </c>
      <c r="AJ5596">
        <v>73.445103093583796</v>
      </c>
      <c r="AK5596">
        <v>16.862958120891701</v>
      </c>
      <c r="AL5596">
        <v>79.685331352171204</v>
      </c>
      <c r="AM5596">
        <v>73.971065729788194</v>
      </c>
      <c r="AN5596">
        <v>1.00000000131849</v>
      </c>
    </row>
    <row r="5597" spans="1:40" x14ac:dyDescent="0.25">
      <c r="A5597" t="str">
        <f>"20190312173038505"</f>
        <v>20190312173038505</v>
      </c>
      <c r="B5597" t="str">
        <f>"1552383038493204"</f>
        <v>1552383038493204</v>
      </c>
      <c r="C5597" t="s">
        <v>40</v>
      </c>
      <c r="D5597">
        <v>3.645505</v>
      </c>
      <c r="E5597">
        <v>0.50516689999999997</v>
      </c>
      <c r="F5597" t="s">
        <v>43</v>
      </c>
      <c r="G5597">
        <v>-316.24110000000002</v>
      </c>
      <c r="H5597">
        <v>-0.05</v>
      </c>
      <c r="I5597">
        <v>12.3452</v>
      </c>
      <c r="J5597">
        <v>-332.40429999999998</v>
      </c>
      <c r="K5597">
        <v>1.109942</v>
      </c>
      <c r="L5597">
        <v>17.301359999999999</v>
      </c>
      <c r="M5597">
        <v>0.99988809999999995</v>
      </c>
      <c r="N5597">
        <v>0</v>
      </c>
      <c r="O5597">
        <v>-6.7813989999999996E-3</v>
      </c>
      <c r="P5597">
        <v>0.94553169999999997</v>
      </c>
      <c r="Q5597">
        <v>0.1663559</v>
      </c>
      <c r="R5597">
        <v>-0.2798139</v>
      </c>
      <c r="S5597">
        <v>2.9449160000000001</v>
      </c>
      <c r="T5597">
        <v>-0.20941889999999999</v>
      </c>
      <c r="U5597">
        <v>-0.89498899999999904</v>
      </c>
      <c r="V5597">
        <v>0.273460799999999</v>
      </c>
      <c r="W5597">
        <v>0.178876799999999</v>
      </c>
      <c r="X5597">
        <v>0.94510439999999996</v>
      </c>
      <c r="Y5597">
        <v>0.28364270000000003</v>
      </c>
      <c r="Z5597">
        <v>-9.3799090000000005E-3</v>
      </c>
      <c r="AA5597">
        <v>0.95888419999999996</v>
      </c>
      <c r="AB5597">
        <v>27</v>
      </c>
      <c r="AC5597">
        <v>16.1631999999999</v>
      </c>
      <c r="AD5597">
        <v>-1.159942</v>
      </c>
      <c r="AE5597">
        <v>-4.9561599999999899</v>
      </c>
      <c r="AF5597">
        <v>4.8237194569712001</v>
      </c>
      <c r="AG5597">
        <v>-1.159942</v>
      </c>
      <c r="AH5597">
        <v>16.120553300286499</v>
      </c>
      <c r="AI5597">
        <v>93.943405175745795</v>
      </c>
      <c r="AJ5597">
        <v>73.3413492956401</v>
      </c>
      <c r="AK5597">
        <v>16.866711995830901</v>
      </c>
      <c r="AL5597">
        <v>79.695656815000106</v>
      </c>
      <c r="AM5597">
        <v>73.8624886586543</v>
      </c>
      <c r="AN5597">
        <v>1.00000002280711</v>
      </c>
    </row>
    <row r="5598" spans="1:40" x14ac:dyDescent="0.25">
      <c r="A5598" t="str">
        <f>"20190312173038527"</f>
        <v>20190312173038527</v>
      </c>
      <c r="B5598" t="str">
        <f>"1552383038523460"</f>
        <v>1552383038523460</v>
      </c>
      <c r="C5598" t="s">
        <v>40</v>
      </c>
      <c r="D5598">
        <v>3.668917</v>
      </c>
      <c r="E5598">
        <v>0.50501609999999997</v>
      </c>
      <c r="F5598" t="s">
        <v>43</v>
      </c>
      <c r="G5598">
        <v>-316.15249999999997</v>
      </c>
      <c r="H5598">
        <v>-0.05</v>
      </c>
      <c r="I5598">
        <v>12.33051</v>
      </c>
      <c r="J5598">
        <v>-332.14350000000002</v>
      </c>
      <c r="K5598">
        <v>1.1099110000000001</v>
      </c>
      <c r="L5598">
        <v>17.29935</v>
      </c>
      <c r="M5598">
        <v>0.99988639999999995</v>
      </c>
      <c r="N5598">
        <v>0</v>
      </c>
      <c r="O5598">
        <v>-7.0178569999999997E-3</v>
      </c>
      <c r="P5598">
        <v>0.94455080000000002</v>
      </c>
      <c r="Q5598">
        <v>0.16636579999999901</v>
      </c>
      <c r="R5598">
        <v>-0.28310210000000002</v>
      </c>
      <c r="S5598">
        <v>2.9433590000000001</v>
      </c>
      <c r="T5598">
        <v>-0.21007680000000001</v>
      </c>
      <c r="U5598">
        <v>-0.90026859999999997</v>
      </c>
      <c r="V5598">
        <v>0.27654709999999899</v>
      </c>
      <c r="W5598">
        <v>0.17886079999999999</v>
      </c>
      <c r="X5598">
        <v>0.94420890000000002</v>
      </c>
      <c r="Y5598">
        <v>0.28512310000000002</v>
      </c>
      <c r="Z5598">
        <v>-9.4467749999999993E-3</v>
      </c>
      <c r="AA5598">
        <v>0.95844439999999997</v>
      </c>
      <c r="AB5598">
        <v>27</v>
      </c>
      <c r="AC5598">
        <v>15.991</v>
      </c>
      <c r="AD5598">
        <v>-1.1599109999999999</v>
      </c>
      <c r="AE5598">
        <v>-4.9688400000000001</v>
      </c>
      <c r="AF5598">
        <v>4.8332944629010903</v>
      </c>
      <c r="AG5598">
        <v>-1.1599109999999999</v>
      </c>
      <c r="AH5598">
        <v>15.9489552121305</v>
      </c>
      <c r="AI5598">
        <v>93.981403235726702</v>
      </c>
      <c r="AJ5598">
        <v>73.140687413296007</v>
      </c>
      <c r="AK5598">
        <v>16.705547020423399</v>
      </c>
      <c r="AL5598">
        <v>79.696587977780595</v>
      </c>
      <c r="AM5598">
        <v>73.675345367395295</v>
      </c>
      <c r="AN5598">
        <v>0.999999965567129</v>
      </c>
    </row>
    <row r="5599" spans="1:40" x14ac:dyDescent="0.25">
      <c r="A5599" t="str">
        <f>"20190312173038536"</f>
        <v>20190312173038536</v>
      </c>
      <c r="B5599" t="str">
        <f>"1552383038533220"</f>
        <v>1552383038533220</v>
      </c>
      <c r="C5599" t="s">
        <v>40</v>
      </c>
      <c r="D5599">
        <v>3.60284</v>
      </c>
      <c r="E5599">
        <v>0.50494680000000003</v>
      </c>
      <c r="F5599" t="s">
        <v>43</v>
      </c>
      <c r="G5599">
        <v>-315.90629999999999</v>
      </c>
      <c r="H5599">
        <v>-0.05</v>
      </c>
      <c r="I5599">
        <v>12.278930000000001</v>
      </c>
      <c r="J5599">
        <v>-332.0206</v>
      </c>
      <c r="K5599">
        <v>1.109888</v>
      </c>
      <c r="L5599">
        <v>17.29834</v>
      </c>
      <c r="M5599">
        <v>0.99988540000000004</v>
      </c>
      <c r="N5599">
        <v>0</v>
      </c>
      <c r="O5599">
        <v>-7.1478949999999996E-3</v>
      </c>
      <c r="P5599">
        <v>0.94409790000000005</v>
      </c>
      <c r="Q5599">
        <v>0.16613739999999999</v>
      </c>
      <c r="R5599">
        <v>-0.28474169999999999</v>
      </c>
      <c r="S5599">
        <v>2.9406129999999999</v>
      </c>
      <c r="T5599">
        <v>-0.21006369999999999</v>
      </c>
      <c r="U5599">
        <v>-0.90921019999999997</v>
      </c>
      <c r="V5599">
        <v>0.27807470000000001</v>
      </c>
      <c r="W5599">
        <v>0.17861830000000001</v>
      </c>
      <c r="X5599">
        <v>0.94380609999999998</v>
      </c>
      <c r="Y5599">
        <v>0.28790349999999998</v>
      </c>
      <c r="Z5599">
        <v>-9.5383529999999994E-3</v>
      </c>
      <c r="AA5599">
        <v>0.95761189999999996</v>
      </c>
      <c r="AB5599">
        <v>27</v>
      </c>
      <c r="AC5599">
        <v>16.1143</v>
      </c>
      <c r="AD5599">
        <v>-1.159888</v>
      </c>
      <c r="AE5599">
        <v>-5.0194099999999899</v>
      </c>
      <c r="AF5599">
        <v>4.8810363659824398</v>
      </c>
      <c r="AG5599">
        <v>-1.159888</v>
      </c>
      <c r="AH5599">
        <v>16.0738572404459</v>
      </c>
      <c r="AI5599">
        <v>93.949812897817196</v>
      </c>
      <c r="AJ5599">
        <v>73.108402915599896</v>
      </c>
      <c r="AK5599">
        <v>16.8386086944505</v>
      </c>
      <c r="AL5599">
        <v>79.710709921238603</v>
      </c>
      <c r="AM5599">
        <v>73.583383054536299</v>
      </c>
      <c r="AN5599">
        <v>0.99999999513609406</v>
      </c>
    </row>
    <row r="5600" spans="1:40" x14ac:dyDescent="0.25">
      <c r="A5600" t="str">
        <f>"20190312173038549"</f>
        <v>20190312173038549</v>
      </c>
      <c r="B5600" t="str">
        <f>"1552383038542980"</f>
        <v>1552383038542980</v>
      </c>
      <c r="C5600" t="s">
        <v>40</v>
      </c>
      <c r="D5600">
        <v>3.6322809999999999</v>
      </c>
      <c r="E5600">
        <v>0.50487119999999996</v>
      </c>
      <c r="F5600" t="s">
        <v>43</v>
      </c>
      <c r="G5600">
        <v>-315.84890000000001</v>
      </c>
      <c r="H5600">
        <v>-0.05</v>
      </c>
      <c r="I5600">
        <v>12.2713</v>
      </c>
      <c r="J5600">
        <v>-331.87</v>
      </c>
      <c r="K5600">
        <v>1.109872</v>
      </c>
      <c r="L5600">
        <v>17.297090000000001</v>
      </c>
      <c r="M5600">
        <v>0.99988390000000005</v>
      </c>
      <c r="N5600">
        <v>0</v>
      </c>
      <c r="O5600">
        <v>-7.3216469999999997E-3</v>
      </c>
      <c r="P5600">
        <v>0.94364139999999996</v>
      </c>
      <c r="Q5600">
        <v>0.16610129999999901</v>
      </c>
      <c r="R5600">
        <v>-0.28627140000000001</v>
      </c>
      <c r="S5600">
        <v>2.939209</v>
      </c>
      <c r="T5600">
        <v>-0.21080960000000001</v>
      </c>
      <c r="U5600">
        <v>-0.91366579999999997</v>
      </c>
      <c r="V5600">
        <v>0.27945350000000002</v>
      </c>
      <c r="W5600">
        <v>0.17856569999999999</v>
      </c>
      <c r="X5600">
        <v>0.94340869999999999</v>
      </c>
      <c r="Y5600">
        <v>0.28918290000000002</v>
      </c>
      <c r="Z5600">
        <v>-9.6070210000000003E-3</v>
      </c>
      <c r="AA5600">
        <v>0.95722569999999996</v>
      </c>
      <c r="AB5600">
        <v>27</v>
      </c>
      <c r="AC5600">
        <v>16.021099999999901</v>
      </c>
      <c r="AD5600">
        <v>-1.159872</v>
      </c>
      <c r="AE5600">
        <v>-5.0257899999999998</v>
      </c>
      <c r="AF5600">
        <v>4.8850340773821603</v>
      </c>
      <c r="AG5600">
        <v>-1.159872</v>
      </c>
      <c r="AH5600">
        <v>15.9812134269891</v>
      </c>
      <c r="AI5600">
        <v>93.970363497388405</v>
      </c>
      <c r="AJ5600">
        <v>73.002994164031804</v>
      </c>
      <c r="AK5600">
        <v>16.7513594550575</v>
      </c>
      <c r="AL5600">
        <v>79.713772677284098</v>
      </c>
      <c r="AM5600">
        <v>73.499826256996897</v>
      </c>
      <c r="AN5600">
        <v>0.99999997155721398</v>
      </c>
    </row>
    <row r="5601" spans="1:40" x14ac:dyDescent="0.25">
      <c r="A5601" t="str">
        <f>"20190312173038559"</f>
        <v>20190312173038559</v>
      </c>
      <c r="B5601" t="str">
        <f>"1552383038553715"</f>
        <v>1552383038553715</v>
      </c>
      <c r="C5601" t="s">
        <v>40</v>
      </c>
      <c r="D5601">
        <v>3.5973579999999998</v>
      </c>
      <c r="E5601">
        <v>0.50482709999999997</v>
      </c>
      <c r="F5601" t="s">
        <v>43</v>
      </c>
      <c r="G5601">
        <v>-315.70190000000002</v>
      </c>
      <c r="H5601">
        <v>-0.05</v>
      </c>
      <c r="I5601">
        <v>12.24525</v>
      </c>
      <c r="J5601">
        <v>-331.74340000000001</v>
      </c>
      <c r="K5601">
        <v>1.1098520000000001</v>
      </c>
      <c r="L5601">
        <v>17.29599</v>
      </c>
      <c r="M5601">
        <v>0.99988279999999996</v>
      </c>
      <c r="N5601">
        <v>0</v>
      </c>
      <c r="O5601">
        <v>-7.480319E-3</v>
      </c>
      <c r="P5601">
        <v>0.94310590000000005</v>
      </c>
      <c r="Q5601">
        <v>0.16621349999999999</v>
      </c>
      <c r="R5601">
        <v>-0.2879659</v>
      </c>
      <c r="S5601">
        <v>2.937805</v>
      </c>
      <c r="T5601">
        <v>-0.21075340000000001</v>
      </c>
      <c r="U5601">
        <v>-0.91793820000000004</v>
      </c>
      <c r="V5601">
        <v>0.2810106</v>
      </c>
      <c r="W5601">
        <v>0.17866089999999901</v>
      </c>
      <c r="X5601">
        <v>0.94292810000000005</v>
      </c>
      <c r="Y5601">
        <v>0.29042669999999998</v>
      </c>
      <c r="Z5601">
        <v>-9.6392439999999999E-3</v>
      </c>
      <c r="AA5601">
        <v>0.9568487</v>
      </c>
      <c r="AB5601">
        <v>27</v>
      </c>
      <c r="AC5601">
        <v>16.0414999999999</v>
      </c>
      <c r="AD5601">
        <v>-1.1598520000000001</v>
      </c>
      <c r="AE5601">
        <v>-5.0507399999999896</v>
      </c>
      <c r="AF5601">
        <v>4.90725229627584</v>
      </c>
      <c r="AG5601">
        <v>-1.1598520000000001</v>
      </c>
      <c r="AH5601">
        <v>16.0027226590026</v>
      </c>
      <c r="AI5601">
        <v>93.963894456818295</v>
      </c>
      <c r="AJ5601">
        <v>72.951784954929593</v>
      </c>
      <c r="AK5601">
        <v>16.778364469225298</v>
      </c>
      <c r="AL5601">
        <v>79.708229665214304</v>
      </c>
      <c r="AM5601">
        <v>73.4049374240102</v>
      </c>
      <c r="AN5601">
        <v>1.00000003813538</v>
      </c>
    </row>
    <row r="5602" spans="1:40" x14ac:dyDescent="0.25">
      <c r="A5602" t="str">
        <f>"20190312173038571"</f>
        <v>20190312173038571</v>
      </c>
      <c r="B5602" t="str">
        <f>"1552383038563476"</f>
        <v>1552383038563476</v>
      </c>
      <c r="C5602" t="s">
        <v>40</v>
      </c>
      <c r="D5602">
        <v>3.6421450000000002</v>
      </c>
      <c r="E5602">
        <v>0.50475639999999999</v>
      </c>
      <c r="F5602" t="s">
        <v>43</v>
      </c>
      <c r="G5602">
        <v>-315.58960000000002</v>
      </c>
      <c r="H5602">
        <v>-0.05</v>
      </c>
      <c r="I5602">
        <v>12.21669</v>
      </c>
      <c r="J5602">
        <v>-331.60359999999997</v>
      </c>
      <c r="K5602">
        <v>1.109823</v>
      </c>
      <c r="L5602">
        <v>17.29477</v>
      </c>
      <c r="M5602">
        <v>0.99988109999999997</v>
      </c>
      <c r="N5602">
        <v>0</v>
      </c>
      <c r="O5602">
        <v>-7.6831950000000003E-3</v>
      </c>
      <c r="P5602">
        <v>0.94262480000000004</v>
      </c>
      <c r="Q5602">
        <v>0.16569120000000001</v>
      </c>
      <c r="R5602">
        <v>-0.28983579999999998</v>
      </c>
      <c r="S5602">
        <v>2.9362180000000002</v>
      </c>
      <c r="T5602">
        <v>-0.2108225</v>
      </c>
      <c r="U5602">
        <v>-0.92324830000000002</v>
      </c>
      <c r="V5602">
        <v>0.28270329999999999</v>
      </c>
      <c r="W5602">
        <v>0.1781181</v>
      </c>
      <c r="X5602">
        <v>0.94252469999999999</v>
      </c>
      <c r="Y5602">
        <v>0.29195130000000002</v>
      </c>
      <c r="Z5602">
        <v>-9.6839969999999997E-3</v>
      </c>
      <c r="AA5602">
        <v>0.95638420000000002</v>
      </c>
      <c r="AB5602">
        <v>27</v>
      </c>
      <c r="AC5602">
        <v>16.0139999999999</v>
      </c>
      <c r="AD5602">
        <v>-1.159823</v>
      </c>
      <c r="AE5602">
        <v>-5.0780799999999999</v>
      </c>
      <c r="AF5602">
        <v>4.9313764694792104</v>
      </c>
      <c r="AG5602">
        <v>-1.159823</v>
      </c>
      <c r="AH5602">
        <v>15.976399864902</v>
      </c>
      <c r="AI5602">
        <v>93.968064638474203</v>
      </c>
      <c r="AJ5602">
        <v>72.846305010868704</v>
      </c>
      <c r="AK5602">
        <v>16.7603405668949</v>
      </c>
      <c r="AL5602">
        <v>79.739836519700305</v>
      </c>
      <c r="AM5602">
        <v>73.303773547493705</v>
      </c>
      <c r="AN5602">
        <v>1.00000001174429</v>
      </c>
    </row>
    <row r="5603" spans="1:40" x14ac:dyDescent="0.25">
      <c r="A5603" t="str">
        <f>"20190312173038582"</f>
        <v>20190312173038582</v>
      </c>
      <c r="B5603" t="str">
        <f>"1552383038573236"</f>
        <v>1552383038573236</v>
      </c>
      <c r="C5603" t="s">
        <v>40</v>
      </c>
      <c r="D5603">
        <v>3.6296659999999998</v>
      </c>
      <c r="E5603">
        <v>0.50469830000000004</v>
      </c>
      <c r="F5603" t="s">
        <v>43</v>
      </c>
      <c r="G5603">
        <v>-315.5847</v>
      </c>
      <c r="H5603">
        <v>-0.05</v>
      </c>
      <c r="I5603">
        <v>12.223739999999999</v>
      </c>
      <c r="J5603">
        <v>-331.464</v>
      </c>
      <c r="K5603">
        <v>1.1098030000000001</v>
      </c>
      <c r="L5603">
        <v>17.29346</v>
      </c>
      <c r="M5603">
        <v>0.99987950000000003</v>
      </c>
      <c r="N5603">
        <v>0</v>
      </c>
      <c r="O5603">
        <v>-7.8981390000000002E-3</v>
      </c>
      <c r="P5603">
        <v>0.94217070000000003</v>
      </c>
      <c r="Q5603">
        <v>0.16549330000000001</v>
      </c>
      <c r="R5603">
        <v>-0.29142170000000001</v>
      </c>
      <c r="S5603">
        <v>2.9342959999999998</v>
      </c>
      <c r="T5603">
        <v>-0.21245310000000001</v>
      </c>
      <c r="U5603">
        <v>-0.928894</v>
      </c>
      <c r="V5603">
        <v>0.2841013</v>
      </c>
      <c r="W5603">
        <v>0.17789940000000001</v>
      </c>
      <c r="X5603">
        <v>0.94214560000000003</v>
      </c>
      <c r="Y5603">
        <v>0.29358390000000001</v>
      </c>
      <c r="Z5603">
        <v>-9.8045119999999996E-3</v>
      </c>
      <c r="AA5603">
        <v>0.95588300000000004</v>
      </c>
      <c r="AB5603">
        <v>27</v>
      </c>
      <c r="AC5603">
        <v>15.879300000000001</v>
      </c>
      <c r="AD5603">
        <v>-1.1598029999999999</v>
      </c>
      <c r="AE5603">
        <v>-5.0697199999999896</v>
      </c>
      <c r="AF5603">
        <v>4.92031358760552</v>
      </c>
      <c r="AG5603">
        <v>-1.1598029999999999</v>
      </c>
      <c r="AH5603">
        <v>15.8421547925824</v>
      </c>
      <c r="AI5603">
        <v>93.9993520884059</v>
      </c>
      <c r="AJ5603">
        <v>72.746062275423895</v>
      </c>
      <c r="AK5603">
        <v>16.6291460174997</v>
      </c>
      <c r="AL5603">
        <v>79.752570757888506</v>
      </c>
      <c r="AM5603">
        <v>73.219465742772599</v>
      </c>
      <c r="AN5603">
        <v>1.0000000383907</v>
      </c>
    </row>
    <row r="5604" spans="1:40" x14ac:dyDescent="0.25">
      <c r="A5604" t="str">
        <f>"20190312173038593"</f>
        <v>20190312173038593</v>
      </c>
      <c r="B5604" t="str">
        <f>"1552383038582996"</f>
        <v>1552383038582996</v>
      </c>
      <c r="C5604" t="s">
        <v>40</v>
      </c>
      <c r="D5604">
        <v>3.6526040000000002</v>
      </c>
      <c r="E5604">
        <v>0.50465249999999995</v>
      </c>
      <c r="F5604" t="s">
        <v>43</v>
      </c>
      <c r="G5604">
        <v>-315.49810000000002</v>
      </c>
      <c r="H5604">
        <v>-0.05</v>
      </c>
      <c r="I5604">
        <v>12.210570000000001</v>
      </c>
      <c r="J5604">
        <v>-331.33409999999998</v>
      </c>
      <c r="K5604">
        <v>1.109769</v>
      </c>
      <c r="L5604">
        <v>17.29224</v>
      </c>
      <c r="M5604">
        <v>0.99987749999999997</v>
      </c>
      <c r="N5604">
        <v>0</v>
      </c>
      <c r="O5604">
        <v>-8.1458680000000006E-3</v>
      </c>
      <c r="P5604">
        <v>0.94161189999999995</v>
      </c>
      <c r="Q5604">
        <v>0.1651668</v>
      </c>
      <c r="R5604">
        <v>-0.29340579999999999</v>
      </c>
      <c r="S5604">
        <v>2.9327999999999999</v>
      </c>
      <c r="T5604">
        <v>-0.21304629999999999</v>
      </c>
      <c r="U5604">
        <v>-0.93368530000000005</v>
      </c>
      <c r="V5604">
        <v>0.28587079999999998</v>
      </c>
      <c r="W5604">
        <v>0.17754420000000001</v>
      </c>
      <c r="X5604">
        <v>0.94167719999999999</v>
      </c>
      <c r="Y5604">
        <v>0.29489910000000003</v>
      </c>
      <c r="Z5604">
        <v>-9.8632540000000001E-3</v>
      </c>
      <c r="AA5604">
        <v>0.95547749999999998</v>
      </c>
      <c r="AB5604">
        <v>27</v>
      </c>
      <c r="AC5604">
        <v>15.835999999999901</v>
      </c>
      <c r="AD5604">
        <v>-1.159769</v>
      </c>
      <c r="AE5604">
        <v>-5.0816699999999901</v>
      </c>
      <c r="AF5604">
        <v>4.9285254006625401</v>
      </c>
      <c r="AG5604">
        <v>-1.159769</v>
      </c>
      <c r="AH5604">
        <v>15.800040221835401</v>
      </c>
      <c r="AI5604">
        <v>94.008332276257903</v>
      </c>
      <c r="AJ5604">
        <v>72.675670906869598</v>
      </c>
      <c r="AK5604">
        <v>16.591464605933801</v>
      </c>
      <c r="AL5604">
        <v>79.773251074046698</v>
      </c>
      <c r="AM5604">
        <v>73.112957781786605</v>
      </c>
      <c r="AN5604">
        <v>1.00000000312306</v>
      </c>
    </row>
    <row r="5605" spans="1:40" x14ac:dyDescent="0.25">
      <c r="A5605" t="str">
        <f>"20190312173038604"</f>
        <v>20190312173038604</v>
      </c>
      <c r="B5605" t="str">
        <f>"1552383038593732"</f>
        <v>1552383038593732</v>
      </c>
      <c r="C5605" t="s">
        <v>40</v>
      </c>
      <c r="D5605">
        <v>3.6519970000000002</v>
      </c>
      <c r="E5605">
        <v>0.50458239999999999</v>
      </c>
      <c r="F5605" t="s">
        <v>43</v>
      </c>
      <c r="G5605">
        <v>-315.4504</v>
      </c>
      <c r="H5605">
        <v>-0.05</v>
      </c>
      <c r="I5605">
        <v>12.2003</v>
      </c>
      <c r="J5605">
        <v>-331.1977</v>
      </c>
      <c r="K5605">
        <v>1.109737</v>
      </c>
      <c r="L5605">
        <v>17.29083</v>
      </c>
      <c r="M5605">
        <v>0.99987510000000002</v>
      </c>
      <c r="N5605">
        <v>0</v>
      </c>
      <c r="O5605">
        <v>-8.4169139999999993E-3</v>
      </c>
      <c r="P5605">
        <v>0.94106290000000004</v>
      </c>
      <c r="Q5605">
        <v>0.16480839999999999</v>
      </c>
      <c r="R5605">
        <v>-0.29536269999999998</v>
      </c>
      <c r="S5605">
        <v>2.9307859999999999</v>
      </c>
      <c r="T5605">
        <v>-0.21399580000000001</v>
      </c>
      <c r="U5605">
        <v>-0.93954470000000001</v>
      </c>
      <c r="V5605">
        <v>0.28759230000000002</v>
      </c>
      <c r="W5605">
        <v>0.1771547</v>
      </c>
      <c r="X5605">
        <v>0.94122620000000001</v>
      </c>
      <c r="Y5605">
        <v>0.29655290000000001</v>
      </c>
      <c r="Z5605">
        <v>-9.9501999999999993E-3</v>
      </c>
      <c r="AA5605">
        <v>0.95496460000000005</v>
      </c>
      <c r="AB5605">
        <v>27</v>
      </c>
      <c r="AC5605">
        <v>15.7472999999999</v>
      </c>
      <c r="AD5605">
        <v>-1.159737</v>
      </c>
      <c r="AE5605">
        <v>-5.0905299999999896</v>
      </c>
      <c r="AF5605">
        <v>4.9335669644277997</v>
      </c>
      <c r="AG5605">
        <v>-1.159737</v>
      </c>
      <c r="AH5605">
        <v>15.712433791334201</v>
      </c>
      <c r="AI5605">
        <v>94.028138624526093</v>
      </c>
      <c r="AJ5605">
        <v>72.568166955766102</v>
      </c>
      <c r="AK5605">
        <v>16.509562336679998</v>
      </c>
      <c r="AL5605">
        <v>79.795926584525603</v>
      </c>
      <c r="AM5605">
        <v>73.0094325061483</v>
      </c>
      <c r="AN5605">
        <v>0.99999993915890795</v>
      </c>
    </row>
    <row r="5606" spans="1:40" x14ac:dyDescent="0.25">
      <c r="A5606" t="str">
        <f>"20190312173038615"</f>
        <v>20190312173038615</v>
      </c>
      <c r="B5606" t="str">
        <f>"1552383038613252"</f>
        <v>1552383038613252</v>
      </c>
      <c r="C5606" t="s">
        <v>40</v>
      </c>
      <c r="D5606">
        <v>3.6272180000000001</v>
      </c>
      <c r="E5606">
        <v>0.50449319999999997</v>
      </c>
      <c r="F5606" t="s">
        <v>43</v>
      </c>
      <c r="G5606">
        <v>-315.40309999999999</v>
      </c>
      <c r="H5606">
        <v>-0.05</v>
      </c>
      <c r="I5606">
        <v>12.194269999999999</v>
      </c>
      <c r="J5606">
        <v>-331.06459999999998</v>
      </c>
      <c r="K5606">
        <v>1.1096950000000001</v>
      </c>
      <c r="L5606">
        <v>17.289400000000001</v>
      </c>
      <c r="M5606">
        <v>0.99987230000000005</v>
      </c>
      <c r="N5606">
        <v>0</v>
      </c>
      <c r="O5606">
        <v>-8.7369000000000006E-3</v>
      </c>
      <c r="P5606">
        <v>0.94050149999999999</v>
      </c>
      <c r="Q5606">
        <v>0.1646591</v>
      </c>
      <c r="R5606">
        <v>-0.29722870000000001</v>
      </c>
      <c r="S5606">
        <v>2.928925</v>
      </c>
      <c r="T5606">
        <v>-0.2150601</v>
      </c>
      <c r="U5606">
        <v>-0.94509889999999996</v>
      </c>
      <c r="V5606">
        <v>0.28918189999999999</v>
      </c>
      <c r="W5606">
        <v>0.1769665</v>
      </c>
      <c r="X5606">
        <v>0.94077449999999996</v>
      </c>
      <c r="Y5606">
        <v>0.29805429999999999</v>
      </c>
      <c r="Z5606">
        <v>-1.00336E-2</v>
      </c>
      <c r="AA5606">
        <v>0.95449620000000002</v>
      </c>
      <c r="AB5606">
        <v>27</v>
      </c>
      <c r="AC5606">
        <v>15.661499999999901</v>
      </c>
      <c r="AD5606">
        <v>-1.1596949999999999</v>
      </c>
      <c r="AE5606">
        <v>-5.0951300000000002</v>
      </c>
      <c r="AF5606">
        <v>4.9336280841948197</v>
      </c>
      <c r="AG5606">
        <v>-1.1596949999999999</v>
      </c>
      <c r="AH5606">
        <v>15.6279344266012</v>
      </c>
      <c r="AI5606">
        <v>94.047733178780803</v>
      </c>
      <c r="AJ5606">
        <v>72.479462793069899</v>
      </c>
      <c r="AK5606">
        <v>16.429178707662999</v>
      </c>
      <c r="AL5606">
        <v>79.806883248066299</v>
      </c>
      <c r="AM5606">
        <v>72.913249636023295</v>
      </c>
      <c r="AN5606">
        <v>0.99999998663005496</v>
      </c>
    </row>
    <row r="5607" spans="1:40" x14ac:dyDescent="0.25">
      <c r="A5607" t="str">
        <f>"20190312173038625"</f>
        <v>20190312173038625</v>
      </c>
      <c r="B5607" t="str">
        <f>"1552383038623012"</f>
        <v>1552383038623012</v>
      </c>
      <c r="C5607" t="s">
        <v>40</v>
      </c>
      <c r="D5607">
        <v>3.6536409999999999</v>
      </c>
      <c r="E5607">
        <v>0.50445589999999996</v>
      </c>
      <c r="F5607" t="s">
        <v>43</v>
      </c>
      <c r="G5607">
        <v>-315.35219999999998</v>
      </c>
      <c r="H5607">
        <v>-0.05</v>
      </c>
      <c r="I5607">
        <v>12.18845</v>
      </c>
      <c r="J5607">
        <v>-330.93779999999998</v>
      </c>
      <c r="K5607">
        <v>1.109648</v>
      </c>
      <c r="L5607">
        <v>17.287990000000001</v>
      </c>
      <c r="M5607">
        <v>0.99986949999999997</v>
      </c>
      <c r="N5607">
        <v>0</v>
      </c>
      <c r="O5607">
        <v>-9.0583169999999998E-3</v>
      </c>
      <c r="P5607">
        <v>0.9398569</v>
      </c>
      <c r="Q5607">
        <v>0.16448689999999999</v>
      </c>
      <c r="R5607">
        <v>-0.29935499999999998</v>
      </c>
      <c r="S5607">
        <v>2.9273380000000002</v>
      </c>
      <c r="T5607">
        <v>-0.21606059999999999</v>
      </c>
      <c r="U5607">
        <v>-0.95034790000000002</v>
      </c>
      <c r="V5607">
        <v>0.2910315</v>
      </c>
      <c r="W5607">
        <v>0.17675439999999901</v>
      </c>
      <c r="X5607">
        <v>0.94024379999999996</v>
      </c>
      <c r="Y5607">
        <v>0.29943809999999998</v>
      </c>
      <c r="Z5607">
        <v>-1.010928E-2</v>
      </c>
      <c r="AA5607">
        <v>0.95406219999999997</v>
      </c>
      <c r="AB5607">
        <v>27</v>
      </c>
      <c r="AC5607">
        <v>15.585599999999999</v>
      </c>
      <c r="AD5607">
        <v>-1.159648</v>
      </c>
      <c r="AE5607">
        <v>-5.0995400000000002</v>
      </c>
      <c r="AF5607">
        <v>4.9334677537638898</v>
      </c>
      <c r="AG5607">
        <v>-1.159648</v>
      </c>
      <c r="AH5607">
        <v>15.553379235095599</v>
      </c>
      <c r="AI5607">
        <v>94.065154863754699</v>
      </c>
      <c r="AJ5607">
        <v>72.401187406347006</v>
      </c>
      <c r="AK5607">
        <v>16.3582240231644</v>
      </c>
      <c r="AL5607">
        <v>79.819229716549202</v>
      </c>
      <c r="AM5607">
        <v>72.801255408323001</v>
      </c>
      <c r="AN5607">
        <v>0.99999992767502199</v>
      </c>
    </row>
    <row r="5608" spans="1:40" x14ac:dyDescent="0.25">
      <c r="A5608" t="str">
        <f>"20190312173038637"</f>
        <v>20190312173038637</v>
      </c>
      <c r="B5608" t="str">
        <f>"1552383038633747"</f>
        <v>1552383038633747</v>
      </c>
      <c r="C5608" t="s">
        <v>40</v>
      </c>
      <c r="D5608">
        <v>3.6264189999999998</v>
      </c>
      <c r="E5608">
        <v>0.50441970000000003</v>
      </c>
      <c r="F5608" t="s">
        <v>43</v>
      </c>
      <c r="G5608">
        <v>-315.29790000000003</v>
      </c>
      <c r="H5608">
        <v>-0.05</v>
      </c>
      <c r="I5608">
        <v>12.17332</v>
      </c>
      <c r="J5608">
        <v>-330.79829999999998</v>
      </c>
      <c r="K5608">
        <v>1.1095919999999999</v>
      </c>
      <c r="L5608">
        <v>17.286349999999999</v>
      </c>
      <c r="M5608">
        <v>0.99986569999999997</v>
      </c>
      <c r="N5608">
        <v>0</v>
      </c>
      <c r="O5608">
        <v>-9.4631469999999999E-3</v>
      </c>
      <c r="P5608">
        <v>0.93928599999999995</v>
      </c>
      <c r="Q5608">
        <v>0.1642441</v>
      </c>
      <c r="R5608">
        <v>-0.30127419999999999</v>
      </c>
      <c r="S5608">
        <v>2.9252319999999998</v>
      </c>
      <c r="T5608">
        <v>-0.2168969</v>
      </c>
      <c r="U5608">
        <v>-0.95663450000000005</v>
      </c>
      <c r="V5608">
        <v>0.29259990000000002</v>
      </c>
      <c r="W5608">
        <v>0.17646389999999901</v>
      </c>
      <c r="X5608">
        <v>0.93981159999999997</v>
      </c>
      <c r="Y5608">
        <v>0.30109760000000002</v>
      </c>
      <c r="Z5608">
        <v>-1.018265E-2</v>
      </c>
      <c r="AA5608">
        <v>0.95353900000000003</v>
      </c>
      <c r="AB5608">
        <v>27</v>
      </c>
      <c r="AC5608">
        <v>15.5003999999999</v>
      </c>
      <c r="AD5608">
        <v>-1.159592</v>
      </c>
      <c r="AE5608">
        <v>-5.1130299999999904</v>
      </c>
      <c r="AF5608">
        <v>4.9411653072068997</v>
      </c>
      <c r="AG5608">
        <v>-1.159592</v>
      </c>
      <c r="AH5608">
        <v>15.470012248226499</v>
      </c>
      <c r="AI5608">
        <v>94.0841939434643</v>
      </c>
      <c r="AJ5608">
        <v>72.286372166488107</v>
      </c>
      <c r="AK5608">
        <v>16.281309749522201</v>
      </c>
      <c r="AL5608">
        <v>79.836140967768202</v>
      </c>
      <c r="AM5608">
        <v>72.706603359009904</v>
      </c>
      <c r="AN5608">
        <v>1.00000002648888</v>
      </c>
    </row>
    <row r="5609" spans="1:40" x14ac:dyDescent="0.25">
      <c r="A5609" t="str">
        <f>"20190312173038649"</f>
        <v>20190312173038649</v>
      </c>
      <c r="B5609" t="str">
        <f>"1552383038643508"</f>
        <v>1552383038643508</v>
      </c>
      <c r="C5609" t="s">
        <v>40</v>
      </c>
      <c r="D5609">
        <v>3.654458</v>
      </c>
      <c r="E5609">
        <v>0.50438459999999996</v>
      </c>
      <c r="F5609" t="s">
        <v>43</v>
      </c>
      <c r="G5609">
        <v>-315.24270000000001</v>
      </c>
      <c r="H5609">
        <v>-0.05</v>
      </c>
      <c r="I5609">
        <v>12.16681</v>
      </c>
      <c r="J5609">
        <v>-330.65390000000002</v>
      </c>
      <c r="K5609">
        <v>1.109532</v>
      </c>
      <c r="L5609">
        <v>17.284520000000001</v>
      </c>
      <c r="M5609">
        <v>0.99986120000000001</v>
      </c>
      <c r="N5609">
        <v>0</v>
      </c>
      <c r="O5609">
        <v>-9.9268599999999992E-3</v>
      </c>
      <c r="P5609">
        <v>0.93869579999999997</v>
      </c>
      <c r="Q5609">
        <v>0.16400090000000001</v>
      </c>
      <c r="R5609">
        <v>-0.303239799999999</v>
      </c>
      <c r="S5609">
        <v>2.9234010000000001</v>
      </c>
      <c r="T5609">
        <v>-0.21792510000000001</v>
      </c>
      <c r="U5609">
        <v>-0.96212770000000003</v>
      </c>
      <c r="V5609">
        <v>0.29416219999999998</v>
      </c>
      <c r="W5609">
        <v>0.1761691</v>
      </c>
      <c r="X5609">
        <v>0.93937910000000002</v>
      </c>
      <c r="Y5609">
        <v>0.30243969999999998</v>
      </c>
      <c r="Z5609">
        <v>-1.0249029999999999E-2</v>
      </c>
      <c r="AA5609">
        <v>0.9531134</v>
      </c>
      <c r="AB5609">
        <v>27</v>
      </c>
      <c r="AC5609">
        <v>15.411199999999999</v>
      </c>
      <c r="AD5609">
        <v>-1.159532</v>
      </c>
      <c r="AE5609">
        <v>-5.1177099999999998</v>
      </c>
      <c r="AF5609">
        <v>4.9392752484661404</v>
      </c>
      <c r="AG5609">
        <v>-1.159532</v>
      </c>
      <c r="AH5609">
        <v>15.3828150609607</v>
      </c>
      <c r="AI5609">
        <v>94.105048438515098</v>
      </c>
      <c r="AJ5609">
        <v>72.198670828400196</v>
      </c>
      <c r="AK5609">
        <v>16.1978996675141</v>
      </c>
      <c r="AL5609">
        <v>79.853300554229705</v>
      </c>
      <c r="AM5609">
        <v>72.612295225282793</v>
      </c>
      <c r="AN5609">
        <v>1.0000000226102199</v>
      </c>
    </row>
    <row r="5610" spans="1:40" x14ac:dyDescent="0.25">
      <c r="A5610" t="str">
        <f>"20190312173038660"</f>
        <v>20190312173038660</v>
      </c>
      <c r="B5610" t="str">
        <f>"1552383038653775"</f>
        <v>1552383038653775</v>
      </c>
      <c r="C5610" t="s">
        <v>40</v>
      </c>
      <c r="D5610">
        <v>3.710833</v>
      </c>
      <c r="E5610">
        <v>0.50438459999999996</v>
      </c>
      <c r="F5610" t="s">
        <v>43</v>
      </c>
      <c r="G5610">
        <v>-315.16890000000001</v>
      </c>
      <c r="H5610">
        <v>-0.05</v>
      </c>
      <c r="I5610">
        <v>12.15427</v>
      </c>
      <c r="J5610">
        <v>-330.52269999999999</v>
      </c>
      <c r="K5610">
        <v>1.10947</v>
      </c>
      <c r="L5610">
        <v>17.28275</v>
      </c>
      <c r="M5610">
        <v>0.99985650000000004</v>
      </c>
      <c r="N5610">
        <v>0</v>
      </c>
      <c r="O5610">
        <v>-1.038564E-2</v>
      </c>
      <c r="P5610">
        <v>0.93809670000000001</v>
      </c>
      <c r="Q5610">
        <v>0.16379379999999999</v>
      </c>
      <c r="R5610">
        <v>-0.30519950000000001</v>
      </c>
      <c r="S5610">
        <v>2.921478</v>
      </c>
      <c r="T5610">
        <v>-0.21876309999999999</v>
      </c>
      <c r="U5610">
        <v>-0.96789550000000002</v>
      </c>
      <c r="V5610">
        <v>0.29572229999999999</v>
      </c>
      <c r="W5610">
        <v>0.17591099999999901</v>
      </c>
      <c r="X5610">
        <v>0.93893749999999998</v>
      </c>
      <c r="Y5610">
        <v>0.303876599999999</v>
      </c>
      <c r="Z5610">
        <v>-1.03106E-2</v>
      </c>
      <c r="AA5610">
        <v>0.95265560000000005</v>
      </c>
      <c r="AB5610">
        <v>27</v>
      </c>
      <c r="AC5610">
        <v>15.3537999999999</v>
      </c>
      <c r="AD5610">
        <v>-1.15947</v>
      </c>
      <c r="AE5610">
        <v>-5.1284799999999997</v>
      </c>
      <c r="AF5610">
        <v>4.9433686135637398</v>
      </c>
      <c r="AG5610">
        <v>-1.15947</v>
      </c>
      <c r="AH5610">
        <v>15.3276024788954</v>
      </c>
      <c r="AI5610">
        <v>94.117861152482803</v>
      </c>
      <c r="AJ5610">
        <v>72.124754520215106</v>
      </c>
      <c r="AK5610">
        <v>16.1467229393926</v>
      </c>
      <c r="AL5610">
        <v>79.868322907995207</v>
      </c>
      <c r="AM5610">
        <v>72.517960486617895</v>
      </c>
      <c r="AN5610">
        <v>0.99999999377227</v>
      </c>
    </row>
    <row r="5611" spans="1:40" x14ac:dyDescent="0.25">
      <c r="A5611" t="str">
        <f>"20190312173038671"</f>
        <v>20190312173038671</v>
      </c>
      <c r="B5611" t="str">
        <f>"1552383038663536"</f>
        <v>1552383038663536</v>
      </c>
      <c r="C5611" t="s">
        <v>40</v>
      </c>
      <c r="D5611">
        <v>3.7100680000000001</v>
      </c>
      <c r="E5611">
        <v>0.52151040000000004</v>
      </c>
      <c r="F5611" t="s">
        <v>43</v>
      </c>
      <c r="G5611">
        <v>-315.09789999999998</v>
      </c>
      <c r="H5611">
        <v>-0.05</v>
      </c>
      <c r="I5611">
        <v>12.135669999999999</v>
      </c>
      <c r="J5611">
        <v>-330.39280000000002</v>
      </c>
      <c r="K5611">
        <v>1.1094010000000001</v>
      </c>
      <c r="L5611">
        <v>17.28088</v>
      </c>
      <c r="M5611">
        <v>0.99985089999999999</v>
      </c>
      <c r="N5611">
        <v>0</v>
      </c>
      <c r="O5611">
        <v>-1.090614E-2</v>
      </c>
      <c r="P5611">
        <v>0.93747340000000001</v>
      </c>
      <c r="Q5611">
        <v>0.1633184</v>
      </c>
      <c r="R5611">
        <v>-0.30736149999999901</v>
      </c>
      <c r="S5611">
        <v>2.9193419999999999</v>
      </c>
      <c r="T5611">
        <v>-0.21944459999999999</v>
      </c>
      <c r="U5611">
        <v>-0.97415160000000001</v>
      </c>
      <c r="V5611">
        <v>0.29742869999999999</v>
      </c>
      <c r="W5611">
        <v>0.17538099999999901</v>
      </c>
      <c r="X5611">
        <v>0.93849749999999998</v>
      </c>
      <c r="Y5611">
        <v>0.305419</v>
      </c>
      <c r="Z5611">
        <v>-1.0364760000000001E-2</v>
      </c>
      <c r="AA5611">
        <v>0.9521617</v>
      </c>
      <c r="AB5611">
        <v>27</v>
      </c>
      <c r="AC5611">
        <v>15.2949</v>
      </c>
      <c r="AD5611">
        <v>-1.1594009999999999</v>
      </c>
      <c r="AE5611">
        <v>-5.1452099999999996</v>
      </c>
      <c r="AF5611">
        <v>4.9525159912580099</v>
      </c>
      <c r="AG5611">
        <v>-1.1594009999999999</v>
      </c>
      <c r="AH5611">
        <v>15.271279903036501</v>
      </c>
      <c r="AI5611">
        <v>94.130594752204502</v>
      </c>
      <c r="AJ5611">
        <v>72.031985789088196</v>
      </c>
      <c r="AK5611">
        <v>16.0960745276404</v>
      </c>
      <c r="AL5611">
        <v>79.899168700195105</v>
      </c>
      <c r="AM5611">
        <v>72.415546112280893</v>
      </c>
      <c r="AN5611">
        <v>0.99999994212546806</v>
      </c>
    </row>
    <row r="5612" spans="1:40" x14ac:dyDescent="0.25">
      <c r="A5612" t="str">
        <f>"20190312173038682"</f>
        <v>20190312173038682</v>
      </c>
      <c r="B5612" t="str">
        <f>"1552383038673296"</f>
        <v>1552383038673296</v>
      </c>
      <c r="C5612" t="s">
        <v>40</v>
      </c>
      <c r="D5612">
        <v>3.7058979999999999</v>
      </c>
      <c r="E5612">
        <v>0.52479229999999999</v>
      </c>
      <c r="F5612" t="s">
        <v>43</v>
      </c>
      <c r="G5612">
        <v>-318.59230000000002</v>
      </c>
      <c r="H5612">
        <v>-0.05</v>
      </c>
      <c r="I5612">
        <v>12.728389999999999</v>
      </c>
      <c r="J5612">
        <v>-330.24779999999998</v>
      </c>
      <c r="K5612">
        <v>1.109327</v>
      </c>
      <c r="L5612">
        <v>17.27872</v>
      </c>
      <c r="M5612">
        <v>0.99984399999999996</v>
      </c>
      <c r="N5612">
        <v>0</v>
      </c>
      <c r="O5612">
        <v>-1.1515640000000001E-2</v>
      </c>
      <c r="P5612">
        <v>0.93680370000000002</v>
      </c>
      <c r="Q5612">
        <v>0.1631628</v>
      </c>
      <c r="R5612">
        <v>-0.30947819999999998</v>
      </c>
      <c r="S5612">
        <v>2.8846129999999999</v>
      </c>
      <c r="T5612">
        <v>-0.28341519999999998</v>
      </c>
      <c r="U5612">
        <v>-1.112854</v>
      </c>
      <c r="V5612">
        <v>0.2990119</v>
      </c>
      <c r="W5612">
        <v>0.17516409999999999</v>
      </c>
      <c r="X5612">
        <v>0.9380349</v>
      </c>
      <c r="Y5612">
        <v>0.34775650000000002</v>
      </c>
      <c r="Z5612">
        <v>-1.5366309999999999E-2</v>
      </c>
      <c r="AA5612">
        <v>0.93745889999999998</v>
      </c>
      <c r="AB5612">
        <v>27</v>
      </c>
      <c r="AC5612">
        <v>11.6554999999999</v>
      </c>
      <c r="AD5612">
        <v>-1.159327</v>
      </c>
      <c r="AE5612">
        <v>-4.5503299999999998</v>
      </c>
      <c r="AF5612">
        <v>4.3782086054190996</v>
      </c>
      <c r="AG5612">
        <v>-1.159327</v>
      </c>
      <c r="AH5612">
        <v>11.607481138841599</v>
      </c>
      <c r="AI5612">
        <v>95.338835074624697</v>
      </c>
      <c r="AJ5612">
        <v>69.334100516910397</v>
      </c>
      <c r="AK5612">
        <v>12.4597900493571</v>
      </c>
      <c r="AL5612">
        <v>79.911792412431694</v>
      </c>
      <c r="AM5612">
        <v>72.319582930235001</v>
      </c>
      <c r="AN5612">
        <v>1.0000000259442099</v>
      </c>
    </row>
    <row r="5613" spans="1:40" x14ac:dyDescent="0.25">
      <c r="A5613" t="str">
        <f>"20190312173038694"</f>
        <v>20190312173038694</v>
      </c>
      <c r="B5613" t="str">
        <f>"1552383038683056"</f>
        <v>1552383038683056</v>
      </c>
      <c r="C5613" t="s">
        <v>40</v>
      </c>
      <c r="D5613">
        <v>3.7058450000000001</v>
      </c>
      <c r="E5613">
        <v>0.52588950000000001</v>
      </c>
      <c r="F5613" t="s">
        <v>43</v>
      </c>
      <c r="G5613">
        <v>-317.55849999999998</v>
      </c>
      <c r="H5613">
        <v>-0.05</v>
      </c>
      <c r="I5613">
        <v>12.22456</v>
      </c>
      <c r="J5613">
        <v>-330.11169999999998</v>
      </c>
      <c r="K5613">
        <v>1.109248</v>
      </c>
      <c r="L5613">
        <v>17.27646</v>
      </c>
      <c r="M5613">
        <v>0.99983580000000005</v>
      </c>
      <c r="N5613">
        <v>0</v>
      </c>
      <c r="O5613">
        <v>-1.2194480000000001E-2</v>
      </c>
      <c r="P5613">
        <v>0.93604540000000003</v>
      </c>
      <c r="Q5613">
        <v>0.16294249999999999</v>
      </c>
      <c r="R5613">
        <v>-0.31187930000000003</v>
      </c>
      <c r="S5613">
        <v>2.8703919999999998</v>
      </c>
      <c r="T5613">
        <v>-0.2622466</v>
      </c>
      <c r="U5613">
        <v>-1.1432800000000001</v>
      </c>
      <c r="V5613">
        <v>0.3008171</v>
      </c>
      <c r="W5613">
        <v>0.17487720000000001</v>
      </c>
      <c r="X5613">
        <v>0.93751110000000004</v>
      </c>
      <c r="Y5613">
        <v>0.35743229999999998</v>
      </c>
      <c r="Z5613">
        <v>-1.4627340000000001E-2</v>
      </c>
      <c r="AA5613">
        <v>0.93382449999999995</v>
      </c>
      <c r="AB5613">
        <v>27</v>
      </c>
      <c r="AC5613">
        <v>12.5532</v>
      </c>
      <c r="AD5613">
        <v>-1.1592480000000001</v>
      </c>
      <c r="AE5613">
        <v>-5.0518999999999998</v>
      </c>
      <c r="AF5613">
        <v>4.8627417582491903</v>
      </c>
      <c r="AG5613">
        <v>-1.1592480000000001</v>
      </c>
      <c r="AH5613">
        <v>12.5219749438376</v>
      </c>
      <c r="AI5613">
        <v>94.932312238575093</v>
      </c>
      <c r="AJ5613">
        <v>68.776984159808407</v>
      </c>
      <c r="AK5613">
        <v>13.48295108005</v>
      </c>
      <c r="AL5613">
        <v>79.928488140802898</v>
      </c>
      <c r="AM5613">
        <v>72.210238324702701</v>
      </c>
      <c r="AN5613">
        <v>1.00000001267773</v>
      </c>
    </row>
    <row r="5614" spans="1:40" x14ac:dyDescent="0.25">
      <c r="A5614" t="str">
        <f>"20190312173038707"</f>
        <v>20190312173038707</v>
      </c>
      <c r="B5614" t="str">
        <f>"1552383038703552"</f>
        <v>1552383038703552</v>
      </c>
      <c r="C5614" t="s">
        <v>40</v>
      </c>
      <c r="D5614">
        <v>3.6943090000000001</v>
      </c>
      <c r="E5614">
        <v>0.52796540000000003</v>
      </c>
      <c r="F5614" t="s">
        <v>43</v>
      </c>
      <c r="G5614">
        <v>-317.06639999999999</v>
      </c>
      <c r="H5614">
        <v>-0.05</v>
      </c>
      <c r="I5614">
        <v>11.998659999999999</v>
      </c>
      <c r="J5614">
        <v>-329.95740000000001</v>
      </c>
      <c r="K5614">
        <v>1.1091530000000001</v>
      </c>
      <c r="L5614">
        <v>17.273800000000001</v>
      </c>
      <c r="M5614">
        <v>0.99982550000000003</v>
      </c>
      <c r="N5614">
        <v>0</v>
      </c>
      <c r="O5614">
        <v>-1.300509E-2</v>
      </c>
      <c r="P5614">
        <v>0.93523040000000002</v>
      </c>
      <c r="Q5614">
        <v>0.162495</v>
      </c>
      <c r="R5614">
        <v>-0.3145463</v>
      </c>
      <c r="S5614">
        <v>2.8632810000000002</v>
      </c>
      <c r="T5614">
        <v>-0.254442</v>
      </c>
      <c r="U5614">
        <v>-1.158417</v>
      </c>
      <c r="V5614">
        <v>0.30277090000000001</v>
      </c>
      <c r="W5614">
        <v>0.17435329999999999</v>
      </c>
      <c r="X5614">
        <v>0.93697960000000002</v>
      </c>
      <c r="Y5614">
        <v>0.36177680000000001</v>
      </c>
      <c r="Z5614">
        <v>-1.4329069999999999E-2</v>
      </c>
      <c r="AA5614">
        <v>0.9321547</v>
      </c>
      <c r="AB5614">
        <v>27</v>
      </c>
      <c r="AC5614">
        <v>12.891</v>
      </c>
      <c r="AD5614">
        <v>-1.1591530000000001</v>
      </c>
      <c r="AE5614">
        <v>-5.2751400000000004</v>
      </c>
      <c r="AF5614">
        <v>5.0719032285651604</v>
      </c>
      <c r="AG5614">
        <v>-1.1591530000000001</v>
      </c>
      <c r="AH5614">
        <v>12.869388909066799</v>
      </c>
      <c r="AI5614">
        <v>94.790059942834304</v>
      </c>
      <c r="AJ5614">
        <v>68.490303313857098</v>
      </c>
      <c r="AK5614">
        <v>13.881246663399899</v>
      </c>
      <c r="AL5614">
        <v>79.958973943571294</v>
      </c>
      <c r="AM5614">
        <v>72.092539650609496</v>
      </c>
      <c r="AN5614">
        <v>1.0000000309619199</v>
      </c>
    </row>
    <row r="5615" spans="1:40" x14ac:dyDescent="0.25">
      <c r="A5615" t="str">
        <f>"20190312173038718"</f>
        <v>20190312173038718</v>
      </c>
      <c r="B5615" t="str">
        <f>"1552383038713311"</f>
        <v>1552383038713311</v>
      </c>
      <c r="C5615" t="s">
        <v>40</v>
      </c>
      <c r="D5615">
        <v>3.6827299999999998</v>
      </c>
      <c r="E5615">
        <v>0.52868459999999995</v>
      </c>
      <c r="F5615" t="s">
        <v>43</v>
      </c>
      <c r="G5615">
        <v>-316.52940000000001</v>
      </c>
      <c r="H5615">
        <v>-0.05</v>
      </c>
      <c r="I5615">
        <v>11.712630000000001</v>
      </c>
      <c r="J5615">
        <v>-329.82080000000002</v>
      </c>
      <c r="K5615">
        <v>1.109067</v>
      </c>
      <c r="L5615">
        <v>17.271239999999999</v>
      </c>
      <c r="M5615">
        <v>0.99981469999999995</v>
      </c>
      <c r="N5615">
        <v>0</v>
      </c>
      <c r="O5615">
        <v>-1.38067E-2</v>
      </c>
      <c r="P5615">
        <v>0.93433239999999995</v>
      </c>
      <c r="Q5615">
        <v>0.16222339999999999</v>
      </c>
      <c r="R5615">
        <v>-0.31734309999999899</v>
      </c>
      <c r="S5615">
        <v>2.853119</v>
      </c>
      <c r="T5615">
        <v>-0.24629119999999999</v>
      </c>
      <c r="U5615">
        <v>-1.18161</v>
      </c>
      <c r="V5615">
        <v>0.30486380000000002</v>
      </c>
      <c r="W5615">
        <v>0.1740053</v>
      </c>
      <c r="X5615">
        <v>0.93636540000000001</v>
      </c>
      <c r="Y5615">
        <v>0.36871179999999998</v>
      </c>
      <c r="Z5615">
        <v>-1.411747E-2</v>
      </c>
      <c r="AA5615">
        <v>0.92943659999999995</v>
      </c>
      <c r="AB5615">
        <v>27</v>
      </c>
      <c r="AC5615">
        <v>13.291399999999999</v>
      </c>
      <c r="AD5615">
        <v>-1.1590670000000001</v>
      </c>
      <c r="AE5615">
        <v>-5.5586099999999901</v>
      </c>
      <c r="AF5615">
        <v>5.3399899063037504</v>
      </c>
      <c r="AG5615">
        <v>-1.1590670000000001</v>
      </c>
      <c r="AH5615">
        <v>13.2809245640921</v>
      </c>
      <c r="AI5615">
        <v>94.629300352605995</v>
      </c>
      <c r="AJ5615">
        <v>68.095942753597598</v>
      </c>
      <c r="AK5615">
        <v>14.3611241129314</v>
      </c>
      <c r="AL5615">
        <v>79.979221792537501</v>
      </c>
      <c r="AM5615">
        <v>71.965678664666797</v>
      </c>
      <c r="AN5615">
        <v>0.99999997164784404</v>
      </c>
    </row>
    <row r="5616" spans="1:40" x14ac:dyDescent="0.25">
      <c r="A5616" t="str">
        <f>"20190312173038728"</f>
        <v>20190312173038728</v>
      </c>
      <c r="B5616" t="str">
        <f>"1552383038723072"</f>
        <v>1552383038723072</v>
      </c>
      <c r="C5616" t="s">
        <v>40</v>
      </c>
      <c r="D5616">
        <v>3.689746</v>
      </c>
      <c r="E5616">
        <v>0.52917230000000004</v>
      </c>
      <c r="F5616" t="s">
        <v>43</v>
      </c>
      <c r="G5616">
        <v>-316.31810000000002</v>
      </c>
      <c r="H5616">
        <v>-0.05</v>
      </c>
      <c r="I5616">
        <v>11.60239</v>
      </c>
      <c r="J5616">
        <v>-329.69490000000002</v>
      </c>
      <c r="K5616">
        <v>1.1089850000000001</v>
      </c>
      <c r="L5616">
        <v>17.268740000000001</v>
      </c>
      <c r="M5616">
        <v>0.99980349999999996</v>
      </c>
      <c r="N5616">
        <v>0</v>
      </c>
      <c r="O5616">
        <v>-1.4598440000000001E-2</v>
      </c>
      <c r="P5616">
        <v>0.93348209999999998</v>
      </c>
      <c r="Q5616">
        <v>0.16156470000000001</v>
      </c>
      <c r="R5616">
        <v>-0.32016919999999999</v>
      </c>
      <c r="S5616">
        <v>2.8472900000000001</v>
      </c>
      <c r="T5616">
        <v>-0.24440880000000001</v>
      </c>
      <c r="U5616">
        <v>-1.1953739999999999</v>
      </c>
      <c r="V5616">
        <v>0.30699189999999998</v>
      </c>
      <c r="W5616">
        <v>0.17327419999999999</v>
      </c>
      <c r="X5616">
        <v>0.93580560000000002</v>
      </c>
      <c r="Y5616">
        <v>0.37247780000000003</v>
      </c>
      <c r="Z5616">
        <v>-1.411369E-2</v>
      </c>
      <c r="AA5616">
        <v>0.92793380000000003</v>
      </c>
      <c r="AB5616">
        <v>27</v>
      </c>
      <c r="AC5616">
        <v>13.376799999999999</v>
      </c>
      <c r="AD5616">
        <v>-1.1589849999999999</v>
      </c>
      <c r="AE5616">
        <v>-5.6663500000000004</v>
      </c>
      <c r="AF5616">
        <v>5.4358505399829298</v>
      </c>
      <c r="AG5616">
        <v>-1.1589849999999999</v>
      </c>
      <c r="AH5616">
        <v>13.372986545494101</v>
      </c>
      <c r="AI5616">
        <v>94.590250808973295</v>
      </c>
      <c r="AJ5616">
        <v>67.8792451206523</v>
      </c>
      <c r="AK5616">
        <v>14.482005609349301</v>
      </c>
      <c r="AL5616">
        <v>80.021757649428693</v>
      </c>
      <c r="AM5616">
        <v>71.837874798065499</v>
      </c>
      <c r="AN5616">
        <v>1.0000000480213</v>
      </c>
    </row>
    <row r="5617" spans="1:40" x14ac:dyDescent="0.25">
      <c r="A5617" t="str">
        <f>"20190312173038739"</f>
        <v>20190312173038739</v>
      </c>
      <c r="B5617" t="str">
        <f>"1552383038733807"</f>
        <v>1552383038733807</v>
      </c>
      <c r="C5617" t="s">
        <v>40</v>
      </c>
      <c r="D5617">
        <v>3.686661</v>
      </c>
      <c r="E5617">
        <v>0.52960989999999997</v>
      </c>
      <c r="F5617" t="s">
        <v>43</v>
      </c>
      <c r="G5617">
        <v>-316.25700000000001</v>
      </c>
      <c r="H5617">
        <v>-0.05</v>
      </c>
      <c r="I5617">
        <v>11.56123</v>
      </c>
      <c r="J5617">
        <v>-329.56229999999999</v>
      </c>
      <c r="K5617">
        <v>1.1088910000000001</v>
      </c>
      <c r="L5617">
        <v>17.26596</v>
      </c>
      <c r="M5617">
        <v>0.99979010000000001</v>
      </c>
      <c r="N5617">
        <v>0</v>
      </c>
      <c r="O5617">
        <v>-1.548425E-2</v>
      </c>
      <c r="P5617">
        <v>0.93255849999999996</v>
      </c>
      <c r="Q5617">
        <v>0.16140189999999999</v>
      </c>
      <c r="R5617">
        <v>-0.32293080000000002</v>
      </c>
      <c r="S5617">
        <v>2.8421630000000002</v>
      </c>
      <c r="T5617">
        <v>-0.2451285</v>
      </c>
      <c r="U5617">
        <v>-1.2071529999999999</v>
      </c>
      <c r="V5617">
        <v>0.3089731</v>
      </c>
      <c r="W5617">
        <v>0.1730342</v>
      </c>
      <c r="X5617">
        <v>0.93519779999999997</v>
      </c>
      <c r="Y5617">
        <v>0.37549959999999999</v>
      </c>
      <c r="Z5617">
        <v>-1.421938E-2</v>
      </c>
      <c r="AA5617">
        <v>0.92671349999999997</v>
      </c>
      <c r="AB5617">
        <v>27</v>
      </c>
      <c r="AC5617">
        <v>13.3052999999999</v>
      </c>
      <c r="AD5617">
        <v>-1.1588909999999999</v>
      </c>
      <c r="AE5617">
        <v>-5.7047299999999996</v>
      </c>
      <c r="AF5617">
        <v>5.4629960547349699</v>
      </c>
      <c r="AG5617">
        <v>-1.1588909999999999</v>
      </c>
      <c r="AH5617">
        <v>13.3067716133249</v>
      </c>
      <c r="AI5617">
        <v>94.606093658803601</v>
      </c>
      <c r="AJ5617">
        <v>67.679763226793796</v>
      </c>
      <c r="AK5617">
        <v>14.431130413558</v>
      </c>
      <c r="AL5617">
        <v>80.035719735143104</v>
      </c>
      <c r="AM5617">
        <v>71.7173426737223</v>
      </c>
      <c r="AN5617">
        <v>1.00000006800904</v>
      </c>
    </row>
    <row r="5618" spans="1:40" x14ac:dyDescent="0.25">
      <c r="A5618" t="str">
        <f>"20190312173038750"</f>
        <v>20190312173038750</v>
      </c>
      <c r="B5618" t="str">
        <f>"1552383038743567"</f>
        <v>1552383038743567</v>
      </c>
      <c r="C5618" t="s">
        <v>40</v>
      </c>
      <c r="D5618">
        <v>3.6926770000000002</v>
      </c>
      <c r="E5618">
        <v>0.52985009999999999</v>
      </c>
      <c r="F5618" t="s">
        <v>43</v>
      </c>
      <c r="G5618">
        <v>-316.11720000000003</v>
      </c>
      <c r="H5618">
        <v>-0.05</v>
      </c>
      <c r="I5618">
        <v>11.491390000000001</v>
      </c>
      <c r="J5618">
        <v>-329.43900000000002</v>
      </c>
      <c r="K5618">
        <v>1.108811</v>
      </c>
      <c r="L5618">
        <v>17.26315</v>
      </c>
      <c r="M5618">
        <v>0.99977590000000005</v>
      </c>
      <c r="N5618">
        <v>0</v>
      </c>
      <c r="O5618">
        <v>-1.6374860000000001E-2</v>
      </c>
      <c r="P5618">
        <v>0.93164689999999994</v>
      </c>
      <c r="Q5618">
        <v>0.16083439999999999</v>
      </c>
      <c r="R5618">
        <v>-0.32583200000000001</v>
      </c>
      <c r="S5618">
        <v>2.8373110000000001</v>
      </c>
      <c r="T5618">
        <v>-0.24455879999999999</v>
      </c>
      <c r="U5618">
        <v>-1.2185969999999999</v>
      </c>
      <c r="V5618">
        <v>0.3110868</v>
      </c>
      <c r="W5618">
        <v>0.17239209999999999</v>
      </c>
      <c r="X5618">
        <v>0.93461539999999999</v>
      </c>
      <c r="Y5618">
        <v>0.37840069999999998</v>
      </c>
      <c r="Z5618">
        <v>-1.424424E-2</v>
      </c>
      <c r="AA5618">
        <v>0.92553229999999997</v>
      </c>
      <c r="AB5618">
        <v>27</v>
      </c>
      <c r="AC5618">
        <v>13.3217999999999</v>
      </c>
      <c r="AD5618">
        <v>-1.158811</v>
      </c>
      <c r="AE5618">
        <v>-5.7717599999999996</v>
      </c>
      <c r="AF5618">
        <v>5.51767221296807</v>
      </c>
      <c r="AG5618">
        <v>-1.158811</v>
      </c>
      <c r="AH5618">
        <v>13.329614569308299</v>
      </c>
      <c r="AI5618">
        <v>94.592439186814801</v>
      </c>
      <c r="AJ5618">
        <v>67.513337449711898</v>
      </c>
      <c r="AK5618">
        <v>14.472946284354</v>
      </c>
      <c r="AL5618">
        <v>80.073069870475194</v>
      </c>
      <c r="AM5618">
        <v>71.589974915836805</v>
      </c>
      <c r="AN5618">
        <v>0.99999998959690495</v>
      </c>
    </row>
    <row r="5619" spans="1:40" x14ac:dyDescent="0.25">
      <c r="A5619" t="str">
        <f>"20190312173038760"</f>
        <v>20190312173038760</v>
      </c>
      <c r="B5619" t="str">
        <f>"1552383038753836"</f>
        <v>1552383038753836</v>
      </c>
      <c r="C5619" t="s">
        <v>40</v>
      </c>
      <c r="D5619">
        <v>3.6891569999999998</v>
      </c>
      <c r="E5619">
        <v>0.53009189999999995</v>
      </c>
      <c r="F5619" t="s">
        <v>43</v>
      </c>
      <c r="G5619">
        <v>-316.0856</v>
      </c>
      <c r="H5619">
        <v>-0.05</v>
      </c>
      <c r="I5619">
        <v>11.46941</v>
      </c>
      <c r="J5619">
        <v>-329.30829999999997</v>
      </c>
      <c r="K5619">
        <v>1.1087209999999901</v>
      </c>
      <c r="L5619">
        <v>17.260100000000001</v>
      </c>
      <c r="M5619">
        <v>0.99975939999999996</v>
      </c>
      <c r="N5619">
        <v>0</v>
      </c>
      <c r="O5619">
        <v>-1.7357279999999999E-2</v>
      </c>
      <c r="P5619">
        <v>0.93073229999999996</v>
      </c>
      <c r="Q5619">
        <v>0.16030059999999999</v>
      </c>
      <c r="R5619">
        <v>-0.32869609999999999</v>
      </c>
      <c r="S5619">
        <v>2.8326720000000001</v>
      </c>
      <c r="T5619">
        <v>-0.24582019999999999</v>
      </c>
      <c r="U5619">
        <v>-1.229034</v>
      </c>
      <c r="V5619">
        <v>0.3130812</v>
      </c>
      <c r="W5619">
        <v>0.1717796</v>
      </c>
      <c r="X5619">
        <v>0.93406210000000001</v>
      </c>
      <c r="Y5619">
        <v>0.3808956</v>
      </c>
      <c r="Z5619">
        <v>-1.435108E-2</v>
      </c>
      <c r="AA5619">
        <v>0.92450670000000001</v>
      </c>
      <c r="AB5619">
        <v>27</v>
      </c>
      <c r="AC5619">
        <v>13.2226999999999</v>
      </c>
      <c r="AD5619">
        <v>-1.1587209999999999</v>
      </c>
      <c r="AE5619">
        <v>-5.7906899999999997</v>
      </c>
      <c r="AF5619">
        <v>5.5246886629615899</v>
      </c>
      <c r="AG5619">
        <v>-1.1587209999999999</v>
      </c>
      <c r="AH5619">
        <v>13.2359421592001</v>
      </c>
      <c r="AI5619">
        <v>94.618799869380695</v>
      </c>
      <c r="AJ5619">
        <v>67.344319373955102</v>
      </c>
      <c r="AK5619">
        <v>14.389405269856899</v>
      </c>
      <c r="AL5619">
        <v>80.108695474286804</v>
      </c>
      <c r="AM5619">
        <v>71.469753483450404</v>
      </c>
      <c r="AN5619">
        <v>1.0000000377130001</v>
      </c>
    </row>
    <row r="5620" spans="1:40" x14ac:dyDescent="0.25">
      <c r="A5620" t="str">
        <f>"20190312173038772"</f>
        <v>20190312173038772</v>
      </c>
      <c r="B5620" t="str">
        <f>"1552383038763596"</f>
        <v>1552383038763596</v>
      </c>
      <c r="C5620" t="s">
        <v>40</v>
      </c>
      <c r="D5620">
        <v>3.6791019999999999</v>
      </c>
      <c r="E5620">
        <v>0.53026909999999905</v>
      </c>
      <c r="F5620" t="s">
        <v>43</v>
      </c>
      <c r="G5620">
        <v>-316.06630000000001</v>
      </c>
      <c r="H5620">
        <v>-0.05</v>
      </c>
      <c r="I5620">
        <v>11.45731</v>
      </c>
      <c r="J5620">
        <v>-329.1721</v>
      </c>
      <c r="K5620">
        <v>1.1086240000000001</v>
      </c>
      <c r="L5620">
        <v>17.256589999999999</v>
      </c>
      <c r="M5620">
        <v>0.99973939999999994</v>
      </c>
      <c r="N5620">
        <v>0</v>
      </c>
      <c r="O5620">
        <v>-1.8468410000000001E-2</v>
      </c>
      <c r="P5620">
        <v>0.92972549999999998</v>
      </c>
      <c r="Q5620">
        <v>0.1599477</v>
      </c>
      <c r="R5620">
        <v>-0.33170450000000001</v>
      </c>
      <c r="S5620">
        <v>2.8281860000000001</v>
      </c>
      <c r="T5620">
        <v>-0.24747769999999999</v>
      </c>
      <c r="U5620">
        <v>-1.239349</v>
      </c>
      <c r="V5620">
        <v>0.31510389999999999</v>
      </c>
      <c r="W5620">
        <v>0.17134469999999999</v>
      </c>
      <c r="X5620">
        <v>0.9334616</v>
      </c>
      <c r="Y5620">
        <v>0.38321460000000002</v>
      </c>
      <c r="Z5620">
        <v>-1.446266E-2</v>
      </c>
      <c r="AA5620">
        <v>0.92354610000000004</v>
      </c>
      <c r="AB5620">
        <v>27</v>
      </c>
      <c r="AC5620">
        <v>13.105799999999901</v>
      </c>
      <c r="AD5620">
        <v>-1.1586239999999901</v>
      </c>
      <c r="AE5620">
        <v>-5.7992799999999898</v>
      </c>
      <c r="AF5620">
        <v>5.5201471227368399</v>
      </c>
      <c r="AG5620">
        <v>-1.1586239999999901</v>
      </c>
      <c r="AH5620">
        <v>13.124895899030999</v>
      </c>
      <c r="AI5620">
        <v>94.652057297512002</v>
      </c>
      <c r="AJ5620">
        <v>67.189060776995007</v>
      </c>
      <c r="AK5620">
        <v>14.285563558727301</v>
      </c>
      <c r="AL5620">
        <v>80.133988206046496</v>
      </c>
      <c r="AM5620">
        <v>71.347121501209699</v>
      </c>
      <c r="AN5620">
        <v>1.00000001634392</v>
      </c>
    </row>
    <row r="5621" spans="1:40" x14ac:dyDescent="0.25">
      <c r="A5621" t="str">
        <f>"20190312173038783"</f>
        <v>20190312173038783</v>
      </c>
      <c r="B5621" t="str">
        <f>"1552383038773356"</f>
        <v>1552383038773356</v>
      </c>
      <c r="C5621" t="s">
        <v>40</v>
      </c>
      <c r="D5621">
        <v>3.699805</v>
      </c>
      <c r="E5621">
        <v>0.5304624</v>
      </c>
      <c r="F5621" t="s">
        <v>43</v>
      </c>
      <c r="G5621">
        <v>-315.98390000000001</v>
      </c>
      <c r="H5621">
        <v>-0.05</v>
      </c>
      <c r="I5621">
        <v>11.419420000000001</v>
      </c>
      <c r="J5621">
        <v>-329.03339999999997</v>
      </c>
      <c r="K5621">
        <v>1.1085320000000001</v>
      </c>
      <c r="L5621">
        <v>17.25299</v>
      </c>
      <c r="M5621">
        <v>0.99971719999999997</v>
      </c>
      <c r="N5621">
        <v>0</v>
      </c>
      <c r="O5621">
        <v>-1.962968E-2</v>
      </c>
      <c r="P5621">
        <v>0.92870490000000006</v>
      </c>
      <c r="Q5621">
        <v>0.15962599999999999</v>
      </c>
      <c r="R5621">
        <v>-0.33470450000000002</v>
      </c>
      <c r="S5621">
        <v>2.8235779999999999</v>
      </c>
      <c r="T5621">
        <v>-0.24805820000000001</v>
      </c>
      <c r="U5621">
        <v>-1.249725</v>
      </c>
      <c r="V5621">
        <v>0.31707419999999997</v>
      </c>
      <c r="W5621">
        <v>0.17093820000000001</v>
      </c>
      <c r="X5621">
        <v>0.9328687</v>
      </c>
      <c r="Y5621">
        <v>0.38552629999999999</v>
      </c>
      <c r="Z5621">
        <v>-1.4507600000000001E-2</v>
      </c>
      <c r="AA5621">
        <v>0.92258280000000004</v>
      </c>
      <c r="AB5621">
        <v>27</v>
      </c>
      <c r="AC5621">
        <v>13.049499999999901</v>
      </c>
      <c r="AD5621">
        <v>-1.1585319999999999</v>
      </c>
      <c r="AE5621">
        <v>-5.8335699999999999</v>
      </c>
      <c r="AF5621">
        <v>5.5398732633682597</v>
      </c>
      <c r="AG5621">
        <v>-1.1585319999999999</v>
      </c>
      <c r="AH5621">
        <v>13.075611720526901</v>
      </c>
      <c r="AI5621">
        <v>94.663995117331197</v>
      </c>
      <c r="AJ5621">
        <v>67.038605169643404</v>
      </c>
      <c r="AK5621">
        <v>14.2479477130984</v>
      </c>
      <c r="AL5621">
        <v>80.1576271858209</v>
      </c>
      <c r="AM5621">
        <v>71.227536174739996</v>
      </c>
      <c r="AN5621">
        <v>0.99999996398228397</v>
      </c>
    </row>
    <row r="5622" spans="1:40" x14ac:dyDescent="0.25">
      <c r="A5622" t="str">
        <f>"20190312173038793"</f>
        <v>20190312173038793</v>
      </c>
      <c r="B5622" t="str">
        <f>"1552383038783115"</f>
        <v>1552383038783115</v>
      </c>
      <c r="C5622" t="s">
        <v>40</v>
      </c>
      <c r="D5622">
        <v>3.6859229999999998</v>
      </c>
      <c r="E5622">
        <v>0.53059129999999999</v>
      </c>
      <c r="F5622" t="s">
        <v>43</v>
      </c>
      <c r="G5622">
        <v>-315.88440000000003</v>
      </c>
      <c r="H5622">
        <v>-0.05</v>
      </c>
      <c r="I5622">
        <v>11.374079999999999</v>
      </c>
      <c r="J5622">
        <v>-328.90600000000001</v>
      </c>
      <c r="K5622">
        <v>1.1084459999999901</v>
      </c>
      <c r="L5622">
        <v>17.24924</v>
      </c>
      <c r="M5622">
        <v>0.99969350000000001</v>
      </c>
      <c r="N5622">
        <v>0</v>
      </c>
      <c r="O5622">
        <v>-2.0798500000000001E-2</v>
      </c>
      <c r="P5622">
        <v>0.92760039999999999</v>
      </c>
      <c r="Q5622">
        <v>0.1596677</v>
      </c>
      <c r="R5622">
        <v>-0.33773309999999901</v>
      </c>
      <c r="S5622">
        <v>2.8188170000000001</v>
      </c>
      <c r="T5622">
        <v>-0.24835879999999999</v>
      </c>
      <c r="U5622">
        <v>-1.260284</v>
      </c>
      <c r="V5622">
        <v>0.31906689999999999</v>
      </c>
      <c r="W5622">
        <v>0.17090159999999999</v>
      </c>
      <c r="X5622">
        <v>0.93219580000000002</v>
      </c>
      <c r="Y5622">
        <v>0.38789950000000001</v>
      </c>
      <c r="Z5622">
        <v>-1.453868E-2</v>
      </c>
      <c r="AA5622">
        <v>0.92158700000000005</v>
      </c>
      <c r="AB5622">
        <v>27</v>
      </c>
      <c r="AC5622">
        <v>13.0215999999999</v>
      </c>
      <c r="AD5622">
        <v>-1.1584460000000001</v>
      </c>
      <c r="AE5622">
        <v>-5.8751599999999904</v>
      </c>
      <c r="AF5622">
        <v>5.5664307053785897</v>
      </c>
      <c r="AG5622">
        <v>-1.1584460000000001</v>
      </c>
      <c r="AH5622">
        <v>13.055139624473499</v>
      </c>
      <c r="AI5622">
        <v>94.666415731893295</v>
      </c>
      <c r="AJ5622">
        <v>66.907643079643606</v>
      </c>
      <c r="AK5622">
        <v>14.2395160924519</v>
      </c>
      <c r="AL5622">
        <v>80.159756151957495</v>
      </c>
      <c r="AM5622">
        <v>71.105229790953601</v>
      </c>
      <c r="AN5622">
        <v>1.0000000265479001</v>
      </c>
    </row>
    <row r="5623" spans="1:40" x14ac:dyDescent="0.25">
      <c r="A5623" t="str">
        <f>"20190312173038805"</f>
        <v>20190312173038805</v>
      </c>
      <c r="B5623" t="str">
        <f>"1552383038793852"</f>
        <v>1552383038793852</v>
      </c>
      <c r="C5623" t="s">
        <v>40</v>
      </c>
      <c r="D5623">
        <v>3.7176</v>
      </c>
      <c r="E5623">
        <v>0.53064489999999997</v>
      </c>
      <c r="F5623" t="s">
        <v>43</v>
      </c>
      <c r="G5623">
        <v>-315.72919999999999</v>
      </c>
      <c r="H5623">
        <v>-0.05</v>
      </c>
      <c r="I5623">
        <v>11.300129999999999</v>
      </c>
      <c r="J5623">
        <v>-328.7749</v>
      </c>
      <c r="K5623">
        <v>1.1083529999999999</v>
      </c>
      <c r="L5623">
        <v>17.24539</v>
      </c>
      <c r="M5623">
        <v>0.99966750000000004</v>
      </c>
      <c r="N5623">
        <v>0</v>
      </c>
      <c r="O5623">
        <v>-2.2014100000000002E-2</v>
      </c>
      <c r="P5623">
        <v>0.92657230000000002</v>
      </c>
      <c r="Q5623">
        <v>0.1594593</v>
      </c>
      <c r="R5623">
        <v>-0.3406419</v>
      </c>
      <c r="S5623">
        <v>2.8141479999999999</v>
      </c>
      <c r="T5623">
        <v>-0.2474065</v>
      </c>
      <c r="U5623">
        <v>-1.2705379999999999</v>
      </c>
      <c r="V5623">
        <v>0.32089529999999999</v>
      </c>
      <c r="W5623">
        <v>0.17061499999999999</v>
      </c>
      <c r="X5623">
        <v>0.93162049999999996</v>
      </c>
      <c r="Y5623">
        <v>0.39014549999999998</v>
      </c>
      <c r="Z5623">
        <v>-1.448721E-2</v>
      </c>
      <c r="AA5623">
        <v>0.92063930000000005</v>
      </c>
      <c r="AB5623">
        <v>27</v>
      </c>
      <c r="AC5623">
        <v>13.0457</v>
      </c>
      <c r="AD5623">
        <v>-1.158353</v>
      </c>
      <c r="AE5623">
        <v>-5.9452599999999904</v>
      </c>
      <c r="AF5623">
        <v>5.6199158295526299</v>
      </c>
      <c r="AG5623">
        <v>-1.158353</v>
      </c>
      <c r="AH5623">
        <v>13.087988349498501</v>
      </c>
      <c r="AI5623">
        <v>94.649330588687207</v>
      </c>
      <c r="AJ5623">
        <v>66.7615597854752</v>
      </c>
      <c r="AK5623">
        <v>14.290579926667601</v>
      </c>
      <c r="AL5623">
        <v>80.176421767157507</v>
      </c>
      <c r="AM5623">
        <v>70.993807191554097</v>
      </c>
      <c r="AN5623">
        <v>1.00000001390367</v>
      </c>
    </row>
    <row r="5624" spans="1:40" x14ac:dyDescent="0.25">
      <c r="A5624" t="str">
        <f>"20190312173038816"</f>
        <v>20190312173038816</v>
      </c>
      <c r="B5624" t="str">
        <f>"1552383038813372"</f>
        <v>1552383038813372</v>
      </c>
      <c r="C5624" t="s">
        <v>40</v>
      </c>
      <c r="D5624">
        <v>3.6722649999999999</v>
      </c>
      <c r="E5624">
        <v>0.53071190000000001</v>
      </c>
      <c r="F5624" t="s">
        <v>43</v>
      </c>
      <c r="G5624">
        <v>-315.6198</v>
      </c>
      <c r="H5624">
        <v>-0.05</v>
      </c>
      <c r="I5624">
        <v>11.25455</v>
      </c>
      <c r="J5624">
        <v>-328.63889999999998</v>
      </c>
      <c r="K5624">
        <v>1.108274</v>
      </c>
      <c r="L5624">
        <v>17.241029999999999</v>
      </c>
      <c r="M5624">
        <v>0.99963690000000005</v>
      </c>
      <c r="N5624">
        <v>0</v>
      </c>
      <c r="O5624">
        <v>-2.3357559999999999E-2</v>
      </c>
      <c r="P5624">
        <v>0.9254578</v>
      </c>
      <c r="Q5624">
        <v>0.15907019999999999</v>
      </c>
      <c r="R5624">
        <v>-0.34383809999999998</v>
      </c>
      <c r="S5624">
        <v>2.8099059999999998</v>
      </c>
      <c r="T5624">
        <v>-0.24742230000000001</v>
      </c>
      <c r="U5624">
        <v>-1.279633</v>
      </c>
      <c r="V5624">
        <v>0.322893599999999</v>
      </c>
      <c r="W5624">
        <v>0.17014840000000001</v>
      </c>
      <c r="X5624">
        <v>0.93101509999999998</v>
      </c>
      <c r="Y5624">
        <v>0.39189740000000001</v>
      </c>
      <c r="Z5624">
        <v>-1.4459939999999999E-2</v>
      </c>
      <c r="AA5624">
        <v>0.91989529999999997</v>
      </c>
      <c r="AB5624">
        <v>27</v>
      </c>
      <c r="AC5624">
        <v>13.0190999999999</v>
      </c>
      <c r="AD5624">
        <v>-1.158274</v>
      </c>
      <c r="AE5624">
        <v>-5.9864799999999896</v>
      </c>
      <c r="AF5624">
        <v>5.6438493145776496</v>
      </c>
      <c r="AG5624">
        <v>-1.158274</v>
      </c>
      <c r="AH5624">
        <v>13.069994063243399</v>
      </c>
      <c r="AI5624">
        <v>94.651310767292401</v>
      </c>
      <c r="AJ5624">
        <v>66.644478584942405</v>
      </c>
      <c r="AK5624">
        <v>14.2835352261949</v>
      </c>
      <c r="AL5624">
        <v>80.203551908430995</v>
      </c>
      <c r="AM5624">
        <v>70.872489285906099</v>
      </c>
      <c r="AN5624">
        <v>0.99999993568576195</v>
      </c>
    </row>
    <row r="5625" spans="1:40" x14ac:dyDescent="0.25">
      <c r="A5625" t="str">
        <f>"20190312173038828"</f>
        <v>20190312173038828</v>
      </c>
      <c r="B5625" t="str">
        <f>"1552383038823131"</f>
        <v>1552383038823131</v>
      </c>
      <c r="C5625" t="s">
        <v>40</v>
      </c>
      <c r="D5625">
        <v>3.6708620000000001</v>
      </c>
      <c r="E5625">
        <v>0.53074829999999995</v>
      </c>
      <c r="F5625" t="s">
        <v>43</v>
      </c>
      <c r="G5625">
        <v>-315.5462</v>
      </c>
      <c r="H5625">
        <v>-0.05</v>
      </c>
      <c r="I5625">
        <v>11.220599999999999</v>
      </c>
      <c r="J5625">
        <v>-328.50119999999998</v>
      </c>
      <c r="K5625">
        <v>1.1081920000000001</v>
      </c>
      <c r="L5625">
        <v>17.236419999999999</v>
      </c>
      <c r="M5625">
        <v>0.99960329999999997</v>
      </c>
      <c r="N5625">
        <v>0</v>
      </c>
      <c r="O5625">
        <v>-2.4750580000000001E-2</v>
      </c>
      <c r="P5625">
        <v>0.92432009999999998</v>
      </c>
      <c r="Q5625">
        <v>0.15877859999999999</v>
      </c>
      <c r="R5625">
        <v>-0.34701900000000002</v>
      </c>
      <c r="S5625">
        <v>2.8050540000000002</v>
      </c>
      <c r="T5625">
        <v>-0.24815619999999999</v>
      </c>
      <c r="U5625">
        <v>-1.2898559999999999</v>
      </c>
      <c r="V5625">
        <v>0.32483220000000002</v>
      </c>
      <c r="W5625">
        <v>0.1697805</v>
      </c>
      <c r="X5625">
        <v>0.93040780000000001</v>
      </c>
      <c r="Y5625">
        <v>0.39397579999999999</v>
      </c>
      <c r="Z5625">
        <v>-1.448559E-2</v>
      </c>
      <c r="AA5625">
        <v>0.91900660000000001</v>
      </c>
      <c r="AB5625">
        <v>27</v>
      </c>
      <c r="AC5625">
        <v>12.954999999999901</v>
      </c>
      <c r="AD5625">
        <v>-1.1581920000000001</v>
      </c>
      <c r="AE5625">
        <v>-6.0158199999999997</v>
      </c>
      <c r="AF5625">
        <v>5.6561160893810296</v>
      </c>
      <c r="AG5625">
        <v>-1.1581920000000001</v>
      </c>
      <c r="AH5625">
        <v>13.014371945864699</v>
      </c>
      <c r="AI5625">
        <v>94.666046313676901</v>
      </c>
      <c r="AJ5625">
        <v>66.509974862460993</v>
      </c>
      <c r="AK5625">
        <v>14.237518571391901</v>
      </c>
      <c r="AL5625">
        <v>80.224943137362104</v>
      </c>
      <c r="AM5625">
        <v>70.754432260080407</v>
      </c>
      <c r="AN5625">
        <v>1.00000002531896</v>
      </c>
    </row>
    <row r="5626" spans="1:40" x14ac:dyDescent="0.25">
      <c r="A5626" t="str">
        <f>"20190312173038838"</f>
        <v>20190312173038838</v>
      </c>
      <c r="B5626" t="str">
        <f>"1552383038833871"</f>
        <v>1552383038833871</v>
      </c>
      <c r="C5626" t="s">
        <v>40</v>
      </c>
      <c r="D5626">
        <v>3.6720769999999998</v>
      </c>
      <c r="E5626">
        <v>0.53079319999999997</v>
      </c>
      <c r="F5626" t="s">
        <v>43</v>
      </c>
      <c r="G5626">
        <v>-315.48599999999999</v>
      </c>
      <c r="H5626">
        <v>-0.05</v>
      </c>
      <c r="I5626">
        <v>11.196300000000001</v>
      </c>
      <c r="J5626">
        <v>-328.36799999999999</v>
      </c>
      <c r="K5626">
        <v>1.1081129999999999</v>
      </c>
      <c r="L5626">
        <v>17.231719999999999</v>
      </c>
      <c r="M5626">
        <v>0.9995676</v>
      </c>
      <c r="N5626">
        <v>0</v>
      </c>
      <c r="O5626">
        <v>-2.6153719999999998E-2</v>
      </c>
      <c r="P5626">
        <v>0.92321260000000005</v>
      </c>
      <c r="Q5626">
        <v>0.15824739999999901</v>
      </c>
      <c r="R5626">
        <v>-0.35019460000000002</v>
      </c>
      <c r="S5626">
        <v>2.8004760000000002</v>
      </c>
      <c r="T5626">
        <v>-0.24920800000000001</v>
      </c>
      <c r="U5626">
        <v>-1.299652</v>
      </c>
      <c r="V5626">
        <v>0.32675389999999999</v>
      </c>
      <c r="W5626">
        <v>0.16917850000000001</v>
      </c>
      <c r="X5626">
        <v>0.92984440000000002</v>
      </c>
      <c r="Y5626">
        <v>0.3958911</v>
      </c>
      <c r="Z5626">
        <v>-1.452091E-2</v>
      </c>
      <c r="AA5626">
        <v>0.91818270000000002</v>
      </c>
      <c r="AB5626">
        <v>27</v>
      </c>
      <c r="AC5626">
        <v>12.882</v>
      </c>
      <c r="AD5626">
        <v>-1.1581129999999999</v>
      </c>
      <c r="AE5626">
        <v>-6.0354200000000002</v>
      </c>
      <c r="AF5626">
        <v>5.6589079412986099</v>
      </c>
      <c r="AG5626">
        <v>-1.1581129999999999</v>
      </c>
      <c r="AH5626">
        <v>12.9496317064353</v>
      </c>
      <c r="AI5626">
        <v>94.684870041686693</v>
      </c>
      <c r="AJ5626">
        <v>66.394973470397005</v>
      </c>
      <c r="AK5626">
        <v>14.1794719979686</v>
      </c>
      <c r="AL5626">
        <v>80.259941657803395</v>
      </c>
      <c r="AM5626">
        <v>70.638164014950107</v>
      </c>
      <c r="AN5626">
        <v>1.0000000421194</v>
      </c>
    </row>
    <row r="5627" spans="1:40" x14ac:dyDescent="0.25">
      <c r="A5627" t="str">
        <f>"20190312173038850"</f>
        <v>20190312173038850</v>
      </c>
      <c r="B5627" t="str">
        <f>"1552383038843627"</f>
        <v>1552383038843627</v>
      </c>
      <c r="C5627" t="s">
        <v>40</v>
      </c>
      <c r="D5627">
        <v>3.6617739999999999</v>
      </c>
      <c r="E5627">
        <v>0.53083230000000003</v>
      </c>
      <c r="F5627" t="s">
        <v>43</v>
      </c>
      <c r="G5627">
        <v>-315.46690000000001</v>
      </c>
      <c r="H5627">
        <v>-0.05</v>
      </c>
      <c r="I5627">
        <v>11.18906</v>
      </c>
      <c r="J5627">
        <v>-328.2287</v>
      </c>
      <c r="K5627">
        <v>1.108042</v>
      </c>
      <c r="L5627">
        <v>17.22653</v>
      </c>
      <c r="M5627">
        <v>0.99952660000000004</v>
      </c>
      <c r="N5627">
        <v>0</v>
      </c>
      <c r="O5627">
        <v>-2.767238E-2</v>
      </c>
      <c r="P5627">
        <v>0.92211659999999995</v>
      </c>
      <c r="Q5627">
        <v>0.15757019999999999</v>
      </c>
      <c r="R5627">
        <v>-0.35337410000000002</v>
      </c>
      <c r="S5627">
        <v>2.7958069999999999</v>
      </c>
      <c r="T5627">
        <v>-0.25097570000000002</v>
      </c>
      <c r="U5627">
        <v>-1.309509</v>
      </c>
      <c r="V5627">
        <v>0.32857189999999997</v>
      </c>
      <c r="W5627">
        <v>0.1684312</v>
      </c>
      <c r="X5627">
        <v>0.92933920000000003</v>
      </c>
      <c r="Y5627">
        <v>0.39772030000000003</v>
      </c>
      <c r="Z5627">
        <v>-1.45843E-2</v>
      </c>
      <c r="AA5627">
        <v>0.91739079999999995</v>
      </c>
      <c r="AB5627">
        <v>27</v>
      </c>
      <c r="AC5627">
        <v>12.7617999999999</v>
      </c>
      <c r="AD5627">
        <v>-1.158042</v>
      </c>
      <c r="AE5627">
        <v>-6.0374699999999901</v>
      </c>
      <c r="AF5627">
        <v>5.6440012988700303</v>
      </c>
      <c r="AG5627">
        <v>-1.158042</v>
      </c>
      <c r="AH5627">
        <v>12.837622001873299</v>
      </c>
      <c r="AI5627">
        <v>94.720689472637702</v>
      </c>
      <c r="AJ5627">
        <v>66.267530020005196</v>
      </c>
      <c r="AK5627">
        <v>14.071259737436099</v>
      </c>
      <c r="AL5627">
        <v>80.303381339960893</v>
      </c>
      <c r="AM5627">
        <v>70.528731423219</v>
      </c>
      <c r="AN5627">
        <v>0.99999995562984401</v>
      </c>
    </row>
    <row r="5628" spans="1:40" x14ac:dyDescent="0.25">
      <c r="A5628" t="str">
        <f>"20190312173038861"</f>
        <v>20190312173038861</v>
      </c>
      <c r="B5628" t="str">
        <f>"1552383038853388"</f>
        <v>1552383038853388</v>
      </c>
      <c r="C5628" t="s">
        <v>40</v>
      </c>
      <c r="D5628">
        <v>3.6230340000000001</v>
      </c>
      <c r="E5628">
        <v>0.53088469999999999</v>
      </c>
      <c r="F5628" t="s">
        <v>43</v>
      </c>
      <c r="G5628">
        <v>-315.49900000000002</v>
      </c>
      <c r="H5628">
        <v>-0.05</v>
      </c>
      <c r="I5628">
        <v>11.20978</v>
      </c>
      <c r="J5628">
        <v>-328.09640000000002</v>
      </c>
      <c r="K5628">
        <v>1.107974</v>
      </c>
      <c r="L5628">
        <v>17.221440000000001</v>
      </c>
      <c r="M5628">
        <v>0.9994847</v>
      </c>
      <c r="N5628">
        <v>0</v>
      </c>
      <c r="O5628">
        <v>-2.9147869999999999E-2</v>
      </c>
      <c r="P5628">
        <v>0.92093159999999996</v>
      </c>
      <c r="Q5628">
        <v>0.15677260000000001</v>
      </c>
      <c r="R5628">
        <v>-0.35680220000000001</v>
      </c>
      <c r="S5628">
        <v>2.7911990000000002</v>
      </c>
      <c r="T5628">
        <v>-0.25392009999999998</v>
      </c>
      <c r="U5628">
        <v>-1.319275</v>
      </c>
      <c r="V5628">
        <v>0.33068069999999999</v>
      </c>
      <c r="W5628">
        <v>0.1675644</v>
      </c>
      <c r="X5628">
        <v>0.92874780000000001</v>
      </c>
      <c r="Y5628">
        <v>0.3995435</v>
      </c>
      <c r="Z5628">
        <v>-1.4718190000000001E-2</v>
      </c>
      <c r="AA5628">
        <v>0.91659610000000002</v>
      </c>
      <c r="AB5628">
        <v>27</v>
      </c>
      <c r="AC5628">
        <v>12.597399999999899</v>
      </c>
      <c r="AD5628">
        <v>-1.1579740000000001</v>
      </c>
      <c r="AE5628">
        <v>-6.01166</v>
      </c>
      <c r="AF5628">
        <v>5.6033211186293297</v>
      </c>
      <c r="AG5628">
        <v>-1.1579740000000001</v>
      </c>
      <c r="AH5628">
        <v>12.680022124867</v>
      </c>
      <c r="AI5628">
        <v>94.774854311630506</v>
      </c>
      <c r="AJ5628">
        <v>66.159291557838102</v>
      </c>
      <c r="AK5628">
        <v>13.911185155488001</v>
      </c>
      <c r="AL5628">
        <v>80.353761933959603</v>
      </c>
      <c r="AM5628">
        <v>70.401725478425007</v>
      </c>
      <c r="AN5628">
        <v>1.00000001475234</v>
      </c>
    </row>
    <row r="5629" spans="1:40" x14ac:dyDescent="0.25">
      <c r="A5629" t="str">
        <f>"20190312173038871"</f>
        <v>20190312173038871</v>
      </c>
      <c r="B5629" t="str">
        <f>"1552383038863148"</f>
        <v>1552383038863148</v>
      </c>
      <c r="C5629" t="s">
        <v>40</v>
      </c>
      <c r="D5629">
        <v>3.6803680000000001</v>
      </c>
      <c r="E5629">
        <v>0.53086800000000001</v>
      </c>
      <c r="F5629" t="s">
        <v>43</v>
      </c>
      <c r="G5629">
        <v>-315.60000000000002</v>
      </c>
      <c r="H5629">
        <v>-0.05</v>
      </c>
      <c r="I5629">
        <v>11.25609</v>
      </c>
      <c r="J5629">
        <v>-327.96100000000001</v>
      </c>
      <c r="K5629">
        <v>1.1079049999999999</v>
      </c>
      <c r="L5629">
        <v>17.21585</v>
      </c>
      <c r="M5629">
        <v>0.99943740000000003</v>
      </c>
      <c r="N5629">
        <v>0</v>
      </c>
      <c r="O5629">
        <v>-3.0722409999999999E-2</v>
      </c>
      <c r="P5629">
        <v>0.91977189999999998</v>
      </c>
      <c r="Q5629">
        <v>0.15594620000000001</v>
      </c>
      <c r="R5629">
        <v>-0.36013919999999999</v>
      </c>
      <c r="S5629">
        <v>2.7862239999999998</v>
      </c>
      <c r="T5629">
        <v>-0.25818429999999998</v>
      </c>
      <c r="U5629">
        <v>-1.3300479999999999</v>
      </c>
      <c r="V5629">
        <v>0.33260659999999997</v>
      </c>
      <c r="W5629">
        <v>0.16667209999999999</v>
      </c>
      <c r="X5629">
        <v>0.9282205</v>
      </c>
      <c r="Y5629">
        <v>0.40157680000000001</v>
      </c>
      <c r="Z5629">
        <v>-1.492837E-2</v>
      </c>
      <c r="AA5629">
        <v>0.91570370000000001</v>
      </c>
      <c r="AB5629">
        <v>27</v>
      </c>
      <c r="AC5629">
        <v>12.360999999999899</v>
      </c>
      <c r="AD5629">
        <v>-1.157905</v>
      </c>
      <c r="AE5629">
        <v>-5.9597600000000002</v>
      </c>
      <c r="AF5629">
        <v>5.5377248539033399</v>
      </c>
      <c r="AG5629">
        <v>-1.157905</v>
      </c>
      <c r="AH5629">
        <v>12.449640299895099</v>
      </c>
      <c r="AI5629">
        <v>94.857292935923596</v>
      </c>
      <c r="AJ5629">
        <v>66.020022065998205</v>
      </c>
      <c r="AK5629">
        <v>13.674819345912301</v>
      </c>
      <c r="AL5629">
        <v>80.405616223858004</v>
      </c>
      <c r="AM5629">
        <v>70.286019796880097</v>
      </c>
      <c r="AN5629">
        <v>1.0000000179511099</v>
      </c>
    </row>
    <row r="5630" spans="1:40" x14ac:dyDescent="0.25">
      <c r="A5630" t="str">
        <f>"20190312173038884"</f>
        <v>20190312173038884</v>
      </c>
      <c r="B5630" t="str">
        <f>"1552383038873884"</f>
        <v>1552383038873884</v>
      </c>
      <c r="C5630" t="s">
        <v>40</v>
      </c>
      <c r="D5630">
        <v>3.6505670000000001</v>
      </c>
      <c r="E5630">
        <v>0.5308406</v>
      </c>
      <c r="F5630" t="s">
        <v>43</v>
      </c>
      <c r="G5630">
        <v>-315.62670000000003</v>
      </c>
      <c r="H5630">
        <v>-0.05</v>
      </c>
      <c r="I5630">
        <v>11.27553</v>
      </c>
      <c r="J5630">
        <v>-327.81740000000002</v>
      </c>
      <c r="K5630">
        <v>1.1078380000000001</v>
      </c>
      <c r="L5630">
        <v>17.209810000000001</v>
      </c>
      <c r="M5630">
        <v>0.99938389999999999</v>
      </c>
      <c r="N5630">
        <v>0</v>
      </c>
      <c r="O5630">
        <v>-3.2414070000000003E-2</v>
      </c>
      <c r="P5630">
        <v>0.91855869999999995</v>
      </c>
      <c r="Q5630">
        <v>0.15509139999999999</v>
      </c>
      <c r="R5630">
        <v>-0.36358889999999999</v>
      </c>
      <c r="S5630">
        <v>2.7814329999999998</v>
      </c>
      <c r="T5630">
        <v>-0.26111299999999998</v>
      </c>
      <c r="U5630">
        <v>-1.339569</v>
      </c>
      <c r="V5630">
        <v>0.33454080000000003</v>
      </c>
      <c r="W5630">
        <v>0.16574910000000001</v>
      </c>
      <c r="X5630">
        <v>0.92769049999999997</v>
      </c>
      <c r="Y5630">
        <v>0.4031574</v>
      </c>
      <c r="Z5630">
        <v>-1.5030470000000001E-2</v>
      </c>
      <c r="AA5630">
        <v>0.91500720000000002</v>
      </c>
      <c r="AB5630">
        <v>27</v>
      </c>
      <c r="AC5630">
        <v>12.1906999999999</v>
      </c>
      <c r="AD5630">
        <v>-1.1578379999999999</v>
      </c>
      <c r="AE5630">
        <v>-5.9342800000000002</v>
      </c>
      <c r="AF5630">
        <v>5.49589579872183</v>
      </c>
      <c r="AG5630">
        <v>-1.1578379999999999</v>
      </c>
      <c r="AH5630">
        <v>12.287060014908599</v>
      </c>
      <c r="AI5630">
        <v>94.916448517465298</v>
      </c>
      <c r="AJ5630">
        <v>65.901444518746302</v>
      </c>
      <c r="AK5630">
        <v>13.509896493852899</v>
      </c>
      <c r="AL5630">
        <v>80.459245913452904</v>
      </c>
      <c r="AM5630">
        <v>70.169843233487001</v>
      </c>
      <c r="AN5630">
        <v>0.99999998740285001</v>
      </c>
    </row>
    <row r="5631" spans="1:40" x14ac:dyDescent="0.25">
      <c r="A5631" t="str">
        <f>"20190312173038895"</f>
        <v>20190312173038895</v>
      </c>
      <c r="B5631" t="str">
        <f>"1552383038883644"</f>
        <v>1552383038883644</v>
      </c>
      <c r="C5631" t="s">
        <v>40</v>
      </c>
      <c r="D5631">
        <v>3.6701769999999998</v>
      </c>
      <c r="E5631">
        <v>0.53085579999999999</v>
      </c>
      <c r="F5631" t="s">
        <v>43</v>
      </c>
      <c r="G5631">
        <v>-315.63479999999998</v>
      </c>
      <c r="H5631">
        <v>-0.05</v>
      </c>
      <c r="I5631">
        <v>11.2874</v>
      </c>
      <c r="J5631">
        <v>-327.69029999999998</v>
      </c>
      <c r="K5631">
        <v>1.1077790000000001</v>
      </c>
      <c r="L5631">
        <v>17.204039999999999</v>
      </c>
      <c r="M5631">
        <v>0.99933209999999995</v>
      </c>
      <c r="N5631">
        <v>0</v>
      </c>
      <c r="O5631">
        <v>-3.3975350000000001E-2</v>
      </c>
      <c r="P5631">
        <v>0.91730160000000005</v>
      </c>
      <c r="Q5631">
        <v>0.1544943</v>
      </c>
      <c r="R5631">
        <v>-0.36700070000000001</v>
      </c>
      <c r="S5631">
        <v>2.7762760000000002</v>
      </c>
      <c r="T5631">
        <v>-0.26385700000000001</v>
      </c>
      <c r="U5631">
        <v>-1.34964</v>
      </c>
      <c r="V5631">
        <v>0.33655970000000002</v>
      </c>
      <c r="W5631">
        <v>0.16508879999999901</v>
      </c>
      <c r="X5631">
        <v>0.92707779999999995</v>
      </c>
      <c r="Y5631">
        <v>0.40504990000000002</v>
      </c>
      <c r="Z5631">
        <v>-1.514719E-2</v>
      </c>
      <c r="AA5631">
        <v>0.91416909999999896</v>
      </c>
      <c r="AB5631">
        <v>27</v>
      </c>
      <c r="AC5631">
        <v>12.055499999999901</v>
      </c>
      <c r="AD5631">
        <v>-1.1577789999999999</v>
      </c>
      <c r="AE5631">
        <v>-5.9166399999999904</v>
      </c>
      <c r="AF5631">
        <v>5.4629910504062797</v>
      </c>
      <c r="AG5631">
        <v>-1.1577789999999999</v>
      </c>
      <c r="AH5631">
        <v>12.159199403169101</v>
      </c>
      <c r="AI5631">
        <v>94.963954589553694</v>
      </c>
      <c r="AJ5631">
        <v>65.806154550336004</v>
      </c>
      <c r="AK5631">
        <v>13.38024116209</v>
      </c>
      <c r="AL5631">
        <v>80.497606877694196</v>
      </c>
      <c r="AM5631">
        <v>70.047439558483305</v>
      </c>
      <c r="AN5631">
        <v>0.999999995401185</v>
      </c>
    </row>
    <row r="5632" spans="1:40" x14ac:dyDescent="0.25">
      <c r="A5632" t="str">
        <f>"20190312173038908"</f>
        <v>20190312173038908</v>
      </c>
      <c r="B5632" t="str">
        <f>"1552383038903163"</f>
        <v>1552383038903163</v>
      </c>
      <c r="C5632" t="s">
        <v>40</v>
      </c>
      <c r="D5632">
        <v>3.6784330000000001</v>
      </c>
      <c r="E5632">
        <v>0.5308467</v>
      </c>
      <c r="F5632" t="s">
        <v>43</v>
      </c>
      <c r="G5632">
        <v>-315.61070000000001</v>
      </c>
      <c r="H5632">
        <v>-0.05</v>
      </c>
      <c r="I5632">
        <v>11.27557</v>
      </c>
      <c r="J5632">
        <v>-327.54059999999998</v>
      </c>
      <c r="K5632">
        <v>1.10771</v>
      </c>
      <c r="L5632">
        <v>17.197109999999999</v>
      </c>
      <c r="M5632">
        <v>0.99926700000000002</v>
      </c>
      <c r="N5632">
        <v>0</v>
      </c>
      <c r="O5632">
        <v>-3.5836760000000002E-2</v>
      </c>
      <c r="P5632">
        <v>0.91601120000000003</v>
      </c>
      <c r="Q5632">
        <v>0.15379660000000001</v>
      </c>
      <c r="R5632">
        <v>-0.3705</v>
      </c>
      <c r="S5632">
        <v>2.7710569999999999</v>
      </c>
      <c r="T5632">
        <v>-0.26559349999999998</v>
      </c>
      <c r="U5632">
        <v>-1.359985</v>
      </c>
      <c r="V5632">
        <v>0.33839360000000002</v>
      </c>
      <c r="W5632">
        <v>0.1643232</v>
      </c>
      <c r="X5632">
        <v>0.92654610000000004</v>
      </c>
      <c r="Y5632">
        <v>0.4067598</v>
      </c>
      <c r="Z5632">
        <v>-1.517013E-2</v>
      </c>
      <c r="AA5632">
        <v>0.91340920000000003</v>
      </c>
      <c r="AB5632">
        <v>27</v>
      </c>
      <c r="AC5632">
        <v>11.9298999999999</v>
      </c>
      <c r="AD5632">
        <v>-1.15771</v>
      </c>
      <c r="AE5632">
        <v>-5.9215400000000002</v>
      </c>
      <c r="AF5632">
        <v>5.4489967094649501</v>
      </c>
      <c r="AG5632">
        <v>-1.15771</v>
      </c>
      <c r="AH5632">
        <v>12.0434661740334</v>
      </c>
      <c r="AI5632">
        <v>95.005226083854197</v>
      </c>
      <c r="AJ5632">
        <v>65.655900786798</v>
      </c>
      <c r="AK5632">
        <v>13.269398444125001</v>
      </c>
      <c r="AL5632">
        <v>80.542080038977005</v>
      </c>
      <c r="AM5632">
        <v>69.936771812818805</v>
      </c>
      <c r="AN5632">
        <v>1.0000000090022001</v>
      </c>
    </row>
    <row r="5633" spans="1:40" x14ac:dyDescent="0.25">
      <c r="A5633" t="str">
        <f>"20190312173038919"</f>
        <v>20190312173038919</v>
      </c>
      <c r="B5633" t="str">
        <f>"1552383038912924"</f>
        <v>1552383038912924</v>
      </c>
      <c r="C5633" t="s">
        <v>40</v>
      </c>
      <c r="D5633">
        <v>3.5958649999999999</v>
      </c>
      <c r="E5633">
        <v>0.53088000000000002</v>
      </c>
      <c r="F5633" t="s">
        <v>43</v>
      </c>
      <c r="G5633">
        <v>-315.60719999999998</v>
      </c>
      <c r="H5633">
        <v>-0.05</v>
      </c>
      <c r="I5633">
        <v>11.28506</v>
      </c>
      <c r="J5633">
        <v>-327.3965</v>
      </c>
      <c r="K5633">
        <v>1.1076520000000001</v>
      </c>
      <c r="L5633">
        <v>17.190059999999999</v>
      </c>
      <c r="M5633">
        <v>0.99919930000000001</v>
      </c>
      <c r="N5633">
        <v>0</v>
      </c>
      <c r="O5633">
        <v>-3.7673119999999997E-2</v>
      </c>
      <c r="P5633">
        <v>0.91470450000000003</v>
      </c>
      <c r="Q5633">
        <v>0.15322349999999901</v>
      </c>
      <c r="R5633">
        <v>-0.37394959999999999</v>
      </c>
      <c r="S5633">
        <v>2.7658689999999999</v>
      </c>
      <c r="T5633">
        <v>-0.2683296</v>
      </c>
      <c r="U5633">
        <v>-1.3702700000000001</v>
      </c>
      <c r="V5633">
        <v>0.34020319999999998</v>
      </c>
      <c r="W5633">
        <v>0.16368669999999999</v>
      </c>
      <c r="X5633">
        <v>0.92599589999999998</v>
      </c>
      <c r="Y5633">
        <v>0.4084605</v>
      </c>
      <c r="Z5633">
        <v>-1.525024E-2</v>
      </c>
      <c r="AA5633">
        <v>0.91264860000000003</v>
      </c>
      <c r="AB5633">
        <v>27</v>
      </c>
      <c r="AC5633">
        <v>11.789300000000001</v>
      </c>
      <c r="AD5633">
        <v>-1.1576519999999999</v>
      </c>
      <c r="AE5633">
        <v>-5.9049999999999896</v>
      </c>
      <c r="AF5633">
        <v>5.4148871783994501</v>
      </c>
      <c r="AG5633">
        <v>-1.1576519999999999</v>
      </c>
      <c r="AH5633">
        <v>11.911589986651499</v>
      </c>
      <c r="AI5633">
        <v>95.056040862852598</v>
      </c>
      <c r="AJ5633">
        <v>65.553940040593005</v>
      </c>
      <c r="AK5633">
        <v>13.135719901017801</v>
      </c>
      <c r="AL5633">
        <v>80.579049109476401</v>
      </c>
      <c r="AM5633">
        <v>69.827087354057696</v>
      </c>
      <c r="AN5633">
        <v>0.99999997993196899</v>
      </c>
    </row>
    <row r="5634" spans="1:40" x14ac:dyDescent="0.25">
      <c r="A5634" t="str">
        <f>"20190312173038931"</f>
        <v>20190312173038931</v>
      </c>
      <c r="B5634" t="str">
        <f>"1552383038923660"</f>
        <v>1552383038923660</v>
      </c>
      <c r="C5634" t="s">
        <v>40</v>
      </c>
      <c r="D5634">
        <v>3.6673710000000002</v>
      </c>
      <c r="E5634">
        <v>0.53087359999999995</v>
      </c>
      <c r="F5634" t="s">
        <v>43</v>
      </c>
      <c r="G5634">
        <v>-315.65159999999997</v>
      </c>
      <c r="H5634">
        <v>-0.05</v>
      </c>
      <c r="I5634">
        <v>11.31522</v>
      </c>
      <c r="J5634">
        <v>-327.25599999999997</v>
      </c>
      <c r="K5634">
        <v>1.1075950000000001</v>
      </c>
      <c r="L5634">
        <v>17.182860000000002</v>
      </c>
      <c r="M5634">
        <v>0.99912849999999997</v>
      </c>
      <c r="N5634">
        <v>0</v>
      </c>
      <c r="O5634">
        <v>-3.9507840000000002E-2</v>
      </c>
      <c r="P5634">
        <v>0.91343839999999998</v>
      </c>
      <c r="Q5634">
        <v>0.15279589999999901</v>
      </c>
      <c r="R5634">
        <v>-0.37720550000000003</v>
      </c>
      <c r="S5634">
        <v>2.7607729999999999</v>
      </c>
      <c r="T5634">
        <v>-0.27211960000000002</v>
      </c>
      <c r="U5634">
        <v>-1.380951</v>
      </c>
      <c r="V5634">
        <v>0.34182059999999997</v>
      </c>
      <c r="W5634">
        <v>0.16320029999999999</v>
      </c>
      <c r="X5634">
        <v>0.92548600000000003</v>
      </c>
      <c r="Y5634">
        <v>0.41024270000000002</v>
      </c>
      <c r="Z5634">
        <v>-1.539098E-2</v>
      </c>
      <c r="AA5634">
        <v>0.9118465</v>
      </c>
      <c r="AB5634">
        <v>27</v>
      </c>
      <c r="AC5634">
        <v>11.604399999999901</v>
      </c>
      <c r="AD5634">
        <v>-1.1575949999999999</v>
      </c>
      <c r="AE5634">
        <v>-5.8676399999999997</v>
      </c>
      <c r="AF5634">
        <v>5.3620581085696797</v>
      </c>
      <c r="AG5634">
        <v>-1.1575949999999999</v>
      </c>
      <c r="AH5634">
        <v>11.734185283294</v>
      </c>
      <c r="AI5634">
        <v>95.127260155044993</v>
      </c>
      <c r="AJ5634">
        <v>65.4414758218835</v>
      </c>
      <c r="AK5634">
        <v>12.953099922658501</v>
      </c>
      <c r="AL5634">
        <v>80.607297818703998</v>
      </c>
      <c r="AM5634">
        <v>69.728707916180497</v>
      </c>
      <c r="AN5634">
        <v>0.99999999835022502</v>
      </c>
    </row>
    <row r="5635" spans="1:40" x14ac:dyDescent="0.25">
      <c r="A5635" t="str">
        <f>"20190312173038942"</f>
        <v>20190312173038942</v>
      </c>
      <c r="B5635" t="str">
        <f>"1552383038933423"</f>
        <v>1552383038933423</v>
      </c>
      <c r="C5635" t="s">
        <v>40</v>
      </c>
      <c r="D5635">
        <v>3.6616089999999999</v>
      </c>
      <c r="E5635">
        <v>0.53083009999999997</v>
      </c>
      <c r="F5635" t="s">
        <v>43</v>
      </c>
      <c r="G5635">
        <v>-315.57760000000002</v>
      </c>
      <c r="H5635">
        <v>-0.05</v>
      </c>
      <c r="I5635">
        <v>11.28876</v>
      </c>
      <c r="J5635">
        <v>-327.12369999999999</v>
      </c>
      <c r="K5635">
        <v>1.10755</v>
      </c>
      <c r="L5635">
        <v>17.175899999999999</v>
      </c>
      <c r="M5635">
        <v>0.99905790000000005</v>
      </c>
      <c r="N5635">
        <v>0</v>
      </c>
      <c r="O5635">
        <v>-4.1253409999999997E-2</v>
      </c>
      <c r="P5635">
        <v>0.9122074</v>
      </c>
      <c r="Q5635">
        <v>0.15235609999999999</v>
      </c>
      <c r="R5635">
        <v>-0.3803494</v>
      </c>
      <c r="S5635">
        <v>2.755646</v>
      </c>
      <c r="T5635">
        <v>-0.27314729999999998</v>
      </c>
      <c r="U5635">
        <v>-1.3907780000000001</v>
      </c>
      <c r="V5635">
        <v>0.34340859999999901</v>
      </c>
      <c r="W5635">
        <v>0.16270490000000001</v>
      </c>
      <c r="X5635">
        <v>0.92498519999999895</v>
      </c>
      <c r="Y5635">
        <v>0.41191139999999998</v>
      </c>
      <c r="Z5635">
        <v>-1.537873E-2</v>
      </c>
      <c r="AA5635">
        <v>0.91109410000000002</v>
      </c>
      <c r="AB5635">
        <v>27</v>
      </c>
      <c r="AC5635">
        <v>11.5460999999999</v>
      </c>
      <c r="AD5635">
        <v>-1.1575500000000001</v>
      </c>
      <c r="AE5635">
        <v>-5.8871399999999898</v>
      </c>
      <c r="AF5635">
        <v>5.3629870974294596</v>
      </c>
      <c r="AG5635">
        <v>-1.1575500000000001</v>
      </c>
      <c r="AH5635">
        <v>11.685935837765699</v>
      </c>
      <c r="AI5635">
        <v>95.144307367673306</v>
      </c>
      <c r="AJ5635">
        <v>65.348349647652995</v>
      </c>
      <c r="AK5635">
        <v>12.909788883404399</v>
      </c>
      <c r="AL5635">
        <v>80.636066555503604</v>
      </c>
      <c r="AM5635">
        <v>69.632129261396699</v>
      </c>
      <c r="AN5635">
        <v>0.99999998562850401</v>
      </c>
    </row>
    <row r="5636" spans="1:40" x14ac:dyDescent="0.25">
      <c r="A5636" t="str">
        <f>"20190312173038951"</f>
        <v>20190312173038951</v>
      </c>
      <c r="B5636" t="str">
        <f>"1552383038943179"</f>
        <v>1552383038943179</v>
      </c>
      <c r="C5636" t="s">
        <v>40</v>
      </c>
      <c r="D5636">
        <v>3.8396219999999999</v>
      </c>
      <c r="E5636">
        <v>0.53085479999999996</v>
      </c>
      <c r="F5636" t="s">
        <v>43</v>
      </c>
      <c r="G5636">
        <v>-315.5127</v>
      </c>
      <c r="H5636">
        <v>-0.05</v>
      </c>
      <c r="I5636">
        <v>11.266529999999999</v>
      </c>
      <c r="J5636">
        <v>-327.0127</v>
      </c>
      <c r="K5636">
        <v>1.1075090000000001</v>
      </c>
      <c r="L5636">
        <v>17.169740000000001</v>
      </c>
      <c r="M5636">
        <v>0.9989943</v>
      </c>
      <c r="N5636">
        <v>0</v>
      </c>
      <c r="O5636">
        <v>-4.2766209999999999E-2</v>
      </c>
      <c r="P5636">
        <v>0.91104620000000003</v>
      </c>
      <c r="Q5636">
        <v>0.1523553</v>
      </c>
      <c r="R5636">
        <v>-0.38312289999999999</v>
      </c>
      <c r="S5636">
        <v>2.7507630000000001</v>
      </c>
      <c r="T5636">
        <v>-0.27423599999999998</v>
      </c>
      <c r="U5636">
        <v>-1.399994</v>
      </c>
      <c r="V5636">
        <v>0.34484150000000002</v>
      </c>
      <c r="W5636">
        <v>0.162656</v>
      </c>
      <c r="X5636">
        <v>0.92446059999999997</v>
      </c>
      <c r="Y5636">
        <v>0.41359609999999902</v>
      </c>
      <c r="Z5636">
        <v>-1.5391159999999999E-2</v>
      </c>
      <c r="AA5636">
        <v>0.91033039999999998</v>
      </c>
      <c r="AB5636">
        <v>27</v>
      </c>
      <c r="AC5636">
        <v>11.5</v>
      </c>
      <c r="AD5636">
        <v>-1.1575089999999999</v>
      </c>
      <c r="AE5636">
        <v>-5.9032099999999996</v>
      </c>
      <c r="AF5636">
        <v>5.3629508740563701</v>
      </c>
      <c r="AG5636">
        <v>-1.1575089999999999</v>
      </c>
      <c r="AH5636">
        <v>11.6485569917145</v>
      </c>
      <c r="AI5636">
        <v>95.1576825397254</v>
      </c>
      <c r="AJ5636">
        <v>65.278838580228197</v>
      </c>
      <c r="AK5636">
        <v>12.8759445926054</v>
      </c>
      <c r="AL5636">
        <v>80.638906448865299</v>
      </c>
      <c r="AM5636">
        <v>69.543521806087398</v>
      </c>
      <c r="AN5636">
        <v>1.0000000177052999</v>
      </c>
    </row>
    <row r="5637" spans="1:40" x14ac:dyDescent="0.25">
      <c r="A5637" t="str">
        <f>"20190312173038961"</f>
        <v>20190312173038961</v>
      </c>
      <c r="B5637" t="str">
        <f>"1552383038952941"</f>
        <v>1552383038952941</v>
      </c>
      <c r="C5637" t="s">
        <v>40</v>
      </c>
      <c r="D5637">
        <v>3.6664940000000001</v>
      </c>
      <c r="E5637">
        <v>0.53084489999999995</v>
      </c>
      <c r="F5637" t="s">
        <v>43</v>
      </c>
      <c r="G5637">
        <v>-315.39710000000002</v>
      </c>
      <c r="H5637">
        <v>-0.05</v>
      </c>
      <c r="I5637">
        <v>11.21208</v>
      </c>
      <c r="J5637">
        <v>-326.88600000000002</v>
      </c>
      <c r="K5637">
        <v>1.107461</v>
      </c>
      <c r="L5637">
        <v>17.162600000000001</v>
      </c>
      <c r="M5637">
        <v>0.99891839999999998</v>
      </c>
      <c r="N5637">
        <v>0</v>
      </c>
      <c r="O5637">
        <v>-4.4499450000000003E-2</v>
      </c>
      <c r="P5637">
        <v>0.90975850000000003</v>
      </c>
      <c r="Q5637">
        <v>0.1520773</v>
      </c>
      <c r="R5637">
        <v>-0.3862797</v>
      </c>
      <c r="S5637">
        <v>2.7463380000000002</v>
      </c>
      <c r="T5637">
        <v>-0.27367619999999998</v>
      </c>
      <c r="U5637">
        <v>-1.4086000000000001</v>
      </c>
      <c r="V5637">
        <v>0.34646100000000002</v>
      </c>
      <c r="W5637">
        <v>0.16232289999999999</v>
      </c>
      <c r="X5637">
        <v>0.9239134</v>
      </c>
      <c r="Y5637">
        <v>0.41487760000000001</v>
      </c>
      <c r="Z5637">
        <v>-1.5270260000000001E-2</v>
      </c>
      <c r="AA5637">
        <v>0.90974909999999998</v>
      </c>
      <c r="AB5637">
        <v>27</v>
      </c>
      <c r="AC5637">
        <v>11.4888999999999</v>
      </c>
      <c r="AD5637">
        <v>-1.1574610000000001</v>
      </c>
      <c r="AE5637">
        <v>-5.95052</v>
      </c>
      <c r="AF5637">
        <v>5.39019094097831</v>
      </c>
      <c r="AG5637">
        <v>-1.1574610000000001</v>
      </c>
      <c r="AH5637">
        <v>11.64910924694</v>
      </c>
      <c r="AI5637">
        <v>95.152707314333398</v>
      </c>
      <c r="AJ5637">
        <v>65.169419539937394</v>
      </c>
      <c r="AK5637">
        <v>12.887808991208299</v>
      </c>
      <c r="AL5637">
        <v>80.658248177993599</v>
      </c>
      <c r="AM5637">
        <v>69.444309536624999</v>
      </c>
      <c r="AN5637">
        <v>0.999999959542484</v>
      </c>
    </row>
    <row r="5638" spans="1:40" x14ac:dyDescent="0.25">
      <c r="A5638" t="str">
        <f>"20190312173038973"</f>
        <v>20190312173038973</v>
      </c>
      <c r="B5638" t="str">
        <f>"1552383038963676"</f>
        <v>1552383038963676</v>
      </c>
      <c r="C5638" t="s">
        <v>40</v>
      </c>
      <c r="D5638">
        <v>3.655151</v>
      </c>
      <c r="E5638">
        <v>0.53083740000000001</v>
      </c>
      <c r="F5638" t="s">
        <v>43</v>
      </c>
      <c r="G5638">
        <v>-315.30450000000002</v>
      </c>
      <c r="H5638">
        <v>-0.05</v>
      </c>
      <c r="I5638">
        <v>11.170719999999999</v>
      </c>
      <c r="J5638">
        <v>-326.75290000000001</v>
      </c>
      <c r="K5638">
        <v>1.1074079999999999</v>
      </c>
      <c r="L5638">
        <v>17.154689999999999</v>
      </c>
      <c r="M5638">
        <v>0.99883279999999997</v>
      </c>
      <c r="N5638">
        <v>0</v>
      </c>
      <c r="O5638">
        <v>-4.6381430000000001E-2</v>
      </c>
      <c r="P5638">
        <v>0.90851990000000005</v>
      </c>
      <c r="Q5638">
        <v>0.15189169999999999</v>
      </c>
      <c r="R5638">
        <v>-0.38925660000000001</v>
      </c>
      <c r="S5638">
        <v>2.7412109999999998</v>
      </c>
      <c r="T5638">
        <v>-0.27395809999999998</v>
      </c>
      <c r="U5638">
        <v>-1.4182129999999999</v>
      </c>
      <c r="V5638">
        <v>0.34776570000000001</v>
      </c>
      <c r="W5638">
        <v>0.1620829</v>
      </c>
      <c r="X5638">
        <v>0.92346530000000004</v>
      </c>
      <c r="Y5638">
        <v>0.41637190000000002</v>
      </c>
      <c r="Z5638">
        <v>-1.519446E-2</v>
      </c>
      <c r="AA5638">
        <v>0.90906750000000003</v>
      </c>
      <c r="AB5638">
        <v>27</v>
      </c>
      <c r="AC5638">
        <v>11.4483999999999</v>
      </c>
      <c r="AD5638">
        <v>-1.157408</v>
      </c>
      <c r="AE5638">
        <v>-5.9839699999999896</v>
      </c>
      <c r="AF5638">
        <v>5.4031135042542298</v>
      </c>
      <c r="AG5638">
        <v>-1.157408</v>
      </c>
      <c r="AH5638">
        <v>11.620363877588201</v>
      </c>
      <c r="AI5638">
        <v>95.160726129038906</v>
      </c>
      <c r="AJ5638">
        <v>65.063014381831593</v>
      </c>
      <c r="AK5638">
        <v>12.867248558486599</v>
      </c>
      <c r="AL5638">
        <v>80.672184130463606</v>
      </c>
      <c r="AM5638">
        <v>69.364241778763201</v>
      </c>
      <c r="AN5638">
        <v>1.0000000044364901</v>
      </c>
    </row>
    <row r="5639" spans="1:40" x14ac:dyDescent="0.25">
      <c r="A5639" t="str">
        <f>"20190312173038985"</f>
        <v>20190312173038985</v>
      </c>
      <c r="B5639" t="str">
        <f>"1552383038973436"</f>
        <v>1552383038973436</v>
      </c>
      <c r="C5639" t="s">
        <v>40</v>
      </c>
      <c r="D5639">
        <v>3.6511589999999998</v>
      </c>
      <c r="E5639">
        <v>0.53084809999999905</v>
      </c>
      <c r="F5639" t="s">
        <v>43</v>
      </c>
      <c r="G5639">
        <v>-315.19490000000002</v>
      </c>
      <c r="H5639">
        <v>-0.05</v>
      </c>
      <c r="I5639">
        <v>11.12738</v>
      </c>
      <c r="J5639">
        <v>-326.61279999999999</v>
      </c>
      <c r="K5639">
        <v>1.1073539999999999</v>
      </c>
      <c r="L5639">
        <v>17.146179999999902</v>
      </c>
      <c r="M5639">
        <v>0.99873800000000001</v>
      </c>
      <c r="N5639">
        <v>0</v>
      </c>
      <c r="O5639">
        <v>-4.838021E-2</v>
      </c>
      <c r="P5639">
        <v>0.90719309999999997</v>
      </c>
      <c r="Q5639">
        <v>0.15158629999999901</v>
      </c>
      <c r="R5639">
        <v>-0.39245740000000001</v>
      </c>
      <c r="S5639">
        <v>2.7364809999999999</v>
      </c>
      <c r="T5639">
        <v>-0.27402900000000002</v>
      </c>
      <c r="U5639">
        <v>-1.4270320000000001</v>
      </c>
      <c r="V5639">
        <v>0.34919319999999998</v>
      </c>
      <c r="W5639">
        <v>0.16171969999999999</v>
      </c>
      <c r="X5639">
        <v>0.92299019999999998</v>
      </c>
      <c r="Y5639">
        <v>0.41750219999999999</v>
      </c>
      <c r="Z5639">
        <v>-1.5077689999999999E-2</v>
      </c>
      <c r="AA5639">
        <v>0.90855079999999999</v>
      </c>
      <c r="AB5639">
        <v>27</v>
      </c>
      <c r="AC5639">
        <v>11.4178999999999</v>
      </c>
      <c r="AD5639">
        <v>-1.157354</v>
      </c>
      <c r="AE5639">
        <v>-6.0187999999999899</v>
      </c>
      <c r="AF5639">
        <v>5.4157557647683099</v>
      </c>
      <c r="AG5639">
        <v>-1.157354</v>
      </c>
      <c r="AH5639">
        <v>11.6024571979386</v>
      </c>
      <c r="AI5639">
        <v>95.164853097329697</v>
      </c>
      <c r="AJ5639">
        <v>64.977933454145699</v>
      </c>
      <c r="AK5639">
        <v>12.856394977400701</v>
      </c>
      <c r="AL5639">
        <v>80.693272420575795</v>
      </c>
      <c r="AM5639">
        <v>69.276957259937404</v>
      </c>
      <c r="AN5639">
        <v>1.00000003079518</v>
      </c>
    </row>
    <row r="5640" spans="1:40" x14ac:dyDescent="0.25">
      <c r="A5640" t="str">
        <f>"20190312173038995"</f>
        <v>20190312173038995</v>
      </c>
      <c r="B5640" t="str">
        <f>"1552383038992956"</f>
        <v>1552383038992956</v>
      </c>
      <c r="C5640" t="s">
        <v>40</v>
      </c>
      <c r="D5640">
        <v>3.6411929999999999</v>
      </c>
      <c r="E5640">
        <v>0.53079270000000001</v>
      </c>
      <c r="F5640" t="s">
        <v>43</v>
      </c>
      <c r="G5640">
        <v>-315.10759999999999</v>
      </c>
      <c r="H5640">
        <v>-0.05</v>
      </c>
      <c r="I5640">
        <v>11.093</v>
      </c>
      <c r="J5640">
        <v>-326.47289999999998</v>
      </c>
      <c r="K5640">
        <v>1.1072979999999999</v>
      </c>
      <c r="L5640">
        <v>17.137270000000001</v>
      </c>
      <c r="M5640">
        <v>0.99863610000000003</v>
      </c>
      <c r="N5640">
        <v>0</v>
      </c>
      <c r="O5640">
        <v>-5.0439249999999998E-2</v>
      </c>
      <c r="P5640">
        <v>0.90578800000000004</v>
      </c>
      <c r="Q5640">
        <v>0.1515109</v>
      </c>
      <c r="R5640">
        <v>-0.39571859999999998</v>
      </c>
      <c r="S5640">
        <v>2.7311709999999998</v>
      </c>
      <c r="T5640">
        <v>-0.27474140000000002</v>
      </c>
      <c r="U5640">
        <v>-1.4369510000000001</v>
      </c>
      <c r="V5640">
        <v>0.35063440000000001</v>
      </c>
      <c r="W5640">
        <v>0.16158410000000001</v>
      </c>
      <c r="X5640">
        <v>0.92246740000000005</v>
      </c>
      <c r="Y5640">
        <v>0.4189349</v>
      </c>
      <c r="Z5640">
        <v>-1.5005630000000001E-2</v>
      </c>
      <c r="AA5640">
        <v>0.90789229999999999</v>
      </c>
      <c r="AB5640">
        <v>27</v>
      </c>
      <c r="AC5640">
        <v>11.3652999999999</v>
      </c>
      <c r="AD5640">
        <v>-1.1572979999999999</v>
      </c>
      <c r="AE5640">
        <v>-6.04427</v>
      </c>
      <c r="AF5640">
        <v>5.41946152748808</v>
      </c>
      <c r="AG5640">
        <v>-1.1572979999999999</v>
      </c>
      <c r="AH5640">
        <v>11.5622719865924</v>
      </c>
      <c r="AI5640">
        <v>95.178615131643994</v>
      </c>
      <c r="AJ5640">
        <v>64.886601165292305</v>
      </c>
      <c r="AK5640">
        <v>12.8217017357551</v>
      </c>
      <c r="AL5640">
        <v>80.701145021188694</v>
      </c>
      <c r="AM5640">
        <v>69.187956075107905</v>
      </c>
      <c r="AN5640">
        <v>1.0000000039494601</v>
      </c>
    </row>
    <row r="5641" spans="1:40" x14ac:dyDescent="0.25">
      <c r="A5641" t="str">
        <f>"20190312173039006"</f>
        <v>20190312173039006</v>
      </c>
      <c r="B5641" t="str">
        <f>"1552383039003692"</f>
        <v>1552383039003692</v>
      </c>
      <c r="C5641" t="s">
        <v>40</v>
      </c>
      <c r="D5641">
        <v>3.642299</v>
      </c>
      <c r="E5641">
        <v>0.53078449999999999</v>
      </c>
      <c r="F5641" t="s">
        <v>43</v>
      </c>
      <c r="G5641">
        <v>-314.95659999999998</v>
      </c>
      <c r="H5641">
        <v>-0.05</v>
      </c>
      <c r="I5641">
        <v>11.02646</v>
      </c>
      <c r="J5641">
        <v>-326.35590000000002</v>
      </c>
      <c r="K5641">
        <v>1.107256</v>
      </c>
      <c r="L5641">
        <v>17.129639999999998</v>
      </c>
      <c r="M5641">
        <v>0.99854679999999996</v>
      </c>
      <c r="N5641">
        <v>0</v>
      </c>
      <c r="O5641">
        <v>-5.217596E-2</v>
      </c>
      <c r="P5641">
        <v>0.90474410000000005</v>
      </c>
      <c r="Q5641">
        <v>0.1509731</v>
      </c>
      <c r="R5641">
        <v>-0.39830339999999997</v>
      </c>
      <c r="S5641">
        <v>2.7259220000000002</v>
      </c>
      <c r="T5641">
        <v>-0.27393469999999998</v>
      </c>
      <c r="U5641">
        <v>-1.446442</v>
      </c>
      <c r="V5641">
        <v>0.35167599999999999</v>
      </c>
      <c r="W5641">
        <v>0.16099869999999999</v>
      </c>
      <c r="X5641">
        <v>0.92217320000000003</v>
      </c>
      <c r="Y5641">
        <v>0.42055360000000003</v>
      </c>
      <c r="Z5641">
        <v>-1.488982E-2</v>
      </c>
      <c r="AA5641">
        <v>0.90714550000000005</v>
      </c>
      <c r="AB5641">
        <v>27</v>
      </c>
      <c r="AC5641">
        <v>11.3993</v>
      </c>
      <c r="AD5641">
        <v>-1.1572559999999901</v>
      </c>
      <c r="AE5641">
        <v>-6.1031799999999903</v>
      </c>
      <c r="AF5641">
        <v>5.4563357253503399</v>
      </c>
      <c r="AG5641">
        <v>-1.1572559999999901</v>
      </c>
      <c r="AH5641">
        <v>11.6092465932105</v>
      </c>
      <c r="AI5641">
        <v>95.155063640281696</v>
      </c>
      <c r="AJ5641">
        <v>64.826516600598694</v>
      </c>
      <c r="AK5641">
        <v>12.879652458791</v>
      </c>
      <c r="AL5641">
        <v>80.7351309232142</v>
      </c>
      <c r="AM5641">
        <v>69.125365125315497</v>
      </c>
      <c r="AN5641">
        <v>1.0000000005879599</v>
      </c>
    </row>
    <row r="5642" spans="1:40" x14ac:dyDescent="0.25">
      <c r="A5642" t="str">
        <f>"20190312173039017"</f>
        <v>20190312173039017</v>
      </c>
      <c r="B5642" t="str">
        <f>"1552383039013452"</f>
        <v>1552383039013452</v>
      </c>
      <c r="C5642" t="s">
        <v>40</v>
      </c>
      <c r="D5642">
        <v>3.6435460000000002</v>
      </c>
      <c r="E5642">
        <v>0.53079969999999999</v>
      </c>
      <c r="F5642" t="s">
        <v>43</v>
      </c>
      <c r="G5642">
        <v>-314.92329999999998</v>
      </c>
      <c r="H5642">
        <v>-0.05</v>
      </c>
      <c r="I5642">
        <v>11.019869999999999</v>
      </c>
      <c r="J5642">
        <v>-326.21940000000001</v>
      </c>
      <c r="K5642">
        <v>1.107202</v>
      </c>
      <c r="L5642">
        <v>17.120329999999999</v>
      </c>
      <c r="M5642">
        <v>0.9984362</v>
      </c>
      <c r="N5642">
        <v>0</v>
      </c>
      <c r="O5642">
        <v>-5.4248999999999999E-2</v>
      </c>
      <c r="P5642">
        <v>0.90340779999999998</v>
      </c>
      <c r="Q5642">
        <v>0.15084410000000001</v>
      </c>
      <c r="R5642">
        <v>-0.40137319999999999</v>
      </c>
      <c r="S5642">
        <v>2.7214969999999998</v>
      </c>
      <c r="T5642">
        <v>-0.27548030000000001</v>
      </c>
      <c r="U5642">
        <v>-1.454407</v>
      </c>
      <c r="V5642">
        <v>0.3529138</v>
      </c>
      <c r="W5642">
        <v>0.16081419999999999</v>
      </c>
      <c r="X5642">
        <v>0.92173240000000001</v>
      </c>
      <c r="Y5642">
        <v>0.42133690000000001</v>
      </c>
      <c r="Z5642">
        <v>-1.4827669999999999E-2</v>
      </c>
      <c r="AA5642">
        <v>0.90678300000000001</v>
      </c>
      <c r="AB5642">
        <v>27</v>
      </c>
      <c r="AC5642">
        <v>11.296099999999999</v>
      </c>
      <c r="AD5642">
        <v>-1.1572020000000001</v>
      </c>
      <c r="AE5642">
        <v>-6.10046</v>
      </c>
      <c r="AF5642">
        <v>5.4344629312799402</v>
      </c>
      <c r="AG5642">
        <v>-1.1572020000000001</v>
      </c>
      <c r="AH5642">
        <v>11.5168640450265</v>
      </c>
      <c r="AI5642">
        <v>95.192223217627202</v>
      </c>
      <c r="AJ5642">
        <v>64.738779995248393</v>
      </c>
      <c r="AK5642">
        <v>12.787128733687</v>
      </c>
      <c r="AL5642">
        <v>80.745841432567801</v>
      </c>
      <c r="AM5642">
        <v>69.049107622076306</v>
      </c>
      <c r="AN5642">
        <v>0.99999998718091998</v>
      </c>
    </row>
    <row r="5643" spans="1:40" x14ac:dyDescent="0.25">
      <c r="A5643" t="str">
        <f>"20190312173039029"</f>
        <v>20190312173039029</v>
      </c>
      <c r="B5643" t="str">
        <f>"1552383039023215"</f>
        <v>1552383039023215</v>
      </c>
      <c r="C5643" t="s">
        <v>40</v>
      </c>
      <c r="D5643">
        <v>3.6411660000000001</v>
      </c>
      <c r="E5643">
        <v>0.53080649999999996</v>
      </c>
      <c r="F5643" t="s">
        <v>43</v>
      </c>
      <c r="G5643">
        <v>-314.81689999999998</v>
      </c>
      <c r="H5643">
        <v>-0.05</v>
      </c>
      <c r="I5643">
        <v>10.974729999999999</v>
      </c>
      <c r="J5643">
        <v>-326.08999999999997</v>
      </c>
      <c r="K5643">
        <v>1.1071519999999999</v>
      </c>
      <c r="L5643">
        <v>17.111239999999999</v>
      </c>
      <c r="M5643">
        <v>0.99832580000000004</v>
      </c>
      <c r="N5643">
        <v>0</v>
      </c>
      <c r="O5643">
        <v>-5.6241729999999997E-2</v>
      </c>
      <c r="P5643">
        <v>0.90204070000000003</v>
      </c>
      <c r="Q5643">
        <v>0.15057419999999999</v>
      </c>
      <c r="R5643">
        <v>-0.40453660000000002</v>
      </c>
      <c r="S5643">
        <v>2.71637</v>
      </c>
      <c r="T5643">
        <v>-0.27567700000000001</v>
      </c>
      <c r="U5643">
        <v>-1.4640500000000001</v>
      </c>
      <c r="V5643">
        <v>0.35432170000000002</v>
      </c>
      <c r="W5643">
        <v>0.16048899999999999</v>
      </c>
      <c r="X5643">
        <v>0.92124890000000004</v>
      </c>
      <c r="Y5643">
        <v>0.42273579999999999</v>
      </c>
      <c r="Z5643">
        <v>-1.4730190000000001E-2</v>
      </c>
      <c r="AA5643">
        <v>0.90613319999999997</v>
      </c>
      <c r="AB5643">
        <v>27</v>
      </c>
      <c r="AC5643">
        <v>11.273099999999999</v>
      </c>
      <c r="AD5643">
        <v>-1.157152</v>
      </c>
      <c r="AE5643">
        <v>-6.1365099999999897</v>
      </c>
      <c r="AF5643">
        <v>5.4484339476846904</v>
      </c>
      <c r="AG5643">
        <v>-1.157152</v>
      </c>
      <c r="AH5643">
        <v>11.506885089642299</v>
      </c>
      <c r="AI5643">
        <v>95.193237670613996</v>
      </c>
      <c r="AJ5643">
        <v>64.6627546631087</v>
      </c>
      <c r="AK5643">
        <v>12.7840853290182</v>
      </c>
      <c r="AL5643">
        <v>80.764719908184802</v>
      </c>
      <c r="AM5643">
        <v>68.962749034016497</v>
      </c>
      <c r="AN5643">
        <v>1.00000006098154</v>
      </c>
    </row>
    <row r="5644" spans="1:40" x14ac:dyDescent="0.25">
      <c r="A5644" t="str">
        <f>"20190312173039038"</f>
        <v>20190312173039038</v>
      </c>
      <c r="B5644" t="str">
        <f>"1552383039032972"</f>
        <v>1552383039032972</v>
      </c>
      <c r="C5644" t="s">
        <v>40</v>
      </c>
      <c r="D5644">
        <v>3.641464</v>
      </c>
      <c r="E5644">
        <v>0.53081489999999998</v>
      </c>
      <c r="F5644" t="s">
        <v>43</v>
      </c>
      <c r="G5644">
        <v>-314.72890000000001</v>
      </c>
      <c r="H5644">
        <v>-0.05</v>
      </c>
      <c r="I5644">
        <v>10.934749999999999</v>
      </c>
      <c r="J5644">
        <v>-325.95400000000001</v>
      </c>
      <c r="K5644">
        <v>1.107102</v>
      </c>
      <c r="L5644">
        <v>17.101379999999999</v>
      </c>
      <c r="M5644">
        <v>0.99820379999999997</v>
      </c>
      <c r="N5644">
        <v>0</v>
      </c>
      <c r="O5644">
        <v>-5.8369219999999999E-2</v>
      </c>
      <c r="P5644">
        <v>0.90071610000000002</v>
      </c>
      <c r="Q5644">
        <v>0.1503929</v>
      </c>
      <c r="R5644">
        <v>-0.40754489999999999</v>
      </c>
      <c r="S5644">
        <v>2.7109380000000001</v>
      </c>
      <c r="T5644">
        <v>-0.276116799999999</v>
      </c>
      <c r="U5644">
        <v>-1.473816</v>
      </c>
      <c r="V5644">
        <v>0.35545189999999999</v>
      </c>
      <c r="W5644">
        <v>0.16025420000000001</v>
      </c>
      <c r="X5644">
        <v>0.92085430000000001</v>
      </c>
      <c r="Y5644">
        <v>0.4240835</v>
      </c>
      <c r="Z5644">
        <v>-1.463135E-2</v>
      </c>
      <c r="AA5644">
        <v>0.90550489999999995</v>
      </c>
      <c r="AB5644">
        <v>27</v>
      </c>
      <c r="AC5644">
        <v>11.2250999999999</v>
      </c>
      <c r="AD5644">
        <v>-1.1571020000000001</v>
      </c>
      <c r="AE5644">
        <v>-6.1666299999999996</v>
      </c>
      <c r="AF5644">
        <v>5.4563175284267897</v>
      </c>
      <c r="AG5644">
        <v>-1.1571020000000001</v>
      </c>
      <c r="AH5644">
        <v>11.4722908338944</v>
      </c>
      <c r="AI5644">
        <v>95.2043462010583</v>
      </c>
      <c r="AJ5644">
        <v>64.563848448675202</v>
      </c>
      <c r="AK5644">
        <v>12.7563216871823</v>
      </c>
      <c r="AL5644">
        <v>80.778349281299299</v>
      </c>
      <c r="AM5644">
        <v>68.893295816244503</v>
      </c>
      <c r="AN5644">
        <v>1.00000005182986</v>
      </c>
    </row>
    <row r="5645" spans="1:40" x14ac:dyDescent="0.25">
      <c r="A5645" t="str">
        <f>"20190312173039051"</f>
        <v>20190312173039051</v>
      </c>
      <c r="B5645" t="str">
        <f>"1552383039043708"</f>
        <v>1552383039043708</v>
      </c>
      <c r="C5645" t="s">
        <v>40</v>
      </c>
      <c r="D5645">
        <v>3.6482709999999998</v>
      </c>
      <c r="E5645">
        <v>0.53081269999999903</v>
      </c>
      <c r="F5645" t="s">
        <v>43</v>
      </c>
      <c r="G5645">
        <v>-314.62720000000002</v>
      </c>
      <c r="H5645">
        <v>-0.05</v>
      </c>
      <c r="I5645">
        <v>10.89279</v>
      </c>
      <c r="J5645">
        <v>-325.81819999999999</v>
      </c>
      <c r="K5645">
        <v>1.107051</v>
      </c>
      <c r="L5645">
        <v>17.091159999999999</v>
      </c>
      <c r="M5645">
        <v>0.99807429999999997</v>
      </c>
      <c r="N5645">
        <v>0</v>
      </c>
      <c r="O5645">
        <v>-6.0541629999999999E-2</v>
      </c>
      <c r="P5645">
        <v>0.89934609999999904</v>
      </c>
      <c r="Q5645">
        <v>0.1503005</v>
      </c>
      <c r="R5645">
        <v>-0.41059319999999999</v>
      </c>
      <c r="S5645">
        <v>2.7057799999999999</v>
      </c>
      <c r="T5645">
        <v>-0.27641130000000003</v>
      </c>
      <c r="U5645">
        <v>-1.4831240000000001</v>
      </c>
      <c r="V5645">
        <v>0.35658640000000003</v>
      </c>
      <c r="W5645">
        <v>0.16010869999999999</v>
      </c>
      <c r="X5645">
        <v>0.92044090000000001</v>
      </c>
      <c r="Y5645">
        <v>0.42523569999999999</v>
      </c>
      <c r="Z5645">
        <v>-1.450998E-2</v>
      </c>
      <c r="AA5645">
        <v>0.90496639999999995</v>
      </c>
      <c r="AB5645">
        <v>27</v>
      </c>
      <c r="AC5645">
        <v>11.190999999999899</v>
      </c>
      <c r="AD5645">
        <v>-1.1570510000000001</v>
      </c>
      <c r="AE5645">
        <v>-6.1983699999999997</v>
      </c>
      <c r="AF5645">
        <v>5.4647121469790703</v>
      </c>
      <c r="AG5645">
        <v>-1.1570510000000001</v>
      </c>
      <c r="AH5645">
        <v>11.452080965561199</v>
      </c>
      <c r="AI5645">
        <v>95.210087187258495</v>
      </c>
      <c r="AJ5645">
        <v>64.490423701589606</v>
      </c>
      <c r="AK5645">
        <v>12.7417425930566</v>
      </c>
      <c r="AL5645">
        <v>80.786794884647705</v>
      </c>
      <c r="AM5645">
        <v>68.823221134614002</v>
      </c>
      <c r="AN5645">
        <v>1.0000000534367199</v>
      </c>
    </row>
    <row r="5646" spans="1:40" x14ac:dyDescent="0.25">
      <c r="A5646" t="str">
        <f>"20190312173039062"</f>
        <v>20190312173039062</v>
      </c>
      <c r="B5646" t="str">
        <f>"1552383039053468"</f>
        <v>1552383039053468</v>
      </c>
      <c r="C5646" t="s">
        <v>40</v>
      </c>
      <c r="D5646">
        <v>3.6616979999999999</v>
      </c>
      <c r="E5646">
        <v>0.53078639999999999</v>
      </c>
      <c r="F5646" t="s">
        <v>43</v>
      </c>
      <c r="G5646">
        <v>-314.51350000000002</v>
      </c>
      <c r="H5646">
        <v>-0.05</v>
      </c>
      <c r="I5646">
        <v>10.844480000000001</v>
      </c>
      <c r="J5646">
        <v>-325.6866</v>
      </c>
      <c r="K5646">
        <v>1.107002</v>
      </c>
      <c r="L5646">
        <v>17.08109</v>
      </c>
      <c r="M5646">
        <v>0.99794320000000003</v>
      </c>
      <c r="N5646">
        <v>0</v>
      </c>
      <c r="O5646">
        <v>-6.2666310000000003E-2</v>
      </c>
      <c r="P5646">
        <v>0.89801799999999998</v>
      </c>
      <c r="Q5646">
        <v>0.15011440000000001</v>
      </c>
      <c r="R5646">
        <v>-0.41355710000000001</v>
      </c>
      <c r="S5646">
        <v>2.700653</v>
      </c>
      <c r="T5646">
        <v>-0.27641549999999998</v>
      </c>
      <c r="U5646">
        <v>-1.49231</v>
      </c>
      <c r="V5646">
        <v>0.35768030000000001</v>
      </c>
      <c r="W5646">
        <v>0.1598715</v>
      </c>
      <c r="X5646">
        <v>0.92005760000000003</v>
      </c>
      <c r="Y5646">
        <v>0.42639759999999999</v>
      </c>
      <c r="Z5646">
        <v>-1.437801E-2</v>
      </c>
      <c r="AA5646">
        <v>0.90442160000000005</v>
      </c>
      <c r="AB5646">
        <v>27</v>
      </c>
      <c r="AC5646">
        <v>11.1730999999999</v>
      </c>
      <c r="AD5646">
        <v>-1.1570020000000001</v>
      </c>
      <c r="AE5646">
        <v>-6.23660999999999</v>
      </c>
      <c r="AF5646">
        <v>5.4793113412940304</v>
      </c>
      <c r="AG5646">
        <v>-1.1570020000000001</v>
      </c>
      <c r="AH5646">
        <v>11.4483967131338</v>
      </c>
      <c r="AI5646">
        <v>95.208655000783295</v>
      </c>
      <c r="AJ5646">
        <v>64.423780762295493</v>
      </c>
      <c r="AK5646">
        <v>12.744696689373599</v>
      </c>
      <c r="AL5646">
        <v>80.800562671710296</v>
      </c>
      <c r="AM5646">
        <v>68.755979367590797</v>
      </c>
      <c r="AN5646">
        <v>1.0000000404190399</v>
      </c>
    </row>
    <row r="5647" spans="1:40" x14ac:dyDescent="0.25">
      <c r="A5647" t="str">
        <f>"20190312173039073"</f>
        <v>20190312173039073</v>
      </c>
      <c r="B5647" t="str">
        <f>"1552383039063228"</f>
        <v>1552383039063228</v>
      </c>
      <c r="C5647" t="s">
        <v>40</v>
      </c>
      <c r="D5647">
        <v>3.6505960000000002</v>
      </c>
      <c r="E5647">
        <v>0.53077479999999999</v>
      </c>
      <c r="F5647" t="s">
        <v>43</v>
      </c>
      <c r="G5647">
        <v>-314.41640000000001</v>
      </c>
      <c r="H5647">
        <v>-0.05</v>
      </c>
      <c r="I5647">
        <v>10.80438</v>
      </c>
      <c r="J5647">
        <v>-325.55329999999998</v>
      </c>
      <c r="K5647">
        <v>1.1069519999999999</v>
      </c>
      <c r="L5647">
        <v>17.070339999999899</v>
      </c>
      <c r="M5647">
        <v>0.99780150000000001</v>
      </c>
      <c r="N5647">
        <v>0</v>
      </c>
      <c r="O5647">
        <v>-6.4879370000000006E-2</v>
      </c>
      <c r="P5647">
        <v>0.89670159999999999</v>
      </c>
      <c r="Q5647">
        <v>0.14999599999999999</v>
      </c>
      <c r="R5647">
        <v>-0.4164467</v>
      </c>
      <c r="S5647">
        <v>2.6955870000000002</v>
      </c>
      <c r="T5647">
        <v>-0.27672970000000002</v>
      </c>
      <c r="U5647">
        <v>-1.5012509999999999</v>
      </c>
      <c r="V5647">
        <v>0.35862070000000001</v>
      </c>
      <c r="W5647">
        <v>0.1597034</v>
      </c>
      <c r="X5647">
        <v>0.9197206</v>
      </c>
      <c r="Y5647">
        <v>0.42740499999999998</v>
      </c>
      <c r="Z5647">
        <v>-1.4246E-2</v>
      </c>
      <c r="AA5647">
        <v>0.90394799999999997</v>
      </c>
      <c r="AB5647">
        <v>27</v>
      </c>
      <c r="AC5647">
        <v>11.136899999999899</v>
      </c>
      <c r="AD5647">
        <v>-1.156952</v>
      </c>
      <c r="AE5647">
        <v>-6.26595999999999</v>
      </c>
      <c r="AF5647">
        <v>5.4851719451613201</v>
      </c>
      <c r="AG5647">
        <v>-1.156952</v>
      </c>
      <c r="AH5647">
        <v>11.426336671759501</v>
      </c>
      <c r="AI5647">
        <v>95.215525459755796</v>
      </c>
      <c r="AJ5647">
        <v>64.3568328608374</v>
      </c>
      <c r="AK5647">
        <v>12.7274042496765</v>
      </c>
      <c r="AL5647">
        <v>80.810318913249404</v>
      </c>
      <c r="AM5647">
        <v>68.698019616645496</v>
      </c>
      <c r="AN5647">
        <v>0.99999998225220399</v>
      </c>
    </row>
    <row r="5648" spans="1:40" x14ac:dyDescent="0.25">
      <c r="A5648" t="str">
        <f>"20190312173039083"</f>
        <v>20190312173039083</v>
      </c>
      <c r="B5648" t="str">
        <f>"1552383039072988"</f>
        <v>1552383039072988</v>
      </c>
      <c r="C5648" t="s">
        <v>40</v>
      </c>
      <c r="D5648">
        <v>3.6667939999999999</v>
      </c>
      <c r="E5648">
        <v>0.5307558</v>
      </c>
      <c r="F5648" t="s">
        <v>43</v>
      </c>
      <c r="G5648">
        <v>-314.31020000000001</v>
      </c>
      <c r="H5648">
        <v>-0.05</v>
      </c>
      <c r="I5648">
        <v>10.760619999999999</v>
      </c>
      <c r="J5648">
        <v>-325.42570000000001</v>
      </c>
      <c r="K5648">
        <v>1.1069119999999999</v>
      </c>
      <c r="L5648">
        <v>17.05997</v>
      </c>
      <c r="M5648">
        <v>0.99766060000000001</v>
      </c>
      <c r="N5648">
        <v>0</v>
      </c>
      <c r="O5648">
        <v>-6.7011070000000006E-2</v>
      </c>
      <c r="P5648">
        <v>0.89546389999999998</v>
      </c>
      <c r="Q5648">
        <v>0.150067899999999</v>
      </c>
      <c r="R5648">
        <v>-0.41907549999999999</v>
      </c>
      <c r="S5648">
        <v>2.6906430000000001</v>
      </c>
      <c r="T5648">
        <v>-0.27687620000000002</v>
      </c>
      <c r="U5648">
        <v>-1.5100100000000001</v>
      </c>
      <c r="V5648">
        <v>0.359375</v>
      </c>
      <c r="W5648">
        <v>0.15972790000000001</v>
      </c>
      <c r="X5648">
        <v>0.91942190000000001</v>
      </c>
      <c r="Y5648">
        <v>0.42842269999999999</v>
      </c>
      <c r="Z5648">
        <v>-1.411275E-2</v>
      </c>
      <c r="AA5648">
        <v>0.90346819999999906</v>
      </c>
      <c r="AB5648">
        <v>27</v>
      </c>
      <c r="AC5648">
        <v>11.1154999999999</v>
      </c>
      <c r="AD5648">
        <v>-1.1569119999999999</v>
      </c>
      <c r="AE5648">
        <v>-6.2993499999999996</v>
      </c>
      <c r="AF5648">
        <v>5.4952006955976698</v>
      </c>
      <c r="AG5648">
        <v>-1.1569119999999999</v>
      </c>
      <c r="AH5648">
        <v>11.419045339533501</v>
      </c>
      <c r="AI5648">
        <v>95.2162576897571</v>
      </c>
      <c r="AJ5648">
        <v>64.301689484906404</v>
      </c>
      <c r="AK5648">
        <v>12.725182612715701</v>
      </c>
      <c r="AL5648">
        <v>80.808897183004703</v>
      </c>
      <c r="AM5648">
        <v>68.650932256645802</v>
      </c>
      <c r="AN5648">
        <v>1.00000001143151</v>
      </c>
    </row>
    <row r="5649" spans="1:40" x14ac:dyDescent="0.25">
      <c r="A5649" t="str">
        <f>"20190312173039094"</f>
        <v>20190312173039094</v>
      </c>
      <c r="B5649" t="str">
        <f>"1552383039083724"</f>
        <v>1552383039083724</v>
      </c>
      <c r="C5649" t="s">
        <v>40</v>
      </c>
      <c r="D5649">
        <v>3.6156350000000002</v>
      </c>
      <c r="E5649">
        <v>0.53074500000000002</v>
      </c>
      <c r="F5649" t="s">
        <v>43</v>
      </c>
      <c r="G5649">
        <v>-314.18529999999998</v>
      </c>
      <c r="H5649">
        <v>-0.05</v>
      </c>
      <c r="I5649">
        <v>10.707750000000001</v>
      </c>
      <c r="J5649">
        <v>-325.2955</v>
      </c>
      <c r="K5649">
        <v>1.1068639999999901</v>
      </c>
      <c r="L5649">
        <v>17.048829999999999</v>
      </c>
      <c r="M5649">
        <v>0.99750799999999995</v>
      </c>
      <c r="N5649">
        <v>0</v>
      </c>
      <c r="O5649">
        <v>-6.9244879999999995E-2</v>
      </c>
      <c r="P5649">
        <v>0.89406559999999902</v>
      </c>
      <c r="Q5649">
        <v>0.1502001</v>
      </c>
      <c r="R5649">
        <v>-0.42200369999999998</v>
      </c>
      <c r="S5649">
        <v>2.6861269999999999</v>
      </c>
      <c r="T5649">
        <v>-0.27646920000000003</v>
      </c>
      <c r="U5649">
        <v>-1.5180049999999901</v>
      </c>
      <c r="V5649">
        <v>0.36034860000000002</v>
      </c>
      <c r="W5649">
        <v>0.1598089</v>
      </c>
      <c r="X5649">
        <v>0.91902669999999997</v>
      </c>
      <c r="Y5649">
        <v>0.42909900000000001</v>
      </c>
      <c r="Z5649">
        <v>-1.3924310000000001E-2</v>
      </c>
      <c r="AA5649">
        <v>0.90315009999999996</v>
      </c>
      <c r="AB5649">
        <v>27</v>
      </c>
      <c r="AC5649">
        <v>11.110200000000001</v>
      </c>
      <c r="AD5649">
        <v>-1.1568639999999999</v>
      </c>
      <c r="AE5649">
        <v>-6.3410799999999901</v>
      </c>
      <c r="AF5649">
        <v>5.5113883904884302</v>
      </c>
      <c r="AG5649">
        <v>-1.1568639999999999</v>
      </c>
      <c r="AH5649">
        <v>11.4291841442493</v>
      </c>
      <c r="AI5649">
        <v>95.209436162487094</v>
      </c>
      <c r="AJ5649">
        <v>64.255676130815004</v>
      </c>
      <c r="AK5649">
        <v>12.741270992662599</v>
      </c>
      <c r="AL5649">
        <v>80.8041960680263</v>
      </c>
      <c r="AM5649">
        <v>68.5899499144533</v>
      </c>
      <c r="AN5649">
        <v>1.0000000366770201</v>
      </c>
    </row>
    <row r="5650" spans="1:40" x14ac:dyDescent="0.25">
      <c r="A5650" t="str">
        <f>"20190312173039108"</f>
        <v>20190312173039108</v>
      </c>
      <c r="B5650" t="str">
        <f>"1552383039103244"</f>
        <v>1552383039103244</v>
      </c>
      <c r="C5650" t="s">
        <v>40</v>
      </c>
      <c r="D5650">
        <v>3.6392500000000001</v>
      </c>
      <c r="E5650">
        <v>0.53069060000000001</v>
      </c>
      <c r="F5650" t="s">
        <v>43</v>
      </c>
      <c r="G5650">
        <v>-314.05610000000001</v>
      </c>
      <c r="H5650">
        <v>-0.05</v>
      </c>
      <c r="I5650">
        <v>10.64574</v>
      </c>
      <c r="J5650">
        <v>-325.14980000000003</v>
      </c>
      <c r="K5650">
        <v>1.1068070000000001</v>
      </c>
      <c r="L5650">
        <v>17.03613</v>
      </c>
      <c r="M5650">
        <v>0.99732949999999998</v>
      </c>
      <c r="N5650">
        <v>0</v>
      </c>
      <c r="O5650">
        <v>-7.1766849999999993E-2</v>
      </c>
      <c r="P5650">
        <v>0.89257779999999998</v>
      </c>
      <c r="Q5650">
        <v>0.15022369999999999</v>
      </c>
      <c r="R5650">
        <v>-0.42513269999999997</v>
      </c>
      <c r="S5650">
        <v>2.6809080000000001</v>
      </c>
      <c r="T5650">
        <v>-0.27594390000000002</v>
      </c>
      <c r="U5650">
        <v>-1.5273129999999999</v>
      </c>
      <c r="V5650">
        <v>0.3612669</v>
      </c>
      <c r="W5650">
        <v>0.159777799999999</v>
      </c>
      <c r="X5650">
        <v>0.91867140000000003</v>
      </c>
      <c r="Y5650">
        <v>0.42995070000000002</v>
      </c>
      <c r="Z5650">
        <v>-1.3713049999999999E-2</v>
      </c>
      <c r="AA5650">
        <v>0.9027482</v>
      </c>
      <c r="AB5650">
        <v>27</v>
      </c>
      <c r="AC5650">
        <v>11.0937</v>
      </c>
      <c r="AD5650">
        <v>-1.1568069999999999</v>
      </c>
      <c r="AE5650">
        <v>-6.39039</v>
      </c>
      <c r="AF5650">
        <v>5.5325064941603603</v>
      </c>
      <c r="AG5650">
        <v>-1.1568069999999999</v>
      </c>
      <c r="AH5650">
        <v>11.430426705787401</v>
      </c>
      <c r="AI5650">
        <v>95.204976773621794</v>
      </c>
      <c r="AJ5650">
        <v>64.172286991629804</v>
      </c>
      <c r="AK5650">
        <v>12.7515287404905</v>
      </c>
      <c r="AL5650">
        <v>80.806000170057899</v>
      </c>
      <c r="AM5650">
        <v>68.532800646390399</v>
      </c>
      <c r="AN5650">
        <v>0.99999992979320196</v>
      </c>
    </row>
    <row r="5651" spans="1:40" x14ac:dyDescent="0.25">
      <c r="A5651" t="str">
        <f>"20190312173039117"</f>
        <v>20190312173039117</v>
      </c>
      <c r="B5651" t="str">
        <f>"1552383039113004"</f>
        <v>1552383039113004</v>
      </c>
      <c r="C5651" t="s">
        <v>40</v>
      </c>
      <c r="D5651">
        <v>3.642963</v>
      </c>
      <c r="E5651">
        <v>0.53064359999999999</v>
      </c>
      <c r="F5651" t="s">
        <v>43</v>
      </c>
      <c r="G5651">
        <v>-313.91419999999999</v>
      </c>
      <c r="H5651">
        <v>-0.05</v>
      </c>
      <c r="I5651">
        <v>10.58325</v>
      </c>
      <c r="J5651">
        <v>-325.0179</v>
      </c>
      <c r="K5651">
        <v>1.106759</v>
      </c>
      <c r="L5651">
        <v>17.024229999999999</v>
      </c>
      <c r="M5651">
        <v>0.99715949999999998</v>
      </c>
      <c r="N5651">
        <v>0</v>
      </c>
      <c r="O5651">
        <v>-7.4091729999999995E-2</v>
      </c>
      <c r="P5651">
        <v>0.89124559999999997</v>
      </c>
      <c r="Q5651">
        <v>0.15031820000000001</v>
      </c>
      <c r="R5651">
        <v>-0.42788520000000002</v>
      </c>
      <c r="S5651">
        <v>2.6755369999999998</v>
      </c>
      <c r="T5651">
        <v>-0.27546999999999999</v>
      </c>
      <c r="U5651">
        <v>-1.536621</v>
      </c>
      <c r="V5651">
        <v>0.36198239999999998</v>
      </c>
      <c r="W5651">
        <v>0.1598253</v>
      </c>
      <c r="X5651">
        <v>0.91838149999999996</v>
      </c>
      <c r="Y5651">
        <v>0.43099979999999899</v>
      </c>
      <c r="Z5651">
        <v>-1.3533399999999999E-2</v>
      </c>
      <c r="AA5651">
        <v>0.90225049999999996</v>
      </c>
      <c r="AB5651">
        <v>27</v>
      </c>
      <c r="AC5651">
        <v>11.1037</v>
      </c>
      <c r="AD5651">
        <v>-1.1567590000000001</v>
      </c>
      <c r="AE5651">
        <v>-6.4409799999999997</v>
      </c>
      <c r="AF5651">
        <v>5.5553926407002097</v>
      </c>
      <c r="AG5651">
        <v>-1.1567590000000001</v>
      </c>
      <c r="AH5651">
        <v>11.4574017825657</v>
      </c>
      <c r="AI5651">
        <v>95.190836962450007</v>
      </c>
      <c r="AJ5651">
        <v>64.132474099743007</v>
      </c>
      <c r="AK5651">
        <v>12.7856378168461</v>
      </c>
      <c r="AL5651">
        <v>80.803243675006797</v>
      </c>
      <c r="AM5651">
        <v>68.487994736565994</v>
      </c>
      <c r="AN5651">
        <v>0.999999981986049</v>
      </c>
    </row>
    <row r="5652" spans="1:40" x14ac:dyDescent="0.25">
      <c r="A5652" t="str">
        <f>"20190312173039130"</f>
        <v>20190312173039130</v>
      </c>
      <c r="B5652" t="str">
        <f>"1552383039123740"</f>
        <v>1552383039123740</v>
      </c>
      <c r="C5652" t="s">
        <v>40</v>
      </c>
      <c r="D5652">
        <v>3.6480489999999999</v>
      </c>
      <c r="E5652">
        <v>0.53061809999999998</v>
      </c>
      <c r="F5652" t="s">
        <v>43</v>
      </c>
      <c r="G5652">
        <v>-313.78300000000002</v>
      </c>
      <c r="H5652">
        <v>-0.05</v>
      </c>
      <c r="I5652">
        <v>10.526730000000001</v>
      </c>
      <c r="J5652">
        <v>-324.87849999999997</v>
      </c>
      <c r="K5652">
        <v>1.1067100000000001</v>
      </c>
      <c r="L5652">
        <v>17.01126</v>
      </c>
      <c r="M5652">
        <v>0.9969713</v>
      </c>
      <c r="N5652">
        <v>0</v>
      </c>
      <c r="O5652">
        <v>-7.6581629999999998E-2</v>
      </c>
      <c r="P5652">
        <v>0.88970919999999898</v>
      </c>
      <c r="Q5652">
        <v>0.1504529</v>
      </c>
      <c r="R5652">
        <v>-0.4310234</v>
      </c>
      <c r="S5652">
        <v>2.6709290000000001</v>
      </c>
      <c r="T5652">
        <v>-0.2750013</v>
      </c>
      <c r="U5652">
        <v>-1.544678</v>
      </c>
      <c r="V5652">
        <v>0.36294949999999998</v>
      </c>
      <c r="W5652">
        <v>0.15990770000000001</v>
      </c>
      <c r="X5652">
        <v>0.91798539999999995</v>
      </c>
      <c r="Y5652">
        <v>0.43147370000000002</v>
      </c>
      <c r="Z5652">
        <v>-1.3309430000000001E-2</v>
      </c>
      <c r="AA5652">
        <v>0.90202729999999998</v>
      </c>
      <c r="AB5652">
        <v>27</v>
      </c>
      <c r="AC5652">
        <v>11.0954999999999</v>
      </c>
      <c r="AD5652">
        <v>-1.1567099999999999</v>
      </c>
      <c r="AE5652">
        <v>-6.4845300000000003</v>
      </c>
      <c r="AF5652">
        <v>5.5705661084328604</v>
      </c>
      <c r="AG5652">
        <v>-1.1567099999999999</v>
      </c>
      <c r="AH5652">
        <v>11.466658470392399</v>
      </c>
      <c r="AI5652">
        <v>95.184563163532403</v>
      </c>
      <c r="AJ5652">
        <v>64.0892621180177</v>
      </c>
      <c r="AK5652">
        <v>12.800525038807701</v>
      </c>
      <c r="AL5652">
        <v>80.798461189090901</v>
      </c>
      <c r="AM5652">
        <v>68.427341239578396</v>
      </c>
      <c r="AN5652">
        <v>1.0000000033413401</v>
      </c>
    </row>
    <row r="5653" spans="1:40" x14ac:dyDescent="0.25">
      <c r="A5653" t="str">
        <f>"20190312173039141"</f>
        <v>20190312173039141</v>
      </c>
      <c r="B5653" t="str">
        <f>"1552383039133500"</f>
        <v>1552383039133500</v>
      </c>
      <c r="C5653" t="s">
        <v>40</v>
      </c>
      <c r="D5653">
        <v>3.6543510000000001</v>
      </c>
      <c r="E5653">
        <v>0.53057929999999998</v>
      </c>
      <c r="F5653" t="s">
        <v>43</v>
      </c>
      <c r="G5653">
        <v>-313.6438</v>
      </c>
      <c r="H5653">
        <v>-0.05</v>
      </c>
      <c r="I5653">
        <v>10.46233</v>
      </c>
      <c r="J5653">
        <v>-324.74759999999998</v>
      </c>
      <c r="K5653">
        <v>1.1066659999999999</v>
      </c>
      <c r="L5653">
        <v>16.998809999999999</v>
      </c>
      <c r="M5653">
        <v>0.99678699999999998</v>
      </c>
      <c r="N5653">
        <v>0</v>
      </c>
      <c r="O5653">
        <v>-7.8946500000000003E-2</v>
      </c>
      <c r="P5653">
        <v>0.88842019999999899</v>
      </c>
      <c r="Q5653">
        <v>0.15052380000000001</v>
      </c>
      <c r="R5653">
        <v>-0.4336506</v>
      </c>
      <c r="S5653">
        <v>2.6655579999999999</v>
      </c>
      <c r="T5653">
        <v>-0.27444180000000001</v>
      </c>
      <c r="U5653">
        <v>-1.5538019999999999</v>
      </c>
      <c r="V5653">
        <v>0.3635042</v>
      </c>
      <c r="W5653">
        <v>0.15993550000000001</v>
      </c>
      <c r="X5653">
        <v>0.9177611</v>
      </c>
      <c r="Y5653">
        <v>0.43244009999999999</v>
      </c>
      <c r="Z5653">
        <v>-1.311885E-2</v>
      </c>
      <c r="AA5653">
        <v>0.90156720000000001</v>
      </c>
      <c r="AB5653">
        <v>27</v>
      </c>
      <c r="AC5653">
        <v>11.1037999999999</v>
      </c>
      <c r="AD5653">
        <v>-1.156666</v>
      </c>
      <c r="AE5653">
        <v>-6.5364799999999903</v>
      </c>
      <c r="AF5653">
        <v>5.5943066561452204</v>
      </c>
      <c r="AG5653">
        <v>-1.156666</v>
      </c>
      <c r="AH5653">
        <v>11.4926030851741</v>
      </c>
      <c r="AI5653">
        <v>95.170766581663898</v>
      </c>
      <c r="AJ5653">
        <v>64.044359987415604</v>
      </c>
      <c r="AK5653">
        <v>12.8340978986409</v>
      </c>
      <c r="AL5653">
        <v>80.796848051938497</v>
      </c>
      <c r="AM5653">
        <v>68.392613265977303</v>
      </c>
      <c r="AN5653">
        <v>1.0000000521255401</v>
      </c>
    </row>
    <row r="5654" spans="1:40" x14ac:dyDescent="0.25">
      <c r="A5654" t="str">
        <f>"20190312173039151"</f>
        <v>20190312173039151</v>
      </c>
      <c r="B5654" t="str">
        <f>"1552383039143261"</f>
        <v>1552383039143261</v>
      </c>
      <c r="C5654" t="s">
        <v>40</v>
      </c>
      <c r="D5654">
        <v>3.620635</v>
      </c>
      <c r="E5654">
        <v>0.53055969999999997</v>
      </c>
      <c r="F5654" t="s">
        <v>43</v>
      </c>
      <c r="G5654">
        <v>-313.51769999999999</v>
      </c>
      <c r="H5654">
        <v>-0.05</v>
      </c>
      <c r="I5654">
        <v>10.407870000000001</v>
      </c>
      <c r="J5654">
        <v>-324.62580000000003</v>
      </c>
      <c r="K5654">
        <v>1.10663</v>
      </c>
      <c r="L5654">
        <v>16.986789999999999</v>
      </c>
      <c r="M5654">
        <v>0.99660689999999996</v>
      </c>
      <c r="N5654">
        <v>0</v>
      </c>
      <c r="O5654">
        <v>-8.1185380000000001E-2</v>
      </c>
      <c r="P5654">
        <v>0.88717469999999998</v>
      </c>
      <c r="Q5654">
        <v>0.1500515</v>
      </c>
      <c r="R5654">
        <v>-0.43635580000000002</v>
      </c>
      <c r="S5654">
        <v>2.6609799999999999</v>
      </c>
      <c r="T5654">
        <v>-0.27407939999999997</v>
      </c>
      <c r="U5654">
        <v>-1.561768</v>
      </c>
      <c r="V5654">
        <v>0.36424580000000001</v>
      </c>
      <c r="W5654">
        <v>0.15942239999999999</v>
      </c>
      <c r="X5654">
        <v>0.91755629999999999</v>
      </c>
      <c r="Y5654">
        <v>0.43310900000000002</v>
      </c>
      <c r="Z5654">
        <v>-1.293358E-2</v>
      </c>
      <c r="AA5654">
        <v>0.90124879999999996</v>
      </c>
      <c r="AB5654">
        <v>27</v>
      </c>
      <c r="AC5654">
        <v>11.1081</v>
      </c>
      <c r="AD5654">
        <v>-1.1566299999999901</v>
      </c>
      <c r="AE5654">
        <v>-6.5789200000000001</v>
      </c>
      <c r="AF5654">
        <v>5.6102701681373404</v>
      </c>
      <c r="AG5654">
        <v>-1.1566299999999901</v>
      </c>
      <c r="AH5654">
        <v>11.5131763104873</v>
      </c>
      <c r="AI5654">
        <v>95.160372869945107</v>
      </c>
      <c r="AJ5654">
        <v>64.020430664885893</v>
      </c>
      <c r="AK5654">
        <v>12.8594771694948</v>
      </c>
      <c r="AL5654">
        <v>80.826628462607204</v>
      </c>
      <c r="AM5654">
        <v>68.348219748470797</v>
      </c>
      <c r="AN5654">
        <v>1.0000000340545401</v>
      </c>
    </row>
    <row r="5655" spans="1:40" x14ac:dyDescent="0.25">
      <c r="A5655" t="str">
        <f>"20190312173039162"</f>
        <v>20190312173039162</v>
      </c>
      <c r="B5655" t="str">
        <f>"1552383039153020"</f>
        <v>1552383039153020</v>
      </c>
      <c r="C5655" t="s">
        <v>40</v>
      </c>
      <c r="D5655">
        <v>3.639608</v>
      </c>
      <c r="E5655">
        <v>0.53053629999999996</v>
      </c>
      <c r="F5655" t="s">
        <v>43</v>
      </c>
      <c r="G5655">
        <v>-313.4828</v>
      </c>
      <c r="H5655">
        <v>-0.05</v>
      </c>
      <c r="I5655">
        <v>10.402419999999999</v>
      </c>
      <c r="J5655">
        <v>-324.48540000000003</v>
      </c>
      <c r="K5655">
        <v>1.1065830000000001</v>
      </c>
      <c r="L5655">
        <v>16.97278</v>
      </c>
      <c r="M5655">
        <v>0.99639200000000006</v>
      </c>
      <c r="N5655">
        <v>0</v>
      </c>
      <c r="O5655">
        <v>-8.3782280000000001E-2</v>
      </c>
      <c r="P5655">
        <v>0.88565550000000004</v>
      </c>
      <c r="Q5655">
        <v>0.15003529999999901</v>
      </c>
      <c r="R5655">
        <v>-0.4394363</v>
      </c>
      <c r="S5655">
        <v>2.656158</v>
      </c>
      <c r="T5655">
        <v>-0.27570630000000002</v>
      </c>
      <c r="U5655">
        <v>-1.5695190000000001</v>
      </c>
      <c r="V5655">
        <v>0.36506270000000002</v>
      </c>
      <c r="W5655">
        <v>0.15935839999999901</v>
      </c>
      <c r="X5655">
        <v>0.91724260000000002</v>
      </c>
      <c r="Y5655">
        <v>0.433419</v>
      </c>
      <c r="Z5655">
        <v>-1.279102E-2</v>
      </c>
      <c r="AA5655">
        <v>0.90110179999999995</v>
      </c>
      <c r="AB5655">
        <v>26</v>
      </c>
      <c r="AC5655">
        <v>11.002599999999999</v>
      </c>
      <c r="AD5655">
        <v>-1.1565829999999999</v>
      </c>
      <c r="AE5655">
        <v>-6.57036</v>
      </c>
      <c r="AF5655">
        <v>5.5798972224230301</v>
      </c>
      <c r="AG5655">
        <v>-1.1565829999999999</v>
      </c>
      <c r="AH5655">
        <v>11.4214076225142</v>
      </c>
      <c r="AI5655">
        <v>95.198838806583097</v>
      </c>
      <c r="AJ5655">
        <v>63.9623055163825</v>
      </c>
      <c r="AK5655">
        <v>12.7640702492707</v>
      </c>
      <c r="AL5655">
        <v>80.830341924957594</v>
      </c>
      <c r="AM5655">
        <v>68.297436587783594</v>
      </c>
      <c r="AN5655">
        <v>0.99999993091830197</v>
      </c>
    </row>
    <row r="5656" spans="1:40" x14ac:dyDescent="0.25">
      <c r="A5656" t="str">
        <f>"20190312173039174"</f>
        <v>20190312173039174</v>
      </c>
      <c r="B5656" t="str">
        <f>"1552383039163757"</f>
        <v>1552383039163757</v>
      </c>
      <c r="C5656" t="s">
        <v>40</v>
      </c>
      <c r="D5656">
        <v>3.6576279999999999</v>
      </c>
      <c r="E5656">
        <v>0.53050790000000003</v>
      </c>
      <c r="F5656" t="s">
        <v>43</v>
      </c>
      <c r="G5656">
        <v>-313.37369999999999</v>
      </c>
      <c r="H5656">
        <v>-0.05</v>
      </c>
      <c r="I5656">
        <v>10.356629999999999</v>
      </c>
      <c r="J5656">
        <v>-324.35520000000002</v>
      </c>
      <c r="K5656">
        <v>1.106538</v>
      </c>
      <c r="L5656">
        <v>16.95917</v>
      </c>
      <c r="M5656">
        <v>0.9961816</v>
      </c>
      <c r="N5656">
        <v>0</v>
      </c>
      <c r="O5656">
        <v>-8.6247589999999999E-2</v>
      </c>
      <c r="P5656">
        <v>0.88425919999999902</v>
      </c>
      <c r="Q5656">
        <v>0.14996309999999999</v>
      </c>
      <c r="R5656">
        <v>-0.44226389999999999</v>
      </c>
      <c r="S5656">
        <v>2.6509399999999999</v>
      </c>
      <c r="T5656">
        <v>-0.27592840000000002</v>
      </c>
      <c r="U5656">
        <v>-1.57843</v>
      </c>
      <c r="V5656">
        <v>0.36573990000000001</v>
      </c>
      <c r="W5656">
        <v>0.159243</v>
      </c>
      <c r="X5656">
        <v>0.9169929</v>
      </c>
      <c r="Y5656">
        <v>0.43420959999999997</v>
      </c>
      <c r="Z5656">
        <v>-1.2617679999999999E-2</v>
      </c>
      <c r="AA5656">
        <v>0.90072350000000001</v>
      </c>
      <c r="AB5656">
        <v>26</v>
      </c>
      <c r="AC5656">
        <v>10.9815</v>
      </c>
      <c r="AD5656">
        <v>-1.1565379999999901</v>
      </c>
      <c r="AE5656">
        <v>-6.6025399999999896</v>
      </c>
      <c r="AF5656">
        <v>5.5852167509290398</v>
      </c>
      <c r="AG5656">
        <v>-1.1565379999999901</v>
      </c>
      <c r="AH5656">
        <v>11.4170665807627</v>
      </c>
      <c r="AI5656">
        <v>95.199273685674797</v>
      </c>
      <c r="AJ5656">
        <v>63.932169196199297</v>
      </c>
      <c r="AK5656">
        <v>12.762508985692</v>
      </c>
      <c r="AL5656">
        <v>80.837039958666196</v>
      </c>
      <c r="AM5656">
        <v>68.255561406660405</v>
      </c>
      <c r="AN5656">
        <v>0.99999999307570997</v>
      </c>
    </row>
    <row r="5657" spans="1:40" x14ac:dyDescent="0.25">
      <c r="A5657" t="str">
        <f>"20190312173039185"</f>
        <v>20190312173039185</v>
      </c>
      <c r="B5657" t="str">
        <f>"1552383039173516"</f>
        <v>1552383039173516</v>
      </c>
      <c r="C5657" t="s">
        <v>40</v>
      </c>
      <c r="D5657">
        <v>3.680463</v>
      </c>
      <c r="E5657">
        <v>0.53049299999999999</v>
      </c>
      <c r="F5657" t="s">
        <v>43</v>
      </c>
      <c r="G5657">
        <v>-313.27870000000001</v>
      </c>
      <c r="H5657">
        <v>-0.05</v>
      </c>
      <c r="I5657">
        <v>10.31596</v>
      </c>
      <c r="J5657">
        <v>-324.22919999999999</v>
      </c>
      <c r="K5657">
        <v>1.1064969999999901</v>
      </c>
      <c r="L5657">
        <v>16.945829999999901</v>
      </c>
      <c r="M5657">
        <v>0.99597100000000005</v>
      </c>
      <c r="N5657">
        <v>0</v>
      </c>
      <c r="O5657">
        <v>-8.8644210000000001E-2</v>
      </c>
      <c r="P5657">
        <v>0.8830093</v>
      </c>
      <c r="Q5657">
        <v>0.14974609999999999</v>
      </c>
      <c r="R5657">
        <v>-0.44482690000000003</v>
      </c>
      <c r="S5657">
        <v>2.6458439999999999</v>
      </c>
      <c r="T5657">
        <v>-0.27626050000000002</v>
      </c>
      <c r="U5657">
        <v>-1.5868530000000001</v>
      </c>
      <c r="V5657">
        <v>0.366205</v>
      </c>
      <c r="W5657">
        <v>0.15898789999999999</v>
      </c>
      <c r="X5657">
        <v>0.91685159999999999</v>
      </c>
      <c r="Y5657">
        <v>0.43491970000000002</v>
      </c>
      <c r="Z5657">
        <v>-1.245141E-2</v>
      </c>
      <c r="AA5657">
        <v>0.90038320000000005</v>
      </c>
      <c r="AB5657">
        <v>26</v>
      </c>
      <c r="AC5657">
        <v>10.9504999999999</v>
      </c>
      <c r="AD5657">
        <v>-1.1564970000000001</v>
      </c>
      <c r="AE5657">
        <v>-6.6298699999999897</v>
      </c>
      <c r="AF5657">
        <v>5.5873742157169204</v>
      </c>
      <c r="AG5657">
        <v>-1.1564970000000001</v>
      </c>
      <c r="AH5657">
        <v>11.4020744529825</v>
      </c>
      <c r="AI5657">
        <v>95.204187080560104</v>
      </c>
      <c r="AJ5657">
        <v>63.8936964295861</v>
      </c>
      <c r="AK5657">
        <v>12.7500406967517</v>
      </c>
      <c r="AL5657">
        <v>80.851845300167099</v>
      </c>
      <c r="AM5657">
        <v>68.2274524895535</v>
      </c>
      <c r="AN5657">
        <v>1.0000000553969799</v>
      </c>
    </row>
    <row r="5658" spans="1:40" x14ac:dyDescent="0.25">
      <c r="A5658" t="str">
        <f>"20190312173039194"</f>
        <v>20190312173039194</v>
      </c>
      <c r="B5658" t="str">
        <f>"1552383039193037"</f>
        <v>1552383039193037</v>
      </c>
      <c r="C5658" t="s">
        <v>40</v>
      </c>
      <c r="D5658">
        <v>3.6786409999999998</v>
      </c>
      <c r="E5658">
        <v>0.53043969999999996</v>
      </c>
      <c r="F5658" t="s">
        <v>43</v>
      </c>
      <c r="G5658">
        <v>-313.19970000000001</v>
      </c>
      <c r="H5658">
        <v>-0.05</v>
      </c>
      <c r="I5658">
        <v>10.28783</v>
      </c>
      <c r="J5658">
        <v>-324.09800000000001</v>
      </c>
      <c r="K5658">
        <v>1.106454</v>
      </c>
      <c r="L5658">
        <v>16.931460000000001</v>
      </c>
      <c r="M5658">
        <v>0.99574149999999995</v>
      </c>
      <c r="N5658">
        <v>0</v>
      </c>
      <c r="O5658">
        <v>-9.1184749999999995E-2</v>
      </c>
      <c r="P5658">
        <v>0.88151399999999902</v>
      </c>
      <c r="Q5658">
        <v>0.1497715</v>
      </c>
      <c r="R5658">
        <v>-0.44777410000000001</v>
      </c>
      <c r="S5658">
        <v>2.6412659999999999</v>
      </c>
      <c r="T5658">
        <v>-0.27695160000000002</v>
      </c>
      <c r="U5658">
        <v>-1.5944210000000001</v>
      </c>
      <c r="V5658">
        <v>0.36694710000000003</v>
      </c>
      <c r="W5658">
        <v>0.15896959999999999</v>
      </c>
      <c r="X5658">
        <v>0.91655799999999998</v>
      </c>
      <c r="Y5658">
        <v>0.4352066</v>
      </c>
      <c r="Z5658">
        <v>-1.2265079999999999E-2</v>
      </c>
      <c r="AA5658">
        <v>0.90024709999999997</v>
      </c>
      <c r="AB5658">
        <v>26</v>
      </c>
      <c r="AC5658">
        <v>10.898300000000001</v>
      </c>
      <c r="AD5658">
        <v>-1.1564540000000001</v>
      </c>
      <c r="AE5658">
        <v>-6.6436299999999999</v>
      </c>
      <c r="AF5658">
        <v>5.5763194125026496</v>
      </c>
      <c r="AG5658">
        <v>-1.1564540000000001</v>
      </c>
      <c r="AH5658">
        <v>11.365440280879699</v>
      </c>
      <c r="AI5658">
        <v>95.219430826925006</v>
      </c>
      <c r="AJ5658">
        <v>63.865665941902499</v>
      </c>
      <c r="AK5658">
        <v>12.7124331590224</v>
      </c>
      <c r="AL5658">
        <v>80.852907155842502</v>
      </c>
      <c r="AM5658">
        <v>68.181137810316301</v>
      </c>
      <c r="AN5658">
        <v>1.00000003764328</v>
      </c>
    </row>
    <row r="5659" spans="1:40" x14ac:dyDescent="0.25">
      <c r="A5659" t="str">
        <f>"20190312173039207"</f>
        <v>20190312173039207</v>
      </c>
      <c r="B5659" t="str">
        <f>"1552383039203772"</f>
        <v>1552383039203772</v>
      </c>
      <c r="C5659" t="s">
        <v>40</v>
      </c>
      <c r="D5659">
        <v>3.6751909999999999</v>
      </c>
      <c r="E5659">
        <v>0.53041660000000002</v>
      </c>
      <c r="F5659" t="s">
        <v>43</v>
      </c>
      <c r="G5659">
        <v>-313.09059999999999</v>
      </c>
      <c r="H5659">
        <v>-0.05</v>
      </c>
      <c r="I5659">
        <v>10.23911</v>
      </c>
      <c r="J5659">
        <v>-323.96629999999999</v>
      </c>
      <c r="K5659">
        <v>1.10642</v>
      </c>
      <c r="L5659">
        <v>16.916779999999999</v>
      </c>
      <c r="M5659">
        <v>0.99550300000000003</v>
      </c>
      <c r="N5659">
        <v>0</v>
      </c>
      <c r="O5659">
        <v>-9.3752089999999996E-2</v>
      </c>
      <c r="P5659">
        <v>0.88023300000000004</v>
      </c>
      <c r="Q5659">
        <v>0.14963299999999999</v>
      </c>
      <c r="R5659">
        <v>-0.45033329999999999</v>
      </c>
      <c r="S5659">
        <v>2.6361690000000002</v>
      </c>
      <c r="T5659">
        <v>-0.27695940000000002</v>
      </c>
      <c r="U5659">
        <v>-1.6027530000000001</v>
      </c>
      <c r="V5659">
        <v>0.36725940000000001</v>
      </c>
      <c r="W5659">
        <v>0.15879489999999999</v>
      </c>
      <c r="X5659">
        <v>0.91646320000000003</v>
      </c>
      <c r="Y5659">
        <v>0.43574289999999999</v>
      </c>
      <c r="Z5659">
        <v>-1.2058569999999999E-2</v>
      </c>
      <c r="AA5659">
        <v>0.89999039999999997</v>
      </c>
      <c r="AB5659">
        <v>26</v>
      </c>
      <c r="AC5659">
        <v>10.875699999999901</v>
      </c>
      <c r="AD5659">
        <v>-1.15642</v>
      </c>
      <c r="AE5659">
        <v>-6.6776699999999902</v>
      </c>
      <c r="AF5659">
        <v>5.5827013373536403</v>
      </c>
      <c r="AG5659">
        <v>-1.15642</v>
      </c>
      <c r="AH5659">
        <v>11.360613650109601</v>
      </c>
      <c r="AI5659">
        <v>95.2199013463554</v>
      </c>
      <c r="AJ5659">
        <v>63.830109078156397</v>
      </c>
      <c r="AK5659">
        <v>12.710916723255901</v>
      </c>
      <c r="AL5659">
        <v>80.863045550849606</v>
      </c>
      <c r="AM5659">
        <v>68.162267939067604</v>
      </c>
      <c r="AN5659">
        <v>1.0000000420543</v>
      </c>
    </row>
    <row r="5660" spans="1:40" x14ac:dyDescent="0.25">
      <c r="A5660" t="str">
        <f>"20190312173039218"</f>
        <v>20190312173039218</v>
      </c>
      <c r="B5660" t="str">
        <f>"1552383039213532"</f>
        <v>1552383039213532</v>
      </c>
      <c r="C5660" t="s">
        <v>40</v>
      </c>
      <c r="D5660">
        <v>3.6794630000000002</v>
      </c>
      <c r="E5660">
        <v>0.53037860000000003</v>
      </c>
      <c r="F5660" t="s">
        <v>43</v>
      </c>
      <c r="G5660">
        <v>-312.99889999999999</v>
      </c>
      <c r="H5660">
        <v>-0.05</v>
      </c>
      <c r="I5660">
        <v>10.20757</v>
      </c>
      <c r="J5660">
        <v>-323.83420000000001</v>
      </c>
      <c r="K5660">
        <v>1.106382</v>
      </c>
      <c r="L5660">
        <v>16.901579999999999</v>
      </c>
      <c r="M5660">
        <v>0.99525390000000002</v>
      </c>
      <c r="N5660">
        <v>0</v>
      </c>
      <c r="O5660">
        <v>-9.6360619999999994E-2</v>
      </c>
      <c r="P5660">
        <v>0.878745</v>
      </c>
      <c r="Q5660">
        <v>0.14969769999999999</v>
      </c>
      <c r="R5660">
        <v>-0.45320840000000001</v>
      </c>
      <c r="S5660">
        <v>2.6317140000000001</v>
      </c>
      <c r="T5660">
        <v>-0.27749190000000001</v>
      </c>
      <c r="U5660">
        <v>-1.6099239999999999</v>
      </c>
      <c r="V5660">
        <v>0.36787160000000002</v>
      </c>
      <c r="W5660">
        <v>0.1588203</v>
      </c>
      <c r="X5660">
        <v>0.91621319999999995</v>
      </c>
      <c r="Y5660">
        <v>0.43585249999999998</v>
      </c>
      <c r="Z5660">
        <v>-1.1848269999999999E-2</v>
      </c>
      <c r="AA5660">
        <v>0.89994010000000002</v>
      </c>
      <c r="AB5660">
        <v>26</v>
      </c>
      <c r="AC5660">
        <v>10.8353</v>
      </c>
      <c r="AD5660">
        <v>-1.156382</v>
      </c>
      <c r="AE5660">
        <v>-6.6940099999999898</v>
      </c>
      <c r="AF5660">
        <v>5.5727219732896298</v>
      </c>
      <c r="AG5660">
        <v>-1.156382</v>
      </c>
      <c r="AH5660">
        <v>11.336513473947999</v>
      </c>
      <c r="AI5660">
        <v>95.230427340186793</v>
      </c>
      <c r="AJ5660">
        <v>63.822522562425</v>
      </c>
      <c r="AK5660">
        <v>12.684990629342799</v>
      </c>
      <c r="AL5660">
        <v>80.861571281107501</v>
      </c>
      <c r="AM5660">
        <v>68.123893230874799</v>
      </c>
      <c r="AN5660">
        <v>1.0000000148164401</v>
      </c>
    </row>
    <row r="5661" spans="1:40" x14ac:dyDescent="0.25">
      <c r="A5661" t="str">
        <f>"20190312173039230"</f>
        <v>20190312173039230</v>
      </c>
      <c r="B5661" t="str">
        <f>"1552383039223292"</f>
        <v>1552383039223292</v>
      </c>
      <c r="C5661" t="s">
        <v>40</v>
      </c>
      <c r="D5661">
        <v>3.6073080000000002</v>
      </c>
      <c r="E5661">
        <v>0.53034369999999997</v>
      </c>
      <c r="F5661" t="s">
        <v>43</v>
      </c>
      <c r="G5661">
        <v>-312.88549999999998</v>
      </c>
      <c r="H5661">
        <v>-0.05</v>
      </c>
      <c r="I5661">
        <v>10.155469999999999</v>
      </c>
      <c r="J5661">
        <v>-323.69970000000001</v>
      </c>
      <c r="K5661">
        <v>1.1063449999999999</v>
      </c>
      <c r="L5661">
        <v>16.885739999999998</v>
      </c>
      <c r="M5661">
        <v>0.99499079999999995</v>
      </c>
      <c r="N5661">
        <v>0</v>
      </c>
      <c r="O5661">
        <v>-9.9041130000000005E-2</v>
      </c>
      <c r="P5661">
        <v>0.87720259999999906</v>
      </c>
      <c r="Q5661">
        <v>0.14968090000000001</v>
      </c>
      <c r="R5661">
        <v>-0.45619300000000002</v>
      </c>
      <c r="S5661">
        <v>2.6265260000000001</v>
      </c>
      <c r="T5661">
        <v>-0.27740870000000001</v>
      </c>
      <c r="U5661">
        <v>-1.618347</v>
      </c>
      <c r="V5661">
        <v>0.36853360000000002</v>
      </c>
      <c r="W5661">
        <v>0.15876479999999901</v>
      </c>
      <c r="X5661">
        <v>0.91595669999999996</v>
      </c>
      <c r="Y5661">
        <v>0.43632389999999999</v>
      </c>
      <c r="Z5661">
        <v>-1.1623339999999999E-2</v>
      </c>
      <c r="AA5661">
        <v>0.89971460000000003</v>
      </c>
      <c r="AB5661">
        <v>26</v>
      </c>
      <c r="AC5661">
        <v>10.8142</v>
      </c>
      <c r="AD5661">
        <v>-1.156345</v>
      </c>
      <c r="AE5661">
        <v>-6.7302699999999902</v>
      </c>
      <c r="AF5661">
        <v>5.5800362017846803</v>
      </c>
      <c r="AG5661">
        <v>-1.156345</v>
      </c>
      <c r="AH5661">
        <v>11.334243903790499</v>
      </c>
      <c r="AI5661">
        <v>95.229770085655502</v>
      </c>
      <c r="AJ5661">
        <v>63.788212073674998</v>
      </c>
      <c r="AK5661">
        <v>12.686174468407099</v>
      </c>
      <c r="AL5661">
        <v>80.864791706045196</v>
      </c>
      <c r="AM5661">
        <v>68.082696277615796</v>
      </c>
      <c r="AN5661">
        <v>0.99999997616144398</v>
      </c>
    </row>
    <row r="5662" spans="1:40" x14ac:dyDescent="0.25">
      <c r="A5662" t="str">
        <f>"20190312173039240"</f>
        <v>20190312173039240</v>
      </c>
      <c r="B5662" t="str">
        <f>"1552383039233052"</f>
        <v>1552383039233052</v>
      </c>
      <c r="C5662" t="s">
        <v>40</v>
      </c>
      <c r="D5662">
        <v>3.6285500000000002</v>
      </c>
      <c r="E5662">
        <v>0.53031839999999997</v>
      </c>
      <c r="F5662" t="s">
        <v>43</v>
      </c>
      <c r="G5662">
        <v>-312.7824</v>
      </c>
      <c r="H5662">
        <v>-0.05</v>
      </c>
      <c r="I5662">
        <v>10.11032</v>
      </c>
      <c r="J5662">
        <v>-323.57040000000001</v>
      </c>
      <c r="K5662">
        <v>1.106312</v>
      </c>
      <c r="L5662">
        <v>16.87021</v>
      </c>
      <c r="M5662">
        <v>0.99472870000000002</v>
      </c>
      <c r="N5662">
        <v>0</v>
      </c>
      <c r="O5662">
        <v>-0.1016382</v>
      </c>
      <c r="P5662">
        <v>0.87576369999999903</v>
      </c>
      <c r="Q5662">
        <v>0.14971870000000001</v>
      </c>
      <c r="R5662">
        <v>-0.45893709999999999</v>
      </c>
      <c r="S5662">
        <v>2.6212770000000001</v>
      </c>
      <c r="T5662">
        <v>-0.2776421</v>
      </c>
      <c r="U5662">
        <v>-1.6268009999999999</v>
      </c>
      <c r="V5662">
        <v>0.3690254</v>
      </c>
      <c r="W5662">
        <v>0.15876760000000001</v>
      </c>
      <c r="X5662">
        <v>0.91575819999999997</v>
      </c>
      <c r="Y5662">
        <v>0.43688300000000002</v>
      </c>
      <c r="Z5662">
        <v>-1.1423620000000001E-2</v>
      </c>
      <c r="AA5662">
        <v>0.89944579999999996</v>
      </c>
      <c r="AB5662">
        <v>26</v>
      </c>
      <c r="AC5662">
        <v>10.788</v>
      </c>
      <c r="AD5662">
        <v>-1.156312</v>
      </c>
      <c r="AE5662">
        <v>-6.7598899999999897</v>
      </c>
      <c r="AF5662">
        <v>5.5822520130573796</v>
      </c>
      <c r="AG5662">
        <v>-1.156312</v>
      </c>
      <c r="AH5662">
        <v>11.325817161322799</v>
      </c>
      <c r="AI5662">
        <v>95.232331859001206</v>
      </c>
      <c r="AJ5662">
        <v>63.762302314019003</v>
      </c>
      <c r="AK5662">
        <v>12.679618659500001</v>
      </c>
      <c r="AL5662">
        <v>80.864629332967596</v>
      </c>
      <c r="AM5662">
        <v>68.051919188349004</v>
      </c>
      <c r="AN5662">
        <v>0.99999998876107998</v>
      </c>
    </row>
    <row r="5663" spans="1:40" x14ac:dyDescent="0.25">
      <c r="A5663" t="str">
        <f>"20190312173039251"</f>
        <v>20190312173039251</v>
      </c>
      <c r="B5663" t="str">
        <f>"1552383039243787"</f>
        <v>1552383039243787</v>
      </c>
      <c r="C5663" t="s">
        <v>40</v>
      </c>
      <c r="D5663">
        <v>3.639853</v>
      </c>
      <c r="E5663">
        <v>0.53030219999999995</v>
      </c>
      <c r="F5663" t="s">
        <v>43</v>
      </c>
      <c r="G5663">
        <v>-312.68119999999999</v>
      </c>
      <c r="H5663">
        <v>-0.05</v>
      </c>
      <c r="I5663">
        <v>10.066599999999999</v>
      </c>
      <c r="J5663">
        <v>-323.43770000000001</v>
      </c>
      <c r="K5663">
        <v>1.106276</v>
      </c>
      <c r="L5663">
        <v>16.85379</v>
      </c>
      <c r="M5663">
        <v>0.99444940000000004</v>
      </c>
      <c r="N5663">
        <v>0</v>
      </c>
      <c r="O5663">
        <v>-0.1043352</v>
      </c>
      <c r="P5663">
        <v>0.87414059999999905</v>
      </c>
      <c r="Q5663">
        <v>0.14972569999999999</v>
      </c>
      <c r="R5663">
        <v>-0.46201759999999997</v>
      </c>
      <c r="S5663">
        <v>2.6163940000000001</v>
      </c>
      <c r="T5663">
        <v>-0.277833</v>
      </c>
      <c r="U5663">
        <v>-1.634735</v>
      </c>
      <c r="V5663">
        <v>0.36978109999999997</v>
      </c>
      <c r="W5663">
        <v>0.1587384</v>
      </c>
      <c r="X5663">
        <v>0.91545840000000001</v>
      </c>
      <c r="Y5663">
        <v>0.43716850000000002</v>
      </c>
      <c r="Z5663">
        <v>-1.119793E-2</v>
      </c>
      <c r="AA5663">
        <v>0.8993099</v>
      </c>
      <c r="AB5663">
        <v>26</v>
      </c>
      <c r="AC5663">
        <v>10.756500000000001</v>
      </c>
      <c r="AD5663">
        <v>-1.1562760000000001</v>
      </c>
      <c r="AE5663">
        <v>-6.7871899999999998</v>
      </c>
      <c r="AF5663">
        <v>5.5816240570869997</v>
      </c>
      <c r="AG5663">
        <v>-1.1562760000000001</v>
      </c>
      <c r="AH5663">
        <v>11.312495417598599</v>
      </c>
      <c r="AI5663">
        <v>95.237212546059098</v>
      </c>
      <c r="AJ5663">
        <v>63.738110362191897</v>
      </c>
      <c r="AK5663">
        <v>12.6674406995264</v>
      </c>
      <c r="AL5663">
        <v>80.866324071780696</v>
      </c>
      <c r="AM5663">
        <v>68.004740425328905</v>
      </c>
      <c r="AN5663">
        <v>1.0000000118411601</v>
      </c>
    </row>
    <row r="5664" spans="1:40" x14ac:dyDescent="0.25">
      <c r="A5664" t="str">
        <f>"20190312173039264"</f>
        <v>20190312173039264</v>
      </c>
      <c r="B5664" t="str">
        <f>"1552383039253548"</f>
        <v>1552383039253548</v>
      </c>
      <c r="C5664" t="s">
        <v>40</v>
      </c>
      <c r="D5664">
        <v>3.6438000000000001</v>
      </c>
      <c r="E5664">
        <v>0.53029139999999997</v>
      </c>
      <c r="F5664" t="s">
        <v>43</v>
      </c>
      <c r="G5664">
        <v>-312.5797</v>
      </c>
      <c r="H5664">
        <v>-0.05</v>
      </c>
      <c r="I5664">
        <v>10.01721</v>
      </c>
      <c r="J5664">
        <v>-323.29570000000001</v>
      </c>
      <c r="K5664">
        <v>1.106241</v>
      </c>
      <c r="L5664">
        <v>16.83597</v>
      </c>
      <c r="M5664">
        <v>0.9941411</v>
      </c>
      <c r="N5664">
        <v>0</v>
      </c>
      <c r="O5664">
        <v>-0.10723290000000001</v>
      </c>
      <c r="P5664">
        <v>0.87249500000000002</v>
      </c>
      <c r="Q5664">
        <v>0.14955760000000001</v>
      </c>
      <c r="R5664">
        <v>-0.46517259999999999</v>
      </c>
      <c r="S5664">
        <v>2.6107480000000001</v>
      </c>
      <c r="T5664">
        <v>-0.2780223</v>
      </c>
      <c r="U5664">
        <v>-1.643829</v>
      </c>
      <c r="V5664">
        <v>0.37042989999999998</v>
      </c>
      <c r="W5664">
        <v>0.15853499999999901</v>
      </c>
      <c r="X5664">
        <v>0.91523129999999997</v>
      </c>
      <c r="Y5664">
        <v>0.4376758</v>
      </c>
      <c r="Z5664">
        <v>-1.096482E-2</v>
      </c>
      <c r="AA5664">
        <v>0.89906600000000003</v>
      </c>
      <c r="AB5664">
        <v>26</v>
      </c>
      <c r="AC5664">
        <v>10.715999999999999</v>
      </c>
      <c r="AD5664">
        <v>-1.1562410000000001</v>
      </c>
      <c r="AE5664">
        <v>-6.8187599999999904</v>
      </c>
      <c r="AF5664">
        <v>5.5839484078614596</v>
      </c>
      <c r="AG5664">
        <v>-1.1562410000000001</v>
      </c>
      <c r="AH5664">
        <v>11.291888674615199</v>
      </c>
      <c r="AI5664">
        <v>95.244267510219103</v>
      </c>
      <c r="AJ5664">
        <v>63.687158191353497</v>
      </c>
      <c r="AK5664">
        <v>12.650064146542601</v>
      </c>
      <c r="AL5664">
        <v>80.878127342692494</v>
      </c>
      <c r="AM5664">
        <v>67.964895358307302</v>
      </c>
      <c r="AN5664">
        <v>0.99999999476934898</v>
      </c>
    </row>
    <row r="5665" spans="1:40" x14ac:dyDescent="0.25">
      <c r="A5665" t="str">
        <f>"20190312173039274"</f>
        <v>20190312173039274</v>
      </c>
      <c r="B5665" t="str">
        <f>"1552383039263308"</f>
        <v>1552383039263308</v>
      </c>
      <c r="C5665" t="s">
        <v>40</v>
      </c>
      <c r="D5665">
        <v>3.6347269999999998</v>
      </c>
      <c r="E5665">
        <v>0.53027279999999999</v>
      </c>
      <c r="F5665" t="s">
        <v>43</v>
      </c>
      <c r="G5665">
        <v>-312.48739999999998</v>
      </c>
      <c r="H5665">
        <v>-0.05</v>
      </c>
      <c r="I5665">
        <v>9.9762730000000008</v>
      </c>
      <c r="J5665">
        <v>-323.1739</v>
      </c>
      <c r="K5665">
        <v>1.106212</v>
      </c>
      <c r="L5665">
        <v>16.820070000000001</v>
      </c>
      <c r="M5665">
        <v>0.99386560000000002</v>
      </c>
      <c r="N5665">
        <v>0</v>
      </c>
      <c r="O5665">
        <v>-0.1097564</v>
      </c>
      <c r="P5665">
        <v>0.87107069999999998</v>
      </c>
      <c r="Q5665">
        <v>0.14923829999999999</v>
      </c>
      <c r="R5665">
        <v>-0.46793590000000002</v>
      </c>
      <c r="S5665">
        <v>2.6047669999999998</v>
      </c>
      <c r="T5665">
        <v>-0.27865040000000002</v>
      </c>
      <c r="U5665">
        <v>-1.653168</v>
      </c>
      <c r="V5665">
        <v>0.3710098</v>
      </c>
      <c r="W5665">
        <v>0.15818699999999999</v>
      </c>
      <c r="X5665">
        <v>0.9150566</v>
      </c>
      <c r="Y5665">
        <v>0.43862509999999999</v>
      </c>
      <c r="Z5665">
        <v>-1.08063E-2</v>
      </c>
      <c r="AA5665">
        <v>0.89860519999999999</v>
      </c>
      <c r="AB5665">
        <v>26</v>
      </c>
      <c r="AC5665">
        <v>10.686500000000001</v>
      </c>
      <c r="AD5665">
        <v>-1.156212</v>
      </c>
      <c r="AE5665">
        <v>-6.8437970000000004</v>
      </c>
      <c r="AF5665">
        <v>5.5830759526482296</v>
      </c>
      <c r="AG5665">
        <v>-1.156212</v>
      </c>
      <c r="AH5665">
        <v>11.279511403514899</v>
      </c>
      <c r="AI5665">
        <v>95.248893733031395</v>
      </c>
      <c r="AJ5665">
        <v>63.665741335688701</v>
      </c>
      <c r="AK5665">
        <v>12.6386289123467</v>
      </c>
      <c r="AL5665">
        <v>80.898321049070503</v>
      </c>
      <c r="AM5665">
        <v>67.929900590772604</v>
      </c>
      <c r="AN5665">
        <v>0.99999998993429995</v>
      </c>
    </row>
    <row r="5666" spans="1:40" x14ac:dyDescent="0.25">
      <c r="A5666" t="str">
        <f>"20190312173039284"</f>
        <v>20190312173039284</v>
      </c>
      <c r="B5666" t="str">
        <f>"1552383039273067"</f>
        <v>1552383039273067</v>
      </c>
      <c r="C5666" t="s">
        <v>40</v>
      </c>
      <c r="D5666">
        <v>3.6522450000000002</v>
      </c>
      <c r="E5666">
        <v>0.53026119999999899</v>
      </c>
      <c r="F5666" t="s">
        <v>43</v>
      </c>
      <c r="G5666">
        <v>-312.43270000000001</v>
      </c>
      <c r="H5666">
        <v>-0.05</v>
      </c>
      <c r="I5666">
        <v>9.9557339999999996</v>
      </c>
      <c r="J5666">
        <v>-323.04939999999999</v>
      </c>
      <c r="K5666">
        <v>1.1061840000000001</v>
      </c>
      <c r="L5666">
        <v>16.803709999999999</v>
      </c>
      <c r="M5666">
        <v>0.99357680000000004</v>
      </c>
      <c r="N5666">
        <v>0</v>
      </c>
      <c r="O5666">
        <v>-0.1123398</v>
      </c>
      <c r="P5666">
        <v>0.8695678</v>
      </c>
      <c r="Q5666">
        <v>0.14920710000000001</v>
      </c>
      <c r="R5666">
        <v>-0.47073330000000002</v>
      </c>
      <c r="S5666">
        <v>2.599548</v>
      </c>
      <c r="T5666">
        <v>-0.27982210000000002</v>
      </c>
      <c r="U5666">
        <v>-1.6612849999999999</v>
      </c>
      <c r="V5666">
        <v>0.37158200000000002</v>
      </c>
      <c r="W5666">
        <v>0.1581273</v>
      </c>
      <c r="X5666">
        <v>0.9148347</v>
      </c>
      <c r="Y5666">
        <v>0.43909749999999997</v>
      </c>
      <c r="Z5666">
        <v>-1.0636639999999999E-2</v>
      </c>
      <c r="AA5666">
        <v>0.89837649999999902</v>
      </c>
      <c r="AB5666">
        <v>26</v>
      </c>
      <c r="AC5666">
        <v>10.6166999999999</v>
      </c>
      <c r="AD5666">
        <v>-1.1561840000000001</v>
      </c>
      <c r="AE5666">
        <v>-6.8479759999999903</v>
      </c>
      <c r="AF5666">
        <v>5.5652210405921601</v>
      </c>
      <c r="AG5666">
        <v>-1.1561840000000001</v>
      </c>
      <c r="AH5666">
        <v>11.2248430684967</v>
      </c>
      <c r="AI5666">
        <v>95.272476233126099</v>
      </c>
      <c r="AJ5666">
        <v>63.628015951400599</v>
      </c>
      <c r="AK5666">
        <v>12.581953289727499</v>
      </c>
      <c r="AL5666">
        <v>80.901785088764697</v>
      </c>
      <c r="AM5666">
        <v>67.894293113402199</v>
      </c>
      <c r="AN5666">
        <v>0.99999997702668897</v>
      </c>
    </row>
    <row r="5667" spans="1:40" x14ac:dyDescent="0.25">
      <c r="A5667" t="str">
        <f>"20190312173039296"</f>
        <v>20190312173039296</v>
      </c>
      <c r="B5667" t="str">
        <f>"1552383039293564"</f>
        <v>1552383039293564</v>
      </c>
      <c r="C5667" t="s">
        <v>40</v>
      </c>
      <c r="D5667">
        <v>3.7080790000000001</v>
      </c>
      <c r="E5667">
        <v>0.5302384</v>
      </c>
      <c r="F5667" t="s">
        <v>43</v>
      </c>
      <c r="G5667">
        <v>-312.33749999999998</v>
      </c>
      <c r="H5667">
        <v>-0.05</v>
      </c>
      <c r="I5667">
        <v>9.9099880000000002</v>
      </c>
      <c r="J5667">
        <v>-322.91469999999998</v>
      </c>
      <c r="K5667">
        <v>1.106158</v>
      </c>
      <c r="L5667">
        <v>16.785429999999899</v>
      </c>
      <c r="M5667">
        <v>0.99325319999999995</v>
      </c>
      <c r="N5667">
        <v>0</v>
      </c>
      <c r="O5667">
        <v>-0.1151648</v>
      </c>
      <c r="P5667">
        <v>0.86777159999999998</v>
      </c>
      <c r="Q5667">
        <v>0.14925720000000001</v>
      </c>
      <c r="R5667">
        <v>-0.4740202</v>
      </c>
      <c r="S5667">
        <v>2.5942690000000002</v>
      </c>
      <c r="T5667">
        <v>-0.28001029999999999</v>
      </c>
      <c r="U5667">
        <v>-1.669556</v>
      </c>
      <c r="V5667">
        <v>0.37245509999999998</v>
      </c>
      <c r="W5667">
        <v>0.15814520000000001</v>
      </c>
      <c r="X5667">
        <v>0.91447650000000003</v>
      </c>
      <c r="Y5667">
        <v>0.43940869999999999</v>
      </c>
      <c r="Z5667">
        <v>-1.039735E-2</v>
      </c>
      <c r="AA5667">
        <v>0.89822709999999995</v>
      </c>
      <c r="AB5667">
        <v>26</v>
      </c>
      <c r="AC5667">
        <v>10.577199999999999</v>
      </c>
      <c r="AD5667">
        <v>-1.156158</v>
      </c>
      <c r="AE5667">
        <v>-6.8754419999999898</v>
      </c>
      <c r="AF5667">
        <v>5.5647147585906902</v>
      </c>
      <c r="AG5667">
        <v>-1.156158</v>
      </c>
      <c r="AH5667">
        <v>11.204584659808001</v>
      </c>
      <c r="AI5667">
        <v>95.280057326177101</v>
      </c>
      <c r="AJ5667">
        <v>63.588880329498899</v>
      </c>
      <c r="AK5667">
        <v>12.563656675675499</v>
      </c>
      <c r="AL5667">
        <v>80.900746520521295</v>
      </c>
      <c r="AM5667">
        <v>67.839533052024095</v>
      </c>
      <c r="AN5667">
        <v>0.999999987425649</v>
      </c>
    </row>
    <row r="5668" spans="1:40" x14ac:dyDescent="0.25">
      <c r="A5668" t="str">
        <f>"20190312173039308"</f>
        <v>20190312173039308</v>
      </c>
      <c r="B5668" t="str">
        <f>"1552383039303324"</f>
        <v>1552383039303324</v>
      </c>
      <c r="C5668" t="s">
        <v>40</v>
      </c>
      <c r="D5668">
        <v>3.6953290000000001</v>
      </c>
      <c r="E5668">
        <v>0.53022179999999997</v>
      </c>
      <c r="F5668" t="s">
        <v>43</v>
      </c>
      <c r="G5668">
        <v>-312.23250000000002</v>
      </c>
      <c r="H5668">
        <v>-0.05</v>
      </c>
      <c r="I5668">
        <v>9.8543850000000006</v>
      </c>
      <c r="J5668">
        <v>-322.7749</v>
      </c>
      <c r="K5668">
        <v>1.106133</v>
      </c>
      <c r="L5668">
        <v>16.766110000000001</v>
      </c>
      <c r="M5668">
        <v>0.9929074</v>
      </c>
      <c r="N5668">
        <v>0</v>
      </c>
      <c r="O5668">
        <v>-0.11810850000000001</v>
      </c>
      <c r="P5668">
        <v>0.865954</v>
      </c>
      <c r="Q5668">
        <v>0.14930560000000001</v>
      </c>
      <c r="R5668">
        <v>-0.4773172</v>
      </c>
      <c r="S5668">
        <v>2.5880429999999999</v>
      </c>
      <c r="T5668">
        <v>-0.28011049999999998</v>
      </c>
      <c r="U5668">
        <v>-1.67923</v>
      </c>
      <c r="V5668">
        <v>0.37323489999999998</v>
      </c>
      <c r="W5668">
        <v>0.158163</v>
      </c>
      <c r="X5668">
        <v>0.91415539999999995</v>
      </c>
      <c r="Y5668">
        <v>0.44010379999999899</v>
      </c>
      <c r="Z5668">
        <v>-1.016359E-2</v>
      </c>
      <c r="AA5668">
        <v>0.89788939999999995</v>
      </c>
      <c r="AB5668">
        <v>26</v>
      </c>
      <c r="AC5668">
        <v>10.542399999999899</v>
      </c>
      <c r="AD5668">
        <v>-1.1561330000000001</v>
      </c>
      <c r="AE5668">
        <v>-6.9117249999999997</v>
      </c>
      <c r="AF5668">
        <v>5.5712162392859597</v>
      </c>
      <c r="AG5668">
        <v>-1.1561330000000001</v>
      </c>
      <c r="AH5668">
        <v>11.190878270037199</v>
      </c>
      <c r="AI5668">
        <v>95.283882386488202</v>
      </c>
      <c r="AJ5668">
        <v>63.534249052235197</v>
      </c>
      <c r="AK5668">
        <v>12.554316004998499</v>
      </c>
      <c r="AL5668">
        <v>80.899713407037893</v>
      </c>
      <c r="AM5668">
        <v>67.790598629756502</v>
      </c>
      <c r="AN5668">
        <v>0.99999996024808402</v>
      </c>
    </row>
    <row r="5669" spans="1:40" x14ac:dyDescent="0.25">
      <c r="A5669" t="str">
        <f>"20190312173039319"</f>
        <v>20190312173039319</v>
      </c>
      <c r="B5669" t="str">
        <f>"1552383039313084"</f>
        <v>1552383039313084</v>
      </c>
      <c r="C5669" t="s">
        <v>40</v>
      </c>
      <c r="D5669">
        <v>3.7038310000000001</v>
      </c>
      <c r="E5669">
        <v>0.53020519999999904</v>
      </c>
      <c r="F5669" t="s">
        <v>43</v>
      </c>
      <c r="G5669">
        <v>-312.113</v>
      </c>
      <c r="H5669">
        <v>-0.05</v>
      </c>
      <c r="I5669">
        <v>9.790756</v>
      </c>
      <c r="J5669">
        <v>-322.64409999999998</v>
      </c>
      <c r="K5669">
        <v>1.1061160000000001</v>
      </c>
      <c r="L5669">
        <v>16.74765</v>
      </c>
      <c r="M5669">
        <v>0.99257390000000001</v>
      </c>
      <c r="N5669">
        <v>0</v>
      </c>
      <c r="O5669">
        <v>-0.1208805</v>
      </c>
      <c r="P5669">
        <v>0.8643208</v>
      </c>
      <c r="Q5669">
        <v>0.14922089999999999</v>
      </c>
      <c r="R5669">
        <v>-0.48029490000000002</v>
      </c>
      <c r="S5669">
        <v>2.5816349999999999</v>
      </c>
      <c r="T5669">
        <v>-0.27994279999999999</v>
      </c>
      <c r="U5669">
        <v>-1.688995</v>
      </c>
      <c r="V5669">
        <v>0.37383559999999999</v>
      </c>
      <c r="W5669">
        <v>0.1580529</v>
      </c>
      <c r="X5669">
        <v>0.91392899999999999</v>
      </c>
      <c r="Y5669">
        <v>0.44100519999999999</v>
      </c>
      <c r="Z5669">
        <v>-9.9470989999999992E-3</v>
      </c>
      <c r="AA5669">
        <v>0.89744939999999995</v>
      </c>
      <c r="AB5669">
        <v>26</v>
      </c>
      <c r="AC5669">
        <v>10.531099999999901</v>
      </c>
      <c r="AD5669">
        <v>-1.1561159999999999</v>
      </c>
      <c r="AE5669">
        <v>-6.9568940000000001</v>
      </c>
      <c r="AF5669">
        <v>5.5858801864784002</v>
      </c>
      <c r="AG5669">
        <v>-1.1561159999999999</v>
      </c>
      <c r="AH5669">
        <v>11.200912764362799</v>
      </c>
      <c r="AI5669">
        <v>95.277289972229596</v>
      </c>
      <c r="AJ5669">
        <v>63.494628898280901</v>
      </c>
      <c r="AK5669">
        <v>12.569769624699299</v>
      </c>
      <c r="AL5669">
        <v>80.906102357975698</v>
      </c>
      <c r="AM5669">
        <v>67.753363284650803</v>
      </c>
      <c r="AN5669">
        <v>0.99999999603338496</v>
      </c>
    </row>
    <row r="5670" spans="1:40" x14ac:dyDescent="0.25">
      <c r="A5670" t="str">
        <f>"20190312173039332"</f>
        <v>20190312173039332</v>
      </c>
      <c r="B5670" t="str">
        <f>"1552383039323820"</f>
        <v>1552383039323820</v>
      </c>
      <c r="C5670" t="s">
        <v>40</v>
      </c>
      <c r="D5670">
        <v>3.7114769999999999</v>
      </c>
      <c r="E5670">
        <v>0.53019130000000003</v>
      </c>
      <c r="F5670" t="s">
        <v>43</v>
      </c>
      <c r="G5670">
        <v>-312.01440000000002</v>
      </c>
      <c r="H5670">
        <v>-0.05</v>
      </c>
      <c r="I5670">
        <v>9.7408599999999996</v>
      </c>
      <c r="J5670">
        <v>-322.50380000000001</v>
      </c>
      <c r="K5670">
        <v>1.1060950000000001</v>
      </c>
      <c r="L5670">
        <v>16.727360000000001</v>
      </c>
      <c r="M5670">
        <v>0.99220450000000004</v>
      </c>
      <c r="N5670">
        <v>0</v>
      </c>
      <c r="O5670">
        <v>-0.1238739</v>
      </c>
      <c r="P5670">
        <v>0.86238899999999996</v>
      </c>
      <c r="Q5670">
        <v>0.14918879999999901</v>
      </c>
      <c r="R5670">
        <v>-0.48376439999999998</v>
      </c>
      <c r="S5670">
        <v>2.575806</v>
      </c>
      <c r="T5670">
        <v>-0.2801534</v>
      </c>
      <c r="U5670">
        <v>-1.6979059999999999</v>
      </c>
      <c r="V5670">
        <v>0.37476080000000001</v>
      </c>
      <c r="W5670">
        <v>0.1579912</v>
      </c>
      <c r="X5670">
        <v>0.9135607</v>
      </c>
      <c r="Y5670">
        <v>0.44140459999999898</v>
      </c>
      <c r="Z5670">
        <v>-9.6964159999999994E-3</v>
      </c>
      <c r="AA5670">
        <v>0.89725580000000005</v>
      </c>
      <c r="AB5670">
        <v>26</v>
      </c>
      <c r="AC5670">
        <v>10.4893999999999</v>
      </c>
      <c r="AD5670">
        <v>-1.1560950000000001</v>
      </c>
      <c r="AE5670">
        <v>-6.9865000000000004</v>
      </c>
      <c r="AF5670">
        <v>5.5861910526480996</v>
      </c>
      <c r="AG5670">
        <v>-1.1560950000000001</v>
      </c>
      <c r="AH5670">
        <v>11.180045517371299</v>
      </c>
      <c r="AI5670">
        <v>95.284975216998603</v>
      </c>
      <c r="AJ5670">
        <v>63.450660435514997</v>
      </c>
      <c r="AK5670">
        <v>12.551314827387801</v>
      </c>
      <c r="AL5670">
        <v>80.909682659504796</v>
      </c>
      <c r="AM5670">
        <v>67.695584361106398</v>
      </c>
      <c r="AN5670">
        <v>1.00000001453928</v>
      </c>
    </row>
    <row r="5671" spans="1:40" x14ac:dyDescent="0.25">
      <c r="A5671" t="str">
        <f>"20190312173039345"</f>
        <v>20190312173039345</v>
      </c>
      <c r="B5671" t="str">
        <f>"1552383039333581"</f>
        <v>1552383039333581</v>
      </c>
      <c r="C5671" t="s">
        <v>40</v>
      </c>
      <c r="D5671">
        <v>3.6892290000000001</v>
      </c>
      <c r="E5671">
        <v>0.53017930000000002</v>
      </c>
      <c r="F5671" t="s">
        <v>43</v>
      </c>
      <c r="G5671">
        <v>-311.9051</v>
      </c>
      <c r="H5671">
        <v>-0.05</v>
      </c>
      <c r="I5671">
        <v>9.6795960000000001</v>
      </c>
      <c r="J5671">
        <v>-322.34519999999998</v>
      </c>
      <c r="K5671">
        <v>1.1060779999999999</v>
      </c>
      <c r="L5671">
        <v>16.70401</v>
      </c>
      <c r="M5671">
        <v>0.99177420000000005</v>
      </c>
      <c r="N5671">
        <v>0</v>
      </c>
      <c r="O5671">
        <v>-0.12727359999999999</v>
      </c>
      <c r="P5671">
        <v>0.86038110000000001</v>
      </c>
      <c r="Q5671">
        <v>0.14923149999999999</v>
      </c>
      <c r="R5671">
        <v>-0.48731370000000002</v>
      </c>
      <c r="S5671">
        <v>2.5689090000000001</v>
      </c>
      <c r="T5671">
        <v>-0.28021259999999998</v>
      </c>
      <c r="U5671">
        <v>-1.708221</v>
      </c>
      <c r="V5671">
        <v>0.37540560000000001</v>
      </c>
      <c r="W5671">
        <v>0.15800620000000001</v>
      </c>
      <c r="X5671">
        <v>0.91329329999999997</v>
      </c>
      <c r="Y5671">
        <v>0.44194939999999999</v>
      </c>
      <c r="Z5671">
        <v>-9.4100390000000003E-3</v>
      </c>
      <c r="AA5671">
        <v>0.89699059999999897</v>
      </c>
      <c r="AB5671">
        <v>26</v>
      </c>
      <c r="AC5671">
        <v>10.4400999999999</v>
      </c>
      <c r="AD5671">
        <v>-1.1560779999999999</v>
      </c>
      <c r="AE5671">
        <v>-7.0244140000000002</v>
      </c>
      <c r="AF5671">
        <v>5.5912112049942504</v>
      </c>
      <c r="AG5671">
        <v>-1.1560779999999999</v>
      </c>
      <c r="AH5671">
        <v>11.1551276066934</v>
      </c>
      <c r="AI5671">
        <v>95.293336107949699</v>
      </c>
      <c r="AJ5671">
        <v>63.378898846582899</v>
      </c>
      <c r="AK5671">
        <v>12.531361897357799</v>
      </c>
      <c r="AL5671">
        <v>80.9088120451284</v>
      </c>
      <c r="AM5671">
        <v>67.655080693876997</v>
      </c>
      <c r="AN5671">
        <v>0.999999987787344</v>
      </c>
    </row>
    <row r="5672" spans="1:40" x14ac:dyDescent="0.25">
      <c r="A5672" t="str">
        <f>"20190312173039357"</f>
        <v>20190312173039357</v>
      </c>
      <c r="B5672" t="str">
        <f>"1552383039353100"</f>
        <v>1552383039353100</v>
      </c>
      <c r="C5672" t="s">
        <v>40</v>
      </c>
      <c r="D5672">
        <v>3.6646529999999999</v>
      </c>
      <c r="E5672">
        <v>0.53016200000000002</v>
      </c>
      <c r="F5672" t="s">
        <v>43</v>
      </c>
      <c r="G5672">
        <v>-311.76870000000002</v>
      </c>
      <c r="H5672">
        <v>-0.05</v>
      </c>
      <c r="I5672">
        <v>9.6076969999999999</v>
      </c>
      <c r="J5672">
        <v>-322.20170000000002</v>
      </c>
      <c r="K5672">
        <v>1.1060559999999999</v>
      </c>
      <c r="L5672">
        <v>16.682220000000001</v>
      </c>
      <c r="M5672">
        <v>0.99137129999999996</v>
      </c>
      <c r="N5672">
        <v>0</v>
      </c>
      <c r="O5672">
        <v>-0.13037399999999999</v>
      </c>
      <c r="P5672">
        <v>0.85844419999999899</v>
      </c>
      <c r="Q5672">
        <v>0.14935090000000001</v>
      </c>
      <c r="R5672">
        <v>-0.49068079999999997</v>
      </c>
      <c r="S5672">
        <v>2.5618289999999999</v>
      </c>
      <c r="T5672">
        <v>-0.28002579999999999</v>
      </c>
      <c r="U5672">
        <v>-1.718872</v>
      </c>
      <c r="V5672">
        <v>0.37614140000000001</v>
      </c>
      <c r="W5672">
        <v>0.15809899999999999</v>
      </c>
      <c r="X5672">
        <v>0.91297450000000002</v>
      </c>
      <c r="Y5672">
        <v>0.44287379999999998</v>
      </c>
      <c r="Z5672">
        <v>-9.1630649999999998E-3</v>
      </c>
      <c r="AA5672">
        <v>0.89653709999999898</v>
      </c>
      <c r="AB5672">
        <v>26</v>
      </c>
      <c r="AC5672">
        <v>10.4329999999999</v>
      </c>
      <c r="AD5672">
        <v>-1.156056</v>
      </c>
      <c r="AE5672">
        <v>-7.0745230000000001</v>
      </c>
      <c r="AF5672">
        <v>5.6066545688643501</v>
      </c>
      <c r="AG5672">
        <v>-1.156056</v>
      </c>
      <c r="AH5672">
        <v>11.1723859026424</v>
      </c>
      <c r="AI5672">
        <v>95.2838253797362</v>
      </c>
      <c r="AJ5672">
        <v>63.351063050949598</v>
      </c>
      <c r="AK5672">
        <v>12.553614925083</v>
      </c>
      <c r="AL5672">
        <v>80.903427812852797</v>
      </c>
      <c r="AM5672">
        <v>67.608558586636903</v>
      </c>
      <c r="AN5672">
        <v>1.0000000421226001</v>
      </c>
    </row>
    <row r="5673" spans="1:40" x14ac:dyDescent="0.25">
      <c r="A5673" t="str">
        <f>"20190312173039368"</f>
        <v>20190312173039368</v>
      </c>
      <c r="B5673" t="str">
        <f>"1552383039362861"</f>
        <v>1552383039362861</v>
      </c>
      <c r="C5673" t="s">
        <v>40</v>
      </c>
      <c r="D5673">
        <v>3.668682</v>
      </c>
      <c r="E5673">
        <v>0.53016949999999996</v>
      </c>
      <c r="F5673" t="s">
        <v>43</v>
      </c>
      <c r="G5673">
        <v>-311.63920000000002</v>
      </c>
      <c r="H5673">
        <v>-0.05</v>
      </c>
      <c r="I5673">
        <v>9.5342859999999998</v>
      </c>
      <c r="J5673">
        <v>-322.07350000000002</v>
      </c>
      <c r="K5673">
        <v>1.106039</v>
      </c>
      <c r="L5673">
        <v>16.66245</v>
      </c>
      <c r="M5673">
        <v>0.99100149999999998</v>
      </c>
      <c r="N5673">
        <v>0</v>
      </c>
      <c r="O5673">
        <v>-0.13315629999999901</v>
      </c>
      <c r="P5673">
        <v>0.8565159</v>
      </c>
      <c r="Q5673">
        <v>0.14934520000000001</v>
      </c>
      <c r="R5673">
        <v>-0.49404090000000001</v>
      </c>
      <c r="S5673">
        <v>2.5549930000000001</v>
      </c>
      <c r="T5673">
        <v>-0.27964159999999999</v>
      </c>
      <c r="U5673">
        <v>-1.729034</v>
      </c>
      <c r="V5673">
        <v>0.37716450000000001</v>
      </c>
      <c r="W5673">
        <v>0.1580646</v>
      </c>
      <c r="X5673">
        <v>0.91255819999999999</v>
      </c>
      <c r="Y5673">
        <v>0.4439264</v>
      </c>
      <c r="Z5673">
        <v>-8.9464409999999994E-3</v>
      </c>
      <c r="AA5673">
        <v>0.8960186</v>
      </c>
      <c r="AB5673">
        <v>26</v>
      </c>
      <c r="AC5673">
        <v>10.4343</v>
      </c>
      <c r="AD5673">
        <v>-1.156039</v>
      </c>
      <c r="AE5673">
        <v>-7.1281639999999999</v>
      </c>
      <c r="AF5673">
        <v>5.6280527590049401</v>
      </c>
      <c r="AG5673">
        <v>-1.156039</v>
      </c>
      <c r="AH5673">
        <v>11.196905460885599</v>
      </c>
      <c r="AI5673">
        <v>95.270535410664294</v>
      </c>
      <c r="AJ5673">
        <v>63.313903755666601</v>
      </c>
      <c r="AK5673">
        <v>12.5849948719764</v>
      </c>
      <c r="AL5673">
        <v>80.905423253207204</v>
      </c>
      <c r="AM5673">
        <v>67.5444671904323</v>
      </c>
      <c r="AN5673">
        <v>0.99999997311032396</v>
      </c>
    </row>
    <row r="5674" spans="1:40" x14ac:dyDescent="0.25">
      <c r="A5674" t="str">
        <f>"20190312173039378"</f>
        <v>20190312173039378</v>
      </c>
      <c r="B5674" t="str">
        <f>"1552383039373597"</f>
        <v>1552383039373597</v>
      </c>
      <c r="C5674" t="s">
        <v>40</v>
      </c>
      <c r="D5674">
        <v>3.8612129999999998</v>
      </c>
      <c r="E5674">
        <v>0.53018369999999904</v>
      </c>
      <c r="F5674" t="s">
        <v>43</v>
      </c>
      <c r="G5674">
        <v>-311.54629999999997</v>
      </c>
      <c r="H5674">
        <v>-0.05</v>
      </c>
      <c r="I5674">
        <v>9.4791109999999996</v>
      </c>
      <c r="J5674">
        <v>-321.95179999999999</v>
      </c>
      <c r="K5674">
        <v>1.1060219999999901</v>
      </c>
      <c r="L5674">
        <v>16.643279999999901</v>
      </c>
      <c r="M5674">
        <v>0.99064149999999995</v>
      </c>
      <c r="N5674">
        <v>0</v>
      </c>
      <c r="O5674">
        <v>-0.13580819999999999</v>
      </c>
      <c r="P5674">
        <v>0.85480669999999903</v>
      </c>
      <c r="Q5674">
        <v>0.14911369999999999</v>
      </c>
      <c r="R5674">
        <v>-0.49706230000000001</v>
      </c>
      <c r="S5674">
        <v>2.54834</v>
      </c>
      <c r="T5674">
        <v>-0.27984599999999998</v>
      </c>
      <c r="U5674">
        <v>-1.7388920000000001</v>
      </c>
      <c r="V5674">
        <v>0.3779439</v>
      </c>
      <c r="W5674">
        <v>0.1578099</v>
      </c>
      <c r="X5674">
        <v>0.91227979999999997</v>
      </c>
      <c r="Y5674">
        <v>0.4449863</v>
      </c>
      <c r="Z5674">
        <v>-8.7610540000000008E-3</v>
      </c>
      <c r="AA5674">
        <v>0.89549449999999997</v>
      </c>
      <c r="AB5674">
        <v>26</v>
      </c>
      <c r="AC5674">
        <v>10.4055</v>
      </c>
      <c r="AD5674">
        <v>-1.1560220000000001</v>
      </c>
      <c r="AE5674">
        <v>-7.1641689999999896</v>
      </c>
      <c r="AF5674">
        <v>5.63729517934875</v>
      </c>
      <c r="AG5674">
        <v>-1.1560220000000001</v>
      </c>
      <c r="AH5674">
        <v>11.1884349350454</v>
      </c>
      <c r="AI5674">
        <v>95.2718854753779</v>
      </c>
      <c r="AJ5674">
        <v>63.258740587346097</v>
      </c>
      <c r="AK5674">
        <v>12.5815960871162</v>
      </c>
      <c r="AL5674">
        <v>80.920202172677094</v>
      </c>
      <c r="AM5674">
        <v>67.496503050451807</v>
      </c>
      <c r="AN5674">
        <v>0.99999999478663004</v>
      </c>
    </row>
    <row r="5675" spans="1:40" x14ac:dyDescent="0.25">
      <c r="A5675" t="str">
        <f>"20190312173039390"</f>
        <v>20190312173039390</v>
      </c>
      <c r="B5675" t="str">
        <f>"1552383039383356"</f>
        <v>1552383039383356</v>
      </c>
      <c r="C5675" t="s">
        <v>40</v>
      </c>
      <c r="D5675">
        <v>3.681098</v>
      </c>
      <c r="E5675">
        <v>0.53018699999999996</v>
      </c>
      <c r="F5675" t="s">
        <v>43</v>
      </c>
      <c r="G5675">
        <v>-311.47620000000001</v>
      </c>
      <c r="H5675">
        <v>-0.05</v>
      </c>
      <c r="I5675">
        <v>9.4403989999999993</v>
      </c>
      <c r="J5675">
        <v>-321.8236</v>
      </c>
      <c r="K5675">
        <v>1.1060080000000001</v>
      </c>
      <c r="L5675">
        <v>16.62274</v>
      </c>
      <c r="M5675">
        <v>0.99025300000000005</v>
      </c>
      <c r="N5675">
        <v>0</v>
      </c>
      <c r="O5675">
        <v>-0.1386124</v>
      </c>
      <c r="P5675">
        <v>0.85285319999999998</v>
      </c>
      <c r="Q5675">
        <v>0.14896970000000001</v>
      </c>
      <c r="R5675">
        <v>-0.50044960000000005</v>
      </c>
      <c r="S5675">
        <v>2.5421140000000002</v>
      </c>
      <c r="T5675">
        <v>-0.280532</v>
      </c>
      <c r="U5675">
        <v>-1.747925</v>
      </c>
      <c r="V5675">
        <v>0.37898310000000002</v>
      </c>
      <c r="W5675">
        <v>0.157639</v>
      </c>
      <c r="X5675">
        <v>0.91187819999999997</v>
      </c>
      <c r="Y5675">
        <v>0.44563809999999898</v>
      </c>
      <c r="Z5675">
        <v>-8.5542159999999999E-3</v>
      </c>
      <c r="AA5675">
        <v>0.89517239999999998</v>
      </c>
      <c r="AB5675">
        <v>26</v>
      </c>
      <c r="AC5675">
        <v>10.347399999999899</v>
      </c>
      <c r="AD5675">
        <v>-1.1560079999999999</v>
      </c>
      <c r="AE5675">
        <v>-7.1823409999999903</v>
      </c>
      <c r="AF5675">
        <v>5.6311523623197104</v>
      </c>
      <c r="AG5675">
        <v>-1.1560079999999999</v>
      </c>
      <c r="AH5675">
        <v>11.1492383721751</v>
      </c>
      <c r="AI5675">
        <v>95.287669935912007</v>
      </c>
      <c r="AJ5675">
        <v>63.203001975811603</v>
      </c>
      <c r="AK5675">
        <v>12.5439924945491</v>
      </c>
      <c r="AL5675">
        <v>80.930118624881999</v>
      </c>
      <c r="AM5675">
        <v>67.431880174714607</v>
      </c>
      <c r="AN5675">
        <v>1.0000000480209199</v>
      </c>
    </row>
    <row r="5676" spans="1:40" x14ac:dyDescent="0.25">
      <c r="A5676" t="str">
        <f>"20190312173039400"</f>
        <v>20190312173039400</v>
      </c>
      <c r="B5676" t="str">
        <f>"1552383039393116"</f>
        <v>1552383039393116</v>
      </c>
      <c r="C5676" t="s">
        <v>40</v>
      </c>
      <c r="D5676">
        <v>3.6779130000000002</v>
      </c>
      <c r="E5676">
        <v>0.53018989999999999</v>
      </c>
      <c r="F5676" t="s">
        <v>43</v>
      </c>
      <c r="G5676">
        <v>-311.39190000000002</v>
      </c>
      <c r="H5676">
        <v>-0.05</v>
      </c>
      <c r="I5676">
        <v>9.3884889999999999</v>
      </c>
      <c r="J5676">
        <v>-321.69220000000001</v>
      </c>
      <c r="K5676">
        <v>1.105993</v>
      </c>
      <c r="L5676">
        <v>16.60135</v>
      </c>
      <c r="M5676">
        <v>0.98984470000000002</v>
      </c>
      <c r="N5676">
        <v>0</v>
      </c>
      <c r="O5676">
        <v>-0.14149709999999999</v>
      </c>
      <c r="P5676">
        <v>0.85095489999999996</v>
      </c>
      <c r="Q5676">
        <v>0.14872479999999999</v>
      </c>
      <c r="R5676">
        <v>-0.50374279999999905</v>
      </c>
      <c r="S5676">
        <v>2.5350649999999999</v>
      </c>
      <c r="T5676">
        <v>-0.28092630000000002</v>
      </c>
      <c r="U5676">
        <v>-1.7580260000000001</v>
      </c>
      <c r="V5676">
        <v>0.37984990000000002</v>
      </c>
      <c r="W5676">
        <v>0.15737010000000001</v>
      </c>
      <c r="X5676">
        <v>0.91156389999999998</v>
      </c>
      <c r="Y5676">
        <v>0.4466079</v>
      </c>
      <c r="Z5676">
        <v>-8.3468429999999996E-3</v>
      </c>
      <c r="AA5676">
        <v>0.89469080000000001</v>
      </c>
      <c r="AB5676">
        <v>26</v>
      </c>
      <c r="AC5676">
        <v>10.300299999999901</v>
      </c>
      <c r="AD5676">
        <v>-1.155993</v>
      </c>
      <c r="AE5676">
        <v>-7.2128610000000002</v>
      </c>
      <c r="AF5676">
        <v>5.6350551962554203</v>
      </c>
      <c r="AG5676">
        <v>-1.155993</v>
      </c>
      <c r="AH5676">
        <v>11.1233340329819</v>
      </c>
      <c r="AI5676">
        <v>95.296605324546903</v>
      </c>
      <c r="AJ5676">
        <v>63.133332306191797</v>
      </c>
      <c r="AK5676">
        <v>12.522728412378401</v>
      </c>
      <c r="AL5676">
        <v>80.945719932156393</v>
      </c>
      <c r="AM5676">
        <v>67.378442244546406</v>
      </c>
      <c r="AN5676">
        <v>1.00000001934361</v>
      </c>
    </row>
    <row r="5677" spans="1:40" x14ac:dyDescent="0.25">
      <c r="A5677" t="str">
        <f>"20190312173039410"</f>
        <v>20190312173039410</v>
      </c>
      <c r="B5677" t="str">
        <f>"1552383039402876"</f>
        <v>1552383039402876</v>
      </c>
      <c r="C5677" t="s">
        <v>40</v>
      </c>
      <c r="D5677">
        <v>3.6603520000000001</v>
      </c>
      <c r="E5677">
        <v>0.53020819999999902</v>
      </c>
      <c r="F5677" t="s">
        <v>43</v>
      </c>
      <c r="G5677">
        <v>-311.31950000000001</v>
      </c>
      <c r="H5677">
        <v>-0.05</v>
      </c>
      <c r="I5677">
        <v>9.3466489999999993</v>
      </c>
      <c r="J5677">
        <v>-321.57389999999998</v>
      </c>
      <c r="K5677">
        <v>1.1059829999999999</v>
      </c>
      <c r="L5677">
        <v>16.581569999999999</v>
      </c>
      <c r="M5677">
        <v>0.98946789999999996</v>
      </c>
      <c r="N5677">
        <v>0</v>
      </c>
      <c r="O5677">
        <v>-0.1441094</v>
      </c>
      <c r="P5677">
        <v>0.84929249999999901</v>
      </c>
      <c r="Q5677">
        <v>0.1484869</v>
      </c>
      <c r="R5677">
        <v>-0.50661029999999996</v>
      </c>
      <c r="S5677">
        <v>2.5280149999999999</v>
      </c>
      <c r="T5677">
        <v>-0.2817363</v>
      </c>
      <c r="U5677">
        <v>-1.768097</v>
      </c>
      <c r="V5677">
        <v>0.38051649999999998</v>
      </c>
      <c r="W5677">
        <v>0.157113</v>
      </c>
      <c r="X5677">
        <v>0.91133019999999998</v>
      </c>
      <c r="Y5677">
        <v>0.44780940000000002</v>
      </c>
      <c r="Z5677">
        <v>-8.1885989999999995E-3</v>
      </c>
      <c r="AA5677">
        <v>0.89409150000000004</v>
      </c>
      <c r="AB5677">
        <v>26</v>
      </c>
      <c r="AC5677">
        <v>10.254399999999899</v>
      </c>
      <c r="AD5677">
        <v>-1.155983</v>
      </c>
      <c r="AE5677">
        <v>-7.2349209999999999</v>
      </c>
      <c r="AF5677">
        <v>5.6336947439764398</v>
      </c>
      <c r="AG5677">
        <v>-1.155983</v>
      </c>
      <c r="AH5677">
        <v>11.0959147633671</v>
      </c>
      <c r="AI5677">
        <v>95.307169083198303</v>
      </c>
      <c r="AJ5677">
        <v>63.081868192729203</v>
      </c>
      <c r="AK5677">
        <v>12.497765304265601</v>
      </c>
      <c r="AL5677">
        <v>80.960636216100198</v>
      </c>
      <c r="AM5677">
        <v>67.337528766711003</v>
      </c>
      <c r="AN5677">
        <v>1.0000000174866399</v>
      </c>
    </row>
    <row r="5678" spans="1:40" x14ac:dyDescent="0.25">
      <c r="A5678" t="str">
        <f>"20190312173039420"</f>
        <v>20190312173039420</v>
      </c>
      <c r="B5678" t="str">
        <f>"1552383039413611"</f>
        <v>1552383039413611</v>
      </c>
      <c r="C5678" t="s">
        <v>40</v>
      </c>
      <c r="D5678">
        <v>3.6642199999999998</v>
      </c>
      <c r="E5678">
        <v>0.53020990000000001</v>
      </c>
      <c r="F5678" t="s">
        <v>43</v>
      </c>
      <c r="G5678">
        <v>-311.25229999999999</v>
      </c>
      <c r="H5678">
        <v>-0.05</v>
      </c>
      <c r="I5678">
        <v>9.3079219999999996</v>
      </c>
      <c r="J5678">
        <v>-321.46199999999999</v>
      </c>
      <c r="K5678">
        <v>1.10597099999999</v>
      </c>
      <c r="L5678">
        <v>16.562739999999899</v>
      </c>
      <c r="M5678">
        <v>0.98910419999999999</v>
      </c>
      <c r="N5678">
        <v>0</v>
      </c>
      <c r="O5678">
        <v>-0.14658389999999999</v>
      </c>
      <c r="P5678">
        <v>0.84762019999999905</v>
      </c>
      <c r="Q5678">
        <v>0.1484104</v>
      </c>
      <c r="R5678">
        <v>-0.50942549999999998</v>
      </c>
      <c r="S5678">
        <v>2.5216980000000002</v>
      </c>
      <c r="T5678">
        <v>-0.28242030000000001</v>
      </c>
      <c r="U5678">
        <v>-1.777039</v>
      </c>
      <c r="V5678">
        <v>0.38126389999999999</v>
      </c>
      <c r="W5678">
        <v>0.1570165</v>
      </c>
      <c r="X5678">
        <v>0.91103440000000002</v>
      </c>
      <c r="Y5678">
        <v>0.44874599999999998</v>
      </c>
      <c r="Z5678">
        <v>-8.0244919999999994E-3</v>
      </c>
      <c r="AA5678">
        <v>0.89362330000000001</v>
      </c>
      <c r="AB5678">
        <v>26</v>
      </c>
      <c r="AC5678">
        <v>10.2096999999999</v>
      </c>
      <c r="AD5678">
        <v>-1.1559710000000001</v>
      </c>
      <c r="AE5678">
        <v>-7.2548179999999904</v>
      </c>
      <c r="AF5678">
        <v>5.6317487359024403</v>
      </c>
      <c r="AG5678">
        <v>-1.1559710000000001</v>
      </c>
      <c r="AH5678">
        <v>11.0686490159651</v>
      </c>
      <c r="AI5678">
        <v>95.317816488845196</v>
      </c>
      <c r="AJ5678">
        <v>63.0329252661151</v>
      </c>
      <c r="AK5678">
        <v>12.472684306748301</v>
      </c>
      <c r="AL5678">
        <v>80.966234680944098</v>
      </c>
      <c r="AM5678">
        <v>67.290903755657595</v>
      </c>
      <c r="AN5678">
        <v>1.00000001034941</v>
      </c>
    </row>
    <row r="5679" spans="1:40" x14ac:dyDescent="0.25">
      <c r="A5679" t="str">
        <f>"20190312173039431"</f>
        <v>20190312173039431</v>
      </c>
      <c r="B5679" t="str">
        <f>"1552383039423372"</f>
        <v>1552383039423372</v>
      </c>
      <c r="C5679" t="s">
        <v>40</v>
      </c>
      <c r="D5679">
        <v>3.655926</v>
      </c>
      <c r="E5679">
        <v>0.53024009999999999</v>
      </c>
      <c r="F5679" t="s">
        <v>43</v>
      </c>
      <c r="G5679">
        <v>-311.17129999999997</v>
      </c>
      <c r="H5679">
        <v>-0.05</v>
      </c>
      <c r="I5679">
        <v>9.2581179999999996</v>
      </c>
      <c r="J5679">
        <v>-321.34429999999998</v>
      </c>
      <c r="K5679">
        <v>1.1059589999999999</v>
      </c>
      <c r="L5679">
        <v>16.54242</v>
      </c>
      <c r="M5679">
        <v>0.98871229999999999</v>
      </c>
      <c r="N5679">
        <v>0</v>
      </c>
      <c r="O5679">
        <v>-0.14920429999999901</v>
      </c>
      <c r="P5679">
        <v>0.84583719999999996</v>
      </c>
      <c r="Q5679">
        <v>0.1481856</v>
      </c>
      <c r="R5679">
        <v>-0.51244529999999999</v>
      </c>
      <c r="S5679">
        <v>2.5156559999999999</v>
      </c>
      <c r="T5679">
        <v>-0.28258660000000002</v>
      </c>
      <c r="U5679">
        <v>-1.7856749999999999</v>
      </c>
      <c r="V5679">
        <v>0.38209749999999998</v>
      </c>
      <c r="W5679">
        <v>0.1567692</v>
      </c>
      <c r="X5679">
        <v>0.91072770000000003</v>
      </c>
      <c r="Y5679">
        <v>0.4494377</v>
      </c>
      <c r="Z5679">
        <v>-7.8179040000000005E-3</v>
      </c>
      <c r="AA5679">
        <v>0.89327749999999995</v>
      </c>
      <c r="AB5679">
        <v>26</v>
      </c>
      <c r="AC5679">
        <v>10.173</v>
      </c>
      <c r="AD5679">
        <v>-1.155959</v>
      </c>
      <c r="AE5679">
        <v>-7.2843020000000003</v>
      </c>
      <c r="AF5679">
        <v>5.6366409717668198</v>
      </c>
      <c r="AG5679">
        <v>-1.155959</v>
      </c>
      <c r="AH5679">
        <v>11.0517243874994</v>
      </c>
      <c r="AI5679">
        <v>95.323242257672703</v>
      </c>
      <c r="AJ5679">
        <v>62.977342409971797</v>
      </c>
      <c r="AK5679">
        <v>12.459878594574199</v>
      </c>
      <c r="AL5679">
        <v>80.980581624826698</v>
      </c>
      <c r="AM5679">
        <v>67.2394241478938</v>
      </c>
      <c r="AN5679">
        <v>1.0000000125610899</v>
      </c>
    </row>
    <row r="5680" spans="1:40" x14ac:dyDescent="0.25">
      <c r="A5680" t="str">
        <f>"20190312173039440"</f>
        <v>20190312173039440</v>
      </c>
      <c r="B5680" t="str">
        <f>"1552383039433132"</f>
        <v>1552383039433132</v>
      </c>
      <c r="C5680" t="s">
        <v>40</v>
      </c>
      <c r="D5680">
        <v>3.6198990000000002</v>
      </c>
      <c r="E5680">
        <v>0.53024009999999999</v>
      </c>
      <c r="F5680" t="s">
        <v>43</v>
      </c>
      <c r="G5680">
        <v>-311.10860000000002</v>
      </c>
      <c r="H5680">
        <v>-0.05</v>
      </c>
      <c r="I5680">
        <v>9.2200319999999998</v>
      </c>
      <c r="J5680">
        <v>-321.21699999999998</v>
      </c>
      <c r="K5680">
        <v>1.105944</v>
      </c>
      <c r="L5680">
        <v>16.520289999999999</v>
      </c>
      <c r="M5680">
        <v>0.98827949999999998</v>
      </c>
      <c r="N5680">
        <v>0</v>
      </c>
      <c r="O5680">
        <v>-0.15204409999999999</v>
      </c>
      <c r="P5680">
        <v>0.84401800000000005</v>
      </c>
      <c r="Q5680">
        <v>0.14805389999999999</v>
      </c>
      <c r="R5680">
        <v>-0.51547429999999905</v>
      </c>
      <c r="S5680">
        <v>2.5090330000000001</v>
      </c>
      <c r="T5680">
        <v>-0.28335260000000001</v>
      </c>
      <c r="U5680">
        <v>-1.794891</v>
      </c>
      <c r="V5680">
        <v>0.38274770000000002</v>
      </c>
      <c r="W5680">
        <v>0.15661659999999999</v>
      </c>
      <c r="X5680">
        <v>0.91048090000000004</v>
      </c>
      <c r="Y5680">
        <v>0.45015949999999999</v>
      </c>
      <c r="Z5680">
        <v>-7.6079959999999997E-3</v>
      </c>
      <c r="AA5680">
        <v>0.89291580000000004</v>
      </c>
      <c r="AB5680">
        <v>26</v>
      </c>
      <c r="AC5680">
        <v>10.1083999999999</v>
      </c>
      <c r="AD5680">
        <v>-1.1559440000000001</v>
      </c>
      <c r="AE5680">
        <v>-7.3002579999999897</v>
      </c>
      <c r="AF5680">
        <v>5.6299155564088501</v>
      </c>
      <c r="AG5680">
        <v>-1.1559440000000001</v>
      </c>
      <c r="AH5680">
        <v>11.0063261993166</v>
      </c>
      <c r="AI5680">
        <v>95.341791120060094</v>
      </c>
      <c r="AJ5680">
        <v>62.9095144827631</v>
      </c>
      <c r="AK5680">
        <v>12.416576505188299</v>
      </c>
      <c r="AL5680">
        <v>80.9894343391463</v>
      </c>
      <c r="AM5680">
        <v>67.199103077559897</v>
      </c>
      <c r="AN5680">
        <v>1.0000000152578199</v>
      </c>
    </row>
    <row r="5681" spans="1:40" x14ac:dyDescent="0.25">
      <c r="A5681" t="str">
        <f>"20190312173039452"</f>
        <v>20190312173039452</v>
      </c>
      <c r="B5681" t="str">
        <f>"1552383039442892"</f>
        <v>1552383039442892</v>
      </c>
      <c r="C5681" t="s">
        <v>40</v>
      </c>
      <c r="D5681">
        <v>3.712224</v>
      </c>
      <c r="E5681">
        <v>0.53055629999999998</v>
      </c>
      <c r="F5681" t="s">
        <v>43</v>
      </c>
      <c r="G5681">
        <v>-311.02319999999997</v>
      </c>
      <c r="H5681">
        <v>-0.05</v>
      </c>
      <c r="I5681">
        <v>9.1716160000000002</v>
      </c>
      <c r="J5681">
        <v>-321.08010000000002</v>
      </c>
      <c r="K5681">
        <v>1.1059019999999999</v>
      </c>
      <c r="L5681">
        <v>16.495940000000001</v>
      </c>
      <c r="M5681">
        <v>0.98772859999999996</v>
      </c>
      <c r="N5681">
        <v>0</v>
      </c>
      <c r="O5681">
        <v>-0.15560179999999901</v>
      </c>
      <c r="P5681">
        <v>0.84171269999999998</v>
      </c>
      <c r="Q5681">
        <v>0.14815349999999999</v>
      </c>
      <c r="R5681">
        <v>-0.5192021</v>
      </c>
      <c r="S5681">
        <v>2.5024410000000001</v>
      </c>
      <c r="T5681">
        <v>-0.28376620000000002</v>
      </c>
      <c r="U5681">
        <v>-1.8039860000000001</v>
      </c>
      <c r="V5681">
        <v>0.38349329999999998</v>
      </c>
      <c r="W5681">
        <v>0.15652859999999999</v>
      </c>
      <c r="X5681">
        <v>0.91018220000000005</v>
      </c>
      <c r="Y5681">
        <v>0.45020710000000003</v>
      </c>
      <c r="Z5681">
        <v>-7.28297199999999E-3</v>
      </c>
      <c r="AA5681">
        <v>0.89289449999999904</v>
      </c>
      <c r="AB5681">
        <v>26</v>
      </c>
      <c r="AC5681">
        <v>10.056900000000001</v>
      </c>
      <c r="AD5681">
        <v>-1.155902</v>
      </c>
      <c r="AE5681">
        <v>-7.3243239999999998</v>
      </c>
      <c r="AF5681">
        <v>5.6215588336128004</v>
      </c>
      <c r="AG5681">
        <v>-1.155902</v>
      </c>
      <c r="AH5681">
        <v>10.9793908167679</v>
      </c>
      <c r="AI5681">
        <v>95.353560555899605</v>
      </c>
      <c r="AJ5681">
        <v>62.887095725130301</v>
      </c>
      <c r="AK5681">
        <v>12.388908582304699</v>
      </c>
      <c r="AL5681">
        <v>80.994538969120299</v>
      </c>
      <c r="AM5681">
        <v>67.152515026213607</v>
      </c>
      <c r="AN5681">
        <v>0.99999997547984398</v>
      </c>
    </row>
    <row r="5682" spans="1:40" x14ac:dyDescent="0.25">
      <c r="A5682" t="str">
        <f>"20190312173039464"</f>
        <v>20190312173039464</v>
      </c>
      <c r="B5682" t="str">
        <f>"1552383039453628"</f>
        <v>1552383039453628</v>
      </c>
      <c r="C5682" t="s">
        <v>40</v>
      </c>
      <c r="D5682">
        <v>3.7080700000000002</v>
      </c>
      <c r="E5682">
        <v>0.53055629999999998</v>
      </c>
      <c r="F5682" t="s">
        <v>43</v>
      </c>
      <c r="G5682">
        <v>-310.94260000000003</v>
      </c>
      <c r="H5682">
        <v>-0.05</v>
      </c>
      <c r="I5682">
        <v>9.108765</v>
      </c>
      <c r="J5682">
        <v>-320.95389999999998</v>
      </c>
      <c r="K5682">
        <v>1.10585</v>
      </c>
      <c r="L5682">
        <v>16.47336</v>
      </c>
      <c r="M5682">
        <v>0.98719840000000003</v>
      </c>
      <c r="N5682">
        <v>0</v>
      </c>
      <c r="O5682">
        <v>-0.15894939999999999</v>
      </c>
      <c r="P5682">
        <v>0.83942809999999901</v>
      </c>
      <c r="Q5682">
        <v>0.14845069999999999</v>
      </c>
      <c r="R5682">
        <v>-0.52280320000000002</v>
      </c>
      <c r="S5682">
        <v>2.493439</v>
      </c>
      <c r="T5682">
        <v>-0.284306</v>
      </c>
      <c r="U5682">
        <v>-1.816956</v>
      </c>
      <c r="V5682">
        <v>0.38431389999999999</v>
      </c>
      <c r="W5682">
        <v>0.1566176</v>
      </c>
      <c r="X5682">
        <v>0.90982070000000004</v>
      </c>
      <c r="Y5682">
        <v>0.45175130000000002</v>
      </c>
      <c r="Z5682">
        <v>-7.0594739999999996E-3</v>
      </c>
      <c r="AA5682">
        <v>0.89211600000000002</v>
      </c>
      <c r="AB5682">
        <v>26</v>
      </c>
      <c r="AC5682">
        <v>10.011299999999901</v>
      </c>
      <c r="AD5682">
        <v>-1.15585</v>
      </c>
      <c r="AE5682">
        <v>-7.3645949999999996</v>
      </c>
      <c r="AF5682">
        <v>5.6308193226643999</v>
      </c>
      <c r="AG5682">
        <v>-1.15585</v>
      </c>
      <c r="AH5682">
        <v>10.959906607536899</v>
      </c>
      <c r="AI5682">
        <v>95.358984089055596</v>
      </c>
      <c r="AJ5682">
        <v>62.807475710014003</v>
      </c>
      <c r="AK5682">
        <v>12.3758502056595</v>
      </c>
      <c r="AL5682">
        <v>80.989375973109105</v>
      </c>
      <c r="AM5682">
        <v>67.100502895595497</v>
      </c>
      <c r="AN5682">
        <v>0.99999997625572901</v>
      </c>
    </row>
    <row r="5683" spans="1:40" x14ac:dyDescent="0.25">
      <c r="A5683" t="str">
        <f>"20190312173039474"</f>
        <v>20190312173039474</v>
      </c>
      <c r="B5683" t="str">
        <f>"1552383039463388"</f>
        <v>1552383039463388</v>
      </c>
      <c r="C5683" t="s">
        <v>40</v>
      </c>
      <c r="D5683">
        <v>3.6462639999999999</v>
      </c>
      <c r="E5683">
        <v>0.56631519999999902</v>
      </c>
      <c r="F5683" t="s">
        <v>43</v>
      </c>
      <c r="G5683">
        <v>-310.81790000000001</v>
      </c>
      <c r="H5683">
        <v>-0.05</v>
      </c>
      <c r="I5683">
        <v>9.0220950000000002</v>
      </c>
      <c r="J5683">
        <v>-320.8288</v>
      </c>
      <c r="K5683">
        <v>1.105666</v>
      </c>
      <c r="L5683">
        <v>16.450320000000001</v>
      </c>
      <c r="M5683">
        <v>0.98669070000000003</v>
      </c>
      <c r="N5683">
        <v>0</v>
      </c>
      <c r="O5683">
        <v>-0.1620885</v>
      </c>
      <c r="P5683">
        <v>0.83738359999999901</v>
      </c>
      <c r="Q5683">
        <v>0.148864</v>
      </c>
      <c r="R5683">
        <v>-0.52595449999999999</v>
      </c>
      <c r="S5683">
        <v>2.4859010000000001</v>
      </c>
      <c r="T5683">
        <v>-0.28347709999999998</v>
      </c>
      <c r="U5683">
        <v>-1.8274539999999999</v>
      </c>
      <c r="V5683">
        <v>0.38489250000000003</v>
      </c>
      <c r="W5683">
        <v>0.15673429999999999</v>
      </c>
      <c r="X5683">
        <v>0.90955600000000003</v>
      </c>
      <c r="Y5683">
        <v>0.45266709999999899</v>
      </c>
      <c r="Z5683">
        <v>-6.7887590000000001E-3</v>
      </c>
      <c r="AA5683">
        <v>0.89165380000000005</v>
      </c>
      <c r="AB5683">
        <v>26</v>
      </c>
      <c r="AC5683">
        <v>10.0108999999999</v>
      </c>
      <c r="AD5683">
        <v>-1.1556660000000001</v>
      </c>
      <c r="AE5683">
        <v>-7.4282250000000003</v>
      </c>
      <c r="AF5683">
        <v>5.6585576679007303</v>
      </c>
      <c r="AG5683">
        <v>-1.1556660000000001</v>
      </c>
      <c r="AH5683">
        <v>10.988188570453399</v>
      </c>
      <c r="AI5683">
        <v>95.341827606520596</v>
      </c>
      <c r="AJ5683">
        <v>62.753013958754799</v>
      </c>
      <c r="AK5683">
        <v>12.4135058240755</v>
      </c>
      <c r="AL5683">
        <v>80.982606136905702</v>
      </c>
      <c r="AM5683">
        <v>67.0636068391794</v>
      </c>
      <c r="AN5683">
        <v>0.99999999724437005</v>
      </c>
    </row>
    <row r="5684" spans="1:40" x14ac:dyDescent="0.25">
      <c r="A5684" t="str">
        <f>"20190312173039485"</f>
        <v>20190312173039485</v>
      </c>
      <c r="B5684" t="str">
        <f>"1552383039482909"</f>
        <v>1552383039482909</v>
      </c>
      <c r="C5684" t="s">
        <v>40</v>
      </c>
      <c r="D5684">
        <v>3.6830980000000002</v>
      </c>
      <c r="E5684">
        <v>0.56868980000000002</v>
      </c>
      <c r="F5684" t="s">
        <v>43</v>
      </c>
      <c r="G5684">
        <v>-309.87020000000001</v>
      </c>
      <c r="H5684">
        <v>-0.05</v>
      </c>
      <c r="I5684">
        <v>6.655106</v>
      </c>
      <c r="J5684">
        <v>-320.69630000000001</v>
      </c>
      <c r="K5684">
        <v>1.1054619999999999</v>
      </c>
      <c r="L5684">
        <v>16.425719999999998</v>
      </c>
      <c r="M5684">
        <v>0.98615549999999996</v>
      </c>
      <c r="N5684">
        <v>0</v>
      </c>
      <c r="O5684">
        <v>-0.16532549999999999</v>
      </c>
      <c r="P5684">
        <v>0.83527309999999999</v>
      </c>
      <c r="Q5684">
        <v>0.1493295</v>
      </c>
      <c r="R5684">
        <v>-0.529169</v>
      </c>
      <c r="S5684">
        <v>2.3223569999999998</v>
      </c>
      <c r="T5684">
        <v>-0.2449093</v>
      </c>
      <c r="U5684">
        <v>-2.075806</v>
      </c>
      <c r="V5684">
        <v>0.38546589999999997</v>
      </c>
      <c r="W5684">
        <v>0.15694669999999999</v>
      </c>
      <c r="X5684">
        <v>0.90927650000000004</v>
      </c>
      <c r="Y5684">
        <v>0.5328775</v>
      </c>
      <c r="Z5684">
        <v>-9.3702390000000007E-3</v>
      </c>
      <c r="AA5684">
        <v>0.84614049999999996</v>
      </c>
      <c r="AB5684">
        <v>26</v>
      </c>
      <c r="AC5684">
        <v>10.826099999999901</v>
      </c>
      <c r="AD5684">
        <v>-1.155462</v>
      </c>
      <c r="AE5684">
        <v>-9.7706140000000001</v>
      </c>
      <c r="AF5684">
        <v>7.7972117036563198</v>
      </c>
      <c r="AG5684">
        <v>-1.155462</v>
      </c>
      <c r="AH5684">
        <v>12.215874073156799</v>
      </c>
      <c r="AI5684">
        <v>94.558542628888304</v>
      </c>
      <c r="AJ5684">
        <v>57.450512138692297</v>
      </c>
      <c r="AK5684">
        <v>14.538197348925401</v>
      </c>
      <c r="AL5684">
        <v>80.970283948760397</v>
      </c>
      <c r="AM5684">
        <v>67.026652045802507</v>
      </c>
      <c r="AN5684">
        <v>0.99999999007797502</v>
      </c>
    </row>
    <row r="5685" spans="1:40" x14ac:dyDescent="0.25">
      <c r="A5685" t="str">
        <f>"20190312173039496"</f>
        <v>20190312173039496</v>
      </c>
      <c r="B5685" t="str">
        <f>"1552383039493644"</f>
        <v>1552383039493644</v>
      </c>
      <c r="C5685" t="s">
        <v>40</v>
      </c>
      <c r="D5685">
        <v>3.649324</v>
      </c>
      <c r="E5685">
        <v>0.56944479999999997</v>
      </c>
      <c r="F5685" t="s">
        <v>43</v>
      </c>
      <c r="G5685">
        <v>-309.61340000000001</v>
      </c>
      <c r="H5685">
        <v>-0.05</v>
      </c>
      <c r="I5685">
        <v>6.3183590000000001</v>
      </c>
      <c r="J5685">
        <v>-320.56830000000002</v>
      </c>
      <c r="K5685">
        <v>1.1052310000000001</v>
      </c>
      <c r="L5685">
        <v>16.401309999999999</v>
      </c>
      <c r="M5685">
        <v>0.98566960000000003</v>
      </c>
      <c r="N5685">
        <v>0</v>
      </c>
      <c r="O5685">
        <v>-0.1681906</v>
      </c>
      <c r="P5685">
        <v>0.8333779</v>
      </c>
      <c r="Q5685">
        <v>0.14963650000000001</v>
      </c>
      <c r="R5685">
        <v>-0.53206249999999999</v>
      </c>
      <c r="S5685">
        <v>2.3035890000000001</v>
      </c>
      <c r="T5685">
        <v>-0.2401644</v>
      </c>
      <c r="U5685">
        <v>-2.1008300000000002</v>
      </c>
      <c r="V5685">
        <v>0.38604880000000003</v>
      </c>
      <c r="W5685">
        <v>0.15719259999999999</v>
      </c>
      <c r="X5685">
        <v>0.90898670000000004</v>
      </c>
      <c r="Y5685">
        <v>0.53889480000000001</v>
      </c>
      <c r="Z5685">
        <v>-9.2427110000000007E-3</v>
      </c>
      <c r="AA5685">
        <v>0.84232229999999997</v>
      </c>
      <c r="AB5685">
        <v>26</v>
      </c>
      <c r="AC5685">
        <v>10.9549</v>
      </c>
      <c r="AD5685">
        <v>-1.1552309999999999</v>
      </c>
      <c r="AE5685">
        <v>-10.082951</v>
      </c>
      <c r="AF5685">
        <v>8.0481720717218899</v>
      </c>
      <c r="AG5685">
        <v>-1.1552309999999999</v>
      </c>
      <c r="AH5685">
        <v>12.4200424809264</v>
      </c>
      <c r="AI5685">
        <v>94.463334186481205</v>
      </c>
      <c r="AJ5685">
        <v>57.056812749083001</v>
      </c>
      <c r="AK5685">
        <v>14.8446989726104</v>
      </c>
      <c r="AL5685">
        <v>80.956017975941705</v>
      </c>
      <c r="AM5685">
        <v>66.988953844043806</v>
      </c>
      <c r="AN5685">
        <v>1.0000000051265401</v>
      </c>
    </row>
    <row r="5686" spans="1:40" x14ac:dyDescent="0.25">
      <c r="A5686" t="str">
        <f>"20190312173039508"</f>
        <v>20190312173039508</v>
      </c>
      <c r="B5686" t="str">
        <f>"1552383039503404"</f>
        <v>1552383039503404</v>
      </c>
      <c r="C5686" t="s">
        <v>40</v>
      </c>
      <c r="D5686">
        <v>3.6710050000000001</v>
      </c>
      <c r="E5686">
        <v>0.56978859999999998</v>
      </c>
      <c r="F5686" t="s">
        <v>43</v>
      </c>
      <c r="G5686">
        <v>-309.45979999999997</v>
      </c>
      <c r="H5686">
        <v>-0.05</v>
      </c>
      <c r="I5686">
        <v>6.156326</v>
      </c>
      <c r="J5686">
        <v>-320.43520000000001</v>
      </c>
      <c r="K5686">
        <v>1.104956</v>
      </c>
      <c r="L5686">
        <v>16.375640000000001</v>
      </c>
      <c r="M5686">
        <v>0.98515969999999997</v>
      </c>
      <c r="N5686">
        <v>0</v>
      </c>
      <c r="O5686">
        <v>-0.1711375</v>
      </c>
      <c r="P5686">
        <v>0.83145219999999898</v>
      </c>
      <c r="Q5686">
        <v>0.14956029999999901</v>
      </c>
      <c r="R5686">
        <v>-0.53508809999999996</v>
      </c>
      <c r="S5686">
        <v>2.292694</v>
      </c>
      <c r="T5686">
        <v>-0.2384291</v>
      </c>
      <c r="U5686">
        <v>-2.114471</v>
      </c>
      <c r="V5686">
        <v>0.38669419999999999</v>
      </c>
      <c r="W5686">
        <v>0.15712379999999901</v>
      </c>
      <c r="X5686">
        <v>0.90872419999999998</v>
      </c>
      <c r="Y5686">
        <v>0.54109589999999996</v>
      </c>
      <c r="Z5686">
        <v>-9.0430249999999997E-3</v>
      </c>
      <c r="AA5686">
        <v>0.84091229999999995</v>
      </c>
      <c r="AB5686">
        <v>26</v>
      </c>
      <c r="AC5686">
        <v>10.9754</v>
      </c>
      <c r="AD5686">
        <v>-1.1549559999999901</v>
      </c>
      <c r="AE5686">
        <v>-10.219314000000001</v>
      </c>
      <c r="AF5686">
        <v>8.1417678286229798</v>
      </c>
      <c r="AG5686">
        <v>-1.1549559999999901</v>
      </c>
      <c r="AH5686">
        <v>12.488438783577701</v>
      </c>
      <c r="AI5686">
        <v>94.4299729390941</v>
      </c>
      <c r="AJ5686">
        <v>56.897884708734203</v>
      </c>
      <c r="AK5686">
        <v>14.952705774819</v>
      </c>
      <c r="AL5686">
        <v>80.960009318285998</v>
      </c>
      <c r="AM5686">
        <v>66.948536205333596</v>
      </c>
      <c r="AN5686">
        <v>0.99999998225285902</v>
      </c>
    </row>
    <row r="5687" spans="1:40" x14ac:dyDescent="0.25">
      <c r="A5687" t="str">
        <f>"20190312173039520"</f>
        <v>20190312173039520</v>
      </c>
      <c r="B5687" t="str">
        <f>"1552383039513165"</f>
        <v>1552383039513165</v>
      </c>
      <c r="C5687" t="s">
        <v>40</v>
      </c>
      <c r="D5687">
        <v>3.6364610000000002</v>
      </c>
      <c r="E5687">
        <v>0.57031529999999997</v>
      </c>
      <c r="F5687" t="s">
        <v>43</v>
      </c>
      <c r="G5687">
        <v>-309.30509999999998</v>
      </c>
      <c r="H5687">
        <v>-0.05</v>
      </c>
      <c r="I5687">
        <v>6.0149990000000004</v>
      </c>
      <c r="J5687">
        <v>-320.29629999999997</v>
      </c>
      <c r="K5687">
        <v>1.1046199999999999</v>
      </c>
      <c r="L5687">
        <v>16.348420000000001</v>
      </c>
      <c r="M5687">
        <v>0.9846239</v>
      </c>
      <c r="N5687">
        <v>0</v>
      </c>
      <c r="O5687">
        <v>-0.1741724</v>
      </c>
      <c r="P5687">
        <v>0.82944739999999995</v>
      </c>
      <c r="Q5687">
        <v>0.14950959999999999</v>
      </c>
      <c r="R5687">
        <v>-0.53820400000000002</v>
      </c>
      <c r="S5687">
        <v>2.2830509999999999</v>
      </c>
      <c r="T5687">
        <v>-0.23690890000000001</v>
      </c>
      <c r="U5687">
        <v>-2.1252140000000002</v>
      </c>
      <c r="V5687">
        <v>0.3873684</v>
      </c>
      <c r="W5687">
        <v>0.157169</v>
      </c>
      <c r="X5687">
        <v>0.9084293</v>
      </c>
      <c r="Y5687">
        <v>0.54241309999999998</v>
      </c>
      <c r="Z5687">
        <v>-8.8062580000000008E-3</v>
      </c>
      <c r="AA5687">
        <v>0.84006579999999997</v>
      </c>
      <c r="AB5687">
        <v>26</v>
      </c>
      <c r="AC5687">
        <v>10.9911999999999</v>
      </c>
      <c r="AD5687">
        <v>-1.15462</v>
      </c>
      <c r="AE5687">
        <v>-10.333421</v>
      </c>
      <c r="AF5687">
        <v>8.2128033564386307</v>
      </c>
      <c r="AG5687">
        <v>-1.15462</v>
      </c>
      <c r="AH5687">
        <v>12.5496167078556</v>
      </c>
      <c r="AI5687">
        <v>94.402199105901403</v>
      </c>
      <c r="AJ5687">
        <v>56.798196161647297</v>
      </c>
      <c r="AK5687">
        <v>15.042478712965501</v>
      </c>
      <c r="AL5687">
        <v>80.957387881123793</v>
      </c>
      <c r="AM5687">
        <v>66.905845223856502</v>
      </c>
      <c r="AN5687">
        <v>1.0000000824890201</v>
      </c>
    </row>
    <row r="5688" spans="1:40" x14ac:dyDescent="0.25">
      <c r="A5688" t="str">
        <f>"20190312173039532"</f>
        <v>20190312173039532</v>
      </c>
      <c r="B5688" t="str">
        <f>"1552383039522924"</f>
        <v>1552383039522924</v>
      </c>
      <c r="C5688" t="s">
        <v>40</v>
      </c>
      <c r="D5688">
        <v>3.659008</v>
      </c>
      <c r="E5688">
        <v>0.57079399999999902</v>
      </c>
      <c r="F5688" t="s">
        <v>43</v>
      </c>
      <c r="G5688">
        <v>-309.19049999999999</v>
      </c>
      <c r="H5688">
        <v>-0.05</v>
      </c>
      <c r="I5688">
        <v>5.90123</v>
      </c>
      <c r="J5688">
        <v>-320.16570000000002</v>
      </c>
      <c r="K5688">
        <v>1.1042050000000001</v>
      </c>
      <c r="L5688">
        <v>16.322240000000001</v>
      </c>
      <c r="M5688">
        <v>0.98409590000000002</v>
      </c>
      <c r="N5688">
        <v>0</v>
      </c>
      <c r="O5688">
        <v>-0.17710670000000001</v>
      </c>
      <c r="P5688">
        <v>0.82760100000000003</v>
      </c>
      <c r="Q5688">
        <v>0.14924949999999901</v>
      </c>
      <c r="R5688">
        <v>-0.54111129999999996</v>
      </c>
      <c r="S5688">
        <v>2.2724000000000002</v>
      </c>
      <c r="T5688">
        <v>-0.23625060000000001</v>
      </c>
      <c r="U5688">
        <v>-2.1376339999999998</v>
      </c>
      <c r="V5688">
        <v>0.38789859999999998</v>
      </c>
      <c r="W5688">
        <v>0.1570471</v>
      </c>
      <c r="X5688">
        <v>0.90822400000000003</v>
      </c>
      <c r="Y5688">
        <v>0.54431719999999995</v>
      </c>
      <c r="Z5688">
        <v>-8.6379449999999993E-3</v>
      </c>
      <c r="AA5688">
        <v>0.83883490000000005</v>
      </c>
      <c r="AB5688">
        <v>26</v>
      </c>
      <c r="AC5688">
        <v>10.975199999999999</v>
      </c>
      <c r="AD5688">
        <v>-1.1542049999999999</v>
      </c>
      <c r="AE5688">
        <v>-10.421010000000001</v>
      </c>
      <c r="AF5688">
        <v>8.2642097645067594</v>
      </c>
      <c r="AG5688">
        <v>-1.1542049999999999</v>
      </c>
      <c r="AH5688">
        <v>12.5743384914337</v>
      </c>
      <c r="AI5688">
        <v>94.386388090365301</v>
      </c>
      <c r="AJ5688">
        <v>56.685954546469603</v>
      </c>
      <c r="AK5688">
        <v>15.091167639084301</v>
      </c>
      <c r="AL5688">
        <v>80.964459081684794</v>
      </c>
      <c r="AM5688">
        <v>66.872878494717796</v>
      </c>
      <c r="AN5688">
        <v>0.99999997483818404</v>
      </c>
    </row>
    <row r="5689" spans="1:40" x14ac:dyDescent="0.25">
      <c r="A5689" t="str">
        <f>"20190312173039542"</f>
        <v>20190312173039542</v>
      </c>
      <c r="B5689" t="str">
        <f>"1552383039533660"</f>
        <v>1552383039533660</v>
      </c>
      <c r="C5689" t="s">
        <v>40</v>
      </c>
      <c r="D5689">
        <v>3.667259</v>
      </c>
      <c r="E5689">
        <v>0.57117299999999904</v>
      </c>
      <c r="F5689" t="s">
        <v>43</v>
      </c>
      <c r="G5689">
        <v>-309.15069999999997</v>
      </c>
      <c r="H5689">
        <v>-0.05</v>
      </c>
      <c r="I5689">
        <v>5.8589169999999999</v>
      </c>
      <c r="J5689">
        <v>-320.0385</v>
      </c>
      <c r="K5689">
        <v>1.1037680000000001</v>
      </c>
      <c r="L5689">
        <v>16.29654</v>
      </c>
      <c r="M5689">
        <v>0.983568</v>
      </c>
      <c r="N5689">
        <v>0</v>
      </c>
      <c r="O5689">
        <v>-0.1799897</v>
      </c>
      <c r="P5689">
        <v>0.82562369999999996</v>
      </c>
      <c r="Q5689">
        <v>0.148917299999999</v>
      </c>
      <c r="R5689">
        <v>-0.54421419999999998</v>
      </c>
      <c r="S5689">
        <v>2.2625120000000001</v>
      </c>
      <c r="T5689">
        <v>-0.2370775</v>
      </c>
      <c r="U5689">
        <v>-2.1492</v>
      </c>
      <c r="V5689">
        <v>0.38869320000000002</v>
      </c>
      <c r="W5689">
        <v>0.1568582</v>
      </c>
      <c r="X5689">
        <v>0.90791690000000003</v>
      </c>
      <c r="Y5689">
        <v>0.54593950000000002</v>
      </c>
      <c r="Z5689">
        <v>-8.5139469999999991E-3</v>
      </c>
      <c r="AA5689">
        <v>0.83778129999999995</v>
      </c>
      <c r="AB5689">
        <v>26</v>
      </c>
      <c r="AC5689">
        <v>10.8878</v>
      </c>
      <c r="AD5689">
        <v>-1.1537679999999999</v>
      </c>
      <c r="AE5689">
        <v>-10.437623</v>
      </c>
      <c r="AF5689">
        <v>8.2589130730757301</v>
      </c>
      <c r="AG5689">
        <v>-1.1537679999999999</v>
      </c>
      <c r="AH5689">
        <v>12.5155640776641</v>
      </c>
      <c r="AI5689">
        <v>94.399879545437202</v>
      </c>
      <c r="AJ5689">
        <v>56.579523423254798</v>
      </c>
      <c r="AK5689">
        <v>15.039287547239701</v>
      </c>
      <c r="AL5689">
        <v>80.975418289629104</v>
      </c>
      <c r="AM5689">
        <v>66.823487581932099</v>
      </c>
      <c r="AN5689">
        <v>0.99999999796954497</v>
      </c>
    </row>
    <row r="5690" spans="1:40" x14ac:dyDescent="0.25">
      <c r="A5690" t="str">
        <f>"20190312173039555"</f>
        <v>20190312173039555</v>
      </c>
      <c r="B5690" t="str">
        <f>"1552383039543420"</f>
        <v>1552383039543420</v>
      </c>
      <c r="C5690" t="s">
        <v>40</v>
      </c>
      <c r="D5690">
        <v>3.7009539999999999</v>
      </c>
      <c r="E5690">
        <v>0.57113150000000001</v>
      </c>
      <c r="F5690" t="s">
        <v>43</v>
      </c>
      <c r="G5690">
        <v>-309.14150000000001</v>
      </c>
      <c r="H5690">
        <v>-0.05</v>
      </c>
      <c r="I5690">
        <v>5.847092</v>
      </c>
      <c r="J5690">
        <v>-319.89929999999998</v>
      </c>
      <c r="K5690">
        <v>1.103189</v>
      </c>
      <c r="L5690">
        <v>16.267669999999999</v>
      </c>
      <c r="M5690">
        <v>0.98299389999999998</v>
      </c>
      <c r="N5690">
        <v>0</v>
      </c>
      <c r="O5690">
        <v>-0.18305630000000001</v>
      </c>
      <c r="P5690">
        <v>0.82368809999999903</v>
      </c>
      <c r="Q5690">
        <v>0.14826110000000001</v>
      </c>
      <c r="R5690">
        <v>-0.54731750000000001</v>
      </c>
      <c r="S5690">
        <v>2.2527469999999998</v>
      </c>
      <c r="T5690">
        <v>-0.2385188</v>
      </c>
      <c r="U5690">
        <v>-2.1602169999999998</v>
      </c>
      <c r="V5690">
        <v>0.38931500000000002</v>
      </c>
      <c r="W5690">
        <v>0.1565455</v>
      </c>
      <c r="X5690">
        <v>0.90770439999999997</v>
      </c>
      <c r="Y5690">
        <v>0.5472669</v>
      </c>
      <c r="Z5690">
        <v>-8.3817860000000004E-3</v>
      </c>
      <c r="AA5690">
        <v>0.83691610000000005</v>
      </c>
      <c r="AB5690">
        <v>26</v>
      </c>
      <c r="AC5690">
        <v>10.7577999999999</v>
      </c>
      <c r="AD5690">
        <v>-1.153189</v>
      </c>
      <c r="AE5690">
        <v>-10.420578000000001</v>
      </c>
      <c r="AF5690">
        <v>8.2261965044750696</v>
      </c>
      <c r="AG5690">
        <v>-1.153189</v>
      </c>
      <c r="AH5690">
        <v>12.410164136497601</v>
      </c>
      <c r="AI5690">
        <v>94.428852928027098</v>
      </c>
      <c r="AJ5690">
        <v>56.461209995385303</v>
      </c>
      <c r="AK5690">
        <v>14.9335972791143</v>
      </c>
      <c r="AL5690">
        <v>80.993558537168695</v>
      </c>
      <c r="AM5690">
        <v>66.785475786875395</v>
      </c>
      <c r="AN5690">
        <v>0.99999997028730403</v>
      </c>
    </row>
    <row r="5691" spans="1:40" x14ac:dyDescent="0.25">
      <c r="A5691" t="str">
        <f>"20190312173039565"</f>
        <v>20190312173039565</v>
      </c>
      <c r="B5691" t="str">
        <f>"1552383039562941"</f>
        <v>1552383039562941</v>
      </c>
      <c r="C5691" t="s">
        <v>40</v>
      </c>
      <c r="D5691">
        <v>3.7014079999999998</v>
      </c>
      <c r="E5691">
        <v>0.57126149999999998</v>
      </c>
      <c r="F5691" t="s">
        <v>43</v>
      </c>
      <c r="G5691">
        <v>-309.20949999999999</v>
      </c>
      <c r="H5691">
        <v>-0.05</v>
      </c>
      <c r="I5691">
        <v>5.938904</v>
      </c>
      <c r="J5691">
        <v>-319.7724</v>
      </c>
      <c r="K5691">
        <v>1.1026320000000001</v>
      </c>
      <c r="L5691">
        <v>16.241119999999999</v>
      </c>
      <c r="M5691">
        <v>0.98246560000000005</v>
      </c>
      <c r="N5691">
        <v>0</v>
      </c>
      <c r="O5691">
        <v>-0.1858273</v>
      </c>
      <c r="P5691">
        <v>0.82193919999999998</v>
      </c>
      <c r="Q5691">
        <v>0.14755279999999901</v>
      </c>
      <c r="R5691">
        <v>-0.55013109999999998</v>
      </c>
      <c r="S5691">
        <v>2.2445979999999999</v>
      </c>
      <c r="T5691">
        <v>-0.24214179999999999</v>
      </c>
      <c r="U5691">
        <v>-2.168793</v>
      </c>
      <c r="V5691">
        <v>0.38988630000000002</v>
      </c>
      <c r="W5691">
        <v>0.15618899999999999</v>
      </c>
      <c r="X5691">
        <v>0.90752069999999996</v>
      </c>
      <c r="Y5691">
        <v>0.54805199999999998</v>
      </c>
      <c r="Z5691">
        <v>-8.3205910000000004E-3</v>
      </c>
      <c r="AA5691">
        <v>0.83640289999999995</v>
      </c>
      <c r="AB5691">
        <v>26</v>
      </c>
      <c r="AC5691">
        <v>10.562900000000001</v>
      </c>
      <c r="AD5691">
        <v>-1.1526319999999901</v>
      </c>
      <c r="AE5691">
        <v>-10.302216</v>
      </c>
      <c r="AF5691">
        <v>8.1101427699609605</v>
      </c>
      <c r="AG5691">
        <v>-1.1526319999999901</v>
      </c>
      <c r="AH5691">
        <v>12.218964768355301</v>
      </c>
      <c r="AI5691">
        <v>94.493905684591695</v>
      </c>
      <c r="AJ5691">
        <v>56.426416713946601</v>
      </c>
      <c r="AK5691">
        <v>14.710746965633099</v>
      </c>
      <c r="AL5691">
        <v>81.014239828298997</v>
      </c>
      <c r="AM5691">
        <v>66.750818805791098</v>
      </c>
      <c r="AN5691">
        <v>1.0000000757885801</v>
      </c>
    </row>
    <row r="5692" spans="1:40" x14ac:dyDescent="0.25">
      <c r="A5692" t="str">
        <f>"20190312173039575"</f>
        <v>20190312173039575</v>
      </c>
      <c r="B5692" t="str">
        <f>"1552383039562941"</f>
        <v>1552383039562941</v>
      </c>
      <c r="C5692" t="s">
        <v>40</v>
      </c>
      <c r="D5692">
        <v>3.7014079999999998</v>
      </c>
      <c r="E5692">
        <v>0.57126149999999998</v>
      </c>
      <c r="F5692" t="s">
        <v>43</v>
      </c>
      <c r="G5692">
        <v>-309.26549999999997</v>
      </c>
      <c r="H5692">
        <v>-0.05</v>
      </c>
      <c r="I5692">
        <v>6.0126949999999999</v>
      </c>
      <c r="J5692">
        <v>-319.66019999999997</v>
      </c>
      <c r="K5692">
        <v>1.102079</v>
      </c>
      <c r="L5692">
        <v>16.21707</v>
      </c>
      <c r="M5692">
        <v>0.98200180000000004</v>
      </c>
      <c r="N5692">
        <v>0</v>
      </c>
      <c r="O5692">
        <v>-0.1882153</v>
      </c>
      <c r="P5692">
        <v>0.820355099999999</v>
      </c>
      <c r="Q5692">
        <v>0.1472214</v>
      </c>
      <c r="R5692">
        <v>-0.55257909999999999</v>
      </c>
      <c r="S5692">
        <v>2.2366640000000002</v>
      </c>
      <c r="T5692">
        <v>-0.24536569999999999</v>
      </c>
      <c r="U5692">
        <v>-2.177368</v>
      </c>
      <c r="V5692">
        <v>0.39041890000000001</v>
      </c>
      <c r="W5692">
        <v>0.15626619999999999</v>
      </c>
      <c r="X5692">
        <v>0.90727829999999998</v>
      </c>
      <c r="Y5692">
        <v>0.54912209999999995</v>
      </c>
      <c r="Z5692">
        <v>-8.2858110000000006E-3</v>
      </c>
      <c r="AA5692">
        <v>0.83570100000000003</v>
      </c>
      <c r="AB5692">
        <v>26</v>
      </c>
      <c r="AC5692">
        <v>10.3947</v>
      </c>
      <c r="AD5692">
        <v>-1.1520790000000001</v>
      </c>
      <c r="AE5692">
        <v>-10.204375000000001</v>
      </c>
      <c r="AF5692">
        <v>8.0151323814939204</v>
      </c>
      <c r="AG5692">
        <v>-1.1520790000000001</v>
      </c>
      <c r="AH5692">
        <v>12.0543287023335</v>
      </c>
      <c r="AI5692">
        <v>94.550377923873697</v>
      </c>
      <c r="AJ5692">
        <v>56.379377164363</v>
      </c>
      <c r="AK5692">
        <v>14.521586469081599</v>
      </c>
      <c r="AL5692">
        <v>81.009760722091002</v>
      </c>
      <c r="AM5692">
        <v>66.716881912431106</v>
      </c>
      <c r="AN5692">
        <v>0.99999997819526898</v>
      </c>
    </row>
    <row r="5693" spans="1:40" x14ac:dyDescent="0.25">
      <c r="A5693" t="str">
        <f>"20190312173039587"</f>
        <v>20190312173039587</v>
      </c>
      <c r="B5693" t="str">
        <f>"1552383039583437"</f>
        <v>1552383039583437</v>
      </c>
      <c r="C5693" t="s">
        <v>40</v>
      </c>
      <c r="D5693">
        <v>3.6882769999999998</v>
      </c>
      <c r="E5693">
        <v>0.57137139999999997</v>
      </c>
      <c r="F5693" t="s">
        <v>43</v>
      </c>
      <c r="G5693">
        <v>-309.21440000000001</v>
      </c>
      <c r="H5693">
        <v>-0.05</v>
      </c>
      <c r="I5693">
        <v>5.983276</v>
      </c>
      <c r="J5693">
        <v>-319.53140000000002</v>
      </c>
      <c r="K5693">
        <v>1.101431</v>
      </c>
      <c r="L5693">
        <v>16.189239999999899</v>
      </c>
      <c r="M5693">
        <v>0.98145470000000001</v>
      </c>
      <c r="N5693">
        <v>0</v>
      </c>
      <c r="O5693">
        <v>-0.19098970000000001</v>
      </c>
      <c r="P5693">
        <v>0.81867040000000002</v>
      </c>
      <c r="Q5693">
        <v>0.146479</v>
      </c>
      <c r="R5693">
        <v>-0.55526830000000005</v>
      </c>
      <c r="S5693">
        <v>2.2296450000000001</v>
      </c>
      <c r="T5693">
        <v>-0.24590960000000001</v>
      </c>
      <c r="U5693">
        <v>-2.1843870000000001</v>
      </c>
      <c r="V5693">
        <v>0.39084770000000002</v>
      </c>
      <c r="W5693">
        <v>0.15603829999999999</v>
      </c>
      <c r="X5693">
        <v>0.90713290000000002</v>
      </c>
      <c r="Y5693">
        <v>0.54941890000000004</v>
      </c>
      <c r="Z5693">
        <v>-8.0882360000000004E-3</v>
      </c>
      <c r="AA5693">
        <v>0.83550789999999997</v>
      </c>
      <c r="AB5693">
        <v>26</v>
      </c>
      <c r="AC5693">
        <v>10.317</v>
      </c>
      <c r="AD5693">
        <v>-1.1514309999999901</v>
      </c>
      <c r="AE5693">
        <v>-10.2059639999999</v>
      </c>
      <c r="AF5693">
        <v>7.9969924172972302</v>
      </c>
      <c r="AG5693">
        <v>-1.1514309999999901</v>
      </c>
      <c r="AH5693">
        <v>12.0009810360336</v>
      </c>
      <c r="AI5693">
        <v>94.564931125993496</v>
      </c>
      <c r="AJ5693">
        <v>56.322036724219501</v>
      </c>
      <c r="AK5693">
        <v>14.467246693732299</v>
      </c>
      <c r="AL5693">
        <v>81.022980678174903</v>
      </c>
      <c r="AM5693">
        <v>66.690700609941103</v>
      </c>
      <c r="AN5693">
        <v>0.99999998696229497</v>
      </c>
    </row>
    <row r="5694" spans="1:40" x14ac:dyDescent="0.25">
      <c r="A5694" t="str">
        <f>"20190312173039597"</f>
        <v>20190312173039597</v>
      </c>
      <c r="B5694" t="str">
        <f>"1552383039593200"</f>
        <v>1552383039593200</v>
      </c>
      <c r="C5694" t="s">
        <v>40</v>
      </c>
      <c r="D5694">
        <v>3.646366</v>
      </c>
      <c r="E5694">
        <v>0.57143250000000001</v>
      </c>
      <c r="F5694" t="s">
        <v>43</v>
      </c>
      <c r="G5694">
        <v>-309.25850000000003</v>
      </c>
      <c r="H5694">
        <v>-0.05</v>
      </c>
      <c r="I5694">
        <v>6.0518799999999997</v>
      </c>
      <c r="J5694">
        <v>-319.40230000000003</v>
      </c>
      <c r="K5694">
        <v>1.1007439999999999</v>
      </c>
      <c r="L5694">
        <v>16.160799999999998</v>
      </c>
      <c r="M5694">
        <v>0.98088010000000003</v>
      </c>
      <c r="N5694">
        <v>0</v>
      </c>
      <c r="O5694">
        <v>-0.19385250000000001</v>
      </c>
      <c r="P5694">
        <v>0.81687699999999996</v>
      </c>
      <c r="Q5694">
        <v>0.14593030000000001</v>
      </c>
      <c r="R5694">
        <v>-0.55804730000000002</v>
      </c>
      <c r="S5694">
        <v>2.2218930000000001</v>
      </c>
      <c r="T5694">
        <v>-0.24903829999999999</v>
      </c>
      <c r="U5694">
        <v>-2.1925659999999998</v>
      </c>
      <c r="V5694">
        <v>0.3912948</v>
      </c>
      <c r="W5694">
        <v>0.15610750000000001</v>
      </c>
      <c r="X5694">
        <v>0.90692819999999996</v>
      </c>
      <c r="Y5694">
        <v>0.54997459999999998</v>
      </c>
      <c r="Z5694">
        <v>-7.9769209999999997E-3</v>
      </c>
      <c r="AA5694">
        <v>0.83514330000000003</v>
      </c>
      <c r="AB5694">
        <v>26</v>
      </c>
      <c r="AC5694">
        <v>10.143800000000001</v>
      </c>
      <c r="AD5694">
        <v>-1.150744</v>
      </c>
      <c r="AE5694">
        <v>-10.1089199999999</v>
      </c>
      <c r="AF5694">
        <v>7.8994068472162304</v>
      </c>
      <c r="AG5694">
        <v>-1.150744</v>
      </c>
      <c r="AH5694">
        <v>11.834835086982</v>
      </c>
      <c r="AI5694">
        <v>94.623632841292604</v>
      </c>
      <c r="AJ5694">
        <v>56.278047297070202</v>
      </c>
      <c r="AK5694">
        <v>14.2754391115455</v>
      </c>
      <c r="AL5694">
        <v>81.0189664303239</v>
      </c>
      <c r="AM5694">
        <v>66.662183969721497</v>
      </c>
      <c r="AN5694">
        <v>0.999999966009264</v>
      </c>
    </row>
    <row r="5695" spans="1:40" x14ac:dyDescent="0.25">
      <c r="A5695" t="str">
        <f>"20190312173039609"</f>
        <v>20190312173039609</v>
      </c>
      <c r="B5695" t="str">
        <f>"1552383039602955"</f>
        <v>1552383039602955</v>
      </c>
      <c r="C5695" t="s">
        <v>40</v>
      </c>
      <c r="D5695">
        <v>3.6757360000000001</v>
      </c>
      <c r="E5695">
        <v>0.57147579999999998</v>
      </c>
      <c r="F5695" t="s">
        <v>43</v>
      </c>
      <c r="G5695">
        <v>-309.26780000000002</v>
      </c>
      <c r="H5695">
        <v>-0.05</v>
      </c>
      <c r="I5695">
        <v>6.0867610000000001</v>
      </c>
      <c r="J5695">
        <v>-319.27120000000002</v>
      </c>
      <c r="K5695">
        <v>1.1000319999999999</v>
      </c>
      <c r="L5695">
        <v>16.13147</v>
      </c>
      <c r="M5695">
        <v>0.98025469999999904</v>
      </c>
      <c r="N5695">
        <v>0</v>
      </c>
      <c r="O5695">
        <v>-0.19691790000000001</v>
      </c>
      <c r="P5695">
        <v>0.81498890000000002</v>
      </c>
      <c r="Q5695">
        <v>0.14529549999999999</v>
      </c>
      <c r="R5695">
        <v>-0.56096579999999996</v>
      </c>
      <c r="S5695">
        <v>2.213959</v>
      </c>
      <c r="T5695">
        <v>-0.2513881</v>
      </c>
      <c r="U5695">
        <v>-2.200745</v>
      </c>
      <c r="V5695">
        <v>0.3917003</v>
      </c>
      <c r="W5695">
        <v>0.15615319999999999</v>
      </c>
      <c r="X5695">
        <v>0.90674529999999998</v>
      </c>
      <c r="Y5695">
        <v>0.55039780000000005</v>
      </c>
      <c r="Z5695">
        <v>-7.8119000000000001E-3</v>
      </c>
      <c r="AA5695">
        <v>0.834866</v>
      </c>
      <c r="AB5695">
        <v>26</v>
      </c>
      <c r="AC5695">
        <v>10.003399999999999</v>
      </c>
      <c r="AD5695">
        <v>-1.1500319999999999</v>
      </c>
      <c r="AE5695">
        <v>-10.044708999999999</v>
      </c>
      <c r="AF5695">
        <v>7.8262952949786797</v>
      </c>
      <c r="AG5695">
        <v>-1.1500319999999999</v>
      </c>
      <c r="AH5695">
        <v>11.7087159875488</v>
      </c>
      <c r="AI5695">
        <v>94.668307836758402</v>
      </c>
      <c r="AJ5695">
        <v>56.240591485062197</v>
      </c>
      <c r="AK5695">
        <v>14.1303751444295</v>
      </c>
      <c r="AL5695">
        <v>81.016315747671896</v>
      </c>
      <c r="AM5695">
        <v>66.636383441810494</v>
      </c>
      <c r="AN5695">
        <v>0.99999999298120901</v>
      </c>
    </row>
    <row r="5696" spans="1:40" x14ac:dyDescent="0.25">
      <c r="A5696" t="str">
        <f>"20190312173039619"</f>
        <v>20190312173039619</v>
      </c>
      <c r="B5696" t="str">
        <f>"1552383039613692"</f>
        <v>1552383039613692</v>
      </c>
      <c r="C5696" t="s">
        <v>40</v>
      </c>
      <c r="D5696">
        <v>3.684955</v>
      </c>
      <c r="E5696">
        <v>0.57145040000000003</v>
      </c>
      <c r="F5696" t="s">
        <v>43</v>
      </c>
      <c r="G5696">
        <v>-309.26609999999999</v>
      </c>
      <c r="H5696">
        <v>-0.05</v>
      </c>
      <c r="I5696">
        <v>6.1103059999999996</v>
      </c>
      <c r="J5696">
        <v>-319.14699999999999</v>
      </c>
      <c r="K5696">
        <v>1.099342</v>
      </c>
      <c r="L5696">
        <v>16.10324</v>
      </c>
      <c r="M5696">
        <v>0.97962419999999995</v>
      </c>
      <c r="N5696">
        <v>0</v>
      </c>
      <c r="O5696">
        <v>-0.1999582</v>
      </c>
      <c r="P5696">
        <v>0.81311679999999997</v>
      </c>
      <c r="Q5696">
        <v>0.14452980000000001</v>
      </c>
      <c r="R5696">
        <v>-0.5638727</v>
      </c>
      <c r="S5696">
        <v>2.2056269999999998</v>
      </c>
      <c r="T5696">
        <v>-0.253525</v>
      </c>
      <c r="U5696">
        <v>-2.2091669999999999</v>
      </c>
      <c r="V5696">
        <v>0.39210400000000001</v>
      </c>
      <c r="W5696">
        <v>0.15607689999999999</v>
      </c>
      <c r="X5696">
        <v>0.90658399999999995</v>
      </c>
      <c r="Y5696">
        <v>0.55096290000000003</v>
      </c>
      <c r="Z5696">
        <v>-7.645443E-3</v>
      </c>
      <c r="AA5696">
        <v>0.83449479999999998</v>
      </c>
      <c r="AB5696">
        <v>26</v>
      </c>
      <c r="AC5696">
        <v>9.8808999999999898</v>
      </c>
      <c r="AD5696">
        <v>-1.1493420000000001</v>
      </c>
      <c r="AE5696">
        <v>-9.992934</v>
      </c>
      <c r="AF5696">
        <v>7.7630074318108004</v>
      </c>
      <c r="AG5696">
        <v>-1.1493420000000001</v>
      </c>
      <c r="AH5696">
        <v>11.602195028970399</v>
      </c>
      <c r="AI5696">
        <v>94.706685400286005</v>
      </c>
      <c r="AJ5696">
        <v>56.213592021632401</v>
      </c>
      <c r="AK5696">
        <v>14.0070054226297</v>
      </c>
      <c r="AL5696">
        <v>81.020742174319395</v>
      </c>
      <c r="AM5696">
        <v>66.611175766965601</v>
      </c>
      <c r="AN5696">
        <v>1.0000000472927999</v>
      </c>
    </row>
    <row r="5697" spans="1:40" x14ac:dyDescent="0.25">
      <c r="A5697" t="str">
        <f>"20190312173039631"</f>
        <v>20190312173039631</v>
      </c>
      <c r="B5697" t="str">
        <f>"1552383039623453"</f>
        <v>1552383039623453</v>
      </c>
      <c r="C5697" t="s">
        <v>40</v>
      </c>
      <c r="D5697">
        <v>3.6655989999999998</v>
      </c>
      <c r="E5697">
        <v>0.571353</v>
      </c>
      <c r="F5697" t="s">
        <v>43</v>
      </c>
      <c r="G5697">
        <v>-309.28649999999999</v>
      </c>
      <c r="H5697">
        <v>-0.05</v>
      </c>
      <c r="I5697">
        <v>6.156174</v>
      </c>
      <c r="J5697">
        <v>-319.01960000000003</v>
      </c>
      <c r="K5697">
        <v>1.098598</v>
      </c>
      <c r="L5697">
        <v>16.073729999999902</v>
      </c>
      <c r="M5697">
        <v>0.97892630000000003</v>
      </c>
      <c r="N5697">
        <v>0</v>
      </c>
      <c r="O5697">
        <v>-0.2032716</v>
      </c>
      <c r="P5697">
        <v>0.81100360000000005</v>
      </c>
      <c r="Q5697">
        <v>0.14349819999999999</v>
      </c>
      <c r="R5697">
        <v>-0.56716999999999995</v>
      </c>
      <c r="S5697">
        <v>2.1976619999999998</v>
      </c>
      <c r="T5697">
        <v>-0.25615890000000002</v>
      </c>
      <c r="U5697">
        <v>-2.2169490000000001</v>
      </c>
      <c r="V5697">
        <v>0.39268029999999998</v>
      </c>
      <c r="W5697">
        <v>0.1557576</v>
      </c>
      <c r="X5697">
        <v>0.90638940000000001</v>
      </c>
      <c r="Y5697">
        <v>0.55110099999999995</v>
      </c>
      <c r="Z5697">
        <v>-7.4434779999999999E-3</v>
      </c>
      <c r="AA5697">
        <v>0.83440539999999996</v>
      </c>
      <c r="AB5697">
        <v>26</v>
      </c>
      <c r="AC5697">
        <v>9.7331000000000305</v>
      </c>
      <c r="AD5697">
        <v>-1.148598</v>
      </c>
      <c r="AE5697">
        <v>-9.9175559999999905</v>
      </c>
      <c r="AF5697">
        <v>7.6791112106896504</v>
      </c>
      <c r="AG5697">
        <v>-1.148598</v>
      </c>
      <c r="AH5697">
        <v>11.467809126763299</v>
      </c>
      <c r="AI5697">
        <v>94.757371087460101</v>
      </c>
      <c r="AJ5697">
        <v>56.192817108899803</v>
      </c>
      <c r="AK5697">
        <v>13.849139775437999</v>
      </c>
      <c r="AL5697">
        <v>81.039262764540098</v>
      </c>
      <c r="AM5697">
        <v>66.576014111198006</v>
      </c>
      <c r="AN5697">
        <v>0.99999999619910496</v>
      </c>
    </row>
    <row r="5698" spans="1:40" x14ac:dyDescent="0.25">
      <c r="A5698" t="str">
        <f>"20190312173039641"</f>
        <v>20190312173039641</v>
      </c>
      <c r="B5698" t="str">
        <f>"1552383039633212"</f>
        <v>1552383039633212</v>
      </c>
      <c r="C5698" t="s">
        <v>40</v>
      </c>
      <c r="D5698">
        <v>3.662525</v>
      </c>
      <c r="E5698">
        <v>0.57136519999999902</v>
      </c>
      <c r="F5698" t="s">
        <v>43</v>
      </c>
      <c r="G5698">
        <v>-309.32870000000003</v>
      </c>
      <c r="H5698">
        <v>-0.05</v>
      </c>
      <c r="I5698">
        <v>6.2212519999999998</v>
      </c>
      <c r="J5698">
        <v>-318.8843</v>
      </c>
      <c r="K5698">
        <v>1.0977950000000001</v>
      </c>
      <c r="L5698">
        <v>16.042110000000001</v>
      </c>
      <c r="M5698">
        <v>0.97815390000000002</v>
      </c>
      <c r="N5698">
        <v>0</v>
      </c>
      <c r="O5698">
        <v>-0.2068728</v>
      </c>
      <c r="P5698">
        <v>0.80876789999999998</v>
      </c>
      <c r="Q5698">
        <v>0.14266889999999999</v>
      </c>
      <c r="R5698">
        <v>-0.57056109999999904</v>
      </c>
      <c r="S5698">
        <v>2.1887819999999998</v>
      </c>
      <c r="T5698">
        <v>-0.25942270000000001</v>
      </c>
      <c r="U5698">
        <v>-2.2252809999999998</v>
      </c>
      <c r="V5698">
        <v>0.39311099999999999</v>
      </c>
      <c r="W5698">
        <v>0.15568969999999999</v>
      </c>
      <c r="X5698">
        <v>0.90621439999999998</v>
      </c>
      <c r="Y5698">
        <v>0.55126399999999998</v>
      </c>
      <c r="Z5698">
        <v>-7.2293369999999997E-3</v>
      </c>
      <c r="AA5698">
        <v>0.83429949999999997</v>
      </c>
      <c r="AB5698">
        <v>26</v>
      </c>
      <c r="AC5698">
        <v>9.5555999999999699</v>
      </c>
      <c r="AD5698">
        <v>-1.1477949999999999</v>
      </c>
      <c r="AE5698">
        <v>-9.8208579999999994</v>
      </c>
      <c r="AF5698">
        <v>7.57794254905534</v>
      </c>
      <c r="AG5698">
        <v>-1.1477949999999999</v>
      </c>
      <c r="AH5698">
        <v>11.3015989067201</v>
      </c>
      <c r="AI5698">
        <v>94.821660357171396</v>
      </c>
      <c r="AJ5698">
        <v>56.1573760849449</v>
      </c>
      <c r="AK5698">
        <v>13.6553573547961</v>
      </c>
      <c r="AL5698">
        <v>81.043201588750705</v>
      </c>
      <c r="AM5698">
        <v>66.549055828943295</v>
      </c>
      <c r="AN5698">
        <v>1.00000003988722</v>
      </c>
    </row>
    <row r="5699" spans="1:40" x14ac:dyDescent="0.25">
      <c r="A5699" t="str">
        <f>"20190312173039653"</f>
        <v>20190312173039653</v>
      </c>
      <c r="B5699" t="str">
        <f>"1552383039642973"</f>
        <v>1552383039642973</v>
      </c>
      <c r="C5699" t="s">
        <v>40</v>
      </c>
      <c r="D5699">
        <v>3.6630379999999998</v>
      </c>
      <c r="E5699">
        <v>0.57127759999999905</v>
      </c>
      <c r="F5699" t="s">
        <v>43</v>
      </c>
      <c r="G5699">
        <v>-309.34519999999998</v>
      </c>
      <c r="H5699">
        <v>-0.05</v>
      </c>
      <c r="I5699">
        <v>6.2616420000000002</v>
      </c>
      <c r="J5699">
        <v>-318.75909999999999</v>
      </c>
      <c r="K5699">
        <v>1.09701</v>
      </c>
      <c r="L5699">
        <v>16.01202</v>
      </c>
      <c r="M5699">
        <v>0.97733380000000003</v>
      </c>
      <c r="N5699">
        <v>0</v>
      </c>
      <c r="O5699">
        <v>-0.2106497</v>
      </c>
      <c r="P5699">
        <v>0.80624370000000001</v>
      </c>
      <c r="Q5699">
        <v>0.141683</v>
      </c>
      <c r="R5699">
        <v>-0.57436699999999996</v>
      </c>
      <c r="S5699">
        <v>2.1792600000000002</v>
      </c>
      <c r="T5699">
        <v>-0.26222089999999998</v>
      </c>
      <c r="U5699">
        <v>-2.2344059999999999</v>
      </c>
      <c r="V5699">
        <v>0.39383560000000001</v>
      </c>
      <c r="W5699">
        <v>0.15528459999999999</v>
      </c>
      <c r="X5699">
        <v>0.90596920000000003</v>
      </c>
      <c r="Y5699">
        <v>0.55155140000000002</v>
      </c>
      <c r="Z5699">
        <v>-6.9852830000000001E-3</v>
      </c>
      <c r="AA5699">
        <v>0.83411159999999995</v>
      </c>
      <c r="AB5699">
        <v>26</v>
      </c>
      <c r="AC5699">
        <v>9.4139000000000106</v>
      </c>
      <c r="AD5699">
        <v>-1.1470100000000001</v>
      </c>
      <c r="AE5699">
        <v>-9.7503779999999995</v>
      </c>
      <c r="AF5699">
        <v>7.4943438159205904</v>
      </c>
      <c r="AG5699">
        <v>-1.1470100000000001</v>
      </c>
      <c r="AH5699">
        <v>11.176892774376199</v>
      </c>
      <c r="AI5699">
        <v>94.871878104753605</v>
      </c>
      <c r="AJ5699">
        <v>56.1573083234059</v>
      </c>
      <c r="AK5699">
        <v>13.5056933646974</v>
      </c>
      <c r="AL5699">
        <v>81.066697414522594</v>
      </c>
      <c r="AM5699">
        <v>66.504841223582503</v>
      </c>
      <c r="AN5699">
        <v>0.99999998908657906</v>
      </c>
    </row>
    <row r="5700" spans="1:40" x14ac:dyDescent="0.25">
      <c r="A5700" t="str">
        <f>"20190312173039665"</f>
        <v>20190312173039665</v>
      </c>
      <c r="B5700" t="str">
        <f>"1552383039653709"</f>
        <v>1552383039653709</v>
      </c>
      <c r="C5700" t="s">
        <v>40</v>
      </c>
      <c r="D5700">
        <v>3.607491</v>
      </c>
      <c r="E5700">
        <v>0.57131449999999995</v>
      </c>
      <c r="F5700" t="s">
        <v>43</v>
      </c>
      <c r="G5700">
        <v>-309.40249999999997</v>
      </c>
      <c r="H5700">
        <v>-0.05</v>
      </c>
      <c r="I5700">
        <v>6.3340759999999996</v>
      </c>
      <c r="J5700">
        <v>-318.63299999999998</v>
      </c>
      <c r="K5700">
        <v>1.096203</v>
      </c>
      <c r="L5700">
        <v>15.9816</v>
      </c>
      <c r="M5700">
        <v>0.97648550000000001</v>
      </c>
      <c r="N5700">
        <v>0</v>
      </c>
      <c r="O5700">
        <v>-0.21448420000000001</v>
      </c>
      <c r="P5700">
        <v>0.80353669999999899</v>
      </c>
      <c r="Q5700">
        <v>0.14088239999999999</v>
      </c>
      <c r="R5700">
        <v>-0.5783433</v>
      </c>
      <c r="S5700">
        <v>2.1692499999999999</v>
      </c>
      <c r="T5700">
        <v>-0.26592369999999999</v>
      </c>
      <c r="U5700">
        <v>-2.243744</v>
      </c>
      <c r="V5700">
        <v>0.3947232</v>
      </c>
      <c r="W5700">
        <v>0.1550387</v>
      </c>
      <c r="X5700">
        <v>0.90562500000000001</v>
      </c>
      <c r="Y5700">
        <v>0.55191239999999997</v>
      </c>
      <c r="Z5700">
        <v>-6.7559029999999997E-3</v>
      </c>
      <c r="AA5700">
        <v>0.83387469999999997</v>
      </c>
      <c r="AB5700">
        <v>26</v>
      </c>
      <c r="AC5700">
        <v>9.2304999999999993</v>
      </c>
      <c r="AD5700">
        <v>-1.1462030000000001</v>
      </c>
      <c r="AE5700">
        <v>-9.6475240000000007</v>
      </c>
      <c r="AF5700">
        <v>7.38818379576864</v>
      </c>
      <c r="AG5700">
        <v>-1.1462030000000001</v>
      </c>
      <c r="AH5700">
        <v>11.004216893275</v>
      </c>
      <c r="AI5700">
        <v>94.942495855876899</v>
      </c>
      <c r="AJ5700">
        <v>56.122758764772001</v>
      </c>
      <c r="AK5700">
        <v>13.303827665431699</v>
      </c>
      <c r="AL5700">
        <v>81.080959464461003</v>
      </c>
      <c r="AM5700">
        <v>66.449672375311096</v>
      </c>
      <c r="AN5700">
        <v>1.0000000218704601</v>
      </c>
    </row>
    <row r="5701" spans="1:40" x14ac:dyDescent="0.25">
      <c r="A5701" t="str">
        <f>"20190312173039675"</f>
        <v>20190312173039675</v>
      </c>
      <c r="B5701" t="str">
        <f>"1552383039663472"</f>
        <v>1552383039663472</v>
      </c>
      <c r="C5701" t="s">
        <v>40</v>
      </c>
      <c r="D5701">
        <v>3.6573709999999999</v>
      </c>
      <c r="E5701">
        <v>0.57125559999999997</v>
      </c>
      <c r="F5701" t="s">
        <v>43</v>
      </c>
      <c r="G5701">
        <v>-309.42950000000002</v>
      </c>
      <c r="H5701">
        <v>-0.05</v>
      </c>
      <c r="I5701">
        <v>6.3670650000000002</v>
      </c>
      <c r="J5701">
        <v>-318.5095</v>
      </c>
      <c r="K5701">
        <v>1.0953109999999999</v>
      </c>
      <c r="L5701">
        <v>15.95102</v>
      </c>
      <c r="M5701">
        <v>0.97561290000000001</v>
      </c>
      <c r="N5701">
        <v>0</v>
      </c>
      <c r="O5701">
        <v>-0.21836369999999999</v>
      </c>
      <c r="P5701">
        <v>0.80085229999999996</v>
      </c>
      <c r="Q5701">
        <v>0.14023369999999999</v>
      </c>
      <c r="R5701">
        <v>-0.5822119</v>
      </c>
      <c r="S5701">
        <v>2.15802</v>
      </c>
      <c r="T5701">
        <v>-0.26875880000000002</v>
      </c>
      <c r="U5701">
        <v>-2.2543950000000001</v>
      </c>
      <c r="V5701">
        <v>0.3954896</v>
      </c>
      <c r="W5701">
        <v>0.15481259999999999</v>
      </c>
      <c r="X5701">
        <v>0.90532919999999995</v>
      </c>
      <c r="Y5701">
        <v>0.55271669999999995</v>
      </c>
      <c r="Z5701">
        <v>-6.515898E-3</v>
      </c>
      <c r="AA5701">
        <v>0.83334370000000002</v>
      </c>
      <c r="AB5701">
        <v>26</v>
      </c>
      <c r="AC5701">
        <v>9.0799999999999805</v>
      </c>
      <c r="AD5701">
        <v>-1.145311</v>
      </c>
      <c r="AE5701">
        <v>-9.5839549999999996</v>
      </c>
      <c r="AF5701">
        <v>7.3142725763000396</v>
      </c>
      <c r="AG5701">
        <v>-1.145311</v>
      </c>
      <c r="AH5701">
        <v>10.872251688672099</v>
      </c>
      <c r="AI5701">
        <v>94.995201520486901</v>
      </c>
      <c r="AJ5701">
        <v>56.069432179276902</v>
      </c>
      <c r="AK5701">
        <v>13.1535613956438</v>
      </c>
      <c r="AL5701">
        <v>81.094071831201603</v>
      </c>
      <c r="AM5701">
        <v>66.402072740270199</v>
      </c>
      <c r="AN5701">
        <v>0.99999996259977897</v>
      </c>
    </row>
    <row r="5702" spans="1:40" x14ac:dyDescent="0.25">
      <c r="A5702" t="str">
        <f>"20190312173039687"</f>
        <v>20190312173039687</v>
      </c>
      <c r="B5702" t="str">
        <f>"1552383039682992"</f>
        <v>1552383039682992</v>
      </c>
      <c r="C5702" t="s">
        <v>40</v>
      </c>
      <c r="D5702">
        <v>3.6587909999999999</v>
      </c>
      <c r="E5702">
        <v>0.57124989999999998</v>
      </c>
      <c r="F5702" t="s">
        <v>43</v>
      </c>
      <c r="G5702">
        <v>-309.44220000000001</v>
      </c>
      <c r="H5702">
        <v>-0.05</v>
      </c>
      <c r="I5702">
        <v>6.3920899999999996</v>
      </c>
      <c r="J5702">
        <v>-318.3784</v>
      </c>
      <c r="K5702">
        <v>1.0943020000000001</v>
      </c>
      <c r="L5702">
        <v>15.91821</v>
      </c>
      <c r="M5702">
        <v>0.97469130000000004</v>
      </c>
      <c r="N5702">
        <v>0</v>
      </c>
      <c r="O5702">
        <v>-0.22238520000000001</v>
      </c>
      <c r="P5702">
        <v>0.79803000000000002</v>
      </c>
      <c r="Q5702">
        <v>0.1395631</v>
      </c>
      <c r="R5702">
        <v>-0.58623429999999999</v>
      </c>
      <c r="S5702">
        <v>2.147583</v>
      </c>
      <c r="T5702">
        <v>-0.2712678</v>
      </c>
      <c r="U5702">
        <v>-2.2640380000000002</v>
      </c>
      <c r="V5702">
        <v>0.39632709999999999</v>
      </c>
      <c r="W5702">
        <v>0.15451110000000001</v>
      </c>
      <c r="X5702">
        <v>0.90501450000000006</v>
      </c>
      <c r="Y5702">
        <v>0.55306350000000004</v>
      </c>
      <c r="Z5702">
        <v>-6.2229989999999999E-3</v>
      </c>
      <c r="AA5702">
        <v>0.83311590000000002</v>
      </c>
      <c r="AB5702">
        <v>26</v>
      </c>
      <c r="AC5702">
        <v>8.9361999999999799</v>
      </c>
      <c r="AD5702">
        <v>-1.1443019999999999</v>
      </c>
      <c r="AE5702">
        <v>-9.5261200000000006</v>
      </c>
      <c r="AF5702">
        <v>7.2440516989604902</v>
      </c>
      <c r="AG5702">
        <v>-1.1443019999999999</v>
      </c>
      <c r="AH5702">
        <v>10.7488296420367</v>
      </c>
      <c r="AI5702">
        <v>95.045063030375303</v>
      </c>
      <c r="AJ5702">
        <v>56.022447188120701</v>
      </c>
      <c r="AK5702">
        <v>13.012419097075799</v>
      </c>
      <c r="AL5702">
        <v>81.111557661808703</v>
      </c>
      <c r="AM5702">
        <v>66.350259871539905</v>
      </c>
      <c r="AN5702">
        <v>1.0000000477139299</v>
      </c>
    </row>
    <row r="5703" spans="1:40" x14ac:dyDescent="0.25">
      <c r="A5703" t="str">
        <f>"20190312173039698"</f>
        <v>20190312173039698</v>
      </c>
      <c r="B5703" t="str">
        <f>"1552383039693728"</f>
        <v>1552383039693728</v>
      </c>
      <c r="C5703" t="s">
        <v>40</v>
      </c>
      <c r="D5703">
        <v>3.6508509999999998</v>
      </c>
      <c r="E5703">
        <v>0.57120669999999996</v>
      </c>
      <c r="F5703" t="s">
        <v>43</v>
      </c>
      <c r="G5703">
        <v>-309.46899999999999</v>
      </c>
      <c r="H5703">
        <v>-0.05</v>
      </c>
      <c r="I5703">
        <v>6.4300230000000003</v>
      </c>
      <c r="J5703">
        <v>-318.24520000000001</v>
      </c>
      <c r="K5703">
        <v>1.0931519999999999</v>
      </c>
      <c r="L5703">
        <v>15.88419</v>
      </c>
      <c r="M5703">
        <v>0.97378120000000001</v>
      </c>
      <c r="N5703">
        <v>0</v>
      </c>
      <c r="O5703">
        <v>-0.22628760000000001</v>
      </c>
      <c r="P5703">
        <v>0.79539139999999997</v>
      </c>
      <c r="Q5703">
        <v>0.13910110000000001</v>
      </c>
      <c r="R5703">
        <v>-0.58991819999999995</v>
      </c>
      <c r="S5703">
        <v>2.1361080000000001</v>
      </c>
      <c r="T5703">
        <v>-0.27435579999999998</v>
      </c>
      <c r="U5703">
        <v>-2.2748719999999998</v>
      </c>
      <c r="V5703">
        <v>0.39694770000000001</v>
      </c>
      <c r="W5703">
        <v>0.15427089999999999</v>
      </c>
      <c r="X5703">
        <v>0.90478340000000002</v>
      </c>
      <c r="Y5703">
        <v>0.55392109999999894</v>
      </c>
      <c r="Z5703">
        <v>-5.9749369999999996E-3</v>
      </c>
      <c r="AA5703">
        <v>0.832547699999999</v>
      </c>
      <c r="AB5703">
        <v>26</v>
      </c>
      <c r="AC5703">
        <v>8.77620000000001</v>
      </c>
      <c r="AD5703">
        <v>-1.1431519999999999</v>
      </c>
      <c r="AE5703">
        <v>-9.454167</v>
      </c>
      <c r="AF5703">
        <v>7.1660336074276003</v>
      </c>
      <c r="AG5703">
        <v>-1.1431519999999999</v>
      </c>
      <c r="AH5703">
        <v>10.6050835843689</v>
      </c>
      <c r="AI5703">
        <v>95.103787084038899</v>
      </c>
      <c r="AJ5703">
        <v>55.952443246593901</v>
      </c>
      <c r="AK5703">
        <v>12.8501607767894</v>
      </c>
      <c r="AL5703">
        <v>81.125486643702004</v>
      </c>
      <c r="AM5703">
        <v>66.311917849180205</v>
      </c>
      <c r="AN5703">
        <v>0.999999994018829</v>
      </c>
    </row>
    <row r="5704" spans="1:40" x14ac:dyDescent="0.25">
      <c r="A5704" t="str">
        <f>"20190312173039710"</f>
        <v>20190312173039710</v>
      </c>
      <c r="B5704" t="str">
        <f>"1552383039703488"</f>
        <v>1552383039703488</v>
      </c>
      <c r="C5704" t="s">
        <v>40</v>
      </c>
      <c r="D5704">
        <v>3.6726220000000001</v>
      </c>
      <c r="E5704">
        <v>0.57117659999999904</v>
      </c>
      <c r="F5704" t="s">
        <v>43</v>
      </c>
      <c r="G5704">
        <v>-309.43430000000001</v>
      </c>
      <c r="H5704">
        <v>-0.05</v>
      </c>
      <c r="I5704">
        <v>6.412445</v>
      </c>
      <c r="J5704">
        <v>-318.1198</v>
      </c>
      <c r="K5704">
        <v>1.091988</v>
      </c>
      <c r="L5704">
        <v>15.8515</v>
      </c>
      <c r="M5704">
        <v>0.97294619999999998</v>
      </c>
      <c r="N5704">
        <v>0</v>
      </c>
      <c r="O5704">
        <v>-0.2298103</v>
      </c>
      <c r="P5704">
        <v>0.79279309999999903</v>
      </c>
      <c r="Q5704">
        <v>0.13852130000000001</v>
      </c>
      <c r="R5704">
        <v>-0.59354110000000004</v>
      </c>
      <c r="S5704">
        <v>2.125397</v>
      </c>
      <c r="T5704">
        <v>-0.27575670000000002</v>
      </c>
      <c r="U5704">
        <v>-2.284821</v>
      </c>
      <c r="V5704">
        <v>0.3978662</v>
      </c>
      <c r="W5704">
        <v>0.1537964</v>
      </c>
      <c r="X5704">
        <v>0.90446070000000001</v>
      </c>
      <c r="Y5704">
        <v>0.55480359999999995</v>
      </c>
      <c r="Z5704">
        <v>-5.722001E-3</v>
      </c>
      <c r="AA5704">
        <v>0.83196170000000003</v>
      </c>
      <c r="AB5704">
        <v>26</v>
      </c>
      <c r="AC5704">
        <v>8.6854999999999905</v>
      </c>
      <c r="AD5704">
        <v>-1.141988</v>
      </c>
      <c r="AE5704">
        <v>-9.4390549999999998</v>
      </c>
      <c r="AF5704">
        <v>7.1331599451978098</v>
      </c>
      <c r="AG5704">
        <v>-1.141988</v>
      </c>
      <c r="AH5704">
        <v>10.5391703570419</v>
      </c>
      <c r="AI5704">
        <v>95.127715048396993</v>
      </c>
      <c r="AJ5704">
        <v>55.908928122823497</v>
      </c>
      <c r="AK5704">
        <v>12.7773322415389</v>
      </c>
      <c r="AL5704">
        <v>81.153001938560195</v>
      </c>
      <c r="AM5704">
        <v>66.255627683388596</v>
      </c>
      <c r="AN5704">
        <v>1.00000000179994</v>
      </c>
    </row>
    <row r="5705" spans="1:40" x14ac:dyDescent="0.25">
      <c r="A5705" t="str">
        <f>"20190312173039720"</f>
        <v>20190312173039720</v>
      </c>
      <c r="B5705" t="str">
        <f>"1552383039713248"</f>
        <v>1552383039713248</v>
      </c>
      <c r="C5705" t="s">
        <v>40</v>
      </c>
      <c r="D5705">
        <v>3.6213549999999999</v>
      </c>
      <c r="E5705">
        <v>0.57120119999999996</v>
      </c>
      <c r="F5705" t="s">
        <v>43</v>
      </c>
      <c r="G5705">
        <v>-309.42509999999999</v>
      </c>
      <c r="H5705">
        <v>-0.05</v>
      </c>
      <c r="I5705">
        <v>6.417465</v>
      </c>
      <c r="J5705">
        <v>-317.99529999999999</v>
      </c>
      <c r="K5705">
        <v>1.0907800000000001</v>
      </c>
      <c r="L5705">
        <v>15.818630000000001</v>
      </c>
      <c r="M5705">
        <v>0.9721301</v>
      </c>
      <c r="N5705">
        <v>0</v>
      </c>
      <c r="O5705">
        <v>-0.23320370000000001</v>
      </c>
      <c r="P5705">
        <v>0.79019830000000002</v>
      </c>
      <c r="Q5705">
        <v>0.1381414</v>
      </c>
      <c r="R5705">
        <v>-0.59707949999999999</v>
      </c>
      <c r="S5705">
        <v>2.1147459999999998</v>
      </c>
      <c r="T5705">
        <v>-0.27775909999999998</v>
      </c>
      <c r="U5705">
        <v>-2.2945859999999998</v>
      </c>
      <c r="V5705">
        <v>0.39884009999999998</v>
      </c>
      <c r="W5705">
        <v>0.15344869999999999</v>
      </c>
      <c r="X5705">
        <v>0.90409079999999997</v>
      </c>
      <c r="Y5705">
        <v>0.55574269999999903</v>
      </c>
      <c r="Z5705">
        <v>-5.4932369999999998E-3</v>
      </c>
      <c r="AA5705">
        <v>0.83133619999999997</v>
      </c>
      <c r="AB5705">
        <v>26</v>
      </c>
      <c r="AC5705">
        <v>8.5701999999999998</v>
      </c>
      <c r="AD5705">
        <v>-1.1407799999999999</v>
      </c>
      <c r="AE5705">
        <v>-9.4011650000000007</v>
      </c>
      <c r="AF5705">
        <v>7.0856414638776801</v>
      </c>
      <c r="AG5705">
        <v>-1.1407799999999999</v>
      </c>
      <c r="AH5705">
        <v>10.4428071310946</v>
      </c>
      <c r="AI5705">
        <v>95.165286268889304</v>
      </c>
      <c r="AJ5705">
        <v>55.842368313564997</v>
      </c>
      <c r="AK5705">
        <v>12.6712238848606</v>
      </c>
      <c r="AL5705">
        <v>81.173163445607003</v>
      </c>
      <c r="AM5705">
        <v>66.195302513822696</v>
      </c>
      <c r="AN5705">
        <v>1.0000000517721599</v>
      </c>
    </row>
    <row r="5706" spans="1:40" x14ac:dyDescent="0.25">
      <c r="A5706" t="str">
        <f>"20190312173039732"</f>
        <v>20190312173039732</v>
      </c>
      <c r="B5706" t="str">
        <f>"1552383039723008"</f>
        <v>1552383039723008</v>
      </c>
      <c r="C5706" t="s">
        <v>40</v>
      </c>
      <c r="D5706">
        <v>3.6229439999999999</v>
      </c>
      <c r="E5706">
        <v>0.57114010000000004</v>
      </c>
      <c r="F5706" t="s">
        <v>43</v>
      </c>
      <c r="G5706">
        <v>-309.39030000000002</v>
      </c>
      <c r="H5706">
        <v>-0.05</v>
      </c>
      <c r="I5706">
        <v>6.3955690000000001</v>
      </c>
      <c r="J5706">
        <v>-317.86169999999998</v>
      </c>
      <c r="K5706">
        <v>1.089437</v>
      </c>
      <c r="L5706">
        <v>15.78247</v>
      </c>
      <c r="M5706">
        <v>0.97125340000000004</v>
      </c>
      <c r="N5706">
        <v>0</v>
      </c>
      <c r="O5706">
        <v>-0.2367977</v>
      </c>
      <c r="P5706">
        <v>0.78742679999999998</v>
      </c>
      <c r="Q5706">
        <v>0.13812369999999999</v>
      </c>
      <c r="R5706">
        <v>-0.60073399999999999</v>
      </c>
      <c r="S5706">
        <v>2.104187</v>
      </c>
      <c r="T5706">
        <v>-0.27895589999999998</v>
      </c>
      <c r="U5706">
        <v>-2.30423</v>
      </c>
      <c r="V5706">
        <v>0.39979540000000002</v>
      </c>
      <c r="W5706">
        <v>0.15339820000000001</v>
      </c>
      <c r="X5706">
        <v>0.90367730000000002</v>
      </c>
      <c r="Y5706">
        <v>0.55647639999999998</v>
      </c>
      <c r="Z5706">
        <v>-5.2141009999999996E-3</v>
      </c>
      <c r="AA5706">
        <v>0.83084709999999995</v>
      </c>
      <c r="AB5706">
        <v>26</v>
      </c>
      <c r="AC5706">
        <v>8.4713999999999601</v>
      </c>
      <c r="AD5706">
        <v>-1.139437</v>
      </c>
      <c r="AE5706">
        <v>-9.3869009999999999</v>
      </c>
      <c r="AF5706">
        <v>7.0558650974085504</v>
      </c>
      <c r="AG5706">
        <v>-1.139437</v>
      </c>
      <c r="AH5706">
        <v>10.3695686117949</v>
      </c>
      <c r="AI5706">
        <v>95.190866799136003</v>
      </c>
      <c r="AJ5706">
        <v>55.767078255536397</v>
      </c>
      <c r="AK5706">
        <v>12.5941058493455</v>
      </c>
      <c r="AL5706">
        <v>81.176091232040307</v>
      </c>
      <c r="AM5706">
        <v>66.134947481971196</v>
      </c>
      <c r="AN5706">
        <v>1.0000000160798399</v>
      </c>
    </row>
    <row r="5707" spans="1:40" x14ac:dyDescent="0.25">
      <c r="A5707" t="str">
        <f>"20190312173039755"</f>
        <v>20190312173039755</v>
      </c>
      <c r="B5707" t="str">
        <f>"1552383039743504"</f>
        <v>1552383039743504</v>
      </c>
      <c r="C5707" t="s">
        <v>40</v>
      </c>
      <c r="D5707">
        <v>3.589391</v>
      </c>
      <c r="E5707">
        <v>0.57102889999999995</v>
      </c>
      <c r="F5707" t="s">
        <v>43</v>
      </c>
      <c r="G5707">
        <v>-309.30829999999997</v>
      </c>
      <c r="H5707">
        <v>-0.05</v>
      </c>
      <c r="I5707">
        <v>6.3273619999999999</v>
      </c>
      <c r="J5707">
        <v>-317.60419999999999</v>
      </c>
      <c r="K5707">
        <v>1.0868100000000001</v>
      </c>
      <c r="L5707">
        <v>15.711</v>
      </c>
      <c r="M5707">
        <v>0.96949909999999995</v>
      </c>
      <c r="N5707">
        <v>0</v>
      </c>
      <c r="O5707">
        <v>-0.2438389</v>
      </c>
      <c r="P5707">
        <v>0.78165879999999999</v>
      </c>
      <c r="Q5707">
        <v>0.13787869999999999</v>
      </c>
      <c r="R5707">
        <v>-0.60827540000000002</v>
      </c>
      <c r="S5707">
        <v>2.0933839999999999</v>
      </c>
      <c r="T5707">
        <v>-0.27886759999999999</v>
      </c>
      <c r="U5707">
        <v>-2.3140559999999999</v>
      </c>
      <c r="V5707">
        <v>0.40210400000000002</v>
      </c>
      <c r="W5707">
        <v>0.15298779999999901</v>
      </c>
      <c r="X5707">
        <v>0.90272209999999997</v>
      </c>
      <c r="Y5707">
        <v>0.55437069999999999</v>
      </c>
      <c r="Z5707">
        <v>-4.4168250000000001E-3</v>
      </c>
      <c r="AA5707">
        <v>0.83225819999999995</v>
      </c>
      <c r="AB5707">
        <v>26</v>
      </c>
      <c r="AC5707">
        <v>8.2959000000000103</v>
      </c>
      <c r="AD5707">
        <v>-1.1368100000000001</v>
      </c>
      <c r="AE5707">
        <v>-9.3836379999999906</v>
      </c>
      <c r="AF5707">
        <v>7.0189166534398097</v>
      </c>
      <c r="AG5707">
        <v>-1.1368100000000001</v>
      </c>
      <c r="AH5707">
        <v>10.2496997836814</v>
      </c>
      <c r="AI5707">
        <v>95.228646956761096</v>
      </c>
      <c r="AJ5707">
        <v>55.596952705044799</v>
      </c>
      <c r="AK5707">
        <v>12.4745289938993</v>
      </c>
      <c r="AL5707">
        <v>81.199886517848</v>
      </c>
      <c r="AM5707">
        <v>65.990136378168799</v>
      </c>
      <c r="AN5707">
        <v>1.0000000417966199</v>
      </c>
    </row>
    <row r="5708" spans="1:40" x14ac:dyDescent="0.25">
      <c r="A5708" t="str">
        <f>"20190312173039766"</f>
        <v>20190312173039766</v>
      </c>
      <c r="B5708" t="str">
        <f>"1552383039763024"</f>
        <v>1552383039763024</v>
      </c>
      <c r="C5708" t="s">
        <v>40</v>
      </c>
      <c r="D5708">
        <v>3.5817239999999999</v>
      </c>
      <c r="E5708">
        <v>0.57096709999999995</v>
      </c>
      <c r="F5708" t="s">
        <v>43</v>
      </c>
      <c r="G5708">
        <v>-309.20800000000003</v>
      </c>
      <c r="H5708">
        <v>-0.05</v>
      </c>
      <c r="I5708">
        <v>6.25441</v>
      </c>
      <c r="J5708">
        <v>-317.47030000000001</v>
      </c>
      <c r="K5708">
        <v>1.0854269999999999</v>
      </c>
      <c r="L5708">
        <v>15.673</v>
      </c>
      <c r="M5708">
        <v>0.96854439999999997</v>
      </c>
      <c r="N5708">
        <v>0</v>
      </c>
      <c r="O5708">
        <v>-0.2475898</v>
      </c>
      <c r="P5708">
        <v>0.77866950000000001</v>
      </c>
      <c r="Q5708">
        <v>0.13805809999999999</v>
      </c>
      <c r="R5708">
        <v>-0.61205690000000001</v>
      </c>
      <c r="S5708">
        <v>2.0717159999999999</v>
      </c>
      <c r="T5708">
        <v>-0.28050320000000001</v>
      </c>
      <c r="U5708">
        <v>-2.3333740000000001</v>
      </c>
      <c r="V5708">
        <v>0.40308050000000001</v>
      </c>
      <c r="W5708">
        <v>0.15305849999999999</v>
      </c>
      <c r="X5708">
        <v>0.90227449999999998</v>
      </c>
      <c r="Y5708">
        <v>0.55886289999999905</v>
      </c>
      <c r="Z5708">
        <v>-4.3369350000000001E-3</v>
      </c>
      <c r="AA5708">
        <v>0.82924869999999995</v>
      </c>
      <c r="AB5708">
        <v>26</v>
      </c>
      <c r="AC5708">
        <v>8.26230000000003</v>
      </c>
      <c r="AD5708">
        <v>-1.135427</v>
      </c>
      <c r="AE5708">
        <v>-9.41859</v>
      </c>
      <c r="AF5708">
        <v>7.0211967663183801</v>
      </c>
      <c r="AG5708">
        <v>-1.135427</v>
      </c>
      <c r="AH5708">
        <v>10.253353840508099</v>
      </c>
      <c r="AI5708">
        <v>95.220522785896904</v>
      </c>
      <c r="AJ5708">
        <v>55.597797823983299</v>
      </c>
      <c r="AK5708">
        <v>12.4786883718743</v>
      </c>
      <c r="AL5708">
        <v>81.195787357322899</v>
      </c>
      <c r="AM5708">
        <v>65.927859192797598</v>
      </c>
      <c r="AN5708">
        <v>1.0000000336263699</v>
      </c>
    </row>
    <row r="5709" spans="1:40" x14ac:dyDescent="0.25">
      <c r="A5709" t="str">
        <f>"20190312173039776"</f>
        <v>20190312173039776</v>
      </c>
      <c r="B5709" t="str">
        <f>"1552383039773760"</f>
        <v>1552383039773760</v>
      </c>
      <c r="C5709" t="s">
        <v>40</v>
      </c>
      <c r="D5709">
        <v>3.5591789999999999</v>
      </c>
      <c r="E5709">
        <v>0.57090369999999901</v>
      </c>
      <c r="F5709" t="s">
        <v>43</v>
      </c>
      <c r="G5709">
        <v>-309.12849999999997</v>
      </c>
      <c r="H5709">
        <v>-0.05</v>
      </c>
      <c r="I5709">
        <v>6.1868589999999903</v>
      </c>
      <c r="J5709">
        <v>-317.36180000000002</v>
      </c>
      <c r="K5709">
        <v>1.0843</v>
      </c>
      <c r="L5709">
        <v>15.641540000000001</v>
      </c>
      <c r="M5709">
        <v>0.96774689999999997</v>
      </c>
      <c r="N5709">
        <v>0</v>
      </c>
      <c r="O5709">
        <v>-0.25068079999999998</v>
      </c>
      <c r="P5709">
        <v>0.77601809999999904</v>
      </c>
      <c r="Q5709">
        <v>0.13788239999999999</v>
      </c>
      <c r="R5709">
        <v>-0.61545509999999903</v>
      </c>
      <c r="S5709">
        <v>2.0605769999999999</v>
      </c>
      <c r="T5709">
        <v>-0.28047250000000001</v>
      </c>
      <c r="U5709">
        <v>-2.3432620000000002</v>
      </c>
      <c r="V5709">
        <v>0.40419080000000002</v>
      </c>
      <c r="W5709">
        <v>0.1527809</v>
      </c>
      <c r="X5709">
        <v>0.90182470000000003</v>
      </c>
      <c r="Y5709">
        <v>0.56017899999999998</v>
      </c>
      <c r="Z5709">
        <v>-4.1125190000000002E-3</v>
      </c>
      <c r="AA5709">
        <v>0.82836139999999903</v>
      </c>
      <c r="AB5709">
        <v>26</v>
      </c>
      <c r="AC5709">
        <v>8.2333000000000407</v>
      </c>
      <c r="AD5709">
        <v>-1.1343000000000001</v>
      </c>
      <c r="AE5709">
        <v>-9.4546809999999901</v>
      </c>
      <c r="AF5709">
        <v>7.0304732525229703</v>
      </c>
      <c r="AG5709">
        <v>-1.1343000000000001</v>
      </c>
      <c r="AH5709">
        <v>10.257126781930401</v>
      </c>
      <c r="AI5709">
        <v>95.211884618858605</v>
      </c>
      <c r="AJ5709">
        <v>55.572353977579603</v>
      </c>
      <c r="AK5709">
        <v>12.4869067612854</v>
      </c>
      <c r="AL5709">
        <v>81.211881643279597</v>
      </c>
      <c r="AM5709">
        <v>65.858449374390005</v>
      </c>
      <c r="AN5709">
        <v>0.99999999786976901</v>
      </c>
    </row>
    <row r="5710" spans="1:40" x14ac:dyDescent="0.25">
      <c r="A5710" t="str">
        <f>"20190312173039787"</f>
        <v>20190312173039787</v>
      </c>
      <c r="B5710" t="str">
        <f>"1552383039783520"</f>
        <v>1552383039783520</v>
      </c>
      <c r="C5710" t="s">
        <v>40</v>
      </c>
      <c r="D5710">
        <v>3.5742850000000002</v>
      </c>
      <c r="E5710">
        <v>0.57081719999999903</v>
      </c>
      <c r="F5710" t="s">
        <v>43</v>
      </c>
      <c r="G5710">
        <v>-309.09480000000002</v>
      </c>
      <c r="H5710">
        <v>-0.05</v>
      </c>
      <c r="I5710">
        <v>6.1606290000000001</v>
      </c>
      <c r="J5710">
        <v>-317.23739999999998</v>
      </c>
      <c r="K5710">
        <v>1.0830040000000001</v>
      </c>
      <c r="L5710">
        <v>15.6051</v>
      </c>
      <c r="M5710">
        <v>0.96681300000000003</v>
      </c>
      <c r="N5710">
        <v>0</v>
      </c>
      <c r="O5710">
        <v>-0.25425350000000002</v>
      </c>
      <c r="P5710">
        <v>0.77303449999999996</v>
      </c>
      <c r="Q5710">
        <v>0.1377496</v>
      </c>
      <c r="R5710">
        <v>-0.61922749999999904</v>
      </c>
      <c r="S5710">
        <v>2.0506899999999999</v>
      </c>
      <c r="T5710">
        <v>-0.28137099999999998</v>
      </c>
      <c r="U5710">
        <v>-2.351807</v>
      </c>
      <c r="V5710">
        <v>0.40530440000000001</v>
      </c>
      <c r="W5710">
        <v>0.15252370000000001</v>
      </c>
      <c r="X5710">
        <v>0.90136830000000001</v>
      </c>
      <c r="Y5710">
        <v>0.56059289999999995</v>
      </c>
      <c r="Z5710">
        <v>-3.8020689999999999E-3</v>
      </c>
      <c r="AA5710">
        <v>0.82808280000000001</v>
      </c>
      <c r="AB5710">
        <v>26</v>
      </c>
      <c r="AC5710">
        <v>8.1425999999999501</v>
      </c>
      <c r="AD5710">
        <v>-1.1330039999999999</v>
      </c>
      <c r="AE5710">
        <v>-9.4444710000000001</v>
      </c>
      <c r="AF5710">
        <v>7.0051406375217304</v>
      </c>
      <c r="AG5710">
        <v>-1.1330039999999999</v>
      </c>
      <c r="AH5710">
        <v>10.1927435613822</v>
      </c>
      <c r="AI5710">
        <v>95.234183478034097</v>
      </c>
      <c r="AJ5710">
        <v>55.500526592345302</v>
      </c>
      <c r="AK5710">
        <v>12.4196503462687</v>
      </c>
      <c r="AL5710">
        <v>81.226792666929398</v>
      </c>
      <c r="AM5710">
        <v>65.788714284460795</v>
      </c>
      <c r="AN5710">
        <v>0.99999997398296903</v>
      </c>
    </row>
    <row r="5711" spans="1:40" x14ac:dyDescent="0.25">
      <c r="A5711" t="str">
        <f>"20190312173039799"</f>
        <v>20190312173039799</v>
      </c>
      <c r="B5711" t="str">
        <f>"1552383039793280"</f>
        <v>1552383039793280</v>
      </c>
      <c r="C5711" t="s">
        <v>40</v>
      </c>
      <c r="D5711">
        <v>3.587107</v>
      </c>
      <c r="E5711">
        <v>0.57068909999999995</v>
      </c>
      <c r="F5711" t="s">
        <v>43</v>
      </c>
      <c r="G5711">
        <v>-309.0444</v>
      </c>
      <c r="H5711">
        <v>-0.05</v>
      </c>
      <c r="I5711">
        <v>6.1216739999999996</v>
      </c>
      <c r="J5711">
        <v>-317.10340000000002</v>
      </c>
      <c r="K5711">
        <v>1.0815980000000001</v>
      </c>
      <c r="L5711">
        <v>15.56522</v>
      </c>
      <c r="M5711">
        <v>0.96578019999999998</v>
      </c>
      <c r="N5711">
        <v>0</v>
      </c>
      <c r="O5711">
        <v>-0.25814720000000002</v>
      </c>
      <c r="P5711">
        <v>0.77003310000000003</v>
      </c>
      <c r="Q5711">
        <v>0.13745189999999999</v>
      </c>
      <c r="R5711">
        <v>-0.62302179999999996</v>
      </c>
      <c r="S5711">
        <v>2.0397639999999999</v>
      </c>
      <c r="T5711">
        <v>-0.28207929999999998</v>
      </c>
      <c r="U5711">
        <v>-2.3610530000000001</v>
      </c>
      <c r="V5711">
        <v>0.40613870000000002</v>
      </c>
      <c r="W5711">
        <v>0.15208440000000001</v>
      </c>
      <c r="X5711">
        <v>0.90106699999999995</v>
      </c>
      <c r="Y5711">
        <v>0.561061699999999</v>
      </c>
      <c r="Z5711">
        <v>-3.4587160000000001E-3</v>
      </c>
      <c r="AA5711">
        <v>0.82776669999999997</v>
      </c>
      <c r="AB5711">
        <v>26</v>
      </c>
      <c r="AC5711">
        <v>8.0590000000000206</v>
      </c>
      <c r="AD5711">
        <v>-1.1315979999999899</v>
      </c>
      <c r="AE5711">
        <v>-9.4435459999999996</v>
      </c>
      <c r="AF5711">
        <v>6.9841699583443004</v>
      </c>
      <c r="AG5711">
        <v>-1.1315979999999899</v>
      </c>
      <c r="AH5711">
        <v>10.1400172609865</v>
      </c>
      <c r="AI5711">
        <v>95.251083187963104</v>
      </c>
      <c r="AJ5711">
        <v>55.441979148148398</v>
      </c>
      <c r="AK5711">
        <v>12.364428579346001</v>
      </c>
      <c r="AL5711">
        <v>81.252260247346001</v>
      </c>
      <c r="AM5711">
        <v>65.737440964653899</v>
      </c>
      <c r="AN5711">
        <v>1.0000000234250199</v>
      </c>
    </row>
    <row r="5712" spans="1:40" x14ac:dyDescent="0.25">
      <c r="A5712" t="str">
        <f>"20190312173039809"</f>
        <v>20190312173039809</v>
      </c>
      <c r="B5712" t="str">
        <f>"1552383039803040"</f>
        <v>1552383039803040</v>
      </c>
      <c r="C5712" t="s">
        <v>40</v>
      </c>
      <c r="D5712">
        <v>3.5861299999999998</v>
      </c>
      <c r="E5712">
        <v>0.5705633</v>
      </c>
      <c r="F5712" t="s">
        <v>43</v>
      </c>
      <c r="G5712">
        <v>-308.99369999999999</v>
      </c>
      <c r="H5712">
        <v>-0.05</v>
      </c>
      <c r="I5712">
        <v>6.0905610000000001</v>
      </c>
      <c r="J5712">
        <v>-316.988</v>
      </c>
      <c r="K5712">
        <v>1.080395</v>
      </c>
      <c r="L5712">
        <v>15.53018</v>
      </c>
      <c r="M5712">
        <v>0.96486309999999997</v>
      </c>
      <c r="N5712">
        <v>0</v>
      </c>
      <c r="O5712">
        <v>-0.2615577</v>
      </c>
      <c r="P5712">
        <v>0.76730810000000005</v>
      </c>
      <c r="Q5712">
        <v>0.1376511</v>
      </c>
      <c r="R5712">
        <v>-0.62633090000000002</v>
      </c>
      <c r="S5712">
        <v>2.028778</v>
      </c>
      <c r="T5712">
        <v>-0.28308739999999999</v>
      </c>
      <c r="U5712">
        <v>-2.3702390000000002</v>
      </c>
      <c r="V5712">
        <v>0.40688229999999997</v>
      </c>
      <c r="W5712">
        <v>0.152136299999999</v>
      </c>
      <c r="X5712">
        <v>0.90072269999999999</v>
      </c>
      <c r="Y5712">
        <v>0.56193719999999903</v>
      </c>
      <c r="Z5712">
        <v>-3.1873320000000002E-3</v>
      </c>
      <c r="AA5712">
        <v>0.82717379999999996</v>
      </c>
      <c r="AB5712">
        <v>26</v>
      </c>
      <c r="AC5712">
        <v>7.9943000000000097</v>
      </c>
      <c r="AD5712">
        <v>-1.130395</v>
      </c>
      <c r="AE5712">
        <v>-9.4396190000000004</v>
      </c>
      <c r="AF5712">
        <v>6.9610394310904802</v>
      </c>
      <c r="AG5712">
        <v>-1.130395</v>
      </c>
      <c r="AH5712">
        <v>10.1012495536282</v>
      </c>
      <c r="AI5712">
        <v>95.264686003587002</v>
      </c>
      <c r="AJ5712">
        <v>55.428241146267901</v>
      </c>
      <c r="AK5712">
        <v>12.3194604330667</v>
      </c>
      <c r="AL5712">
        <v>81.249251565395298</v>
      </c>
      <c r="AM5712">
        <v>65.689939944103202</v>
      </c>
      <c r="AN5712">
        <v>1.0000000210631299</v>
      </c>
    </row>
    <row r="5713" spans="1:40" x14ac:dyDescent="0.25">
      <c r="A5713" t="str">
        <f>"20190312173039820"</f>
        <v>20190312173039820</v>
      </c>
      <c r="B5713" t="str">
        <f>"1552383039813776"</f>
        <v>1552383039813776</v>
      </c>
      <c r="C5713" t="s">
        <v>40</v>
      </c>
      <c r="D5713">
        <v>3.5862229999999999</v>
      </c>
      <c r="E5713">
        <v>0.57046370000000002</v>
      </c>
      <c r="F5713" t="s">
        <v>43</v>
      </c>
      <c r="G5713">
        <v>-308.90519999999998</v>
      </c>
      <c r="H5713">
        <v>-0.05</v>
      </c>
      <c r="I5713">
        <v>6.0095210000000003</v>
      </c>
      <c r="J5713">
        <v>-316.86759999999998</v>
      </c>
      <c r="K5713">
        <v>1.079142</v>
      </c>
      <c r="L5713">
        <v>15.493259999999999</v>
      </c>
      <c r="M5713">
        <v>0.96388419999999997</v>
      </c>
      <c r="N5713">
        <v>0</v>
      </c>
      <c r="O5713">
        <v>-0.26514949999999998</v>
      </c>
      <c r="P5713">
        <v>0.76432650000000002</v>
      </c>
      <c r="Q5713">
        <v>0.13754060000000001</v>
      </c>
      <c r="R5713">
        <v>-0.62999019999999994</v>
      </c>
      <c r="S5713">
        <v>2.019104</v>
      </c>
      <c r="T5713">
        <v>-0.28237689999999999</v>
      </c>
      <c r="U5713">
        <v>-2.3782960000000002</v>
      </c>
      <c r="V5713">
        <v>0.40785470000000001</v>
      </c>
      <c r="W5713">
        <v>0.1518525</v>
      </c>
      <c r="X5713">
        <v>0.90033069999999904</v>
      </c>
      <c r="Y5713">
        <v>0.56221339999999997</v>
      </c>
      <c r="Z5713">
        <v>-2.843576E-3</v>
      </c>
      <c r="AA5713">
        <v>0.82698729999999998</v>
      </c>
      <c r="AB5713">
        <v>26</v>
      </c>
      <c r="AC5713">
        <v>7.9623999999999997</v>
      </c>
      <c r="AD5713">
        <v>-1.1291420000000001</v>
      </c>
      <c r="AE5713">
        <v>-9.4837389999999999</v>
      </c>
      <c r="AF5713">
        <v>6.97420331128738</v>
      </c>
      <c r="AG5713">
        <v>-1.1291420000000001</v>
      </c>
      <c r="AH5713">
        <v>10.1085675190144</v>
      </c>
      <c r="AI5713">
        <v>95.253135692224205</v>
      </c>
      <c r="AJ5713">
        <v>55.397044232874997</v>
      </c>
      <c r="AK5713">
        <v>12.332786010055001</v>
      </c>
      <c r="AL5713">
        <v>81.265703100955605</v>
      </c>
      <c r="AM5713">
        <v>65.629215259977101</v>
      </c>
      <c r="AN5713">
        <v>1.00000000371541</v>
      </c>
    </row>
    <row r="5714" spans="1:40" x14ac:dyDescent="0.25">
      <c r="A5714" t="str">
        <f>"20190312173039832"</f>
        <v>20190312173039832</v>
      </c>
      <c r="B5714" t="str">
        <f>"1552383039823536"</f>
        <v>1552383039823536</v>
      </c>
      <c r="C5714" t="s">
        <v>40</v>
      </c>
      <c r="D5714">
        <v>3.5735359999999998</v>
      </c>
      <c r="E5714">
        <v>0.57034750000000001</v>
      </c>
      <c r="F5714" t="s">
        <v>43</v>
      </c>
      <c r="G5714">
        <v>-308.84449999999998</v>
      </c>
      <c r="H5714">
        <v>-0.05</v>
      </c>
      <c r="I5714">
        <v>5.9561310000000001</v>
      </c>
      <c r="J5714">
        <v>-316.7389</v>
      </c>
      <c r="K5714">
        <v>1.0778299999999901</v>
      </c>
      <c r="L5714">
        <v>15.452970000000001</v>
      </c>
      <c r="M5714">
        <v>0.96279709999999996</v>
      </c>
      <c r="N5714">
        <v>0</v>
      </c>
      <c r="O5714">
        <v>-0.26908510000000002</v>
      </c>
      <c r="P5714">
        <v>0.76115840000000001</v>
      </c>
      <c r="Q5714">
        <v>0.13771359999999999</v>
      </c>
      <c r="R5714">
        <v>-0.63377740000000005</v>
      </c>
      <c r="S5714">
        <v>2.0082399999999998</v>
      </c>
      <c r="T5714">
        <v>-0.2826359</v>
      </c>
      <c r="U5714">
        <v>-2.387238</v>
      </c>
      <c r="V5714">
        <v>0.40867379999999998</v>
      </c>
      <c r="W5714">
        <v>0.15182000000000001</v>
      </c>
      <c r="X5714">
        <v>0.89996469999999995</v>
      </c>
      <c r="Y5714">
        <v>0.56257709999999905</v>
      </c>
      <c r="Z5714">
        <v>-2.4809799999999998E-3</v>
      </c>
      <c r="AA5714">
        <v>0.82674110000000001</v>
      </c>
      <c r="AB5714">
        <v>26</v>
      </c>
      <c r="AC5714">
        <v>7.8944000000000099</v>
      </c>
      <c r="AD5714">
        <v>-1.1278300000000001</v>
      </c>
      <c r="AE5714">
        <v>-9.4968389999999996</v>
      </c>
      <c r="AF5714">
        <v>6.9633460917613403</v>
      </c>
      <c r="AG5714">
        <v>-1.1278300000000001</v>
      </c>
      <c r="AH5714">
        <v>10.075256278761801</v>
      </c>
      <c r="AI5714">
        <v>95.261371867526606</v>
      </c>
      <c r="AJ5714">
        <v>55.350354234881003</v>
      </c>
      <c r="AK5714">
        <v>12.299226739323</v>
      </c>
      <c r="AL5714">
        <v>81.267587237514505</v>
      </c>
      <c r="AM5714">
        <v>65.577210101728895</v>
      </c>
      <c r="AN5714">
        <v>1.0000000242262601</v>
      </c>
    </row>
    <row r="5715" spans="1:40" x14ac:dyDescent="0.25">
      <c r="A5715" t="str">
        <f>"20190312173039844"</f>
        <v>20190312173039844</v>
      </c>
      <c r="B5715" t="str">
        <f>"1552383039833296"</f>
        <v>1552383039833296</v>
      </c>
      <c r="C5715" t="s">
        <v>40</v>
      </c>
      <c r="D5715">
        <v>3.5818310000000002</v>
      </c>
      <c r="E5715">
        <v>0.57024779999999997</v>
      </c>
      <c r="F5715" t="s">
        <v>43</v>
      </c>
      <c r="G5715">
        <v>-308.75599999999997</v>
      </c>
      <c r="H5715">
        <v>-0.05</v>
      </c>
      <c r="I5715">
        <v>5.8720549999999996</v>
      </c>
      <c r="J5715">
        <v>-316.61160000000001</v>
      </c>
      <c r="K5715">
        <v>1.076543</v>
      </c>
      <c r="L5715">
        <v>15.412750000000001</v>
      </c>
      <c r="M5715">
        <v>0.96169539999999998</v>
      </c>
      <c r="N5715">
        <v>0</v>
      </c>
      <c r="O5715">
        <v>-0.27301199999999998</v>
      </c>
      <c r="P5715">
        <v>0.7581078</v>
      </c>
      <c r="Q5715">
        <v>0.1378482</v>
      </c>
      <c r="R5715">
        <v>-0.63739349999999995</v>
      </c>
      <c r="S5715">
        <v>1.9968870000000001</v>
      </c>
      <c r="T5715">
        <v>-0.28211950000000002</v>
      </c>
      <c r="U5715">
        <v>-2.3966059999999998</v>
      </c>
      <c r="V5715">
        <v>0.4093039</v>
      </c>
      <c r="W5715">
        <v>0.15174979999999999</v>
      </c>
      <c r="X5715">
        <v>0.8996902</v>
      </c>
      <c r="Y5715">
        <v>0.56312200000000001</v>
      </c>
      <c r="Z5715">
        <v>-2.1226090000000001E-3</v>
      </c>
      <c r="AA5715">
        <v>0.82637099999999997</v>
      </c>
      <c r="AB5715">
        <v>26</v>
      </c>
      <c r="AC5715">
        <v>7.8556000000000301</v>
      </c>
      <c r="AD5715">
        <v>-1.1265430000000001</v>
      </c>
      <c r="AE5715">
        <v>-9.5406949999999995</v>
      </c>
      <c r="AF5715">
        <v>6.9747479263237304</v>
      </c>
      <c r="AG5715">
        <v>-1.1265430000000001</v>
      </c>
      <c r="AH5715">
        <v>10.0787545874604</v>
      </c>
      <c r="AI5715">
        <v>95.251409564521495</v>
      </c>
      <c r="AJ5715">
        <v>55.315805663146897</v>
      </c>
      <c r="AK5715">
        <v>12.308432142269799</v>
      </c>
      <c r="AL5715">
        <v>81.271656954132396</v>
      </c>
      <c r="AM5715">
        <v>65.537374253256104</v>
      </c>
      <c r="AN5715">
        <v>1.00000007016564</v>
      </c>
    </row>
    <row r="5716" spans="1:40" x14ac:dyDescent="0.25">
      <c r="A5716" t="str">
        <f>"20190312173039853"</f>
        <v>20190312173039853</v>
      </c>
      <c r="B5716" t="str">
        <f>"1552383039843056"</f>
        <v>1552383039843056</v>
      </c>
      <c r="C5716" t="s">
        <v>40</v>
      </c>
      <c r="D5716">
        <v>3.5708899999999999</v>
      </c>
      <c r="E5716">
        <v>0.57013769999999997</v>
      </c>
      <c r="F5716" t="s">
        <v>43</v>
      </c>
      <c r="G5716">
        <v>-308.66840000000002</v>
      </c>
      <c r="H5716">
        <v>-0.05</v>
      </c>
      <c r="I5716">
        <v>5.7925420000000001</v>
      </c>
      <c r="J5716">
        <v>-316.4914</v>
      </c>
      <c r="K5716">
        <v>1.0753760000000001</v>
      </c>
      <c r="L5716">
        <v>15.373810000000001</v>
      </c>
      <c r="M5716">
        <v>0.96060129999999999</v>
      </c>
      <c r="N5716">
        <v>0</v>
      </c>
      <c r="O5716">
        <v>-0.27685900000000002</v>
      </c>
      <c r="P5716">
        <v>0.75487040000000005</v>
      </c>
      <c r="Q5716">
        <v>0.13808709999999999</v>
      </c>
      <c r="R5716">
        <v>-0.6411734</v>
      </c>
      <c r="S5716">
        <v>1.9860530000000001</v>
      </c>
      <c r="T5716">
        <v>-0.2816728</v>
      </c>
      <c r="U5716">
        <v>-2.4053650000000002</v>
      </c>
      <c r="V5716">
        <v>0.4102055</v>
      </c>
      <c r="W5716">
        <v>0.1517635</v>
      </c>
      <c r="X5716">
        <v>0.89927710000000005</v>
      </c>
      <c r="Y5716">
        <v>0.56352290000000005</v>
      </c>
      <c r="Z5716">
        <v>-1.765085E-3</v>
      </c>
      <c r="AA5716">
        <v>0.82609859999999902</v>
      </c>
      <c r="AB5716">
        <v>26</v>
      </c>
      <c r="AC5716">
        <v>7.8229999999999702</v>
      </c>
      <c r="AD5716">
        <v>-1.1253759999999999</v>
      </c>
      <c r="AE5716">
        <v>-9.5812679999999997</v>
      </c>
      <c r="AF5716">
        <v>6.9822067345811103</v>
      </c>
      <c r="AG5716">
        <v>-1.1253759999999999</v>
      </c>
      <c r="AH5716">
        <v>10.086970741919499</v>
      </c>
      <c r="AI5716">
        <v>95.2413219760749</v>
      </c>
      <c r="AJ5716">
        <v>55.308996356531402</v>
      </c>
      <c r="AK5716">
        <v>12.3192800428493</v>
      </c>
      <c r="AL5716">
        <v>81.270862251671502</v>
      </c>
      <c r="AM5716">
        <v>65.479886448212596</v>
      </c>
      <c r="AN5716">
        <v>1.0000000073734501</v>
      </c>
    </row>
    <row r="5717" spans="1:40" x14ac:dyDescent="0.25">
      <c r="A5717" t="str">
        <f>"20190312173039866"</f>
        <v>20190312173039866</v>
      </c>
      <c r="B5717" t="str">
        <f>"1552383039863553"</f>
        <v>1552383039863553</v>
      </c>
      <c r="C5717" t="s">
        <v>40</v>
      </c>
      <c r="D5717">
        <v>3.626125</v>
      </c>
      <c r="E5717">
        <v>0.56995839999999998</v>
      </c>
      <c r="F5717" t="s">
        <v>43</v>
      </c>
      <c r="G5717">
        <v>-308.57940000000002</v>
      </c>
      <c r="H5717">
        <v>-0.05</v>
      </c>
      <c r="I5717">
        <v>5.6996769999999897</v>
      </c>
      <c r="J5717">
        <v>-316.36689999999999</v>
      </c>
      <c r="K5717">
        <v>1.0741849999999999</v>
      </c>
      <c r="L5717">
        <v>15.33319</v>
      </c>
      <c r="M5717">
        <v>0.95943789999999995</v>
      </c>
      <c r="N5717">
        <v>0</v>
      </c>
      <c r="O5717">
        <v>-0.28088689999999999</v>
      </c>
      <c r="P5717">
        <v>0.75148490000000001</v>
      </c>
      <c r="Q5717">
        <v>0.13830609999999999</v>
      </c>
      <c r="R5717">
        <v>-0.64509090000000002</v>
      </c>
      <c r="S5717">
        <v>1.974701</v>
      </c>
      <c r="T5717">
        <v>-0.28087689999999998</v>
      </c>
      <c r="U5717">
        <v>-2.41452</v>
      </c>
      <c r="V5717">
        <v>0.41111120000000001</v>
      </c>
      <c r="W5717">
        <v>0.15175449999999999</v>
      </c>
      <c r="X5717">
        <v>0.89886489999999997</v>
      </c>
      <c r="Y5717">
        <v>0.56394049999999996</v>
      </c>
      <c r="Z5717">
        <v>-1.3896100000000001E-3</v>
      </c>
      <c r="AA5717">
        <v>0.82581419999999905</v>
      </c>
      <c r="AB5717">
        <v>26</v>
      </c>
      <c r="AC5717">
        <v>7.7874999999999597</v>
      </c>
      <c r="AD5717">
        <v>-1.124185</v>
      </c>
      <c r="AE5717">
        <v>-9.6335130000000007</v>
      </c>
      <c r="AF5717">
        <v>6.9997538073239696</v>
      </c>
      <c r="AG5717">
        <v>-1.124185</v>
      </c>
      <c r="AH5717">
        <v>10.097350031589301</v>
      </c>
      <c r="AI5717">
        <v>95.227955599838296</v>
      </c>
      <c r="AJ5717">
        <v>55.269262349357597</v>
      </c>
      <c r="AK5717">
        <v>12.337618203600201</v>
      </c>
      <c r="AL5717">
        <v>81.271383695668604</v>
      </c>
      <c r="AM5717">
        <v>65.422204015455506</v>
      </c>
      <c r="AN5717">
        <v>0.99999997774384897</v>
      </c>
    </row>
    <row r="5718" spans="1:40" x14ac:dyDescent="0.25">
      <c r="A5718" t="str">
        <f>"20190312173039876"</f>
        <v>20190312173039876</v>
      </c>
      <c r="B5718" t="str">
        <f>"1552383039873312"</f>
        <v>1552383039873312</v>
      </c>
      <c r="C5718" t="s">
        <v>40</v>
      </c>
      <c r="D5718">
        <v>3.521833</v>
      </c>
      <c r="E5718">
        <v>0.56984749999999995</v>
      </c>
      <c r="F5718" t="s">
        <v>43</v>
      </c>
      <c r="G5718">
        <v>-308.49079999999998</v>
      </c>
      <c r="H5718">
        <v>-0.05</v>
      </c>
      <c r="I5718">
        <v>5.6122889999999996</v>
      </c>
      <c r="J5718">
        <v>-316.24689999999998</v>
      </c>
      <c r="K5718">
        <v>1.073089</v>
      </c>
      <c r="L5718">
        <v>15.293150000000001</v>
      </c>
      <c r="M5718">
        <v>0.95825130000000003</v>
      </c>
      <c r="N5718">
        <v>0</v>
      </c>
      <c r="O5718">
        <v>-0.28493210000000002</v>
      </c>
      <c r="P5718">
        <v>0.74811419999999995</v>
      </c>
      <c r="Q5718">
        <v>0.1386491</v>
      </c>
      <c r="R5718">
        <v>-0.64892369999999899</v>
      </c>
      <c r="S5718">
        <v>1.9634400000000001</v>
      </c>
      <c r="T5718">
        <v>-0.28025029999999901</v>
      </c>
      <c r="U5718">
        <v>-2.42334</v>
      </c>
      <c r="V5718">
        <v>0.41190959999999899</v>
      </c>
      <c r="W5718">
        <v>0.1518922</v>
      </c>
      <c r="X5718">
        <v>0.8984761</v>
      </c>
      <c r="Y5718">
        <v>0.56426359999999998</v>
      </c>
      <c r="Z5718">
        <v>-1.009228E-3</v>
      </c>
      <c r="AA5718">
        <v>0.825594099999999</v>
      </c>
      <c r="AB5718">
        <v>26</v>
      </c>
      <c r="AC5718">
        <v>7.7561</v>
      </c>
      <c r="AD5718">
        <v>-1.123089</v>
      </c>
      <c r="AE5718">
        <v>-9.6808610000000002</v>
      </c>
      <c r="AF5718">
        <v>7.0112724212590001</v>
      </c>
      <c r="AG5718">
        <v>-1.123089</v>
      </c>
      <c r="AH5718">
        <v>10.1106992867757</v>
      </c>
      <c r="AI5718">
        <v>95.215485164067005</v>
      </c>
      <c r="AJ5718">
        <v>55.2605956999382</v>
      </c>
      <c r="AK5718">
        <v>12.3549791555727</v>
      </c>
      <c r="AL5718">
        <v>81.263402000267106</v>
      </c>
      <c r="AM5718">
        <v>65.370741081673501</v>
      </c>
      <c r="AN5718">
        <v>1.0000000306321</v>
      </c>
    </row>
    <row r="5719" spans="1:40" x14ac:dyDescent="0.25">
      <c r="A5719" t="str">
        <f>"20190312173039887"</f>
        <v>20190312173039887</v>
      </c>
      <c r="B5719" t="str">
        <f>"1552383039883072"</f>
        <v>1552383039883072</v>
      </c>
      <c r="C5719" t="s">
        <v>40</v>
      </c>
      <c r="D5719">
        <v>3.502386</v>
      </c>
      <c r="E5719">
        <v>0.569801</v>
      </c>
      <c r="F5719" t="s">
        <v>43</v>
      </c>
      <c r="G5719">
        <v>-308.40219999999999</v>
      </c>
      <c r="H5719">
        <v>-0.05</v>
      </c>
      <c r="I5719">
        <v>5.5187530000000002</v>
      </c>
      <c r="J5719">
        <v>-316.12079999999997</v>
      </c>
      <c r="K5719">
        <v>1.071963</v>
      </c>
      <c r="L5719">
        <v>15.250640000000001</v>
      </c>
      <c r="M5719">
        <v>0.95695790000000003</v>
      </c>
      <c r="N5719">
        <v>0</v>
      </c>
      <c r="O5719">
        <v>-0.28927129999999901</v>
      </c>
      <c r="P5719">
        <v>0.74442699999999995</v>
      </c>
      <c r="Q5719">
        <v>0.13897479999999901</v>
      </c>
      <c r="R5719">
        <v>-0.65308060000000001</v>
      </c>
      <c r="S5719">
        <v>1.9520869999999999</v>
      </c>
      <c r="T5719">
        <v>-0.27947179999999999</v>
      </c>
      <c r="U5719">
        <v>-2.4322810000000001</v>
      </c>
      <c r="V5719">
        <v>0.41283310000000001</v>
      </c>
      <c r="W5719">
        <v>0.152004799999999</v>
      </c>
      <c r="X5719">
        <v>0.89803310000000003</v>
      </c>
      <c r="Y5719">
        <v>0.56437130000000002</v>
      </c>
      <c r="Z5719">
        <v>-5.8857910000000002E-4</v>
      </c>
      <c r="AA5719">
        <v>0.8255209</v>
      </c>
      <c r="AB5719">
        <v>26</v>
      </c>
      <c r="AC5719">
        <v>7.7185999999999799</v>
      </c>
      <c r="AD5719">
        <v>-1.1219629999999901</v>
      </c>
      <c r="AE5719">
        <v>-9.7318870000000004</v>
      </c>
      <c r="AF5719">
        <v>7.0248826197319598</v>
      </c>
      <c r="AG5719">
        <v>-1.1219629999999901</v>
      </c>
      <c r="AH5719">
        <v>10.1217741585428</v>
      </c>
      <c r="AI5719">
        <v>95.203195270181695</v>
      </c>
      <c r="AJ5719">
        <v>55.237933250802897</v>
      </c>
      <c r="AK5719">
        <v>12.3716647590745</v>
      </c>
      <c r="AL5719">
        <v>81.256874769983895</v>
      </c>
      <c r="AM5719">
        <v>65.311374544485204</v>
      </c>
      <c r="AN5719">
        <v>1.0000000381871199</v>
      </c>
    </row>
    <row r="5720" spans="1:40" x14ac:dyDescent="0.25">
      <c r="A5720" t="str">
        <f>"20190312173039898"</f>
        <v>20190312173039898</v>
      </c>
      <c r="B5720" t="str">
        <f>"1552383039893808"</f>
        <v>1552383039893808</v>
      </c>
      <c r="C5720" t="s">
        <v>40</v>
      </c>
      <c r="D5720">
        <v>3.5557650000000001</v>
      </c>
      <c r="E5720">
        <v>0.569801</v>
      </c>
      <c r="F5720" t="s">
        <v>43</v>
      </c>
      <c r="G5720">
        <v>-308.31650000000002</v>
      </c>
      <c r="H5720">
        <v>-0.05</v>
      </c>
      <c r="I5720">
        <v>5.4185489999999996</v>
      </c>
      <c r="J5720">
        <v>-315.99900000000002</v>
      </c>
      <c r="K5720">
        <v>1.0709090000000001</v>
      </c>
      <c r="L5720">
        <v>15.208920000000001</v>
      </c>
      <c r="M5720">
        <v>0.95565310000000003</v>
      </c>
      <c r="N5720">
        <v>0</v>
      </c>
      <c r="O5720">
        <v>-0.29357820000000001</v>
      </c>
      <c r="P5720">
        <v>0.74061969999999899</v>
      </c>
      <c r="Q5720">
        <v>0.13942829999999901</v>
      </c>
      <c r="R5720">
        <v>-0.65729919999999997</v>
      </c>
      <c r="S5720">
        <v>1.938965</v>
      </c>
      <c r="T5720">
        <v>-0.27875129999999998</v>
      </c>
      <c r="U5720">
        <v>-2.44278</v>
      </c>
      <c r="V5720">
        <v>0.41388629999999998</v>
      </c>
      <c r="W5720">
        <v>0.1522522</v>
      </c>
      <c r="X5720">
        <v>0.89750620000000003</v>
      </c>
      <c r="Y5720">
        <v>0.56512169999999995</v>
      </c>
      <c r="Z5720">
        <v>-2.091862E-4</v>
      </c>
      <c r="AA5720">
        <v>0.8250075</v>
      </c>
      <c r="AB5720">
        <v>26</v>
      </c>
      <c r="AC5720">
        <v>7.6825000000000001</v>
      </c>
      <c r="AD5720">
        <v>-1.1209089999999999</v>
      </c>
      <c r="AE5720">
        <v>-9.7903710000000004</v>
      </c>
      <c r="AF5720">
        <v>7.0455396836517599</v>
      </c>
      <c r="AG5720">
        <v>-1.1209089999999999</v>
      </c>
      <c r="AH5720">
        <v>10.1365634773191</v>
      </c>
      <c r="AI5720">
        <v>95.188311807140096</v>
      </c>
      <c r="AJ5720">
        <v>55.1983057515003</v>
      </c>
      <c r="AK5720">
        <v>12.3954017905799</v>
      </c>
      <c r="AL5720">
        <v>81.242532443338206</v>
      </c>
      <c r="AM5720">
        <v>65.243141494761602</v>
      </c>
      <c r="AN5720">
        <v>0.99999999038548404</v>
      </c>
    </row>
    <row r="5721" spans="1:40" x14ac:dyDescent="0.25">
      <c r="A5721" t="str">
        <f>"20190312173039910"</f>
        <v>20190312173039910</v>
      </c>
      <c r="B5721" t="str">
        <f>"1552383039903568"</f>
        <v>1552383039903568</v>
      </c>
      <c r="C5721" t="s">
        <v>40</v>
      </c>
      <c r="D5721">
        <v>3.5618629999999998</v>
      </c>
      <c r="E5721">
        <v>0.58584480000000005</v>
      </c>
      <c r="F5721" t="s">
        <v>43</v>
      </c>
      <c r="G5721">
        <v>-308.2294</v>
      </c>
      <c r="H5721">
        <v>-0.05</v>
      </c>
      <c r="I5721">
        <v>5.3070219999999999</v>
      </c>
      <c r="J5721">
        <v>-315.87630000000001</v>
      </c>
      <c r="K5721">
        <v>1.0698749999999999</v>
      </c>
      <c r="L5721">
        <v>15.16611</v>
      </c>
      <c r="M5721">
        <v>0.95428880000000005</v>
      </c>
      <c r="N5721">
        <v>0</v>
      </c>
      <c r="O5721">
        <v>-0.29800720000000003</v>
      </c>
      <c r="P5721">
        <v>0.73680000000000001</v>
      </c>
      <c r="Q5721">
        <v>0.13990069999999999</v>
      </c>
      <c r="R5721">
        <v>-0.66147829999999996</v>
      </c>
      <c r="S5721">
        <v>1.9252929999999999</v>
      </c>
      <c r="T5721">
        <v>-0.27775929999999999</v>
      </c>
      <c r="U5721">
        <v>-2.4536739999999999</v>
      </c>
      <c r="V5721">
        <v>0.41480119999999998</v>
      </c>
      <c r="W5721">
        <v>0.15250569999999999</v>
      </c>
      <c r="X5721">
        <v>0.89704069999999902</v>
      </c>
      <c r="Y5721">
        <v>0.56594180000000005</v>
      </c>
      <c r="Z5721">
        <v>1.76727799999999E-4</v>
      </c>
      <c r="AA5721">
        <v>0.82444519999999899</v>
      </c>
      <c r="AB5721">
        <v>26</v>
      </c>
      <c r="AC5721">
        <v>7.6469000000000102</v>
      </c>
      <c r="AD5721">
        <v>-1.119875</v>
      </c>
      <c r="AE5721">
        <v>-9.8590879999999999</v>
      </c>
      <c r="AF5721">
        <v>7.0744654340051198</v>
      </c>
      <c r="AG5721">
        <v>-1.119875</v>
      </c>
      <c r="AH5721">
        <v>10.156297631378999</v>
      </c>
      <c r="AI5721">
        <v>95.1699234092045</v>
      </c>
      <c r="AJ5721">
        <v>55.140493798607601</v>
      </c>
      <c r="AK5721">
        <v>12.427894542910799</v>
      </c>
      <c r="AL5721">
        <v>81.2278366125894</v>
      </c>
      <c r="AM5721">
        <v>65.183674672091499</v>
      </c>
      <c r="AN5721">
        <v>1.0000000207552</v>
      </c>
    </row>
    <row r="5722" spans="1:40" x14ac:dyDescent="0.25">
      <c r="A5722" t="str">
        <f>"20190312173039921"</f>
        <v>20190312173039921</v>
      </c>
      <c r="B5722" t="str">
        <f>"1552383039913330"</f>
        <v>1552383039913330</v>
      </c>
      <c r="C5722" t="s">
        <v>40</v>
      </c>
      <c r="D5722">
        <v>3.4703499999999998</v>
      </c>
      <c r="E5722">
        <v>0.59272190000000002</v>
      </c>
      <c r="F5722" t="s">
        <v>43</v>
      </c>
      <c r="G5722">
        <v>-307.59350000000001</v>
      </c>
      <c r="H5722">
        <v>-0.05</v>
      </c>
      <c r="I5722">
        <v>3.54895</v>
      </c>
      <c r="J5722">
        <v>-315.75639999999999</v>
      </c>
      <c r="K5722">
        <v>1.068878</v>
      </c>
      <c r="L5722">
        <v>15.12387</v>
      </c>
      <c r="M5722">
        <v>0.95291970000000004</v>
      </c>
      <c r="N5722">
        <v>0</v>
      </c>
      <c r="O5722">
        <v>-0.30237999999999998</v>
      </c>
      <c r="P5722">
        <v>0.73289499999999996</v>
      </c>
      <c r="Q5722">
        <v>0.140266</v>
      </c>
      <c r="R5722">
        <v>-0.66572540000000002</v>
      </c>
      <c r="S5722">
        <v>1.8229979999999999</v>
      </c>
      <c r="T5722">
        <v>-0.24647640000000001</v>
      </c>
      <c r="U5722">
        <v>-2.556854</v>
      </c>
      <c r="V5722">
        <v>0.41586800000000002</v>
      </c>
      <c r="W5722">
        <v>0.15264339999999901</v>
      </c>
      <c r="X5722">
        <v>0.89652319999999996</v>
      </c>
      <c r="Y5722">
        <v>0.59965139999999995</v>
      </c>
      <c r="Z5722">
        <v>-1.178375E-3</v>
      </c>
      <c r="AA5722">
        <v>0.80026049999999904</v>
      </c>
      <c r="AB5722">
        <v>26</v>
      </c>
      <c r="AC5722">
        <v>8.1628999999999792</v>
      </c>
      <c r="AD5722">
        <v>-1.118878</v>
      </c>
      <c r="AE5722">
        <v>-11.574920000000001</v>
      </c>
      <c r="AF5722">
        <v>8.5107472146663099</v>
      </c>
      <c r="AG5722">
        <v>-1.118878</v>
      </c>
      <c r="AH5722">
        <v>11.2115279281131</v>
      </c>
      <c r="AI5722">
        <v>94.5448207458479</v>
      </c>
      <c r="AJ5722">
        <v>52.797619093062899</v>
      </c>
      <c r="AK5722">
        <v>14.120306817264799</v>
      </c>
      <c r="AL5722">
        <v>81.219853551245805</v>
      </c>
      <c r="AM5722">
        <v>65.114945684687996</v>
      </c>
      <c r="AN5722">
        <v>1.0000000245628899</v>
      </c>
    </row>
    <row r="5723" spans="1:40" x14ac:dyDescent="0.25">
      <c r="A5723" t="str">
        <f>"20190312173039933"</f>
        <v>20190312173039933</v>
      </c>
      <c r="B5723" t="str">
        <f>"1552383039923088"</f>
        <v>1552383039923088</v>
      </c>
      <c r="C5723" t="s">
        <v>40</v>
      </c>
      <c r="D5723">
        <v>3.5027940000000002</v>
      </c>
      <c r="E5723">
        <v>0.59659759999999995</v>
      </c>
      <c r="F5723" t="s">
        <v>43</v>
      </c>
      <c r="G5723">
        <v>-307.20249999999999</v>
      </c>
      <c r="H5723">
        <v>-0.05</v>
      </c>
      <c r="I5723">
        <v>2.5292210000000002</v>
      </c>
      <c r="J5723">
        <v>-315.62400000000002</v>
      </c>
      <c r="K5723">
        <v>1.0678030000000001</v>
      </c>
      <c r="L5723">
        <v>15.076079999999999</v>
      </c>
      <c r="M5723">
        <v>0.95136430000000005</v>
      </c>
      <c r="N5723">
        <v>0</v>
      </c>
      <c r="O5723">
        <v>-0.3072647</v>
      </c>
      <c r="P5723">
        <v>0.72858290000000003</v>
      </c>
      <c r="Q5723">
        <v>0.14065159999999999</v>
      </c>
      <c r="R5723">
        <v>-0.67036149999999906</v>
      </c>
      <c r="S5723">
        <v>1.7701720000000001</v>
      </c>
      <c r="T5723">
        <v>-0.23154230000000001</v>
      </c>
      <c r="U5723">
        <v>-2.6063540000000001</v>
      </c>
      <c r="V5723">
        <v>0.41696149999999998</v>
      </c>
      <c r="W5723">
        <v>0.15274090000000001</v>
      </c>
      <c r="X5723">
        <v>0.89599850000000003</v>
      </c>
      <c r="Y5723">
        <v>0.61375369999999996</v>
      </c>
      <c r="Z5723">
        <v>-1.397237E-3</v>
      </c>
      <c r="AA5723">
        <v>0.78949639999999999</v>
      </c>
      <c r="AB5723">
        <v>26</v>
      </c>
      <c r="AC5723">
        <v>8.4215000000000302</v>
      </c>
      <c r="AD5723">
        <v>-1.1178030000000001</v>
      </c>
      <c r="AE5723">
        <v>-12.546859</v>
      </c>
      <c r="AF5723">
        <v>9.3004248386738304</v>
      </c>
      <c r="AG5723">
        <v>-1.1178030000000001</v>
      </c>
      <c r="AH5723">
        <v>11.8054574782778</v>
      </c>
      <c r="AI5723">
        <v>94.253660790197003</v>
      </c>
      <c r="AJ5723">
        <v>51.7687043259562</v>
      </c>
      <c r="AK5723">
        <v>15.0703753104578</v>
      </c>
      <c r="AL5723">
        <v>81.214200654118798</v>
      </c>
      <c r="AM5723">
        <v>65.044634276525102</v>
      </c>
      <c r="AN5723">
        <v>0.99999999350865498</v>
      </c>
    </row>
    <row r="5724" spans="1:40" x14ac:dyDescent="0.25">
      <c r="A5724" t="str">
        <f>"20190312173039946"</f>
        <v>20190312173039946</v>
      </c>
      <c r="B5724" t="str">
        <f>"1552383039943584"</f>
        <v>1552383039943584</v>
      </c>
      <c r="C5724" t="s">
        <v>40</v>
      </c>
      <c r="D5724">
        <v>3.4815559999999999</v>
      </c>
      <c r="E5724">
        <v>0.59967429999999999</v>
      </c>
      <c r="F5724" t="s">
        <v>43</v>
      </c>
      <c r="G5724">
        <v>-307.01749999999998</v>
      </c>
      <c r="H5724">
        <v>-0.05</v>
      </c>
      <c r="I5724">
        <v>1.9618230000000001</v>
      </c>
      <c r="J5724">
        <v>-315.48989999999998</v>
      </c>
      <c r="K5724">
        <v>1.066732</v>
      </c>
      <c r="L5724">
        <v>15.027189999999999</v>
      </c>
      <c r="M5724">
        <v>0.94975949999999998</v>
      </c>
      <c r="N5724">
        <v>0</v>
      </c>
      <c r="O5724">
        <v>-0.31221589999999999</v>
      </c>
      <c r="P5724">
        <v>0.72450669999999995</v>
      </c>
      <c r="Q5724">
        <v>0.14101849999999999</v>
      </c>
      <c r="R5724">
        <v>-0.67468799999999995</v>
      </c>
      <c r="S5724">
        <v>1.7323</v>
      </c>
      <c r="T5724">
        <v>-0.22498969999999999</v>
      </c>
      <c r="U5724">
        <v>-2.639618</v>
      </c>
      <c r="V5724">
        <v>0.41763699999999998</v>
      </c>
      <c r="W5724">
        <v>0.15281529999999999</v>
      </c>
      <c r="X5724">
        <v>0.8956712</v>
      </c>
      <c r="Y5724">
        <v>0.62215010000000004</v>
      </c>
      <c r="Z5724">
        <v>-1.3675339999999999E-3</v>
      </c>
      <c r="AA5724">
        <v>0.78289679999999995</v>
      </c>
      <c r="AB5724">
        <v>26</v>
      </c>
      <c r="AC5724">
        <v>8.4723999999999897</v>
      </c>
      <c r="AD5724">
        <v>-1.1167320000000001</v>
      </c>
      <c r="AE5724">
        <v>-13.065366999999901</v>
      </c>
      <c r="AF5724">
        <v>9.7161039693840792</v>
      </c>
      <c r="AG5724">
        <v>-1.1167320000000001</v>
      </c>
      <c r="AH5724">
        <v>12.066798648164999</v>
      </c>
      <c r="AI5724">
        <v>94.122931699296402</v>
      </c>
      <c r="AJ5724">
        <v>51.1592195393659</v>
      </c>
      <c r="AK5724">
        <v>15.532462661119199</v>
      </c>
      <c r="AL5724">
        <v>81.209887614395399</v>
      </c>
      <c r="AM5724">
        <v>65.001121291972893</v>
      </c>
      <c r="AN5724">
        <v>1.00000003909626</v>
      </c>
    </row>
    <row r="5725" spans="1:40" x14ac:dyDescent="0.25">
      <c r="A5725" t="str">
        <f>"20190312173039959"</f>
        <v>20190312173039959</v>
      </c>
      <c r="B5725" t="str">
        <f>"1552383039953344"</f>
        <v>1552383039953344</v>
      </c>
      <c r="C5725" t="s">
        <v>40</v>
      </c>
      <c r="D5725">
        <v>3.4924409999999999</v>
      </c>
      <c r="E5725">
        <v>0.60117949999999998</v>
      </c>
      <c r="F5725" t="s">
        <v>43</v>
      </c>
      <c r="G5725">
        <v>-306.75080000000003</v>
      </c>
      <c r="H5725">
        <v>-0.05</v>
      </c>
      <c r="I5725">
        <v>1.3096920000000001</v>
      </c>
      <c r="J5725">
        <v>-315.35050000000001</v>
      </c>
      <c r="K5725">
        <v>1.0656540000000001</v>
      </c>
      <c r="L5725">
        <v>14.97522</v>
      </c>
      <c r="M5725">
        <v>0.94805399999999995</v>
      </c>
      <c r="N5725">
        <v>0</v>
      </c>
      <c r="O5725">
        <v>-0.31738319999999998</v>
      </c>
      <c r="P5725">
        <v>0.71991530000000004</v>
      </c>
      <c r="Q5725">
        <v>0.14149579999999901</v>
      </c>
      <c r="R5725">
        <v>-0.67948589999999998</v>
      </c>
      <c r="S5725">
        <v>1.69921899999999</v>
      </c>
      <c r="T5725">
        <v>-0.2171352</v>
      </c>
      <c r="U5725">
        <v>-2.6672060000000002</v>
      </c>
      <c r="V5725">
        <v>0.41873510000000003</v>
      </c>
      <c r="W5725">
        <v>0.15294679999999999</v>
      </c>
      <c r="X5725">
        <v>0.89513580000000004</v>
      </c>
      <c r="Y5725">
        <v>0.6285094</v>
      </c>
      <c r="Z5725">
        <v>-1.2200920000000001E-3</v>
      </c>
      <c r="AA5725">
        <v>0.77780099999999996</v>
      </c>
      <c r="AB5725">
        <v>25</v>
      </c>
      <c r="AC5725">
        <v>8.5996999999999808</v>
      </c>
      <c r="AD5725">
        <v>-1.1156539999999999</v>
      </c>
      <c r="AE5725">
        <v>-13.665528</v>
      </c>
      <c r="AF5725">
        <v>10.180015691937999</v>
      </c>
      <c r="AG5725">
        <v>-1.1156539999999999</v>
      </c>
      <c r="AH5725">
        <v>12.4337091542337</v>
      </c>
      <c r="AI5725">
        <v>93.971482210396104</v>
      </c>
      <c r="AJ5725">
        <v>50.691328995519001</v>
      </c>
      <c r="AK5725">
        <v>16.108213019074899</v>
      </c>
      <c r="AL5725">
        <v>81.202262841883993</v>
      </c>
      <c r="AM5725">
        <v>64.930302050055801</v>
      </c>
      <c r="AN5725">
        <v>0.99999995402194397</v>
      </c>
    </row>
    <row r="5726" spans="1:40" x14ac:dyDescent="0.25">
      <c r="A5726" t="str">
        <f>"20190312173039971"</f>
        <v>20190312173039971</v>
      </c>
      <c r="B5726" t="str">
        <f>"1552383039963104"</f>
        <v>1552383039963104</v>
      </c>
      <c r="C5726" t="s">
        <v>40</v>
      </c>
      <c r="D5726">
        <v>3.4317299999999999</v>
      </c>
      <c r="E5726">
        <v>0.60184359999999903</v>
      </c>
      <c r="F5726" t="s">
        <v>43</v>
      </c>
      <c r="G5726">
        <v>-306.50569999999999</v>
      </c>
      <c r="H5726">
        <v>-0.05</v>
      </c>
      <c r="I5726">
        <v>0.77233890000000005</v>
      </c>
      <c r="J5726">
        <v>-315.21570000000003</v>
      </c>
      <c r="K5726">
        <v>1.064662</v>
      </c>
      <c r="L5726">
        <v>14.924010000000001</v>
      </c>
      <c r="M5726">
        <v>0.9463684</v>
      </c>
      <c r="N5726">
        <v>0</v>
      </c>
      <c r="O5726">
        <v>-0.3223993</v>
      </c>
      <c r="P5726">
        <v>0.71572969999999903</v>
      </c>
      <c r="Q5726">
        <v>0.14204510000000001</v>
      </c>
      <c r="R5726">
        <v>-0.68377980000000005</v>
      </c>
      <c r="S5726">
        <v>1.6730039999999999</v>
      </c>
      <c r="T5726">
        <v>-0.2110274</v>
      </c>
      <c r="U5726">
        <v>-2.686493</v>
      </c>
      <c r="V5726">
        <v>0.41938249999999999</v>
      </c>
      <c r="W5726">
        <v>0.15316689999999999</v>
      </c>
      <c r="X5726">
        <v>0.89479509999999995</v>
      </c>
      <c r="Y5726">
        <v>0.63240459999999998</v>
      </c>
      <c r="Z5726">
        <v>-9.891689E-4</v>
      </c>
      <c r="AA5726">
        <v>0.77463760000000004</v>
      </c>
      <c r="AB5726">
        <v>25</v>
      </c>
      <c r="AC5726">
        <v>8.7100000000000293</v>
      </c>
      <c r="AD5726">
        <v>-1.114662</v>
      </c>
      <c r="AE5726">
        <v>-14.1516711</v>
      </c>
      <c r="AF5726">
        <v>10.539532277653</v>
      </c>
      <c r="AG5726">
        <v>-1.114662</v>
      </c>
      <c r="AH5726">
        <v>12.750838524564401</v>
      </c>
      <c r="AI5726">
        <v>93.854781323691199</v>
      </c>
      <c r="AJ5726">
        <v>50.423694254803799</v>
      </c>
      <c r="AK5726">
        <v>16.580352682782401</v>
      </c>
      <c r="AL5726">
        <v>81.189502317534604</v>
      </c>
      <c r="AM5726">
        <v>64.887931945607406</v>
      </c>
      <c r="AN5726">
        <v>1.00000002577293</v>
      </c>
    </row>
    <row r="5727" spans="1:40" x14ac:dyDescent="0.25">
      <c r="A5727" t="str">
        <f>"20190312173039983"</f>
        <v>20190312173039983</v>
      </c>
      <c r="B5727" t="str">
        <f>"1552383039973840"</f>
        <v>1552383039973840</v>
      </c>
      <c r="C5727" t="s">
        <v>40</v>
      </c>
      <c r="D5727">
        <v>3.5050370000000002</v>
      </c>
      <c r="E5727">
        <v>0.60186399999999995</v>
      </c>
      <c r="F5727" t="s">
        <v>43</v>
      </c>
      <c r="G5727">
        <v>-306.33449999999999</v>
      </c>
      <c r="H5727">
        <v>-0.05</v>
      </c>
      <c r="I5727">
        <v>0.41604609999999898</v>
      </c>
      <c r="J5727">
        <v>-315.08229999999998</v>
      </c>
      <c r="K5727">
        <v>1.063712</v>
      </c>
      <c r="L5727">
        <v>14.87283</v>
      </c>
      <c r="M5727">
        <v>0.94467100000000004</v>
      </c>
      <c r="N5727">
        <v>0</v>
      </c>
      <c r="O5727">
        <v>-0.32736330000000002</v>
      </c>
      <c r="P5727">
        <v>0.71131319999999998</v>
      </c>
      <c r="Q5727">
        <v>0.1426769</v>
      </c>
      <c r="R5727">
        <v>-0.68824240000000003</v>
      </c>
      <c r="S5727">
        <v>1.6529849999999999</v>
      </c>
      <c r="T5727">
        <v>-0.2074635</v>
      </c>
      <c r="U5727">
        <v>-2.700256</v>
      </c>
      <c r="V5727">
        <v>0.42032350000000002</v>
      </c>
      <c r="W5727">
        <v>0.153463299999999</v>
      </c>
      <c r="X5727">
        <v>0.89430259999999995</v>
      </c>
      <c r="Y5727">
        <v>0.63430330000000001</v>
      </c>
      <c r="Z5727">
        <v>-6.9301759999999997E-4</v>
      </c>
      <c r="AA5727">
        <v>0.77308399999999999</v>
      </c>
      <c r="AB5727">
        <v>25</v>
      </c>
      <c r="AC5727">
        <v>8.7477999999999803</v>
      </c>
      <c r="AD5727">
        <v>-1.113712</v>
      </c>
      <c r="AE5727">
        <v>-14.4567839</v>
      </c>
      <c r="AF5727">
        <v>10.748822410810901</v>
      </c>
      <c r="AG5727">
        <v>-1.113712</v>
      </c>
      <c r="AH5727">
        <v>12.942982085471799</v>
      </c>
      <c r="AI5727">
        <v>93.787256185244701</v>
      </c>
      <c r="AJ5727">
        <v>50.291217946441797</v>
      </c>
      <c r="AK5727">
        <v>16.8611483269361</v>
      </c>
      <c r="AL5727">
        <v>81.172316303821106</v>
      </c>
      <c r="AM5727">
        <v>64.826408411592197</v>
      </c>
      <c r="AN5727">
        <v>0.99999998473294904</v>
      </c>
    </row>
    <row r="5728" spans="1:40" x14ac:dyDescent="0.25">
      <c r="A5728" t="str">
        <f>"20190312173039995"</f>
        <v>20190312173039995</v>
      </c>
      <c r="B5728" t="str">
        <f>"1552383039983600"</f>
        <v>1552383039983600</v>
      </c>
      <c r="C5728" t="s">
        <v>40</v>
      </c>
      <c r="D5728">
        <v>3.6088640000000001</v>
      </c>
      <c r="E5728">
        <v>0.60237969999999996</v>
      </c>
      <c r="F5728" t="s">
        <v>43</v>
      </c>
      <c r="G5728">
        <v>-306.26960000000003</v>
      </c>
      <c r="H5728">
        <v>-0.05</v>
      </c>
      <c r="I5728">
        <v>0.27333069999999998</v>
      </c>
      <c r="J5728">
        <v>-314.95350000000002</v>
      </c>
      <c r="K5728">
        <v>1.0628820000000001</v>
      </c>
      <c r="L5728">
        <v>14.822050000000001</v>
      </c>
      <c r="M5728">
        <v>0.94298329999999997</v>
      </c>
      <c r="N5728">
        <v>0</v>
      </c>
      <c r="O5728">
        <v>-0.33221499999999998</v>
      </c>
      <c r="P5728">
        <v>0.70725119999999997</v>
      </c>
      <c r="Q5728">
        <v>0.14316809999999999</v>
      </c>
      <c r="R5728">
        <v>-0.69231430000000005</v>
      </c>
      <c r="S5728">
        <v>1.636261</v>
      </c>
      <c r="T5728">
        <v>-0.2067832</v>
      </c>
      <c r="U5728">
        <v>-2.710693</v>
      </c>
      <c r="V5728">
        <v>0.42089070000000001</v>
      </c>
      <c r="W5728">
        <v>0.15364990000000001</v>
      </c>
      <c r="X5728">
        <v>0.89400369999999996</v>
      </c>
      <c r="Y5728">
        <v>0.63515549999999998</v>
      </c>
      <c r="Z5728">
        <v>-3.7294440000000003E-4</v>
      </c>
      <c r="AA5728">
        <v>0.77238419999999997</v>
      </c>
      <c r="AB5728">
        <v>25</v>
      </c>
      <c r="AC5728">
        <v>8.6838999999999906</v>
      </c>
      <c r="AD5728">
        <v>-1.1128819999999999</v>
      </c>
      <c r="AE5728">
        <v>-14.5487193</v>
      </c>
      <c r="AF5728">
        <v>10.7899796981674</v>
      </c>
      <c r="AG5728">
        <v>-1.1128819999999999</v>
      </c>
      <c r="AH5728">
        <v>12.9688324747242</v>
      </c>
      <c r="AI5728">
        <v>93.774110800317601</v>
      </c>
      <c r="AJ5728">
        <v>50.239775835458502</v>
      </c>
      <c r="AK5728">
        <v>16.907181432463801</v>
      </c>
      <c r="AL5728">
        <v>81.161496228116306</v>
      </c>
      <c r="AM5728">
        <v>64.789271191996704</v>
      </c>
      <c r="AN5728">
        <v>0.99999994436509299</v>
      </c>
    </row>
    <row r="5729" spans="1:40" x14ac:dyDescent="0.25">
      <c r="A5729" t="str">
        <f>"20190312173040010"</f>
        <v>20190312173040010</v>
      </c>
      <c r="B5729" t="str">
        <f>"1552383040003124"</f>
        <v>1552383040003124</v>
      </c>
      <c r="C5729" t="s">
        <v>40</v>
      </c>
      <c r="D5729">
        <v>3.526939</v>
      </c>
      <c r="E5729">
        <v>0.60222259999999905</v>
      </c>
      <c r="F5729" t="s">
        <v>43</v>
      </c>
      <c r="G5729">
        <v>-306.12790000000001</v>
      </c>
      <c r="H5729">
        <v>-0.05</v>
      </c>
      <c r="I5729">
        <v>-3.1997680000000001E-2</v>
      </c>
      <c r="J5729">
        <v>-314.79250000000002</v>
      </c>
      <c r="K5729">
        <v>1.061904</v>
      </c>
      <c r="L5729">
        <v>14.75775</v>
      </c>
      <c r="M5729">
        <v>0.94081930000000003</v>
      </c>
      <c r="N5729">
        <v>0</v>
      </c>
      <c r="O5729">
        <v>-0.33832010000000001</v>
      </c>
      <c r="P5729">
        <v>0.70181830000000001</v>
      </c>
      <c r="Q5729">
        <v>0.14351120000000001</v>
      </c>
      <c r="R5729">
        <v>-0.697750599999999</v>
      </c>
      <c r="S5729">
        <v>1.617767</v>
      </c>
      <c r="T5729">
        <v>-0.20399590000000001</v>
      </c>
      <c r="U5729">
        <v>-2.7228089999999998</v>
      </c>
      <c r="V5729">
        <v>0.42200850000000001</v>
      </c>
      <c r="W5729">
        <v>0.15361830000000001</v>
      </c>
      <c r="X5729">
        <v>0.893482</v>
      </c>
      <c r="Y5729">
        <v>0.63556679999999999</v>
      </c>
      <c r="Z5729" s="1">
        <v>5.6847929999999997E-5</v>
      </c>
      <c r="AA5729">
        <v>0.77204589999999995</v>
      </c>
      <c r="AB5729">
        <v>25</v>
      </c>
      <c r="AC5729">
        <v>8.6646000000000001</v>
      </c>
      <c r="AD5729">
        <v>-1.111904</v>
      </c>
      <c r="AE5729">
        <v>-14.78974768</v>
      </c>
      <c r="AF5729">
        <v>10.939229893887701</v>
      </c>
      <c r="AG5729">
        <v>-1.111904</v>
      </c>
      <c r="AH5729">
        <v>13.102978206007201</v>
      </c>
      <c r="AI5729">
        <v>93.727053943787695</v>
      </c>
      <c r="AJ5729">
        <v>50.142645373148902</v>
      </c>
      <c r="AK5729">
        <v>17.1052950586549</v>
      </c>
      <c r="AL5729">
        <v>81.163328313430398</v>
      </c>
      <c r="AM5729">
        <v>64.717745310263894</v>
      </c>
      <c r="AN5729">
        <v>0.99999992024556605</v>
      </c>
    </row>
    <row r="5730" spans="1:40" x14ac:dyDescent="0.25">
      <c r="A5730" t="str">
        <f>"20190312173040022"</f>
        <v>20190312173040022</v>
      </c>
      <c r="B5730" t="str">
        <f>"1552383040013857"</f>
        <v>1552383040013857</v>
      </c>
      <c r="C5730" t="s">
        <v>40</v>
      </c>
      <c r="D5730">
        <v>3.4546190000000001</v>
      </c>
      <c r="E5730">
        <v>0.60235249999999996</v>
      </c>
      <c r="F5730" t="s">
        <v>43</v>
      </c>
      <c r="G5730">
        <v>-305.97910000000002</v>
      </c>
      <c r="H5730">
        <v>-0.05</v>
      </c>
      <c r="I5730">
        <v>-0.32752989999999998</v>
      </c>
      <c r="J5730">
        <v>-314.666</v>
      </c>
      <c r="K5730">
        <v>1.0611790000000001</v>
      </c>
      <c r="L5730">
        <v>14.70651</v>
      </c>
      <c r="M5730">
        <v>0.93907430000000003</v>
      </c>
      <c r="N5730">
        <v>0</v>
      </c>
      <c r="O5730">
        <v>-0.34315269999999998</v>
      </c>
      <c r="P5730">
        <v>0.69785459999999999</v>
      </c>
      <c r="Q5730">
        <v>0.1437792</v>
      </c>
      <c r="R5730">
        <v>-0.7016599</v>
      </c>
      <c r="S5730">
        <v>1.5974429999999999</v>
      </c>
      <c r="T5730">
        <v>-0.20153360000000001</v>
      </c>
      <c r="U5730">
        <v>-2.7342219999999999</v>
      </c>
      <c r="V5730">
        <v>0.42241450000000003</v>
      </c>
      <c r="W5730">
        <v>0.1536178</v>
      </c>
      <c r="X5730">
        <v>0.89329029999999998</v>
      </c>
      <c r="Y5730">
        <v>0.63729760000000002</v>
      </c>
      <c r="Z5730">
        <v>3.2765790000000001E-4</v>
      </c>
      <c r="AA5730">
        <v>0.77061769999999996</v>
      </c>
      <c r="AB5730">
        <v>25</v>
      </c>
      <c r="AC5730">
        <v>8.6868999999999801</v>
      </c>
      <c r="AD5730">
        <v>-1.1111789999999999</v>
      </c>
      <c r="AE5730">
        <v>-15.0340399</v>
      </c>
      <c r="AF5730">
        <v>11.093861144014699</v>
      </c>
      <c r="AG5730">
        <v>-1.1111789999999999</v>
      </c>
      <c r="AH5730">
        <v>13.2648589332053</v>
      </c>
      <c r="AI5730">
        <v>93.676651162650202</v>
      </c>
      <c r="AJ5730">
        <v>50.093092385831902</v>
      </c>
      <c r="AK5730">
        <v>17.3281550192327</v>
      </c>
      <c r="AL5730">
        <v>81.163358008553203</v>
      </c>
      <c r="AM5730">
        <v>64.6917115202518</v>
      </c>
      <c r="AN5730">
        <v>0.99999999918059002</v>
      </c>
    </row>
    <row r="5731" spans="1:40" x14ac:dyDescent="0.25">
      <c r="A5731" t="str">
        <f>"20190312173040036"</f>
        <v>20190312173040036</v>
      </c>
      <c r="B5731" t="str">
        <f>"1552383040033376"</f>
        <v>1552383040033376</v>
      </c>
      <c r="C5731" t="s">
        <v>40</v>
      </c>
      <c r="D5731">
        <v>3.449551</v>
      </c>
      <c r="E5731">
        <v>0.60237259999999904</v>
      </c>
      <c r="F5731" t="s">
        <v>43</v>
      </c>
      <c r="G5731">
        <v>-305.83929999999998</v>
      </c>
      <c r="H5731">
        <v>-0.05</v>
      </c>
      <c r="I5731">
        <v>-0.60966489999999995</v>
      </c>
      <c r="J5731">
        <v>-314.52190000000002</v>
      </c>
      <c r="K5731">
        <v>1.0604420000000001</v>
      </c>
      <c r="L5731">
        <v>14.6467299999999</v>
      </c>
      <c r="M5731">
        <v>0.93701829999999997</v>
      </c>
      <c r="N5731">
        <v>0</v>
      </c>
      <c r="O5731">
        <v>-0.34874769999999999</v>
      </c>
      <c r="P5731">
        <v>0.69328719999999999</v>
      </c>
      <c r="Q5731">
        <v>0.1444096</v>
      </c>
      <c r="R5731">
        <v>-0.70604449999999996</v>
      </c>
      <c r="S5731">
        <v>1.581207</v>
      </c>
      <c r="T5731">
        <v>-0.19905700000000001</v>
      </c>
      <c r="U5731">
        <v>-2.743744</v>
      </c>
      <c r="V5731">
        <v>0.42275600000000002</v>
      </c>
      <c r="W5731">
        <v>0.1539674</v>
      </c>
      <c r="X5731">
        <v>0.89306859999999999</v>
      </c>
      <c r="Y5731">
        <v>0.63730699999999996</v>
      </c>
      <c r="Z5731">
        <v>7.2116589999999896E-4</v>
      </c>
      <c r="AA5731">
        <v>0.77060969999999995</v>
      </c>
      <c r="AB5731">
        <v>25</v>
      </c>
      <c r="AC5731">
        <v>8.6826000000000292</v>
      </c>
      <c r="AD5731">
        <v>-1.1104419999999999</v>
      </c>
      <c r="AE5731">
        <v>-15.256394899999901</v>
      </c>
      <c r="AF5731">
        <v>11.2246624486709</v>
      </c>
      <c r="AG5731">
        <v>-1.1104419999999999</v>
      </c>
      <c r="AH5731">
        <v>13.4052468291325</v>
      </c>
      <c r="AI5731">
        <v>93.634062173543995</v>
      </c>
      <c r="AJ5731">
        <v>50.059432977832302</v>
      </c>
      <c r="AK5731">
        <v>17.5193256454675</v>
      </c>
      <c r="AL5731">
        <v>81.143086777124793</v>
      </c>
      <c r="AM5731">
        <v>64.668313832543006</v>
      </c>
      <c r="AN5731">
        <v>1.00000006005235</v>
      </c>
    </row>
    <row r="5732" spans="1:40" x14ac:dyDescent="0.25">
      <c r="A5732" t="str">
        <f>"20190312173040047"</f>
        <v>20190312173040047</v>
      </c>
      <c r="B5732" t="str">
        <f>"1552383040043136"</f>
        <v>1552383040043136</v>
      </c>
      <c r="C5732" t="s">
        <v>40</v>
      </c>
      <c r="D5732">
        <v>3.4256660000000001</v>
      </c>
      <c r="E5732">
        <v>0.60229319999999997</v>
      </c>
      <c r="F5732" t="s">
        <v>43</v>
      </c>
      <c r="G5732">
        <v>-305.61579999999998</v>
      </c>
      <c r="H5732">
        <v>-0.05</v>
      </c>
      <c r="I5732">
        <v>-1.037628</v>
      </c>
      <c r="J5732">
        <v>-314.41120000000001</v>
      </c>
      <c r="K5732">
        <v>1.0599019999999999</v>
      </c>
      <c r="L5732">
        <v>14.60037</v>
      </c>
      <c r="M5732">
        <v>0.93540319999999999</v>
      </c>
      <c r="N5732">
        <v>0</v>
      </c>
      <c r="O5732">
        <v>-0.35307070000000002</v>
      </c>
      <c r="P5732">
        <v>0.6898765</v>
      </c>
      <c r="Q5732">
        <v>0.14513779999999901</v>
      </c>
      <c r="R5732">
        <v>-0.70922949999999996</v>
      </c>
      <c r="S5732">
        <v>1.5635680000000001</v>
      </c>
      <c r="T5732">
        <v>-0.19495090000000001</v>
      </c>
      <c r="U5732">
        <v>-2.753571</v>
      </c>
      <c r="V5732">
        <v>0.42279739999999999</v>
      </c>
      <c r="W5732">
        <v>0.15448990000000001</v>
      </c>
      <c r="X5732">
        <v>0.89295869999999999</v>
      </c>
      <c r="Y5732">
        <v>0.63868849999999999</v>
      </c>
      <c r="Z5732">
        <v>9.4976830000000003E-4</v>
      </c>
      <c r="AA5732">
        <v>0.76946479999999995</v>
      </c>
      <c r="AB5732">
        <v>25</v>
      </c>
      <c r="AC5732">
        <v>8.7954000000000292</v>
      </c>
      <c r="AD5732">
        <v>-1.1099019999999999</v>
      </c>
      <c r="AE5732">
        <v>-15.637998</v>
      </c>
      <c r="AF5732">
        <v>11.480586732345101</v>
      </c>
      <c r="AG5732">
        <v>-1.1099019999999999</v>
      </c>
      <c r="AH5732">
        <v>13.698630472315299</v>
      </c>
      <c r="AI5732">
        <v>93.553400798307806</v>
      </c>
      <c r="AJ5732">
        <v>50.034205204587899</v>
      </c>
      <c r="AK5732">
        <v>17.907770128789</v>
      </c>
      <c r="AL5732">
        <v>81.112786714230694</v>
      </c>
      <c r="AM5732">
        <v>64.6634169409718</v>
      </c>
      <c r="AN5732">
        <v>1.00000000527723</v>
      </c>
    </row>
    <row r="5733" spans="1:40" x14ac:dyDescent="0.25">
      <c r="A5733" t="str">
        <f>"20190312173040057"</f>
        <v>20190312173040057</v>
      </c>
      <c r="B5733" t="str">
        <f>"1552383040053872"</f>
        <v>1552383040053872</v>
      </c>
      <c r="C5733" t="s">
        <v>40</v>
      </c>
      <c r="D5733">
        <v>3.4007149999999999</v>
      </c>
      <c r="E5733">
        <v>0.60227549999999996</v>
      </c>
      <c r="F5733" t="s">
        <v>41</v>
      </c>
      <c r="G5733">
        <v>-305.85160000000002</v>
      </c>
      <c r="H5733" s="1">
        <v>-5.2311550000000002E-6</v>
      </c>
      <c r="I5733">
        <v>-0.6305075</v>
      </c>
      <c r="J5733">
        <v>-314.29300000000001</v>
      </c>
      <c r="K5733">
        <v>1.059369</v>
      </c>
      <c r="L5733">
        <v>14.549989999999999</v>
      </c>
      <c r="M5733">
        <v>0.93363010000000002</v>
      </c>
      <c r="N5733">
        <v>0</v>
      </c>
      <c r="O5733">
        <v>-0.35774669999999997</v>
      </c>
      <c r="P5733">
        <v>0.68592310000000001</v>
      </c>
      <c r="Q5733">
        <v>0.14551910000000001</v>
      </c>
      <c r="R5733">
        <v>-0.71297549999999998</v>
      </c>
      <c r="S5733">
        <v>1.5512699999999999</v>
      </c>
      <c r="T5733">
        <v>-0.1920886</v>
      </c>
      <c r="U5733">
        <v>-2.7603149999999999</v>
      </c>
      <c r="V5733">
        <v>0.4232166</v>
      </c>
      <c r="W5733">
        <v>0.1546506</v>
      </c>
      <c r="X5733">
        <v>0.89273230000000003</v>
      </c>
      <c r="Y5733">
        <v>0.63827129999999999</v>
      </c>
      <c r="Z5733">
        <v>1.2755100000000001E-3</v>
      </c>
      <c r="AA5733">
        <v>0.76981040000000001</v>
      </c>
      <c r="AB5733">
        <v>25</v>
      </c>
      <c r="AC5733">
        <v>8.4413999999999803</v>
      </c>
      <c r="AD5733">
        <v>-1.0593742311550001</v>
      </c>
      <c r="AE5733">
        <v>-15.1804975</v>
      </c>
      <c r="AF5733">
        <v>11.113710118729699</v>
      </c>
      <c r="AG5733">
        <v>-1.0593742311550001</v>
      </c>
      <c r="AH5733">
        <v>13.2649199082423</v>
      </c>
      <c r="AI5733">
        <v>93.503094273998499</v>
      </c>
      <c r="AJ5733">
        <v>50.042810674626999</v>
      </c>
      <c r="AK5733">
        <v>17.337673619516401</v>
      </c>
      <c r="AL5733">
        <v>81.103467492705207</v>
      </c>
      <c r="AM5733">
        <v>64.635825876731104</v>
      </c>
      <c r="AN5733">
        <v>1.0000000290296001</v>
      </c>
    </row>
    <row r="5734" spans="1:40" x14ac:dyDescent="0.25">
      <c r="A5734" t="str">
        <f>"20190312173040070"</f>
        <v>20190312173040070</v>
      </c>
      <c r="B5734" t="str">
        <f>"1552383040063226"</f>
        <v>1552383040063226</v>
      </c>
      <c r="C5734" t="s">
        <v>40</v>
      </c>
      <c r="D5734">
        <v>3.4425159999999999</v>
      </c>
      <c r="E5734">
        <v>0.60228729999999997</v>
      </c>
      <c r="F5734" t="s">
        <v>41</v>
      </c>
      <c r="G5734">
        <v>-305.74520000000001</v>
      </c>
      <c r="H5734" s="1">
        <v>-5.1265449999999997E-6</v>
      </c>
      <c r="I5734">
        <v>-0.85376549999999995</v>
      </c>
      <c r="J5734">
        <v>-314.1696</v>
      </c>
      <c r="K5734">
        <v>1.0588390000000001</v>
      </c>
      <c r="L5734">
        <v>14.49661</v>
      </c>
      <c r="M5734">
        <v>0.93173539999999999</v>
      </c>
      <c r="N5734">
        <v>0</v>
      </c>
      <c r="O5734">
        <v>-0.36266660000000001</v>
      </c>
      <c r="P5734">
        <v>0.68192369999999902</v>
      </c>
      <c r="Q5734">
        <v>0.14615120000000001</v>
      </c>
      <c r="R5734">
        <v>-0.71667309999999995</v>
      </c>
      <c r="S5734">
        <v>1.536316</v>
      </c>
      <c r="T5734">
        <v>-0.19040389999999999</v>
      </c>
      <c r="U5734">
        <v>-2.7685550000000001</v>
      </c>
      <c r="V5734">
        <v>0.42338379999999998</v>
      </c>
      <c r="W5734">
        <v>0.15506329999999999</v>
      </c>
      <c r="X5734">
        <v>0.89258139999999997</v>
      </c>
      <c r="Y5734">
        <v>0.63837900000000003</v>
      </c>
      <c r="Z5734">
        <v>1.596674E-3</v>
      </c>
      <c r="AA5734">
        <v>0.76972059999999998</v>
      </c>
      <c r="AB5734">
        <v>25</v>
      </c>
      <c r="AC5734">
        <v>8.4243999999999897</v>
      </c>
      <c r="AD5734">
        <v>-1.0588441265449999</v>
      </c>
      <c r="AE5734">
        <v>-15.3503755</v>
      </c>
      <c r="AF5734">
        <v>11.2081793964682</v>
      </c>
      <c r="AG5734">
        <v>-1.0588441265449999</v>
      </c>
      <c r="AH5734">
        <v>13.3697866675351</v>
      </c>
      <c r="AI5734">
        <v>93.473106967698797</v>
      </c>
      <c r="AJ5734">
        <v>50.026173322833401</v>
      </c>
      <c r="AK5734">
        <v>17.4784333337726</v>
      </c>
      <c r="AL5734">
        <v>81.079532648644502</v>
      </c>
      <c r="AM5734">
        <v>64.623314497457002</v>
      </c>
      <c r="AN5734">
        <v>1.00000001236764</v>
      </c>
    </row>
    <row r="5735" spans="1:40" x14ac:dyDescent="0.25">
      <c r="A5735" t="str">
        <f>"20190312173040079"</f>
        <v>20190312173040079</v>
      </c>
      <c r="B5735" t="str">
        <f>"1552383040072986"</f>
        <v>1552383040072986</v>
      </c>
      <c r="C5735" t="s">
        <v>40</v>
      </c>
      <c r="D5735">
        <v>3.4372829999999999</v>
      </c>
      <c r="E5735">
        <v>0.60221709999999995</v>
      </c>
      <c r="F5735" t="s">
        <v>41</v>
      </c>
      <c r="G5735">
        <v>-305.60500000000002</v>
      </c>
      <c r="H5735" s="1">
        <v>-4.9931160000000001E-6</v>
      </c>
      <c r="I5735">
        <v>-1.1364510000000001</v>
      </c>
      <c r="J5735">
        <v>-314.05880000000002</v>
      </c>
      <c r="K5735">
        <v>1.058389</v>
      </c>
      <c r="L5735">
        <v>14.448180000000001</v>
      </c>
      <c r="M5735">
        <v>0.92999699999999996</v>
      </c>
      <c r="N5735">
        <v>0</v>
      </c>
      <c r="O5735">
        <v>-0.36711280000000002</v>
      </c>
      <c r="P5735">
        <v>0.67817209999999895</v>
      </c>
      <c r="Q5735">
        <v>0.14657319999999999</v>
      </c>
      <c r="R5735">
        <v>-0.720138099999999</v>
      </c>
      <c r="S5735">
        <v>1.52127099999999</v>
      </c>
      <c r="T5735">
        <v>-0.1880752</v>
      </c>
      <c r="U5735">
        <v>-2.7767940000000002</v>
      </c>
      <c r="V5735">
        <v>0.42370269999999999</v>
      </c>
      <c r="W5735">
        <v>0.15528839999999999</v>
      </c>
      <c r="X5735">
        <v>0.89239089999999999</v>
      </c>
      <c r="Y5735">
        <v>0.63889099999999999</v>
      </c>
      <c r="Z5735">
        <v>1.8575899999999999E-3</v>
      </c>
      <c r="AA5735">
        <v>0.76929499999999995</v>
      </c>
      <c r="AB5735">
        <v>25</v>
      </c>
      <c r="AC5735">
        <v>8.4537999999999993</v>
      </c>
      <c r="AD5735">
        <v>-1.058393993116</v>
      </c>
      <c r="AE5735">
        <v>-15.5846309999999</v>
      </c>
      <c r="AF5735">
        <v>11.3516110098056</v>
      </c>
      <c r="AG5735">
        <v>-1.058393993116</v>
      </c>
      <c r="AH5735">
        <v>13.5373523513954</v>
      </c>
      <c r="AI5735">
        <v>93.428397363414803</v>
      </c>
      <c r="AJ5735">
        <v>50.018822480392402</v>
      </c>
      <c r="AK5735">
        <v>17.698564321674102</v>
      </c>
      <c r="AL5735">
        <v>81.066477041300601</v>
      </c>
      <c r="AM5735">
        <v>64.601867993956105</v>
      </c>
      <c r="AN5735">
        <v>0.99999999178233001</v>
      </c>
    </row>
    <row r="5736" spans="1:40" x14ac:dyDescent="0.25">
      <c r="A5736" t="str">
        <f>"20190312173040090"</f>
        <v>20190312173040090</v>
      </c>
      <c r="B5736" t="str">
        <f>"1552383040083722"</f>
        <v>1552383040083722</v>
      </c>
      <c r="C5736" t="s">
        <v>40</v>
      </c>
      <c r="D5736">
        <v>3.426396</v>
      </c>
      <c r="E5736">
        <v>0.60216689999999995</v>
      </c>
      <c r="F5736" t="s">
        <v>41</v>
      </c>
      <c r="G5736">
        <v>-305.51100000000002</v>
      </c>
      <c r="H5736" s="1">
        <v>-4.8987479999999998E-6</v>
      </c>
      <c r="I5736">
        <v>-1.338757</v>
      </c>
      <c r="J5736">
        <v>-313.95170000000002</v>
      </c>
      <c r="K5736">
        <v>1.057984</v>
      </c>
      <c r="L5736">
        <v>14.400510000000001</v>
      </c>
      <c r="M5736">
        <v>0.92827579999999998</v>
      </c>
      <c r="N5736">
        <v>0</v>
      </c>
      <c r="O5736">
        <v>-0.37145329999999999</v>
      </c>
      <c r="P5736">
        <v>0.67457040000000001</v>
      </c>
      <c r="Q5736">
        <v>0.14661579999999999</v>
      </c>
      <c r="R5736">
        <v>-0.72350449999999999</v>
      </c>
      <c r="S5736">
        <v>1.5075069999999999</v>
      </c>
      <c r="T5736">
        <v>-0.1866601</v>
      </c>
      <c r="U5736">
        <v>-2.7842099999999999</v>
      </c>
      <c r="V5736">
        <v>0.42397610000000002</v>
      </c>
      <c r="W5736">
        <v>0.1551457</v>
      </c>
      <c r="X5736">
        <v>0.89228589999999997</v>
      </c>
      <c r="Y5736">
        <v>0.63910979999999995</v>
      </c>
      <c r="Z5736">
        <v>2.1272280000000001E-3</v>
      </c>
      <c r="AA5736">
        <v>0.76911260000000004</v>
      </c>
      <c r="AB5736">
        <v>25</v>
      </c>
      <c r="AC5736">
        <v>8.4407000000000494</v>
      </c>
      <c r="AD5736">
        <v>-1.057988898748</v>
      </c>
      <c r="AE5736">
        <v>-15.739267</v>
      </c>
      <c r="AF5736">
        <v>11.4367940733365</v>
      </c>
      <c r="AG5736">
        <v>-1.057988898748</v>
      </c>
      <c r="AH5736">
        <v>13.6360819769433</v>
      </c>
      <c r="AI5736">
        <v>93.402040136975998</v>
      </c>
      <c r="AJ5736">
        <v>50.012916035779902</v>
      </c>
      <c r="AK5736">
        <v>17.828694031467901</v>
      </c>
      <c r="AL5736">
        <v>81.074753750143799</v>
      </c>
      <c r="AM5736">
        <v>64.584931939824699</v>
      </c>
      <c r="AN5736">
        <v>1.00000002446925</v>
      </c>
    </row>
    <row r="5737" spans="1:40" x14ac:dyDescent="0.25">
      <c r="A5737" t="str">
        <f>"20190312173040103"</f>
        <v>20190312173040103</v>
      </c>
      <c r="B5737" t="str">
        <f>"1552383040093483"</f>
        <v>1552383040093483</v>
      </c>
      <c r="C5737" t="s">
        <v>40</v>
      </c>
      <c r="D5737">
        <v>3.4525220000000001</v>
      </c>
      <c r="E5737">
        <v>0.60208200000000001</v>
      </c>
      <c r="F5737" t="s">
        <v>41</v>
      </c>
      <c r="G5737">
        <v>-305.46359999999999</v>
      </c>
      <c r="H5737" s="1">
        <v>-4.8442259999999996E-6</v>
      </c>
      <c r="I5737">
        <v>-1.4588380000000001</v>
      </c>
      <c r="J5737">
        <v>-313.81400000000002</v>
      </c>
      <c r="K5737">
        <v>1.0574730000000001</v>
      </c>
      <c r="L5737">
        <v>14.338710000000001</v>
      </c>
      <c r="M5737">
        <v>0.9260176</v>
      </c>
      <c r="N5737">
        <v>0</v>
      </c>
      <c r="O5737">
        <v>-0.3770599</v>
      </c>
      <c r="P5737">
        <v>0.67009430000000003</v>
      </c>
      <c r="Q5737">
        <v>0.14673610000000001</v>
      </c>
      <c r="R5737">
        <v>-0.72762830000000001</v>
      </c>
      <c r="S5737">
        <v>1.4939579999999999</v>
      </c>
      <c r="T5737">
        <v>-0.18621099999999999</v>
      </c>
      <c r="U5737">
        <v>-2.7913209999999999</v>
      </c>
      <c r="V5737">
        <v>0.4240621</v>
      </c>
      <c r="W5737">
        <v>0.15503639999999999</v>
      </c>
      <c r="X5737">
        <v>0.89226399999999995</v>
      </c>
      <c r="Y5737">
        <v>0.63818929999999996</v>
      </c>
      <c r="Z5737">
        <v>2.5364939999999998E-3</v>
      </c>
      <c r="AA5737">
        <v>0.76987530000000004</v>
      </c>
      <c r="AB5737">
        <v>25</v>
      </c>
      <c r="AC5737">
        <v>8.3504000000000307</v>
      </c>
      <c r="AD5737">
        <v>-1.05747784422599</v>
      </c>
      <c r="AE5737">
        <v>-15.797548000000001</v>
      </c>
      <c r="AF5737">
        <v>11.441954595325599</v>
      </c>
      <c r="AG5737">
        <v>-1.05747784422599</v>
      </c>
      <c r="AH5737">
        <v>13.643626866894699</v>
      </c>
      <c r="AI5737">
        <v>93.398667509772295</v>
      </c>
      <c r="AJ5737">
        <v>50.015794349737703</v>
      </c>
      <c r="AK5737">
        <v>17.8377447687642</v>
      </c>
      <c r="AL5737">
        <v>81.081092641579005</v>
      </c>
      <c r="AM5737">
        <v>64.579881789167402</v>
      </c>
      <c r="AN5737">
        <v>0.99999999783868498</v>
      </c>
    </row>
    <row r="5738" spans="1:40" x14ac:dyDescent="0.25">
      <c r="A5738" t="str">
        <f>"20190312173040122"</f>
        <v>20190312173040122</v>
      </c>
      <c r="B5738" t="str">
        <f>"1552383040113002"</f>
        <v>1552383040113002</v>
      </c>
      <c r="C5738" t="s">
        <v>40</v>
      </c>
      <c r="D5738">
        <v>3.4404819999999998</v>
      </c>
      <c r="E5738">
        <v>0.60187669999999904</v>
      </c>
      <c r="F5738" t="s">
        <v>41</v>
      </c>
      <c r="G5738">
        <v>-305.39069999999998</v>
      </c>
      <c r="H5738" s="1">
        <v>-4.7668629999999997E-6</v>
      </c>
      <c r="I5738">
        <v>-1.626671</v>
      </c>
      <c r="J5738">
        <v>-313.60820000000001</v>
      </c>
      <c r="K5738">
        <v>1.056789</v>
      </c>
      <c r="L5738">
        <v>14.24399</v>
      </c>
      <c r="M5738">
        <v>0.9225179</v>
      </c>
      <c r="N5738">
        <v>0</v>
      </c>
      <c r="O5738">
        <v>-0.38555899999999999</v>
      </c>
      <c r="P5738">
        <v>0.66306899999999902</v>
      </c>
      <c r="Q5738">
        <v>0.14731079999999999</v>
      </c>
      <c r="R5738">
        <v>-0.73392029999999997</v>
      </c>
      <c r="S5738">
        <v>1.4772339999999999</v>
      </c>
      <c r="T5738">
        <v>-0.18545700000000001</v>
      </c>
      <c r="U5738">
        <v>-2.799957</v>
      </c>
      <c r="V5738">
        <v>0.42434369999999999</v>
      </c>
      <c r="W5738">
        <v>0.15527099999999999</v>
      </c>
      <c r="X5738">
        <v>0.89208929999999997</v>
      </c>
      <c r="Y5738">
        <v>0.63570569999999904</v>
      </c>
      <c r="Z5738">
        <v>3.1960640000000002E-3</v>
      </c>
      <c r="AA5738">
        <v>0.77192490000000002</v>
      </c>
      <c r="AB5738">
        <v>25</v>
      </c>
      <c r="AC5738">
        <v>8.2175000000000296</v>
      </c>
      <c r="AD5738">
        <v>-1.0567937668629901</v>
      </c>
      <c r="AE5738">
        <v>-15.870660999999901</v>
      </c>
      <c r="AF5738">
        <v>11.434406784756501</v>
      </c>
      <c r="AG5738">
        <v>-1.0567937668629901</v>
      </c>
      <c r="AH5738">
        <v>13.6542141020094</v>
      </c>
      <c r="AI5738">
        <v>93.395852567382903</v>
      </c>
      <c r="AJ5738">
        <v>50.056286347427701</v>
      </c>
      <c r="AK5738">
        <v>17.840965061578999</v>
      </c>
      <c r="AL5738">
        <v>81.067486205263705</v>
      </c>
      <c r="AM5738">
        <v>64.560781076796005</v>
      </c>
      <c r="AN5738">
        <v>0.99999998917258903</v>
      </c>
    </row>
    <row r="5739" spans="1:40" x14ac:dyDescent="0.25">
      <c r="A5739" t="str">
        <f>"20190312173040137"</f>
        <v>20190312173040137</v>
      </c>
      <c r="B5739" t="str">
        <f>"1552383040133499"</f>
        <v>1552383040133499</v>
      </c>
      <c r="C5739" t="s">
        <v>40</v>
      </c>
      <c r="D5739">
        <v>3.4238759999999999</v>
      </c>
      <c r="E5739">
        <v>0.60165550000000001</v>
      </c>
      <c r="F5739" t="s">
        <v>41</v>
      </c>
      <c r="G5739">
        <v>-305.21660000000003</v>
      </c>
      <c r="H5739" s="1">
        <v>-4.5883629999999996E-6</v>
      </c>
      <c r="I5739">
        <v>-2.0110589999999999</v>
      </c>
      <c r="J5739">
        <v>-313.46640000000002</v>
      </c>
      <c r="K5739">
        <v>1.0563720000000001</v>
      </c>
      <c r="L5739">
        <v>14.177060000000001</v>
      </c>
      <c r="M5739">
        <v>0.92001710000000003</v>
      </c>
      <c r="N5739">
        <v>0</v>
      </c>
      <c r="O5739">
        <v>-0.39149859999999997</v>
      </c>
      <c r="P5739">
        <v>0.65802530000000004</v>
      </c>
      <c r="Q5739">
        <v>0.14778060000000001</v>
      </c>
      <c r="R5739">
        <v>-0.73835220000000001</v>
      </c>
      <c r="S5739">
        <v>1.451965</v>
      </c>
      <c r="T5739">
        <v>-0.18285380000000001</v>
      </c>
      <c r="U5739">
        <v>-2.8125610000000001</v>
      </c>
      <c r="V5739">
        <v>0.42463390000000001</v>
      </c>
      <c r="W5739">
        <v>0.15551309999999999</v>
      </c>
      <c r="X5739">
        <v>0.89190910000000001</v>
      </c>
      <c r="Y5739">
        <v>0.63762919999999901</v>
      </c>
      <c r="Z5739">
        <v>3.471656E-3</v>
      </c>
      <c r="AA5739">
        <v>0.77033560000000001</v>
      </c>
      <c r="AB5739">
        <v>25</v>
      </c>
      <c r="AC5739">
        <v>8.2497999999999898</v>
      </c>
      <c r="AD5739">
        <v>-1.0563765883630001</v>
      </c>
      <c r="AE5739">
        <v>-16.188119</v>
      </c>
      <c r="AF5739">
        <v>11.6259948361096</v>
      </c>
      <c r="AG5739">
        <v>-1.0563765883630001</v>
      </c>
      <c r="AH5739">
        <v>13.8827246639938</v>
      </c>
      <c r="AI5739">
        <v>93.338741842911702</v>
      </c>
      <c r="AJ5739">
        <v>50.055735311361801</v>
      </c>
      <c r="AK5739">
        <v>18.138625403319601</v>
      </c>
      <c r="AL5739">
        <v>81.053444949135695</v>
      </c>
      <c r="AM5739">
        <v>64.541091437649101</v>
      </c>
      <c r="AN5739">
        <v>1.00000005798181</v>
      </c>
    </row>
    <row r="5740" spans="1:40" x14ac:dyDescent="0.25">
      <c r="A5740" t="str">
        <f>"20190312173040151"</f>
        <v>20190312173040151</v>
      </c>
      <c r="B5740" t="str">
        <f>"1552383040143258"</f>
        <v>1552383040143258</v>
      </c>
      <c r="C5740" t="s">
        <v>40</v>
      </c>
      <c r="D5740">
        <v>3.4338139999999999</v>
      </c>
      <c r="E5740">
        <v>0.60153159999999894</v>
      </c>
      <c r="F5740" t="s">
        <v>41</v>
      </c>
      <c r="G5740">
        <v>-305.0813</v>
      </c>
      <c r="H5740" s="1">
        <v>-4.4464780000000004E-6</v>
      </c>
      <c r="I5740">
        <v>-2.3180350000000001</v>
      </c>
      <c r="J5740">
        <v>-313.32889999999998</v>
      </c>
      <c r="K5740">
        <v>1.055984</v>
      </c>
      <c r="L5740">
        <v>14.11124</v>
      </c>
      <c r="M5740">
        <v>0.91752900000000004</v>
      </c>
      <c r="N5740">
        <v>0</v>
      </c>
      <c r="O5740">
        <v>-0.39730330000000003</v>
      </c>
      <c r="P5740">
        <v>0.65312460000000006</v>
      </c>
      <c r="Q5740">
        <v>0.1483556</v>
      </c>
      <c r="R5740">
        <v>-0.74257600000000001</v>
      </c>
      <c r="S5740">
        <v>1.434113</v>
      </c>
      <c r="T5740">
        <v>-0.18067279999999999</v>
      </c>
      <c r="U5740">
        <v>-2.821167</v>
      </c>
      <c r="V5740">
        <v>0.42481590000000002</v>
      </c>
      <c r="W5740">
        <v>0.15587479999999901</v>
      </c>
      <c r="X5740">
        <v>0.89175919999999897</v>
      </c>
      <c r="Y5740">
        <v>0.63760289999999997</v>
      </c>
      <c r="Z5740">
        <v>3.8141109999999998E-3</v>
      </c>
      <c r="AA5740">
        <v>0.77035580000000003</v>
      </c>
      <c r="AB5740">
        <v>25</v>
      </c>
      <c r="AC5740">
        <v>8.2475999999999701</v>
      </c>
      <c r="AD5740">
        <v>-1.0559884464780001</v>
      </c>
      <c r="AE5740">
        <v>-16.429274999999901</v>
      </c>
      <c r="AF5740">
        <v>11.7604463802195</v>
      </c>
      <c r="AG5740">
        <v>-1.0559884464780001</v>
      </c>
      <c r="AH5740">
        <v>14.0505035760123</v>
      </c>
      <c r="AI5740">
        <v>93.298450516193</v>
      </c>
      <c r="AJ5740">
        <v>50.070248601832098</v>
      </c>
      <c r="AK5740">
        <v>18.353197579731098</v>
      </c>
      <c r="AL5740">
        <v>81.032464579733599</v>
      </c>
      <c r="AM5740">
        <v>64.527822075576395</v>
      </c>
      <c r="AN5740">
        <v>0.999999986476244</v>
      </c>
    </row>
    <row r="5741" spans="1:40" x14ac:dyDescent="0.25">
      <c r="A5741" t="str">
        <f>"20190312173040163"</f>
        <v>20190312173040163</v>
      </c>
      <c r="B5741" t="str">
        <f>"1552383040153019"</f>
        <v>1552383040153019</v>
      </c>
      <c r="C5741" t="s">
        <v>40</v>
      </c>
      <c r="D5741">
        <v>3.422933</v>
      </c>
      <c r="E5741">
        <v>0.60141109999999998</v>
      </c>
      <c r="F5741" t="s">
        <v>41</v>
      </c>
      <c r="G5741">
        <v>-304.98169999999999</v>
      </c>
      <c r="H5741" s="1">
        <v>-4.3349160000000002E-6</v>
      </c>
      <c r="I5741">
        <v>-2.562519</v>
      </c>
      <c r="J5741">
        <v>-313.19029999999998</v>
      </c>
      <c r="K5741">
        <v>1.0556140000000001</v>
      </c>
      <c r="L5741">
        <v>14.04407</v>
      </c>
      <c r="M5741">
        <v>0.91495950000000004</v>
      </c>
      <c r="N5741">
        <v>0</v>
      </c>
      <c r="O5741">
        <v>-0.40319369999999999</v>
      </c>
      <c r="P5741">
        <v>0.64809569999999905</v>
      </c>
      <c r="Q5741">
        <v>0.14862629999999999</v>
      </c>
      <c r="R5741">
        <v>-0.74691560000000001</v>
      </c>
      <c r="S5741">
        <v>1.4166559999999999</v>
      </c>
      <c r="T5741">
        <v>-0.17921809999999999</v>
      </c>
      <c r="U5741">
        <v>-2.8298030000000001</v>
      </c>
      <c r="V5741">
        <v>0.42507149999999999</v>
      </c>
      <c r="W5741">
        <v>0.15593370000000001</v>
      </c>
      <c r="X5741">
        <v>0.89162710000000001</v>
      </c>
      <c r="Y5741">
        <v>0.63740629999999998</v>
      </c>
      <c r="Z5741">
        <v>4.1767949999999996E-3</v>
      </c>
      <c r="AA5741">
        <v>0.77051650000000005</v>
      </c>
      <c r="AB5741">
        <v>25</v>
      </c>
      <c r="AC5741">
        <v>8.2085999999999899</v>
      </c>
      <c r="AD5741">
        <v>-1.055618334916</v>
      </c>
      <c r="AE5741">
        <v>-16.606589</v>
      </c>
      <c r="AF5741">
        <v>11.8479149921626</v>
      </c>
      <c r="AG5741">
        <v>-1.055618334916</v>
      </c>
      <c r="AH5741">
        <v>14.162237504315099</v>
      </c>
      <c r="AI5741">
        <v>93.272026315235607</v>
      </c>
      <c r="AJ5741">
        <v>50.084654173007898</v>
      </c>
      <c r="AK5741">
        <v>18.494766580282899</v>
      </c>
      <c r="AL5741">
        <v>81.029048133528306</v>
      </c>
      <c r="AM5741">
        <v>64.511141667592796</v>
      </c>
      <c r="AN5741">
        <v>0.99999999218117497</v>
      </c>
    </row>
    <row r="5742" spans="1:40" x14ac:dyDescent="0.25">
      <c r="A5742" t="str">
        <f>"20190312173040179"</f>
        <v>20190312173040179</v>
      </c>
      <c r="B5742" t="str">
        <f>"1552383040173514"</f>
        <v>1552383040173514</v>
      </c>
      <c r="C5742" t="s">
        <v>40</v>
      </c>
      <c r="D5742">
        <v>3.3878400000000002</v>
      </c>
      <c r="E5742">
        <v>0.6011649</v>
      </c>
      <c r="F5742" t="s">
        <v>41</v>
      </c>
      <c r="G5742">
        <v>-304.91079999999999</v>
      </c>
      <c r="H5742" s="1">
        <v>-4.2451369999999998E-6</v>
      </c>
      <c r="I5742">
        <v>-2.7635529999999999</v>
      </c>
      <c r="J5742">
        <v>-313.02890000000002</v>
      </c>
      <c r="K5742">
        <v>1.0552330000000001</v>
      </c>
      <c r="L5742">
        <v>13.96381</v>
      </c>
      <c r="M5742">
        <v>0.91185910000000003</v>
      </c>
      <c r="N5742">
        <v>0</v>
      </c>
      <c r="O5742">
        <v>-0.41016530000000001</v>
      </c>
      <c r="P5742">
        <v>0.64207700000000001</v>
      </c>
      <c r="Q5742">
        <v>0.1492272</v>
      </c>
      <c r="R5742">
        <v>-0.75197630000000004</v>
      </c>
      <c r="S5742">
        <v>1.3983460000000001</v>
      </c>
      <c r="T5742">
        <v>-0.17828429999999901</v>
      </c>
      <c r="U5742">
        <v>-2.838654</v>
      </c>
      <c r="V5742">
        <v>0.42534440000000001</v>
      </c>
      <c r="W5742">
        <v>0.1563001</v>
      </c>
      <c r="X5742">
        <v>0.89143280000000003</v>
      </c>
      <c r="Y5742">
        <v>0.6364919</v>
      </c>
      <c r="Z5742">
        <v>4.6450759999999997E-3</v>
      </c>
      <c r="AA5742">
        <v>0.77126939999999999</v>
      </c>
      <c r="AB5742">
        <v>25</v>
      </c>
      <c r="AC5742">
        <v>8.1181000000000196</v>
      </c>
      <c r="AD5742">
        <v>-1.055237245137</v>
      </c>
      <c r="AE5742">
        <v>-16.727363</v>
      </c>
      <c r="AF5742">
        <v>11.8866026669309</v>
      </c>
      <c r="AG5742">
        <v>-1.055237245137</v>
      </c>
      <c r="AH5742">
        <v>14.219724338507101</v>
      </c>
      <c r="AI5742">
        <v>93.258711148057003</v>
      </c>
      <c r="AJ5742">
        <v>50.106954555696703</v>
      </c>
      <c r="AK5742">
        <v>18.5635505458451</v>
      </c>
      <c r="AL5742">
        <v>81.007794505266006</v>
      </c>
      <c r="AM5742">
        <v>64.492001538237702</v>
      </c>
      <c r="AN5742">
        <v>1.0000000083936</v>
      </c>
    </row>
    <row r="5743" spans="1:40" x14ac:dyDescent="0.25">
      <c r="A5743" t="str">
        <f>"20190312173040191"</f>
        <v>20190312173040191</v>
      </c>
      <c r="B5743" t="str">
        <f>"1552383040183274"</f>
        <v>1552383040183274</v>
      </c>
      <c r="C5743" t="s">
        <v>40</v>
      </c>
      <c r="D5743">
        <v>3.3940779999999999</v>
      </c>
      <c r="E5743">
        <v>0.60105659999999905</v>
      </c>
      <c r="F5743" t="s">
        <v>41</v>
      </c>
      <c r="G5743">
        <v>-304.81369999999998</v>
      </c>
      <c r="H5743" s="1">
        <v>-4.1284339999999998E-6</v>
      </c>
      <c r="I5743">
        <v>-3.0226169999999999</v>
      </c>
      <c r="J5743">
        <v>-312.90809999999999</v>
      </c>
      <c r="K5743">
        <v>1.0549679999999999</v>
      </c>
      <c r="L5743">
        <v>13.90274</v>
      </c>
      <c r="M5743">
        <v>0.90947599999999995</v>
      </c>
      <c r="N5743">
        <v>0</v>
      </c>
      <c r="O5743">
        <v>-0.41542849999999998</v>
      </c>
      <c r="P5743">
        <v>0.6377678</v>
      </c>
      <c r="Q5743">
        <v>0.14939</v>
      </c>
      <c r="R5743">
        <v>-0.75560269999999996</v>
      </c>
      <c r="S5743">
        <v>1.3775630000000001</v>
      </c>
      <c r="T5743">
        <v>-0.17694689999999999</v>
      </c>
      <c r="U5743">
        <v>-2.8483580000000002</v>
      </c>
      <c r="V5743">
        <v>0.42527419999999999</v>
      </c>
      <c r="W5743">
        <v>0.15630439999999901</v>
      </c>
      <c r="X5743">
        <v>0.89146550000000002</v>
      </c>
      <c r="Y5743">
        <v>0.63763440000000005</v>
      </c>
      <c r="Z5743">
        <v>4.9102920000000001E-3</v>
      </c>
      <c r="AA5743">
        <v>0.77032349999999905</v>
      </c>
      <c r="AB5743">
        <v>25</v>
      </c>
      <c r="AC5743">
        <v>8.0944000000000091</v>
      </c>
      <c r="AD5743">
        <v>-1.0549721284339999</v>
      </c>
      <c r="AE5743">
        <v>-16.925356999999899</v>
      </c>
      <c r="AF5743">
        <v>11.994276104035301</v>
      </c>
      <c r="AG5743">
        <v>-1.0549721284339999</v>
      </c>
      <c r="AH5743">
        <v>14.3495276019132</v>
      </c>
      <c r="AI5743">
        <v>93.228578428646799</v>
      </c>
      <c r="AJ5743">
        <v>50.108910584117901</v>
      </c>
      <c r="AK5743">
        <v>18.731913085685498</v>
      </c>
      <c r="AL5743">
        <v>81.007544757318499</v>
      </c>
      <c r="AM5743">
        <v>64.496493685261896</v>
      </c>
      <c r="AN5743">
        <v>0.99999997416762398</v>
      </c>
    </row>
    <row r="5744" spans="1:40" x14ac:dyDescent="0.25">
      <c r="A5744" t="str">
        <f>"20190312173040201"</f>
        <v>20190312173040201</v>
      </c>
      <c r="B5744" t="str">
        <f>"1552383040193035"</f>
        <v>1552383040193035</v>
      </c>
      <c r="C5744" t="s">
        <v>40</v>
      </c>
      <c r="D5744">
        <v>3.3915929999999999</v>
      </c>
      <c r="E5744">
        <v>0.60093459999999999</v>
      </c>
      <c r="F5744" t="s">
        <v>41</v>
      </c>
      <c r="G5744">
        <v>-304.76389999999998</v>
      </c>
      <c r="H5744" s="1">
        <v>-4.0601950000000002E-6</v>
      </c>
      <c r="I5744">
        <v>-3.1773319999999998</v>
      </c>
      <c r="J5744">
        <v>-312.79489999999998</v>
      </c>
      <c r="K5744">
        <v>1.054729</v>
      </c>
      <c r="L5744">
        <v>13.84503</v>
      </c>
      <c r="M5744">
        <v>0.90720190000000001</v>
      </c>
      <c r="N5744">
        <v>0</v>
      </c>
      <c r="O5744">
        <v>-0.42037629999999998</v>
      </c>
      <c r="P5744">
        <v>0.6335655</v>
      </c>
      <c r="Q5744">
        <v>0.14957119999999999</v>
      </c>
      <c r="R5744">
        <v>-0.75909380000000004</v>
      </c>
      <c r="S5744">
        <v>1.3617250000000001</v>
      </c>
      <c r="T5744">
        <v>-0.1763942</v>
      </c>
      <c r="U5744">
        <v>-2.8558349999999999</v>
      </c>
      <c r="V5744">
        <v>0.42534680000000002</v>
      </c>
      <c r="W5744">
        <v>0.1563369</v>
      </c>
      <c r="X5744">
        <v>0.89142520000000003</v>
      </c>
      <c r="Y5744">
        <v>0.63771140000000004</v>
      </c>
      <c r="Z5744">
        <v>5.2135829999999999E-3</v>
      </c>
      <c r="AA5744">
        <v>0.77025779999999999</v>
      </c>
      <c r="AB5744">
        <v>25</v>
      </c>
      <c r="AC5744">
        <v>8.0310000000000006</v>
      </c>
      <c r="AD5744">
        <v>-1.054733060195</v>
      </c>
      <c r="AE5744">
        <v>-17.022362000000001</v>
      </c>
      <c r="AF5744">
        <v>12.030518268353299</v>
      </c>
      <c r="AG5744">
        <v>-1.054733060195</v>
      </c>
      <c r="AH5744">
        <v>14.398260733475199</v>
      </c>
      <c r="AI5744">
        <v>93.217439039740299</v>
      </c>
      <c r="AJ5744">
        <v>50.119435710907901</v>
      </c>
      <c r="AK5744">
        <v>18.792438473561301</v>
      </c>
      <c r="AL5744">
        <v>81.005659764058095</v>
      </c>
      <c r="AM5744">
        <v>64.491686032566705</v>
      </c>
      <c r="AN5744">
        <v>1.00000000688344</v>
      </c>
    </row>
    <row r="5745" spans="1:40" x14ac:dyDescent="0.25">
      <c r="A5745" t="str">
        <f>"20190312173040213"</f>
        <v>20190312173040213</v>
      </c>
      <c r="B5745" t="str">
        <f>"1552383040203771"</f>
        <v>1552383040203771</v>
      </c>
      <c r="C5745" t="s">
        <v>40</v>
      </c>
      <c r="D5745">
        <v>3.4354520000000002</v>
      </c>
      <c r="E5745">
        <v>0.60074689999999997</v>
      </c>
      <c r="F5745" t="s">
        <v>41</v>
      </c>
      <c r="G5745">
        <v>-304.72379999999998</v>
      </c>
      <c r="H5745" s="1">
        <v>-4.0008730000000004E-6</v>
      </c>
      <c r="I5745">
        <v>-3.313272</v>
      </c>
      <c r="J5745">
        <v>-312.68049999999999</v>
      </c>
      <c r="K5745">
        <v>1.054511</v>
      </c>
      <c r="L5745">
        <v>13.785310000000001</v>
      </c>
      <c r="M5745">
        <v>0.9048349</v>
      </c>
      <c r="N5745">
        <v>0</v>
      </c>
      <c r="O5745">
        <v>-0.42545179999999999</v>
      </c>
      <c r="P5745">
        <v>0.62954679999999996</v>
      </c>
      <c r="Q5745">
        <v>0.14976610000000001</v>
      </c>
      <c r="R5745">
        <v>-0.76239190000000001</v>
      </c>
      <c r="S5745">
        <v>1.346649</v>
      </c>
      <c r="T5745">
        <v>-0.17597989999999999</v>
      </c>
      <c r="U5745">
        <v>-2.8628230000000001</v>
      </c>
      <c r="V5745">
        <v>0.425043</v>
      </c>
      <c r="W5745">
        <v>0.15640000000000001</v>
      </c>
      <c r="X5745">
        <v>0.89155899999999999</v>
      </c>
      <c r="Y5745">
        <v>0.63745069999999904</v>
      </c>
      <c r="Z5745">
        <v>5.5406880000000002E-3</v>
      </c>
      <c r="AA5745">
        <v>0.77047129999999997</v>
      </c>
      <c r="AB5745">
        <v>25</v>
      </c>
      <c r="AC5745">
        <v>7.9567000000000103</v>
      </c>
      <c r="AD5745">
        <v>-1.054515000873</v>
      </c>
      <c r="AE5745">
        <v>-17.098582</v>
      </c>
      <c r="AF5745">
        <v>12.0501258906624</v>
      </c>
      <c r="AG5745">
        <v>-1.054515000873</v>
      </c>
      <c r="AH5745">
        <v>14.430919244357</v>
      </c>
      <c r="AI5745">
        <v>93.210349401225301</v>
      </c>
      <c r="AJ5745">
        <v>50.137397322782498</v>
      </c>
      <c r="AK5745">
        <v>18.8300017553114</v>
      </c>
      <c r="AL5745">
        <v>81.001999139837693</v>
      </c>
      <c r="AM5745">
        <v>64.510934005399093</v>
      </c>
      <c r="AN5745">
        <v>0.999999981164999</v>
      </c>
    </row>
    <row r="5746" spans="1:40" x14ac:dyDescent="0.25">
      <c r="A5746" t="str">
        <f>"20190312173040224"</f>
        <v>20190312173040224</v>
      </c>
      <c r="B5746" t="str">
        <f>"1552383040213531"</f>
        <v>1552383040213531</v>
      </c>
      <c r="C5746" t="s">
        <v>40</v>
      </c>
      <c r="D5746">
        <v>3.4484880000000002</v>
      </c>
      <c r="E5746">
        <v>0.60059640000000003</v>
      </c>
      <c r="F5746" t="s">
        <v>41</v>
      </c>
      <c r="G5746">
        <v>-304.67239999999998</v>
      </c>
      <c r="H5746" s="1">
        <v>-3.9383589999999998E-6</v>
      </c>
      <c r="I5746">
        <v>-3.4523269999999902</v>
      </c>
      <c r="J5746">
        <v>-312.5693</v>
      </c>
      <c r="K5746">
        <v>1.0543020000000001</v>
      </c>
      <c r="L5746">
        <v>13.72696</v>
      </c>
      <c r="M5746">
        <v>0.90249619999999997</v>
      </c>
      <c r="N5746">
        <v>0</v>
      </c>
      <c r="O5746">
        <v>-0.43039470000000002</v>
      </c>
      <c r="P5746">
        <v>0.6254712</v>
      </c>
      <c r="Q5746">
        <v>0.15003039999999901</v>
      </c>
      <c r="R5746">
        <v>-0.76568749999999997</v>
      </c>
      <c r="S5746">
        <v>1.3328249999999999</v>
      </c>
      <c r="T5746">
        <v>-0.1755071</v>
      </c>
      <c r="U5746">
        <v>-2.8689269999999998</v>
      </c>
      <c r="V5746">
        <v>0.4248923</v>
      </c>
      <c r="W5746">
        <v>0.1565328</v>
      </c>
      <c r="X5746">
        <v>0.8916075</v>
      </c>
      <c r="Y5746">
        <v>0.63692490000000002</v>
      </c>
      <c r="Z5746">
        <v>5.8663689999999998E-3</v>
      </c>
      <c r="AA5746">
        <v>0.77090360000000002</v>
      </c>
      <c r="AB5746">
        <v>25</v>
      </c>
      <c r="AC5746">
        <v>7.8969000000000102</v>
      </c>
      <c r="AD5746">
        <v>-1.0543059383589899</v>
      </c>
      <c r="AE5746">
        <v>-17.179286999999999</v>
      </c>
      <c r="AF5746">
        <v>12.0695090464905</v>
      </c>
      <c r="AG5746">
        <v>-1.0543059383589899</v>
      </c>
      <c r="AH5746">
        <v>14.4776754589356</v>
      </c>
      <c r="AI5746">
        <v>93.201503277811796</v>
      </c>
      <c r="AJ5746">
        <v>50.183267777450403</v>
      </c>
      <c r="AK5746">
        <v>18.878233400645399</v>
      </c>
      <c r="AL5746">
        <v>80.994295174392306</v>
      </c>
      <c r="AM5746">
        <v>64.520036113132093</v>
      </c>
      <c r="AN5746">
        <v>0.99999995906568895</v>
      </c>
    </row>
    <row r="5747" spans="1:40" x14ac:dyDescent="0.25">
      <c r="A5747" t="str">
        <f>"20190312173040235"</f>
        <v>20190312173040235</v>
      </c>
      <c r="B5747" t="str">
        <f>"1552383040233052"</f>
        <v>1552383040233052</v>
      </c>
      <c r="C5747" t="s">
        <v>40</v>
      </c>
      <c r="D5747">
        <v>3.4312689999999999</v>
      </c>
      <c r="E5747">
        <v>0.60056509999999996</v>
      </c>
      <c r="F5747" t="s">
        <v>41</v>
      </c>
      <c r="G5747">
        <v>-304.63409999999999</v>
      </c>
      <c r="H5747" s="1">
        <v>-3.8839619999999998E-6</v>
      </c>
      <c r="I5747">
        <v>-3.5762830000000001</v>
      </c>
      <c r="J5747">
        <v>-312.44889999999998</v>
      </c>
      <c r="K5747">
        <v>1.0540959999999999</v>
      </c>
      <c r="L5747">
        <v>13.662319999999999</v>
      </c>
      <c r="M5747">
        <v>0.8998893</v>
      </c>
      <c r="N5747">
        <v>0</v>
      </c>
      <c r="O5747">
        <v>-0.43582310000000002</v>
      </c>
      <c r="P5747">
        <v>0.62083330000000003</v>
      </c>
      <c r="Q5747">
        <v>0.15006549999999999</v>
      </c>
      <c r="R5747">
        <v>-0.76944569999999901</v>
      </c>
      <c r="S5747">
        <v>1.318573</v>
      </c>
      <c r="T5747">
        <v>-0.17519179999999901</v>
      </c>
      <c r="U5747">
        <v>-2.8752439999999999</v>
      </c>
      <c r="V5747">
        <v>0.42491820000000002</v>
      </c>
      <c r="W5747">
        <v>0.1564296</v>
      </c>
      <c r="X5747">
        <v>0.89161329999999905</v>
      </c>
      <c r="Y5747">
        <v>0.63608900000000002</v>
      </c>
      <c r="Z5747">
        <v>6.239049E-3</v>
      </c>
      <c r="AA5747">
        <v>0.77159049999999996</v>
      </c>
      <c r="AB5747">
        <v>25</v>
      </c>
      <c r="AC5747">
        <v>7.8147999999999902</v>
      </c>
      <c r="AD5747">
        <v>-1.0540998839619999</v>
      </c>
      <c r="AE5747">
        <v>-17.238603000000001</v>
      </c>
      <c r="AF5747">
        <v>12.0710830039963</v>
      </c>
      <c r="AG5747">
        <v>-1.0540998839619999</v>
      </c>
      <c r="AH5747">
        <v>14.502328457963101</v>
      </c>
      <c r="AI5747">
        <v>93.197501700158796</v>
      </c>
      <c r="AJ5747">
        <v>50.2275321639776</v>
      </c>
      <c r="AK5747">
        <v>18.898140177207399</v>
      </c>
      <c r="AL5747">
        <v>81.000282099100403</v>
      </c>
      <c r="AM5747">
        <v>64.518824533711495</v>
      </c>
      <c r="AN5747">
        <v>0.99999998659214495</v>
      </c>
    </row>
    <row r="5748" spans="1:40" x14ac:dyDescent="0.25">
      <c r="A5748" t="str">
        <f>"20190312173040247"</f>
        <v>20190312173040247</v>
      </c>
      <c r="B5748" t="str">
        <f>"1552383040243788"</f>
        <v>1552383040243788</v>
      </c>
      <c r="C5748" t="s">
        <v>40</v>
      </c>
      <c r="D5748">
        <v>3.3975520000000001</v>
      </c>
      <c r="E5748">
        <v>0.61677230000000005</v>
      </c>
      <c r="F5748" t="s">
        <v>41</v>
      </c>
      <c r="G5748">
        <v>-304.61419999999998</v>
      </c>
      <c r="H5748" s="1">
        <v>-3.83521E-6</v>
      </c>
      <c r="I5748">
        <v>-3.6940230000000001</v>
      </c>
      <c r="J5748">
        <v>-312.33819999999997</v>
      </c>
      <c r="K5748">
        <v>1.0539160000000001</v>
      </c>
      <c r="L5748">
        <v>13.602359999999999</v>
      </c>
      <c r="M5748">
        <v>0.8974491</v>
      </c>
      <c r="N5748">
        <v>0</v>
      </c>
      <c r="O5748">
        <v>-0.44082900000000003</v>
      </c>
      <c r="P5748">
        <v>0.6164636</v>
      </c>
      <c r="Q5748">
        <v>0.15041570000000001</v>
      </c>
      <c r="R5748">
        <v>-0.77288250000000003</v>
      </c>
      <c r="S5748">
        <v>1.3013920000000001</v>
      </c>
      <c r="T5748">
        <v>-0.17509249999999901</v>
      </c>
      <c r="U5748">
        <v>-2.8829959999999999</v>
      </c>
      <c r="V5748">
        <v>0.42496250000000002</v>
      </c>
      <c r="W5748">
        <v>0.15665479999999901</v>
      </c>
      <c r="X5748">
        <v>0.89155269999999998</v>
      </c>
      <c r="Y5748">
        <v>0.63639499999999904</v>
      </c>
      <c r="Z5748">
        <v>6.5498559999999997E-3</v>
      </c>
      <c r="AA5748">
        <v>0.77133549999999995</v>
      </c>
      <c r="AB5748">
        <v>25</v>
      </c>
      <c r="AC5748">
        <v>7.7239999999999798</v>
      </c>
      <c r="AD5748">
        <v>-1.0539198352099901</v>
      </c>
      <c r="AE5748">
        <v>-17.296382999999999</v>
      </c>
      <c r="AF5748">
        <v>12.0818055188603</v>
      </c>
      <c r="AG5748">
        <v>-1.0539198352099901</v>
      </c>
      <c r="AH5748">
        <v>14.5135727796398</v>
      </c>
      <c r="AI5748">
        <v>93.194337749158294</v>
      </c>
      <c r="AJ5748">
        <v>50.224353137044801</v>
      </c>
      <c r="AK5748">
        <v>18.913607970044101</v>
      </c>
      <c r="AL5748">
        <v>80.987218464247306</v>
      </c>
      <c r="AM5748">
        <v>64.514992155176003</v>
      </c>
      <c r="AN5748">
        <v>1.00000003482328</v>
      </c>
    </row>
    <row r="5749" spans="1:40" x14ac:dyDescent="0.25">
      <c r="A5749" t="str">
        <f>"20190312173040258"</f>
        <v>20190312173040258</v>
      </c>
      <c r="B5749" t="str">
        <f>"1552383040253546"</f>
        <v>1552383040253546</v>
      </c>
      <c r="C5749" t="s">
        <v>40</v>
      </c>
      <c r="D5749">
        <v>3.3820389999999998</v>
      </c>
      <c r="E5749">
        <v>0.61789569999999905</v>
      </c>
      <c r="F5749" t="s">
        <v>41</v>
      </c>
      <c r="G5749">
        <v>-305.57369999999997</v>
      </c>
      <c r="H5749" s="1">
        <v>-4.1336940000000002E-6</v>
      </c>
      <c r="I5749">
        <v>-3.3599730000000001</v>
      </c>
      <c r="J5749">
        <v>-312.22859999999997</v>
      </c>
      <c r="K5749">
        <v>1.0537510000000001</v>
      </c>
      <c r="L5749">
        <v>13.542020000000001</v>
      </c>
      <c r="M5749">
        <v>0.89497579999999999</v>
      </c>
      <c r="N5749">
        <v>0</v>
      </c>
      <c r="O5749">
        <v>-0.44583230000000001</v>
      </c>
      <c r="P5749">
        <v>0.61218229999999996</v>
      </c>
      <c r="Q5749">
        <v>0.1503708</v>
      </c>
      <c r="R5749">
        <v>-0.77628710000000001</v>
      </c>
      <c r="S5749">
        <v>1.1852720000000001</v>
      </c>
      <c r="T5749">
        <v>-0.18466589999999999</v>
      </c>
      <c r="U5749">
        <v>-2.9721069999999998</v>
      </c>
      <c r="V5749">
        <v>0.42493359999999902</v>
      </c>
      <c r="W5749">
        <v>0.1564951</v>
      </c>
      <c r="X5749">
        <v>0.89159449999999996</v>
      </c>
      <c r="Y5749">
        <v>0.66589569999999998</v>
      </c>
      <c r="Z5749">
        <v>6.0274150000000004E-3</v>
      </c>
      <c r="AA5749">
        <v>0.74602049999999998</v>
      </c>
      <c r="AB5749">
        <v>25</v>
      </c>
      <c r="AC5749">
        <v>6.6548999999999898</v>
      </c>
      <c r="AD5749">
        <v>-1.0537551336939901</v>
      </c>
      <c r="AE5749">
        <v>-16.901993000000001</v>
      </c>
      <c r="AF5749">
        <v>12.1206485672078</v>
      </c>
      <c r="AG5749">
        <v>-1.0537551336939901</v>
      </c>
      <c r="AH5749">
        <v>13.4478734381264</v>
      </c>
      <c r="AI5749">
        <v>93.331176657182795</v>
      </c>
      <c r="AJ5749">
        <v>47.971473802682802</v>
      </c>
      <c r="AK5749">
        <v>18.1346580221247</v>
      </c>
      <c r="AL5749">
        <v>80.996482700711596</v>
      </c>
      <c r="AM5749">
        <v>64.517548880503895</v>
      </c>
      <c r="AN5749">
        <v>1.0000000165816001</v>
      </c>
    </row>
    <row r="5750" spans="1:40" x14ac:dyDescent="0.25">
      <c r="A5750" t="str">
        <f>"20190312173040270"</f>
        <v>20190312173040270</v>
      </c>
      <c r="B5750" t="str">
        <f>"1552383040263272"</f>
        <v>1552383040263272</v>
      </c>
      <c r="C5750" t="s">
        <v>40</v>
      </c>
      <c r="D5750">
        <v>3.382428</v>
      </c>
      <c r="E5750">
        <v>0.61853899999999995</v>
      </c>
      <c r="F5750" t="s">
        <v>41</v>
      </c>
      <c r="G5750">
        <v>-305.50150000000002</v>
      </c>
      <c r="H5750" s="1">
        <v>-3.9753090000000003E-6</v>
      </c>
      <c r="I5750">
        <v>-3.739093</v>
      </c>
      <c r="J5750">
        <v>-312.11750000000001</v>
      </c>
      <c r="K5750">
        <v>1.0535950000000001</v>
      </c>
      <c r="L5750">
        <v>13.479979999999999</v>
      </c>
      <c r="M5750">
        <v>0.89241399999999904</v>
      </c>
      <c r="N5750">
        <v>0</v>
      </c>
      <c r="O5750">
        <v>-0.45094099999999998</v>
      </c>
      <c r="P5750">
        <v>0.60765239999999998</v>
      </c>
      <c r="Q5750">
        <v>0.15051909999999999</v>
      </c>
      <c r="R5750">
        <v>-0.77980959999999999</v>
      </c>
      <c r="S5750">
        <v>1.16153</v>
      </c>
      <c r="T5750">
        <v>-0.18194560000000001</v>
      </c>
      <c r="U5750">
        <v>-2.9838260000000001</v>
      </c>
      <c r="V5750">
        <v>0.42501899999999998</v>
      </c>
      <c r="W5750">
        <v>0.1565281</v>
      </c>
      <c r="X5750">
        <v>0.89154800000000001</v>
      </c>
      <c r="Y5750">
        <v>0.66779299999999997</v>
      </c>
      <c r="Z5750">
        <v>6.206306E-3</v>
      </c>
      <c r="AA5750">
        <v>0.74432109999999996</v>
      </c>
      <c r="AB5750">
        <v>25</v>
      </c>
      <c r="AC5750">
        <v>6.6159999999999801</v>
      </c>
      <c r="AD5750">
        <v>-1.053598975309</v>
      </c>
      <c r="AE5750">
        <v>-17.219072999999899</v>
      </c>
      <c r="AF5750">
        <v>12.344389399553201</v>
      </c>
      <c r="AG5750">
        <v>-1.053598975309</v>
      </c>
      <c r="AH5750">
        <v>13.6262488220567</v>
      </c>
      <c r="AI5750">
        <v>93.279648418857903</v>
      </c>
      <c r="AJ5750">
        <v>47.825713351254798</v>
      </c>
      <c r="AK5750">
        <v>18.416532719520699</v>
      </c>
      <c r="AL5750">
        <v>80.994568345909499</v>
      </c>
      <c r="AM5750">
        <v>64.511916145946699</v>
      </c>
      <c r="AN5750">
        <v>1.0000000163773</v>
      </c>
    </row>
    <row r="5751" spans="1:40" x14ac:dyDescent="0.25">
      <c r="A5751" t="str">
        <f>"20190312173040280"</f>
        <v>20190312173040280</v>
      </c>
      <c r="B5751" t="str">
        <f>"1552383040273033"</f>
        <v>1552383040273033</v>
      </c>
      <c r="C5751" t="s">
        <v>40</v>
      </c>
      <c r="D5751">
        <v>3.3667400000000001</v>
      </c>
      <c r="E5751">
        <v>0.61860499999999996</v>
      </c>
      <c r="F5751" t="s">
        <v>41</v>
      </c>
      <c r="G5751">
        <v>-305.44810000000001</v>
      </c>
      <c r="H5751" s="1">
        <v>-3.8527460000000004E-6</v>
      </c>
      <c r="I5751">
        <v>-4.0335839999999896</v>
      </c>
      <c r="J5751">
        <v>-312.00259999999997</v>
      </c>
      <c r="K5751">
        <v>1.0534410000000001</v>
      </c>
      <c r="L5751">
        <v>13.41507</v>
      </c>
      <c r="M5751">
        <v>0.88971139999999904</v>
      </c>
      <c r="N5751">
        <v>0</v>
      </c>
      <c r="O5751">
        <v>-0.45625290000000002</v>
      </c>
      <c r="P5751">
        <v>0.60293469999999905</v>
      </c>
      <c r="Q5751">
        <v>0.1506477</v>
      </c>
      <c r="R5751">
        <v>-0.78343809999999903</v>
      </c>
      <c r="S5751">
        <v>1.1399840000000001</v>
      </c>
      <c r="T5751">
        <v>-0.18008969999999999</v>
      </c>
      <c r="U5751">
        <v>-2.9935610000000001</v>
      </c>
      <c r="V5751">
        <v>0.42508020000000002</v>
      </c>
      <c r="W5751">
        <v>0.15654219999999999</v>
      </c>
      <c r="X5751">
        <v>0.89151630000000004</v>
      </c>
      <c r="Y5751">
        <v>0.66885360000000005</v>
      </c>
      <c r="Z5751">
        <v>6.4561810000000001E-3</v>
      </c>
      <c r="AA5751">
        <v>0.74336619999999998</v>
      </c>
      <c r="AB5751">
        <v>25</v>
      </c>
      <c r="AC5751">
        <v>6.55449999999996</v>
      </c>
      <c r="AD5751">
        <v>-1.0534448527460001</v>
      </c>
      <c r="AE5751">
        <v>-17.448654000000001</v>
      </c>
      <c r="AF5751">
        <v>12.4953906874838</v>
      </c>
      <c r="AG5751">
        <v>-1.0534448527460001</v>
      </c>
      <c r="AH5751">
        <v>13.750392921986499</v>
      </c>
      <c r="AI5751">
        <v>93.245108500951503</v>
      </c>
      <c r="AJ5751">
        <v>47.737643615585696</v>
      </c>
      <c r="AK5751">
        <v>18.609616868695898</v>
      </c>
      <c r="AL5751">
        <v>80.993750016162494</v>
      </c>
      <c r="AM5751">
        <v>64.507920062379497</v>
      </c>
      <c r="AN5751">
        <v>0.99999997498928395</v>
      </c>
    </row>
    <row r="5752" spans="1:40" x14ac:dyDescent="0.25">
      <c r="A5752" t="str">
        <f>"20190312173040291"</f>
        <v>20190312173040291</v>
      </c>
      <c r="B5752" t="str">
        <f>"1552383040283767"</f>
        <v>1552383040283767</v>
      </c>
      <c r="C5752" t="s">
        <v>40</v>
      </c>
      <c r="D5752">
        <v>3.3804970000000001</v>
      </c>
      <c r="E5752">
        <v>0.61906229999999995</v>
      </c>
      <c r="F5752" t="s">
        <v>41</v>
      </c>
      <c r="G5752">
        <v>-305.42160000000001</v>
      </c>
      <c r="H5752" s="1">
        <v>-3.7858650000000001E-6</v>
      </c>
      <c r="I5752">
        <v>-4.1954919999999998</v>
      </c>
      <c r="J5752">
        <v>-311.9006</v>
      </c>
      <c r="K5752">
        <v>1.0533129999999999</v>
      </c>
      <c r="L5752">
        <v>13.356350000000001</v>
      </c>
      <c r="M5752">
        <v>0.88725189999999998</v>
      </c>
      <c r="N5752">
        <v>0</v>
      </c>
      <c r="O5752">
        <v>-0.46101979999999998</v>
      </c>
      <c r="P5752">
        <v>0.5987074</v>
      </c>
      <c r="Q5752">
        <v>0.1507742</v>
      </c>
      <c r="R5752">
        <v>-0.78664909999999999</v>
      </c>
      <c r="S5752">
        <v>1.1213679999999999</v>
      </c>
      <c r="T5752">
        <v>-0.17950239999999901</v>
      </c>
      <c r="U5752">
        <v>-3.0007630000000001</v>
      </c>
      <c r="V5752">
        <v>0.42509130000000001</v>
      </c>
      <c r="W5752">
        <v>0.1565742</v>
      </c>
      <c r="X5752">
        <v>0.8915054</v>
      </c>
      <c r="Y5752">
        <v>0.66950399999999999</v>
      </c>
      <c r="Z5752">
        <v>6.7295899999999997E-3</v>
      </c>
      <c r="AA5752">
        <v>0.74277799999999905</v>
      </c>
      <c r="AB5752">
        <v>25</v>
      </c>
      <c r="AC5752">
        <v>6.4789999999999797</v>
      </c>
      <c r="AD5752">
        <v>-1.0533167858650001</v>
      </c>
      <c r="AE5752">
        <v>-17.551842000000001</v>
      </c>
      <c r="AF5752">
        <v>12.547728365813599</v>
      </c>
      <c r="AG5752">
        <v>-1.0533167858650001</v>
      </c>
      <c r="AH5752">
        <v>13.7982123512488</v>
      </c>
      <c r="AI5752">
        <v>93.2324600542795</v>
      </c>
      <c r="AJ5752">
        <v>47.717448006908903</v>
      </c>
      <c r="AK5752">
        <v>18.6800863885525</v>
      </c>
      <c r="AL5752">
        <v>80.991893758465196</v>
      </c>
      <c r="AM5752">
        <v>64.507066683495793</v>
      </c>
      <c r="AN5752">
        <v>0.99999998583524397</v>
      </c>
    </row>
    <row r="5753" spans="1:40" x14ac:dyDescent="0.25">
      <c r="A5753" t="str">
        <f>"20190312173040304"</f>
        <v>20190312173040304</v>
      </c>
      <c r="B5753" t="str">
        <f>"1552383040293528"</f>
        <v>1552383040293528</v>
      </c>
      <c r="C5753" t="s">
        <v>40</v>
      </c>
      <c r="D5753">
        <v>3.3680889999999999</v>
      </c>
      <c r="E5753">
        <v>0.61923329999999999</v>
      </c>
      <c r="F5753" t="s">
        <v>41</v>
      </c>
      <c r="G5753">
        <v>-305.3734</v>
      </c>
      <c r="H5753" s="1">
        <v>-3.674733E-6</v>
      </c>
      <c r="I5753">
        <v>-4.4626340000000004</v>
      </c>
      <c r="J5753">
        <v>-311.77640000000002</v>
      </c>
      <c r="K5753">
        <v>1.053164</v>
      </c>
      <c r="L5753">
        <v>13.284269999999999</v>
      </c>
      <c r="M5753">
        <v>0.88420540000000003</v>
      </c>
      <c r="N5753">
        <v>0</v>
      </c>
      <c r="O5753">
        <v>-0.46683859999999999</v>
      </c>
      <c r="P5753">
        <v>0.59338579999999996</v>
      </c>
      <c r="Q5753">
        <v>0.150833299999999</v>
      </c>
      <c r="R5753">
        <v>-0.79065920000000001</v>
      </c>
      <c r="S5753">
        <v>1.1021729999999901</v>
      </c>
      <c r="T5753">
        <v>-0.17786099999999999</v>
      </c>
      <c r="U5753">
        <v>-3.0088810000000001</v>
      </c>
      <c r="V5753">
        <v>0.4252571</v>
      </c>
      <c r="W5753">
        <v>0.15651579999999901</v>
      </c>
      <c r="X5753">
        <v>0.89143660000000002</v>
      </c>
      <c r="Y5753">
        <v>0.6694639</v>
      </c>
      <c r="Z5753">
        <v>7.0553009999999999E-3</v>
      </c>
      <c r="AA5753">
        <v>0.74281109999999995</v>
      </c>
      <c r="AB5753">
        <v>25</v>
      </c>
      <c r="AC5753">
        <v>6.4030000000000102</v>
      </c>
      <c r="AD5753">
        <v>-1.0531676747330001</v>
      </c>
      <c r="AE5753">
        <v>-17.746904000000001</v>
      </c>
      <c r="AF5753">
        <v>12.664817246600601</v>
      </c>
      <c r="AG5753">
        <v>-1.0531676747330001</v>
      </c>
      <c r="AH5753">
        <v>13.9048702297085</v>
      </c>
      <c r="AI5753">
        <v>93.204962286603404</v>
      </c>
      <c r="AJ5753">
        <v>47.672153431411502</v>
      </c>
      <c r="AK5753">
        <v>18.837520382097299</v>
      </c>
      <c r="AL5753">
        <v>80.995281768852493</v>
      </c>
      <c r="AM5753">
        <v>64.496667160033297</v>
      </c>
      <c r="AN5753">
        <v>1.0000000042848001</v>
      </c>
    </row>
    <row r="5754" spans="1:40" x14ac:dyDescent="0.25">
      <c r="A5754" t="str">
        <f>"20190312173040315"</f>
        <v>20190312173040315</v>
      </c>
      <c r="B5754" t="str">
        <f>"1552383040303288"</f>
        <v>1552383040303288</v>
      </c>
      <c r="C5754" t="s">
        <v>40</v>
      </c>
      <c r="D5754">
        <v>3.3662230000000002</v>
      </c>
      <c r="E5754">
        <v>0.61927089999999996</v>
      </c>
      <c r="F5754" t="s">
        <v>41</v>
      </c>
      <c r="G5754">
        <v>-305.351</v>
      </c>
      <c r="H5754" s="1">
        <v>-3.600482E-6</v>
      </c>
      <c r="I5754">
        <v>-4.645645</v>
      </c>
      <c r="J5754">
        <v>-311.66149999999999</v>
      </c>
      <c r="K5754">
        <v>1.0530389999999901</v>
      </c>
      <c r="L5754">
        <v>13.2160299999999</v>
      </c>
      <c r="M5754">
        <v>0.88130379999999997</v>
      </c>
      <c r="N5754">
        <v>0</v>
      </c>
      <c r="O5754">
        <v>-0.47229599999999999</v>
      </c>
      <c r="P5754">
        <v>0.5885918</v>
      </c>
      <c r="Q5754">
        <v>0.1511295</v>
      </c>
      <c r="R5754">
        <v>-0.79417899999999997</v>
      </c>
      <c r="S5754">
        <v>1.0810850000000001</v>
      </c>
      <c r="T5754">
        <v>-0.1771981</v>
      </c>
      <c r="U5754">
        <v>-3.0167540000000002</v>
      </c>
      <c r="V5754">
        <v>0.42510999999999999</v>
      </c>
      <c r="W5754">
        <v>0.15671789999999999</v>
      </c>
      <c r="X5754">
        <v>0.89147119999999902</v>
      </c>
      <c r="Y5754">
        <v>0.6700969</v>
      </c>
      <c r="Z5754">
        <v>7.3678340000000002E-3</v>
      </c>
      <c r="AA5754">
        <v>0.74223709999999998</v>
      </c>
      <c r="AB5754">
        <v>25</v>
      </c>
      <c r="AC5754">
        <v>6.3104999999999896</v>
      </c>
      <c r="AD5754">
        <v>-1.0530426004819999</v>
      </c>
      <c r="AE5754">
        <v>-17.861674999999899</v>
      </c>
      <c r="AF5754">
        <v>12.723354677781501</v>
      </c>
      <c r="AG5754">
        <v>-1.0530426004819999</v>
      </c>
      <c r="AH5754">
        <v>13.956021274286901</v>
      </c>
      <c r="AI5754">
        <v>93.191503738557302</v>
      </c>
      <c r="AJ5754">
        <v>47.645354300619402</v>
      </c>
      <c r="AK5754">
        <v>18.914628803743501</v>
      </c>
      <c r="AL5754">
        <v>80.983557173342803</v>
      </c>
      <c r="AM5754">
        <v>64.505233542134704</v>
      </c>
      <c r="AN5754">
        <v>0.999999956354924</v>
      </c>
    </row>
    <row r="5755" spans="1:40" x14ac:dyDescent="0.25">
      <c r="A5755" t="str">
        <f>"20190312173040327"</f>
        <v>20190312173040327</v>
      </c>
      <c r="B5755" t="str">
        <f>"1552383040323784"</f>
        <v>1552383040323784</v>
      </c>
      <c r="C5755" t="s">
        <v>40</v>
      </c>
      <c r="D5755">
        <v>3.460566</v>
      </c>
      <c r="E5755">
        <v>0.61921939999999998</v>
      </c>
      <c r="F5755" t="s">
        <v>41</v>
      </c>
      <c r="G5755">
        <v>-305.24369999999999</v>
      </c>
      <c r="H5755" s="1">
        <v>-3.4266459999999999E-6</v>
      </c>
      <c r="I5755">
        <v>-5.0487669999999998</v>
      </c>
      <c r="J5755">
        <v>-311.55380000000002</v>
      </c>
      <c r="K5755">
        <v>1.052926</v>
      </c>
      <c r="L5755">
        <v>13.15155</v>
      </c>
      <c r="M5755">
        <v>0.87853789999999998</v>
      </c>
      <c r="N5755">
        <v>0</v>
      </c>
      <c r="O5755">
        <v>-0.47742259999999997</v>
      </c>
      <c r="P5755">
        <v>0.58387579999999994</v>
      </c>
      <c r="Q5755">
        <v>0.15130360000000001</v>
      </c>
      <c r="R5755">
        <v>-0.79761919999999897</v>
      </c>
      <c r="S5755">
        <v>1.062317</v>
      </c>
      <c r="T5755">
        <v>-0.17430850000000001</v>
      </c>
      <c r="U5755">
        <v>-3.0233460000000001</v>
      </c>
      <c r="V5755">
        <v>0.42518640000000002</v>
      </c>
      <c r="W5755">
        <v>0.15680079999999999</v>
      </c>
      <c r="X5755">
        <v>0.891420199999999</v>
      </c>
      <c r="Y5755">
        <v>0.6703945</v>
      </c>
      <c r="Z5755">
        <v>7.5734740000000002E-3</v>
      </c>
      <c r="AA5755">
        <v>0.74196619999999902</v>
      </c>
      <c r="AB5755">
        <v>25</v>
      </c>
      <c r="AC5755">
        <v>6.3101000000000296</v>
      </c>
      <c r="AD5755">
        <v>-1.0529294266460001</v>
      </c>
      <c r="AE5755">
        <v>-18.200316999999998</v>
      </c>
      <c r="AF5755">
        <v>12.939972417644499</v>
      </c>
      <c r="AG5755">
        <v>-1.0529294266460001</v>
      </c>
      <c r="AH5755">
        <v>14.1922017932575</v>
      </c>
      <c r="AI5755">
        <v>93.138019955944102</v>
      </c>
      <c r="AJ5755">
        <v>47.642492995041302</v>
      </c>
      <c r="AK5755">
        <v>19.234607827752502</v>
      </c>
      <c r="AL5755">
        <v>80.978748012804601</v>
      </c>
      <c r="AM5755">
        <v>64.499959406484706</v>
      </c>
      <c r="AN5755">
        <v>0.999999969296819</v>
      </c>
    </row>
    <row r="5756" spans="1:40" x14ac:dyDescent="0.25">
      <c r="A5756" t="str">
        <f>"20190312173040341"</f>
        <v>20190312173040341</v>
      </c>
      <c r="B5756" t="str">
        <f>"1552383040333544"</f>
        <v>1552383040333544</v>
      </c>
      <c r="C5756" t="s">
        <v>40</v>
      </c>
      <c r="D5756">
        <v>3.4968219999999999</v>
      </c>
      <c r="E5756">
        <v>0.61092819999999903</v>
      </c>
      <c r="F5756" t="s">
        <v>41</v>
      </c>
      <c r="G5756">
        <v>-305.1816</v>
      </c>
      <c r="H5756" s="1">
        <v>-3.3088969999999999E-6</v>
      </c>
      <c r="I5756">
        <v>-5.3267040000000003</v>
      </c>
      <c r="J5756">
        <v>-311.41739999999999</v>
      </c>
      <c r="K5756">
        <v>1.0527949999999999</v>
      </c>
      <c r="L5756">
        <v>13.06851</v>
      </c>
      <c r="M5756">
        <v>0.87495219999999996</v>
      </c>
      <c r="N5756">
        <v>0</v>
      </c>
      <c r="O5756">
        <v>-0.48396499999999998</v>
      </c>
      <c r="P5756">
        <v>0.57784179999999996</v>
      </c>
      <c r="Q5756">
        <v>0.15158379999999999</v>
      </c>
      <c r="R5756">
        <v>-0.80194880000000002</v>
      </c>
      <c r="S5756">
        <v>1.0446169999999999</v>
      </c>
      <c r="T5756">
        <v>-0.17261219999999999</v>
      </c>
      <c r="U5756">
        <v>-3.029236</v>
      </c>
      <c r="V5756">
        <v>0.42523620000000001</v>
      </c>
      <c r="W5756">
        <v>0.15697359999999999</v>
      </c>
      <c r="X5756">
        <v>0.89136610000000005</v>
      </c>
      <c r="Y5756">
        <v>0.66919010000000001</v>
      </c>
      <c r="Z5756">
        <v>7.9707340000000002E-3</v>
      </c>
      <c r="AA5756">
        <v>0.7430485</v>
      </c>
      <c r="AB5756">
        <v>25</v>
      </c>
      <c r="AC5756">
        <v>6.2357999999999798</v>
      </c>
      <c r="AD5756">
        <v>-1.0527983088969901</v>
      </c>
      <c r="AE5756">
        <v>-18.395213999999999</v>
      </c>
      <c r="AF5756">
        <v>13.0402596522929</v>
      </c>
      <c r="AG5756">
        <v>-1.0527983088969901</v>
      </c>
      <c r="AH5756">
        <v>14.318299140430399</v>
      </c>
      <c r="AI5756">
        <v>93.111637380369004</v>
      </c>
      <c r="AJ5756">
        <v>47.674595295566803</v>
      </c>
      <c r="AK5756">
        <v>19.395113981446102</v>
      </c>
      <c r="AL5756">
        <v>80.968723717184702</v>
      </c>
      <c r="AM5756">
        <v>64.496000496618294</v>
      </c>
      <c r="AN5756">
        <v>1.0000000305582999</v>
      </c>
    </row>
    <row r="5757" spans="1:40" x14ac:dyDescent="0.25">
      <c r="A5757" t="str">
        <f>"20190312173040355"</f>
        <v>20190312173040355</v>
      </c>
      <c r="B5757" t="str">
        <f>"1552383040353065"</f>
        <v>1552383040353065</v>
      </c>
      <c r="C5757" t="s">
        <v>40</v>
      </c>
      <c r="D5757">
        <v>3.3165279999999999</v>
      </c>
      <c r="E5757">
        <v>0.61149330000000002</v>
      </c>
      <c r="F5757" t="s">
        <v>41</v>
      </c>
      <c r="G5757">
        <v>-305.80599999999998</v>
      </c>
      <c r="H5757" s="1">
        <v>-4.4829270000000004E-6</v>
      </c>
      <c r="I5757">
        <v>-2.557855</v>
      </c>
      <c r="J5757">
        <v>-311.27820000000003</v>
      </c>
      <c r="K5757">
        <v>1.052673</v>
      </c>
      <c r="L5757">
        <v>12.98193</v>
      </c>
      <c r="M5757">
        <v>0.87118499999999999</v>
      </c>
      <c r="N5757">
        <v>0</v>
      </c>
      <c r="O5757">
        <v>-0.49071579999999898</v>
      </c>
      <c r="P5757">
        <v>0.57201150000000001</v>
      </c>
      <c r="Q5757">
        <v>0.1517898</v>
      </c>
      <c r="R5757">
        <v>-0.80607859999999998</v>
      </c>
      <c r="S5757">
        <v>1.078125</v>
      </c>
      <c r="T5757">
        <v>-0.20227400000000001</v>
      </c>
      <c r="U5757">
        <v>-3.0022890000000002</v>
      </c>
      <c r="V5757">
        <v>0.42479359999999999</v>
      </c>
      <c r="W5757">
        <v>0.15709039999999999</v>
      </c>
      <c r="X5757">
        <v>0.89155649999999997</v>
      </c>
      <c r="Y5757">
        <v>0.65381579999999995</v>
      </c>
      <c r="Z5757">
        <v>1.054504E-2</v>
      </c>
      <c r="AA5757">
        <v>0.75658029999999998</v>
      </c>
      <c r="AB5757">
        <v>25</v>
      </c>
      <c r="AC5757">
        <v>5.4722000000000399</v>
      </c>
      <c r="AD5757">
        <v>-1.052677482927</v>
      </c>
      <c r="AE5757">
        <v>-15.539785</v>
      </c>
      <c r="AF5757">
        <v>10.8098743803252</v>
      </c>
      <c r="AG5757">
        <v>-1.052677482927</v>
      </c>
      <c r="AH5757">
        <v>12.343976074664999</v>
      </c>
      <c r="AI5757">
        <v>93.670825739555298</v>
      </c>
      <c r="AJ5757">
        <v>48.7906985580399</v>
      </c>
      <c r="AK5757">
        <v>16.4418751769187</v>
      </c>
      <c r="AL5757">
        <v>80.961947172993703</v>
      </c>
      <c r="AM5757">
        <v>64.523932477159704</v>
      </c>
      <c r="AN5757">
        <v>0.99999999453268495</v>
      </c>
    </row>
    <row r="5758" spans="1:40" x14ac:dyDescent="0.25">
      <c r="A5758" t="str">
        <f>"20190312173040371"</f>
        <v>20190312173040371</v>
      </c>
      <c r="B5758" t="str">
        <f>"1552383040363330"</f>
        <v>1552383040363330</v>
      </c>
      <c r="C5758" t="s">
        <v>40</v>
      </c>
      <c r="D5758">
        <v>3.4140489999999999</v>
      </c>
      <c r="E5758">
        <v>0.61670369999999997</v>
      </c>
      <c r="F5758" t="s">
        <v>41</v>
      </c>
      <c r="G5758">
        <v>-305.59620000000001</v>
      </c>
      <c r="H5758" s="1">
        <v>-4.1681489999999998E-6</v>
      </c>
      <c r="I5758">
        <v>-3.280656</v>
      </c>
      <c r="J5758">
        <v>-311.13299999999998</v>
      </c>
      <c r="K5758">
        <v>1.0525519999999999</v>
      </c>
      <c r="L5758">
        <v>12.8902</v>
      </c>
      <c r="M5758">
        <v>0.86715489999999995</v>
      </c>
      <c r="N5758">
        <v>0</v>
      </c>
      <c r="O5758">
        <v>-0.49780479999999999</v>
      </c>
      <c r="P5758">
        <v>0.565884099999999</v>
      </c>
      <c r="Q5758">
        <v>0.15224799999999999</v>
      </c>
      <c r="R5758">
        <v>-0.81030630000000003</v>
      </c>
      <c r="S5758">
        <v>1.0522769999999999</v>
      </c>
      <c r="T5758">
        <v>-0.1949505</v>
      </c>
      <c r="U5758">
        <v>-3.011749</v>
      </c>
      <c r="V5758">
        <v>0.42423250000000001</v>
      </c>
      <c r="W5758">
        <v>0.15746189999999999</v>
      </c>
      <c r="X5758">
        <v>0.8917581</v>
      </c>
      <c r="Y5758">
        <v>0.65420509999999998</v>
      </c>
      <c r="Z5758">
        <v>1.067186E-2</v>
      </c>
      <c r="AA5758">
        <v>0.75624190000000002</v>
      </c>
      <c r="AB5758">
        <v>25</v>
      </c>
      <c r="AC5758">
        <v>5.5367999999999702</v>
      </c>
      <c r="AD5758">
        <v>-1.0525561681489899</v>
      </c>
      <c r="AE5758">
        <v>-16.170856000000001</v>
      </c>
      <c r="AF5758">
        <v>11.2251358972464</v>
      </c>
      <c r="AG5758">
        <v>-1.0525561681489899</v>
      </c>
      <c r="AH5758">
        <v>12.8041342244831</v>
      </c>
      <c r="AI5758">
        <v>93.537158229256306</v>
      </c>
      <c r="AJ5758">
        <v>48.7595840246032</v>
      </c>
      <c r="AK5758">
        <v>17.060404556672701</v>
      </c>
      <c r="AL5758">
        <v>80.940393474797602</v>
      </c>
      <c r="AM5758">
        <v>64.5583529657344</v>
      </c>
      <c r="AN5758">
        <v>0.99999998646173405</v>
      </c>
    </row>
    <row r="5759" spans="1:40" x14ac:dyDescent="0.25">
      <c r="A5759" t="str">
        <f>"20190312173040386"</f>
        <v>20190312173040386</v>
      </c>
      <c r="B5759" t="str">
        <f>"1552383040373090"</f>
        <v>1552383040373090</v>
      </c>
      <c r="C5759" t="s">
        <v>40</v>
      </c>
      <c r="D5759">
        <v>3.365558</v>
      </c>
      <c r="E5759">
        <v>0.61630090000000004</v>
      </c>
      <c r="F5759" t="s">
        <v>41</v>
      </c>
      <c r="G5759">
        <v>-304.93540000000002</v>
      </c>
      <c r="H5759" s="1">
        <v>-2.909791E-6</v>
      </c>
      <c r="I5759">
        <v>-6.0850679999999997</v>
      </c>
      <c r="J5759">
        <v>-310.98820000000001</v>
      </c>
      <c r="K5759">
        <v>1.05244</v>
      </c>
      <c r="L5759">
        <v>12.79715</v>
      </c>
      <c r="M5759">
        <v>0.86302849999999998</v>
      </c>
      <c r="N5759">
        <v>0</v>
      </c>
      <c r="O5759">
        <v>-0.50492590000000004</v>
      </c>
      <c r="P5759">
        <v>0.55938880000000002</v>
      </c>
      <c r="Q5759">
        <v>0.15271419999999999</v>
      </c>
      <c r="R5759">
        <v>-0.814716199999999</v>
      </c>
      <c r="S5759">
        <v>0.99307250000000002</v>
      </c>
      <c r="T5759">
        <v>-0.1686559</v>
      </c>
      <c r="U5759">
        <v>-3.0404969999999998</v>
      </c>
      <c r="V5759">
        <v>0.4239716</v>
      </c>
      <c r="W5759">
        <v>0.15783820000000001</v>
      </c>
      <c r="X5759">
        <v>0.89181569999999899</v>
      </c>
      <c r="Y5759">
        <v>0.66346039999999995</v>
      </c>
      <c r="Z5759">
        <v>9.3478820000000001E-3</v>
      </c>
      <c r="AA5759">
        <v>0.74815299999999996</v>
      </c>
      <c r="AB5759">
        <v>25</v>
      </c>
      <c r="AC5759">
        <v>6.0527999999999897</v>
      </c>
      <c r="AD5759">
        <v>-1.052442909791</v>
      </c>
      <c r="AE5759">
        <v>-18.882217999999899</v>
      </c>
      <c r="AF5759">
        <v>13.204012667588</v>
      </c>
      <c r="AG5759">
        <v>-1.052442909791</v>
      </c>
      <c r="AH5759">
        <v>14.718106124295099</v>
      </c>
      <c r="AI5759">
        <v>93.046776632537203</v>
      </c>
      <c r="AJ5759">
        <v>48.1038578074605</v>
      </c>
      <c r="AK5759">
        <v>19.800914991237399</v>
      </c>
      <c r="AL5759">
        <v>80.918560434906595</v>
      </c>
      <c r="AM5759">
        <v>64.573458887799902</v>
      </c>
      <c r="AN5759">
        <v>1.0000000288761399</v>
      </c>
    </row>
    <row r="5760" spans="1:40" x14ac:dyDescent="0.25">
      <c r="A5760" t="str">
        <f>"20190312173040402"</f>
        <v>20190312173040402</v>
      </c>
      <c r="B5760" t="str">
        <f>"1552383040393587"</f>
        <v>1552383040393587</v>
      </c>
      <c r="C5760" t="s">
        <v>40</v>
      </c>
      <c r="D5760">
        <v>3.3710059999999999</v>
      </c>
      <c r="E5760">
        <v>0.61545469999999902</v>
      </c>
      <c r="F5760" t="s">
        <v>41</v>
      </c>
      <c r="G5760">
        <v>-304.82470000000001</v>
      </c>
      <c r="H5760" s="1">
        <v>-2.668746E-6</v>
      </c>
      <c r="I5760">
        <v>-6.5327289999999998</v>
      </c>
      <c r="J5760">
        <v>-310.83260000000001</v>
      </c>
      <c r="K5760">
        <v>1.0523309999999999</v>
      </c>
      <c r="L5760">
        <v>12.695040000000001</v>
      </c>
      <c r="M5760">
        <v>0.85846209999999901</v>
      </c>
      <c r="N5760">
        <v>0</v>
      </c>
      <c r="O5760">
        <v>-0.51265280000000002</v>
      </c>
      <c r="P5760">
        <v>0.55259590000000003</v>
      </c>
      <c r="Q5760">
        <v>0.1532753</v>
      </c>
      <c r="R5760">
        <v>-0.81923449999999998</v>
      </c>
      <c r="S5760">
        <v>0.97137450000000003</v>
      </c>
      <c r="T5760">
        <v>-0.1658665</v>
      </c>
      <c r="U5760">
        <v>-3.0464169999999999</v>
      </c>
      <c r="V5760">
        <v>0.42332009999999998</v>
      </c>
      <c r="W5760">
        <v>0.1583184</v>
      </c>
      <c r="X5760">
        <v>0.89203999999999894</v>
      </c>
      <c r="Y5760">
        <v>0.66201529999999997</v>
      </c>
      <c r="Z5760">
        <v>9.7358689999999994E-3</v>
      </c>
      <c r="AA5760">
        <v>0.74942699999999995</v>
      </c>
      <c r="AB5760">
        <v>25</v>
      </c>
      <c r="AC5760">
        <v>6.0079000000000002</v>
      </c>
      <c r="AD5760">
        <v>-1.0523336687460001</v>
      </c>
      <c r="AE5760">
        <v>-19.227768999999999</v>
      </c>
      <c r="AF5760">
        <v>13.391343946370601</v>
      </c>
      <c r="AG5760">
        <v>-1.0523336687460001</v>
      </c>
      <c r="AH5760">
        <v>14.975583172978901</v>
      </c>
      <c r="AI5760">
        <v>92.998512276556895</v>
      </c>
      <c r="AJ5760">
        <v>48.196540328213203</v>
      </c>
      <c r="AK5760">
        <v>20.1172460891441</v>
      </c>
      <c r="AL5760">
        <v>80.890696322412197</v>
      </c>
      <c r="AM5760">
        <v>64.613190251675405</v>
      </c>
      <c r="AN5760">
        <v>0.999999992221284</v>
      </c>
    </row>
    <row r="5761" spans="1:40" x14ac:dyDescent="0.25">
      <c r="A5761" t="str">
        <f>"20190312173040415"</f>
        <v>20190312173040415</v>
      </c>
      <c r="B5761" t="str">
        <f>"1552383040403347"</f>
        <v>1552383040403347</v>
      </c>
      <c r="C5761" t="s">
        <v>40</v>
      </c>
      <c r="D5761">
        <v>3.4391600000000002</v>
      </c>
      <c r="E5761">
        <v>0.61545469999999902</v>
      </c>
      <c r="F5761" t="s">
        <v>41</v>
      </c>
      <c r="G5761">
        <v>-304.6601</v>
      </c>
      <c r="H5761" s="1">
        <v>-2.3583049999999999E-6</v>
      </c>
      <c r="I5761">
        <v>-7.0968070000000001</v>
      </c>
      <c r="J5761">
        <v>-310.70999999999998</v>
      </c>
      <c r="K5761">
        <v>1.052251</v>
      </c>
      <c r="L5761">
        <v>12.61276</v>
      </c>
      <c r="M5761">
        <v>0.85475650000000003</v>
      </c>
      <c r="N5761">
        <v>0</v>
      </c>
      <c r="O5761">
        <v>-0.51880879999999996</v>
      </c>
      <c r="P5761">
        <v>0.54687739999999996</v>
      </c>
      <c r="Q5761">
        <v>0.1536371</v>
      </c>
      <c r="R5761">
        <v>-0.82299519999999904</v>
      </c>
      <c r="S5761">
        <v>0.9513855</v>
      </c>
      <c r="T5761">
        <v>-0.162198799999999</v>
      </c>
      <c r="U5761">
        <v>-3.0505680000000002</v>
      </c>
      <c r="V5761">
        <v>0.4230855</v>
      </c>
      <c r="W5761">
        <v>0.15861600000000001</v>
      </c>
      <c r="X5761">
        <v>0.89209839999999996</v>
      </c>
      <c r="Y5761">
        <v>0.66140639999999995</v>
      </c>
      <c r="Z5761">
        <v>9.9304690000000008E-3</v>
      </c>
      <c r="AA5761">
        <v>0.74996200000000002</v>
      </c>
      <c r="AB5761">
        <v>25</v>
      </c>
      <c r="AC5761">
        <v>6.0498999999999796</v>
      </c>
      <c r="AD5761">
        <v>-1.052253358305</v>
      </c>
      <c r="AE5761">
        <v>-19.709567</v>
      </c>
      <c r="AF5761">
        <v>13.674088434211001</v>
      </c>
      <c r="AG5761">
        <v>-1.052253358305</v>
      </c>
      <c r="AH5761">
        <v>15.3584431229375</v>
      </c>
      <c r="AI5761">
        <v>92.929306088894904</v>
      </c>
      <c r="AJ5761">
        <v>48.320356573666103</v>
      </c>
      <c r="AK5761">
        <v>20.590524684844599</v>
      </c>
      <c r="AL5761">
        <v>80.873426640070093</v>
      </c>
      <c r="AM5761">
        <v>64.626942492983702</v>
      </c>
      <c r="AN5761">
        <v>0.99999996552440396</v>
      </c>
    </row>
    <row r="5762" spans="1:40" x14ac:dyDescent="0.25">
      <c r="A5762" t="str">
        <f>"20190312173040428"</f>
        <v>20190312173040428</v>
      </c>
      <c r="B5762" t="str">
        <f>"1552383040422866"</f>
        <v>1552383040422866</v>
      </c>
      <c r="C5762" t="s">
        <v>40</v>
      </c>
      <c r="D5762">
        <v>3.3729439999999999</v>
      </c>
      <c r="E5762">
        <v>0.61245169999999904</v>
      </c>
      <c r="F5762" t="s">
        <v>41</v>
      </c>
      <c r="G5762">
        <v>-304.63319999999999</v>
      </c>
      <c r="H5762" s="1">
        <v>-2.2272640000000001E-6</v>
      </c>
      <c r="I5762">
        <v>-7.3588740000000001</v>
      </c>
      <c r="J5762">
        <v>-310.589</v>
      </c>
      <c r="K5762">
        <v>1.0521720000000001</v>
      </c>
      <c r="L5762">
        <v>12.53055</v>
      </c>
      <c r="M5762">
        <v>0.85102500000000003</v>
      </c>
      <c r="N5762">
        <v>0</v>
      </c>
      <c r="O5762">
        <v>-0.52490789999999998</v>
      </c>
      <c r="P5762">
        <v>0.54119280000000003</v>
      </c>
      <c r="Q5762">
        <v>0.15389349999999999</v>
      </c>
      <c r="R5762">
        <v>-0.82669649999999995</v>
      </c>
      <c r="S5762">
        <v>0.93020630000000004</v>
      </c>
      <c r="T5762">
        <v>-0.16107369999999999</v>
      </c>
      <c r="U5762">
        <v>-3.057159</v>
      </c>
      <c r="V5762">
        <v>0.4228326</v>
      </c>
      <c r="W5762">
        <v>0.1588109</v>
      </c>
      <c r="X5762">
        <v>0.89218369999999902</v>
      </c>
      <c r="Y5762">
        <v>0.66125690000000004</v>
      </c>
      <c r="Z5762">
        <v>1.024457E-2</v>
      </c>
      <c r="AA5762">
        <v>0.75008949999999996</v>
      </c>
      <c r="AB5762">
        <v>25</v>
      </c>
      <c r="AC5762">
        <v>5.9558000000000098</v>
      </c>
      <c r="AD5762">
        <v>-1.05217422726399</v>
      </c>
      <c r="AE5762">
        <v>-19.889424000000002</v>
      </c>
      <c r="AF5762">
        <v>13.7663696397008</v>
      </c>
      <c r="AG5762">
        <v>-1.05217422726399</v>
      </c>
      <c r="AH5762">
        <v>15.470687347506299</v>
      </c>
      <c r="AI5762">
        <v>92.908584703564401</v>
      </c>
      <c r="AJ5762">
        <v>48.336171243914997</v>
      </c>
      <c r="AK5762">
        <v>20.735529187018301</v>
      </c>
      <c r="AL5762">
        <v>80.862116943769394</v>
      </c>
      <c r="AM5762">
        <v>64.642324316699998</v>
      </c>
      <c r="AN5762">
        <v>1.00000003206362</v>
      </c>
    </row>
    <row r="5763" spans="1:40" x14ac:dyDescent="0.25">
      <c r="A5763" t="str">
        <f>"20190312173040441"</f>
        <v>20190312173040441</v>
      </c>
      <c r="B5763" t="str">
        <f>"1552383040433602"</f>
        <v>1552383040433602</v>
      </c>
      <c r="C5763" t="s">
        <v>40</v>
      </c>
      <c r="D5763">
        <v>3.4001070000000002</v>
      </c>
      <c r="E5763">
        <v>0.61247469999999904</v>
      </c>
      <c r="F5763" t="s">
        <v>41</v>
      </c>
      <c r="G5763">
        <v>-305.27280000000002</v>
      </c>
      <c r="H5763" s="1">
        <v>-3.491971E-6</v>
      </c>
      <c r="I5763">
        <v>-4.8920789999999998</v>
      </c>
      <c r="J5763">
        <v>-310.46480000000003</v>
      </c>
      <c r="K5763">
        <v>1.0520989999999999</v>
      </c>
      <c r="L5763">
        <v>12.444889999999999</v>
      </c>
      <c r="M5763">
        <v>0.84710609999999997</v>
      </c>
      <c r="N5763">
        <v>0</v>
      </c>
      <c r="O5763">
        <v>-0.53120990000000001</v>
      </c>
      <c r="P5763">
        <v>0.53511889999999995</v>
      </c>
      <c r="Q5763">
        <v>0.153941299999999</v>
      </c>
      <c r="R5763">
        <v>-0.83063229999999999</v>
      </c>
      <c r="S5763">
        <v>0.93167109999999997</v>
      </c>
      <c r="T5763">
        <v>-0.18439559999999999</v>
      </c>
      <c r="U5763">
        <v>-3.0533450000000002</v>
      </c>
      <c r="V5763">
        <v>0.422759</v>
      </c>
      <c r="W5763">
        <v>0.15879299999999999</v>
      </c>
      <c r="X5763">
        <v>0.89222169999999901</v>
      </c>
      <c r="Y5763">
        <v>0.65503239999999996</v>
      </c>
      <c r="Z5763">
        <v>1.24166E-2</v>
      </c>
      <c r="AA5763">
        <v>0.75549880000000003</v>
      </c>
      <c r="AB5763">
        <v>25</v>
      </c>
      <c r="AC5763">
        <v>5.1920000000000002</v>
      </c>
      <c r="AD5763">
        <v>-1.05210249197099</v>
      </c>
      <c r="AE5763">
        <v>-17.336969</v>
      </c>
      <c r="AF5763">
        <v>11.8893845902502</v>
      </c>
      <c r="AG5763">
        <v>-1.05210249197099</v>
      </c>
      <c r="AH5763">
        <v>13.5634518255993</v>
      </c>
      <c r="AI5763">
        <v>93.338338182798097</v>
      </c>
      <c r="AJ5763">
        <v>48.763000531365897</v>
      </c>
      <c r="AK5763">
        <v>18.067418493350001</v>
      </c>
      <c r="AL5763">
        <v>80.863155197992896</v>
      </c>
      <c r="AM5763">
        <v>64.647128385181006</v>
      </c>
      <c r="AN5763">
        <v>0.99999997544044406</v>
      </c>
    </row>
    <row r="5764" spans="1:40" x14ac:dyDescent="0.25">
      <c r="A5764" t="str">
        <f>"20190312173040453"</f>
        <v>20190312173040453</v>
      </c>
      <c r="B5764" t="str">
        <f>"1552383040443363"</f>
        <v>1552383040443363</v>
      </c>
      <c r="C5764" t="s">
        <v>40</v>
      </c>
      <c r="D5764">
        <v>3.3618809999999999</v>
      </c>
      <c r="E5764">
        <v>0.6122126</v>
      </c>
      <c r="F5764" t="s">
        <v>41</v>
      </c>
      <c r="G5764">
        <v>-305.19580000000002</v>
      </c>
      <c r="H5764" s="1">
        <v>-3.3248100000000002E-6</v>
      </c>
      <c r="I5764">
        <v>-5.2918099999999999</v>
      </c>
      <c r="J5764">
        <v>-310.3553</v>
      </c>
      <c r="K5764">
        <v>1.052038</v>
      </c>
      <c r="L5764">
        <v>12.367710000000001</v>
      </c>
      <c r="M5764">
        <v>0.84355709999999995</v>
      </c>
      <c r="N5764">
        <v>0</v>
      </c>
      <c r="O5764">
        <v>-0.53682859999999999</v>
      </c>
      <c r="P5764">
        <v>0.5298908</v>
      </c>
      <c r="Q5764">
        <v>0.15427189999999999</v>
      </c>
      <c r="R5764">
        <v>-0.83391610000000005</v>
      </c>
      <c r="S5764">
        <v>0.9089661</v>
      </c>
      <c r="T5764">
        <v>-0.18149979999999999</v>
      </c>
      <c r="U5764">
        <v>-3.0597840000000001</v>
      </c>
      <c r="V5764">
        <v>0.42240139999999998</v>
      </c>
      <c r="W5764">
        <v>0.15907689999999999</v>
      </c>
      <c r="X5764">
        <v>0.89234049999999998</v>
      </c>
      <c r="Y5764">
        <v>0.65560759999999996</v>
      </c>
      <c r="Z5764">
        <v>1.2597000000000001E-2</v>
      </c>
      <c r="AA5764">
        <v>0.75499669999999997</v>
      </c>
      <c r="AB5764">
        <v>25</v>
      </c>
      <c r="AC5764">
        <v>5.15949999999998</v>
      </c>
      <c r="AD5764">
        <v>-1.05204132481</v>
      </c>
      <c r="AE5764">
        <v>-17.659520000000001</v>
      </c>
      <c r="AF5764">
        <v>12.0888903783015</v>
      </c>
      <c r="AG5764">
        <v>-1.05204132481</v>
      </c>
      <c r="AH5764">
        <v>13.788946461912699</v>
      </c>
      <c r="AI5764">
        <v>93.283458289256799</v>
      </c>
      <c r="AJ5764">
        <v>48.758670772086099</v>
      </c>
      <c r="AK5764">
        <v>18.367991345196</v>
      </c>
      <c r="AL5764">
        <v>80.846679595944593</v>
      </c>
      <c r="AM5764">
        <v>64.668835017770306</v>
      </c>
      <c r="AN5764">
        <v>0.99999998538790902</v>
      </c>
    </row>
    <row r="5765" spans="1:40" x14ac:dyDescent="0.25">
      <c r="A5765" t="str">
        <f>"20190312173040464"</f>
        <v>20190312173040464</v>
      </c>
      <c r="B5765" t="str">
        <f>"1552383040453123"</f>
        <v>1552383040453123</v>
      </c>
      <c r="C5765" t="s">
        <v>40</v>
      </c>
      <c r="D5765">
        <v>3.368512</v>
      </c>
      <c r="E5765">
        <v>0.6120023</v>
      </c>
      <c r="F5765" t="s">
        <v>41</v>
      </c>
      <c r="G5765">
        <v>-305.10649999999998</v>
      </c>
      <c r="H5765" s="1">
        <v>-3.1462130000000002E-6</v>
      </c>
      <c r="I5765">
        <v>-5.6812740000000002</v>
      </c>
      <c r="J5765">
        <v>-310.24599999999998</v>
      </c>
      <c r="K5765">
        <v>1.051979</v>
      </c>
      <c r="L5765">
        <v>12.290190000000001</v>
      </c>
      <c r="M5765">
        <v>0.83996269999999995</v>
      </c>
      <c r="N5765">
        <v>0</v>
      </c>
      <c r="O5765">
        <v>-0.54243580000000002</v>
      </c>
      <c r="P5765">
        <v>0.52429899999999996</v>
      </c>
      <c r="Q5765">
        <v>0.154659299999999</v>
      </c>
      <c r="R5765">
        <v>-0.83737169999999905</v>
      </c>
      <c r="S5765">
        <v>0.8911133</v>
      </c>
      <c r="T5765">
        <v>-0.1786124</v>
      </c>
      <c r="U5765">
        <v>-3.0643009999999999</v>
      </c>
      <c r="V5765">
        <v>0.42238969999999998</v>
      </c>
      <c r="W5765">
        <v>0.15940879999999999</v>
      </c>
      <c r="X5765">
        <v>0.89228680000000005</v>
      </c>
      <c r="Y5765">
        <v>0.65494410000000003</v>
      </c>
      <c r="Z5765">
        <v>1.281174E-2</v>
      </c>
      <c r="AA5765">
        <v>0.75556869999999998</v>
      </c>
      <c r="AB5765">
        <v>25</v>
      </c>
      <c r="AC5765">
        <v>5.1394999999999902</v>
      </c>
      <c r="AD5765">
        <v>-1.0519821462129999</v>
      </c>
      <c r="AE5765">
        <v>-17.971463999999902</v>
      </c>
      <c r="AF5765">
        <v>12.270037376394299</v>
      </c>
      <c r="AG5765">
        <v>-1.0519821462129999</v>
      </c>
      <c r="AH5765">
        <v>14.0225283075115</v>
      </c>
      <c r="AI5765">
        <v>93.231391989220498</v>
      </c>
      <c r="AJ5765">
        <v>48.813322484857601</v>
      </c>
      <c r="AK5765">
        <v>18.662577093987501</v>
      </c>
      <c r="AL5765">
        <v>80.827417268282801</v>
      </c>
      <c r="AM5765">
        <v>64.668115319748296</v>
      </c>
      <c r="AN5765">
        <v>0.99999997881888403</v>
      </c>
    </row>
    <row r="5766" spans="1:40" x14ac:dyDescent="0.25">
      <c r="A5766" t="str">
        <f>"20190312173040477"</f>
        <v>20190312173040477</v>
      </c>
      <c r="B5766" t="str">
        <f>"1552383040473618"</f>
        <v>1552383040473618</v>
      </c>
      <c r="C5766" t="s">
        <v>40</v>
      </c>
      <c r="D5766">
        <v>3.3623280000000002</v>
      </c>
      <c r="E5766">
        <v>0.61151509999999998</v>
      </c>
      <c r="F5766" t="s">
        <v>41</v>
      </c>
      <c r="G5766">
        <v>-305.06979999999999</v>
      </c>
      <c r="H5766" s="1">
        <v>-3.022957E-6</v>
      </c>
      <c r="I5766">
        <v>-5.9213579999999997</v>
      </c>
      <c r="J5766">
        <v>-310.13420000000002</v>
      </c>
      <c r="K5766">
        <v>1.0519149999999999</v>
      </c>
      <c r="L5766">
        <v>12.20914</v>
      </c>
      <c r="M5766">
        <v>0.83618780000000004</v>
      </c>
      <c r="N5766">
        <v>0</v>
      </c>
      <c r="O5766">
        <v>-0.54823789999999994</v>
      </c>
      <c r="P5766">
        <v>0.51889249999999998</v>
      </c>
      <c r="Q5766">
        <v>0.1550522</v>
      </c>
      <c r="R5766">
        <v>-0.84066049999999903</v>
      </c>
      <c r="S5766">
        <v>0.87234500000000004</v>
      </c>
      <c r="T5766">
        <v>-0.17729010000000001</v>
      </c>
      <c r="U5766">
        <v>-3.0691830000000002</v>
      </c>
      <c r="V5766">
        <v>0.42192279999999999</v>
      </c>
      <c r="W5766">
        <v>0.15975989999999901</v>
      </c>
      <c r="X5766">
        <v>0.89244489999999999</v>
      </c>
      <c r="Y5766">
        <v>0.65431240000000002</v>
      </c>
      <c r="Z5766">
        <v>1.3141299999999899E-2</v>
      </c>
      <c r="AA5766">
        <v>0.75611019999999995</v>
      </c>
      <c r="AB5766">
        <v>25</v>
      </c>
      <c r="AC5766">
        <v>5.0644000000000302</v>
      </c>
      <c r="AD5766">
        <v>-1.051918022957</v>
      </c>
      <c r="AE5766">
        <v>-18.130497999999999</v>
      </c>
      <c r="AF5766">
        <v>12.346845526345501</v>
      </c>
      <c r="AG5766">
        <v>-1.051918022957</v>
      </c>
      <c r="AH5766">
        <v>14.1320830146774</v>
      </c>
      <c r="AI5766">
        <v>93.208337445602993</v>
      </c>
      <c r="AJ5766">
        <v>48.857105096958598</v>
      </c>
      <c r="AK5766">
        <v>18.795395614676298</v>
      </c>
      <c r="AL5766">
        <v>80.807039642394997</v>
      </c>
      <c r="AM5766">
        <v>64.696535219003593</v>
      </c>
      <c r="AN5766">
        <v>0.99999998717192995</v>
      </c>
    </row>
    <row r="5767" spans="1:40" x14ac:dyDescent="0.25">
      <c r="A5767" t="str">
        <f>"20190312173040491"</f>
        <v>20190312173040491</v>
      </c>
      <c r="B5767" t="str">
        <f>"1552383040483379"</f>
        <v>1552383040483379</v>
      </c>
      <c r="C5767" t="s">
        <v>40</v>
      </c>
      <c r="D5767">
        <v>3.3831349999999998</v>
      </c>
      <c r="E5767">
        <v>0.61128749999999998</v>
      </c>
      <c r="F5767" t="s">
        <v>41</v>
      </c>
      <c r="G5767">
        <v>-304.98809999999997</v>
      </c>
      <c r="H5767" s="1">
        <v>-2.8362550000000001E-6</v>
      </c>
      <c r="I5767">
        <v>-6.2703160000000002</v>
      </c>
      <c r="J5767">
        <v>-310.00619999999998</v>
      </c>
      <c r="K5767">
        <v>1.051852</v>
      </c>
      <c r="L5767">
        <v>12.114990000000001</v>
      </c>
      <c r="M5767">
        <v>0.831771699999999</v>
      </c>
      <c r="N5767">
        <v>0</v>
      </c>
      <c r="O5767">
        <v>-0.55491550000000001</v>
      </c>
      <c r="P5767">
        <v>0.51242889999999996</v>
      </c>
      <c r="Q5767">
        <v>0.15551019999999999</v>
      </c>
      <c r="R5767">
        <v>-0.84453159999999905</v>
      </c>
      <c r="S5767">
        <v>0.85568239999999995</v>
      </c>
      <c r="T5767">
        <v>-0.1749107</v>
      </c>
      <c r="U5767">
        <v>-3.0727229999999999</v>
      </c>
      <c r="V5767">
        <v>0.42157719999999999</v>
      </c>
      <c r="W5767">
        <v>0.16016849999999999</v>
      </c>
      <c r="X5767">
        <v>0.89253499999999997</v>
      </c>
      <c r="Y5767">
        <v>0.65229799999999905</v>
      </c>
      <c r="Z5767">
        <v>1.349465E-2</v>
      </c>
      <c r="AA5767">
        <v>0.75784240000000003</v>
      </c>
      <c r="AB5767">
        <v>25</v>
      </c>
      <c r="AC5767">
        <v>5.0180999999999996</v>
      </c>
      <c r="AD5767">
        <v>-1.051854836255</v>
      </c>
      <c r="AE5767">
        <v>-18.385306</v>
      </c>
      <c r="AF5767">
        <v>12.4711705426253</v>
      </c>
      <c r="AG5767">
        <v>-1.051854836255</v>
      </c>
      <c r="AH5767">
        <v>14.3341544082148</v>
      </c>
      <c r="AI5767">
        <v>93.168712990619696</v>
      </c>
      <c r="AJ5767">
        <v>48.975693066581997</v>
      </c>
      <c r="AK5767">
        <v>19.029042958024501</v>
      </c>
      <c r="AL5767">
        <v>80.783323351795701</v>
      </c>
      <c r="AM5767">
        <v>64.716906276804707</v>
      </c>
      <c r="AN5767">
        <v>1.00000000508854</v>
      </c>
    </row>
    <row r="5768" spans="1:40" x14ac:dyDescent="0.25">
      <c r="A5768" t="str">
        <f>"20190312173040504"</f>
        <v>20190312173040504</v>
      </c>
      <c r="B5768" t="str">
        <f>"1552383040493138"</f>
        <v>1552383040493138</v>
      </c>
      <c r="C5768" t="s">
        <v>40</v>
      </c>
      <c r="D5768">
        <v>3.3624149999999999</v>
      </c>
      <c r="E5768">
        <v>0.61100200000000005</v>
      </c>
      <c r="F5768" t="s">
        <v>41</v>
      </c>
      <c r="G5768">
        <v>-304.96039999999999</v>
      </c>
      <c r="H5768" s="1">
        <v>-2.7154950000000002E-6</v>
      </c>
      <c r="I5768">
        <v>-6.5101659999999999</v>
      </c>
      <c r="J5768">
        <v>-309.88780000000003</v>
      </c>
      <c r="K5768">
        <v>1.051798</v>
      </c>
      <c r="L5768">
        <v>12.02679</v>
      </c>
      <c r="M5768">
        <v>0.82760330000000004</v>
      </c>
      <c r="N5768">
        <v>0</v>
      </c>
      <c r="O5768">
        <v>-0.5611138</v>
      </c>
      <c r="P5768">
        <v>0.50627749999999905</v>
      </c>
      <c r="Q5768">
        <v>0.1555531</v>
      </c>
      <c r="R5768">
        <v>-0.84822559999999902</v>
      </c>
      <c r="S5768">
        <v>0.83395390000000003</v>
      </c>
      <c r="T5768">
        <v>-0.17384549999999999</v>
      </c>
      <c r="U5768">
        <v>-3.0782780000000001</v>
      </c>
      <c r="V5768">
        <v>0.42140450000000002</v>
      </c>
      <c r="W5768">
        <v>0.16016469999999999</v>
      </c>
      <c r="X5768">
        <v>0.892617199999999</v>
      </c>
      <c r="Y5768">
        <v>0.65197209999999906</v>
      </c>
      <c r="Z5768">
        <v>1.384704E-2</v>
      </c>
      <c r="AA5768">
        <v>0.75811660000000003</v>
      </c>
      <c r="AB5768">
        <v>25</v>
      </c>
      <c r="AC5768">
        <v>4.9274000000000298</v>
      </c>
      <c r="AD5768">
        <v>-1.051800715495</v>
      </c>
      <c r="AE5768">
        <v>-18.536956</v>
      </c>
      <c r="AF5768">
        <v>12.5401144754405</v>
      </c>
      <c r="AG5768">
        <v>-1.051800715495</v>
      </c>
      <c r="AH5768">
        <v>14.4374827455787</v>
      </c>
      <c r="AI5768">
        <v>93.148175937649299</v>
      </c>
      <c r="AJ5768">
        <v>49.023059473003599</v>
      </c>
      <c r="AK5768">
        <v>19.152066829226399</v>
      </c>
      <c r="AL5768">
        <v>80.783543641202598</v>
      </c>
      <c r="AM5768">
        <v>64.728008203213506</v>
      </c>
      <c r="AN5768">
        <v>0.99999997474108904</v>
      </c>
    </row>
    <row r="5769" spans="1:40" x14ac:dyDescent="0.25">
      <c r="A5769" t="str">
        <f>"20190312173040517"</f>
        <v>20190312173040517</v>
      </c>
      <c r="B5769" t="str">
        <f>"1552383040513634"</f>
        <v>1552383040513634</v>
      </c>
      <c r="C5769" t="s">
        <v>40</v>
      </c>
      <c r="D5769">
        <v>3.3568950000000002</v>
      </c>
      <c r="E5769">
        <v>0.60598739999999995</v>
      </c>
      <c r="F5769" t="s">
        <v>41</v>
      </c>
      <c r="G5769">
        <v>-304.96679999999998</v>
      </c>
      <c r="H5769" s="1">
        <v>-2.6630909999999999E-6</v>
      </c>
      <c r="I5769">
        <v>-6.6246739999999997</v>
      </c>
      <c r="J5769">
        <v>-309.76620000000003</v>
      </c>
      <c r="K5769">
        <v>1.0517449999999999</v>
      </c>
      <c r="L5769">
        <v>11.934139999999999</v>
      </c>
      <c r="M5769">
        <v>0.82320230000000005</v>
      </c>
      <c r="N5769">
        <v>0</v>
      </c>
      <c r="O5769">
        <v>-0.56755089999999997</v>
      </c>
      <c r="P5769">
        <v>0.49983460000000002</v>
      </c>
      <c r="Q5769">
        <v>0.1555782</v>
      </c>
      <c r="R5769">
        <v>-0.852033499999999</v>
      </c>
      <c r="S5769">
        <v>0.813446</v>
      </c>
      <c r="T5769">
        <v>-0.17386509999999999</v>
      </c>
      <c r="U5769">
        <v>-3.0831300000000001</v>
      </c>
      <c r="V5769">
        <v>0.4212186</v>
      </c>
      <c r="W5769">
        <v>0.16014589999999901</v>
      </c>
      <c r="X5769">
        <v>0.89270839999999996</v>
      </c>
      <c r="Y5769">
        <v>0.65107299999999901</v>
      </c>
      <c r="Z5769">
        <v>1.4320940000000001E-2</v>
      </c>
      <c r="AA5769">
        <v>0.75888</v>
      </c>
      <c r="AB5769">
        <v>25</v>
      </c>
      <c r="AC5769">
        <v>4.7994000000000403</v>
      </c>
      <c r="AD5769">
        <v>-1.0517476630910001</v>
      </c>
      <c r="AE5769">
        <v>-18.558814000000002</v>
      </c>
      <c r="AF5769">
        <v>12.517479258916</v>
      </c>
      <c r="AG5769">
        <v>-1.0517476630910001</v>
      </c>
      <c r="AH5769">
        <v>14.4420958977674</v>
      </c>
      <c r="AI5769">
        <v>93.149883187086004</v>
      </c>
      <c r="AJ5769">
        <v>49.083360008750603</v>
      </c>
      <c r="AK5769">
        <v>19.140731283431101</v>
      </c>
      <c r="AL5769">
        <v>80.784635613972895</v>
      </c>
      <c r="AM5769">
        <v>64.740025972526297</v>
      </c>
      <c r="AN5769">
        <v>1.0000000528516599</v>
      </c>
    </row>
    <row r="5770" spans="1:40" x14ac:dyDescent="0.25">
      <c r="A5770" t="str">
        <f>"20190312173040536"</f>
        <v>20190312173040536</v>
      </c>
      <c r="B5770" t="str">
        <f>"1552383040523395"</f>
        <v>1552383040523395</v>
      </c>
      <c r="C5770" t="s">
        <v>40</v>
      </c>
      <c r="D5770">
        <v>3.367944</v>
      </c>
      <c r="E5770">
        <v>0.60580369999999995</v>
      </c>
      <c r="F5770" t="s">
        <v>41</v>
      </c>
      <c r="G5770">
        <v>-305.0172</v>
      </c>
      <c r="H5770" s="1">
        <v>-3.0980319999999999E-6</v>
      </c>
      <c r="I5770">
        <v>-5.7329439999999998</v>
      </c>
      <c r="J5770">
        <v>-309.60730000000001</v>
      </c>
      <c r="K5770">
        <v>1.0516799999999999</v>
      </c>
      <c r="L5770">
        <v>11.81094</v>
      </c>
      <c r="M5770">
        <v>0.81730619999999998</v>
      </c>
      <c r="N5770">
        <v>0</v>
      </c>
      <c r="O5770">
        <v>-0.5760094</v>
      </c>
      <c r="P5770">
        <v>0.49154690000000001</v>
      </c>
      <c r="Q5770">
        <v>0.1560879</v>
      </c>
      <c r="R5770">
        <v>-0.85674879999999998</v>
      </c>
      <c r="S5770">
        <v>0.82528690000000005</v>
      </c>
      <c r="T5770">
        <v>-0.18277669999999999</v>
      </c>
      <c r="U5770">
        <v>-3.0702509999999998</v>
      </c>
      <c r="V5770">
        <v>0.42062300000000002</v>
      </c>
      <c r="W5770">
        <v>0.16061230000000001</v>
      </c>
      <c r="X5770">
        <v>0.89290539999999996</v>
      </c>
      <c r="Y5770">
        <v>0.63965899999999998</v>
      </c>
      <c r="Z5770">
        <v>1.6106479999999999E-2</v>
      </c>
      <c r="AA5770">
        <v>0.76849000000000001</v>
      </c>
      <c r="AB5770">
        <v>25</v>
      </c>
      <c r="AC5770">
        <v>4.5900999999999996</v>
      </c>
      <c r="AD5770">
        <v>-1.051683098032</v>
      </c>
      <c r="AE5770">
        <v>-17.543883999999998</v>
      </c>
      <c r="AF5770">
        <v>11.656887610472699</v>
      </c>
      <c r="AG5770">
        <v>-1.051683098032</v>
      </c>
      <c r="AH5770">
        <v>13.8120559756816</v>
      </c>
      <c r="AI5770">
        <v>93.3302191461826</v>
      </c>
      <c r="AJ5770">
        <v>49.836815538622801</v>
      </c>
      <c r="AK5770">
        <v>18.104197203334898</v>
      </c>
      <c r="AL5770">
        <v>80.757562259039901</v>
      </c>
      <c r="AM5770">
        <v>64.7761741664753</v>
      </c>
      <c r="AN5770">
        <v>1.0000000361947201</v>
      </c>
    </row>
    <row r="5771" spans="1:40" x14ac:dyDescent="0.25">
      <c r="A5771" t="str">
        <f>"20190312173040548"</f>
        <v>20190312173040548</v>
      </c>
      <c r="B5771" t="str">
        <f>"1552383040542915"</f>
        <v>1552383040542915</v>
      </c>
      <c r="C5771" t="s">
        <v>40</v>
      </c>
      <c r="D5771">
        <v>3.389224</v>
      </c>
      <c r="E5771">
        <v>0.60602999999999996</v>
      </c>
      <c r="F5771" t="s">
        <v>41</v>
      </c>
      <c r="G5771">
        <v>-304.9819</v>
      </c>
      <c r="H5771" s="1">
        <v>-2.9342300000000002E-6</v>
      </c>
      <c r="I5771">
        <v>-6.0595619999999997</v>
      </c>
      <c r="J5771">
        <v>-309.49470000000002</v>
      </c>
      <c r="K5771">
        <v>1.0516369999999999</v>
      </c>
      <c r="L5771">
        <v>11.722110000000001</v>
      </c>
      <c r="M5771">
        <v>0.81302430000000003</v>
      </c>
      <c r="N5771">
        <v>0</v>
      </c>
      <c r="O5771">
        <v>-0.58203830000000001</v>
      </c>
      <c r="P5771">
        <v>0.48549520000000002</v>
      </c>
      <c r="Q5771">
        <v>0.15632850000000001</v>
      </c>
      <c r="R5771">
        <v>-0.8601491</v>
      </c>
      <c r="S5771">
        <v>0.79656979999999999</v>
      </c>
      <c r="T5771">
        <v>-0.1811178</v>
      </c>
      <c r="U5771">
        <v>-3.0776059999999998</v>
      </c>
      <c r="V5771">
        <v>0.42029460000000002</v>
      </c>
      <c r="W5771">
        <v>0.16082270000000001</v>
      </c>
      <c r="X5771">
        <v>0.89302209999999904</v>
      </c>
      <c r="Y5771">
        <v>0.64114599999999999</v>
      </c>
      <c r="Z5771">
        <v>1.6342180000000001E-2</v>
      </c>
      <c r="AA5771">
        <v>0.76724490000000001</v>
      </c>
      <c r="AB5771">
        <v>25</v>
      </c>
      <c r="AC5771">
        <v>4.5128000000000199</v>
      </c>
      <c r="AD5771">
        <v>-1.05163993423</v>
      </c>
      <c r="AE5771">
        <v>-17.781672</v>
      </c>
      <c r="AF5771">
        <v>11.7928751957052</v>
      </c>
      <c r="AG5771">
        <v>-1.05163993423</v>
      </c>
      <c r="AH5771">
        <v>13.9742720611893</v>
      </c>
      <c r="AI5771">
        <v>93.291618245676105</v>
      </c>
      <c r="AJ5771">
        <v>49.839011543088702</v>
      </c>
      <c r="AK5771">
        <v>18.315516142682998</v>
      </c>
      <c r="AL5771">
        <v>80.745347941488504</v>
      </c>
      <c r="AM5771">
        <v>64.796307523732295</v>
      </c>
      <c r="AN5771">
        <v>0.99999998135642898</v>
      </c>
    </row>
    <row r="5772" spans="1:40" x14ac:dyDescent="0.25">
      <c r="A5772" t="str">
        <f>"20190312173040571"</f>
        <v>20190312173040571</v>
      </c>
      <c r="B5772" t="str">
        <f>"1552383040563411"</f>
        <v>1552383040563411</v>
      </c>
      <c r="C5772" t="s">
        <v>40</v>
      </c>
      <c r="D5772">
        <v>3.3506200000000002</v>
      </c>
      <c r="E5772">
        <v>0.60545319999999903</v>
      </c>
      <c r="F5772" t="s">
        <v>41</v>
      </c>
      <c r="G5772">
        <v>-305.01889999999997</v>
      </c>
      <c r="H5772" s="1">
        <v>-2.9125699999999999E-6</v>
      </c>
      <c r="I5772">
        <v>-6.1261859999999997</v>
      </c>
      <c r="J5772">
        <v>-309.30220000000003</v>
      </c>
      <c r="K5772">
        <v>1.0515730000000001</v>
      </c>
      <c r="L5772">
        <v>11.56677</v>
      </c>
      <c r="M5772">
        <v>0.80548450000000005</v>
      </c>
      <c r="N5772">
        <v>0</v>
      </c>
      <c r="O5772">
        <v>-0.59242869999999903</v>
      </c>
      <c r="P5772">
        <v>0.4748097</v>
      </c>
      <c r="Q5772">
        <v>0.1568427</v>
      </c>
      <c r="R5772">
        <v>-0.8660004</v>
      </c>
      <c r="S5772">
        <v>0.7734375</v>
      </c>
      <c r="T5772">
        <v>-0.181726</v>
      </c>
      <c r="U5772">
        <v>-3.0842290000000001</v>
      </c>
      <c r="V5772">
        <v>0.41983819999999999</v>
      </c>
      <c r="W5772">
        <v>0.16128809999999999</v>
      </c>
      <c r="X5772">
        <v>0.89315279999999997</v>
      </c>
      <c r="Y5772">
        <v>0.63710140000000004</v>
      </c>
      <c r="Z5772">
        <v>1.727915E-2</v>
      </c>
      <c r="AA5772">
        <v>0.77058629999999995</v>
      </c>
      <c r="AB5772">
        <v>25</v>
      </c>
      <c r="AC5772">
        <v>4.2833000000000503</v>
      </c>
      <c r="AD5772">
        <v>-1.0515759125699999</v>
      </c>
      <c r="AE5772">
        <v>-17.692955999999999</v>
      </c>
      <c r="AF5772">
        <v>11.676195530915701</v>
      </c>
      <c r="AG5772">
        <v>-1.0515759125699999</v>
      </c>
      <c r="AH5772">
        <v>13.887159752426101</v>
      </c>
      <c r="AI5772">
        <v>93.317084226593906</v>
      </c>
      <c r="AJ5772">
        <v>49.943187448035999</v>
      </c>
      <c r="AK5772">
        <v>18.173952788688499</v>
      </c>
      <c r="AL5772">
        <v>80.718329430018798</v>
      </c>
      <c r="AM5772">
        <v>64.823512949934695</v>
      </c>
      <c r="AN5772">
        <v>0.99999994476434295</v>
      </c>
    </row>
    <row r="5773" spans="1:40" x14ac:dyDescent="0.25">
      <c r="A5773" t="str">
        <f>"20190312173040592"</f>
        <v>20190312173040592</v>
      </c>
      <c r="B5773" t="str">
        <f>"1552383040582930"</f>
        <v>1552383040582930</v>
      </c>
      <c r="C5773" t="s">
        <v>40</v>
      </c>
      <c r="D5773">
        <v>3.3805869999999998</v>
      </c>
      <c r="E5773">
        <v>0.60065449999999998</v>
      </c>
      <c r="F5773" t="s">
        <v>41</v>
      </c>
      <c r="G5773">
        <v>-305.05189999999999</v>
      </c>
      <c r="H5773" s="1">
        <v>-2.883498E-6</v>
      </c>
      <c r="I5773">
        <v>-6.206321</v>
      </c>
      <c r="J5773">
        <v>-309.11540000000002</v>
      </c>
      <c r="K5773">
        <v>1.0515129999999999</v>
      </c>
      <c r="L5773">
        <v>11.41187</v>
      </c>
      <c r="M5773">
        <v>0.79790000000000005</v>
      </c>
      <c r="N5773">
        <v>0</v>
      </c>
      <c r="O5773">
        <v>-0.60260530000000001</v>
      </c>
      <c r="P5773">
        <v>0.4643409</v>
      </c>
      <c r="Q5773">
        <v>0.15751009999999999</v>
      </c>
      <c r="R5773">
        <v>-0.87153819999999904</v>
      </c>
      <c r="S5773">
        <v>0.73941040000000002</v>
      </c>
      <c r="T5773">
        <v>-0.18294050000000001</v>
      </c>
      <c r="U5773">
        <v>-3.0919490000000001</v>
      </c>
      <c r="V5773">
        <v>0.4191957</v>
      </c>
      <c r="W5773">
        <v>0.16192190000000001</v>
      </c>
      <c r="X5773">
        <v>0.89333989999999996</v>
      </c>
      <c r="Y5773">
        <v>0.63578049999999997</v>
      </c>
      <c r="Z5773">
        <v>1.8183589999999999E-2</v>
      </c>
      <c r="AA5773">
        <v>0.77165569999999895</v>
      </c>
      <c r="AB5773">
        <v>25</v>
      </c>
      <c r="AC5773">
        <v>4.0635000000000296</v>
      </c>
      <c r="AD5773">
        <v>-1.0515158834979901</v>
      </c>
      <c r="AE5773">
        <v>-17.618190999999999</v>
      </c>
      <c r="AF5773">
        <v>11.571023758126699</v>
      </c>
      <c r="AG5773">
        <v>-1.0515158834979901</v>
      </c>
      <c r="AH5773">
        <v>13.8139021579962</v>
      </c>
      <c r="AI5773">
        <v>93.339617751374703</v>
      </c>
      <c r="AJ5773">
        <v>50.049241583194203</v>
      </c>
      <c r="AK5773">
        <v>18.050434047276401</v>
      </c>
      <c r="AL5773">
        <v>80.681531787822706</v>
      </c>
      <c r="AM5773">
        <v>64.8618952639751</v>
      </c>
      <c r="AN5773">
        <v>0.99999995676505404</v>
      </c>
    </row>
    <row r="5774" spans="1:40" x14ac:dyDescent="0.25">
      <c r="A5774" t="str">
        <f>"20190312173040606"</f>
        <v>20190312173040606</v>
      </c>
      <c r="B5774" t="str">
        <f>"1552383040593667"</f>
        <v>1552383040593667</v>
      </c>
      <c r="C5774" t="s">
        <v>40</v>
      </c>
      <c r="D5774">
        <v>3.3588040000000001</v>
      </c>
      <c r="E5774">
        <v>0.59983799999999998</v>
      </c>
      <c r="F5774" t="s">
        <v>41</v>
      </c>
      <c r="G5774">
        <v>-304.89299999999997</v>
      </c>
      <c r="H5774" s="1">
        <v>-2.817733E-6</v>
      </c>
      <c r="I5774">
        <v>-6.2559630000000004</v>
      </c>
      <c r="J5774">
        <v>-308.99689999999998</v>
      </c>
      <c r="K5774">
        <v>1.0514790000000001</v>
      </c>
      <c r="L5774">
        <v>11.3118</v>
      </c>
      <c r="M5774">
        <v>0.79296580000000005</v>
      </c>
      <c r="N5774">
        <v>0</v>
      </c>
      <c r="O5774">
        <v>-0.6090835</v>
      </c>
      <c r="P5774">
        <v>0.45746009999999998</v>
      </c>
      <c r="Q5774">
        <v>0.15741820000000001</v>
      </c>
      <c r="R5774">
        <v>-0.87518589999999996</v>
      </c>
      <c r="S5774">
        <v>0.73675539999999995</v>
      </c>
      <c r="T5774">
        <v>-0.183477</v>
      </c>
      <c r="U5774">
        <v>-3.0828250000000001</v>
      </c>
      <c r="V5774">
        <v>0.41897800000000002</v>
      </c>
      <c r="W5774">
        <v>0.16180899999999901</v>
      </c>
      <c r="X5774">
        <v>0.89346250000000005</v>
      </c>
      <c r="Y5774">
        <v>0.62959690000000001</v>
      </c>
      <c r="Z5774">
        <v>1.8974410000000001E-2</v>
      </c>
      <c r="AA5774">
        <v>0.776690199999999</v>
      </c>
      <c r="AB5774">
        <v>25</v>
      </c>
      <c r="AC5774">
        <v>4.1039000000000003</v>
      </c>
      <c r="AD5774">
        <v>-1.0514818177330001</v>
      </c>
      <c r="AE5774">
        <v>-17.567762999999999</v>
      </c>
      <c r="AF5774">
        <v>11.3935856025034</v>
      </c>
      <c r="AG5774">
        <v>-1.0514818177330001</v>
      </c>
      <c r="AH5774">
        <v>13.908791737726</v>
      </c>
      <c r="AI5774">
        <v>93.346944210671495</v>
      </c>
      <c r="AJ5774">
        <v>50.676889979068697</v>
      </c>
      <c r="AK5774">
        <v>18.0103829636694</v>
      </c>
      <c r="AL5774">
        <v>80.688087124177002</v>
      </c>
      <c r="AM5774">
        <v>64.876361807918499</v>
      </c>
      <c r="AN5774">
        <v>0.99999997793562401</v>
      </c>
    </row>
    <row r="5775" spans="1:40" x14ac:dyDescent="0.25">
      <c r="A5775" t="str">
        <f>"20190312173040624"</f>
        <v>20190312173040624</v>
      </c>
      <c r="B5775" t="str">
        <f>"1552383040613186"</f>
        <v>1552383040613186</v>
      </c>
      <c r="C5775" t="s">
        <v>40</v>
      </c>
      <c r="D5775">
        <v>3.3577499999999998</v>
      </c>
      <c r="E5775">
        <v>0.59948449999999998</v>
      </c>
      <c r="F5775" t="s">
        <v>41</v>
      </c>
      <c r="G5775">
        <v>-304.89830000000001</v>
      </c>
      <c r="H5775" s="1">
        <v>-2.798983E-6</v>
      </c>
      <c r="I5775">
        <v>-6.2986380000000004</v>
      </c>
      <c r="J5775">
        <v>-308.8347</v>
      </c>
      <c r="K5775">
        <v>1.051447</v>
      </c>
      <c r="L5775">
        <v>11.171659999999999</v>
      </c>
      <c r="M5775">
        <v>0.78602359999999905</v>
      </c>
      <c r="N5775">
        <v>0</v>
      </c>
      <c r="O5775">
        <v>-0.61801680000000003</v>
      </c>
      <c r="P5775">
        <v>0.44845770000000001</v>
      </c>
      <c r="Q5775">
        <v>0.15780749999999999</v>
      </c>
      <c r="R5775">
        <v>-0.87976309999999902</v>
      </c>
      <c r="S5775">
        <v>0.71813959999999999</v>
      </c>
      <c r="T5775">
        <v>-0.1842366</v>
      </c>
      <c r="U5775">
        <v>-3.0856319999999999</v>
      </c>
      <c r="V5775">
        <v>0.4179966</v>
      </c>
      <c r="W5775">
        <v>0.162193</v>
      </c>
      <c r="X5775">
        <v>0.89385249999999905</v>
      </c>
      <c r="Y5775">
        <v>0.62540709999999999</v>
      </c>
      <c r="Z5775">
        <v>1.9861730000000001E-2</v>
      </c>
      <c r="AA5775">
        <v>0.78004580000000001</v>
      </c>
      <c r="AB5775">
        <v>25</v>
      </c>
      <c r="AC5775">
        <v>3.9363999999999901</v>
      </c>
      <c r="AD5775">
        <v>-1.0514497989830001</v>
      </c>
      <c r="AE5775">
        <v>-17.470298</v>
      </c>
      <c r="AF5775">
        <v>11.261738678481001</v>
      </c>
      <c r="AG5775">
        <v>-1.0514497989830001</v>
      </c>
      <c r="AH5775">
        <v>13.8448577680059</v>
      </c>
      <c r="AI5775">
        <v>93.371708812666498</v>
      </c>
      <c r="AJ5775">
        <v>50.874268441422501</v>
      </c>
      <c r="AK5775">
        <v>17.877706546380399</v>
      </c>
      <c r="AL5775">
        <v>80.665791321436103</v>
      </c>
      <c r="AM5775">
        <v>64.937569864286502</v>
      </c>
      <c r="AN5775">
        <v>1.0000000093084001</v>
      </c>
    </row>
    <row r="5776" spans="1:40" x14ac:dyDescent="0.25">
      <c r="A5776" t="str">
        <f>"20190312173040638"</f>
        <v>20190312173040638</v>
      </c>
      <c r="B5776" t="str">
        <f>"1552383040633683"</f>
        <v>1552383040633683</v>
      </c>
      <c r="C5776" t="s">
        <v>40</v>
      </c>
      <c r="D5776">
        <v>3.3530449999999998</v>
      </c>
      <c r="E5776">
        <v>0.59893260000000004</v>
      </c>
      <c r="F5776" t="s">
        <v>41</v>
      </c>
      <c r="G5776">
        <v>-304.95159999999998</v>
      </c>
      <c r="H5776" s="1">
        <v>-2.831272E-6</v>
      </c>
      <c r="I5776">
        <v>-6.2603269999999904</v>
      </c>
      <c r="J5776">
        <v>-308.71850000000001</v>
      </c>
      <c r="K5776">
        <v>1.0514250000000001</v>
      </c>
      <c r="L5776">
        <v>11.06897</v>
      </c>
      <c r="M5776">
        <v>0.78091330000000003</v>
      </c>
      <c r="N5776">
        <v>0</v>
      </c>
      <c r="O5776">
        <v>-0.62446179999999996</v>
      </c>
      <c r="P5776">
        <v>0.44166539999999999</v>
      </c>
      <c r="Q5776">
        <v>0.15837000000000001</v>
      </c>
      <c r="R5776">
        <v>-0.88309169999999904</v>
      </c>
      <c r="S5776">
        <v>0.68884279999999998</v>
      </c>
      <c r="T5776">
        <v>-0.18652189999999999</v>
      </c>
      <c r="U5776">
        <v>-3.092346</v>
      </c>
      <c r="V5776">
        <v>0.41747010000000001</v>
      </c>
      <c r="W5776">
        <v>0.16275010000000001</v>
      </c>
      <c r="X5776">
        <v>0.89399729999999999</v>
      </c>
      <c r="Y5776">
        <v>0.62638939999999999</v>
      </c>
      <c r="Z5776">
        <v>2.0559170000000002E-2</v>
      </c>
      <c r="AA5776">
        <v>0.77923909999999996</v>
      </c>
      <c r="AB5776">
        <v>25</v>
      </c>
      <c r="AC5776">
        <v>3.7669000000000201</v>
      </c>
      <c r="AD5776">
        <v>-1.051427831272</v>
      </c>
      <c r="AE5776">
        <v>-17.329297</v>
      </c>
      <c r="AF5776">
        <v>11.1424662259853</v>
      </c>
      <c r="AG5776">
        <v>-1.051427831272</v>
      </c>
      <c r="AH5776">
        <v>13.716417871566</v>
      </c>
      <c r="AI5776">
        <v>93.404929627381193</v>
      </c>
      <c r="AJ5776">
        <v>50.911484002511003</v>
      </c>
      <c r="AK5776">
        <v>17.703111966798701</v>
      </c>
      <c r="AL5776">
        <v>80.633442181853894</v>
      </c>
      <c r="AM5776">
        <v>64.968826999283905</v>
      </c>
      <c r="AN5776">
        <v>1.0000000259256501</v>
      </c>
    </row>
    <row r="5777" spans="1:40" x14ac:dyDescent="0.25">
      <c r="A5777" t="str">
        <f>"20190312173040652"</f>
        <v>20190312173040652</v>
      </c>
      <c r="B5777" t="str">
        <f>"1552383040643442"</f>
        <v>1552383040643442</v>
      </c>
      <c r="C5777" t="s">
        <v>40</v>
      </c>
      <c r="D5777">
        <v>3.3774440000000001</v>
      </c>
      <c r="E5777">
        <v>0.59848440000000003</v>
      </c>
      <c r="F5777" t="s">
        <v>41</v>
      </c>
      <c r="G5777">
        <v>-304.99189999999999</v>
      </c>
      <c r="H5777" s="1">
        <v>-2.8825660000000001E-6</v>
      </c>
      <c r="I5777">
        <v>-6.1745140000000003</v>
      </c>
      <c r="J5777">
        <v>-308.6071</v>
      </c>
      <c r="K5777">
        <v>1.051407</v>
      </c>
      <c r="L5777">
        <v>10.96893</v>
      </c>
      <c r="M5777">
        <v>0.77591509999999997</v>
      </c>
      <c r="N5777">
        <v>0</v>
      </c>
      <c r="O5777">
        <v>-0.63066119999999903</v>
      </c>
      <c r="P5777">
        <v>0.43513869999999999</v>
      </c>
      <c r="Q5777">
        <v>0.1586872</v>
      </c>
      <c r="R5777">
        <v>-0.88626919999999898</v>
      </c>
      <c r="S5777">
        <v>0.6691589</v>
      </c>
      <c r="T5777">
        <v>-0.18880069999999999</v>
      </c>
      <c r="U5777">
        <v>-3.0963440000000002</v>
      </c>
      <c r="V5777">
        <v>0.41691240000000002</v>
      </c>
      <c r="W5777">
        <v>0.16306570000000001</v>
      </c>
      <c r="X5777">
        <v>0.89419999999999999</v>
      </c>
      <c r="Y5777">
        <v>0.62512400000000001</v>
      </c>
      <c r="Z5777">
        <v>2.1327490000000001E-2</v>
      </c>
      <c r="AA5777">
        <v>0.78023399999999998</v>
      </c>
      <c r="AB5777">
        <v>25</v>
      </c>
      <c r="AC5777">
        <v>3.61520000000001</v>
      </c>
      <c r="AD5777">
        <v>-1.0514098825660001</v>
      </c>
      <c r="AE5777">
        <v>-17.143443999999999</v>
      </c>
      <c r="AF5777">
        <v>10.983561050421701</v>
      </c>
      <c r="AG5777">
        <v>-1.0514098825660001</v>
      </c>
      <c r="AH5777">
        <v>13.5694395760177</v>
      </c>
      <c r="AI5777">
        <v>93.446557412822997</v>
      </c>
      <c r="AJ5777">
        <v>51.012126663140599</v>
      </c>
      <c r="AK5777">
        <v>17.489247167808401</v>
      </c>
      <c r="AL5777">
        <v>80.6151146142508</v>
      </c>
      <c r="AM5777">
        <v>65.003153078557304</v>
      </c>
      <c r="AN5777">
        <v>1.0000000058951199</v>
      </c>
    </row>
    <row r="5778" spans="1:40" x14ac:dyDescent="0.25">
      <c r="A5778" t="str">
        <f>"20190312173040665"</f>
        <v>20190312173040665</v>
      </c>
      <c r="B5778" t="str">
        <f>"1552383040653203"</f>
        <v>1552383040653203</v>
      </c>
      <c r="C5778" t="s">
        <v>40</v>
      </c>
      <c r="D5778">
        <v>3.384179</v>
      </c>
      <c r="E5778">
        <v>0.59848440000000003</v>
      </c>
      <c r="F5778" t="s">
        <v>41</v>
      </c>
      <c r="G5778">
        <v>-304.98669999999998</v>
      </c>
      <c r="H5778" s="1">
        <v>-2.81389E-6</v>
      </c>
      <c r="I5778">
        <v>-6.3168340000000001</v>
      </c>
      <c r="J5778">
        <v>-308.4975</v>
      </c>
      <c r="K5778">
        <v>1.051388</v>
      </c>
      <c r="L5778">
        <v>10.86938</v>
      </c>
      <c r="M5778">
        <v>0.77091500000000002</v>
      </c>
      <c r="N5778">
        <v>0</v>
      </c>
      <c r="O5778">
        <v>-0.63676369999999904</v>
      </c>
      <c r="P5778">
        <v>0.42833159999999998</v>
      </c>
      <c r="Q5778">
        <v>0.15920229999999999</v>
      </c>
      <c r="R5778">
        <v>-0.88948700000000003</v>
      </c>
      <c r="S5778">
        <v>0.64926149999999905</v>
      </c>
      <c r="T5778">
        <v>-0.18855479999999999</v>
      </c>
      <c r="U5778">
        <v>-3.099945</v>
      </c>
      <c r="V5778">
        <v>0.41665750000000001</v>
      </c>
      <c r="W5778">
        <v>0.163572</v>
      </c>
      <c r="X5778">
        <v>0.89422639999999998</v>
      </c>
      <c r="Y5778">
        <v>0.62395019999999901</v>
      </c>
      <c r="Z5778">
        <v>2.1809660000000002E-2</v>
      </c>
      <c r="AA5778">
        <v>0.78115959999999995</v>
      </c>
      <c r="AB5778">
        <v>25</v>
      </c>
      <c r="AC5778">
        <v>3.5108000000000099</v>
      </c>
      <c r="AD5778">
        <v>-1.0513908138900001</v>
      </c>
      <c r="AE5778">
        <v>-17.186214</v>
      </c>
      <c r="AF5778">
        <v>10.975352776079999</v>
      </c>
      <c r="AG5778">
        <v>-1.0513908138900001</v>
      </c>
      <c r="AH5778">
        <v>13.6027317756002</v>
      </c>
      <c r="AI5778">
        <v>93.442416347315799</v>
      </c>
      <c r="AJ5778">
        <v>51.101704407399303</v>
      </c>
      <c r="AK5778">
        <v>17.509942974260799</v>
      </c>
      <c r="AL5778">
        <v>80.585711510367801</v>
      </c>
      <c r="AM5778">
        <v>65.017218386107601</v>
      </c>
      <c r="AN5778">
        <v>1.0000000629735999</v>
      </c>
    </row>
    <row r="5779" spans="1:40" x14ac:dyDescent="0.25">
      <c r="A5779" t="str">
        <f>"20190312173040679"</f>
        <v>20190312173040679</v>
      </c>
      <c r="B5779" t="str">
        <f>"1552383040673699"</f>
        <v>1552383040673699</v>
      </c>
      <c r="C5779" t="s">
        <v>40</v>
      </c>
      <c r="D5779">
        <v>3.3675449999999998</v>
      </c>
      <c r="E5779">
        <v>0.59407639999999995</v>
      </c>
      <c r="F5779" t="s">
        <v>41</v>
      </c>
      <c r="G5779">
        <v>-304.98160000000001</v>
      </c>
      <c r="H5779" s="1">
        <v>-2.690964E-6</v>
      </c>
      <c r="I5779">
        <v>-6.5740170000000004</v>
      </c>
      <c r="J5779">
        <v>-308.37950000000001</v>
      </c>
      <c r="K5779">
        <v>1.051366</v>
      </c>
      <c r="L5779">
        <v>10.75986</v>
      </c>
      <c r="M5779">
        <v>0.76539979999999996</v>
      </c>
      <c r="N5779">
        <v>0</v>
      </c>
      <c r="O5779">
        <v>-0.64338249999999997</v>
      </c>
      <c r="P5779">
        <v>0.42090709999999998</v>
      </c>
      <c r="Q5779">
        <v>0.1597401</v>
      </c>
      <c r="R5779">
        <v>-0.89292819999999995</v>
      </c>
      <c r="S5779">
        <v>0.62582399999999905</v>
      </c>
      <c r="T5779">
        <v>-0.18714359999999999</v>
      </c>
      <c r="U5779">
        <v>-3.1048580000000001</v>
      </c>
      <c r="V5779">
        <v>0.41634480000000001</v>
      </c>
      <c r="W5779">
        <v>0.1641021</v>
      </c>
      <c r="X5779">
        <v>0.89427489999999998</v>
      </c>
      <c r="Y5779">
        <v>0.62313099999999999</v>
      </c>
      <c r="Z5779">
        <v>2.217715E-2</v>
      </c>
      <c r="AA5779">
        <v>0.78180300000000003</v>
      </c>
      <c r="AB5779">
        <v>24</v>
      </c>
      <c r="AC5779">
        <v>3.3978999999999902</v>
      </c>
      <c r="AD5779">
        <v>-1.0513686909639901</v>
      </c>
      <c r="AE5779">
        <v>-17.333876999999902</v>
      </c>
      <c r="AF5779">
        <v>11.043303508765399</v>
      </c>
      <c r="AG5779">
        <v>-1.0513686909639901</v>
      </c>
      <c r="AH5779">
        <v>13.7060353368393</v>
      </c>
      <c r="AI5779">
        <v>93.418332267064301</v>
      </c>
      <c r="AJ5779">
        <v>51.140717630135399</v>
      </c>
      <c r="AK5779">
        <v>17.632791417292299</v>
      </c>
      <c r="AL5779">
        <v>80.554922808137803</v>
      </c>
      <c r="AM5779">
        <v>65.0348713733962</v>
      </c>
      <c r="AN5779">
        <v>1.00000004424072</v>
      </c>
    </row>
    <row r="5780" spans="1:40" x14ac:dyDescent="0.25">
      <c r="A5780" t="str">
        <f>"20190312173040692"</f>
        <v>20190312173040692</v>
      </c>
      <c r="B5780" t="str">
        <f>"1552383040683459"</f>
        <v>1552383040683459</v>
      </c>
      <c r="C5780" t="s">
        <v>40</v>
      </c>
      <c r="D5780">
        <v>3.3473510000000002</v>
      </c>
      <c r="E5780">
        <v>0.59399690000000005</v>
      </c>
      <c r="F5780" t="s">
        <v>41</v>
      </c>
      <c r="G5780">
        <v>-305.11610000000002</v>
      </c>
      <c r="H5780" s="1">
        <v>-3.3485950000000001E-6</v>
      </c>
      <c r="I5780">
        <v>-5.1930449999999997</v>
      </c>
      <c r="J5780">
        <v>-308.27870000000001</v>
      </c>
      <c r="K5780">
        <v>1.0513539999999999</v>
      </c>
      <c r="L5780">
        <v>10.66464</v>
      </c>
      <c r="M5780">
        <v>0.76058689999999995</v>
      </c>
      <c r="N5780">
        <v>0</v>
      </c>
      <c r="O5780">
        <v>-0.64906509999999995</v>
      </c>
      <c r="P5780">
        <v>0.4145684</v>
      </c>
      <c r="Q5780">
        <v>0.1601091</v>
      </c>
      <c r="R5780">
        <v>-0.89582280000000003</v>
      </c>
      <c r="S5780">
        <v>0.63366699999999998</v>
      </c>
      <c r="T5780">
        <v>-0.20414360000000001</v>
      </c>
      <c r="U5780">
        <v>-3.0975649999999999</v>
      </c>
      <c r="V5780">
        <v>0.41598429999999997</v>
      </c>
      <c r="W5780">
        <v>0.16446749999999999</v>
      </c>
      <c r="X5780">
        <v>0.89437549999999899</v>
      </c>
      <c r="Y5780">
        <v>0.61500739999999998</v>
      </c>
      <c r="Z5780">
        <v>2.498744E-2</v>
      </c>
      <c r="AA5780">
        <v>0.78812530000000003</v>
      </c>
      <c r="AB5780">
        <v>24</v>
      </c>
      <c r="AC5780">
        <v>3.1625999999999901</v>
      </c>
      <c r="AD5780">
        <v>-1.0513573485950001</v>
      </c>
      <c r="AE5780">
        <v>-15.857684999999901</v>
      </c>
      <c r="AF5780">
        <v>9.9673886664779392</v>
      </c>
      <c r="AG5780">
        <v>-1.0513573485950001</v>
      </c>
      <c r="AH5780">
        <v>12.6460511983556</v>
      </c>
      <c r="AI5780">
        <v>93.735765454862403</v>
      </c>
      <c r="AJ5780">
        <v>51.755460968355997</v>
      </c>
      <c r="AK5780">
        <v>16.136195338880501</v>
      </c>
      <c r="AL5780">
        <v>80.533698283469207</v>
      </c>
      <c r="AM5780">
        <v>65.056321456117999</v>
      </c>
      <c r="AN5780">
        <v>1.0000000157014901</v>
      </c>
    </row>
    <row r="5781" spans="1:40" x14ac:dyDescent="0.25">
      <c r="A5781" t="str">
        <f>"20190312173040713"</f>
        <v>20190312173040713</v>
      </c>
      <c r="B5781" t="str">
        <f>"1552383040702978"</f>
        <v>1552383040702978</v>
      </c>
      <c r="C5781" t="s">
        <v>40</v>
      </c>
      <c r="D5781">
        <v>3.3682940000000001</v>
      </c>
      <c r="E5781">
        <v>0.59323879999999996</v>
      </c>
      <c r="F5781" t="s">
        <v>41</v>
      </c>
      <c r="G5781">
        <v>-305.12119999999999</v>
      </c>
      <c r="H5781" s="1">
        <v>-3.301544E-6</v>
      </c>
      <c r="I5781">
        <v>-5.3179639999999999</v>
      </c>
      <c r="J5781">
        <v>-308.10039999999998</v>
      </c>
      <c r="K5781">
        <v>1.051329</v>
      </c>
      <c r="L5781">
        <v>10.493069999999999</v>
      </c>
      <c r="M5781">
        <v>0.75186580000000003</v>
      </c>
      <c r="N5781">
        <v>0</v>
      </c>
      <c r="O5781">
        <v>-0.65914759999999994</v>
      </c>
      <c r="P5781">
        <v>0.4027985</v>
      </c>
      <c r="Q5781">
        <v>0.16083900000000001</v>
      </c>
      <c r="R5781">
        <v>-0.90104629999999997</v>
      </c>
      <c r="S5781">
        <v>0.61276249999999999</v>
      </c>
      <c r="T5781">
        <v>-0.2040371</v>
      </c>
      <c r="U5781">
        <v>-3.1017459999999999</v>
      </c>
      <c r="V5781">
        <v>0.41570259999999998</v>
      </c>
      <c r="W5781">
        <v>0.16518150000000001</v>
      </c>
      <c r="X5781">
        <v>0.89437479999999903</v>
      </c>
      <c r="Y5781">
        <v>0.6098114</v>
      </c>
      <c r="Z5781">
        <v>2.5994940000000001E-2</v>
      </c>
      <c r="AA5781">
        <v>0.79212019999999905</v>
      </c>
      <c r="AB5781">
        <v>24</v>
      </c>
      <c r="AC5781">
        <v>2.9791999999999899</v>
      </c>
      <c r="AD5781">
        <v>-1.0513323015439999</v>
      </c>
      <c r="AE5781">
        <v>-15.811033999999999</v>
      </c>
      <c r="AF5781">
        <v>9.8829480193586505</v>
      </c>
      <c r="AG5781">
        <v>-1.0513323015439999</v>
      </c>
      <c r="AH5781">
        <v>12.609331705994</v>
      </c>
      <c r="AI5781">
        <v>93.754521614436797</v>
      </c>
      <c r="AJ5781">
        <v>51.911344483967902</v>
      </c>
      <c r="AK5781">
        <v>16.055317101614701</v>
      </c>
      <c r="AL5781">
        <v>80.492221008714196</v>
      </c>
      <c r="AM5781">
        <v>65.071142847932805</v>
      </c>
      <c r="AN5781">
        <v>0.99999993123202202</v>
      </c>
    </row>
    <row r="5782" spans="1:40" x14ac:dyDescent="0.25">
      <c r="A5782" t="str">
        <f>"20190312173040737"</f>
        <v>20190312173040737</v>
      </c>
      <c r="B5782" t="str">
        <f>"1552383040733235"</f>
        <v>1552383040733235</v>
      </c>
      <c r="C5782" t="s">
        <v>40</v>
      </c>
      <c r="D5782">
        <v>3.3542809999999998</v>
      </c>
      <c r="E5782">
        <v>0.58803509999999903</v>
      </c>
      <c r="F5782" t="s">
        <v>41</v>
      </c>
      <c r="G5782">
        <v>-305.08940000000001</v>
      </c>
      <c r="H5782" s="1">
        <v>-3.1363450000000001E-6</v>
      </c>
      <c r="I5782">
        <v>-5.6924799999999998</v>
      </c>
      <c r="J5782">
        <v>-307.92349999999999</v>
      </c>
      <c r="K5782">
        <v>1.051307</v>
      </c>
      <c r="L5782">
        <v>10.317959999999999</v>
      </c>
      <c r="M5782">
        <v>0.74291249999999998</v>
      </c>
      <c r="N5782">
        <v>0</v>
      </c>
      <c r="O5782">
        <v>-0.66922280000000001</v>
      </c>
      <c r="P5782">
        <v>0.39127279999999998</v>
      </c>
      <c r="Q5782">
        <v>0.1616213</v>
      </c>
      <c r="R5782">
        <v>-0.90597179999999999</v>
      </c>
      <c r="S5782">
        <v>0.57803340000000003</v>
      </c>
      <c r="T5782">
        <v>-0.20182259999999999</v>
      </c>
      <c r="U5782">
        <v>-3.1071170000000001</v>
      </c>
      <c r="V5782">
        <v>0.41497610000000001</v>
      </c>
      <c r="W5782">
        <v>0.1659612</v>
      </c>
      <c r="X5782">
        <v>0.89456789999999997</v>
      </c>
      <c r="Y5782">
        <v>0.60794040000000005</v>
      </c>
      <c r="Z5782">
        <v>2.6622449999999999E-2</v>
      </c>
      <c r="AA5782">
        <v>0.79353619999999903</v>
      </c>
      <c r="AB5782">
        <v>24</v>
      </c>
      <c r="AC5782">
        <v>2.8340999999999701</v>
      </c>
      <c r="AD5782">
        <v>-1.0513101363449999</v>
      </c>
      <c r="AE5782">
        <v>-16.010439999999999</v>
      </c>
      <c r="AF5782">
        <v>9.9571922412975002</v>
      </c>
      <c r="AG5782">
        <v>-1.0513101363449999</v>
      </c>
      <c r="AH5782">
        <v>12.768081844964801</v>
      </c>
      <c r="AI5782">
        <v>93.714951420367399</v>
      </c>
      <c r="AJ5782">
        <v>52.051102854023199</v>
      </c>
      <c r="AK5782">
        <v>16.225746341313702</v>
      </c>
      <c r="AL5782">
        <v>80.446922980329106</v>
      </c>
      <c r="AM5782">
        <v>65.114149799542901</v>
      </c>
      <c r="AN5782">
        <v>1.0000000055935301</v>
      </c>
    </row>
    <row r="5783" spans="1:40" x14ac:dyDescent="0.25">
      <c r="A5783" t="str">
        <f>"20190312173040752"</f>
        <v>20190312173040752</v>
      </c>
      <c r="B5783" t="str">
        <f>"1552383040742995"</f>
        <v>1552383040742995</v>
      </c>
      <c r="C5783" t="s">
        <v>40</v>
      </c>
      <c r="D5783">
        <v>3.388538</v>
      </c>
      <c r="E5783">
        <v>0.58836949999999999</v>
      </c>
      <c r="F5783" t="s">
        <v>41</v>
      </c>
      <c r="G5783">
        <v>-304.9547</v>
      </c>
      <c r="H5783" s="1">
        <v>-3.1234789999999999E-6</v>
      </c>
      <c r="I5783">
        <v>-5.643929</v>
      </c>
      <c r="J5783">
        <v>-307.8</v>
      </c>
      <c r="K5783">
        <v>1.0512919999999999</v>
      </c>
      <c r="L5783">
        <v>10.192780000000001</v>
      </c>
      <c r="M5783">
        <v>0.73648159999999996</v>
      </c>
      <c r="N5783">
        <v>0</v>
      </c>
      <c r="O5783">
        <v>-0.67629359999999905</v>
      </c>
      <c r="P5783">
        <v>0.38281730000000003</v>
      </c>
      <c r="Q5783">
        <v>0.1619929</v>
      </c>
      <c r="R5783">
        <v>-0.90951099999999996</v>
      </c>
      <c r="S5783">
        <v>0.57635499999999995</v>
      </c>
      <c r="T5783">
        <v>-0.2041037</v>
      </c>
      <c r="U5783">
        <v>-3.0988769999999999</v>
      </c>
      <c r="V5783">
        <v>0.4147228</v>
      </c>
      <c r="W5783">
        <v>0.16632559999999999</v>
      </c>
      <c r="X5783">
        <v>0.89461769999999996</v>
      </c>
      <c r="Y5783">
        <v>0.6003714</v>
      </c>
      <c r="Z5783">
        <v>2.7843440000000001E-2</v>
      </c>
      <c r="AA5783">
        <v>0.79923650000000002</v>
      </c>
      <c r="AB5783">
        <v>24</v>
      </c>
      <c r="AC5783">
        <v>2.8452999999999999</v>
      </c>
      <c r="AD5783">
        <v>-1.051295123479</v>
      </c>
      <c r="AE5783">
        <v>-15.8367089999999</v>
      </c>
      <c r="AF5783">
        <v>9.6988628902712399</v>
      </c>
      <c r="AG5783">
        <v>-1.051295123479</v>
      </c>
      <c r="AH5783">
        <v>12.7527555494729</v>
      </c>
      <c r="AI5783">
        <v>93.754149985804602</v>
      </c>
      <c r="AJ5783">
        <v>52.7458945785379</v>
      </c>
      <c r="AK5783">
        <v>16.056336347546502</v>
      </c>
      <c r="AL5783">
        <v>80.425750245647606</v>
      </c>
      <c r="AM5783">
        <v>65.128718906450999</v>
      </c>
      <c r="AN5783">
        <v>1.0000000176042401</v>
      </c>
    </row>
    <row r="5784" spans="1:40" x14ac:dyDescent="0.25">
      <c r="A5784" t="str">
        <f>"20190312173040771"</f>
        <v>20190312173040771</v>
      </c>
      <c r="B5784" t="str">
        <f>"1552383040763490"</f>
        <v>1552383040763490</v>
      </c>
      <c r="C5784" t="s">
        <v>40</v>
      </c>
      <c r="D5784">
        <v>3.3654310000000001</v>
      </c>
      <c r="E5784">
        <v>0.58756739999999996</v>
      </c>
      <c r="F5784" t="s">
        <v>41</v>
      </c>
      <c r="G5784">
        <v>-305.02420000000001</v>
      </c>
      <c r="H5784" s="1">
        <v>-3.1471130000000001E-6</v>
      </c>
      <c r="I5784">
        <v>-5.6330260000000001</v>
      </c>
      <c r="J5784">
        <v>-307.6574</v>
      </c>
      <c r="K5784">
        <v>1.051274</v>
      </c>
      <c r="L5784">
        <v>10.045349999999999</v>
      </c>
      <c r="M5784">
        <v>0.72887119999999905</v>
      </c>
      <c r="N5784">
        <v>0</v>
      </c>
      <c r="O5784">
        <v>-0.6844886</v>
      </c>
      <c r="P5784">
        <v>0.37326860000000001</v>
      </c>
      <c r="Q5784">
        <v>0.16267190000000001</v>
      </c>
      <c r="R5784">
        <v>-0.91335049999999995</v>
      </c>
      <c r="S5784">
        <v>0.54476930000000001</v>
      </c>
      <c r="T5784">
        <v>-0.20632410000000001</v>
      </c>
      <c r="U5784">
        <v>-3.1059269999999999</v>
      </c>
      <c r="V5784">
        <v>0.41401969999999999</v>
      </c>
      <c r="W5784">
        <v>0.16701009999999999</v>
      </c>
      <c r="X5784">
        <v>0.89481580000000005</v>
      </c>
      <c r="Y5784">
        <v>0.59962990000000005</v>
      </c>
      <c r="Z5784">
        <v>2.8858959999999999E-2</v>
      </c>
      <c r="AA5784">
        <v>0.79975689999999999</v>
      </c>
      <c r="AB5784">
        <v>24</v>
      </c>
      <c r="AC5784">
        <v>2.63319999999998</v>
      </c>
      <c r="AD5784">
        <v>-1.051277147113</v>
      </c>
      <c r="AE5784">
        <v>-15.678376</v>
      </c>
      <c r="AF5784">
        <v>9.5842811792334093</v>
      </c>
      <c r="AG5784">
        <v>-1.051277147113</v>
      </c>
      <c r="AH5784">
        <v>12.597254349150299</v>
      </c>
      <c r="AI5784">
        <v>93.799758059579702</v>
      </c>
      <c r="AJ5784">
        <v>52.735286929957198</v>
      </c>
      <c r="AK5784">
        <v>15.8636202204867</v>
      </c>
      <c r="AL5784">
        <v>80.385974787283303</v>
      </c>
      <c r="AM5784">
        <v>65.170629718105801</v>
      </c>
      <c r="AN5784">
        <v>1.0000000007098699</v>
      </c>
    </row>
    <row r="5785" spans="1:40" x14ac:dyDescent="0.25">
      <c r="A5785" t="str">
        <f>"20190312173040793"</f>
        <v>20190312173040793</v>
      </c>
      <c r="B5785" t="str">
        <f>"1552383040783987"</f>
        <v>1552383040783987</v>
      </c>
      <c r="C5785" t="s">
        <v>40</v>
      </c>
      <c r="D5785">
        <v>3.3729819999999999</v>
      </c>
      <c r="E5785">
        <v>0.58734889999999995</v>
      </c>
      <c r="F5785" t="s">
        <v>41</v>
      </c>
      <c r="G5785">
        <v>-305.01119999999997</v>
      </c>
      <c r="H5785" s="1">
        <v>-3.057509E-6</v>
      </c>
      <c r="I5785">
        <v>-5.8152540000000004</v>
      </c>
      <c r="J5785">
        <v>-307.48270000000002</v>
      </c>
      <c r="K5785">
        <v>1.0512600000000001</v>
      </c>
      <c r="L5785">
        <v>9.8597719999999995</v>
      </c>
      <c r="M5785">
        <v>0.71924709999999903</v>
      </c>
      <c r="N5785">
        <v>0</v>
      </c>
      <c r="O5785">
        <v>-0.6945943</v>
      </c>
      <c r="P5785">
        <v>0.36141679999999998</v>
      </c>
      <c r="Q5785">
        <v>0.16368849999999999</v>
      </c>
      <c r="R5785">
        <v>-0.91792399999999996</v>
      </c>
      <c r="S5785">
        <v>0.51876829999999996</v>
      </c>
      <c r="T5785">
        <v>-0.20609050000000001</v>
      </c>
      <c r="U5785">
        <v>-3.109283</v>
      </c>
      <c r="V5785">
        <v>0.4130085</v>
      </c>
      <c r="W5785">
        <v>0.1680401</v>
      </c>
      <c r="X5785">
        <v>0.89509019999999995</v>
      </c>
      <c r="Y5785">
        <v>0.59510959999999902</v>
      </c>
      <c r="Z5785">
        <v>2.98514E-2</v>
      </c>
      <c r="AA5785">
        <v>0.80308999999999997</v>
      </c>
      <c r="AB5785">
        <v>24</v>
      </c>
      <c r="AC5785">
        <v>2.4715000000000402</v>
      </c>
      <c r="AD5785">
        <v>-1.0512630575090001</v>
      </c>
      <c r="AE5785">
        <v>-15.675026000000001</v>
      </c>
      <c r="AF5785">
        <v>9.5168229664772195</v>
      </c>
      <c r="AG5785">
        <v>-1.0512630575090001</v>
      </c>
      <c r="AH5785">
        <v>12.6114626836948</v>
      </c>
      <c r="AI5785">
        <v>93.806760843948794</v>
      </c>
      <c r="AJ5785">
        <v>52.961178447080698</v>
      </c>
      <c r="AK5785">
        <v>15.834268673152501</v>
      </c>
      <c r="AL5785">
        <v>80.326113979485996</v>
      </c>
      <c r="AM5785">
        <v>65.230667265434505</v>
      </c>
      <c r="AN5785">
        <v>0.99999998120814904</v>
      </c>
    </row>
    <row r="5786" spans="1:40" x14ac:dyDescent="0.25">
      <c r="A5786" t="str">
        <f>"20190312173040815"</f>
        <v>20190312173040815</v>
      </c>
      <c r="B5786" t="str">
        <f>"1552383040803507"</f>
        <v>1552383040803507</v>
      </c>
      <c r="C5786" t="s">
        <v>40</v>
      </c>
      <c r="D5786">
        <v>3.3968180000000001</v>
      </c>
      <c r="E5786">
        <v>0.58402619999999905</v>
      </c>
      <c r="F5786" t="s">
        <v>41</v>
      </c>
      <c r="G5786">
        <v>-304.99509999999998</v>
      </c>
      <c r="H5786" s="1">
        <v>-2.8408329999999998E-6</v>
      </c>
      <c r="I5786">
        <v>-6.2645650000000002</v>
      </c>
      <c r="J5786">
        <v>-307.32400000000001</v>
      </c>
      <c r="K5786">
        <v>1.051248</v>
      </c>
      <c r="L5786">
        <v>9.6866149999999998</v>
      </c>
      <c r="M5786">
        <v>0.71022059999999998</v>
      </c>
      <c r="N5786">
        <v>0</v>
      </c>
      <c r="O5786">
        <v>-0.70382109999999998</v>
      </c>
      <c r="P5786">
        <v>0.35123090000000001</v>
      </c>
      <c r="Q5786">
        <v>0.16414119999999999</v>
      </c>
      <c r="R5786">
        <v>-0.92178879999999996</v>
      </c>
      <c r="S5786">
        <v>0.48062129999999997</v>
      </c>
      <c r="T5786">
        <v>-0.2031068</v>
      </c>
      <c r="U5786">
        <v>-3.115265</v>
      </c>
      <c r="V5786">
        <v>0.41131709999999999</v>
      </c>
      <c r="W5786">
        <v>0.16853270000000001</v>
      </c>
      <c r="X5786">
        <v>0.89577619999999902</v>
      </c>
      <c r="Y5786">
        <v>0.59458330000000004</v>
      </c>
      <c r="Z5786">
        <v>3.0223219999999999E-2</v>
      </c>
      <c r="AA5786">
        <v>0.80346580000000001</v>
      </c>
      <c r="AB5786">
        <v>24</v>
      </c>
      <c r="AC5786">
        <v>2.3289000000000302</v>
      </c>
      <c r="AD5786">
        <v>-1.0512508408329999</v>
      </c>
      <c r="AE5786">
        <v>-15.9511799999999</v>
      </c>
      <c r="AF5786">
        <v>9.64976835911596</v>
      </c>
      <c r="AG5786">
        <v>-1.0512508408329999</v>
      </c>
      <c r="AH5786">
        <v>12.827690845756299</v>
      </c>
      <c r="AI5786">
        <v>93.746961862463195</v>
      </c>
      <c r="AJ5786">
        <v>53.047292091927702</v>
      </c>
      <c r="AK5786">
        <v>16.086416945648502</v>
      </c>
      <c r="AL5786">
        <v>80.297482050838894</v>
      </c>
      <c r="AM5786">
        <v>65.336645183148093</v>
      </c>
      <c r="AN5786">
        <v>1.0000000141040699</v>
      </c>
    </row>
    <row r="5787" spans="1:40" x14ac:dyDescent="0.25">
      <c r="A5787" t="str">
        <f>"20190312173040837"</f>
        <v>20190312173040837</v>
      </c>
      <c r="B5787" t="str">
        <f>"1552383040833763"</f>
        <v>1552383040833763</v>
      </c>
      <c r="C5787" t="s">
        <v>40</v>
      </c>
      <c r="D5787">
        <v>3.3569779999999998</v>
      </c>
      <c r="E5787">
        <v>0.58286559999999998</v>
      </c>
      <c r="F5787" t="s">
        <v>41</v>
      </c>
      <c r="G5787">
        <v>-304.98239999999998</v>
      </c>
      <c r="H5787" s="1">
        <v>-3.0658290000000001E-6</v>
      </c>
      <c r="I5787">
        <v>-5.7814310000000004</v>
      </c>
      <c r="J5787">
        <v>-307.15809999999999</v>
      </c>
      <c r="K5787">
        <v>1.05124</v>
      </c>
      <c r="L5787">
        <v>9.5005489999999995</v>
      </c>
      <c r="M5787">
        <v>0.70047999999999999</v>
      </c>
      <c r="N5787">
        <v>0</v>
      </c>
      <c r="O5787">
        <v>-0.71351589999999998</v>
      </c>
      <c r="P5787">
        <v>0.34009990000000001</v>
      </c>
      <c r="Q5787">
        <v>0.16461249999999999</v>
      </c>
      <c r="R5787">
        <v>-0.92586959999999996</v>
      </c>
      <c r="S5787">
        <v>0.47122190000000003</v>
      </c>
      <c r="T5787">
        <v>-0.2115456</v>
      </c>
      <c r="U5787">
        <v>-3.1126710000000002</v>
      </c>
      <c r="V5787">
        <v>0.40974729999999998</v>
      </c>
      <c r="W5787">
        <v>0.169045</v>
      </c>
      <c r="X5787">
        <v>0.8963989</v>
      </c>
      <c r="Y5787">
        <v>0.58577699999999999</v>
      </c>
      <c r="Z5787">
        <v>3.2663150000000002E-2</v>
      </c>
      <c r="AA5787">
        <v>0.80981380000000003</v>
      </c>
      <c r="AB5787">
        <v>24</v>
      </c>
      <c r="AC5787">
        <v>2.1757</v>
      </c>
      <c r="AD5787">
        <v>-1.051243065829</v>
      </c>
      <c r="AE5787">
        <v>-15.2819799999999</v>
      </c>
      <c r="AF5787">
        <v>9.11108731761583</v>
      </c>
      <c r="AG5787">
        <v>-1.051243065829</v>
      </c>
      <c r="AH5787">
        <v>12.371973535924599</v>
      </c>
      <c r="AI5787">
        <v>93.914011113459196</v>
      </c>
      <c r="AJ5787">
        <v>53.630969889436798</v>
      </c>
      <c r="AK5787">
        <v>15.400738724694101</v>
      </c>
      <c r="AL5787">
        <v>80.267702254057198</v>
      </c>
      <c r="AM5787">
        <v>65.434681997175502</v>
      </c>
      <c r="AN5787">
        <v>1.00000002490174</v>
      </c>
    </row>
    <row r="5788" spans="1:40" x14ac:dyDescent="0.25">
      <c r="A5788" t="str">
        <f>"20190312173040853"</f>
        <v>20190312173040853</v>
      </c>
      <c r="B5788" t="str">
        <f>"1552383040843523"</f>
        <v>1552383040843523</v>
      </c>
      <c r="C5788" t="s">
        <v>40</v>
      </c>
      <c r="D5788">
        <v>3.3915920000000002</v>
      </c>
      <c r="E5788">
        <v>0.58260179999999995</v>
      </c>
      <c r="F5788" t="s">
        <v>41</v>
      </c>
      <c r="G5788">
        <v>-304.9676</v>
      </c>
      <c r="H5788" s="1">
        <v>-2.9905969999999999E-6</v>
      </c>
      <c r="I5788">
        <v>-5.9322619999999997</v>
      </c>
      <c r="J5788">
        <v>-307.04349999999999</v>
      </c>
      <c r="K5788">
        <v>1.0512410000000001</v>
      </c>
      <c r="L5788">
        <v>9.3688660000000006</v>
      </c>
      <c r="M5788">
        <v>0.69356470000000003</v>
      </c>
      <c r="N5788">
        <v>0</v>
      </c>
      <c r="O5788">
        <v>-0.72023959999999998</v>
      </c>
      <c r="P5788">
        <v>0.33217000000000002</v>
      </c>
      <c r="Q5788">
        <v>0.164971799999999</v>
      </c>
      <c r="R5788">
        <v>-0.92868039999999996</v>
      </c>
      <c r="S5788">
        <v>0.44219969999999997</v>
      </c>
      <c r="T5788">
        <v>-0.2122183</v>
      </c>
      <c r="U5788">
        <v>-3.1154790000000001</v>
      </c>
      <c r="V5788">
        <v>0.40872710000000001</v>
      </c>
      <c r="W5788">
        <v>0.16943459999999999</v>
      </c>
      <c r="X5788">
        <v>0.896791</v>
      </c>
      <c r="Y5788">
        <v>0.58545740000000002</v>
      </c>
      <c r="Z5788">
        <v>3.3394569999999998E-2</v>
      </c>
      <c r="AA5788">
        <v>0.81001509999999999</v>
      </c>
      <c r="AB5788">
        <v>24</v>
      </c>
      <c r="AC5788">
        <v>2.0758999999999901</v>
      </c>
      <c r="AD5788">
        <v>-1.0512439905969999</v>
      </c>
      <c r="AE5788">
        <v>-15.301128</v>
      </c>
      <c r="AF5788">
        <v>9.0761264464427303</v>
      </c>
      <c r="AG5788">
        <v>-1.0512439905969999</v>
      </c>
      <c r="AH5788">
        <v>12.4041465475665</v>
      </c>
      <c r="AI5788">
        <v>93.912682409815702</v>
      </c>
      <c r="AJ5788">
        <v>53.807028386547998</v>
      </c>
      <c r="AK5788">
        <v>15.405974061158499</v>
      </c>
      <c r="AL5788">
        <v>80.245052973677701</v>
      </c>
      <c r="AM5788">
        <v>65.498101058615802</v>
      </c>
      <c r="AN5788">
        <v>1.00000001181628</v>
      </c>
    </row>
    <row r="5789" spans="1:40" x14ac:dyDescent="0.25">
      <c r="A5789" t="str">
        <f>"20190312173040870"</f>
        <v>20190312173040870</v>
      </c>
      <c r="B5789" t="str">
        <f>"1552383040864018"</f>
        <v>1552383040864018</v>
      </c>
      <c r="C5789" t="s">
        <v>40</v>
      </c>
      <c r="D5789">
        <v>3.4008470000000002</v>
      </c>
      <c r="E5789">
        <v>0.58204809999999996</v>
      </c>
      <c r="F5789" t="s">
        <v>41</v>
      </c>
      <c r="G5789">
        <v>-304.96449999999999</v>
      </c>
      <c r="H5789" s="1">
        <v>-2.8871790000000001E-6</v>
      </c>
      <c r="I5789">
        <v>-6.1493099999999998</v>
      </c>
      <c r="J5789">
        <v>-306.9171</v>
      </c>
      <c r="K5789">
        <v>1.051245</v>
      </c>
      <c r="L5789">
        <v>9.2207340000000002</v>
      </c>
      <c r="M5789">
        <v>0.6857647</v>
      </c>
      <c r="N5789">
        <v>0</v>
      </c>
      <c r="O5789">
        <v>-0.72767009999999999</v>
      </c>
      <c r="P5789">
        <v>0.32336939999999997</v>
      </c>
      <c r="Q5789">
        <v>0.16589429999999999</v>
      </c>
      <c r="R5789">
        <v>-0.93161729999999998</v>
      </c>
      <c r="S5789">
        <v>0.41778559999999998</v>
      </c>
      <c r="T5789">
        <v>-0.21125360000000001</v>
      </c>
      <c r="U5789">
        <v>-3.1184690000000002</v>
      </c>
      <c r="V5789">
        <v>0.40745229999999999</v>
      </c>
      <c r="W5789">
        <v>0.17039599999999999</v>
      </c>
      <c r="X5789">
        <v>0.89718880000000001</v>
      </c>
      <c r="Y5789">
        <v>0.58306069999999999</v>
      </c>
      <c r="Z5789">
        <v>3.3988749999999998E-2</v>
      </c>
      <c r="AA5789">
        <v>0.81171729999999997</v>
      </c>
      <c r="AB5789">
        <v>24</v>
      </c>
      <c r="AC5789">
        <v>1.9526000000000101</v>
      </c>
      <c r="AD5789">
        <v>-1.0512478871789901</v>
      </c>
      <c r="AE5789">
        <v>-15.370044</v>
      </c>
      <c r="AF5789">
        <v>9.0786067907814694</v>
      </c>
      <c r="AG5789">
        <v>-1.0512478871789901</v>
      </c>
      <c r="AH5789">
        <v>12.467346294105299</v>
      </c>
      <c r="AI5789">
        <v>93.899416444737994</v>
      </c>
      <c r="AJ5789">
        <v>53.938237530005303</v>
      </c>
      <c r="AK5789">
        <v>15.4583617178232</v>
      </c>
      <c r="AL5789">
        <v>80.189155462078901</v>
      </c>
      <c r="AM5789">
        <v>65.575143429797393</v>
      </c>
      <c r="AN5789">
        <v>0.99999995821836396</v>
      </c>
    </row>
    <row r="5790" spans="1:40" x14ac:dyDescent="0.25">
      <c r="A5790" t="str">
        <f>"20190312173040893"</f>
        <v>20190312173040893</v>
      </c>
      <c r="B5790" t="str">
        <f>"1552383040883539"</f>
        <v>1552383040883539</v>
      </c>
      <c r="C5790" t="s">
        <v>40</v>
      </c>
      <c r="D5790">
        <v>3.4035039999999999</v>
      </c>
      <c r="E5790">
        <v>0.57892299999999997</v>
      </c>
      <c r="F5790" t="s">
        <v>41</v>
      </c>
      <c r="G5790">
        <v>-304.94850000000002</v>
      </c>
      <c r="H5790" s="1">
        <v>-2.7651739999999999E-6</v>
      </c>
      <c r="I5790">
        <v>-6.3984269999999999</v>
      </c>
      <c r="J5790">
        <v>-306.755</v>
      </c>
      <c r="K5790">
        <v>1.0512549999999901</v>
      </c>
      <c r="L5790">
        <v>9.0256959999999999</v>
      </c>
      <c r="M5790">
        <v>0.6754732</v>
      </c>
      <c r="N5790">
        <v>0</v>
      </c>
      <c r="O5790">
        <v>-0.73723349999999999</v>
      </c>
      <c r="P5790">
        <v>0.31145640000000002</v>
      </c>
      <c r="Q5790">
        <v>0.16638749999999999</v>
      </c>
      <c r="R5790">
        <v>-0.93558019999999997</v>
      </c>
      <c r="S5790">
        <v>0.39337159999999999</v>
      </c>
      <c r="T5790">
        <v>-0.21006320000000001</v>
      </c>
      <c r="U5790">
        <v>-3.1210629999999999</v>
      </c>
      <c r="V5790">
        <v>0.40623789999999999</v>
      </c>
      <c r="W5790">
        <v>0.17093449999999999</v>
      </c>
      <c r="X5790">
        <v>0.89763700000000002</v>
      </c>
      <c r="Y5790">
        <v>0.5779801</v>
      </c>
      <c r="Z5790">
        <v>3.4816479999999997E-2</v>
      </c>
      <c r="AA5790">
        <v>0.81530789999999997</v>
      </c>
      <c r="AB5790">
        <v>24</v>
      </c>
      <c r="AC5790">
        <v>1.80649999999997</v>
      </c>
      <c r="AD5790">
        <v>-1.0512577651739901</v>
      </c>
      <c r="AE5790">
        <v>-15.424123</v>
      </c>
      <c r="AF5790">
        <v>9.0463268782045105</v>
      </c>
      <c r="AG5790">
        <v>-1.0512577651739901</v>
      </c>
      <c r="AH5790">
        <v>12.535381820619</v>
      </c>
      <c r="AI5790">
        <v>93.890365086467895</v>
      </c>
      <c r="AJ5790">
        <v>54.183393141835801</v>
      </c>
      <c r="AK5790">
        <v>15.494417390301299</v>
      </c>
      <c r="AL5790">
        <v>80.157842796684605</v>
      </c>
      <c r="AM5790">
        <v>65.650219938449595</v>
      </c>
      <c r="AN5790">
        <v>1.0000000092278301</v>
      </c>
    </row>
    <row r="5791" spans="1:40" x14ac:dyDescent="0.25">
      <c r="A5791" t="str">
        <f>"20190312173040915"</f>
        <v>20190312173040915</v>
      </c>
      <c r="B5791" t="str">
        <f>"1552383040903058"</f>
        <v>1552383040903058</v>
      </c>
      <c r="C5791" t="s">
        <v>40</v>
      </c>
      <c r="D5791">
        <v>3.3930340000000001</v>
      </c>
      <c r="E5791">
        <v>0.57832039999999996</v>
      </c>
      <c r="F5791" t="s">
        <v>41</v>
      </c>
      <c r="G5791">
        <v>-304.94380000000001</v>
      </c>
      <c r="H5791" s="1">
        <v>-2.9929659999999999E-6</v>
      </c>
      <c r="I5791">
        <v>-5.9138400000000004</v>
      </c>
      <c r="J5791">
        <v>-306.60059999999999</v>
      </c>
      <c r="K5791">
        <v>1.051269</v>
      </c>
      <c r="L5791">
        <v>8.8345640000000003</v>
      </c>
      <c r="M5791">
        <v>0.6653656</v>
      </c>
      <c r="N5791">
        <v>0</v>
      </c>
      <c r="O5791">
        <v>-0.74636829999999998</v>
      </c>
      <c r="P5791">
        <v>0.2998053</v>
      </c>
      <c r="Q5791">
        <v>0.1669987</v>
      </c>
      <c r="R5791">
        <v>-0.9392703</v>
      </c>
      <c r="S5791">
        <v>0.37823489999999999</v>
      </c>
      <c r="T5791">
        <v>-0.2195249</v>
      </c>
      <c r="U5791">
        <v>-3.1196899999999999</v>
      </c>
      <c r="V5791">
        <v>0.40509460000000003</v>
      </c>
      <c r="W5791">
        <v>0.17159269999999999</v>
      </c>
      <c r="X5791">
        <v>0.89802800000000005</v>
      </c>
      <c r="Y5791">
        <v>0.57069799999999904</v>
      </c>
      <c r="Z5791">
        <v>3.7503250000000002E-2</v>
      </c>
      <c r="AA5791">
        <v>0.82030309999999995</v>
      </c>
      <c r="AB5791">
        <v>24</v>
      </c>
      <c r="AC5791">
        <v>1.6567999999999701</v>
      </c>
      <c r="AD5791">
        <v>-1.0512719929659999</v>
      </c>
      <c r="AE5791">
        <v>-14.748404000000001</v>
      </c>
      <c r="AF5791">
        <v>8.5346308881631696</v>
      </c>
      <c r="AG5791">
        <v>-1.0512719929659999</v>
      </c>
      <c r="AH5791">
        <v>12.0510025325546</v>
      </c>
      <c r="AI5791">
        <v>94.072031180707199</v>
      </c>
      <c r="AJ5791">
        <v>54.693522819806503</v>
      </c>
      <c r="AK5791">
        <v>14.8044506564756</v>
      </c>
      <c r="AL5791">
        <v>80.119564971854103</v>
      </c>
      <c r="AM5791">
        <v>65.720173437322799</v>
      </c>
      <c r="AN5791">
        <v>0.99999998921322497</v>
      </c>
    </row>
    <row r="5792" spans="1:40" x14ac:dyDescent="0.25">
      <c r="A5792" t="str">
        <f>"20190312173040938"</f>
        <v>20190312173040938</v>
      </c>
      <c r="B5792" t="str">
        <f>"1552383040933336"</f>
        <v>1552383040933336</v>
      </c>
      <c r="C5792" t="s">
        <v>40</v>
      </c>
      <c r="D5792">
        <v>3.4070320000000001</v>
      </c>
      <c r="E5792">
        <v>0.57554629999999996</v>
      </c>
      <c r="F5792" t="s">
        <v>41</v>
      </c>
      <c r="G5792">
        <v>-304.9332</v>
      </c>
      <c r="H5792" s="1">
        <v>-2.8117940000000002E-6</v>
      </c>
      <c r="I5792">
        <v>-6.2911429999999999</v>
      </c>
      <c r="J5792">
        <v>-306.44810000000001</v>
      </c>
      <c r="K5792">
        <v>1.051293</v>
      </c>
      <c r="L5792">
        <v>8.6405030000000007</v>
      </c>
      <c r="M5792">
        <v>0.65508409999999995</v>
      </c>
      <c r="N5792">
        <v>0</v>
      </c>
      <c r="O5792">
        <v>-0.75540850000000004</v>
      </c>
      <c r="P5792">
        <v>0.28796090000000002</v>
      </c>
      <c r="Q5792">
        <v>0.1673066</v>
      </c>
      <c r="R5792">
        <v>-0.94291429999999998</v>
      </c>
      <c r="S5792">
        <v>0.3442383</v>
      </c>
      <c r="T5792">
        <v>-0.21703349999999999</v>
      </c>
      <c r="U5792">
        <v>-3.122681</v>
      </c>
      <c r="V5792">
        <v>0.40406039999999999</v>
      </c>
      <c r="W5792">
        <v>0.1719473</v>
      </c>
      <c r="X5792">
        <v>0.89842610000000001</v>
      </c>
      <c r="Y5792">
        <v>0.56836919999999902</v>
      </c>
      <c r="Z5792">
        <v>3.8005320000000002E-2</v>
      </c>
      <c r="AA5792">
        <v>0.82189539999999905</v>
      </c>
      <c r="AB5792">
        <v>24</v>
      </c>
      <c r="AC5792">
        <v>1.5149000000000099</v>
      </c>
      <c r="AD5792">
        <v>-1.0512958117939999</v>
      </c>
      <c r="AE5792">
        <v>-14.931645999999899</v>
      </c>
      <c r="AF5792">
        <v>8.5959006997574399</v>
      </c>
      <c r="AG5792">
        <v>-1.0512958117939999</v>
      </c>
      <c r="AH5792">
        <v>12.213319892019101</v>
      </c>
      <c r="AI5792">
        <v>94.026485317004699</v>
      </c>
      <c r="AJ5792">
        <v>54.861595768783801</v>
      </c>
      <c r="AK5792">
        <v>14.9719709627282</v>
      </c>
      <c r="AL5792">
        <v>80.098942158887994</v>
      </c>
      <c r="AM5792">
        <v>65.784525037669098</v>
      </c>
      <c r="AN5792">
        <v>1.0000000689933199</v>
      </c>
    </row>
    <row r="5793" spans="1:40" x14ac:dyDescent="0.25">
      <c r="A5793" t="str">
        <f>"20190312173040954"</f>
        <v>20190312173040954</v>
      </c>
      <c r="B5793" t="str">
        <f>"1552383040943075"</f>
        <v>1552383040943075</v>
      </c>
      <c r="C5793" t="s">
        <v>40</v>
      </c>
      <c r="D5793">
        <v>3.4026770000000002</v>
      </c>
      <c r="E5793">
        <v>0.57550029999999996</v>
      </c>
      <c r="F5793" t="s">
        <v>41</v>
      </c>
      <c r="G5793">
        <v>-304.88170000000002</v>
      </c>
      <c r="H5793" s="1">
        <v>-2.7672459999999999E-6</v>
      </c>
      <c r="I5793">
        <v>-6.3564439999999998</v>
      </c>
      <c r="J5793">
        <v>-306.33749999999998</v>
      </c>
      <c r="K5793">
        <v>1.0513110000000001</v>
      </c>
      <c r="L5793">
        <v>8.4960939999999994</v>
      </c>
      <c r="M5793">
        <v>0.64742929999999999</v>
      </c>
      <c r="N5793">
        <v>0</v>
      </c>
      <c r="O5793">
        <v>-0.76197930000000003</v>
      </c>
      <c r="P5793">
        <v>0.27876800000000002</v>
      </c>
      <c r="Q5793">
        <v>0.16758599999999901</v>
      </c>
      <c r="R5793">
        <v>-0.94562349999999995</v>
      </c>
      <c r="S5793">
        <v>0.32595829999999998</v>
      </c>
      <c r="T5793">
        <v>-0.21877569999999999</v>
      </c>
      <c r="U5793">
        <v>-3.1208800000000001</v>
      </c>
      <c r="V5793">
        <v>0.40370830000000002</v>
      </c>
      <c r="W5793">
        <v>0.17225119999999999</v>
      </c>
      <c r="X5793">
        <v>0.89852609999999999</v>
      </c>
      <c r="Y5793">
        <v>0.56477719999999998</v>
      </c>
      <c r="Z5793">
        <v>3.9085170000000002E-2</v>
      </c>
      <c r="AA5793">
        <v>0.82431730000000003</v>
      </c>
      <c r="AB5793">
        <v>24</v>
      </c>
      <c r="AC5793">
        <v>1.45579999999995</v>
      </c>
      <c r="AD5793">
        <v>-1.051313767246</v>
      </c>
      <c r="AE5793">
        <v>-14.852537999999999</v>
      </c>
      <c r="AF5793">
        <v>8.4656152050490299</v>
      </c>
      <c r="AG5793">
        <v>-1.051313767246</v>
      </c>
      <c r="AH5793">
        <v>12.2006730699089</v>
      </c>
      <c r="AI5793">
        <v>94.049524074533494</v>
      </c>
      <c r="AJ5793">
        <v>55.244588122751303</v>
      </c>
      <c r="AK5793">
        <v>14.887186597741</v>
      </c>
      <c r="AL5793">
        <v>80.081265648961406</v>
      </c>
      <c r="AM5793">
        <v>65.805588707470505</v>
      </c>
      <c r="AN5793">
        <v>1.00000000988577</v>
      </c>
    </row>
    <row r="5794" spans="1:40" x14ac:dyDescent="0.25">
      <c r="A5794" t="str">
        <f>"20190312173040972"</f>
        <v>20190312173040972</v>
      </c>
      <c r="B5794" t="str">
        <f>"1552383040963571"</f>
        <v>1552383040963571</v>
      </c>
      <c r="C5794" t="s">
        <v>40</v>
      </c>
      <c r="D5794">
        <v>3.4163019999999902</v>
      </c>
      <c r="E5794">
        <v>0.57484080000000004</v>
      </c>
      <c r="F5794" t="s">
        <v>41</v>
      </c>
      <c r="G5794">
        <v>-304.91449999999998</v>
      </c>
      <c r="H5794" s="1">
        <v>-2.6987699999999999E-6</v>
      </c>
      <c r="I5794">
        <v>-6.519736</v>
      </c>
      <c r="J5794">
        <v>-306.22039999999998</v>
      </c>
      <c r="K5794">
        <v>1.0513380000000001</v>
      </c>
      <c r="L5794">
        <v>8.3399959999999993</v>
      </c>
      <c r="M5794">
        <v>0.63914469999999901</v>
      </c>
      <c r="N5794">
        <v>0</v>
      </c>
      <c r="O5794">
        <v>-0.76894180000000001</v>
      </c>
      <c r="P5794">
        <v>0.26952520000000002</v>
      </c>
      <c r="Q5794">
        <v>0.16846140000000001</v>
      </c>
      <c r="R5794">
        <v>-0.94814410000000005</v>
      </c>
      <c r="S5794">
        <v>0.29605100000000001</v>
      </c>
      <c r="T5794">
        <v>-0.21872230000000001</v>
      </c>
      <c r="U5794">
        <v>-3.123993</v>
      </c>
      <c r="V5794">
        <v>0.40266279999999999</v>
      </c>
      <c r="W5794">
        <v>0.17317080000000001</v>
      </c>
      <c r="X5794">
        <v>0.89881840000000002</v>
      </c>
      <c r="Y5794">
        <v>0.56374999999999997</v>
      </c>
      <c r="Z5794">
        <v>3.97664E-2</v>
      </c>
      <c r="AA5794">
        <v>0.82498760000000004</v>
      </c>
      <c r="AB5794">
        <v>24</v>
      </c>
      <c r="AC5794">
        <v>1.3059000000000001</v>
      </c>
      <c r="AD5794">
        <v>-1.05134069876999</v>
      </c>
      <c r="AE5794">
        <v>-14.859731999999999</v>
      </c>
      <c r="AF5794">
        <v>8.4523176350424105</v>
      </c>
      <c r="AG5794">
        <v>-1.05134069876999</v>
      </c>
      <c r="AH5794">
        <v>12.2016828767063</v>
      </c>
      <c r="AI5794">
        <v>94.051461956746294</v>
      </c>
      <c r="AJ5794">
        <v>55.288982013262597</v>
      </c>
      <c r="AK5794">
        <v>14.880458853551801</v>
      </c>
      <c r="AL5794">
        <v>80.0277723465028</v>
      </c>
      <c r="AM5794">
        <v>65.868036804175901</v>
      </c>
      <c r="AN5794">
        <v>0.99999998632751996</v>
      </c>
    </row>
    <row r="5795" spans="1:40" x14ac:dyDescent="0.25">
      <c r="A5795" t="str">
        <f>"20190312173040994"</f>
        <v>20190312173040994</v>
      </c>
      <c r="B5795" t="str">
        <f>"1552383040984068"</f>
        <v>1552383040984068</v>
      </c>
      <c r="C5795" t="s">
        <v>40</v>
      </c>
      <c r="D5795">
        <v>3.4207960000000002</v>
      </c>
      <c r="E5795">
        <v>0.57087580000000004</v>
      </c>
      <c r="F5795" t="s">
        <v>41</v>
      </c>
      <c r="G5795">
        <v>-304.92829999999998</v>
      </c>
      <c r="H5795" s="1">
        <v>-2.6731049999999998E-6</v>
      </c>
      <c r="I5795">
        <v>-6.5817789999999903</v>
      </c>
      <c r="J5795">
        <v>-306.07530000000003</v>
      </c>
      <c r="K5795">
        <v>1.0513729999999999</v>
      </c>
      <c r="L5795">
        <v>8.1414179999999998</v>
      </c>
      <c r="M5795">
        <v>0.62860280000000002</v>
      </c>
      <c r="N5795">
        <v>0</v>
      </c>
      <c r="O5795">
        <v>-0.77758349999999998</v>
      </c>
      <c r="P5795">
        <v>0.2576811</v>
      </c>
      <c r="Q5795">
        <v>0.169741</v>
      </c>
      <c r="R5795">
        <v>-0.95120389999999999</v>
      </c>
      <c r="S5795">
        <v>0.2707214</v>
      </c>
      <c r="T5795">
        <v>-0.22026570000000001</v>
      </c>
      <c r="U5795">
        <v>-3.1262509999999999</v>
      </c>
      <c r="V5795">
        <v>0.40148850000000003</v>
      </c>
      <c r="W5795">
        <v>0.17450260000000001</v>
      </c>
      <c r="X5795">
        <v>0.899086099999999</v>
      </c>
      <c r="Y5795">
        <v>0.55917600000000001</v>
      </c>
      <c r="Z5795">
        <v>4.1012180000000002E-2</v>
      </c>
      <c r="AA5795">
        <v>0.82803400000000005</v>
      </c>
      <c r="AB5795">
        <v>24</v>
      </c>
      <c r="AC5795">
        <v>1.14700000000004</v>
      </c>
      <c r="AD5795">
        <v>-1.0513756731049999</v>
      </c>
      <c r="AE5795">
        <v>-14.723197000000001</v>
      </c>
      <c r="AF5795">
        <v>8.3219048106575695</v>
      </c>
      <c r="AG5795">
        <v>-1.0513756731049999</v>
      </c>
      <c r="AH5795">
        <v>12.1094984588094</v>
      </c>
      <c r="AI5795">
        <v>94.092801214435099</v>
      </c>
      <c r="AJ5795">
        <v>55.502323128380397</v>
      </c>
      <c r="AK5795">
        <v>14.730900970665299</v>
      </c>
      <c r="AL5795">
        <v>79.9502861309644</v>
      </c>
      <c r="AM5795">
        <v>65.936764514048704</v>
      </c>
      <c r="AN5795">
        <v>0.99999999412610896</v>
      </c>
    </row>
    <row r="5796" spans="1:40" x14ac:dyDescent="0.25">
      <c r="A5796" t="str">
        <f>"20190312173041016"</f>
        <v>20190312173041016</v>
      </c>
      <c r="B5796" t="str">
        <f>"1552383041003587"</f>
        <v>1552383041003587</v>
      </c>
      <c r="C5796" t="s">
        <v>40</v>
      </c>
      <c r="D5796">
        <v>3.4075540000000002</v>
      </c>
      <c r="E5796">
        <v>0.5707217</v>
      </c>
      <c r="F5796" t="s">
        <v>41</v>
      </c>
      <c r="G5796">
        <v>-304.82819999999998</v>
      </c>
      <c r="H5796" s="1">
        <v>-2.6022689999999998E-6</v>
      </c>
      <c r="I5796">
        <v>-6.6753239999999998</v>
      </c>
      <c r="J5796">
        <v>-305.93959999999998</v>
      </c>
      <c r="K5796">
        <v>1.0514030000000001</v>
      </c>
      <c r="L5796">
        <v>7.9505309999999998</v>
      </c>
      <c r="M5796">
        <v>0.61846119999999905</v>
      </c>
      <c r="N5796">
        <v>0</v>
      </c>
      <c r="O5796">
        <v>-0.78567369999999903</v>
      </c>
      <c r="P5796">
        <v>0.24715960000000001</v>
      </c>
      <c r="Q5796">
        <v>0.170964899999999</v>
      </c>
      <c r="R5796">
        <v>-0.95377310000000004</v>
      </c>
      <c r="S5796">
        <v>0.26278689999999999</v>
      </c>
      <c r="T5796">
        <v>-0.22155069999999999</v>
      </c>
      <c r="U5796">
        <v>-3.1222530000000002</v>
      </c>
      <c r="V5796">
        <v>0.39962809999999999</v>
      </c>
      <c r="W5796">
        <v>0.175797799999999</v>
      </c>
      <c r="X5796">
        <v>0.89966239999999997</v>
      </c>
      <c r="Y5796">
        <v>0.5503981</v>
      </c>
      <c r="Z5796">
        <v>4.2351800000000002E-2</v>
      </c>
      <c r="AA5796">
        <v>0.83382749999999894</v>
      </c>
      <c r="AB5796">
        <v>24</v>
      </c>
      <c r="AC5796">
        <v>1.1113999999999999</v>
      </c>
      <c r="AD5796">
        <v>-1.0514056022689999</v>
      </c>
      <c r="AE5796">
        <v>-14.625855</v>
      </c>
      <c r="AF5796">
        <v>8.1314559894204592</v>
      </c>
      <c r="AG5796">
        <v>-1.0514056022689999</v>
      </c>
      <c r="AH5796">
        <v>12.1176022406196</v>
      </c>
      <c r="AI5796">
        <v>94.120949720084099</v>
      </c>
      <c r="AJ5796">
        <v>56.136612248279398</v>
      </c>
      <c r="AK5796">
        <v>14.630868542579201</v>
      </c>
      <c r="AL5796">
        <v>79.8749111132678</v>
      </c>
      <c r="AM5796">
        <v>66.0493106013204</v>
      </c>
      <c r="AN5796">
        <v>0.99999995938410402</v>
      </c>
    </row>
    <row r="5797" spans="1:40" x14ac:dyDescent="0.25">
      <c r="A5797" t="str">
        <f>"20190312173041038"</f>
        <v>20190312173041038</v>
      </c>
      <c r="B5797" t="str">
        <f>"1552383041033846"</f>
        <v>1552383041033846</v>
      </c>
      <c r="C5797" t="s">
        <v>40</v>
      </c>
      <c r="D5797">
        <v>3.4374380000000002</v>
      </c>
      <c r="E5797">
        <v>0.56955500000000003</v>
      </c>
      <c r="F5797" t="s">
        <v>41</v>
      </c>
      <c r="G5797">
        <v>-304.84960000000001</v>
      </c>
      <c r="H5797" s="1">
        <v>-2.5016139999999999E-6</v>
      </c>
      <c r="I5797">
        <v>-6.9003039999999896</v>
      </c>
      <c r="J5797">
        <v>-305.7971</v>
      </c>
      <c r="K5797">
        <v>1.0514380000000001</v>
      </c>
      <c r="L5797">
        <v>7.7443850000000003</v>
      </c>
      <c r="M5797">
        <v>0.60750839999999995</v>
      </c>
      <c r="N5797">
        <v>0</v>
      </c>
      <c r="O5797">
        <v>-0.79417329999999997</v>
      </c>
      <c r="P5797">
        <v>0.23632149999999999</v>
      </c>
      <c r="Q5797">
        <v>0.1716551</v>
      </c>
      <c r="R5797">
        <v>-0.95639260000000004</v>
      </c>
      <c r="S5797">
        <v>0.22940060000000001</v>
      </c>
      <c r="T5797">
        <v>-0.22128819999999999</v>
      </c>
      <c r="U5797">
        <v>-3.1256409999999999</v>
      </c>
      <c r="V5797">
        <v>0.3972811</v>
      </c>
      <c r="W5797">
        <v>0.1765784</v>
      </c>
      <c r="X5797">
        <v>0.90054859999999903</v>
      </c>
      <c r="Y5797">
        <v>0.54775369999999901</v>
      </c>
      <c r="Z5797">
        <v>4.319506E-2</v>
      </c>
      <c r="AA5797">
        <v>0.83552380000000004</v>
      </c>
      <c r="AB5797">
        <v>24</v>
      </c>
      <c r="AC5797">
        <v>0.94749999999999002</v>
      </c>
      <c r="AD5797">
        <v>-1.0514405016139901</v>
      </c>
      <c r="AE5797">
        <v>-14.644689</v>
      </c>
      <c r="AF5797">
        <v>8.10359977983906</v>
      </c>
      <c r="AG5797">
        <v>-1.0514405016139901</v>
      </c>
      <c r="AH5797">
        <v>12.1450482776503</v>
      </c>
      <c r="AI5797">
        <v>94.119027293114996</v>
      </c>
      <c r="AJ5797">
        <v>56.287399623093698</v>
      </c>
      <c r="AK5797">
        <v>14.6381711353126</v>
      </c>
      <c r="AL5797">
        <v>79.829475588456802</v>
      </c>
      <c r="AM5797">
        <v>66.195108479558399</v>
      </c>
      <c r="AN5797">
        <v>0.99999999236286496</v>
      </c>
    </row>
    <row r="5798" spans="1:40" x14ac:dyDescent="0.25">
      <c r="A5798" t="str">
        <f>"20190312173041060"</f>
        <v>20190312173041060</v>
      </c>
      <c r="B5798" t="str">
        <f>"1552383041053363"</f>
        <v>1552383041053363</v>
      </c>
      <c r="C5798" t="s">
        <v>40</v>
      </c>
      <c r="D5798">
        <v>3.4347500000000002</v>
      </c>
      <c r="E5798">
        <v>0.56898149999999903</v>
      </c>
      <c r="F5798" t="s">
        <v>41</v>
      </c>
      <c r="G5798">
        <v>-304.84539999999998</v>
      </c>
      <c r="H5798" s="1">
        <v>-2.4751120000000001E-6</v>
      </c>
      <c r="I5798">
        <v>-6.9540059999999997</v>
      </c>
      <c r="J5798">
        <v>-305.66379999999998</v>
      </c>
      <c r="K5798">
        <v>1.0514779999999999</v>
      </c>
      <c r="L5798">
        <v>7.5457759999999903</v>
      </c>
      <c r="M5798">
        <v>0.59696530000000003</v>
      </c>
      <c r="N5798">
        <v>0</v>
      </c>
      <c r="O5798">
        <v>-0.80212879999999998</v>
      </c>
      <c r="P5798">
        <v>0.22628789999999999</v>
      </c>
      <c r="Q5798">
        <v>0.17224120000000001</v>
      </c>
      <c r="R5798">
        <v>-0.95871110000000004</v>
      </c>
      <c r="S5798">
        <v>0.20245360000000001</v>
      </c>
      <c r="T5798">
        <v>-0.2236803</v>
      </c>
      <c r="U5798">
        <v>-3.1268919999999998</v>
      </c>
      <c r="V5798">
        <v>0.39474730000000002</v>
      </c>
      <c r="W5798">
        <v>0.17726259999999999</v>
      </c>
      <c r="X5798">
        <v>0.90152790000000005</v>
      </c>
      <c r="Y5798">
        <v>0.54389350000000003</v>
      </c>
      <c r="Z5798">
        <v>4.4564899999999998E-2</v>
      </c>
      <c r="AA5798">
        <v>0.83797009999999905</v>
      </c>
      <c r="AB5798">
        <v>24</v>
      </c>
      <c r="AC5798">
        <v>0.81839999999999602</v>
      </c>
      <c r="AD5798">
        <v>-1.0514804751119999</v>
      </c>
      <c r="AE5798">
        <v>-14.499782</v>
      </c>
      <c r="AF5798">
        <v>7.9585729117063799</v>
      </c>
      <c r="AG5798">
        <v>-1.0514804751119999</v>
      </c>
      <c r="AH5798">
        <v>12.057388506311201</v>
      </c>
      <c r="AI5798">
        <v>94.162720487190498</v>
      </c>
      <c r="AJ5798">
        <v>56.572883429642097</v>
      </c>
      <c r="AK5798">
        <v>14.4853412653141</v>
      </c>
      <c r="AL5798">
        <v>79.7896456557351</v>
      </c>
      <c r="AM5798">
        <v>66.353082858652499</v>
      </c>
      <c r="AN5798">
        <v>1.0000000073472299</v>
      </c>
    </row>
    <row r="5799" spans="1:40" x14ac:dyDescent="0.25">
      <c r="A5799" t="str">
        <f>"20190312173041084"</f>
        <v>20190312173041084</v>
      </c>
      <c r="B5799" t="str">
        <f>"1552383041073859"</f>
        <v>1552383041073859</v>
      </c>
      <c r="C5799" t="s">
        <v>40</v>
      </c>
      <c r="D5799">
        <v>3.433135</v>
      </c>
      <c r="E5799">
        <v>0.56539510000000004</v>
      </c>
      <c r="F5799" t="s">
        <v>41</v>
      </c>
      <c r="G5799">
        <v>-304.84480000000002</v>
      </c>
      <c r="H5799" s="1">
        <v>-2.3563639999999999E-6</v>
      </c>
      <c r="I5799">
        <v>-7.2048759999999996</v>
      </c>
      <c r="J5799">
        <v>-305.52339999999998</v>
      </c>
      <c r="K5799">
        <v>1.051528</v>
      </c>
      <c r="L5799">
        <v>7.3305049999999996</v>
      </c>
      <c r="M5799">
        <v>0.58555500000000005</v>
      </c>
      <c r="N5799">
        <v>0</v>
      </c>
      <c r="O5799">
        <v>-0.81049589999999905</v>
      </c>
      <c r="P5799">
        <v>0.2156092</v>
      </c>
      <c r="Q5799">
        <v>0.17280100000000001</v>
      </c>
      <c r="R5799">
        <v>-0.9610687</v>
      </c>
      <c r="S5799">
        <v>0.17367550000000001</v>
      </c>
      <c r="T5799">
        <v>-0.2229942</v>
      </c>
      <c r="U5799">
        <v>-3.1282649999999999</v>
      </c>
      <c r="V5799">
        <v>0.3919414</v>
      </c>
      <c r="W5799">
        <v>0.17793789999999901</v>
      </c>
      <c r="X5799">
        <v>0.90261849999999999</v>
      </c>
      <c r="Y5799">
        <v>0.53972500000000001</v>
      </c>
      <c r="Z5799">
        <v>4.5378990000000001E-2</v>
      </c>
      <c r="AA5799">
        <v>0.84061739999999996</v>
      </c>
      <c r="AB5799">
        <v>24</v>
      </c>
      <c r="AC5799">
        <v>0.67859999999996001</v>
      </c>
      <c r="AD5799">
        <v>-1.0515303563639999</v>
      </c>
      <c r="AE5799">
        <v>-14.535380999999999</v>
      </c>
      <c r="AF5799">
        <v>7.9207821864053596</v>
      </c>
      <c r="AG5799">
        <v>-1.0515303563639999</v>
      </c>
      <c r="AH5799">
        <v>12.1163021917348</v>
      </c>
      <c r="AI5799">
        <v>94.154752204948096</v>
      </c>
      <c r="AJ5799">
        <v>56.826177278709601</v>
      </c>
      <c r="AK5799">
        <v>14.5137619291578</v>
      </c>
      <c r="AL5799">
        <v>79.750329297277801</v>
      </c>
      <c r="AM5799">
        <v>66.528208650223505</v>
      </c>
      <c r="AN5799">
        <v>1.0000000569162999</v>
      </c>
    </row>
    <row r="5800" spans="1:40" x14ac:dyDescent="0.25">
      <c r="A5800" t="str">
        <f>"20190312173041105"</f>
        <v>20190312173041105</v>
      </c>
      <c r="B5800" t="str">
        <f>"1552383041093379"</f>
        <v>1552383041093379</v>
      </c>
      <c r="C5800" t="s">
        <v>40</v>
      </c>
      <c r="D5800">
        <v>3.4173339999999999</v>
      </c>
      <c r="E5800">
        <v>0.56427620000000001</v>
      </c>
      <c r="F5800" t="s">
        <v>41</v>
      </c>
      <c r="G5800">
        <v>-304.76260000000002</v>
      </c>
      <c r="H5800" s="1">
        <v>-2.4706589999999998E-6</v>
      </c>
      <c r="I5800">
        <v>-6.916798</v>
      </c>
      <c r="J5800">
        <v>-305.39949999999999</v>
      </c>
      <c r="K5800">
        <v>1.0516000000000001</v>
      </c>
      <c r="L5800">
        <v>7.1347050000000003</v>
      </c>
      <c r="M5800">
        <v>0.57521619999999996</v>
      </c>
      <c r="N5800">
        <v>0</v>
      </c>
      <c r="O5800">
        <v>-0.81786610000000004</v>
      </c>
      <c r="P5800">
        <v>0.2088238</v>
      </c>
      <c r="Q5800">
        <v>0.17433170000000001</v>
      </c>
      <c r="R5800">
        <v>-0.96228990000000003</v>
      </c>
      <c r="S5800">
        <v>0.16690060000000001</v>
      </c>
      <c r="T5800">
        <v>-0.230683</v>
      </c>
      <c r="U5800">
        <v>-3.1255489999999999</v>
      </c>
      <c r="V5800">
        <v>0.3866772</v>
      </c>
      <c r="W5800">
        <v>0.17965220000000001</v>
      </c>
      <c r="X5800">
        <v>0.90454730000000005</v>
      </c>
      <c r="Y5800">
        <v>0.53078760000000003</v>
      </c>
      <c r="Z5800">
        <v>4.7988950000000002E-2</v>
      </c>
      <c r="AA5800">
        <v>0.84614519999999904</v>
      </c>
      <c r="AB5800">
        <v>24</v>
      </c>
      <c r="AC5800">
        <v>0.63689999999996805</v>
      </c>
      <c r="AD5800">
        <v>-1.0516024706589999</v>
      </c>
      <c r="AE5800">
        <v>-14.051503</v>
      </c>
      <c r="AF5800">
        <v>7.5205548387013001</v>
      </c>
      <c r="AG5800">
        <v>-1.0516024706589999</v>
      </c>
      <c r="AH5800">
        <v>11.7939943953289</v>
      </c>
      <c r="AI5800">
        <v>94.299423804526896</v>
      </c>
      <c r="AJ5800">
        <v>57.475984123601499</v>
      </c>
      <c r="AK5800">
        <v>14.027220559870701</v>
      </c>
      <c r="AL5800">
        <v>79.650497836134207</v>
      </c>
      <c r="AM5800">
        <v>66.854190313535796</v>
      </c>
      <c r="AN5800">
        <v>0.99999999395098504</v>
      </c>
    </row>
    <row r="5801" spans="1:40" x14ac:dyDescent="0.25">
      <c r="A5801" t="str">
        <f>"20190312173041127"</f>
        <v>20190312173041127</v>
      </c>
      <c r="B5801" t="str">
        <f>"1552383041123638"</f>
        <v>1552383041123638</v>
      </c>
      <c r="C5801" t="s">
        <v>40</v>
      </c>
      <c r="D5801">
        <v>3.4071920000000002</v>
      </c>
      <c r="E5801">
        <v>0.56287500000000001</v>
      </c>
      <c r="F5801" t="s">
        <v>41</v>
      </c>
      <c r="G5801">
        <v>-304.69600000000003</v>
      </c>
      <c r="H5801" s="1">
        <v>-2.2986720000000002E-6</v>
      </c>
      <c r="I5801">
        <v>-7.2431409999999996</v>
      </c>
      <c r="J5801">
        <v>-305.2713</v>
      </c>
      <c r="K5801">
        <v>1.051674</v>
      </c>
      <c r="L5801">
        <v>6.9258419999999896</v>
      </c>
      <c r="M5801">
        <v>0.56422039999999996</v>
      </c>
      <c r="N5801">
        <v>0</v>
      </c>
      <c r="O5801">
        <v>-0.82549030000000001</v>
      </c>
      <c r="P5801">
        <v>0.1984138</v>
      </c>
      <c r="Q5801">
        <v>0.17511740000000001</v>
      </c>
      <c r="R5801">
        <v>-0.96434779999999998</v>
      </c>
      <c r="S5801">
        <v>0.15295410000000001</v>
      </c>
      <c r="T5801">
        <v>-0.22862199999999999</v>
      </c>
      <c r="U5801">
        <v>-3.1257929999999998</v>
      </c>
      <c r="V5801">
        <v>0.3842467</v>
      </c>
      <c r="W5801">
        <v>0.18054999999999999</v>
      </c>
      <c r="X5801">
        <v>0.90540390000000004</v>
      </c>
      <c r="Y5801">
        <v>0.52320480000000003</v>
      </c>
      <c r="Z5801">
        <v>4.8552779999999997E-2</v>
      </c>
      <c r="AA5801">
        <v>0.85082269999999904</v>
      </c>
      <c r="AB5801">
        <v>24</v>
      </c>
      <c r="AC5801">
        <v>0.57530000000002701</v>
      </c>
      <c r="AD5801">
        <v>-1.0516762986720001</v>
      </c>
      <c r="AE5801">
        <v>-14.1689829999999</v>
      </c>
      <c r="AF5801">
        <v>7.4792195898744902</v>
      </c>
      <c r="AG5801">
        <v>-1.0516762986720001</v>
      </c>
      <c r="AH5801">
        <v>11.9565210000139</v>
      </c>
      <c r="AI5801">
        <v>94.264689327737599</v>
      </c>
      <c r="AJ5801">
        <v>57.972588865103603</v>
      </c>
      <c r="AK5801">
        <v>14.142246749881201</v>
      </c>
      <c r="AL5801">
        <v>79.598202888378694</v>
      </c>
      <c r="AM5801">
        <v>67.003992395856002</v>
      </c>
      <c r="AN5801">
        <v>1.0000000255480499</v>
      </c>
    </row>
    <row r="5802" spans="1:40" x14ac:dyDescent="0.25">
      <c r="A5802" t="str">
        <f>"20190312173041150"</f>
        <v>20190312173041150</v>
      </c>
      <c r="B5802" t="str">
        <f>"1552383041143155"</f>
        <v>1552383041143155</v>
      </c>
      <c r="C5802" t="s">
        <v>40</v>
      </c>
      <c r="D5802">
        <v>3.419921</v>
      </c>
      <c r="E5802">
        <v>0.56220319999999901</v>
      </c>
      <c r="F5802" t="s">
        <v>41</v>
      </c>
      <c r="G5802">
        <v>-304.66590000000002</v>
      </c>
      <c r="H5802" s="1">
        <v>-2.0952190000000002E-6</v>
      </c>
      <c r="I5802">
        <v>-7.6566229999999997</v>
      </c>
      <c r="J5802">
        <v>-305.14429999999999</v>
      </c>
      <c r="K5802">
        <v>1.0517529999999999</v>
      </c>
      <c r="L5802">
        <v>6.7130739999999998</v>
      </c>
      <c r="M5802">
        <v>0.55306880000000003</v>
      </c>
      <c r="N5802">
        <v>0</v>
      </c>
      <c r="O5802">
        <v>-0.83300319999999894</v>
      </c>
      <c r="P5802">
        <v>0.1878648</v>
      </c>
      <c r="Q5802">
        <v>0.17504539999999999</v>
      </c>
      <c r="R5802">
        <v>-0.96647110000000003</v>
      </c>
      <c r="S5802">
        <v>0.12973019999999999</v>
      </c>
      <c r="T5802">
        <v>-0.22538359999999999</v>
      </c>
      <c r="U5802">
        <v>-3.1251530000000001</v>
      </c>
      <c r="V5802">
        <v>0.38192999999999999</v>
      </c>
      <c r="W5802">
        <v>0.18059500000000001</v>
      </c>
      <c r="X5802">
        <v>0.90637460000000003</v>
      </c>
      <c r="Y5802">
        <v>0.51804510000000004</v>
      </c>
      <c r="Z5802">
        <v>4.878942E-2</v>
      </c>
      <c r="AA5802">
        <v>0.85396079999999996</v>
      </c>
      <c r="AB5802">
        <v>24</v>
      </c>
      <c r="AC5802">
        <v>0.47839999999996502</v>
      </c>
      <c r="AD5802">
        <v>-1.051755095219</v>
      </c>
      <c r="AE5802">
        <v>-14.369697</v>
      </c>
      <c r="AF5802">
        <v>7.5095696496364504</v>
      </c>
      <c r="AG5802">
        <v>-1.051755095219</v>
      </c>
      <c r="AH5802">
        <v>12.170812506522299</v>
      </c>
      <c r="AI5802">
        <v>94.2061596820554</v>
      </c>
      <c r="AJ5802">
        <v>58.324806142988798</v>
      </c>
      <c r="AK5802">
        <v>14.3397525143211</v>
      </c>
      <c r="AL5802">
        <v>79.595581188957894</v>
      </c>
      <c r="AM5802">
        <v>67.150314974170698</v>
      </c>
      <c r="AN5802">
        <v>0.99999999722508004</v>
      </c>
    </row>
    <row r="5803" spans="1:40" x14ac:dyDescent="0.25">
      <c r="A5803" t="str">
        <f>"20190312173041185"</f>
        <v>20190312173041185</v>
      </c>
      <c r="B5803" t="str">
        <f>"1552383041173411"</f>
        <v>1552383041173411</v>
      </c>
      <c r="C5803" t="s">
        <v>40</v>
      </c>
      <c r="D5803">
        <v>3.4138660000000001</v>
      </c>
      <c r="E5803">
        <v>0.55870549999999997</v>
      </c>
      <c r="F5803" t="s">
        <v>41</v>
      </c>
      <c r="G5803">
        <v>-304.67840000000001</v>
      </c>
      <c r="H5803" s="1">
        <v>-2.06268E-6</v>
      </c>
      <c r="I5803">
        <v>-7.732456</v>
      </c>
      <c r="J5803">
        <v>-304.95859999999999</v>
      </c>
      <c r="K5803">
        <v>1.0518799999999999</v>
      </c>
      <c r="L5803">
        <v>6.3904420000000002</v>
      </c>
      <c r="M5803">
        <v>0.53628529999999996</v>
      </c>
      <c r="N5803">
        <v>0</v>
      </c>
      <c r="O5803">
        <v>-0.8439065</v>
      </c>
      <c r="P5803">
        <v>0.17312759999999999</v>
      </c>
      <c r="Q5803">
        <v>0.173990899999999</v>
      </c>
      <c r="R5803">
        <v>-0.96940950000000004</v>
      </c>
      <c r="S5803">
        <v>0.10083010000000001</v>
      </c>
      <c r="T5803">
        <v>-0.2275771</v>
      </c>
      <c r="U5803">
        <v>-3.125702</v>
      </c>
      <c r="V5803">
        <v>0.37759320000000002</v>
      </c>
      <c r="W5803">
        <v>0.17975679999999999</v>
      </c>
      <c r="X5803">
        <v>0.9083561</v>
      </c>
      <c r="Y5803">
        <v>0.50879459999999999</v>
      </c>
      <c r="Z5803">
        <v>5.0626669999999999E-2</v>
      </c>
      <c r="AA5803">
        <v>0.85939809999999905</v>
      </c>
      <c r="AB5803">
        <v>24</v>
      </c>
      <c r="AC5803">
        <v>0.28019999999997902</v>
      </c>
      <c r="AD5803">
        <v>-1.0518820626799901</v>
      </c>
      <c r="AE5803">
        <v>-14.122897999999999</v>
      </c>
      <c r="AF5803">
        <v>7.2977793706503302</v>
      </c>
      <c r="AG5803">
        <v>-1.0518820626799901</v>
      </c>
      <c r="AH5803">
        <v>12.0034384991016</v>
      </c>
      <c r="AI5803">
        <v>94.282252576387194</v>
      </c>
      <c r="AJ5803">
        <v>58.7014833384589</v>
      </c>
      <c r="AK5803">
        <v>14.087106708554201</v>
      </c>
      <c r="AL5803">
        <v>79.644405248061403</v>
      </c>
      <c r="AM5803">
        <v>67.427904973967003</v>
      </c>
      <c r="AN5803">
        <v>0.99999996811984404</v>
      </c>
    </row>
    <row r="5804" spans="1:40" x14ac:dyDescent="0.25">
      <c r="A5804" t="str">
        <f>"20190312173041205"</f>
        <v>20190312173041205</v>
      </c>
      <c r="B5804" t="str">
        <f>"1552383041193907"</f>
        <v>1552383041193907</v>
      </c>
      <c r="C5804" t="s">
        <v>40</v>
      </c>
      <c r="D5804">
        <v>3.4530750000000001</v>
      </c>
      <c r="E5804">
        <v>0.5584983</v>
      </c>
      <c r="F5804" t="s">
        <v>41</v>
      </c>
      <c r="G5804">
        <v>-304.59399999999999</v>
      </c>
      <c r="H5804" s="1">
        <v>-2.0871579999999998E-6</v>
      </c>
      <c r="I5804">
        <v>-7.6332100000000001</v>
      </c>
      <c r="J5804">
        <v>-304.84620000000001</v>
      </c>
      <c r="K5804">
        <v>1.0519889999999901</v>
      </c>
      <c r="L5804">
        <v>6.1874390000000004</v>
      </c>
      <c r="M5804">
        <v>0.52585729999999997</v>
      </c>
      <c r="N5804">
        <v>0</v>
      </c>
      <c r="O5804">
        <v>-0.85044399999999998</v>
      </c>
      <c r="P5804">
        <v>0.16440959999999999</v>
      </c>
      <c r="Q5804">
        <v>0.17395139999999901</v>
      </c>
      <c r="R5804">
        <v>-0.97093280000000004</v>
      </c>
      <c r="S5804">
        <v>8.1176760000000001E-2</v>
      </c>
      <c r="T5804">
        <v>-0.2341908</v>
      </c>
      <c r="U5804">
        <v>-3.122223</v>
      </c>
      <c r="V5804">
        <v>0.37452069999999998</v>
      </c>
      <c r="W5804">
        <v>0.17987310000000001</v>
      </c>
      <c r="X5804">
        <v>0.90960430000000003</v>
      </c>
      <c r="Y5804">
        <v>0.50356480000000003</v>
      </c>
      <c r="Z5804">
        <v>5.298742E-2</v>
      </c>
      <c r="AA5804">
        <v>0.86233110000000002</v>
      </c>
      <c r="AB5804">
        <v>24</v>
      </c>
      <c r="AC5804">
        <v>0.25220000000001602</v>
      </c>
      <c r="AD5804">
        <v>-1.0519910871579901</v>
      </c>
      <c r="AE5804">
        <v>-13.820649</v>
      </c>
      <c r="AF5804">
        <v>7.0133591821013104</v>
      </c>
      <c r="AG5804">
        <v>-1.0519910871579901</v>
      </c>
      <c r="AH5804">
        <v>11.819155984140499</v>
      </c>
      <c r="AI5804">
        <v>94.377196474161195</v>
      </c>
      <c r="AJ5804">
        <v>59.3155651418259</v>
      </c>
      <c r="AK5804">
        <v>13.7835532589412</v>
      </c>
      <c r="AL5804">
        <v>79.637632034613006</v>
      </c>
      <c r="AM5804">
        <v>67.621063143343704</v>
      </c>
      <c r="AN5804">
        <v>1.00000003470529</v>
      </c>
    </row>
    <row r="5805" spans="1:40" x14ac:dyDescent="0.25">
      <c r="A5805" t="str">
        <f>"20190312173041228"</f>
        <v>20190312173041228</v>
      </c>
      <c r="B5805" t="str">
        <f>"1552383041223190"</f>
        <v>1552383041223190</v>
      </c>
      <c r="C5805" t="s">
        <v>40</v>
      </c>
      <c r="D5805">
        <v>3.445122</v>
      </c>
      <c r="E5805">
        <v>0.55492810000000004</v>
      </c>
      <c r="F5805" t="s">
        <v>41</v>
      </c>
      <c r="G5805">
        <v>-304.60199999999998</v>
      </c>
      <c r="H5805" s="1">
        <v>-2.0417939999999999E-6</v>
      </c>
      <c r="I5805">
        <v>-7.7336390000000002</v>
      </c>
      <c r="J5805">
        <v>-304.73070000000001</v>
      </c>
      <c r="K5805">
        <v>1.052108</v>
      </c>
      <c r="L5805">
        <v>5.9728700000000003</v>
      </c>
      <c r="M5805">
        <v>0.51493900000000004</v>
      </c>
      <c r="N5805">
        <v>0</v>
      </c>
      <c r="O5805">
        <v>-0.85709950000000001</v>
      </c>
      <c r="P5805">
        <v>0.15480820000000001</v>
      </c>
      <c r="Q5805">
        <v>0.1741809</v>
      </c>
      <c r="R5805">
        <v>-0.97246889999999997</v>
      </c>
      <c r="S5805">
        <v>5.4779050000000003E-2</v>
      </c>
      <c r="T5805">
        <v>-0.2359869</v>
      </c>
      <c r="U5805">
        <v>-3.122833</v>
      </c>
      <c r="V5805">
        <v>0.37179820000000002</v>
      </c>
      <c r="W5805">
        <v>0.18025450000000001</v>
      </c>
      <c r="X5805">
        <v>0.91064509999999999</v>
      </c>
      <c r="Y5805">
        <v>0.49980570000000002</v>
      </c>
      <c r="Z5805">
        <v>5.4204589999999997E-2</v>
      </c>
      <c r="AA5805">
        <v>0.86443979999999998</v>
      </c>
      <c r="AB5805">
        <v>24</v>
      </c>
      <c r="AC5805">
        <v>0.12869999999998</v>
      </c>
      <c r="AD5805">
        <v>-1.0521100417939999</v>
      </c>
      <c r="AE5805">
        <v>-13.706509</v>
      </c>
      <c r="AF5805">
        <v>6.9077681730586296</v>
      </c>
      <c r="AG5805">
        <v>-1.0521100417939999</v>
      </c>
      <c r="AH5805">
        <v>11.7462007735159</v>
      </c>
      <c r="AI5805">
        <v>94.414974643957194</v>
      </c>
      <c r="AJ5805">
        <v>59.540839660399897</v>
      </c>
      <c r="AK5805">
        <v>13.667385605320099</v>
      </c>
      <c r="AL5805">
        <v>79.615416386340499</v>
      </c>
      <c r="AM5805">
        <v>67.790787440619596</v>
      </c>
      <c r="AN5805">
        <v>1.0000000422237401</v>
      </c>
    </row>
    <row r="5806" spans="1:40" x14ac:dyDescent="0.25">
      <c r="A5806" t="str">
        <f>"20190312173041252"</f>
        <v>20190312173041252</v>
      </c>
      <c r="B5806" t="str">
        <f>"1552383041243686"</f>
        <v>1552383041243686</v>
      </c>
      <c r="C5806" t="s">
        <v>40</v>
      </c>
      <c r="D5806">
        <v>3.4238749999999998</v>
      </c>
      <c r="E5806">
        <v>0.55440919999999905</v>
      </c>
      <c r="F5806" t="s">
        <v>41</v>
      </c>
      <c r="G5806">
        <v>-304.50760000000002</v>
      </c>
      <c r="H5806" s="1">
        <v>-2.1512019999999999E-6</v>
      </c>
      <c r="I5806">
        <v>-7.4490539999999896</v>
      </c>
      <c r="J5806">
        <v>-304.61630000000002</v>
      </c>
      <c r="K5806">
        <v>1.0522389999999999</v>
      </c>
      <c r="L5806">
        <v>5.7539059999999997</v>
      </c>
      <c r="M5806">
        <v>0.50393559999999904</v>
      </c>
      <c r="N5806">
        <v>0</v>
      </c>
      <c r="O5806">
        <v>-0.86361549999999998</v>
      </c>
      <c r="P5806">
        <v>0.14449049999999999</v>
      </c>
      <c r="Q5806">
        <v>0.17453109999999999</v>
      </c>
      <c r="R5806">
        <v>-0.97399279999999999</v>
      </c>
      <c r="S5806">
        <v>5.1879880000000003E-2</v>
      </c>
      <c r="T5806">
        <v>-0.24460660000000001</v>
      </c>
      <c r="U5806">
        <v>-3.1204830000000001</v>
      </c>
      <c r="V5806">
        <v>0.36971409999999899</v>
      </c>
      <c r="W5806">
        <v>0.18075160000000001</v>
      </c>
      <c r="X5806">
        <v>0.9113947</v>
      </c>
      <c r="Y5806">
        <v>0.48948789999999998</v>
      </c>
      <c r="Z5806">
        <v>5.7205609999999997E-2</v>
      </c>
      <c r="AA5806">
        <v>0.87013169999999995</v>
      </c>
      <c r="AB5806">
        <v>24</v>
      </c>
      <c r="AC5806">
        <v>0.10869999999999801</v>
      </c>
      <c r="AD5806">
        <v>-1.052241151202</v>
      </c>
      <c r="AE5806">
        <v>-13.202959999999999</v>
      </c>
      <c r="AF5806">
        <v>6.5188760361513198</v>
      </c>
      <c r="AG5806">
        <v>-1.052241151202</v>
      </c>
      <c r="AH5806">
        <v>11.3859878819655</v>
      </c>
      <c r="AI5806">
        <v>94.585354399747402</v>
      </c>
      <c r="AJ5806">
        <v>60.207354423589102</v>
      </c>
      <c r="AK5806">
        <v>13.1622063600012</v>
      </c>
      <c r="AL5806">
        <v>79.586458336592798</v>
      </c>
      <c r="AM5806">
        <v>67.919696155091103</v>
      </c>
      <c r="AN5806">
        <v>0.99999997791472905</v>
      </c>
    </row>
    <row r="5807" spans="1:40" x14ac:dyDescent="0.25">
      <c r="A5807" t="str">
        <f>"20190312173041272"</f>
        <v>20190312173041272</v>
      </c>
      <c r="B5807" t="str">
        <f>"1552383041263203"</f>
        <v>1552383041263203</v>
      </c>
      <c r="C5807" t="s">
        <v>40</v>
      </c>
      <c r="D5807">
        <v>3.4202029999999999</v>
      </c>
      <c r="E5807">
        <v>0.55363130000000005</v>
      </c>
      <c r="F5807" t="s">
        <v>41</v>
      </c>
      <c r="G5807">
        <v>-304.51569999999998</v>
      </c>
      <c r="H5807" s="1">
        <v>-2.0738559999999998E-6</v>
      </c>
      <c r="I5807">
        <v>-7.6172679999999904</v>
      </c>
      <c r="J5807">
        <v>-304.50830000000002</v>
      </c>
      <c r="K5807">
        <v>1.052384</v>
      </c>
      <c r="L5807">
        <v>5.5416259999999999</v>
      </c>
      <c r="M5807">
        <v>0.49342809999999998</v>
      </c>
      <c r="N5807">
        <v>0</v>
      </c>
      <c r="O5807">
        <v>-0.86966200000000005</v>
      </c>
      <c r="P5807">
        <v>0.134795</v>
      </c>
      <c r="Q5807">
        <v>0.1742041</v>
      </c>
      <c r="R5807">
        <v>-0.97543979999999997</v>
      </c>
      <c r="S5807">
        <v>2.3468019999999999E-2</v>
      </c>
      <c r="T5807">
        <v>-0.24557770000000001</v>
      </c>
      <c r="U5807">
        <v>-3.1206360000000002</v>
      </c>
      <c r="V5807">
        <v>0.3676796</v>
      </c>
      <c r="W5807">
        <v>0.1805795</v>
      </c>
      <c r="X5807">
        <v>0.91225149999999999</v>
      </c>
      <c r="Y5807">
        <v>0.4868383</v>
      </c>
      <c r="Z5807">
        <v>5.8186889999999998E-2</v>
      </c>
      <c r="AA5807">
        <v>0.87155190000000005</v>
      </c>
      <c r="AB5807">
        <v>24</v>
      </c>
      <c r="AC5807">
        <v>-7.3999999999614296E-3</v>
      </c>
      <c r="AD5807">
        <v>-1.052386073856</v>
      </c>
      <c r="AE5807">
        <v>-13.158894</v>
      </c>
      <c r="AF5807">
        <v>6.45879720507914</v>
      </c>
      <c r="AG5807">
        <v>-1.052386073856</v>
      </c>
      <c r="AH5807">
        <v>11.3686640903935</v>
      </c>
      <c r="AI5807">
        <v>94.60163328262</v>
      </c>
      <c r="AJ5807">
        <v>60.3981058416582</v>
      </c>
      <c r="AK5807">
        <v>13.117549351345501</v>
      </c>
      <c r="AL5807">
        <v>79.596484375723605</v>
      </c>
      <c r="AM5807">
        <v>68.048282670906005</v>
      </c>
      <c r="AN5807">
        <v>1.0000000216643199</v>
      </c>
    </row>
    <row r="5808" spans="1:40" x14ac:dyDescent="0.25">
      <c r="A5808" t="str">
        <f>"20190312173041307"</f>
        <v>20190312173041307</v>
      </c>
      <c r="B5808" t="str">
        <f>"1552383041303219"</f>
        <v>1552383041303219</v>
      </c>
      <c r="C5808" t="s">
        <v>40</v>
      </c>
      <c r="D5808">
        <v>3.4024230000000002</v>
      </c>
      <c r="E5808">
        <v>0.53137449999999997</v>
      </c>
      <c r="F5808" t="s">
        <v>41</v>
      </c>
      <c r="G5808">
        <v>-304.51209999999998</v>
      </c>
      <c r="H5808" s="1">
        <v>-2.0430900000000001E-6</v>
      </c>
      <c r="I5808">
        <v>-7.6803049999999997</v>
      </c>
      <c r="J5808">
        <v>-304.35039999999998</v>
      </c>
      <c r="K5808">
        <v>1.0526439999999999</v>
      </c>
      <c r="L5808">
        <v>5.220154</v>
      </c>
      <c r="M5808">
        <v>0.47784870000000002</v>
      </c>
      <c r="N5808">
        <v>0</v>
      </c>
      <c r="O5808">
        <v>-0.87831990000000004</v>
      </c>
      <c r="P5808">
        <v>0.1209242</v>
      </c>
      <c r="Q5808">
        <v>0.174047799999999</v>
      </c>
      <c r="R5808">
        <v>-0.97728470000000001</v>
      </c>
      <c r="S5808">
        <v>-8.8500979999999905E-4</v>
      </c>
      <c r="T5808">
        <v>-0.24833269999999999</v>
      </c>
      <c r="U5808">
        <v>-3.1199949999999999</v>
      </c>
      <c r="V5808">
        <v>0.36426350000000002</v>
      </c>
      <c r="W5808">
        <v>0.1806808</v>
      </c>
      <c r="X5808">
        <v>0.91360090000000005</v>
      </c>
      <c r="Y5808">
        <v>0.4780508</v>
      </c>
      <c r="Z5808">
        <v>6.0059550000000003E-2</v>
      </c>
      <c r="AA5808">
        <v>0.87627639999999996</v>
      </c>
      <c r="AB5808">
        <v>24</v>
      </c>
      <c r="AC5808">
        <v>-0.16169999999999601</v>
      </c>
      <c r="AD5808">
        <v>-1.05264604309</v>
      </c>
      <c r="AE5808">
        <v>-12.900459</v>
      </c>
      <c r="AF5808">
        <v>6.2654593380291299</v>
      </c>
      <c r="AG5808">
        <v>-1.05264604309</v>
      </c>
      <c r="AH5808">
        <v>11.180242212248301</v>
      </c>
      <c r="AI5808">
        <v>94.695410201262305</v>
      </c>
      <c r="AJ5808">
        <v>60.7335284434645</v>
      </c>
      <c r="AK5808">
        <v>12.8593102588385</v>
      </c>
      <c r="AL5808">
        <v>79.590583299257005</v>
      </c>
      <c r="AM5808">
        <v>68.262244513757594</v>
      </c>
      <c r="AN5808">
        <v>1.00000002670084</v>
      </c>
    </row>
    <row r="5809" spans="1:40" x14ac:dyDescent="0.25">
      <c r="A5809" t="str">
        <f>"20190312173041329"</f>
        <v>20190312173041329</v>
      </c>
      <c r="B5809" t="str">
        <f>"1552383041323715"</f>
        <v>1552383041323715</v>
      </c>
      <c r="C5809" t="s">
        <v>40</v>
      </c>
      <c r="D5809">
        <v>3.372735</v>
      </c>
      <c r="E5809">
        <v>0.52620999999999996</v>
      </c>
      <c r="F5809" t="s">
        <v>41</v>
      </c>
      <c r="G5809">
        <v>-303.6551</v>
      </c>
      <c r="H5809" s="1">
        <v>-4.6149100000000003E-6</v>
      </c>
      <c r="I5809">
        <v>-11.357279999999999</v>
      </c>
      <c r="J5809">
        <v>-304.24310000000003</v>
      </c>
      <c r="K5809">
        <v>1.0528439999999999</v>
      </c>
      <c r="L5809">
        <v>4.9935299999999998</v>
      </c>
      <c r="M5809">
        <v>0.46715109999999899</v>
      </c>
      <c r="N5809">
        <v>0</v>
      </c>
      <c r="O5809">
        <v>-0.88405679999999998</v>
      </c>
      <c r="P5809">
        <v>0.1123603</v>
      </c>
      <c r="Q5809">
        <v>0.17465810000000001</v>
      </c>
      <c r="R5809">
        <v>-0.97819719999999999</v>
      </c>
      <c r="S5809">
        <v>0.1295471</v>
      </c>
      <c r="T5809">
        <v>-0.1961242</v>
      </c>
      <c r="U5809">
        <v>-3.0886230000000001</v>
      </c>
      <c r="V5809">
        <v>0.36103780000000002</v>
      </c>
      <c r="W5809">
        <v>0.1814954</v>
      </c>
      <c r="X5809">
        <v>0.91471919999999995</v>
      </c>
      <c r="Y5809">
        <v>0.42974760000000001</v>
      </c>
      <c r="Z5809">
        <v>4.9307570000000002E-2</v>
      </c>
      <c r="AA5809">
        <v>0.90160169999999995</v>
      </c>
      <c r="AB5809">
        <v>24</v>
      </c>
      <c r="AC5809">
        <v>0.58800000000002195</v>
      </c>
      <c r="AD5809">
        <v>-1.05284861491</v>
      </c>
      <c r="AE5809">
        <v>-16.350809999999999</v>
      </c>
      <c r="AF5809">
        <v>7.0898749474524001</v>
      </c>
      <c r="AG5809">
        <v>-1.05284861491</v>
      </c>
      <c r="AH5809">
        <v>14.670552790961301</v>
      </c>
      <c r="AI5809">
        <v>93.697089457133004</v>
      </c>
      <c r="AJ5809">
        <v>64.206798303585799</v>
      </c>
      <c r="AK5809">
        <v>16.327888294841198</v>
      </c>
      <c r="AL5809">
        <v>79.543125715478794</v>
      </c>
      <c r="AM5809">
        <v>68.460951677600306</v>
      </c>
      <c r="AN5809">
        <v>1.00000004404931</v>
      </c>
    </row>
    <row r="5810" spans="1:40" x14ac:dyDescent="0.25">
      <c r="A5810" t="str">
        <f>"20190312173041352"</f>
        <v>20190312173041352</v>
      </c>
      <c r="B5810" t="str">
        <f>"1552383041343236"</f>
        <v>1552383041343236</v>
      </c>
      <c r="C5810" t="s">
        <v>40</v>
      </c>
      <c r="D5810">
        <v>3.384458</v>
      </c>
      <c r="E5810">
        <v>0.52387249999999996</v>
      </c>
      <c r="F5810" t="s">
        <v>41</v>
      </c>
      <c r="G5810">
        <v>-303.40469999999999</v>
      </c>
      <c r="H5810" s="1">
        <v>-4.0094309999999999E-6</v>
      </c>
      <c r="I5810">
        <v>-13.005999999999901</v>
      </c>
      <c r="J5810">
        <v>-304.14359999999999</v>
      </c>
      <c r="K5810">
        <v>1.0530250000000001</v>
      </c>
      <c r="L5810">
        <v>4.7774049999999999</v>
      </c>
      <c r="M5810">
        <v>0.4571287</v>
      </c>
      <c r="N5810">
        <v>0</v>
      </c>
      <c r="O5810">
        <v>-0.88928130000000005</v>
      </c>
      <c r="P5810">
        <v>0.1044938</v>
      </c>
      <c r="Q5810">
        <v>0.17585209999999901</v>
      </c>
      <c r="R5810">
        <v>-0.97885489999999997</v>
      </c>
      <c r="S5810">
        <v>0.1435852</v>
      </c>
      <c r="T5810">
        <v>-0.18030969999999999</v>
      </c>
      <c r="U5810">
        <v>-3.0825809999999998</v>
      </c>
      <c r="V5810">
        <v>0.3578867</v>
      </c>
      <c r="W5810">
        <v>0.1828729</v>
      </c>
      <c r="X5810">
        <v>0.91568260000000001</v>
      </c>
      <c r="Y5810">
        <v>0.41531820000000003</v>
      </c>
      <c r="Z5810">
        <v>4.6083329999999999E-2</v>
      </c>
      <c r="AA5810">
        <v>0.90850819999999999</v>
      </c>
      <c r="AB5810">
        <v>24</v>
      </c>
      <c r="AC5810">
        <v>0.738900000000001</v>
      </c>
      <c r="AD5810">
        <v>-1.053029009431</v>
      </c>
      <c r="AE5810">
        <v>-17.783404999999998</v>
      </c>
      <c r="AF5810">
        <v>7.44694117517819</v>
      </c>
      <c r="AG5810">
        <v>-1.053029009431</v>
      </c>
      <c r="AH5810">
        <v>16.097589368611299</v>
      </c>
      <c r="AI5810">
        <v>93.397672312727494</v>
      </c>
      <c r="AJ5810">
        <v>65.174163274029695</v>
      </c>
      <c r="AK5810">
        <v>17.767897637078399</v>
      </c>
      <c r="AL5810">
        <v>79.462857032184701</v>
      </c>
      <c r="AM5810">
        <v>68.652382469657098</v>
      </c>
      <c r="AN5810">
        <v>1.00000000576703</v>
      </c>
    </row>
    <row r="5811" spans="1:40" x14ac:dyDescent="0.25">
      <c r="A5811" t="str">
        <f>"20190312173041376"</f>
        <v>20190312173041376</v>
      </c>
      <c r="B5811" t="str">
        <f>"1552383041363732"</f>
        <v>1552383041363732</v>
      </c>
      <c r="C5811" t="s">
        <v>40</v>
      </c>
      <c r="D5811">
        <v>3.3904130000000001</v>
      </c>
      <c r="E5811">
        <v>0.52248689999999998</v>
      </c>
      <c r="F5811" t="s">
        <v>41</v>
      </c>
      <c r="G5811">
        <v>-303.27359999999999</v>
      </c>
      <c r="H5811" s="1">
        <v>-3.3392199999999999E-6</v>
      </c>
      <c r="I5811">
        <v>-14.657450000000001</v>
      </c>
      <c r="J5811">
        <v>-304.036</v>
      </c>
      <c r="K5811">
        <v>1.053223</v>
      </c>
      <c r="L5811">
        <v>4.5373229999999998</v>
      </c>
      <c r="M5811">
        <v>0.44624000000000003</v>
      </c>
      <c r="N5811">
        <v>0</v>
      </c>
      <c r="O5811">
        <v>-0.89479569999999997</v>
      </c>
      <c r="P5811">
        <v>9.618459E-2</v>
      </c>
      <c r="Q5811">
        <v>0.1765505</v>
      </c>
      <c r="R5811">
        <v>-0.97958080000000003</v>
      </c>
      <c r="S5811">
        <v>0.13787839999999901</v>
      </c>
      <c r="T5811">
        <v>-0.16688629999999999</v>
      </c>
      <c r="U5811">
        <v>-3.0800779999999999</v>
      </c>
      <c r="V5811">
        <v>0.3543364</v>
      </c>
      <c r="W5811">
        <v>0.1837734</v>
      </c>
      <c r="X5811">
        <v>0.91688230000000004</v>
      </c>
      <c r="Y5811">
        <v>0.40583799999999998</v>
      </c>
      <c r="Z5811">
        <v>4.3257419999999998E-2</v>
      </c>
      <c r="AA5811">
        <v>0.91292070000000003</v>
      </c>
      <c r="AB5811">
        <v>24</v>
      </c>
      <c r="AC5811">
        <v>0.76240000000001296</v>
      </c>
      <c r="AD5811">
        <v>-1.0532263392200001</v>
      </c>
      <c r="AE5811">
        <v>-19.194773000000001</v>
      </c>
      <c r="AF5811">
        <v>7.8604843511012996</v>
      </c>
      <c r="AG5811">
        <v>-1.0532263392200001</v>
      </c>
      <c r="AH5811">
        <v>17.464957551839301</v>
      </c>
      <c r="AI5811">
        <v>93.147642406371503</v>
      </c>
      <c r="AJ5811">
        <v>65.768835152786593</v>
      </c>
      <c r="AK5811">
        <v>19.181273217466099</v>
      </c>
      <c r="AL5811">
        <v>79.410373182152597</v>
      </c>
      <c r="AM5811">
        <v>68.870582051706904</v>
      </c>
      <c r="AN5811">
        <v>1.0000000494829</v>
      </c>
    </row>
    <row r="5812" spans="1:40" x14ac:dyDescent="0.25">
      <c r="A5812" t="str">
        <f>"20190312173041405"</f>
        <v>20190312173041405</v>
      </c>
      <c r="B5812" t="str">
        <f>"1552383041393402"</f>
        <v>1552383041393402</v>
      </c>
      <c r="C5812" t="s">
        <v>40</v>
      </c>
      <c r="D5812">
        <v>3.3689490000000002</v>
      </c>
      <c r="E5812">
        <v>0.52091659999999995</v>
      </c>
      <c r="F5812" t="s">
        <v>41</v>
      </c>
      <c r="G5812">
        <v>-303.2303</v>
      </c>
      <c r="H5812" s="1">
        <v>-2.9093459999999998E-6</v>
      </c>
      <c r="I5812">
        <v>-15.63264</v>
      </c>
      <c r="J5812">
        <v>-303.91539999999998</v>
      </c>
      <c r="K5812">
        <v>1.0534650000000001</v>
      </c>
      <c r="L5812">
        <v>4.2594599999999998</v>
      </c>
      <c r="M5812">
        <v>0.43396269999999998</v>
      </c>
      <c r="N5812">
        <v>0</v>
      </c>
      <c r="O5812">
        <v>-0.90081480000000003</v>
      </c>
      <c r="P5812">
        <v>8.6743340000000002E-2</v>
      </c>
      <c r="Q5812">
        <v>0.17702899999999999</v>
      </c>
      <c r="R5812">
        <v>-0.98037540000000001</v>
      </c>
      <c r="S5812">
        <v>0.1230164</v>
      </c>
      <c r="T5812">
        <v>-0.16080059999999999</v>
      </c>
      <c r="U5812">
        <v>-3.079437</v>
      </c>
      <c r="V5812">
        <v>0.35048309999999999</v>
      </c>
      <c r="W5812">
        <v>0.18448249999999999</v>
      </c>
      <c r="X5812">
        <v>0.91821989999999998</v>
      </c>
      <c r="Y5812">
        <v>0.3977154</v>
      </c>
      <c r="Z5812">
        <v>4.2254960000000001E-2</v>
      </c>
      <c r="AA5812">
        <v>0.91653530000000005</v>
      </c>
      <c r="AB5812">
        <v>24</v>
      </c>
      <c r="AC5812">
        <v>0.68509999999997695</v>
      </c>
      <c r="AD5812">
        <v>-1.05346790934599</v>
      </c>
      <c r="AE5812">
        <v>-19.892099999999999</v>
      </c>
      <c r="AF5812">
        <v>7.9937260383989903</v>
      </c>
      <c r="AG5812">
        <v>-1.05346790934599</v>
      </c>
      <c r="AH5812">
        <v>18.167417296002601</v>
      </c>
      <c r="AI5812">
        <v>93.038179868097799</v>
      </c>
      <c r="AJ5812">
        <v>66.250340557786402</v>
      </c>
      <c r="AK5812">
        <v>19.876229567503302</v>
      </c>
      <c r="AL5812">
        <v>79.369037374293399</v>
      </c>
      <c r="AM5812">
        <v>69.108222698267895</v>
      </c>
      <c r="AN5812">
        <v>0.99999999047393495</v>
      </c>
    </row>
    <row r="5813" spans="1:40" x14ac:dyDescent="0.25">
      <c r="A5813" t="str">
        <f>"20190312173041440"</f>
        <v>20190312173041440</v>
      </c>
      <c r="B5813" t="str">
        <f>"1552383041433417"</f>
        <v>1552383041433417</v>
      </c>
      <c r="C5813" t="s">
        <v>40</v>
      </c>
      <c r="D5813">
        <v>3.3914300000000002</v>
      </c>
      <c r="E5813">
        <v>0.51897529999999903</v>
      </c>
      <c r="F5813" t="s">
        <v>41</v>
      </c>
      <c r="G5813">
        <v>-303.20620000000002</v>
      </c>
      <c r="H5813" s="1">
        <v>-2.5629059999999998E-6</v>
      </c>
      <c r="I5813">
        <v>-16.425270000000001</v>
      </c>
      <c r="J5813">
        <v>-303.76560000000001</v>
      </c>
      <c r="K5813">
        <v>1.053779</v>
      </c>
      <c r="L5813">
        <v>3.90036</v>
      </c>
      <c r="M5813">
        <v>0.41867969999999999</v>
      </c>
      <c r="N5813">
        <v>0</v>
      </c>
      <c r="O5813">
        <v>-0.9080201</v>
      </c>
      <c r="P5813">
        <v>7.8089199999999998E-2</v>
      </c>
      <c r="Q5813">
        <v>0.177377799999999</v>
      </c>
      <c r="R5813">
        <v>-0.98103989999999996</v>
      </c>
      <c r="S5813">
        <v>0.1055603</v>
      </c>
      <c r="T5813">
        <v>-0.1568146</v>
      </c>
      <c r="U5813">
        <v>-3.0790410000000001</v>
      </c>
      <c r="V5813">
        <v>0.34287430000000002</v>
      </c>
      <c r="W5813">
        <v>0.1851845</v>
      </c>
      <c r="X5813">
        <v>0.92094730000000002</v>
      </c>
      <c r="Y5813">
        <v>0.38737290000000002</v>
      </c>
      <c r="Z5813">
        <v>4.1875900000000001E-2</v>
      </c>
      <c r="AA5813">
        <v>0.9209716</v>
      </c>
      <c r="AB5813">
        <v>24</v>
      </c>
      <c r="AC5813">
        <v>0.55939999999998202</v>
      </c>
      <c r="AD5813">
        <v>-1.0537815629059999</v>
      </c>
      <c r="AE5813">
        <v>-20.32563</v>
      </c>
      <c r="AF5813">
        <v>7.9813728899846499</v>
      </c>
      <c r="AG5813">
        <v>-1.0537815629059999</v>
      </c>
      <c r="AH5813">
        <v>18.6421526265644</v>
      </c>
      <c r="AI5813">
        <v>92.974673023784106</v>
      </c>
      <c r="AJ5813">
        <v>66.822499536900494</v>
      </c>
      <c r="AK5813">
        <v>20.306221296524502</v>
      </c>
      <c r="AL5813">
        <v>79.328110739106705</v>
      </c>
      <c r="AM5813">
        <v>69.579394108885296</v>
      </c>
      <c r="AN5813">
        <v>1.00000000700901</v>
      </c>
    </row>
    <row r="5814" spans="1:40" x14ac:dyDescent="0.25">
      <c r="A5814" t="str">
        <f>"20190312173041462"</f>
        <v>20190312173041462</v>
      </c>
      <c r="B5814" t="str">
        <f>"1552383041453914"</f>
        <v>1552383041453914</v>
      </c>
      <c r="C5814" t="s">
        <v>40</v>
      </c>
      <c r="D5814">
        <v>3.3685839999999998</v>
      </c>
      <c r="E5814">
        <v>0.51812400000000003</v>
      </c>
      <c r="F5814" t="s">
        <v>41</v>
      </c>
      <c r="G5814">
        <v>-303.11989999999997</v>
      </c>
      <c r="H5814" s="1">
        <v>-2.1799300000000001E-6</v>
      </c>
      <c r="I5814">
        <v>-17.264479999999999</v>
      </c>
      <c r="J5814">
        <v>-303.67469999999997</v>
      </c>
      <c r="K5814">
        <v>1.0539639999999999</v>
      </c>
      <c r="L5814">
        <v>3.6752929999999999</v>
      </c>
      <c r="M5814">
        <v>0.40935500000000002</v>
      </c>
      <c r="N5814">
        <v>0</v>
      </c>
      <c r="O5814">
        <v>-0.91226269999999998</v>
      </c>
      <c r="P5814">
        <v>7.3332209999999995E-2</v>
      </c>
      <c r="Q5814">
        <v>0.17683299999999999</v>
      </c>
      <c r="R5814">
        <v>-0.98150530000000002</v>
      </c>
      <c r="S5814">
        <v>9.3902589999999994E-2</v>
      </c>
      <c r="T5814">
        <v>-0.15326199999999901</v>
      </c>
      <c r="U5814">
        <v>-3.078217</v>
      </c>
      <c r="V5814">
        <v>0.33783370000000001</v>
      </c>
      <c r="W5814">
        <v>0.18485370000000001</v>
      </c>
      <c r="X5814">
        <v>0.92287459999999999</v>
      </c>
      <c r="Y5814">
        <v>0.38139610000000002</v>
      </c>
      <c r="Z5814">
        <v>4.1318050000000002E-2</v>
      </c>
      <c r="AA5814">
        <v>0.92348790000000003</v>
      </c>
      <c r="AB5814">
        <v>24</v>
      </c>
      <c r="AC5814">
        <v>0.55479999999999996</v>
      </c>
      <c r="AD5814">
        <v>-1.05396617993</v>
      </c>
      <c r="AE5814">
        <v>-20.939772999999999</v>
      </c>
      <c r="AF5814">
        <v>8.0461352541664208</v>
      </c>
      <c r="AG5814">
        <v>-1.05396617993</v>
      </c>
      <c r="AH5814">
        <v>19.282850484989599</v>
      </c>
      <c r="AI5814">
        <v>92.887720160087895</v>
      </c>
      <c r="AJ5814">
        <v>67.350736611576707</v>
      </c>
      <c r="AK5814">
        <v>20.920790139553599</v>
      </c>
      <c r="AL5814">
        <v>79.347397232229</v>
      </c>
      <c r="AM5814">
        <v>69.894001886855094</v>
      </c>
      <c r="AN5814">
        <v>1.00000001329227</v>
      </c>
    </row>
    <row r="5815" spans="1:40" x14ac:dyDescent="0.25">
      <c r="A5815" t="str">
        <f>"20190312173041485"</f>
        <v>20190312173041485</v>
      </c>
      <c r="B5815" t="str">
        <f>"1552383041473434"</f>
        <v>1552383041473434</v>
      </c>
      <c r="C5815" t="s">
        <v>40</v>
      </c>
      <c r="D5815">
        <v>3.3934530000000001</v>
      </c>
      <c r="E5815">
        <v>0.50960569999999905</v>
      </c>
      <c r="F5815" t="s">
        <v>41</v>
      </c>
      <c r="G5815">
        <v>-303.09010000000001</v>
      </c>
      <c r="H5815" s="1">
        <v>-2.1751760000000001E-6</v>
      </c>
      <c r="I5815">
        <v>-17.257059999999999</v>
      </c>
      <c r="J5815">
        <v>-303.589</v>
      </c>
      <c r="K5815">
        <v>1.054141</v>
      </c>
      <c r="L5815">
        <v>3.4569399999999999</v>
      </c>
      <c r="M5815">
        <v>0.40056989999999998</v>
      </c>
      <c r="N5815">
        <v>0</v>
      </c>
      <c r="O5815">
        <v>-0.91615489999999999</v>
      </c>
      <c r="P5815">
        <v>6.9723110000000005E-2</v>
      </c>
      <c r="Q5815">
        <v>0.17610039999999999</v>
      </c>
      <c r="R5815">
        <v>-0.9819</v>
      </c>
      <c r="S5815">
        <v>8.5968020000000006E-2</v>
      </c>
      <c r="T5815">
        <v>-0.15498219999999999</v>
      </c>
      <c r="U5815">
        <v>-3.078033</v>
      </c>
      <c r="V5815">
        <v>0.33229579999999997</v>
      </c>
      <c r="W5815">
        <v>0.1843419</v>
      </c>
      <c r="X5815">
        <v>0.92498519999999895</v>
      </c>
      <c r="Y5815">
        <v>0.37488189999999999</v>
      </c>
      <c r="Z5815">
        <v>4.2142939999999997E-2</v>
      </c>
      <c r="AA5815">
        <v>0.9261142</v>
      </c>
      <c r="AB5815">
        <v>24</v>
      </c>
      <c r="AC5815">
        <v>0.49889999999999102</v>
      </c>
      <c r="AD5815">
        <v>-1.054143175176</v>
      </c>
      <c r="AE5815">
        <v>-20.713999999999999</v>
      </c>
      <c r="AF5815">
        <v>7.8208918492968298</v>
      </c>
      <c r="AG5815">
        <v>-1.054143175176</v>
      </c>
      <c r="AH5815">
        <v>19.129519364908599</v>
      </c>
      <c r="AI5815">
        <v>92.9199724892662</v>
      </c>
      <c r="AJ5815">
        <v>67.763345968789295</v>
      </c>
      <c r="AK5815">
        <v>20.6933824756752</v>
      </c>
      <c r="AL5815">
        <v>79.377234134817101</v>
      </c>
      <c r="AM5815">
        <v>70.239455985142996</v>
      </c>
      <c r="AN5815">
        <v>1.00000002750614</v>
      </c>
    </row>
    <row r="5816" spans="1:40" x14ac:dyDescent="0.25">
      <c r="A5816" t="str">
        <f>"20190312173041508"</f>
        <v>20190312173041508</v>
      </c>
      <c r="B5816" t="str">
        <f>"1552383041503689"</f>
        <v>1552383041503689</v>
      </c>
      <c r="C5816" t="s">
        <v>40</v>
      </c>
      <c r="D5816">
        <v>3.3687179999999999</v>
      </c>
      <c r="E5816">
        <v>0.50882799999999995</v>
      </c>
      <c r="F5816" t="s">
        <v>41</v>
      </c>
      <c r="G5816">
        <v>-302.63479999999998</v>
      </c>
      <c r="H5816" s="1">
        <v>-2.0708799999999998E-6</v>
      </c>
      <c r="I5816">
        <v>-17.217770000000002</v>
      </c>
      <c r="J5816">
        <v>-303.5018</v>
      </c>
      <c r="K5816">
        <v>1.0543419999999999</v>
      </c>
      <c r="L5816">
        <v>3.2293090000000002</v>
      </c>
      <c r="M5816">
        <v>0.39167950000000001</v>
      </c>
      <c r="N5816">
        <v>0</v>
      </c>
      <c r="O5816">
        <v>-0.91999169999999997</v>
      </c>
      <c r="P5816">
        <v>6.5851899999999894E-2</v>
      </c>
      <c r="Q5816">
        <v>0.17591300000000001</v>
      </c>
      <c r="R5816">
        <v>-0.98220099999999999</v>
      </c>
      <c r="S5816">
        <v>0.14184569999999999</v>
      </c>
      <c r="T5816">
        <v>-0.15670039999999999</v>
      </c>
      <c r="U5816">
        <v>-3.073334</v>
      </c>
      <c r="V5816">
        <v>0.32688509999999998</v>
      </c>
      <c r="W5816">
        <v>0.18437419999999999</v>
      </c>
      <c r="X5816">
        <v>0.92690470000000003</v>
      </c>
      <c r="Y5816">
        <v>0.34891240000000001</v>
      </c>
      <c r="Z5816">
        <v>4.3215730000000001E-2</v>
      </c>
      <c r="AA5816">
        <v>0.93615839999999995</v>
      </c>
      <c r="AB5816">
        <v>23</v>
      </c>
      <c r="AC5816">
        <v>0.86700000000001798</v>
      </c>
      <c r="AD5816">
        <v>-1.05434407088</v>
      </c>
      <c r="AE5816">
        <v>-20.447078999999999</v>
      </c>
      <c r="AF5816">
        <v>7.1927085182632498</v>
      </c>
      <c r="AG5816">
        <v>-1.05434407088</v>
      </c>
      <c r="AH5816">
        <v>19.101968748364499</v>
      </c>
      <c r="AI5816">
        <v>92.956984007711398</v>
      </c>
      <c r="AJ5816">
        <v>69.366497050741103</v>
      </c>
      <c r="AK5816">
        <v>20.4384908276514</v>
      </c>
      <c r="AL5816">
        <v>79.375351109985601</v>
      </c>
      <c r="AM5816">
        <v>70.574133343722195</v>
      </c>
      <c r="AN5816">
        <v>1.0000000185548601</v>
      </c>
    </row>
    <row r="5817" spans="1:40" x14ac:dyDescent="0.25">
      <c r="A5817" t="str">
        <f>"20190312173041530"</f>
        <v>20190312173041530</v>
      </c>
      <c r="B5817" t="str">
        <f>"1552383041523210"</f>
        <v>1552383041523210</v>
      </c>
      <c r="C5817" t="s">
        <v>40</v>
      </c>
      <c r="D5817">
        <v>3.3800629999999998</v>
      </c>
      <c r="E5817">
        <v>0.50798199999999905</v>
      </c>
      <c r="F5817" t="s">
        <v>41</v>
      </c>
      <c r="G5817">
        <v>-302.5806</v>
      </c>
      <c r="H5817" s="1">
        <v>-1.9269339999999998E-6</v>
      </c>
      <c r="I5817">
        <v>-17.51971</v>
      </c>
      <c r="J5817">
        <v>-303.4194</v>
      </c>
      <c r="K5817">
        <v>1.0545260000000001</v>
      </c>
      <c r="L5817">
        <v>3.0086059999999999</v>
      </c>
      <c r="M5817">
        <v>0.38326329999999997</v>
      </c>
      <c r="N5817">
        <v>0</v>
      </c>
      <c r="O5817">
        <v>-0.92353030000000003</v>
      </c>
      <c r="P5817">
        <v>6.2139649999999998E-2</v>
      </c>
      <c r="Q5817">
        <v>0.1759676</v>
      </c>
      <c r="R5817">
        <v>-0.98243309999999995</v>
      </c>
      <c r="S5817">
        <v>0.13644410000000001</v>
      </c>
      <c r="T5817">
        <v>-0.1561611</v>
      </c>
      <c r="U5817">
        <v>-3.0731809999999999</v>
      </c>
      <c r="V5817">
        <v>0.321822099999999</v>
      </c>
      <c r="W5817">
        <v>0.1846226</v>
      </c>
      <c r="X5817">
        <v>0.92862529999999999</v>
      </c>
      <c r="Y5817">
        <v>0.34198729999999999</v>
      </c>
      <c r="Z5817">
        <v>4.3403030000000002E-2</v>
      </c>
      <c r="AA5817">
        <v>0.93870169999999997</v>
      </c>
      <c r="AB5817">
        <v>23</v>
      </c>
      <c r="AC5817">
        <v>0.838799999999992</v>
      </c>
      <c r="AD5817">
        <v>-1.054527926934</v>
      </c>
      <c r="AE5817">
        <v>-20.528316</v>
      </c>
      <c r="AF5817">
        <v>7.0751670178322401</v>
      </c>
      <c r="AG5817">
        <v>-1.054527926934</v>
      </c>
      <c r="AH5817">
        <v>19.231278025518101</v>
      </c>
      <c r="AI5817">
        <v>92.945946220814605</v>
      </c>
      <c r="AJ5817">
        <v>69.801484119154495</v>
      </c>
      <c r="AK5817">
        <v>20.518578702572899</v>
      </c>
      <c r="AL5817">
        <v>79.360869592590802</v>
      </c>
      <c r="AM5817">
        <v>70.8858555347704</v>
      </c>
      <c r="AN5817">
        <v>0.99999995813962905</v>
      </c>
    </row>
    <row r="5818" spans="1:40" x14ac:dyDescent="0.25">
      <c r="A5818" t="str">
        <f>"20190312173041552"</f>
        <v>20190312173041552</v>
      </c>
      <c r="B5818" t="str">
        <f>"1552383041543706"</f>
        <v>1552383041543706</v>
      </c>
      <c r="C5818" t="s">
        <v>40</v>
      </c>
      <c r="D5818">
        <v>3.4180999999999999</v>
      </c>
      <c r="E5818">
        <v>0.50391649999999999</v>
      </c>
      <c r="F5818" t="s">
        <v>41</v>
      </c>
      <c r="G5818">
        <v>-302.5138</v>
      </c>
      <c r="H5818" s="1">
        <v>-1.7386599999999999E-6</v>
      </c>
      <c r="I5818">
        <v>-17.917120000000001</v>
      </c>
      <c r="J5818">
        <v>-303.33690000000001</v>
      </c>
      <c r="K5818">
        <v>1.0547040000000001</v>
      </c>
      <c r="L5818">
        <v>2.7821660000000001</v>
      </c>
      <c r="M5818">
        <v>0.37483250000000001</v>
      </c>
      <c r="N5818">
        <v>0</v>
      </c>
      <c r="O5818">
        <v>-0.92698469999999999</v>
      </c>
      <c r="P5818">
        <v>5.9306020000000001E-2</v>
      </c>
      <c r="Q5818">
        <v>0.1757388</v>
      </c>
      <c r="R5818">
        <v>-0.98264899999999999</v>
      </c>
      <c r="S5818">
        <v>0.13299559999999999</v>
      </c>
      <c r="T5818">
        <v>-0.15485860000000001</v>
      </c>
      <c r="U5818">
        <v>-3.0729679999999999</v>
      </c>
      <c r="V5818">
        <v>0.31595220000000002</v>
      </c>
      <c r="W5818">
        <v>0.1845936</v>
      </c>
      <c r="X5818">
        <v>0.93064460000000004</v>
      </c>
      <c r="Y5818">
        <v>0.33446340000000002</v>
      </c>
      <c r="Z5818">
        <v>4.3372960000000002E-2</v>
      </c>
      <c r="AA5818">
        <v>0.94141010000000003</v>
      </c>
      <c r="AB5818">
        <v>23</v>
      </c>
      <c r="AC5818">
        <v>0.82310000000001005</v>
      </c>
      <c r="AD5818">
        <v>-1.0547057386600001</v>
      </c>
      <c r="AE5818">
        <v>-20.699285999999901</v>
      </c>
      <c r="AF5818">
        <v>6.9783743390523201</v>
      </c>
      <c r="AG5818">
        <v>-1.0547057386600001</v>
      </c>
      <c r="AH5818">
        <v>19.447982892271401</v>
      </c>
      <c r="AI5818">
        <v>92.922153480826296</v>
      </c>
      <c r="AJ5818">
        <v>70.260870118258097</v>
      </c>
      <c r="AK5818">
        <v>20.688986229131299</v>
      </c>
      <c r="AL5818">
        <v>79.362560471094895</v>
      </c>
      <c r="AM5818">
        <v>71.247740672530995</v>
      </c>
      <c r="AN5818">
        <v>0.99999998067747897</v>
      </c>
    </row>
    <row r="5819" spans="1:40" x14ac:dyDescent="0.25">
      <c r="A5819" t="str">
        <f>"20190312173041580"</f>
        <v>20190312173041580</v>
      </c>
      <c r="B5819" t="str">
        <f>"1552383041573961"</f>
        <v>1552383041573961</v>
      </c>
      <c r="C5819" t="s">
        <v>40</v>
      </c>
      <c r="D5819">
        <v>3.3525450000000001</v>
      </c>
      <c r="E5819">
        <v>0.50400140000000004</v>
      </c>
      <c r="F5819" t="s">
        <v>41</v>
      </c>
      <c r="G5819">
        <v>-302.14030000000002</v>
      </c>
      <c r="H5819" s="1">
        <v>-4.6033039999999997E-6</v>
      </c>
      <c r="I5819">
        <v>-20.60181</v>
      </c>
      <c r="J5819">
        <v>-303.23930000000001</v>
      </c>
      <c r="K5819">
        <v>1.054913</v>
      </c>
      <c r="L5819">
        <v>2.5068969999999999</v>
      </c>
      <c r="M5819">
        <v>0.36486649999999998</v>
      </c>
      <c r="N5819">
        <v>0</v>
      </c>
      <c r="O5819">
        <v>-0.93095340000000004</v>
      </c>
      <c r="P5819">
        <v>5.5780150000000001E-2</v>
      </c>
      <c r="Q5819">
        <v>0.175784</v>
      </c>
      <c r="R5819">
        <v>-0.98284740000000004</v>
      </c>
      <c r="S5819">
        <v>0.15701289999999901</v>
      </c>
      <c r="T5819">
        <v>-0.1383895</v>
      </c>
      <c r="U5819">
        <v>-3.0682369999999999</v>
      </c>
      <c r="V5819">
        <v>0.30919020000000003</v>
      </c>
      <c r="W5819">
        <v>0.18485969999999999</v>
      </c>
      <c r="X5819">
        <v>0.93286029999999998</v>
      </c>
      <c r="Y5819">
        <v>0.31687530000000003</v>
      </c>
      <c r="Z5819">
        <v>3.9227690000000003E-2</v>
      </c>
      <c r="AA5819">
        <v>0.94765569999999999</v>
      </c>
      <c r="AB5819">
        <v>23</v>
      </c>
      <c r="AC5819">
        <v>1.09899999999998</v>
      </c>
      <c r="AD5819">
        <v>-1.054917603304</v>
      </c>
      <c r="AE5819">
        <v>-23.108706999999999</v>
      </c>
      <c r="AF5819">
        <v>7.3938360007351802</v>
      </c>
      <c r="AG5819">
        <v>-1.054917603304</v>
      </c>
      <c r="AH5819">
        <v>21.870815018329701</v>
      </c>
      <c r="AI5819">
        <v>92.616224644686596</v>
      </c>
      <c r="AJ5819">
        <v>71.321218879676593</v>
      </c>
      <c r="AK5819">
        <v>23.1109110924153</v>
      </c>
      <c r="AL5819">
        <v>79.347047435287294</v>
      </c>
      <c r="AM5819">
        <v>71.662573543576698</v>
      </c>
      <c r="AN5819">
        <v>1.00000001388811</v>
      </c>
    </row>
    <row r="5820" spans="1:40" x14ac:dyDescent="0.25">
      <c r="A5820" t="str">
        <f>"20190312173041603"</f>
        <v>20190312173041603</v>
      </c>
      <c r="B5820" t="str">
        <f>"1552383041593482"</f>
        <v>1552383041593482</v>
      </c>
      <c r="C5820" t="s">
        <v>40</v>
      </c>
      <c r="D5820">
        <v>3.383365</v>
      </c>
      <c r="E5820">
        <v>0.50413019999999997</v>
      </c>
      <c r="F5820" t="s">
        <v>41</v>
      </c>
      <c r="G5820">
        <v>-302.21170000000001</v>
      </c>
      <c r="H5820" s="1">
        <v>-1.1228240000000001E-6</v>
      </c>
      <c r="I5820">
        <v>-19.165330000000001</v>
      </c>
      <c r="J5820">
        <v>-303.16199999999998</v>
      </c>
      <c r="K5820">
        <v>1.0550740000000001</v>
      </c>
      <c r="L5820">
        <v>2.2830509999999999</v>
      </c>
      <c r="M5820">
        <v>0.3570103</v>
      </c>
      <c r="N5820">
        <v>0</v>
      </c>
      <c r="O5820">
        <v>-0.93399489999999996</v>
      </c>
      <c r="P5820">
        <v>5.3727190000000001E-2</v>
      </c>
      <c r="Q5820">
        <v>0.17666689999999999</v>
      </c>
      <c r="R5820">
        <v>-0.98280350000000005</v>
      </c>
      <c r="S5820">
        <v>0.14559939999999999</v>
      </c>
      <c r="T5820">
        <v>-0.14947530000000001</v>
      </c>
      <c r="U5820">
        <v>-3.0708310000000001</v>
      </c>
      <c r="V5820">
        <v>0.30313980000000001</v>
      </c>
      <c r="W5820">
        <v>0.18592439999999999</v>
      </c>
      <c r="X5820">
        <v>0.93463280000000004</v>
      </c>
      <c r="Y5820">
        <v>0.31244110000000003</v>
      </c>
      <c r="Z5820">
        <v>4.2586550000000001E-2</v>
      </c>
      <c r="AA5820">
        <v>0.94898210000000005</v>
      </c>
      <c r="AB5820">
        <v>23</v>
      </c>
      <c r="AC5820">
        <v>0.95030000000002701</v>
      </c>
      <c r="AD5820">
        <v>-1.0550751228240001</v>
      </c>
      <c r="AE5820">
        <v>-21.448381000000001</v>
      </c>
      <c r="AF5820">
        <v>6.7540736596864503</v>
      </c>
      <c r="AG5820">
        <v>-1.0550751228240001</v>
      </c>
      <c r="AH5820">
        <v>20.324868483425298</v>
      </c>
      <c r="AI5820">
        <v>92.820215452834205</v>
      </c>
      <c r="AJ5820">
        <v>71.618048468929501</v>
      </c>
      <c r="AK5820">
        <v>21.4436697741736</v>
      </c>
      <c r="AL5820">
        <v>79.284968801215797</v>
      </c>
      <c r="AM5820">
        <v>72.029992257614396</v>
      </c>
      <c r="AN5820">
        <v>1.0000000458476099</v>
      </c>
    </row>
    <row r="5821" spans="1:40" x14ac:dyDescent="0.25">
      <c r="A5821" t="str">
        <f>"20190312173041625"</f>
        <v>20190312173041625</v>
      </c>
      <c r="B5821" t="str">
        <f>"1552383041613977"</f>
        <v>1552383041613977</v>
      </c>
      <c r="C5821" t="s">
        <v>40</v>
      </c>
      <c r="D5821">
        <v>3.367486</v>
      </c>
      <c r="E5821">
        <v>0.50410250000000001</v>
      </c>
      <c r="F5821" t="s">
        <v>41</v>
      </c>
      <c r="G5821">
        <v>-302.21910000000003</v>
      </c>
      <c r="H5821" s="1">
        <v>-1.362413E-6</v>
      </c>
      <c r="I5821">
        <v>-18.61138</v>
      </c>
      <c r="J5821">
        <v>-303.08640000000003</v>
      </c>
      <c r="K5821">
        <v>1.0552469999999901</v>
      </c>
      <c r="L5821">
        <v>2.058411</v>
      </c>
      <c r="M5821">
        <v>0.34937099999999999</v>
      </c>
      <c r="N5821">
        <v>0</v>
      </c>
      <c r="O5821">
        <v>-0.93688009999999999</v>
      </c>
      <c r="P5821">
        <v>5.1925680000000002E-2</v>
      </c>
      <c r="Q5821">
        <v>0.1769618</v>
      </c>
      <c r="R5821">
        <v>-0.98284760000000004</v>
      </c>
      <c r="S5821">
        <v>0.13867189999999999</v>
      </c>
      <c r="T5821">
        <v>-0.15516340000000001</v>
      </c>
      <c r="U5821">
        <v>-3.0728149999999999</v>
      </c>
      <c r="V5821">
        <v>0.2971046</v>
      </c>
      <c r="W5821">
        <v>0.18640599999999999</v>
      </c>
      <c r="X5821">
        <v>0.936473</v>
      </c>
      <c r="Y5821">
        <v>0.30684499999999998</v>
      </c>
      <c r="Z5821">
        <v>4.4439439999999997E-2</v>
      </c>
      <c r="AA5821">
        <v>0.95072140000000005</v>
      </c>
      <c r="AB5821">
        <v>23</v>
      </c>
      <c r="AC5821">
        <v>0.86729999999999996</v>
      </c>
      <c r="AD5821">
        <v>-1.05524836241299</v>
      </c>
      <c r="AE5821">
        <v>-20.669791</v>
      </c>
      <c r="AF5821">
        <v>6.3928633378618702</v>
      </c>
      <c r="AG5821">
        <v>-1.05524836241299</v>
      </c>
      <c r="AH5821">
        <v>19.619004333376601</v>
      </c>
      <c r="AI5821">
        <v>92.927585255261206</v>
      </c>
      <c r="AJ5821">
        <v>71.9517721946048</v>
      </c>
      <c r="AK5821">
        <v>20.661257991613301</v>
      </c>
      <c r="AL5821">
        <v>79.256883802308806</v>
      </c>
      <c r="AM5821">
        <v>72.397895108969493</v>
      </c>
      <c r="AN5821">
        <v>1.0000000099530799</v>
      </c>
    </row>
    <row r="5822" spans="1:40" x14ac:dyDescent="0.25">
      <c r="A5822" t="str">
        <f>"20190312173041642"</f>
        <v>20190312173041642</v>
      </c>
      <c r="B5822" t="str">
        <f>"1552383041633498"</f>
        <v>1552383041633498</v>
      </c>
      <c r="C5822" t="s">
        <v>40</v>
      </c>
      <c r="D5822">
        <v>3.414377</v>
      </c>
      <c r="E5822">
        <v>0.50379560000000001</v>
      </c>
      <c r="F5822" t="s">
        <v>41</v>
      </c>
      <c r="G5822">
        <v>-302.19600000000003</v>
      </c>
      <c r="H5822" s="1">
        <v>-1.409515E-6</v>
      </c>
      <c r="I5822">
        <v>-18.487259999999999</v>
      </c>
      <c r="J5822">
        <v>-303.02719999999999</v>
      </c>
      <c r="K5822">
        <v>1.0553999999999999</v>
      </c>
      <c r="L5822">
        <v>1.8792720000000001</v>
      </c>
      <c r="M5822">
        <v>0.34344449999999999</v>
      </c>
      <c r="N5822">
        <v>0</v>
      </c>
      <c r="O5822">
        <v>-0.93906920000000005</v>
      </c>
      <c r="P5822">
        <v>5.207324E-2</v>
      </c>
      <c r="Q5822">
        <v>0.17681769999999999</v>
      </c>
      <c r="R5822">
        <v>-0.9828654</v>
      </c>
      <c r="S5822">
        <v>0.1332092</v>
      </c>
      <c r="T5822">
        <v>-0.1578717</v>
      </c>
      <c r="U5822">
        <v>-3.0737610000000002</v>
      </c>
      <c r="V5822">
        <v>0.29096499999999997</v>
      </c>
      <c r="W5822">
        <v>0.1864364</v>
      </c>
      <c r="X5822">
        <v>0.93839269999999997</v>
      </c>
      <c r="Y5822">
        <v>0.30252970000000001</v>
      </c>
      <c r="Z5822">
        <v>4.5403550000000001E-2</v>
      </c>
      <c r="AA5822">
        <v>0.95205799999999996</v>
      </c>
      <c r="AB5822">
        <v>23</v>
      </c>
      <c r="AC5822">
        <v>0.83120000000002303</v>
      </c>
      <c r="AD5822">
        <v>-1.0554014095149999</v>
      </c>
      <c r="AE5822">
        <v>-20.366531999999999</v>
      </c>
      <c r="AF5822">
        <v>6.1982080936844204</v>
      </c>
      <c r="AG5822">
        <v>-1.0554014095149999</v>
      </c>
      <c r="AH5822">
        <v>19.361041239625401</v>
      </c>
      <c r="AI5822">
        <v>92.971904455876498</v>
      </c>
      <c r="AJ5822">
        <v>72.248148045623097</v>
      </c>
      <c r="AK5822">
        <v>20.356364449240399</v>
      </c>
      <c r="AL5822">
        <v>79.255110942813602</v>
      </c>
      <c r="AM5822">
        <v>72.773039862130304</v>
      </c>
      <c r="AN5822">
        <v>1.0000000109416201</v>
      </c>
    </row>
    <row r="5823" spans="1:40" x14ac:dyDescent="0.25">
      <c r="A5823" t="str">
        <f>"20190312173041668"</f>
        <v>20190312173041668</v>
      </c>
      <c r="B5823" t="str">
        <f>"1552383041663753"</f>
        <v>1552383041663753</v>
      </c>
      <c r="C5823" t="s">
        <v>40</v>
      </c>
      <c r="D5823">
        <v>3.3754409999999999</v>
      </c>
      <c r="E5823">
        <v>0.50376609999999999</v>
      </c>
      <c r="F5823" t="s">
        <v>41</v>
      </c>
      <c r="G5823">
        <v>-302.1352</v>
      </c>
      <c r="H5823" s="1">
        <v>-1.4177209999999999E-6</v>
      </c>
      <c r="I5823">
        <v>-18.430440000000001</v>
      </c>
      <c r="J5823">
        <v>-302.94619999999998</v>
      </c>
      <c r="K5823">
        <v>1.05559</v>
      </c>
      <c r="L5823">
        <v>1.628082</v>
      </c>
      <c r="M5823">
        <v>0.33535999999999999</v>
      </c>
      <c r="N5823">
        <v>0</v>
      </c>
      <c r="O5823">
        <v>-0.94198729999999997</v>
      </c>
      <c r="P5823">
        <v>5.0584700000000003E-2</v>
      </c>
      <c r="Q5823">
        <v>0.17626749999999999</v>
      </c>
      <c r="R5823">
        <v>-0.98304210000000003</v>
      </c>
      <c r="S5823">
        <v>0.13500980000000001</v>
      </c>
      <c r="T5823">
        <v>-0.1597354</v>
      </c>
      <c r="U5823">
        <v>-3.0738829999999999</v>
      </c>
      <c r="V5823">
        <v>0.28423470000000001</v>
      </c>
      <c r="W5823">
        <v>0.18608459999999999</v>
      </c>
      <c r="X5823">
        <v>0.94052279999999999</v>
      </c>
      <c r="Y5823">
        <v>0.29377120000000001</v>
      </c>
      <c r="Z5823">
        <v>4.623294E-2</v>
      </c>
      <c r="AA5823">
        <v>0.95475699999999997</v>
      </c>
      <c r="AB5823">
        <v>23</v>
      </c>
      <c r="AC5823">
        <v>0.81099999999997796</v>
      </c>
      <c r="AD5823">
        <v>-1.055591417721</v>
      </c>
      <c r="AE5823">
        <v>-20.058522</v>
      </c>
      <c r="AF5823">
        <v>5.9470084442390601</v>
      </c>
      <c r="AG5823">
        <v>-1.055591417721</v>
      </c>
      <c r="AH5823">
        <v>19.115851501292202</v>
      </c>
      <c r="AI5823">
        <v>93.018297255532303</v>
      </c>
      <c r="AJ5823">
        <v>72.718898856170995</v>
      </c>
      <c r="AK5823">
        <v>20.047367939369799</v>
      </c>
      <c r="AL5823">
        <v>79.275626388794294</v>
      </c>
      <c r="AM5823">
        <v>73.184696852347798</v>
      </c>
      <c r="AN5823">
        <v>0.99999999018054497</v>
      </c>
    </row>
    <row r="5824" spans="1:40" x14ac:dyDescent="0.25">
      <c r="A5824" t="str">
        <f>"20190312173041776"</f>
        <v>20190312173041776</v>
      </c>
      <c r="B5824" t="str">
        <f>"1552383041773066"</f>
        <v>1552383041773066</v>
      </c>
      <c r="C5824" t="s">
        <v>40</v>
      </c>
      <c r="D5824">
        <v>3.5220189999999998</v>
      </c>
      <c r="E5824">
        <v>0.4981409</v>
      </c>
      <c r="F5824" t="s">
        <v>41</v>
      </c>
      <c r="G5824">
        <v>-302.09129999999999</v>
      </c>
      <c r="H5824" s="1">
        <v>-1.3836749999999999E-6</v>
      </c>
      <c r="I5824">
        <v>-18.482569999999999</v>
      </c>
      <c r="J5824">
        <v>-302.61489999999998</v>
      </c>
      <c r="K5824">
        <v>1.0557259999999999</v>
      </c>
      <c r="L5824">
        <v>0.53842159999999994</v>
      </c>
      <c r="M5824">
        <v>0.30013840000000003</v>
      </c>
      <c r="N5824">
        <v>0</v>
      </c>
      <c r="O5824">
        <v>-0.95379510000000001</v>
      </c>
      <c r="P5824">
        <v>4.6450320000000003E-2</v>
      </c>
      <c r="Q5824">
        <v>0.17462759999999999</v>
      </c>
      <c r="R5824">
        <v>-0.98353860000000004</v>
      </c>
      <c r="S5824">
        <v>0.1306763</v>
      </c>
      <c r="T5824">
        <v>-0.16135039999999901</v>
      </c>
      <c r="U5824">
        <v>-3.0739749999999999</v>
      </c>
      <c r="V5824">
        <v>0.25340750000000001</v>
      </c>
      <c r="W5824">
        <v>0.18443560000000001</v>
      </c>
      <c r="X5824">
        <v>0.94961479999999998</v>
      </c>
      <c r="Y5824">
        <v>0.25942660000000001</v>
      </c>
      <c r="Z5824">
        <v>4.7882139999999997E-2</v>
      </c>
      <c r="AA5824">
        <v>0.96457510000000002</v>
      </c>
      <c r="AB5824">
        <v>23</v>
      </c>
      <c r="AC5824">
        <v>0.52359999999998696</v>
      </c>
      <c r="AD5824">
        <v>-1.0557273836750001</v>
      </c>
      <c r="AE5824">
        <v>-19.020991599999999</v>
      </c>
      <c r="AF5824">
        <v>5.1940339638193898</v>
      </c>
      <c r="AG5824">
        <v>-1.0557273836750001</v>
      </c>
      <c r="AH5824">
        <v>18.244873791821298</v>
      </c>
      <c r="AI5824">
        <v>93.185398965254606</v>
      </c>
      <c r="AJ5824">
        <v>74.109164831556001</v>
      </c>
      <c r="AK5824">
        <v>18.999157055128499</v>
      </c>
      <c r="AL5824">
        <v>79.371772210230304</v>
      </c>
      <c r="AM5824">
        <v>75.058619237850095</v>
      </c>
      <c r="AN5824">
        <v>1.0000000599913199</v>
      </c>
    </row>
    <row r="5825" spans="1:40" x14ac:dyDescent="0.25">
      <c r="A5825" t="str">
        <f>"20190312173041803"</f>
        <v>20190312173041803</v>
      </c>
      <c r="B5825" t="str">
        <f>"1552383041793561"</f>
        <v>1552383041793561</v>
      </c>
      <c r="C5825" t="s">
        <v>40</v>
      </c>
      <c r="D5825">
        <v>3.4344769999999998</v>
      </c>
      <c r="E5825">
        <v>0.49914629999999999</v>
      </c>
      <c r="F5825" t="s">
        <v>42</v>
      </c>
      <c r="G5825">
        <v>-302.57339999999999</v>
      </c>
      <c r="H5825">
        <v>0.93343149999999997</v>
      </c>
      <c r="I5825">
        <v>-0.26289669999999998</v>
      </c>
      <c r="J5825">
        <v>-302.54219999999998</v>
      </c>
      <c r="K5825">
        <v>1.055482</v>
      </c>
      <c r="L5825">
        <v>0.27920529999999999</v>
      </c>
      <c r="M5825">
        <v>0.2973208</v>
      </c>
      <c r="N5825">
        <v>0</v>
      </c>
      <c r="O5825">
        <v>-0.95468649999999999</v>
      </c>
      <c r="P5825">
        <v>5.0207040000000001E-2</v>
      </c>
      <c r="Q5825">
        <v>0.1761432</v>
      </c>
      <c r="R5825">
        <v>-0.9830837</v>
      </c>
      <c r="S5825">
        <v>0.16336059999999999</v>
      </c>
      <c r="T5825">
        <v>-0.4766145</v>
      </c>
      <c r="U5825">
        <v>-3.1271059999999999</v>
      </c>
      <c r="V5825">
        <v>0.24736639999999999</v>
      </c>
      <c r="W5825">
        <v>0.18478800000000001</v>
      </c>
      <c r="X5825">
        <v>0.95113780000000003</v>
      </c>
      <c r="Y5825">
        <v>0.24760160000000001</v>
      </c>
      <c r="Z5825">
        <v>0.13808429999999999</v>
      </c>
      <c r="AA5825">
        <v>0.95897140000000003</v>
      </c>
      <c r="AB5825">
        <v>23</v>
      </c>
      <c r="AC5825">
        <v>-3.1200000000012499E-2</v>
      </c>
      <c r="AD5825">
        <v>-0.12205049999999899</v>
      </c>
      <c r="AE5825">
        <v>-0.54210199999999997</v>
      </c>
      <c r="AF5825">
        <v>0.18179631643404601</v>
      </c>
      <c r="AG5825">
        <v>-0.12205049999999899</v>
      </c>
      <c r="AH5825">
        <v>0.483859702644935</v>
      </c>
      <c r="AI5825">
        <v>103.285728092328</v>
      </c>
      <c r="AJ5825">
        <v>69.407739401728406</v>
      </c>
      <c r="AK5825">
        <v>0.53109927232381204</v>
      </c>
      <c r="AL5825">
        <v>79.351226630586197</v>
      </c>
      <c r="AM5825">
        <v>75.421801857459201</v>
      </c>
      <c r="AN5825">
        <v>0.99999992769089696</v>
      </c>
    </row>
    <row r="5826" spans="1:40" x14ac:dyDescent="0.25">
      <c r="A5826" t="str">
        <f>"20190312173041825"</f>
        <v>20190312173041825</v>
      </c>
      <c r="B5826" t="str">
        <f>"1552383041813082"</f>
        <v>1552383041813082</v>
      </c>
      <c r="C5826" t="s">
        <v>40</v>
      </c>
      <c r="D5826">
        <v>3.5622579999999999</v>
      </c>
      <c r="E5826">
        <v>0.49982860000000001</v>
      </c>
      <c r="F5826" t="s">
        <v>54</v>
      </c>
      <c r="G5826">
        <v>-300.1198</v>
      </c>
      <c r="H5826" s="1">
        <v>-3.2178459999999999E-6</v>
      </c>
      <c r="I5826">
        <v>-45.437579999999997</v>
      </c>
      <c r="J5826">
        <v>-302.48160000000001</v>
      </c>
      <c r="K5826">
        <v>1.0566949999999999</v>
      </c>
      <c r="L5826">
        <v>5.6396479999999999E-2</v>
      </c>
      <c r="M5826">
        <v>0.29481039999999997</v>
      </c>
      <c r="N5826">
        <v>0</v>
      </c>
      <c r="O5826">
        <v>-0.95548040000000001</v>
      </c>
      <c r="P5826">
        <v>5.2344370000000001E-2</v>
      </c>
      <c r="Q5826">
        <v>0.17845629999999901</v>
      </c>
      <c r="R5826">
        <v>-0.9825547</v>
      </c>
      <c r="S5826">
        <v>0.1619263</v>
      </c>
      <c r="T5826">
        <v>-7.0555329999999999E-2</v>
      </c>
      <c r="U5826">
        <v>-3.056</v>
      </c>
      <c r="V5826">
        <v>0.24258479999999999</v>
      </c>
      <c r="W5826">
        <v>0.186168</v>
      </c>
      <c r="X5826">
        <v>0.9520999</v>
      </c>
      <c r="Y5826">
        <v>0.24386969999999999</v>
      </c>
      <c r="Z5826">
        <v>2.1183299999999999E-2</v>
      </c>
      <c r="AA5826">
        <v>0.96957669999999996</v>
      </c>
      <c r="AB5826">
        <v>23</v>
      </c>
      <c r="AC5826">
        <v>2.3618000000000099</v>
      </c>
      <c r="AD5826">
        <v>-1.056698217846</v>
      </c>
      <c r="AE5826">
        <v>-45.493976479999901</v>
      </c>
      <c r="AF5826">
        <v>11.150247832282</v>
      </c>
      <c r="AG5826">
        <v>-1.056698217846</v>
      </c>
      <c r="AH5826">
        <v>44.144315005794397</v>
      </c>
      <c r="AI5826">
        <v>91.329507866770598</v>
      </c>
      <c r="AJ5826">
        <v>75.8243759233644</v>
      </c>
      <c r="AK5826">
        <v>45.543003690750503</v>
      </c>
      <c r="AL5826">
        <v>79.270763742732399</v>
      </c>
      <c r="AM5826">
        <v>75.705787666596606</v>
      </c>
      <c r="AN5826">
        <v>1.00000006449752</v>
      </c>
    </row>
    <row r="5827" spans="1:40" x14ac:dyDescent="0.25">
      <c r="A5827" t="str">
        <f>"20190312173041844"</f>
        <v>20190312173041844</v>
      </c>
      <c r="B5827" t="str">
        <f>"1552383041833578"</f>
        <v>1552383041833578</v>
      </c>
      <c r="C5827" t="s">
        <v>40</v>
      </c>
      <c r="D5827">
        <v>3.4301469999999998</v>
      </c>
      <c r="E5827">
        <v>0.50065919999999997</v>
      </c>
      <c r="F5827" t="s">
        <v>54</v>
      </c>
      <c r="G5827">
        <v>-299.70510000000002</v>
      </c>
      <c r="H5827" s="1">
        <v>-7.213604E-6</v>
      </c>
      <c r="I5827">
        <v>-51.824179999999998</v>
      </c>
      <c r="J5827">
        <v>-302.42919999999998</v>
      </c>
      <c r="K5827">
        <v>1.0586249999999999</v>
      </c>
      <c r="L5827">
        <v>-0.136322</v>
      </c>
      <c r="M5827">
        <v>0.29023120000000002</v>
      </c>
      <c r="N5827">
        <v>0</v>
      </c>
      <c r="O5827">
        <v>-0.95689939999999996</v>
      </c>
      <c r="P5827">
        <v>5.2016979999999997E-2</v>
      </c>
      <c r="Q5827">
        <v>0.18004149999999999</v>
      </c>
      <c r="R5827">
        <v>-0.98228300000000002</v>
      </c>
      <c r="S5827">
        <v>0.16354369999999999</v>
      </c>
      <c r="T5827">
        <v>-6.2241440000000002E-2</v>
      </c>
      <c r="U5827">
        <v>-3.055847</v>
      </c>
      <c r="V5827">
        <v>0.23781769999999999</v>
      </c>
      <c r="W5827">
        <v>0.1869063</v>
      </c>
      <c r="X5827">
        <v>0.95315720000000004</v>
      </c>
      <c r="Y5827">
        <v>0.2387</v>
      </c>
      <c r="Z5827">
        <v>1.8744650000000002E-2</v>
      </c>
      <c r="AA5827">
        <v>0.97091249999999996</v>
      </c>
      <c r="AB5827">
        <v>23</v>
      </c>
      <c r="AC5827">
        <v>2.72409999999996</v>
      </c>
      <c r="AD5827">
        <v>-1.0586322136039901</v>
      </c>
      <c r="AE5827">
        <v>-51.687857999999999</v>
      </c>
      <c r="AF5827">
        <v>12.3902342943582</v>
      </c>
      <c r="AG5827">
        <v>-1.0586322136039901</v>
      </c>
      <c r="AH5827">
        <v>50.232434550733203</v>
      </c>
      <c r="AI5827">
        <v>91.172189778227093</v>
      </c>
      <c r="AJ5827">
        <v>76.144113945007206</v>
      </c>
      <c r="AK5827">
        <v>51.748778622557502</v>
      </c>
      <c r="AL5827">
        <v>79.2277051217729</v>
      </c>
      <c r="AM5827">
        <v>75.990440689155704</v>
      </c>
      <c r="AN5827">
        <v>0.99999993566240697</v>
      </c>
    </row>
    <row r="5828" spans="1:40" x14ac:dyDescent="0.25">
      <c r="A5828" t="str">
        <f>"20190312173041865"</f>
        <v>20190312173041865</v>
      </c>
      <c r="B5828" t="str">
        <f>"1552383041853098"</f>
        <v>1552383041853098</v>
      </c>
      <c r="C5828" t="s">
        <v>40</v>
      </c>
      <c r="D5828">
        <v>3.4607239999999999</v>
      </c>
      <c r="E5828">
        <v>0.50122</v>
      </c>
      <c r="F5828" t="s">
        <v>54</v>
      </c>
      <c r="G5828">
        <v>-300.29259999999999</v>
      </c>
      <c r="H5828" s="1">
        <v>-8.8460550000000001E-7</v>
      </c>
      <c r="I5828">
        <v>-41.704509999999999</v>
      </c>
      <c r="J5828">
        <v>-302.37200000000001</v>
      </c>
      <c r="K5828">
        <v>1.0610310000000001</v>
      </c>
      <c r="L5828">
        <v>-0.34634399999999999</v>
      </c>
      <c r="M5828">
        <v>0.28350320000000001</v>
      </c>
      <c r="N5828">
        <v>0</v>
      </c>
      <c r="O5828">
        <v>-0.9589297</v>
      </c>
      <c r="P5828">
        <v>4.9551640000000001E-2</v>
      </c>
      <c r="Q5828">
        <v>0.18181140000000001</v>
      </c>
      <c r="R5828">
        <v>-0.98208450000000003</v>
      </c>
      <c r="S5828">
        <v>0.1572876</v>
      </c>
      <c r="T5828">
        <v>-7.7931169999999994E-2</v>
      </c>
      <c r="U5828">
        <v>-3.0600589999999999</v>
      </c>
      <c r="V5828">
        <v>0.23292289999999999</v>
      </c>
      <c r="W5828">
        <v>0.18789739999999999</v>
      </c>
      <c r="X5828">
        <v>0.95417059999999998</v>
      </c>
      <c r="Y5828">
        <v>0.2339282</v>
      </c>
      <c r="Z5828">
        <v>2.3527360000000001E-2</v>
      </c>
      <c r="AA5828">
        <v>0.97196919999999998</v>
      </c>
      <c r="AB5828">
        <v>23</v>
      </c>
      <c r="AC5828">
        <v>2.0794000000000201</v>
      </c>
      <c r="AD5828">
        <v>-1.0610318846055</v>
      </c>
      <c r="AE5828">
        <v>-41.358165999999997</v>
      </c>
      <c r="AF5828">
        <v>9.7251774955747496</v>
      </c>
      <c r="AG5828">
        <v>-1.0610318846055</v>
      </c>
      <c r="AH5828">
        <v>40.224288184135403</v>
      </c>
      <c r="AI5828">
        <v>91.468694456812202</v>
      </c>
      <c r="AJ5828">
        <v>76.408211390942299</v>
      </c>
      <c r="AK5828">
        <v>41.396838356340197</v>
      </c>
      <c r="AL5828">
        <v>79.169896014059603</v>
      </c>
      <c r="AM5828">
        <v>76.281797058030506</v>
      </c>
      <c r="AN5828">
        <v>1.0000000220877601</v>
      </c>
    </row>
    <row r="5829" spans="1:40" x14ac:dyDescent="0.25">
      <c r="A5829" t="str">
        <f>"20190312173041887"</f>
        <v>20190312173041887</v>
      </c>
      <c r="B5829" t="str">
        <f>"1552383041883036"</f>
        <v>1552383041883036</v>
      </c>
      <c r="C5829" t="s">
        <v>40</v>
      </c>
      <c r="D5829">
        <v>3.4613610000000001</v>
      </c>
      <c r="E5829">
        <v>0.50150439999999996</v>
      </c>
      <c r="F5829" t="s">
        <v>41</v>
      </c>
      <c r="G5829">
        <v>-300.50040000000001</v>
      </c>
      <c r="H5829" s="1">
        <v>-5.2924319999999995E-7</v>
      </c>
      <c r="I5829">
        <v>-39.487549999999999</v>
      </c>
      <c r="J5829">
        <v>-302.31099999999998</v>
      </c>
      <c r="K5829">
        <v>1.063293</v>
      </c>
      <c r="L5829">
        <v>-0.5730286</v>
      </c>
      <c r="M5829">
        <v>0.27636709999999998</v>
      </c>
      <c r="N5829">
        <v>0</v>
      </c>
      <c r="O5829">
        <v>-0.96102319999999997</v>
      </c>
      <c r="P5829">
        <v>4.7530339999999997E-2</v>
      </c>
      <c r="Q5829">
        <v>0.18335470000000001</v>
      </c>
      <c r="R5829">
        <v>-0.98189749999999998</v>
      </c>
      <c r="S5829">
        <v>0.1464539</v>
      </c>
      <c r="T5829">
        <v>-8.3023429999999995E-2</v>
      </c>
      <c r="U5829">
        <v>-3.0627140000000002</v>
      </c>
      <c r="V5829">
        <v>0.22740650000000001</v>
      </c>
      <c r="W5829">
        <v>0.1884622</v>
      </c>
      <c r="X5829">
        <v>0.95538909999999999</v>
      </c>
      <c r="Y5829">
        <v>0.2301704</v>
      </c>
      <c r="Z5829">
        <v>2.5140280000000001E-2</v>
      </c>
      <c r="AA5829">
        <v>0.97282559999999996</v>
      </c>
      <c r="AB5829">
        <v>23</v>
      </c>
      <c r="AC5829">
        <v>1.81059999999996</v>
      </c>
      <c r="AD5829">
        <v>-1.0632935292432</v>
      </c>
      <c r="AE5829">
        <v>-38.914521399999998</v>
      </c>
      <c r="AF5829">
        <v>9.0082046778588492</v>
      </c>
      <c r="AG5829">
        <v>-1.0632935292432</v>
      </c>
      <c r="AH5829">
        <v>37.870989354250199</v>
      </c>
      <c r="AI5829">
        <v>91.564623974109793</v>
      </c>
      <c r="AJ5829">
        <v>76.619955648698607</v>
      </c>
      <c r="AK5829">
        <v>38.942138864182297</v>
      </c>
      <c r="AL5829">
        <v>79.136946734400098</v>
      </c>
      <c r="AM5829">
        <v>76.611310216905096</v>
      </c>
      <c r="AN5829">
        <v>1.0000000247349401</v>
      </c>
    </row>
    <row r="5830" spans="1:40" x14ac:dyDescent="0.25">
      <c r="A5830" t="str">
        <f>"20190312173041910"</f>
        <v>20190312173041910</v>
      </c>
      <c r="B5830" t="str">
        <f>"1552383041903533"</f>
        <v>1552383041903533</v>
      </c>
      <c r="C5830" t="s">
        <v>40</v>
      </c>
      <c r="D5830">
        <v>3.4368789999999998</v>
      </c>
      <c r="E5830">
        <v>0.50154869999999996</v>
      </c>
      <c r="F5830" t="s">
        <v>41</v>
      </c>
      <c r="G5830">
        <v>-300.70150000000001</v>
      </c>
      <c r="H5830" s="1">
        <v>-1.9487609999999999E-6</v>
      </c>
      <c r="I5830">
        <v>-36.303370000000001</v>
      </c>
      <c r="J5830">
        <v>-302.25299999999999</v>
      </c>
      <c r="K5830">
        <v>1.0649879999999901</v>
      </c>
      <c r="L5830">
        <v>-0.79345699999999997</v>
      </c>
      <c r="M5830">
        <v>0.2706462</v>
      </c>
      <c r="N5830">
        <v>0</v>
      </c>
      <c r="O5830">
        <v>-0.96266039999999997</v>
      </c>
      <c r="P5830">
        <v>4.6709819999999999E-2</v>
      </c>
      <c r="Q5830">
        <v>0.18506990000000001</v>
      </c>
      <c r="R5830">
        <v>-0.98161469999999995</v>
      </c>
      <c r="S5830">
        <v>0.13809199999999999</v>
      </c>
      <c r="T5830">
        <v>-9.1230989999999998E-2</v>
      </c>
      <c r="U5830">
        <v>-3.065674</v>
      </c>
      <c r="V5830">
        <v>0.22236939999999999</v>
      </c>
      <c r="W5830">
        <v>0.1888667</v>
      </c>
      <c r="X5830">
        <v>0.95649419999999996</v>
      </c>
      <c r="Y5830">
        <v>0.22707369999999999</v>
      </c>
      <c r="Z5830">
        <v>2.7681600000000001E-2</v>
      </c>
      <c r="AA5830">
        <v>0.97348409999999996</v>
      </c>
      <c r="AB5830">
        <v>23</v>
      </c>
      <c r="AC5830">
        <v>1.5514999999999699</v>
      </c>
      <c r="AD5830">
        <v>-1.06498994876099</v>
      </c>
      <c r="AE5830">
        <v>-35.509912999999997</v>
      </c>
      <c r="AF5830">
        <v>8.1099190309327902</v>
      </c>
      <c r="AG5830">
        <v>-1.06498994876099</v>
      </c>
      <c r="AH5830">
        <v>34.5734714882052</v>
      </c>
      <c r="AI5830">
        <v>91.717765864414503</v>
      </c>
      <c r="AJ5830">
        <v>76.798767706094296</v>
      </c>
      <c r="AK5830">
        <v>35.527875267527399</v>
      </c>
      <c r="AL5830">
        <v>79.113346144357294</v>
      </c>
      <c r="AM5830">
        <v>76.912148161362694</v>
      </c>
      <c r="AN5830">
        <v>0.99999996752944398</v>
      </c>
    </row>
    <row r="5831" spans="1:40" x14ac:dyDescent="0.25">
      <c r="A5831" t="str">
        <f>"20190312173041931"</f>
        <v>20190312173041931</v>
      </c>
      <c r="B5831" t="str">
        <f>"1552383041923053"</f>
        <v>1552383041923053</v>
      </c>
      <c r="C5831" t="s">
        <v>40</v>
      </c>
      <c r="D5831">
        <v>3.4680610000000001</v>
      </c>
      <c r="E5831">
        <v>0.5015771</v>
      </c>
      <c r="F5831" t="s">
        <v>41</v>
      </c>
      <c r="G5831">
        <v>-300.71550000000002</v>
      </c>
      <c r="H5831" s="1">
        <v>-2.261821E-6</v>
      </c>
      <c r="I5831">
        <v>-35.582320000000003</v>
      </c>
      <c r="J5831">
        <v>-302.197</v>
      </c>
      <c r="K5831">
        <v>1.0664169999999999</v>
      </c>
      <c r="L5831">
        <v>-1.0117799999999999</v>
      </c>
      <c r="M5831">
        <v>0.26605309999999999</v>
      </c>
      <c r="N5831">
        <v>0</v>
      </c>
      <c r="O5831">
        <v>-0.96394809999999997</v>
      </c>
      <c r="P5831">
        <v>4.7941310000000001E-2</v>
      </c>
      <c r="Q5831">
        <v>0.18700839999999999</v>
      </c>
      <c r="R5831">
        <v>-0.98118819999999995</v>
      </c>
      <c r="S5831">
        <v>0.13555909999999999</v>
      </c>
      <c r="T5831">
        <v>-9.3903539999999994E-2</v>
      </c>
      <c r="U5831">
        <v>-3.0674440000000001</v>
      </c>
      <c r="V5831">
        <v>0.21654329999999999</v>
      </c>
      <c r="W5831">
        <v>0.1893851</v>
      </c>
      <c r="X5831">
        <v>0.95772769999999996</v>
      </c>
      <c r="Y5831">
        <v>0.22325490000000001</v>
      </c>
      <c r="Z5831">
        <v>2.8547869999999999E-2</v>
      </c>
      <c r="AA5831">
        <v>0.97434200000000004</v>
      </c>
      <c r="AB5831">
        <v>23</v>
      </c>
      <c r="AC5831">
        <v>1.4814999999999801</v>
      </c>
      <c r="AD5831">
        <v>-1.066419261821</v>
      </c>
      <c r="AE5831">
        <v>-34.570540000000001</v>
      </c>
      <c r="AF5831">
        <v>7.7622143783939102</v>
      </c>
      <c r="AG5831">
        <v>-1.066419261821</v>
      </c>
      <c r="AH5831">
        <v>33.6867012705561</v>
      </c>
      <c r="AI5831">
        <v>91.766935225000495</v>
      </c>
      <c r="AJ5831">
        <v>77.024181040584097</v>
      </c>
      <c r="AK5831">
        <v>34.585879554954403</v>
      </c>
      <c r="AL5831">
        <v>79.083098833856994</v>
      </c>
      <c r="AM5831">
        <v>77.259581485773595</v>
      </c>
      <c r="AN5831">
        <v>1.0000000321120901</v>
      </c>
    </row>
    <row r="5832" spans="1:40" x14ac:dyDescent="0.25">
      <c r="A5832" t="str">
        <f>"20190312173041954"</f>
        <v>20190312173041954</v>
      </c>
      <c r="B5832" t="str">
        <f>"1552383041943549"</f>
        <v>1552383041943549</v>
      </c>
      <c r="C5832" t="s">
        <v>40</v>
      </c>
      <c r="D5832">
        <v>3.4757189999999998</v>
      </c>
      <c r="E5832">
        <v>0.5017684</v>
      </c>
      <c r="F5832" t="s">
        <v>41</v>
      </c>
      <c r="G5832">
        <v>-300.62540000000001</v>
      </c>
      <c r="H5832" s="1">
        <v>-2.1879400000000001E-6</v>
      </c>
      <c r="I5832">
        <v>-35.698639999999997</v>
      </c>
      <c r="J5832">
        <v>-302.14080000000001</v>
      </c>
      <c r="K5832">
        <v>1.0679179999999999</v>
      </c>
      <c r="L5832">
        <v>-1.2370300000000001</v>
      </c>
      <c r="M5832">
        <v>0.26178879999999999</v>
      </c>
      <c r="N5832">
        <v>0</v>
      </c>
      <c r="O5832">
        <v>-0.96512039999999999</v>
      </c>
      <c r="P5832">
        <v>4.9806540000000003E-2</v>
      </c>
      <c r="Q5832">
        <v>0.18874050000000001</v>
      </c>
      <c r="R5832">
        <v>-0.98076339999999995</v>
      </c>
      <c r="S5832">
        <v>0.1390381</v>
      </c>
      <c r="T5832">
        <v>-9.4344499999999998E-2</v>
      </c>
      <c r="U5832">
        <v>-3.068695</v>
      </c>
      <c r="V5832">
        <v>0.210401</v>
      </c>
      <c r="W5832">
        <v>0.1897952</v>
      </c>
      <c r="X5832">
        <v>0.9590147</v>
      </c>
      <c r="Y5832">
        <v>0.21785599999999999</v>
      </c>
      <c r="Z5832">
        <v>2.8741840000000001E-2</v>
      </c>
      <c r="AA5832">
        <v>0.97555760000000002</v>
      </c>
      <c r="AB5832">
        <v>23</v>
      </c>
      <c r="AC5832">
        <v>1.5153999999999901</v>
      </c>
      <c r="AD5832">
        <v>-1.06792018794</v>
      </c>
      <c r="AE5832">
        <v>-34.46161</v>
      </c>
      <c r="AF5832">
        <v>7.5519168865558504</v>
      </c>
      <c r="AG5832">
        <v>-1.06792018794</v>
      </c>
      <c r="AH5832">
        <v>33.624246017385502</v>
      </c>
      <c r="AI5832">
        <v>91.774939153968205</v>
      </c>
      <c r="AJ5832">
        <v>77.341576353571895</v>
      </c>
      <c r="AK5832">
        <v>34.4784254632795</v>
      </c>
      <c r="AL5832">
        <v>79.0591674144937</v>
      </c>
      <c r="AM5832">
        <v>77.625765049902597</v>
      </c>
      <c r="AN5832">
        <v>0.99999999678006501</v>
      </c>
    </row>
    <row r="5833" spans="1:40" x14ac:dyDescent="0.25">
      <c r="A5833" t="str">
        <f>"20190312173041977"</f>
        <v>20190312173041977</v>
      </c>
      <c r="B5833" t="str">
        <f>"1552383041963069"</f>
        <v>1552383041963069</v>
      </c>
      <c r="C5833" t="s">
        <v>40</v>
      </c>
      <c r="D5833">
        <v>3.4816919999999998</v>
      </c>
      <c r="E5833">
        <v>0.50182680000000002</v>
      </c>
      <c r="F5833" t="s">
        <v>41</v>
      </c>
      <c r="G5833">
        <v>-300.50240000000002</v>
      </c>
      <c r="H5833" s="1">
        <v>-1.830043E-6</v>
      </c>
      <c r="I5833">
        <v>-36.456609999999998</v>
      </c>
      <c r="J5833">
        <v>-302.0865</v>
      </c>
      <c r="K5833">
        <v>1.0696000000000001</v>
      </c>
      <c r="L5833">
        <v>-1.458466</v>
      </c>
      <c r="M5833">
        <v>0.25714720000000002</v>
      </c>
      <c r="N5833">
        <v>0</v>
      </c>
      <c r="O5833">
        <v>-0.96637039999999996</v>
      </c>
      <c r="P5833">
        <v>5.1053929999999997E-2</v>
      </c>
      <c r="Q5833">
        <v>0.1907285</v>
      </c>
      <c r="R5833">
        <v>-0.98031460000000004</v>
      </c>
      <c r="S5833">
        <v>0.14279169999999999</v>
      </c>
      <c r="T5833">
        <v>-9.3072299999999997E-2</v>
      </c>
      <c r="U5833">
        <v>-3.0694889999999999</v>
      </c>
      <c r="V5833">
        <v>0.20437130000000001</v>
      </c>
      <c r="W5833">
        <v>0.19090650000000001</v>
      </c>
      <c r="X5833">
        <v>0.96009739999999999</v>
      </c>
      <c r="Y5833">
        <v>0.21198110000000001</v>
      </c>
      <c r="Z5833">
        <v>2.8422659999999999E-2</v>
      </c>
      <c r="AA5833">
        <v>0.97686030000000001</v>
      </c>
      <c r="AB5833">
        <v>23</v>
      </c>
      <c r="AC5833">
        <v>1.5840999999999701</v>
      </c>
      <c r="AD5833">
        <v>-1.0696018300429999</v>
      </c>
      <c r="AE5833">
        <v>-34.998144000000003</v>
      </c>
      <c r="AF5833">
        <v>7.4619054181300699</v>
      </c>
      <c r="AG5833">
        <v>-1.0696018300429999</v>
      </c>
      <c r="AH5833">
        <v>34.196703390645702</v>
      </c>
      <c r="AI5833">
        <v>91.750349729056694</v>
      </c>
      <c r="AJ5833">
        <v>77.690694324567502</v>
      </c>
      <c r="AK5833">
        <v>35.017689862864302</v>
      </c>
      <c r="AL5833">
        <v>78.9943084306272</v>
      </c>
      <c r="AM5833">
        <v>77.983083236933993</v>
      </c>
      <c r="AN5833">
        <v>0.999999968746349</v>
      </c>
    </row>
    <row r="5834" spans="1:40" x14ac:dyDescent="0.25">
      <c r="A5834" t="str">
        <f>"20190312173042005"</f>
        <v>20190312173042005</v>
      </c>
      <c r="B5834" t="str">
        <f>"1552383041993609"</f>
        <v>1552383041993609</v>
      </c>
      <c r="C5834" t="s">
        <v>40</v>
      </c>
      <c r="D5834">
        <v>3.4984929999999999</v>
      </c>
      <c r="E5834">
        <v>0.50217939999999905</v>
      </c>
      <c r="F5834" t="s">
        <v>41</v>
      </c>
      <c r="G5834">
        <v>-300.37279999999998</v>
      </c>
      <c r="H5834" s="1">
        <v>-1.3747069999999999E-6</v>
      </c>
      <c r="I5834">
        <v>-37.437640000000002</v>
      </c>
      <c r="J5834">
        <v>-302.0181</v>
      </c>
      <c r="K5834">
        <v>1.071925</v>
      </c>
      <c r="L5834">
        <v>-1.7395020000000001</v>
      </c>
      <c r="M5834">
        <v>0.25016620000000001</v>
      </c>
      <c r="N5834">
        <v>0</v>
      </c>
      <c r="O5834">
        <v>-0.96820220000000001</v>
      </c>
      <c r="P5834">
        <v>4.9453770000000001E-2</v>
      </c>
      <c r="Q5834">
        <v>0.19202669999999999</v>
      </c>
      <c r="R5834">
        <v>-0.98014319999999999</v>
      </c>
      <c r="S5834">
        <v>0.14624019999999999</v>
      </c>
      <c r="T5834">
        <v>-9.1277120000000003E-2</v>
      </c>
      <c r="U5834">
        <v>-3.0703740000000002</v>
      </c>
      <c r="V5834">
        <v>0.19882440000000001</v>
      </c>
      <c r="W5834">
        <v>0.1917616</v>
      </c>
      <c r="X5834">
        <v>0.96109120000000003</v>
      </c>
      <c r="Y5834">
        <v>0.2038384</v>
      </c>
      <c r="Z5834">
        <v>2.7973230000000002E-2</v>
      </c>
      <c r="AA5834">
        <v>0.9786049</v>
      </c>
      <c r="AB5834">
        <v>23</v>
      </c>
      <c r="AC5834">
        <v>1.64530000000002</v>
      </c>
      <c r="AD5834">
        <v>-1.071926374707</v>
      </c>
      <c r="AE5834">
        <v>-35.698138</v>
      </c>
      <c r="AF5834">
        <v>7.3308935842470397</v>
      </c>
      <c r="AG5834">
        <v>-1.071926374707</v>
      </c>
      <c r="AH5834">
        <v>34.943198386340903</v>
      </c>
      <c r="AI5834">
        <v>91.719655244957394</v>
      </c>
      <c r="AJ5834">
        <v>78.151493993777095</v>
      </c>
      <c r="AK5834">
        <v>35.719996365670703</v>
      </c>
      <c r="AL5834">
        <v>78.944392669086795</v>
      </c>
      <c r="AM5834">
        <v>78.3118916845646</v>
      </c>
      <c r="AN5834">
        <v>0.99999997399367901</v>
      </c>
    </row>
    <row r="5835" spans="1:40" x14ac:dyDescent="0.25">
      <c r="A5835" t="str">
        <f>"20190312173042027"</f>
        <v>20190312173042027</v>
      </c>
      <c r="B5835" t="str">
        <f>"1552383042023866"</f>
        <v>1552383042023866</v>
      </c>
      <c r="C5835" t="s">
        <v>40</v>
      </c>
      <c r="D5835">
        <v>3.5183779999999998</v>
      </c>
      <c r="E5835">
        <v>0.50270909999999902</v>
      </c>
      <c r="F5835" t="s">
        <v>41</v>
      </c>
      <c r="G5835">
        <v>-300.39859999999999</v>
      </c>
      <c r="H5835" s="1">
        <v>-1.3332340000000001E-6</v>
      </c>
      <c r="I5835">
        <v>-37.550289999999997</v>
      </c>
      <c r="J5835">
        <v>-301.96370000000002</v>
      </c>
      <c r="K5835">
        <v>1.073604</v>
      </c>
      <c r="L5835">
        <v>-1.964539</v>
      </c>
      <c r="M5835">
        <v>0.24563860000000001</v>
      </c>
      <c r="N5835">
        <v>0</v>
      </c>
      <c r="O5835">
        <v>-0.96936040000000001</v>
      </c>
      <c r="P5835">
        <v>4.9902519999999999E-2</v>
      </c>
      <c r="Q5835">
        <v>0.19206100000000001</v>
      </c>
      <c r="R5835">
        <v>-0.98011369999999998</v>
      </c>
      <c r="S5835">
        <v>0.13891600000000001</v>
      </c>
      <c r="T5835">
        <v>-9.1947669999999995E-2</v>
      </c>
      <c r="U5835">
        <v>-3.071777</v>
      </c>
      <c r="V5835">
        <v>0.19402920000000001</v>
      </c>
      <c r="W5835">
        <v>0.19193479999999999</v>
      </c>
      <c r="X5835">
        <v>0.96203629999999996</v>
      </c>
      <c r="Y5835">
        <v>0.2016125</v>
      </c>
      <c r="Z5835">
        <v>2.8225819999999999E-2</v>
      </c>
      <c r="AA5835">
        <v>0.9790586</v>
      </c>
      <c r="AB5835">
        <v>23</v>
      </c>
      <c r="AC5835">
        <v>1.5651000000000199</v>
      </c>
      <c r="AD5835">
        <v>-1.0736053332340001</v>
      </c>
      <c r="AE5835">
        <v>-35.585751000000002</v>
      </c>
      <c r="AF5835">
        <v>7.2175389296114902</v>
      </c>
      <c r="AG5835">
        <v>-1.0736053332340001</v>
      </c>
      <c r="AH5835">
        <v>34.848245647553803</v>
      </c>
      <c r="AI5835">
        <v>91.7279619781321</v>
      </c>
      <c r="AJ5835">
        <v>78.298716403203002</v>
      </c>
      <c r="AK5835">
        <v>35.604012713797502</v>
      </c>
      <c r="AL5835">
        <v>78.934282293765705</v>
      </c>
      <c r="AM5835">
        <v>78.597215485126995</v>
      </c>
      <c r="AN5835">
        <v>1.0000000702106799</v>
      </c>
    </row>
    <row r="5836" spans="1:40" x14ac:dyDescent="0.25">
      <c r="A5836" t="str">
        <f>"20190312173042051"</f>
        <v>20190312173042051</v>
      </c>
      <c r="B5836" t="str">
        <f>"1552383042043385"</f>
        <v>1552383042043385</v>
      </c>
      <c r="C5836" t="s">
        <v>40</v>
      </c>
      <c r="D5836">
        <v>3.517598</v>
      </c>
      <c r="E5836">
        <v>0.5030289</v>
      </c>
      <c r="F5836" t="s">
        <v>41</v>
      </c>
      <c r="G5836">
        <v>-300.46109999999999</v>
      </c>
      <c r="H5836" s="1">
        <v>-1.9834240000000002E-6</v>
      </c>
      <c r="I5836">
        <v>-36.073459999999997</v>
      </c>
      <c r="J5836">
        <v>-301.90980000000002</v>
      </c>
      <c r="K5836">
        <v>1.075501</v>
      </c>
      <c r="L5836">
        <v>-2.1932369999999999</v>
      </c>
      <c r="M5836">
        <v>0.2431073</v>
      </c>
      <c r="N5836">
        <v>0</v>
      </c>
      <c r="O5836">
        <v>-0.96999749999999996</v>
      </c>
      <c r="P5836">
        <v>5.2072050000000002E-2</v>
      </c>
      <c r="Q5836">
        <v>0.19195329999999999</v>
      </c>
      <c r="R5836">
        <v>-0.9800219</v>
      </c>
      <c r="S5836">
        <v>0.135376</v>
      </c>
      <c r="T5836">
        <v>-9.6723199999999995E-2</v>
      </c>
      <c r="U5836">
        <v>-3.072937</v>
      </c>
      <c r="V5836">
        <v>0.189584</v>
      </c>
      <c r="W5836">
        <v>0.19209580000000001</v>
      </c>
      <c r="X5836">
        <v>0.96289000000000002</v>
      </c>
      <c r="Y5836">
        <v>0.20019980000000001</v>
      </c>
      <c r="Z5836">
        <v>2.971447E-2</v>
      </c>
      <c r="AA5836">
        <v>0.97930439999999996</v>
      </c>
      <c r="AB5836">
        <v>22</v>
      </c>
      <c r="AC5836">
        <v>1.4487000000000301</v>
      </c>
      <c r="AD5836">
        <v>-1.075502983424</v>
      </c>
      <c r="AE5836">
        <v>-33.880223000000001</v>
      </c>
      <c r="AF5836">
        <v>6.8244423335162097</v>
      </c>
      <c r="AG5836">
        <v>-1.075502983424</v>
      </c>
      <c r="AH5836">
        <v>33.182605405542397</v>
      </c>
      <c r="AI5836">
        <v>91.818369363501802</v>
      </c>
      <c r="AJ5836">
        <v>78.378409942582906</v>
      </c>
      <c r="AK5836">
        <v>33.8941738552627</v>
      </c>
      <c r="AL5836">
        <v>78.924882212371401</v>
      </c>
      <c r="AM5836">
        <v>78.861472288733907</v>
      </c>
      <c r="AN5836">
        <v>1.00000002076682</v>
      </c>
    </row>
    <row r="5837" spans="1:40" x14ac:dyDescent="0.25">
      <c r="A5837" t="str">
        <f>"20190312173042071"</f>
        <v>20190312173042071</v>
      </c>
      <c r="B5837" t="str">
        <f>"1552383042063882"</f>
        <v>1552383042063882</v>
      </c>
      <c r="C5837" t="s">
        <v>40</v>
      </c>
      <c r="D5837">
        <v>3.5134590000000001</v>
      </c>
      <c r="E5837">
        <v>0.5033706</v>
      </c>
      <c r="F5837" t="s">
        <v>41</v>
      </c>
      <c r="G5837">
        <v>-300.40809999999999</v>
      </c>
      <c r="H5837" s="1">
        <v>-2.3231639999999999E-6</v>
      </c>
      <c r="I5837">
        <v>-35.248660000000001</v>
      </c>
      <c r="J5837">
        <v>-301.86290000000002</v>
      </c>
      <c r="K5837">
        <v>1.0776319999999999</v>
      </c>
      <c r="L5837">
        <v>-2.3963619999999999</v>
      </c>
      <c r="M5837">
        <v>0.2413546</v>
      </c>
      <c r="N5837">
        <v>0</v>
      </c>
      <c r="O5837">
        <v>-0.97043440000000003</v>
      </c>
      <c r="P5837">
        <v>5.391278E-2</v>
      </c>
      <c r="Q5837">
        <v>0.19163189999999999</v>
      </c>
      <c r="R5837">
        <v>-0.97998540000000001</v>
      </c>
      <c r="S5837">
        <v>0.13961789999999999</v>
      </c>
      <c r="T5837">
        <v>-9.9995139999999996E-2</v>
      </c>
      <c r="U5837">
        <v>-3.073334</v>
      </c>
      <c r="V5837">
        <v>0.18608230000000001</v>
      </c>
      <c r="W5837">
        <v>0.19210459999999999</v>
      </c>
      <c r="X5837">
        <v>0.96357110000000001</v>
      </c>
      <c r="Y5837">
        <v>0.19708700000000001</v>
      </c>
      <c r="Z5837">
        <v>3.074532E-2</v>
      </c>
      <c r="AA5837">
        <v>0.97990379999999999</v>
      </c>
      <c r="AB5837">
        <v>22</v>
      </c>
      <c r="AC5837">
        <v>1.4548000000000301</v>
      </c>
      <c r="AD5837">
        <v>-1.077634323164</v>
      </c>
      <c r="AE5837">
        <v>-32.852297999999998</v>
      </c>
      <c r="AF5837">
        <v>6.51029032925506</v>
      </c>
      <c r="AG5837">
        <v>-1.077634323164</v>
      </c>
      <c r="AH5837">
        <v>32.197627105869302</v>
      </c>
      <c r="AI5837">
        <v>91.878941677222798</v>
      </c>
      <c r="AJ5837">
        <v>78.569035805259603</v>
      </c>
      <c r="AK5837">
        <v>32.8668886138354</v>
      </c>
      <c r="AL5837">
        <v>78.924368569309394</v>
      </c>
      <c r="AM5837">
        <v>79.069743972156004</v>
      </c>
      <c r="AN5837">
        <v>1.0000000322348199</v>
      </c>
    </row>
    <row r="5838" spans="1:40" x14ac:dyDescent="0.25">
      <c r="A5838" t="str">
        <f>"20190312173042091"</f>
        <v>20190312173042091</v>
      </c>
      <c r="B5838" t="str">
        <f>"1552383042083401"</f>
        <v>1552383042083401</v>
      </c>
      <c r="C5838" t="s">
        <v>40</v>
      </c>
      <c r="D5838">
        <v>3.5539749999999999</v>
      </c>
      <c r="E5838">
        <v>0.50366619999999995</v>
      </c>
      <c r="F5838" t="s">
        <v>41</v>
      </c>
      <c r="G5838">
        <v>-300.38220000000001</v>
      </c>
      <c r="H5838" s="1">
        <v>-2.7215359999999998E-6</v>
      </c>
      <c r="I5838">
        <v>-34.303989999999999</v>
      </c>
      <c r="J5838">
        <v>-301.81869999999998</v>
      </c>
      <c r="K5838">
        <v>1.0800479999999999</v>
      </c>
      <c r="L5838">
        <v>-2.590881</v>
      </c>
      <c r="M5838">
        <v>0.23906060000000001</v>
      </c>
      <c r="N5838">
        <v>0</v>
      </c>
      <c r="O5838">
        <v>-0.97100129999999996</v>
      </c>
      <c r="P5838">
        <v>5.435831E-2</v>
      </c>
      <c r="Q5838">
        <v>0.19063479999999999</v>
      </c>
      <c r="R5838">
        <v>-0.9801552</v>
      </c>
      <c r="S5838">
        <v>0.14263919999999999</v>
      </c>
      <c r="T5838">
        <v>-0.1038109</v>
      </c>
      <c r="U5838">
        <v>-3.0737299999999999</v>
      </c>
      <c r="V5838">
        <v>0.1832945</v>
      </c>
      <c r="W5838">
        <v>0.19147890000000001</v>
      </c>
      <c r="X5838">
        <v>0.96422969999999997</v>
      </c>
      <c r="Y5838">
        <v>0.19381570000000001</v>
      </c>
      <c r="Z5838">
        <v>3.1952130000000002E-2</v>
      </c>
      <c r="AA5838">
        <v>0.98051750000000004</v>
      </c>
      <c r="AB5838">
        <v>22</v>
      </c>
      <c r="AC5838">
        <v>1.4364999999999599</v>
      </c>
      <c r="AD5838">
        <v>-1.08005072153599</v>
      </c>
      <c r="AE5838">
        <v>-31.713108999999999</v>
      </c>
      <c r="AF5838">
        <v>6.1793789966154096</v>
      </c>
      <c r="AG5838">
        <v>-1.08005072153599</v>
      </c>
      <c r="AH5838">
        <v>31.100982544721401</v>
      </c>
      <c r="AI5838">
        <v>91.950820966091797</v>
      </c>
      <c r="AJ5838">
        <v>78.762389639640901</v>
      </c>
      <c r="AK5838">
        <v>31.7273123600467</v>
      </c>
      <c r="AL5838">
        <v>78.960896059146805</v>
      </c>
      <c r="AM5838">
        <v>79.236822268340205</v>
      </c>
      <c r="AN5838">
        <v>0.99999997861877399</v>
      </c>
    </row>
    <row r="5839" spans="1:40" x14ac:dyDescent="0.25">
      <c r="A5839" t="str">
        <f>"20190312173042111"</f>
        <v>20190312173042111</v>
      </c>
      <c r="B5839" t="str">
        <f>"1552383042103898"</f>
        <v>1552383042103898</v>
      </c>
      <c r="C5839" t="s">
        <v>40</v>
      </c>
      <c r="D5839">
        <v>3.5210520000000001</v>
      </c>
      <c r="E5839">
        <v>0.50396319999999994</v>
      </c>
      <c r="F5839" t="s">
        <v>41</v>
      </c>
      <c r="G5839">
        <v>-300.41289999999998</v>
      </c>
      <c r="H5839" s="1">
        <v>-3.3482329999999998E-6</v>
      </c>
      <c r="I5839">
        <v>-32.862169999999999</v>
      </c>
      <c r="J5839">
        <v>-301.77269999999999</v>
      </c>
      <c r="K5839">
        <v>1.082802</v>
      </c>
      <c r="L5839">
        <v>-2.7947389999999999</v>
      </c>
      <c r="M5839">
        <v>0.23584050000000001</v>
      </c>
      <c r="N5839">
        <v>0</v>
      </c>
      <c r="O5839">
        <v>-0.97178739999999997</v>
      </c>
      <c r="P5839">
        <v>5.307978E-2</v>
      </c>
      <c r="Q5839">
        <v>0.18890090000000001</v>
      </c>
      <c r="R5839">
        <v>-0.98056100000000002</v>
      </c>
      <c r="S5839">
        <v>0.1427612</v>
      </c>
      <c r="T5839">
        <v>-0.109683</v>
      </c>
      <c r="U5839">
        <v>-3.0741580000000002</v>
      </c>
      <c r="V5839">
        <v>0.1812299</v>
      </c>
      <c r="W5839">
        <v>0.19027459999999999</v>
      </c>
      <c r="X5839">
        <v>0.9648582</v>
      </c>
      <c r="Y5839">
        <v>0.19053290000000001</v>
      </c>
      <c r="Z5839">
        <v>3.3806009999999997E-2</v>
      </c>
      <c r="AA5839">
        <v>0.98109849999999998</v>
      </c>
      <c r="AB5839">
        <v>23</v>
      </c>
      <c r="AC5839">
        <v>1.3597999999999999</v>
      </c>
      <c r="AD5839">
        <v>-1.082805348233</v>
      </c>
      <c r="AE5839">
        <v>-30.067430999999999</v>
      </c>
      <c r="AF5839">
        <v>5.7622481634479099</v>
      </c>
      <c r="AG5839">
        <v>-1.082805348233</v>
      </c>
      <c r="AH5839">
        <v>29.5017892477758</v>
      </c>
      <c r="AI5839">
        <v>92.063036949223601</v>
      </c>
      <c r="AJ5839">
        <v>78.948206330650805</v>
      </c>
      <c r="AK5839">
        <v>30.0787556281755</v>
      </c>
      <c r="AL5839">
        <v>79.031190286352597</v>
      </c>
      <c r="AM5839">
        <v>79.362046839609903</v>
      </c>
      <c r="AN5839">
        <v>1.0000000230832</v>
      </c>
    </row>
    <row r="5840" spans="1:40" x14ac:dyDescent="0.25">
      <c r="A5840" t="str">
        <f>"20190312173042135"</f>
        <v>20190312173042135</v>
      </c>
      <c r="B5840" t="str">
        <f>"1552383042123418"</f>
        <v>1552383042123418</v>
      </c>
      <c r="C5840" t="s">
        <v>40</v>
      </c>
      <c r="D5840">
        <v>3.5410900000000001</v>
      </c>
      <c r="E5840">
        <v>0.50413699999999995</v>
      </c>
      <c r="F5840" t="s">
        <v>41</v>
      </c>
      <c r="G5840">
        <v>-300.50490000000002</v>
      </c>
      <c r="H5840" s="1">
        <v>-4.1289709999999996E-6</v>
      </c>
      <c r="I5840">
        <v>-31.099270000000001</v>
      </c>
      <c r="J5840">
        <v>-301.72019999999998</v>
      </c>
      <c r="K5840">
        <v>1.0859589999999999</v>
      </c>
      <c r="L5840">
        <v>-3.0297239999999999</v>
      </c>
      <c r="M5840">
        <v>0.23158049999999999</v>
      </c>
      <c r="N5840">
        <v>0</v>
      </c>
      <c r="O5840">
        <v>-0.97280949999999999</v>
      </c>
      <c r="P5840">
        <v>5.0044900000000003E-2</v>
      </c>
      <c r="Q5840">
        <v>0.18758089999999999</v>
      </c>
      <c r="R5840">
        <v>-0.98097380000000001</v>
      </c>
      <c r="S5840">
        <v>0.13772579999999901</v>
      </c>
      <c r="T5840">
        <v>-0.11762359999999999</v>
      </c>
      <c r="U5840">
        <v>-3.0746769999999999</v>
      </c>
      <c r="V5840">
        <v>0.1798362</v>
      </c>
      <c r="W5840">
        <v>0.18973200000000001</v>
      </c>
      <c r="X5840">
        <v>0.96522569999999996</v>
      </c>
      <c r="Y5840">
        <v>0.1878464</v>
      </c>
      <c r="Z5840">
        <v>3.631355E-2</v>
      </c>
      <c r="AA5840">
        <v>0.98152689999999998</v>
      </c>
      <c r="AB5840">
        <v>23</v>
      </c>
      <c r="AC5840">
        <v>1.2152999999999501</v>
      </c>
      <c r="AD5840">
        <v>-1.0859631289709999</v>
      </c>
      <c r="AE5840">
        <v>-28.069545999999999</v>
      </c>
      <c r="AF5840">
        <v>5.3102030563790903</v>
      </c>
      <c r="AG5840">
        <v>-1.0859631289709999</v>
      </c>
      <c r="AH5840">
        <v>27.5467739223742</v>
      </c>
      <c r="AI5840">
        <v>92.216803585718694</v>
      </c>
      <c r="AJ5840">
        <v>79.088908560879702</v>
      </c>
      <c r="AK5840">
        <v>28.074941245670601</v>
      </c>
      <c r="AL5840">
        <v>79.062855239231695</v>
      </c>
      <c r="AM5840">
        <v>79.445938425140596</v>
      </c>
      <c r="AN5840">
        <v>0.99999997129746399</v>
      </c>
    </row>
    <row r="5841" spans="1:40" x14ac:dyDescent="0.25">
      <c r="A5841" t="str">
        <f>"20190312173042158"</f>
        <v>20190312173042158</v>
      </c>
      <c r="B5841" t="str">
        <f>"1552383042153673"</f>
        <v>1552383042153673</v>
      </c>
      <c r="C5841" t="s">
        <v>40</v>
      </c>
      <c r="D5841">
        <v>3.5450840000000001</v>
      </c>
      <c r="E5841">
        <v>0.51067200000000001</v>
      </c>
      <c r="F5841" t="s">
        <v>41</v>
      </c>
      <c r="G5841">
        <v>-300.59350000000001</v>
      </c>
      <c r="H5841" s="1">
        <v>-2.4182820000000002E-7</v>
      </c>
      <c r="I5841">
        <v>-30.21529</v>
      </c>
      <c r="J5841">
        <v>-301.66860000000003</v>
      </c>
      <c r="K5841">
        <v>1.0888500000000001</v>
      </c>
      <c r="L5841">
        <v>-3.2634889999999999</v>
      </c>
      <c r="M5841">
        <v>0.22749159999999999</v>
      </c>
      <c r="N5841">
        <v>0</v>
      </c>
      <c r="O5841">
        <v>-0.97377069999999999</v>
      </c>
      <c r="P5841">
        <v>4.6992630000000001E-2</v>
      </c>
      <c r="Q5841">
        <v>0.18640180000000001</v>
      </c>
      <c r="R5841">
        <v>-0.98134909999999997</v>
      </c>
      <c r="S5841">
        <v>0.12744140000000001</v>
      </c>
      <c r="T5841">
        <v>-0.12284100000000001</v>
      </c>
      <c r="U5841">
        <v>-3.0751650000000001</v>
      </c>
      <c r="V5841">
        <v>0.1787154</v>
      </c>
      <c r="W5841">
        <v>0.18941079999999999</v>
      </c>
      <c r="X5841">
        <v>0.96549700000000005</v>
      </c>
      <c r="Y5841">
        <v>0.1870068</v>
      </c>
      <c r="Z5841">
        <v>3.797909E-2</v>
      </c>
      <c r="AA5841">
        <v>0.98162419999999995</v>
      </c>
      <c r="AB5841">
        <v>23</v>
      </c>
      <c r="AC5841">
        <v>1.0751000000000199</v>
      </c>
      <c r="AD5841">
        <v>-1.0888502418282</v>
      </c>
      <c r="AE5841">
        <v>-26.951801</v>
      </c>
      <c r="AF5841">
        <v>5.0761817704598</v>
      </c>
      <c r="AG5841">
        <v>-1.0888502418282</v>
      </c>
      <c r="AH5841">
        <v>26.446595045734298</v>
      </c>
      <c r="AI5841">
        <v>92.315412496132694</v>
      </c>
      <c r="AJ5841">
        <v>79.134743588000305</v>
      </c>
      <c r="AK5841">
        <v>26.951356287373301</v>
      </c>
      <c r="AL5841">
        <v>79.081599400187898</v>
      </c>
      <c r="AM5841">
        <v>79.513132661397705</v>
      </c>
      <c r="AN5841">
        <v>1.00000005118139</v>
      </c>
    </row>
    <row r="5842" spans="1:40" x14ac:dyDescent="0.25">
      <c r="A5842" t="str">
        <f>"20190312173042179"</f>
        <v>20190312173042179</v>
      </c>
      <c r="B5842" t="str">
        <f>"1552383042173194"</f>
        <v>1552383042173194</v>
      </c>
      <c r="C5842" t="s">
        <v>40</v>
      </c>
      <c r="D5842">
        <v>3.571888</v>
      </c>
      <c r="E5842">
        <v>0.51052989999999998</v>
      </c>
      <c r="F5842" t="s">
        <v>41</v>
      </c>
      <c r="G5842">
        <v>-301.23200000000003</v>
      </c>
      <c r="H5842" s="1">
        <v>-3.3682779999999998E-6</v>
      </c>
      <c r="I5842">
        <v>-23.323440000000002</v>
      </c>
      <c r="J5842">
        <v>-301.62549999999999</v>
      </c>
      <c r="K5842">
        <v>1.091051</v>
      </c>
      <c r="L5842">
        <v>-3.4632869999999998</v>
      </c>
      <c r="M5842">
        <v>0.22435099999999999</v>
      </c>
      <c r="N5842">
        <v>0</v>
      </c>
      <c r="O5842">
        <v>-0.97449540000000001</v>
      </c>
      <c r="P5842">
        <v>4.433985E-2</v>
      </c>
      <c r="Q5842">
        <v>0.1855598</v>
      </c>
      <c r="R5842">
        <v>-0.98163250000000002</v>
      </c>
      <c r="S5842">
        <v>6.7169190000000004E-2</v>
      </c>
      <c r="T5842">
        <v>-0.16748629999999901</v>
      </c>
      <c r="U5842">
        <v>-3.0856020000000002</v>
      </c>
      <c r="V5842">
        <v>0.17821419999999999</v>
      </c>
      <c r="W5842">
        <v>0.18930830000000001</v>
      </c>
      <c r="X5842">
        <v>0.96560970000000002</v>
      </c>
      <c r="Y5842">
        <v>0.2031183</v>
      </c>
      <c r="Z5842">
        <v>5.1559420000000002E-2</v>
      </c>
      <c r="AA5842">
        <v>0.97779579999999999</v>
      </c>
      <c r="AB5842">
        <v>23</v>
      </c>
      <c r="AC5842">
        <v>0.39349999999995999</v>
      </c>
      <c r="AD5842">
        <v>-1.0910543682780001</v>
      </c>
      <c r="AE5842">
        <v>-19.860153</v>
      </c>
      <c r="AF5842">
        <v>4.0599843892587204</v>
      </c>
      <c r="AG5842">
        <v>-1.0910543682780001</v>
      </c>
      <c r="AH5842">
        <v>19.3836781237402</v>
      </c>
      <c r="AI5842">
        <v>93.153338871582704</v>
      </c>
      <c r="AJ5842">
        <v>78.170199154259706</v>
      </c>
      <c r="AK5842">
        <v>19.834335140869399</v>
      </c>
      <c r="AL5842">
        <v>79.087580006811606</v>
      </c>
      <c r="AM5842">
        <v>79.543086560525893</v>
      </c>
      <c r="AN5842">
        <v>1.0000000131323099</v>
      </c>
    </row>
    <row r="5843" spans="1:40" x14ac:dyDescent="0.25">
      <c r="A5843" t="str">
        <f>"20190312173042206"</f>
        <v>20190312173042206</v>
      </c>
      <c r="B5843" t="str">
        <f>"1552383042203450"</f>
        <v>1552383042203450</v>
      </c>
      <c r="C5843" t="s">
        <v>40</v>
      </c>
      <c r="D5843">
        <v>3.5510589999999902</v>
      </c>
      <c r="E5843">
        <v>0.5102122</v>
      </c>
      <c r="F5843" t="s">
        <v>41</v>
      </c>
      <c r="G5843">
        <v>-301.24520000000001</v>
      </c>
      <c r="H5843" s="1">
        <v>-3.5801650000000001E-6</v>
      </c>
      <c r="I5843">
        <v>-22.837730000000001</v>
      </c>
      <c r="J5843">
        <v>-301.56790000000001</v>
      </c>
      <c r="K5843">
        <v>1.0937269999999999</v>
      </c>
      <c r="L5843">
        <v>-3.73584</v>
      </c>
      <c r="M5843">
        <v>0.2203668</v>
      </c>
      <c r="N5843">
        <v>0</v>
      </c>
      <c r="O5843">
        <v>-0.97539869999999995</v>
      </c>
      <c r="P5843">
        <v>4.132421E-2</v>
      </c>
      <c r="Q5843">
        <v>0.18431</v>
      </c>
      <c r="R5843">
        <v>-0.98199930000000002</v>
      </c>
      <c r="S5843">
        <v>6.0577390000000002E-2</v>
      </c>
      <c r="T5843">
        <v>-0.17379890000000001</v>
      </c>
      <c r="U5843">
        <v>-3.0862430000000001</v>
      </c>
      <c r="V5843">
        <v>0.17727679999999901</v>
      </c>
      <c r="W5843">
        <v>0.18903200000000001</v>
      </c>
      <c r="X5843">
        <v>0.96583629999999998</v>
      </c>
      <c r="Y5843">
        <v>0.20121169999999999</v>
      </c>
      <c r="Z5843">
        <v>5.3574249999999997E-2</v>
      </c>
      <c r="AA5843">
        <v>0.9780816</v>
      </c>
      <c r="AB5843">
        <v>23</v>
      </c>
      <c r="AC5843">
        <v>0.32269999999999699</v>
      </c>
      <c r="AD5843">
        <v>-1.0937305801649999</v>
      </c>
      <c r="AE5843">
        <v>-19.101890000000001</v>
      </c>
      <c r="AF5843">
        <v>3.8820077041235401</v>
      </c>
      <c r="AG5843">
        <v>-1.0937305801649999</v>
      </c>
      <c r="AH5843">
        <v>18.6423059417235</v>
      </c>
      <c r="AI5843">
        <v>93.287296360433103</v>
      </c>
      <c r="AJ5843">
        <v>78.237030990053398</v>
      </c>
      <c r="AK5843">
        <v>19.073589101731301</v>
      </c>
      <c r="AL5843">
        <v>79.103701332411802</v>
      </c>
      <c r="AM5843">
        <v>79.599273011164399</v>
      </c>
      <c r="AN5843">
        <v>0.99999995961996402</v>
      </c>
    </row>
    <row r="5844" spans="1:40" x14ac:dyDescent="0.25">
      <c r="A5844" t="str">
        <f>"20190312173042229"</f>
        <v>20190312173042229</v>
      </c>
      <c r="B5844" t="str">
        <f>"1552383042223945"</f>
        <v>1552383042223945</v>
      </c>
      <c r="C5844" t="s">
        <v>40</v>
      </c>
      <c r="D5844">
        <v>3.5501100000000001</v>
      </c>
      <c r="E5844">
        <v>0.51003329999999902</v>
      </c>
      <c r="F5844" t="s">
        <v>41</v>
      </c>
      <c r="G5844">
        <v>-301.24130000000002</v>
      </c>
      <c r="H5844" s="1">
        <v>-3.6864840000000002E-6</v>
      </c>
      <c r="I5844">
        <v>-22.587479999999999</v>
      </c>
      <c r="J5844">
        <v>-301.51859999999999</v>
      </c>
      <c r="K5844">
        <v>1.095817</v>
      </c>
      <c r="L5844">
        <v>-3.9746700000000001</v>
      </c>
      <c r="M5844">
        <v>0.21687629999999999</v>
      </c>
      <c r="N5844">
        <v>0</v>
      </c>
      <c r="O5844">
        <v>-0.97617540000000003</v>
      </c>
      <c r="P5844">
        <v>3.9235529999999998E-2</v>
      </c>
      <c r="Q5844">
        <v>0.18345339999999999</v>
      </c>
      <c r="R5844">
        <v>-0.98224529999999999</v>
      </c>
      <c r="S5844">
        <v>5.3466800000000002E-2</v>
      </c>
      <c r="T5844">
        <v>-0.179064</v>
      </c>
      <c r="U5844">
        <v>-3.0863649999999998</v>
      </c>
      <c r="V5844">
        <v>0.175891299999999</v>
      </c>
      <c r="W5844">
        <v>0.1889777</v>
      </c>
      <c r="X5844">
        <v>0.96610019999999996</v>
      </c>
      <c r="Y5844">
        <v>0.19996349999999999</v>
      </c>
      <c r="Z5844">
        <v>5.5265950000000001E-2</v>
      </c>
      <c r="AA5844">
        <v>0.97824350000000004</v>
      </c>
      <c r="AB5844">
        <v>23</v>
      </c>
      <c r="AC5844">
        <v>0.27729999999996802</v>
      </c>
      <c r="AD5844">
        <v>-1.0958206864839899</v>
      </c>
      <c r="AE5844">
        <v>-18.61281</v>
      </c>
      <c r="AF5844">
        <v>3.7530650036884401</v>
      </c>
      <c r="AG5844">
        <v>-1.0958206864839899</v>
      </c>
      <c r="AH5844">
        <v>18.1669720984126</v>
      </c>
      <c r="AI5844">
        <v>93.380648486327502</v>
      </c>
      <c r="AJ5844">
        <v>78.327625496436895</v>
      </c>
      <c r="AK5844">
        <v>18.582927517572099</v>
      </c>
      <c r="AL5844">
        <v>79.106869585088106</v>
      </c>
      <c r="AM5844">
        <v>79.681564493713793</v>
      </c>
      <c r="AN5844">
        <v>0.99999995847650902</v>
      </c>
    </row>
    <row r="5845" spans="1:40" x14ac:dyDescent="0.25">
      <c r="A5845" t="str">
        <f>"20190312173042250"</f>
        <v>20190312173042250</v>
      </c>
      <c r="B5845" t="str">
        <f>"1552383042243466"</f>
        <v>1552383042243466</v>
      </c>
      <c r="C5845" t="s">
        <v>40</v>
      </c>
      <c r="D5845">
        <v>3.5710589999999902</v>
      </c>
      <c r="E5845">
        <v>0.50982570000000005</v>
      </c>
      <c r="F5845" t="s">
        <v>41</v>
      </c>
      <c r="G5845">
        <v>-301.23050000000001</v>
      </c>
      <c r="H5845" s="1">
        <v>-3.6352369999999999E-6</v>
      </c>
      <c r="I5845">
        <v>-22.70025</v>
      </c>
      <c r="J5845">
        <v>-301.47669999999999</v>
      </c>
      <c r="K5845">
        <v>1.097475</v>
      </c>
      <c r="L5845">
        <v>-4.1818850000000003</v>
      </c>
      <c r="M5845">
        <v>0.2137579</v>
      </c>
      <c r="N5845">
        <v>0</v>
      </c>
      <c r="O5845">
        <v>-0.97685840000000002</v>
      </c>
      <c r="P5845">
        <v>3.7298669999999999E-2</v>
      </c>
      <c r="Q5845">
        <v>0.18274299999999999</v>
      </c>
      <c r="R5845">
        <v>-0.98245320000000003</v>
      </c>
      <c r="S5845">
        <v>4.7485350000000003E-2</v>
      </c>
      <c r="T5845">
        <v>-0.18059620000000001</v>
      </c>
      <c r="U5845">
        <v>-3.0860599999999998</v>
      </c>
      <c r="V5845">
        <v>0.17470550000000001</v>
      </c>
      <c r="W5845">
        <v>0.18892339999999999</v>
      </c>
      <c r="X5845">
        <v>0.96632600000000002</v>
      </c>
      <c r="Y5845">
        <v>0.19872980000000001</v>
      </c>
      <c r="Z5845">
        <v>5.581096E-2</v>
      </c>
      <c r="AA5845">
        <v>0.97846390000000005</v>
      </c>
      <c r="AB5845">
        <v>23</v>
      </c>
      <c r="AC5845">
        <v>0.24619999999998701</v>
      </c>
      <c r="AD5845">
        <v>-1.0974786352370001</v>
      </c>
      <c r="AE5845">
        <v>-18.518364999999999</v>
      </c>
      <c r="AF5845">
        <v>3.7050361875693998</v>
      </c>
      <c r="AG5845">
        <v>-1.0974786352370001</v>
      </c>
      <c r="AH5845">
        <v>18.079460019231</v>
      </c>
      <c r="AI5845">
        <v>93.403211558192595</v>
      </c>
      <c r="AJ5845">
        <v>78.418684927972706</v>
      </c>
      <c r="AK5845">
        <v>18.487796707368101</v>
      </c>
      <c r="AL5845">
        <v>79.110038280293793</v>
      </c>
      <c r="AM5845">
        <v>79.751992673995005</v>
      </c>
      <c r="AN5845">
        <v>1.0000000005369001</v>
      </c>
    </row>
    <row r="5846" spans="1:40" x14ac:dyDescent="0.25">
      <c r="A5846" t="str">
        <f>"20190312173042269"</f>
        <v>20190312173042269</v>
      </c>
      <c r="B5846" t="str">
        <f>"1552383042263962"</f>
        <v>1552383042263962</v>
      </c>
      <c r="C5846" t="s">
        <v>40</v>
      </c>
      <c r="D5846">
        <v>3.5796070000000002</v>
      </c>
      <c r="E5846">
        <v>0.50963849999999999</v>
      </c>
      <c r="F5846" t="s">
        <v>41</v>
      </c>
      <c r="G5846">
        <v>-301.21879999999999</v>
      </c>
      <c r="H5846" s="1">
        <v>-3.6299920000000002E-6</v>
      </c>
      <c r="I5846">
        <v>-22.705169999999999</v>
      </c>
      <c r="J5846">
        <v>-301.43799999999999</v>
      </c>
      <c r="K5846">
        <v>1.0988960000000001</v>
      </c>
      <c r="L5846">
        <v>-4.3758239999999997</v>
      </c>
      <c r="M5846">
        <v>0.21078530000000001</v>
      </c>
      <c r="N5846">
        <v>0</v>
      </c>
      <c r="O5846">
        <v>-0.97749969999999997</v>
      </c>
      <c r="P5846">
        <v>3.5968849999999997E-2</v>
      </c>
      <c r="Q5846">
        <v>0.1822308</v>
      </c>
      <c r="R5846">
        <v>-0.98259790000000002</v>
      </c>
      <c r="S5846">
        <v>4.296875E-2</v>
      </c>
      <c r="T5846">
        <v>-0.18283920000000001</v>
      </c>
      <c r="U5846">
        <v>-3.0859679999999998</v>
      </c>
      <c r="V5846">
        <v>0.1730535</v>
      </c>
      <c r="W5846">
        <v>0.1889922</v>
      </c>
      <c r="X5846">
        <v>0.96660979999999996</v>
      </c>
      <c r="Y5846">
        <v>0.197181</v>
      </c>
      <c r="Z5846">
        <v>5.6570330000000002E-2</v>
      </c>
      <c r="AA5846">
        <v>0.97873359999999998</v>
      </c>
      <c r="AB5846">
        <v>23</v>
      </c>
      <c r="AC5846">
        <v>0.21920000000000001</v>
      </c>
      <c r="AD5846">
        <v>-1.098899629992</v>
      </c>
      <c r="AE5846">
        <v>-18.329345999999902</v>
      </c>
      <c r="AF5846">
        <v>3.6363368990024099</v>
      </c>
      <c r="AG5846">
        <v>-1.098899629992</v>
      </c>
      <c r="AH5846">
        <v>17.8993805499838</v>
      </c>
      <c r="AI5846">
        <v>93.443003299909805</v>
      </c>
      <c r="AJ5846">
        <v>78.516394032898603</v>
      </c>
      <c r="AK5846">
        <v>18.298042259022701</v>
      </c>
      <c r="AL5846">
        <v>79.106024399932906</v>
      </c>
      <c r="AM5846">
        <v>79.849790701186294</v>
      </c>
      <c r="AN5846">
        <v>1.00000003548956</v>
      </c>
    </row>
    <row r="5847" spans="1:40" x14ac:dyDescent="0.25">
      <c r="A5847" t="str">
        <f>"20190312173042290"</f>
        <v>20190312173042290</v>
      </c>
      <c r="B5847" t="str">
        <f>"1552383042283481"</f>
        <v>1552383042283481</v>
      </c>
      <c r="C5847" t="s">
        <v>40</v>
      </c>
      <c r="D5847">
        <v>3.5796830000000002</v>
      </c>
      <c r="E5847">
        <v>0.50945370000000001</v>
      </c>
      <c r="F5847" t="s">
        <v>41</v>
      </c>
      <c r="G5847">
        <v>-301.19600000000003</v>
      </c>
      <c r="H5847" s="1">
        <v>-3.5775449999999998E-6</v>
      </c>
      <c r="I5847">
        <v>-22.813320000000001</v>
      </c>
      <c r="J5847">
        <v>-301.39850000000001</v>
      </c>
      <c r="K5847">
        <v>1.100206</v>
      </c>
      <c r="L5847">
        <v>-4.5762330000000002</v>
      </c>
      <c r="M5847">
        <v>0.2077</v>
      </c>
      <c r="N5847">
        <v>0</v>
      </c>
      <c r="O5847">
        <v>-0.97815540000000001</v>
      </c>
      <c r="P5847">
        <v>3.4719529999999998E-2</v>
      </c>
      <c r="Q5847">
        <v>0.18137490000000001</v>
      </c>
      <c r="R5847">
        <v>-0.98280109999999998</v>
      </c>
      <c r="S5847">
        <v>4.0496829999999998E-2</v>
      </c>
      <c r="T5847">
        <v>-0.1839151</v>
      </c>
      <c r="U5847">
        <v>-3.0857540000000001</v>
      </c>
      <c r="V5847">
        <v>0.17122209999999999</v>
      </c>
      <c r="W5847">
        <v>0.18869540000000001</v>
      </c>
      <c r="X5847">
        <v>0.96699380000000001</v>
      </c>
      <c r="Y5847">
        <v>0.1948714</v>
      </c>
      <c r="Z5847">
        <v>5.6978809999999998E-2</v>
      </c>
      <c r="AA5847">
        <v>0.97917240000000005</v>
      </c>
      <c r="AB5847">
        <v>23</v>
      </c>
      <c r="AC5847">
        <v>0.20250000000004301</v>
      </c>
      <c r="AD5847">
        <v>-1.100209577545</v>
      </c>
      <c r="AE5847">
        <v>-18.237086999999999</v>
      </c>
      <c r="AF5847">
        <v>3.5768806409499798</v>
      </c>
      <c r="AG5847">
        <v>-1.100209577545</v>
      </c>
      <c r="AH5847">
        <v>17.816579415077399</v>
      </c>
      <c r="AI5847">
        <v>93.464683379786095</v>
      </c>
      <c r="AJ5847">
        <v>78.648128981547799</v>
      </c>
      <c r="AK5847">
        <v>18.2053574062111</v>
      </c>
      <c r="AL5847">
        <v>79.123340816830805</v>
      </c>
      <c r="AM5847">
        <v>79.958917707781097</v>
      </c>
      <c r="AN5847">
        <v>0.99999998537400403</v>
      </c>
    </row>
    <row r="5848" spans="1:40" x14ac:dyDescent="0.25">
      <c r="A5848" t="str">
        <f>"20190312173042312"</f>
        <v>20190312173042312</v>
      </c>
      <c r="B5848" t="str">
        <f>"1552383042303002"</f>
        <v>1552383042303002</v>
      </c>
      <c r="C5848" t="s">
        <v>40</v>
      </c>
      <c r="D5848">
        <v>3.5756700000000001</v>
      </c>
      <c r="E5848">
        <v>0.50932339999999998</v>
      </c>
      <c r="F5848" t="s">
        <v>41</v>
      </c>
      <c r="G5848">
        <v>-301.17360000000002</v>
      </c>
      <c r="H5848" s="1">
        <v>-3.582946E-6</v>
      </c>
      <c r="I5848">
        <v>-22.786819999999999</v>
      </c>
      <c r="J5848">
        <v>-301.3553</v>
      </c>
      <c r="K5848">
        <v>1.101472</v>
      </c>
      <c r="L5848">
        <v>-4.8001399999999999</v>
      </c>
      <c r="M5848">
        <v>0.20426569999999999</v>
      </c>
      <c r="N5848">
        <v>0</v>
      </c>
      <c r="O5848">
        <v>-0.9788734</v>
      </c>
      <c r="P5848">
        <v>3.3953360000000002E-2</v>
      </c>
      <c r="Q5848">
        <v>0.18057799999999999</v>
      </c>
      <c r="R5848">
        <v>-0.98297449999999997</v>
      </c>
      <c r="S5848">
        <v>3.8116459999999998E-2</v>
      </c>
      <c r="T5848">
        <v>-0.18641579999999999</v>
      </c>
      <c r="U5848">
        <v>-3.0855410000000001</v>
      </c>
      <c r="V5848">
        <v>0.16857150000000001</v>
      </c>
      <c r="W5848">
        <v>0.18846779999999999</v>
      </c>
      <c r="X5848">
        <v>0.96750380000000002</v>
      </c>
      <c r="Y5848">
        <v>0.1921843</v>
      </c>
      <c r="Z5848">
        <v>5.783626E-2</v>
      </c>
      <c r="AA5848">
        <v>0.97965310000000005</v>
      </c>
      <c r="AB5848">
        <v>23</v>
      </c>
      <c r="AC5848">
        <v>0.18169999999997799</v>
      </c>
      <c r="AD5848">
        <v>-1.1014755829459999</v>
      </c>
      <c r="AE5848">
        <v>-17.98668</v>
      </c>
      <c r="AF5848">
        <v>3.4832830462527</v>
      </c>
      <c r="AG5848">
        <v>-1.1014755829459999</v>
      </c>
      <c r="AH5848">
        <v>17.578609013918499</v>
      </c>
      <c r="AI5848">
        <v>93.517254351816305</v>
      </c>
      <c r="AJ5848">
        <v>78.791767929589</v>
      </c>
      <c r="AK5848">
        <v>17.954219674058699</v>
      </c>
      <c r="AL5848">
        <v>79.136620110179706</v>
      </c>
      <c r="AM5848">
        <v>80.116376463235795</v>
      </c>
      <c r="AN5848">
        <v>1.00000003263176</v>
      </c>
    </row>
    <row r="5849" spans="1:40" x14ac:dyDescent="0.25">
      <c r="A5849" t="str">
        <f>"20190312173042339"</f>
        <v>20190312173042339</v>
      </c>
      <c r="B5849" t="str">
        <f>"1552383042333258"</f>
        <v>1552383042333258</v>
      </c>
      <c r="C5849" t="s">
        <v>40</v>
      </c>
      <c r="D5849">
        <v>3.5864760000000002</v>
      </c>
      <c r="E5849">
        <v>0.50913520000000001</v>
      </c>
      <c r="F5849" t="s">
        <v>41</v>
      </c>
      <c r="G5849">
        <v>-301.14299999999997</v>
      </c>
      <c r="H5849" s="1">
        <v>-3.5803080000000001E-6</v>
      </c>
      <c r="I5849">
        <v>-22.774000000000001</v>
      </c>
      <c r="J5849">
        <v>-301.3057</v>
      </c>
      <c r="K5849">
        <v>1.1027309999999999</v>
      </c>
      <c r="L5849">
        <v>-5.0616149999999998</v>
      </c>
      <c r="M5849">
        <v>0.20027229999999999</v>
      </c>
      <c r="N5849">
        <v>0</v>
      </c>
      <c r="O5849">
        <v>-0.97969300000000004</v>
      </c>
      <c r="P5849">
        <v>3.2867639999999997E-2</v>
      </c>
      <c r="Q5849">
        <v>0.179807299999999</v>
      </c>
      <c r="R5849">
        <v>-0.98315269999999999</v>
      </c>
      <c r="S5849">
        <v>3.6437990000000003E-2</v>
      </c>
      <c r="T5849">
        <v>-0.18908269999999999</v>
      </c>
      <c r="U5849">
        <v>-3.0854490000000001</v>
      </c>
      <c r="V5849">
        <v>0.165690899999999</v>
      </c>
      <c r="W5849">
        <v>0.18828329999999999</v>
      </c>
      <c r="X5849">
        <v>0.96803709999999998</v>
      </c>
      <c r="Y5849">
        <v>0.18871550000000001</v>
      </c>
      <c r="Z5849">
        <v>5.8758690000000002E-2</v>
      </c>
      <c r="AA5849">
        <v>0.98027240000000004</v>
      </c>
      <c r="AB5849">
        <v>23</v>
      </c>
      <c r="AC5849">
        <v>0.16270000000002899</v>
      </c>
      <c r="AD5849">
        <v>-1.102734580308</v>
      </c>
      <c r="AE5849">
        <v>-17.712385000000001</v>
      </c>
      <c r="AF5849">
        <v>3.3749805104936699</v>
      </c>
      <c r="AG5849">
        <v>-1.102734580308</v>
      </c>
      <c r="AH5849">
        <v>17.318965883515901</v>
      </c>
      <c r="AI5849">
        <v>93.576133623383299</v>
      </c>
      <c r="AJ5849">
        <v>78.972859588373893</v>
      </c>
      <c r="AK5849">
        <v>17.679171255327699</v>
      </c>
      <c r="AL5849">
        <v>79.147382989677794</v>
      </c>
      <c r="AM5849">
        <v>80.287274789592004</v>
      </c>
      <c r="AN5849">
        <v>0.99999995118905305</v>
      </c>
    </row>
    <row r="5850" spans="1:40" x14ac:dyDescent="0.25">
      <c r="A5850" t="str">
        <f>"20190312173042362"</f>
        <v>20190312173042362</v>
      </c>
      <c r="B5850" t="str">
        <f>"1552383042353754"</f>
        <v>1552383042353754</v>
      </c>
      <c r="C5850" t="s">
        <v>40</v>
      </c>
      <c r="D5850">
        <v>3.6091150000000001</v>
      </c>
      <c r="E5850">
        <v>0.50903319999999996</v>
      </c>
      <c r="F5850" t="s">
        <v>41</v>
      </c>
      <c r="G5850">
        <v>-301.1114</v>
      </c>
      <c r="H5850" s="1">
        <v>-3.5536309999999898E-6</v>
      </c>
      <c r="I5850">
        <v>-22.81662</v>
      </c>
      <c r="J5850">
        <v>-301.26240000000001</v>
      </c>
      <c r="K5850">
        <v>1.103653</v>
      </c>
      <c r="L5850">
        <v>-5.294556</v>
      </c>
      <c r="M5850">
        <v>0.19671350000000001</v>
      </c>
      <c r="N5850">
        <v>0</v>
      </c>
      <c r="O5850">
        <v>-0.98040919999999998</v>
      </c>
      <c r="P5850">
        <v>3.2204620000000003E-2</v>
      </c>
      <c r="Q5850">
        <v>0.1800879</v>
      </c>
      <c r="R5850">
        <v>-0.98312350000000004</v>
      </c>
      <c r="S5850">
        <v>3.3752440000000002E-2</v>
      </c>
      <c r="T5850">
        <v>-0.19162480000000001</v>
      </c>
      <c r="U5850">
        <v>-3.0853269999999999</v>
      </c>
      <c r="V5850">
        <v>0.1628059</v>
      </c>
      <c r="W5850">
        <v>0.1890194</v>
      </c>
      <c r="X5850">
        <v>0.96838310000000005</v>
      </c>
      <c r="Y5850">
        <v>0.186003</v>
      </c>
      <c r="Z5850">
        <v>5.9631190000000001E-2</v>
      </c>
      <c r="AA5850">
        <v>0.980738</v>
      </c>
      <c r="AB5850">
        <v>23</v>
      </c>
      <c r="AC5850">
        <v>0.15100000000000999</v>
      </c>
      <c r="AD5850">
        <v>-1.1036565536309999</v>
      </c>
      <c r="AE5850">
        <v>-17.522064</v>
      </c>
      <c r="AF5850">
        <v>3.2859170172880598</v>
      </c>
      <c r="AG5850">
        <v>-1.1036565536309999</v>
      </c>
      <c r="AH5850">
        <v>17.141370467514601</v>
      </c>
      <c r="AI5850">
        <v>93.618235159355706</v>
      </c>
      <c r="AJ5850">
        <v>79.148323055551998</v>
      </c>
      <c r="AK5850">
        <v>17.488335825271001</v>
      </c>
      <c r="AL5850">
        <v>79.104436533823304</v>
      </c>
      <c r="AM5850">
        <v>80.456600892359006</v>
      </c>
      <c r="AN5850">
        <v>0.99999996150838899</v>
      </c>
    </row>
    <row r="5851" spans="1:40" x14ac:dyDescent="0.25">
      <c r="A5851" t="str">
        <f>"20190312173042384"</f>
        <v>20190312173042384</v>
      </c>
      <c r="B5851" t="str">
        <f>"1552383042373274"</f>
        <v>1552383042373274</v>
      </c>
      <c r="C5851" t="s">
        <v>40</v>
      </c>
      <c r="D5851">
        <v>3.5709629999999999</v>
      </c>
      <c r="E5851">
        <v>0.50898929999999998</v>
      </c>
      <c r="F5851" t="s">
        <v>41</v>
      </c>
      <c r="G5851">
        <v>-301.07760000000002</v>
      </c>
      <c r="H5851" s="1">
        <v>-3.4136229999999998E-6</v>
      </c>
      <c r="I5851">
        <v>-23.121980000000001</v>
      </c>
      <c r="J5851">
        <v>-301.22129999999999</v>
      </c>
      <c r="K5851">
        <v>1.104398</v>
      </c>
      <c r="L5851">
        <v>-5.5207819999999996</v>
      </c>
      <c r="M5851">
        <v>0.19323670000000001</v>
      </c>
      <c r="N5851">
        <v>0</v>
      </c>
      <c r="O5851">
        <v>-0.98109639999999998</v>
      </c>
      <c r="P5851">
        <v>3.1042030000000002E-2</v>
      </c>
      <c r="Q5851">
        <v>0.17945759999999999</v>
      </c>
      <c r="R5851">
        <v>-0.98327620000000004</v>
      </c>
      <c r="S5851">
        <v>3.1982419999999998E-2</v>
      </c>
      <c r="T5851">
        <v>-0.1910135</v>
      </c>
      <c r="U5851">
        <v>-3.0854490000000001</v>
      </c>
      <c r="V5851">
        <v>0.16053410000000001</v>
      </c>
      <c r="W5851">
        <v>0.1887722</v>
      </c>
      <c r="X5851">
        <v>0.96881059999999997</v>
      </c>
      <c r="Y5851">
        <v>0.18308289999999999</v>
      </c>
      <c r="Z5851">
        <v>5.9520400000000001E-2</v>
      </c>
      <c r="AA5851">
        <v>0.981294</v>
      </c>
      <c r="AB5851">
        <v>23</v>
      </c>
      <c r="AC5851">
        <v>0.14369999999996699</v>
      </c>
      <c r="AD5851">
        <v>-1.104401413623</v>
      </c>
      <c r="AE5851">
        <v>-17.601197999999901</v>
      </c>
      <c r="AF5851">
        <v>3.2476071688054802</v>
      </c>
      <c r="AG5851">
        <v>-1.104401413623</v>
      </c>
      <c r="AH5851">
        <v>17.2293584696252</v>
      </c>
      <c r="AI5851">
        <v>93.604340650877504</v>
      </c>
      <c r="AJ5851">
        <v>79.325412411472001</v>
      </c>
      <c r="AK5851">
        <v>17.5675111521278</v>
      </c>
      <c r="AL5851">
        <v>79.1188607912094</v>
      </c>
      <c r="AM5851">
        <v>80.591449541618402</v>
      </c>
      <c r="AN5851">
        <v>1.000000059714</v>
      </c>
    </row>
    <row r="5852" spans="1:40" x14ac:dyDescent="0.25">
      <c r="A5852" t="str">
        <f>"20190312173042409"</f>
        <v>20190312173042409</v>
      </c>
      <c r="B5852" t="str">
        <f>"1552383042403529"</f>
        <v>1552383042403529</v>
      </c>
      <c r="C5852" t="s">
        <v>40</v>
      </c>
      <c r="D5852">
        <v>3.626436</v>
      </c>
      <c r="E5852">
        <v>0.50895290000000004</v>
      </c>
      <c r="F5852" t="s">
        <v>41</v>
      </c>
      <c r="G5852">
        <v>-301.05270000000002</v>
      </c>
      <c r="H5852" s="1">
        <v>-3.457734E-6</v>
      </c>
      <c r="I5852">
        <v>-23.003710000000002</v>
      </c>
      <c r="J5852">
        <v>-301.178</v>
      </c>
      <c r="K5852">
        <v>1.105043</v>
      </c>
      <c r="L5852">
        <v>-5.763458</v>
      </c>
      <c r="M5852">
        <v>0.18946669999999999</v>
      </c>
      <c r="N5852">
        <v>0</v>
      </c>
      <c r="O5852">
        <v>-0.98182769999999997</v>
      </c>
      <c r="P5852">
        <v>2.9478210000000001E-2</v>
      </c>
      <c r="Q5852">
        <v>0.17879200000000001</v>
      </c>
      <c r="R5852">
        <v>-0.98344549999999997</v>
      </c>
      <c r="S5852">
        <v>2.9754639999999999E-2</v>
      </c>
      <c r="T5852">
        <v>-0.19492219999999999</v>
      </c>
      <c r="U5852">
        <v>-3.0856629999999998</v>
      </c>
      <c r="V5852">
        <v>0.15837799999999999</v>
      </c>
      <c r="W5852">
        <v>0.1884622</v>
      </c>
      <c r="X5852">
        <v>0.96922569999999997</v>
      </c>
      <c r="Y5852">
        <v>0.18001629999999999</v>
      </c>
      <c r="Z5852">
        <v>6.0816889999999998E-2</v>
      </c>
      <c r="AA5852">
        <v>0.98178180000000004</v>
      </c>
      <c r="AB5852">
        <v>22</v>
      </c>
      <c r="AC5852">
        <v>0.12529999999998101</v>
      </c>
      <c r="AD5852">
        <v>-1.105046457734</v>
      </c>
      <c r="AE5852">
        <v>-17.240251999999899</v>
      </c>
      <c r="AF5852">
        <v>3.1307523990061799</v>
      </c>
      <c r="AG5852">
        <v>-1.105046457734</v>
      </c>
      <c r="AH5852">
        <v>16.882330735220499</v>
      </c>
      <c r="AI5852">
        <v>93.682392317311397</v>
      </c>
      <c r="AJ5852">
        <v>79.4941028052326</v>
      </c>
      <c r="AK5852">
        <v>17.205691770777602</v>
      </c>
      <c r="AL5852">
        <v>79.136946733209498</v>
      </c>
      <c r="AM5852">
        <v>80.719505921611002</v>
      </c>
      <c r="AN5852">
        <v>1.00000002462666</v>
      </c>
    </row>
    <row r="5853" spans="1:40" x14ac:dyDescent="0.25">
      <c r="A5853" t="str">
        <f>"20190312173042435"</f>
        <v>20190312173042435</v>
      </c>
      <c r="B5853" t="str">
        <f>"1552383042423050"</f>
        <v>1552383042423050</v>
      </c>
      <c r="C5853" t="s">
        <v>40</v>
      </c>
      <c r="D5853">
        <v>3.5712160000000002</v>
      </c>
      <c r="E5853">
        <v>0.50890630000000003</v>
      </c>
      <c r="F5853" t="s">
        <v>41</v>
      </c>
      <c r="G5853">
        <v>-301.03590000000003</v>
      </c>
      <c r="H5853" s="1">
        <v>-3.462879E-6</v>
      </c>
      <c r="I5853">
        <v>-22.981290000000001</v>
      </c>
      <c r="J5853">
        <v>-301.1336</v>
      </c>
      <c r="K5853">
        <v>1.1056029999999999</v>
      </c>
      <c r="L5853">
        <v>-6.0190729999999997</v>
      </c>
      <c r="M5853">
        <v>0.18545200000000001</v>
      </c>
      <c r="N5853">
        <v>0</v>
      </c>
      <c r="O5853">
        <v>-0.98259010000000002</v>
      </c>
      <c r="P5853">
        <v>2.7270309999999999E-2</v>
      </c>
      <c r="Q5853">
        <v>0.1782358</v>
      </c>
      <c r="R5853">
        <v>-0.98360990000000004</v>
      </c>
      <c r="S5853">
        <v>2.548218E-2</v>
      </c>
      <c r="T5853">
        <v>-0.1980449</v>
      </c>
      <c r="U5853">
        <v>-3.0857540000000001</v>
      </c>
      <c r="V5853">
        <v>0.15661820000000001</v>
      </c>
      <c r="W5853">
        <v>0.18823039999999999</v>
      </c>
      <c r="X5853">
        <v>0.96955659999999999</v>
      </c>
      <c r="Y5853">
        <v>0.17735580000000001</v>
      </c>
      <c r="Z5853">
        <v>6.1874720000000001E-2</v>
      </c>
      <c r="AA5853">
        <v>0.98219979999999996</v>
      </c>
      <c r="AB5853">
        <v>22</v>
      </c>
      <c r="AC5853">
        <v>9.7699999999974793E-2</v>
      </c>
      <c r="AD5853">
        <v>-1.1056064628790001</v>
      </c>
      <c r="AE5853">
        <v>-16.9622169999999</v>
      </c>
      <c r="AF5853">
        <v>3.0369653670716201</v>
      </c>
      <c r="AG5853">
        <v>-1.1056064628790001</v>
      </c>
      <c r="AH5853">
        <v>16.615473278723002</v>
      </c>
      <c r="AI5853">
        <v>93.745030963504803</v>
      </c>
      <c r="AJ5853">
        <v>79.641854080335804</v>
      </c>
      <c r="AK5853">
        <v>16.926886204128401</v>
      </c>
      <c r="AL5853">
        <v>79.150469349198204</v>
      </c>
      <c r="AM5853">
        <v>80.823939576402097</v>
      </c>
      <c r="AN5853">
        <v>0.99999997232947901</v>
      </c>
    </row>
    <row r="5854" spans="1:40" x14ac:dyDescent="0.25">
      <c r="A5854" t="str">
        <f>"20190312173042468"</f>
        <v>20190312173042468</v>
      </c>
      <c r="B5854" t="str">
        <f>"1552383042463069"</f>
        <v>1552383042463069</v>
      </c>
      <c r="C5854" t="s">
        <v>40</v>
      </c>
      <c r="D5854">
        <v>3.5747110000000002</v>
      </c>
      <c r="E5854">
        <v>0.50820690000000002</v>
      </c>
      <c r="F5854" t="s">
        <v>41</v>
      </c>
      <c r="G5854">
        <v>-301.03030000000001</v>
      </c>
      <c r="H5854" s="1">
        <v>-3.473798E-6</v>
      </c>
      <c r="I5854">
        <v>-22.952380000000002</v>
      </c>
      <c r="J5854">
        <v>-301.07769999999999</v>
      </c>
      <c r="K5854">
        <v>1.1061879999999999</v>
      </c>
      <c r="L5854">
        <v>-6.350708</v>
      </c>
      <c r="M5854">
        <v>0.18015780000000001</v>
      </c>
      <c r="N5854">
        <v>0</v>
      </c>
      <c r="O5854">
        <v>-0.98357050000000001</v>
      </c>
      <c r="P5854">
        <v>2.4994740000000001E-2</v>
      </c>
      <c r="Q5854">
        <v>0.17833379999999999</v>
      </c>
      <c r="R5854">
        <v>-0.98365270000000005</v>
      </c>
      <c r="S5854">
        <v>1.8829350000000002E-2</v>
      </c>
      <c r="T5854">
        <v>-0.20148840000000001</v>
      </c>
      <c r="U5854">
        <v>-3.0859679999999998</v>
      </c>
      <c r="V5854">
        <v>0.15365009999999901</v>
      </c>
      <c r="W5854">
        <v>0.18869159999999999</v>
      </c>
      <c r="X5854">
        <v>0.96994179999999997</v>
      </c>
      <c r="Y5854">
        <v>0.1741741</v>
      </c>
      <c r="Z5854">
        <v>6.3056699999999993E-2</v>
      </c>
      <c r="AA5854">
        <v>0.98269390000000001</v>
      </c>
      <c r="AB5854">
        <v>22</v>
      </c>
      <c r="AC5854">
        <v>4.7399999999981901E-2</v>
      </c>
      <c r="AD5854">
        <v>-1.1061914737980001</v>
      </c>
      <c r="AE5854">
        <v>-16.601671999999901</v>
      </c>
      <c r="AF5854">
        <v>2.93147927427774</v>
      </c>
      <c r="AG5854">
        <v>-1.1061914737980001</v>
      </c>
      <c r="AH5854">
        <v>16.2663171049197</v>
      </c>
      <c r="AI5854">
        <v>93.828917703749198</v>
      </c>
      <c r="AJ5854">
        <v>79.783941423909994</v>
      </c>
      <c r="AK5854">
        <v>16.565334360344998</v>
      </c>
      <c r="AL5854">
        <v>79.123562511307796</v>
      </c>
      <c r="AM5854">
        <v>80.998478060038494</v>
      </c>
      <c r="AN5854">
        <v>0.99999998426390402</v>
      </c>
    </row>
    <row r="5855" spans="1:40" x14ac:dyDescent="0.25">
      <c r="A5855" t="str">
        <f>"20190312173042491"</f>
        <v>20190312173042491</v>
      </c>
      <c r="B5855" t="str">
        <f>"1552383042483562"</f>
        <v>1552383042483562</v>
      </c>
      <c r="C5855" t="s">
        <v>40</v>
      </c>
      <c r="D5855">
        <v>3.6060590000000001</v>
      </c>
      <c r="E5855">
        <v>0.50797929999999902</v>
      </c>
      <c r="F5855" t="s">
        <v>41</v>
      </c>
      <c r="G5855">
        <v>-300.99439999999998</v>
      </c>
      <c r="H5855" s="1">
        <v>-4.1883530000000002E-6</v>
      </c>
      <c r="I5855">
        <v>-21.223890000000001</v>
      </c>
      <c r="J5855">
        <v>-301.04000000000002</v>
      </c>
      <c r="K5855">
        <v>1.1064940000000001</v>
      </c>
      <c r="L5855">
        <v>-6.5812989999999996</v>
      </c>
      <c r="M5855">
        <v>0.17640699999999901</v>
      </c>
      <c r="N5855">
        <v>0</v>
      </c>
      <c r="O5855">
        <v>-0.9842476</v>
      </c>
      <c r="P5855">
        <v>2.2034990000000001E-2</v>
      </c>
      <c r="Q5855">
        <v>0.17756849999999999</v>
      </c>
      <c r="R5855">
        <v>-0.98386209999999996</v>
      </c>
      <c r="S5855">
        <v>1.7303470000000001E-2</v>
      </c>
      <c r="T5855">
        <v>-0.22989999999999999</v>
      </c>
      <c r="U5855">
        <v>-3.0910950000000001</v>
      </c>
      <c r="V5855">
        <v>0.15290429999999999</v>
      </c>
      <c r="W5855">
        <v>0.18813479999999999</v>
      </c>
      <c r="X5855">
        <v>0.97016780000000002</v>
      </c>
      <c r="Y5855">
        <v>0.1709175</v>
      </c>
      <c r="Z5855">
        <v>7.1880749999999993E-2</v>
      </c>
      <c r="AA5855">
        <v>0.98265979999999997</v>
      </c>
      <c r="AB5855">
        <v>22</v>
      </c>
      <c r="AC5855">
        <v>4.5600000000035799E-2</v>
      </c>
      <c r="AD5855">
        <v>-1.1064981883530001</v>
      </c>
      <c r="AE5855">
        <v>-14.642590999999999</v>
      </c>
      <c r="AF5855">
        <v>2.5239355284001301</v>
      </c>
      <c r="AG5855">
        <v>-1.1064981883530001</v>
      </c>
      <c r="AH5855">
        <v>14.3390878054505</v>
      </c>
      <c r="AI5855">
        <v>94.346024555639502</v>
      </c>
      <c r="AJ5855">
        <v>80.017178241322995</v>
      </c>
      <c r="AK5855">
        <v>14.6015077264222</v>
      </c>
      <c r="AL5855">
        <v>79.156046704641795</v>
      </c>
      <c r="AM5855">
        <v>81.043513155270503</v>
      </c>
      <c r="AN5855">
        <v>0.99999999404318496</v>
      </c>
    </row>
    <row r="5856" spans="1:40" x14ac:dyDescent="0.25">
      <c r="A5856" t="str">
        <f>"20190312173042513"</f>
        <v>20190312173042513</v>
      </c>
      <c r="B5856" t="str">
        <f>"1552383042503082"</f>
        <v>1552383042503082</v>
      </c>
      <c r="C5856" t="s">
        <v>40</v>
      </c>
      <c r="D5856">
        <v>3.5587550000000001</v>
      </c>
      <c r="E5856">
        <v>0.50802740000000002</v>
      </c>
      <c r="F5856" t="s">
        <v>41</v>
      </c>
      <c r="G5856">
        <v>-300.98540000000003</v>
      </c>
      <c r="H5856" s="1">
        <v>-4.1943790000000001E-6</v>
      </c>
      <c r="I5856">
        <v>-21.20148</v>
      </c>
      <c r="J5856">
        <v>-301.00459999999998</v>
      </c>
      <c r="K5856">
        <v>1.106738</v>
      </c>
      <c r="L5856">
        <v>-6.8028259999999996</v>
      </c>
      <c r="M5856">
        <v>0.17275550000000001</v>
      </c>
      <c r="N5856">
        <v>0</v>
      </c>
      <c r="O5856">
        <v>-0.98489260000000001</v>
      </c>
      <c r="P5856">
        <v>1.9947039999999999E-2</v>
      </c>
      <c r="Q5856">
        <v>0.177082399999999</v>
      </c>
      <c r="R5856">
        <v>-0.98399389999999998</v>
      </c>
      <c r="S5856">
        <v>1.153564E-2</v>
      </c>
      <c r="T5856">
        <v>-0.23395009999999999</v>
      </c>
      <c r="U5856">
        <v>-3.0911870000000001</v>
      </c>
      <c r="V5856">
        <v>0.1513882</v>
      </c>
      <c r="W5856">
        <v>0.1878322</v>
      </c>
      <c r="X5856">
        <v>0.9704642</v>
      </c>
      <c r="Y5856">
        <v>0.16909749999999901</v>
      </c>
      <c r="Z5856">
        <v>7.3223070000000001E-2</v>
      </c>
      <c r="AA5856">
        <v>0.98287559999999996</v>
      </c>
      <c r="AB5856">
        <v>22</v>
      </c>
      <c r="AC5856">
        <v>1.9199999999955201E-2</v>
      </c>
      <c r="AD5856">
        <v>-1.1067421943789999</v>
      </c>
      <c r="AE5856">
        <v>-14.398654000000001</v>
      </c>
      <c r="AF5856">
        <v>2.4542123958663802</v>
      </c>
      <c r="AG5856">
        <v>-1.1067421943789999</v>
      </c>
      <c r="AH5856">
        <v>14.1021356881845</v>
      </c>
      <c r="AI5856">
        <v>94.421218088239897</v>
      </c>
      <c r="AJ5856">
        <v>80.127618913699706</v>
      </c>
      <c r="AK5856">
        <v>14.356819555069</v>
      </c>
      <c r="AL5856">
        <v>79.173699647604494</v>
      </c>
      <c r="AM5856">
        <v>81.133566907112495</v>
      </c>
      <c r="AN5856">
        <v>1.00000004296885</v>
      </c>
    </row>
    <row r="5857" spans="1:40" x14ac:dyDescent="0.25">
      <c r="A5857" t="str">
        <f>"20190312173042538"</f>
        <v>20190312173042538</v>
      </c>
      <c r="B5857" t="str">
        <f>"1552383042533339"</f>
        <v>1552383042533339</v>
      </c>
      <c r="C5857" t="s">
        <v>40</v>
      </c>
      <c r="D5857">
        <v>3.6030769999999999</v>
      </c>
      <c r="E5857">
        <v>0.50826959999999999</v>
      </c>
      <c r="F5857" t="s">
        <v>41</v>
      </c>
      <c r="G5857">
        <v>-300.988</v>
      </c>
      <c r="H5857" s="1">
        <v>-4.1522569999999999E-6</v>
      </c>
      <c r="I5857">
        <v>-21.326589999999999</v>
      </c>
      <c r="J5857">
        <v>-300.96730000000002</v>
      </c>
      <c r="K5857">
        <v>1.106951</v>
      </c>
      <c r="L5857">
        <v>-7.0429380000000004</v>
      </c>
      <c r="M5857">
        <v>0.1687428</v>
      </c>
      <c r="N5857">
        <v>0</v>
      </c>
      <c r="O5857">
        <v>-0.98558590000000001</v>
      </c>
      <c r="P5857">
        <v>1.7051219999999999E-2</v>
      </c>
      <c r="Q5857">
        <v>0.17709079999999999</v>
      </c>
      <c r="R5857">
        <v>-0.98404720000000001</v>
      </c>
      <c r="S5857">
        <v>3.540039E-3</v>
      </c>
      <c r="T5857">
        <v>-0.23555039999999999</v>
      </c>
      <c r="U5857">
        <v>-3.0911249999999999</v>
      </c>
      <c r="V5857">
        <v>0.15030499999999999</v>
      </c>
      <c r="W5857">
        <v>0.18801019999999999</v>
      </c>
      <c r="X5857">
        <v>0.97059799999999996</v>
      </c>
      <c r="Y5857">
        <v>0.16762589999999999</v>
      </c>
      <c r="Z5857">
        <v>7.3811329999999994E-2</v>
      </c>
      <c r="AA5857">
        <v>0.9830837</v>
      </c>
      <c r="AB5857">
        <v>22</v>
      </c>
      <c r="AC5857">
        <v>-2.0699999999976602E-2</v>
      </c>
      <c r="AD5857">
        <v>-1.106955152257</v>
      </c>
      <c r="AE5857">
        <v>-14.283651999999901</v>
      </c>
      <c r="AF5857">
        <v>2.41633056093763</v>
      </c>
      <c r="AG5857">
        <v>-1.106955152257</v>
      </c>
      <c r="AH5857">
        <v>13.991272021479</v>
      </c>
      <c r="AI5857">
        <v>94.457956951214399</v>
      </c>
      <c r="AJ5857">
        <v>80.201518039453504</v>
      </c>
      <c r="AK5857">
        <v>14.2414780085443</v>
      </c>
      <c r="AL5857">
        <v>79.163315018320006</v>
      </c>
      <c r="AM5857">
        <v>81.197204526174701</v>
      </c>
      <c r="AN5857">
        <v>0.999999952966518</v>
      </c>
    </row>
    <row r="5858" spans="1:40" x14ac:dyDescent="0.25">
      <c r="A5858" t="str">
        <f>"20190312173042561"</f>
        <v>20190312173042561</v>
      </c>
      <c r="B5858" t="str">
        <f>"1552383042553834"</f>
        <v>1552383042553834</v>
      </c>
      <c r="C5858" t="s">
        <v>40</v>
      </c>
      <c r="D5858">
        <v>3.5766819999999999</v>
      </c>
      <c r="E5858">
        <v>0.50840249999999998</v>
      </c>
      <c r="F5858" t="s">
        <v>41</v>
      </c>
      <c r="G5858">
        <v>-301.00700000000001</v>
      </c>
      <c r="H5858" s="1">
        <v>-4.0423000000000002E-6</v>
      </c>
      <c r="I5858">
        <v>-21.612719999999999</v>
      </c>
      <c r="J5858">
        <v>-300.93259999999998</v>
      </c>
      <c r="K5858">
        <v>1.107118</v>
      </c>
      <c r="L5858">
        <v>-7.2722169999999897</v>
      </c>
      <c r="M5858">
        <v>0.164857</v>
      </c>
      <c r="N5858">
        <v>0</v>
      </c>
      <c r="O5858">
        <v>-0.98624149999999999</v>
      </c>
      <c r="P5858">
        <v>1.423551E-2</v>
      </c>
      <c r="Q5858">
        <v>0.17688299999999901</v>
      </c>
      <c r="R5858">
        <v>-0.98412889999999997</v>
      </c>
      <c r="S5858">
        <v>-8.4228519999999998E-3</v>
      </c>
      <c r="T5858">
        <v>-0.23484459999999999</v>
      </c>
      <c r="U5858">
        <v>-3.0910340000000001</v>
      </c>
      <c r="V5858">
        <v>0.1492752</v>
      </c>
      <c r="W5858">
        <v>0.18794469999999999</v>
      </c>
      <c r="X5858">
        <v>0.97076960000000001</v>
      </c>
      <c r="Y5858">
        <v>0.16754550000000001</v>
      </c>
      <c r="Z5858">
        <v>7.3668419999999998E-2</v>
      </c>
      <c r="AA5858">
        <v>0.98310799999999998</v>
      </c>
      <c r="AB5858">
        <v>22</v>
      </c>
      <c r="AC5858">
        <v>-7.4400000000025501E-2</v>
      </c>
      <c r="AD5858">
        <v>-1.1071220423000001</v>
      </c>
      <c r="AE5858">
        <v>-14.340503</v>
      </c>
      <c r="AF5858">
        <v>2.4232486457134699</v>
      </c>
      <c r="AG5858">
        <v>-1.1071220423000001</v>
      </c>
      <c r="AH5858">
        <v>14.0482643918454</v>
      </c>
      <c r="AI5858">
        <v>94.440764977895597</v>
      </c>
      <c r="AJ5858">
        <v>80.213101154031804</v>
      </c>
      <c r="AK5858">
        <v>14.2986567774281</v>
      </c>
      <c r="AL5858">
        <v>79.167136040106598</v>
      </c>
      <c r="AM5858">
        <v>81.258102581355303</v>
      </c>
      <c r="AN5858">
        <v>0.99999995593864399</v>
      </c>
    </row>
    <row r="5859" spans="1:40" x14ac:dyDescent="0.25">
      <c r="A5859" t="str">
        <f>"20190312173042586"</f>
        <v>20190312173042586</v>
      </c>
      <c r="B5859" t="str">
        <f>"1552383042583114"</f>
        <v>1552383042583114</v>
      </c>
      <c r="C5859" t="s">
        <v>40</v>
      </c>
      <c r="D5859">
        <v>3.5833560000000002</v>
      </c>
      <c r="E5859">
        <v>0.50835850000000005</v>
      </c>
      <c r="F5859" t="s">
        <v>41</v>
      </c>
      <c r="G5859">
        <v>-301.01909999999998</v>
      </c>
      <c r="H5859" s="1">
        <v>-3.9548779999999998E-6</v>
      </c>
      <c r="I5859">
        <v>-21.82404</v>
      </c>
      <c r="J5859">
        <v>-300.89749999999998</v>
      </c>
      <c r="K5859">
        <v>1.1072550000000001</v>
      </c>
      <c r="L5859">
        <v>-7.5122989999999996</v>
      </c>
      <c r="M5859">
        <v>0.1607256</v>
      </c>
      <c r="N5859">
        <v>0</v>
      </c>
      <c r="O5859">
        <v>-0.98692150000000001</v>
      </c>
      <c r="P5859">
        <v>1.100743E-2</v>
      </c>
      <c r="Q5859">
        <v>0.17686689999999999</v>
      </c>
      <c r="R5859">
        <v>-0.98417330000000003</v>
      </c>
      <c r="S5859">
        <v>-1.8371579999999998E-2</v>
      </c>
      <c r="T5859">
        <v>-0.2351606</v>
      </c>
      <c r="U5859">
        <v>-3.0909119999999999</v>
      </c>
      <c r="V5859">
        <v>0.14840980000000001</v>
      </c>
      <c r="W5859">
        <v>0.18805659999999999</v>
      </c>
      <c r="X5859">
        <v>0.97088059999999998</v>
      </c>
      <c r="Y5859">
        <v>0.1665817</v>
      </c>
      <c r="Z5859">
        <v>7.3852920000000002E-2</v>
      </c>
      <c r="AA5859">
        <v>0.98325799999999997</v>
      </c>
      <c r="AB5859">
        <v>22</v>
      </c>
      <c r="AC5859">
        <v>-0.1216</v>
      </c>
      <c r="AD5859">
        <v>-1.1072589548780001</v>
      </c>
      <c r="AE5859">
        <v>-14.311741</v>
      </c>
      <c r="AF5859">
        <v>2.40605742023642</v>
      </c>
      <c r="AG5859">
        <v>-1.1072589548780001</v>
      </c>
      <c r="AH5859">
        <v>14.0221752835504</v>
      </c>
      <c r="AI5859">
        <v>94.450212392528798</v>
      </c>
      <c r="AJ5859">
        <v>80.263466878579806</v>
      </c>
      <c r="AK5859">
        <v>14.2701273429933</v>
      </c>
      <c r="AL5859">
        <v>79.160608140758299</v>
      </c>
      <c r="AM5859">
        <v>81.308984764616497</v>
      </c>
      <c r="AN5859">
        <v>0.99999994649797797</v>
      </c>
    </row>
    <row r="5860" spans="1:40" x14ac:dyDescent="0.25">
      <c r="A5860" t="str">
        <f>"20190312173042605"</f>
        <v>20190312173042605</v>
      </c>
      <c r="B5860" t="str">
        <f>"1552383042593850"</f>
        <v>1552383042593850</v>
      </c>
      <c r="C5860" t="s">
        <v>40</v>
      </c>
      <c r="D5860">
        <v>3.5864539999999998</v>
      </c>
      <c r="E5860">
        <v>0.50824139999999995</v>
      </c>
      <c r="F5860" t="s">
        <v>41</v>
      </c>
      <c r="G5860">
        <v>-301.0258</v>
      </c>
      <c r="H5860" s="1">
        <v>-3.8679440000000002E-6</v>
      </c>
      <c r="I5860">
        <v>-22.030809999999999</v>
      </c>
      <c r="J5860">
        <v>-300.8691</v>
      </c>
      <c r="K5860">
        <v>1.1073409999999999</v>
      </c>
      <c r="L5860">
        <v>-7.7114259999999897</v>
      </c>
      <c r="M5860">
        <v>0.15724859999999999</v>
      </c>
      <c r="N5860">
        <v>0</v>
      </c>
      <c r="O5860">
        <v>-0.98748029999999998</v>
      </c>
      <c r="P5860">
        <v>8.6683630000000001E-3</v>
      </c>
      <c r="Q5860">
        <v>0.1769029</v>
      </c>
      <c r="R5860">
        <v>-0.98419029999999996</v>
      </c>
      <c r="S5860">
        <v>-2.7313230000000001E-2</v>
      </c>
      <c r="T5860">
        <v>-0.2357293</v>
      </c>
      <c r="U5860">
        <v>-3.0909119999999999</v>
      </c>
      <c r="V5860">
        <v>0.1473091</v>
      </c>
      <c r="W5860">
        <v>0.1881882</v>
      </c>
      <c r="X5860">
        <v>0.97102279999999996</v>
      </c>
      <c r="Y5860">
        <v>0.1659532</v>
      </c>
      <c r="Z5860">
        <v>7.4097449999999995E-2</v>
      </c>
      <c r="AA5860">
        <v>0.98334589999999999</v>
      </c>
      <c r="AB5860">
        <v>22</v>
      </c>
      <c r="AC5860">
        <v>-0.15670000000000001</v>
      </c>
      <c r="AD5860">
        <v>-1.1073448679440001</v>
      </c>
      <c r="AE5860">
        <v>-14.319383999999999</v>
      </c>
      <c r="AF5860">
        <v>2.3923235079434502</v>
      </c>
      <c r="AG5860">
        <v>-1.1073448679440001</v>
      </c>
      <c r="AH5860">
        <v>14.0326582766456</v>
      </c>
      <c r="AI5860">
        <v>94.448059698563895</v>
      </c>
      <c r="AJ5860">
        <v>80.325084773794103</v>
      </c>
      <c r="AK5860">
        <v>14.278127423872199</v>
      </c>
      <c r="AL5860">
        <v>79.152931793053796</v>
      </c>
      <c r="AM5860">
        <v>81.373713739882206</v>
      </c>
      <c r="AN5860">
        <v>1.0000000238409399</v>
      </c>
    </row>
    <row r="5861" spans="1:40" x14ac:dyDescent="0.25">
      <c r="A5861" t="str">
        <f>"20190312173042631"</f>
        <v>20190312173042631</v>
      </c>
      <c r="B5861" t="str">
        <f>"1552383042623131"</f>
        <v>1552383042623131</v>
      </c>
      <c r="C5861" t="s">
        <v>40</v>
      </c>
      <c r="D5861">
        <v>3.576308</v>
      </c>
      <c r="E5861">
        <v>0.50802060000000004</v>
      </c>
      <c r="F5861" t="s">
        <v>41</v>
      </c>
      <c r="G5861">
        <v>-301.0247</v>
      </c>
      <c r="H5861" s="1">
        <v>-3.7859430000000002E-6</v>
      </c>
      <c r="I5861">
        <v>-22.221270000000001</v>
      </c>
      <c r="J5861">
        <v>-300.8331</v>
      </c>
      <c r="K5861">
        <v>1.107434</v>
      </c>
      <c r="L5861">
        <v>-7.9726559999999997</v>
      </c>
      <c r="M5861">
        <v>0.15262510000000001</v>
      </c>
      <c r="N5861">
        <v>0</v>
      </c>
      <c r="O5861">
        <v>-0.98820390000000002</v>
      </c>
      <c r="P5861">
        <v>5.4299769999999999E-3</v>
      </c>
      <c r="Q5861">
        <v>0.17715510000000001</v>
      </c>
      <c r="R5861">
        <v>-0.98416809999999999</v>
      </c>
      <c r="S5861">
        <v>-3.3142089999999999E-2</v>
      </c>
      <c r="T5861">
        <v>-0.23588600000000001</v>
      </c>
      <c r="U5861">
        <v>-3.090881</v>
      </c>
      <c r="V5861">
        <v>0.14596779999999901</v>
      </c>
      <c r="W5861">
        <v>0.18855069999999999</v>
      </c>
      <c r="X5861">
        <v>0.97115499999999999</v>
      </c>
      <c r="Y5861">
        <v>0.1631918</v>
      </c>
      <c r="Z5861">
        <v>7.4246610000000005E-2</v>
      </c>
      <c r="AA5861">
        <v>0.98379669999999997</v>
      </c>
      <c r="AB5861">
        <v>22</v>
      </c>
      <c r="AC5861">
        <v>-0.191599999999994</v>
      </c>
      <c r="AD5861">
        <v>-1.107437785943</v>
      </c>
      <c r="AE5861">
        <v>-14.248614</v>
      </c>
      <c r="AF5861">
        <v>2.3500300690298701</v>
      </c>
      <c r="AG5861">
        <v>-1.107437785943</v>
      </c>
      <c r="AH5861">
        <v>13.9680448604642</v>
      </c>
      <c r="AI5861">
        <v>94.470567028384394</v>
      </c>
      <c r="AJ5861">
        <v>80.449806934687501</v>
      </c>
      <c r="AK5861">
        <v>14.2075802654435</v>
      </c>
      <c r="AL5861">
        <v>79.131783214298807</v>
      </c>
      <c r="AM5861">
        <v>81.452239809243594</v>
      </c>
      <c r="AN5861">
        <v>0.99999999956616403</v>
      </c>
    </row>
    <row r="5862" spans="1:40" x14ac:dyDescent="0.25">
      <c r="A5862" t="str">
        <f>"20190312173042654"</f>
        <v>20190312173042654</v>
      </c>
      <c r="B5862" t="str">
        <f>"1552383042643626"</f>
        <v>1552383042643626</v>
      </c>
      <c r="C5862" t="s">
        <v>40</v>
      </c>
      <c r="D5862">
        <v>3.6010469999999999</v>
      </c>
      <c r="E5862">
        <v>0.50787529999999903</v>
      </c>
      <c r="F5862" t="s">
        <v>41</v>
      </c>
      <c r="G5862">
        <v>-301.03050000000002</v>
      </c>
      <c r="H5862" s="1">
        <v>-3.677495E-6</v>
      </c>
      <c r="I5862">
        <v>-22.477730000000001</v>
      </c>
      <c r="J5862">
        <v>-300.80290000000002</v>
      </c>
      <c r="K5862">
        <v>1.1074949999999999</v>
      </c>
      <c r="L5862">
        <v>-8.1984860000000008</v>
      </c>
      <c r="M5862">
        <v>0.1485784</v>
      </c>
      <c r="N5862">
        <v>0</v>
      </c>
      <c r="O5862">
        <v>-0.98881920000000001</v>
      </c>
      <c r="P5862">
        <v>3.0580120000000001E-3</v>
      </c>
      <c r="Q5862">
        <v>0.1777581</v>
      </c>
      <c r="R5862">
        <v>-0.98406950000000004</v>
      </c>
      <c r="S5862">
        <v>-4.2083740000000001E-2</v>
      </c>
      <c r="T5862">
        <v>-0.23599049999999999</v>
      </c>
      <c r="U5862">
        <v>-3.090973</v>
      </c>
      <c r="V5862">
        <v>0.14432909999999999</v>
      </c>
      <c r="W5862">
        <v>0.1892413</v>
      </c>
      <c r="X5862">
        <v>0.97126559999999995</v>
      </c>
      <c r="Y5862">
        <v>0.16199820000000001</v>
      </c>
      <c r="Z5862">
        <v>7.4353580000000002E-2</v>
      </c>
      <c r="AA5862">
        <v>0.98398580000000002</v>
      </c>
      <c r="AB5862">
        <v>22</v>
      </c>
      <c r="AC5862">
        <v>-0.227599999999995</v>
      </c>
      <c r="AD5862">
        <v>-1.107498677495</v>
      </c>
      <c r="AE5862">
        <v>-14.279243999999901</v>
      </c>
      <c r="AF5862">
        <v>2.33280191776932</v>
      </c>
      <c r="AG5862">
        <v>-1.107498677495</v>
      </c>
      <c r="AH5862">
        <v>14.0026959192293</v>
      </c>
      <c r="AI5862">
        <v>94.4609843803063</v>
      </c>
      <c r="AJ5862">
        <v>80.541582320055198</v>
      </c>
      <c r="AK5862">
        <v>14.2388205661355</v>
      </c>
      <c r="AL5862">
        <v>79.091489481337902</v>
      </c>
      <c r="AM5862">
        <v>81.547755323821207</v>
      </c>
      <c r="AN5862">
        <v>1.00000001223792</v>
      </c>
    </row>
    <row r="5863" spans="1:40" x14ac:dyDescent="0.25">
      <c r="A5863" t="str">
        <f>"20190312173042674"</f>
        <v>20190312173042674</v>
      </c>
      <c r="B5863" t="str">
        <f>"1552383042663146"</f>
        <v>1552383042663146</v>
      </c>
      <c r="C5863" t="s">
        <v>40</v>
      </c>
      <c r="D5863">
        <v>3.5796839999999999</v>
      </c>
      <c r="E5863">
        <v>0.50780309999999995</v>
      </c>
      <c r="F5863" t="s">
        <v>41</v>
      </c>
      <c r="G5863">
        <v>-301.03530000000001</v>
      </c>
      <c r="H5863" s="1">
        <v>-3.5151960000000001E-6</v>
      </c>
      <c r="I5863">
        <v>-22.858969999999999</v>
      </c>
      <c r="J5863">
        <v>-300.77659999999997</v>
      </c>
      <c r="K5863">
        <v>1.1075379999999999</v>
      </c>
      <c r="L5863">
        <v>-8.402374</v>
      </c>
      <c r="M5863">
        <v>0.14488309999999999</v>
      </c>
      <c r="N5863">
        <v>0</v>
      </c>
      <c r="O5863">
        <v>-0.98936650000000004</v>
      </c>
      <c r="P5863">
        <v>1.6072219999999901E-4</v>
      </c>
      <c r="Q5863">
        <v>0.1777436</v>
      </c>
      <c r="R5863">
        <v>-0.98407719999999999</v>
      </c>
      <c r="S5863">
        <v>-4.8980709999999997E-2</v>
      </c>
      <c r="T5863">
        <v>-0.2334948</v>
      </c>
      <c r="U5863">
        <v>-3.090881</v>
      </c>
      <c r="V5863">
        <v>0.143568899999999</v>
      </c>
      <c r="W5863">
        <v>0.1892942</v>
      </c>
      <c r="X5863">
        <v>0.97136800000000001</v>
      </c>
      <c r="Y5863">
        <v>0.16050809999999999</v>
      </c>
      <c r="Z5863">
        <v>7.3643680000000003E-2</v>
      </c>
      <c r="AA5863">
        <v>0.98428340000000003</v>
      </c>
      <c r="AB5863">
        <v>22</v>
      </c>
      <c r="AC5863">
        <v>-0.25870000000003301</v>
      </c>
      <c r="AD5863">
        <v>-1.107541515196</v>
      </c>
      <c r="AE5863">
        <v>-14.456595999999999</v>
      </c>
      <c r="AF5863">
        <v>2.3369450354901602</v>
      </c>
      <c r="AG5863">
        <v>-1.107541515196</v>
      </c>
      <c r="AH5863">
        <v>14.1833320929824</v>
      </c>
      <c r="AI5863">
        <v>94.405859408154996</v>
      </c>
      <c r="AJ5863">
        <v>80.643611658542298</v>
      </c>
      <c r="AK5863">
        <v>14.4171727313856</v>
      </c>
      <c r="AL5863">
        <v>79.088403241313102</v>
      </c>
      <c r="AM5863">
        <v>81.592510020805406</v>
      </c>
      <c r="AN5863">
        <v>1.0000000573124199</v>
      </c>
    </row>
    <row r="5864" spans="1:40" x14ac:dyDescent="0.25">
      <c r="A5864" t="str">
        <f>"20190312173042696"</f>
        <v>20190312173042696</v>
      </c>
      <c r="B5864" t="str">
        <f>"1552383042693402"</f>
        <v>1552383042693402</v>
      </c>
      <c r="C5864" t="s">
        <v>40</v>
      </c>
      <c r="D5864">
        <v>3.6046279999999999</v>
      </c>
      <c r="E5864">
        <v>0.50752269999999999</v>
      </c>
      <c r="F5864" t="s">
        <v>41</v>
      </c>
      <c r="G5864">
        <v>-301.04899999999998</v>
      </c>
      <c r="H5864" s="1">
        <v>-3.4262910000000001E-6</v>
      </c>
      <c r="I5864">
        <v>-23.074729999999999</v>
      </c>
      <c r="J5864">
        <v>-300.75110000000001</v>
      </c>
      <c r="K5864">
        <v>1.107575</v>
      </c>
      <c r="L5864">
        <v>-8.6070250000000001</v>
      </c>
      <c r="M5864">
        <v>0.14113539999999999</v>
      </c>
      <c r="N5864">
        <v>0</v>
      </c>
      <c r="O5864">
        <v>-0.98990730000000005</v>
      </c>
      <c r="P5864">
        <v>-1.893357E-3</v>
      </c>
      <c r="Q5864">
        <v>0.17786189999999999</v>
      </c>
      <c r="R5864">
        <v>-0.98405370000000003</v>
      </c>
      <c r="S5864">
        <v>-5.7373050000000002E-2</v>
      </c>
      <c r="T5864">
        <v>-0.23330100000000001</v>
      </c>
      <c r="U5864">
        <v>-3.0906980000000002</v>
      </c>
      <c r="V5864">
        <v>0.1419214</v>
      </c>
      <c r="W5864">
        <v>0.1894797</v>
      </c>
      <c r="X5864">
        <v>0.97157389999999999</v>
      </c>
      <c r="Y5864">
        <v>0.15944340000000001</v>
      </c>
      <c r="Z5864">
        <v>7.3653070000000001E-2</v>
      </c>
      <c r="AA5864">
        <v>0.98445570000000004</v>
      </c>
      <c r="AB5864">
        <v>22</v>
      </c>
      <c r="AC5864">
        <v>-0.29790000000002598</v>
      </c>
      <c r="AD5864">
        <v>-1.107578426291</v>
      </c>
      <c r="AE5864">
        <v>-14.467705</v>
      </c>
      <c r="AF5864">
        <v>2.3233798830856101</v>
      </c>
      <c r="AG5864">
        <v>-1.107578426291</v>
      </c>
      <c r="AH5864">
        <v>14.1976431332264</v>
      </c>
      <c r="AI5864">
        <v>94.402368221792003</v>
      </c>
      <c r="AJ5864">
        <v>80.706183646169507</v>
      </c>
      <c r="AK5864">
        <v>14.4290642312647</v>
      </c>
      <c r="AL5864">
        <v>79.077578811934202</v>
      </c>
      <c r="AM5864">
        <v>81.689369968806403</v>
      </c>
      <c r="AN5864">
        <v>1.0000000418256201</v>
      </c>
    </row>
    <row r="5865" spans="1:40" x14ac:dyDescent="0.25">
      <c r="A5865" t="str">
        <f>"20190312173042715"</f>
        <v>20190312173042715</v>
      </c>
      <c r="B5865" t="str">
        <f>"1552383042713898"</f>
        <v>1552383042713898</v>
      </c>
      <c r="C5865" t="s">
        <v>40</v>
      </c>
      <c r="D5865">
        <v>3.6177290000000002</v>
      </c>
      <c r="E5865">
        <v>0.50418220000000002</v>
      </c>
      <c r="F5865" t="s">
        <v>41</v>
      </c>
      <c r="G5865">
        <v>-301.04610000000002</v>
      </c>
      <c r="H5865" s="1">
        <v>-3.2884050000000001E-6</v>
      </c>
      <c r="I5865">
        <v>-23.394310000000001</v>
      </c>
      <c r="J5865">
        <v>-300.72660000000002</v>
      </c>
      <c r="K5865">
        <v>1.1076029999999999</v>
      </c>
      <c r="L5865">
        <v>-8.8093259999999898</v>
      </c>
      <c r="M5865">
        <v>0.13739579999999901</v>
      </c>
      <c r="N5865">
        <v>0</v>
      </c>
      <c r="O5865">
        <v>-0.9904326</v>
      </c>
      <c r="P5865">
        <v>-3.5186929999999998E-3</v>
      </c>
      <c r="Q5865">
        <v>0.178148</v>
      </c>
      <c r="R5865">
        <v>-0.98399760000000003</v>
      </c>
      <c r="S5865">
        <v>-6.1645510000000001E-2</v>
      </c>
      <c r="T5865">
        <v>-0.23146820000000001</v>
      </c>
      <c r="U5865">
        <v>-3.0903320000000001</v>
      </c>
      <c r="V5865">
        <v>0.13985529999999999</v>
      </c>
      <c r="W5865">
        <v>0.18982889999999999</v>
      </c>
      <c r="X5865">
        <v>0.97180529999999998</v>
      </c>
      <c r="Y5865">
        <v>0.1570782</v>
      </c>
      <c r="Z5865">
        <v>7.3158340000000002E-2</v>
      </c>
      <c r="AA5865">
        <v>0.98487270000000005</v>
      </c>
      <c r="AB5865">
        <v>22</v>
      </c>
      <c r="AC5865">
        <v>-0.319500000000005</v>
      </c>
      <c r="AD5865">
        <v>-1.107606288405</v>
      </c>
      <c r="AE5865">
        <v>-14.584984</v>
      </c>
      <c r="AF5865">
        <v>2.3072511686643602</v>
      </c>
      <c r="AG5865">
        <v>-1.107606288405</v>
      </c>
      <c r="AH5865">
        <v>14.3201920478639</v>
      </c>
      <c r="AI5865">
        <v>94.366687869966995</v>
      </c>
      <c r="AJ5865">
        <v>80.847235416210395</v>
      </c>
      <c r="AK5865">
        <v>14.5470993649291</v>
      </c>
      <c r="AL5865">
        <v>79.057201147607401</v>
      </c>
      <c r="AM5865">
        <v>81.810626902886298</v>
      </c>
      <c r="AN5865">
        <v>1.00000002866069</v>
      </c>
    </row>
    <row r="5866" spans="1:40" x14ac:dyDescent="0.25">
      <c r="A5866" t="str">
        <f>"20190312173042738"</f>
        <v>20190312173042738</v>
      </c>
      <c r="B5866" t="str">
        <f>"1552383042733418"</f>
        <v>1552383042733418</v>
      </c>
      <c r="C5866" t="s">
        <v>40</v>
      </c>
      <c r="D5866">
        <v>3.601721</v>
      </c>
      <c r="E5866">
        <v>0.50430680000000006</v>
      </c>
      <c r="F5866" t="s">
        <v>41</v>
      </c>
      <c r="G5866">
        <v>-300.94830000000002</v>
      </c>
      <c r="H5866" s="1">
        <v>-2.375171E-6</v>
      </c>
      <c r="I5866">
        <v>-25.462440000000001</v>
      </c>
      <c r="J5866">
        <v>-300.70139999999998</v>
      </c>
      <c r="K5866">
        <v>1.1076269999999999</v>
      </c>
      <c r="L5866">
        <v>-9.0249629999999996</v>
      </c>
      <c r="M5866">
        <v>0.13337679999999999</v>
      </c>
      <c r="N5866">
        <v>0</v>
      </c>
      <c r="O5866">
        <v>-0.990981</v>
      </c>
      <c r="P5866">
        <v>-5.3410469999999998E-3</v>
      </c>
      <c r="Q5866">
        <v>0.17862239999999999</v>
      </c>
      <c r="R5866">
        <v>-0.98390350000000004</v>
      </c>
      <c r="S5866">
        <v>-4.1076660000000001E-2</v>
      </c>
      <c r="T5866">
        <v>-0.2052368</v>
      </c>
      <c r="U5866">
        <v>-3.085785</v>
      </c>
      <c r="V5866">
        <v>0.13770760000000001</v>
      </c>
      <c r="W5866">
        <v>0.19036449999999999</v>
      </c>
      <c r="X5866">
        <v>0.97200719999999996</v>
      </c>
      <c r="Y5866">
        <v>0.14653749999999999</v>
      </c>
      <c r="Z5866">
        <v>6.5113480000000001E-2</v>
      </c>
      <c r="AA5866">
        <v>0.98705980000000004</v>
      </c>
      <c r="AB5866">
        <v>22</v>
      </c>
      <c r="AC5866">
        <v>-0.246900000000039</v>
      </c>
      <c r="AD5866">
        <v>-1.107629375171</v>
      </c>
      <c r="AE5866">
        <v>-16.437476999999902</v>
      </c>
      <c r="AF5866">
        <v>2.4262409194301702</v>
      </c>
      <c r="AG5866">
        <v>-1.107629375171</v>
      </c>
      <c r="AH5866">
        <v>16.1841863173271</v>
      </c>
      <c r="AI5866">
        <v>93.872025258908494</v>
      </c>
      <c r="AJ5866">
        <v>81.474036799519894</v>
      </c>
      <c r="AK5866">
        <v>16.4024807448696</v>
      </c>
      <c r="AL5866">
        <v>79.025943366339703</v>
      </c>
      <c r="AM5866">
        <v>81.936373602098598</v>
      </c>
      <c r="AN5866">
        <v>1.0000000114049199</v>
      </c>
    </row>
    <row r="5867" spans="1:40" x14ac:dyDescent="0.25">
      <c r="A5867" t="str">
        <f>"20190312173042760"</f>
        <v>20190312173042760</v>
      </c>
      <c r="B5867" t="str">
        <f>"1552383042752939"</f>
        <v>1552383042752939</v>
      </c>
      <c r="C5867" t="s">
        <v>40</v>
      </c>
      <c r="D5867">
        <v>3.5756939999999999</v>
      </c>
      <c r="E5867">
        <v>0.50438590000000005</v>
      </c>
      <c r="F5867" t="s">
        <v>41</v>
      </c>
      <c r="G5867">
        <v>-300.96280000000002</v>
      </c>
      <c r="H5867" s="1">
        <v>-2.3163760000000001E-6</v>
      </c>
      <c r="I5867">
        <v>-25.608509999999999</v>
      </c>
      <c r="J5867">
        <v>-300.6764</v>
      </c>
      <c r="K5867">
        <v>1.10765</v>
      </c>
      <c r="L5867">
        <v>-9.2472840000000005</v>
      </c>
      <c r="M5867">
        <v>0.12920229999999999</v>
      </c>
      <c r="N5867">
        <v>0</v>
      </c>
      <c r="O5867">
        <v>-0.99153329999999995</v>
      </c>
      <c r="P5867">
        <v>-6.8503260000000003E-3</v>
      </c>
      <c r="Q5867">
        <v>0.17940120000000001</v>
      </c>
      <c r="R5867">
        <v>-0.98375230000000002</v>
      </c>
      <c r="S5867">
        <v>-4.8645019999999997E-2</v>
      </c>
      <c r="T5867">
        <v>-0.20613290000000001</v>
      </c>
      <c r="U5867">
        <v>-3.0862430000000001</v>
      </c>
      <c r="V5867">
        <v>0.1350925</v>
      </c>
      <c r="W5867">
        <v>0.19120329999999999</v>
      </c>
      <c r="X5867">
        <v>0.97220949999999995</v>
      </c>
      <c r="Y5867">
        <v>0.14478940000000001</v>
      </c>
      <c r="Z5867">
        <v>6.5449489999999999E-2</v>
      </c>
      <c r="AA5867">
        <v>0.98729549999999999</v>
      </c>
      <c r="AB5867">
        <v>22</v>
      </c>
      <c r="AC5867">
        <v>-0.28640000000001398</v>
      </c>
      <c r="AD5867">
        <v>-1.1076523163759999</v>
      </c>
      <c r="AE5867">
        <v>-16.361225999999998</v>
      </c>
      <c r="AF5867">
        <v>2.3871476058867298</v>
      </c>
      <c r="AG5867">
        <v>-1.1076523163759999</v>
      </c>
      <c r="AH5867">
        <v>16.113231895606098</v>
      </c>
      <c r="AI5867">
        <v>93.890102163710395</v>
      </c>
      <c r="AJ5867">
        <v>81.5730235329344</v>
      </c>
      <c r="AK5867">
        <v>16.3267145950384</v>
      </c>
      <c r="AL5867">
        <v>78.976984248014503</v>
      </c>
      <c r="AM5867">
        <v>82.089171491854003</v>
      </c>
      <c r="AN5867">
        <v>0.99999999868869405</v>
      </c>
    </row>
    <row r="5868" spans="1:40" x14ac:dyDescent="0.25">
      <c r="A5868" t="str">
        <f>"20190312173042782"</f>
        <v>20190312173042782</v>
      </c>
      <c r="B5868" t="str">
        <f>"1552383042773434"</f>
        <v>1552383042773434</v>
      </c>
      <c r="C5868" t="s">
        <v>40</v>
      </c>
      <c r="D5868">
        <v>3.5917050000000001</v>
      </c>
      <c r="E5868">
        <v>0.50448389999999999</v>
      </c>
      <c r="F5868" t="s">
        <v>41</v>
      </c>
      <c r="G5868">
        <v>-300.97359999999998</v>
      </c>
      <c r="H5868" s="1">
        <v>-2.1186509999999999E-6</v>
      </c>
      <c r="I5868">
        <v>-26.0761</v>
      </c>
      <c r="J5868">
        <v>-300.6533</v>
      </c>
      <c r="K5868">
        <v>1.1076729999999999</v>
      </c>
      <c r="L5868">
        <v>-9.4608460000000001</v>
      </c>
      <c r="M5868">
        <v>0.1251671</v>
      </c>
      <c r="N5868">
        <v>0</v>
      </c>
      <c r="O5868">
        <v>-0.99205030000000005</v>
      </c>
      <c r="P5868">
        <v>-8.0543339999999998E-3</v>
      </c>
      <c r="Q5868">
        <v>0.17978459999999999</v>
      </c>
      <c r="R5868">
        <v>-0.98367349999999998</v>
      </c>
      <c r="S5868">
        <v>-5.450439E-2</v>
      </c>
      <c r="T5868">
        <v>-0.2031307</v>
      </c>
      <c r="U5868">
        <v>-3.0862120000000002</v>
      </c>
      <c r="V5868">
        <v>0.1323183</v>
      </c>
      <c r="W5868">
        <v>0.19164320000000001</v>
      </c>
      <c r="X5868">
        <v>0.97250440000000005</v>
      </c>
      <c r="Y5868">
        <v>0.1426386</v>
      </c>
      <c r="Z5868">
        <v>6.4561199999999999E-2</v>
      </c>
      <c r="AA5868">
        <v>0.98766699999999996</v>
      </c>
      <c r="AB5868">
        <v>22</v>
      </c>
      <c r="AC5868">
        <v>-0.32029999999997399</v>
      </c>
      <c r="AD5868">
        <v>-1.1076751186510001</v>
      </c>
      <c r="AE5868">
        <v>-16.615254</v>
      </c>
      <c r="AF5868">
        <v>2.3870350169155201</v>
      </c>
      <c r="AG5868">
        <v>-1.1076751186510001</v>
      </c>
      <c r="AH5868">
        <v>16.371734473167201</v>
      </c>
      <c r="AI5868">
        <v>93.830230616966801</v>
      </c>
      <c r="AJ5868">
        <v>81.7046013127148</v>
      </c>
      <c r="AK5868">
        <v>16.581874743235499</v>
      </c>
      <c r="AL5868">
        <v>78.951305293838203</v>
      </c>
      <c r="AM5868">
        <v>82.251951685595103</v>
      </c>
      <c r="AN5868">
        <v>1.0000000283202399</v>
      </c>
    </row>
    <row r="5869" spans="1:40" x14ac:dyDescent="0.25">
      <c r="A5869" t="str">
        <f>"20190312173042806"</f>
        <v>20190312173042806</v>
      </c>
      <c r="B5869" t="str">
        <f>"1552383042803690"</f>
        <v>1552383042803690</v>
      </c>
      <c r="C5869" t="s">
        <v>40</v>
      </c>
      <c r="D5869">
        <v>3.5486430000000002</v>
      </c>
      <c r="E5869">
        <v>0.50443700000000002</v>
      </c>
      <c r="F5869" t="s">
        <v>41</v>
      </c>
      <c r="G5869">
        <v>-300.9753</v>
      </c>
      <c r="H5869" s="1">
        <v>-2.0259910000000001E-6</v>
      </c>
      <c r="I5869">
        <v>-26.29317</v>
      </c>
      <c r="J5869">
        <v>-300.62950000000001</v>
      </c>
      <c r="K5869">
        <v>1.1076859999999999</v>
      </c>
      <c r="L5869">
        <v>-9.6907960000000006</v>
      </c>
      <c r="M5869">
        <v>0.1207989</v>
      </c>
      <c r="N5869">
        <v>0</v>
      </c>
      <c r="O5869">
        <v>-0.99259140000000001</v>
      </c>
      <c r="P5869">
        <v>-9.7366780000000003E-3</v>
      </c>
      <c r="Q5869">
        <v>0.1805303</v>
      </c>
      <c r="R5869">
        <v>-0.9835218</v>
      </c>
      <c r="S5869">
        <v>-5.9051510000000001E-2</v>
      </c>
      <c r="T5869">
        <v>-0.2031066</v>
      </c>
      <c r="U5869">
        <v>-3.0864259999999999</v>
      </c>
      <c r="V5869">
        <v>0.12968499999999999</v>
      </c>
      <c r="W5869">
        <v>0.19244339999999999</v>
      </c>
      <c r="X5869">
        <v>0.97270109999999999</v>
      </c>
      <c r="Y5869">
        <v>0.13973459999999999</v>
      </c>
      <c r="Z5869">
        <v>6.4615130000000007E-2</v>
      </c>
      <c r="AA5869">
        <v>0.98807849999999997</v>
      </c>
      <c r="AB5869">
        <v>22</v>
      </c>
      <c r="AC5869">
        <v>-0.345799999999997</v>
      </c>
      <c r="AD5869">
        <v>-1.107688025991</v>
      </c>
      <c r="AE5869">
        <v>-16.602373999999902</v>
      </c>
      <c r="AF5869">
        <v>2.3385808280281699</v>
      </c>
      <c r="AG5869">
        <v>-1.107688025991</v>
      </c>
      <c r="AH5869">
        <v>16.366177797207101</v>
      </c>
      <c r="AI5869">
        <v>93.833144532502104</v>
      </c>
      <c r="AJ5869">
        <v>81.8679920645409</v>
      </c>
      <c r="AK5869">
        <v>16.569481245408401</v>
      </c>
      <c r="AL5869">
        <v>78.904587824696407</v>
      </c>
      <c r="AM5869">
        <v>82.4058474111295</v>
      </c>
      <c r="AN5869">
        <v>1.0000000456848801</v>
      </c>
    </row>
    <row r="5870" spans="1:40" x14ac:dyDescent="0.25">
      <c r="A5870" t="str">
        <f>"20190312173042848"</f>
        <v>20190312173042848</v>
      </c>
      <c r="B5870" t="str">
        <f>"1552383042843709"</f>
        <v>1552383042843709</v>
      </c>
      <c r="C5870" t="s">
        <v>40</v>
      </c>
      <c r="D5870">
        <v>3.5304630000000001</v>
      </c>
      <c r="E5870">
        <v>0.50273049999999997</v>
      </c>
      <c r="F5870" t="s">
        <v>41</v>
      </c>
      <c r="G5870">
        <v>-300.97190000000001</v>
      </c>
      <c r="H5870" s="1">
        <v>-2.0118579999999999E-6</v>
      </c>
      <c r="I5870">
        <v>-26.324010000000001</v>
      </c>
      <c r="J5870">
        <v>-300.58850000000001</v>
      </c>
      <c r="K5870">
        <v>1.1077360000000001</v>
      </c>
      <c r="L5870">
        <v>-10.11243</v>
      </c>
      <c r="M5870">
        <v>0.1127529</v>
      </c>
      <c r="N5870">
        <v>0</v>
      </c>
      <c r="O5870">
        <v>-0.99353659999999999</v>
      </c>
      <c r="P5870">
        <v>-1.1191090000000001E-2</v>
      </c>
      <c r="Q5870">
        <v>0.18176239999999999</v>
      </c>
      <c r="R5870">
        <v>-0.98327900000000001</v>
      </c>
      <c r="S5870">
        <v>-6.3568120000000006E-2</v>
      </c>
      <c r="T5870">
        <v>-0.20560339999999999</v>
      </c>
      <c r="U5870">
        <v>-3.0873719999999998</v>
      </c>
      <c r="V5870">
        <v>0.1232056</v>
      </c>
      <c r="W5870">
        <v>0.19377920000000001</v>
      </c>
      <c r="X5870">
        <v>0.97327799999999998</v>
      </c>
      <c r="Y5870">
        <v>0.13314709999999999</v>
      </c>
      <c r="Z5870">
        <v>6.550947E-2</v>
      </c>
      <c r="AA5870">
        <v>0.9889289</v>
      </c>
      <c r="AB5870">
        <v>22</v>
      </c>
      <c r="AC5870">
        <v>-0.38339999999999402</v>
      </c>
      <c r="AD5870">
        <v>-1.107738011858</v>
      </c>
      <c r="AE5870">
        <v>-16.211579999999898</v>
      </c>
      <c r="AF5870">
        <v>2.19875412847987</v>
      </c>
      <c r="AG5870">
        <v>-1.107738011858</v>
      </c>
      <c r="AH5870">
        <v>15.9903316665549</v>
      </c>
      <c r="AI5870">
        <v>93.926036564123294</v>
      </c>
      <c r="AJ5870">
        <v>82.170629763108295</v>
      </c>
      <c r="AK5870">
        <v>16.178761078242399</v>
      </c>
      <c r="AL5870">
        <v>78.826583681670598</v>
      </c>
      <c r="AM5870">
        <v>82.785398825831507</v>
      </c>
      <c r="AN5870">
        <v>1.0000000317539901</v>
      </c>
    </row>
    <row r="5871" spans="1:40" x14ac:dyDescent="0.25">
      <c r="A5871" t="str">
        <f>"20190312173042872"</f>
        <v>20190312173042872</v>
      </c>
      <c r="B5871" t="str">
        <f>"1552383042863226"</f>
        <v>1552383042863226</v>
      </c>
      <c r="C5871" t="s">
        <v>40</v>
      </c>
      <c r="D5871">
        <v>3.5585800000000001</v>
      </c>
      <c r="E5871">
        <v>0.50105069999999996</v>
      </c>
      <c r="F5871" t="s">
        <v>42</v>
      </c>
      <c r="G5871">
        <v>-300.60500000000002</v>
      </c>
      <c r="H5871">
        <v>1.047871</v>
      </c>
      <c r="I5871">
        <v>-11.012040000000001</v>
      </c>
      <c r="J5871">
        <v>-300.56639999999999</v>
      </c>
      <c r="K5871">
        <v>1.107764</v>
      </c>
      <c r="L5871">
        <v>-10.35547</v>
      </c>
      <c r="M5871">
        <v>0.1081085</v>
      </c>
      <c r="N5871">
        <v>0</v>
      </c>
      <c r="O5871">
        <v>-0.99405239999999995</v>
      </c>
      <c r="P5871">
        <v>-1.3100179999999999E-2</v>
      </c>
      <c r="Q5871">
        <v>0.18269170000000001</v>
      </c>
      <c r="R5871">
        <v>-0.98308300000000004</v>
      </c>
      <c r="S5871">
        <v>-5.621338E-2</v>
      </c>
      <c r="T5871">
        <v>-0.2052264</v>
      </c>
      <c r="U5871">
        <v>-3.0883180000000001</v>
      </c>
      <c r="V5871">
        <v>0.1205243</v>
      </c>
      <c r="W5871">
        <v>0.19475400000000001</v>
      </c>
      <c r="X5871">
        <v>0.97341909999999998</v>
      </c>
      <c r="Y5871">
        <v>0.12615199999999999</v>
      </c>
      <c r="Z5871">
        <v>6.5453140000000007E-2</v>
      </c>
      <c r="AA5871">
        <v>0.98984930000000004</v>
      </c>
      <c r="AB5871">
        <v>22</v>
      </c>
      <c r="AC5871">
        <v>-3.8600000000030797E-2</v>
      </c>
      <c r="AD5871">
        <v>-5.9892999999999898E-2</v>
      </c>
      <c r="AE5871">
        <v>-0.65656999999999799</v>
      </c>
      <c r="AF5871">
        <v>0.108461219264035</v>
      </c>
      <c r="AG5871">
        <v>-5.9892999999999898E-2</v>
      </c>
      <c r="AH5871">
        <v>0.64321396940400399</v>
      </c>
      <c r="AI5871">
        <v>95.246129193864306</v>
      </c>
      <c r="AJ5871">
        <v>80.428604670934604</v>
      </c>
      <c r="AK5871">
        <v>0.655038333206306</v>
      </c>
      <c r="AL5871">
        <v>78.769646519522496</v>
      </c>
      <c r="AM5871">
        <v>82.941820316723096</v>
      </c>
      <c r="AN5871">
        <v>0.99999998582564897</v>
      </c>
    </row>
    <row r="5872" spans="1:40" x14ac:dyDescent="0.25">
      <c r="A5872" t="str">
        <f>"20190312173042895"</f>
        <v>20190312173042895</v>
      </c>
      <c r="B5872" t="str">
        <f>"1552383042883723"</f>
        <v>1552383042883723</v>
      </c>
      <c r="C5872" t="s">
        <v>40</v>
      </c>
      <c r="D5872">
        <v>3.5595880000000002</v>
      </c>
      <c r="E5872">
        <v>0.49977650000000001</v>
      </c>
      <c r="F5872" t="s">
        <v>41</v>
      </c>
      <c r="G5872">
        <v>-300.84089999999998</v>
      </c>
      <c r="H5872" s="1">
        <v>-1.5263239999999999E-6</v>
      </c>
      <c r="I5872">
        <v>-27.37453</v>
      </c>
      <c r="J5872">
        <v>-300.54750000000001</v>
      </c>
      <c r="K5872">
        <v>1.107785</v>
      </c>
      <c r="L5872">
        <v>-10.574579999999999</v>
      </c>
      <c r="M5872">
        <v>0.103921</v>
      </c>
      <c r="N5872">
        <v>0</v>
      </c>
      <c r="O5872">
        <v>-0.99449869999999996</v>
      </c>
      <c r="P5872">
        <v>-1.471543E-2</v>
      </c>
      <c r="Q5872">
        <v>0.18385470000000001</v>
      </c>
      <c r="R5872">
        <v>-0.98284369999999999</v>
      </c>
      <c r="S5872">
        <v>-4.9804689999999999E-2</v>
      </c>
      <c r="T5872">
        <v>-0.20101769999999999</v>
      </c>
      <c r="U5872">
        <v>-3.0883180000000001</v>
      </c>
      <c r="V5872">
        <v>0.1179982</v>
      </c>
      <c r="W5872">
        <v>0.19595580000000001</v>
      </c>
      <c r="X5872">
        <v>0.9734874</v>
      </c>
      <c r="Y5872">
        <v>0.1199196</v>
      </c>
      <c r="Z5872">
        <v>6.4186300000000002E-2</v>
      </c>
      <c r="AA5872">
        <v>0.99070650000000005</v>
      </c>
      <c r="AB5872">
        <v>22</v>
      </c>
      <c r="AC5872">
        <v>-0.29339999999996202</v>
      </c>
      <c r="AD5872">
        <v>-1.1077865263240001</v>
      </c>
      <c r="AE5872">
        <v>-16.799949999999999</v>
      </c>
      <c r="AF5872">
        <v>2.02900997899054</v>
      </c>
      <c r="AG5872">
        <v>-1.1077865263240001</v>
      </c>
      <c r="AH5872">
        <v>16.6062955137327</v>
      </c>
      <c r="AI5872">
        <v>93.788389648300793</v>
      </c>
      <c r="AJ5872">
        <v>83.033947349780306</v>
      </c>
      <c r="AK5872">
        <v>16.7664284560596</v>
      </c>
      <c r="AL5872">
        <v>78.699435649555895</v>
      </c>
      <c r="AM5872">
        <v>83.088788700246894</v>
      </c>
      <c r="AN5872">
        <v>0.99999998435781901</v>
      </c>
    </row>
    <row r="5873" spans="1:40" x14ac:dyDescent="0.25">
      <c r="A5873" t="str">
        <f>"20190312173042919"</f>
        <v>20190312173042919</v>
      </c>
      <c r="B5873" t="str">
        <f>"1552383042913002"</f>
        <v>1552383042913002</v>
      </c>
      <c r="C5873" t="s">
        <v>40</v>
      </c>
      <c r="D5873">
        <v>3.5803820000000002</v>
      </c>
      <c r="E5873">
        <v>0.49830989999999997</v>
      </c>
      <c r="F5873" t="s">
        <v>41</v>
      </c>
      <c r="G5873">
        <v>-300.7971</v>
      </c>
      <c r="H5873" s="1">
        <v>-1.2792829999999999E-6</v>
      </c>
      <c r="I5873">
        <v>-27.923220000000001</v>
      </c>
      <c r="J5873">
        <v>-300.52820000000003</v>
      </c>
      <c r="K5873">
        <v>1.1078059999999901</v>
      </c>
      <c r="L5873">
        <v>-10.810790000000001</v>
      </c>
      <c r="M5873">
        <v>9.9410299999999993E-2</v>
      </c>
      <c r="N5873">
        <v>0</v>
      </c>
      <c r="O5873">
        <v>-0.99495940000000005</v>
      </c>
      <c r="P5873">
        <v>-1.6340460000000001E-2</v>
      </c>
      <c r="Q5873">
        <v>0.1846391</v>
      </c>
      <c r="R5873">
        <v>-0.98267040000000005</v>
      </c>
      <c r="S5873">
        <v>-4.4433590000000002E-2</v>
      </c>
      <c r="T5873">
        <v>-0.19722010000000001</v>
      </c>
      <c r="U5873">
        <v>-3.0885929999999999</v>
      </c>
      <c r="V5873">
        <v>0.1151715</v>
      </c>
      <c r="W5873">
        <v>0.1967815</v>
      </c>
      <c r="X5873">
        <v>0.97365939999999995</v>
      </c>
      <c r="Y5873">
        <v>0.1136928</v>
      </c>
      <c r="Z5873">
        <v>6.3041330000000007E-2</v>
      </c>
      <c r="AA5873">
        <v>0.9915138</v>
      </c>
      <c r="AB5873">
        <v>22</v>
      </c>
      <c r="AC5873">
        <v>-0.26889999999997299</v>
      </c>
      <c r="AD5873">
        <v>-1.1078072792829901</v>
      </c>
      <c r="AE5873">
        <v>-17.11243</v>
      </c>
      <c r="AF5873">
        <v>1.96065224896278</v>
      </c>
      <c r="AG5873">
        <v>-1.1078072792829901</v>
      </c>
      <c r="AH5873">
        <v>16.9299815890252</v>
      </c>
      <c r="AI5873">
        <v>93.719005811460093</v>
      </c>
      <c r="AJ5873">
        <v>83.394033778375203</v>
      </c>
      <c r="AK5873">
        <v>17.079100409978501</v>
      </c>
      <c r="AL5873">
        <v>78.651187657057406</v>
      </c>
      <c r="AM5873">
        <v>83.2539859721672</v>
      </c>
      <c r="AN5873">
        <v>1.00000003018142</v>
      </c>
    </row>
    <row r="5874" spans="1:40" x14ac:dyDescent="0.25">
      <c r="A5874" t="str">
        <f>"20190312173042941"</f>
        <v>20190312173042941</v>
      </c>
      <c r="B5874" t="str">
        <f>"1552383042933498"</f>
        <v>1552383042933498</v>
      </c>
      <c r="C5874" t="s">
        <v>40</v>
      </c>
      <c r="D5874">
        <v>3.5676749999999999</v>
      </c>
      <c r="E5874">
        <v>0.49752000000000002</v>
      </c>
      <c r="F5874" t="s">
        <v>41</v>
      </c>
      <c r="G5874">
        <v>-300.74470000000002</v>
      </c>
      <c r="H5874" s="1">
        <v>-1.0918920000000001E-6</v>
      </c>
      <c r="I5874">
        <v>-28.32751</v>
      </c>
      <c r="J5874">
        <v>-300.51139999999998</v>
      </c>
      <c r="K5874">
        <v>1.1078330000000001</v>
      </c>
      <c r="L5874">
        <v>-11.02716</v>
      </c>
      <c r="M5874">
        <v>9.5281619999999997E-2</v>
      </c>
      <c r="N5874">
        <v>0</v>
      </c>
      <c r="O5874">
        <v>-0.99536309999999995</v>
      </c>
      <c r="P5874">
        <v>-1.7284899999999999E-2</v>
      </c>
      <c r="Q5874">
        <v>0.1853805</v>
      </c>
      <c r="R5874">
        <v>-0.98251509999999997</v>
      </c>
      <c r="S5874">
        <v>-3.8177490000000001E-2</v>
      </c>
      <c r="T5874">
        <v>-0.19535649999999999</v>
      </c>
      <c r="U5874">
        <v>-3.0889890000000002</v>
      </c>
      <c r="V5874">
        <v>0.1120462</v>
      </c>
      <c r="W5874">
        <v>0.19756170000000001</v>
      </c>
      <c r="X5874">
        <v>0.97386600000000001</v>
      </c>
      <c r="Y5874">
        <v>0.1075598</v>
      </c>
      <c r="Z5874">
        <v>6.2500630000000001E-2</v>
      </c>
      <c r="AA5874">
        <v>0.99223209999999995</v>
      </c>
      <c r="AB5874">
        <v>22</v>
      </c>
      <c r="AC5874">
        <v>-0.233300000000042</v>
      </c>
      <c r="AD5874">
        <v>-1.107834091892</v>
      </c>
      <c r="AE5874">
        <v>-17.300349999999899</v>
      </c>
      <c r="AF5874">
        <v>1.87310761876494</v>
      </c>
      <c r="AG5874">
        <v>-1.107834091892</v>
      </c>
      <c r="AH5874">
        <v>17.1291688927835</v>
      </c>
      <c r="AI5874">
        <v>93.678599814735705</v>
      </c>
      <c r="AJ5874">
        <v>83.759392038568606</v>
      </c>
      <c r="AK5874">
        <v>17.2668542440172</v>
      </c>
      <c r="AL5874">
        <v>78.605589802472196</v>
      </c>
      <c r="AM5874">
        <v>83.436806861406595</v>
      </c>
      <c r="AN5874">
        <v>0.99999998109866395</v>
      </c>
    </row>
    <row r="5875" spans="1:40" x14ac:dyDescent="0.25">
      <c r="A5875" t="str">
        <f>"20190312173042983"</f>
        <v>20190312173042983</v>
      </c>
      <c r="B5875" t="str">
        <f>"1552383042973514"</f>
        <v>1552383042973514</v>
      </c>
      <c r="C5875" t="s">
        <v>40</v>
      </c>
      <c r="D5875">
        <v>3.575958</v>
      </c>
      <c r="E5875">
        <v>0.4963883</v>
      </c>
      <c r="F5875" t="s">
        <v>41</v>
      </c>
      <c r="G5875">
        <v>-300.70760000000001</v>
      </c>
      <c r="H5875" s="1">
        <v>-8.8835949999999998E-7</v>
      </c>
      <c r="I5875">
        <v>-28.778980000000001</v>
      </c>
      <c r="J5875">
        <v>-300.48230000000001</v>
      </c>
      <c r="K5875">
        <v>1.107869</v>
      </c>
      <c r="L5875">
        <v>-11.43454</v>
      </c>
      <c r="M5875">
        <v>8.7516339999999998E-2</v>
      </c>
      <c r="N5875">
        <v>0</v>
      </c>
      <c r="O5875">
        <v>-0.9960755</v>
      </c>
      <c r="P5875">
        <v>-1.8893509999999999E-2</v>
      </c>
      <c r="Q5875">
        <v>0.1870165</v>
      </c>
      <c r="R5875">
        <v>-0.98217520000000003</v>
      </c>
      <c r="S5875">
        <v>-3.414917E-2</v>
      </c>
      <c r="T5875">
        <v>-0.19278529999999999</v>
      </c>
      <c r="U5875">
        <v>-3.089172</v>
      </c>
      <c r="V5875">
        <v>0.1060035</v>
      </c>
      <c r="W5875">
        <v>0.1992652</v>
      </c>
      <c r="X5875">
        <v>0.97419540000000004</v>
      </c>
      <c r="Y5875">
        <v>9.8508399999999996E-2</v>
      </c>
      <c r="Z5875">
        <v>6.1773849999999998E-2</v>
      </c>
      <c r="AA5875">
        <v>0.99321709999999996</v>
      </c>
      <c r="AB5875">
        <v>22</v>
      </c>
      <c r="AC5875">
        <v>-0.225300000000004</v>
      </c>
      <c r="AD5875">
        <v>-1.1078698883595</v>
      </c>
      <c r="AE5875">
        <v>-17.344439999999999</v>
      </c>
      <c r="AF5875">
        <v>1.73541051910357</v>
      </c>
      <c r="AG5875">
        <v>-1.1078698883595</v>
      </c>
      <c r="AH5875">
        <v>17.188045179874901</v>
      </c>
      <c r="AI5875">
        <v>93.669341827627093</v>
      </c>
      <c r="AJ5875">
        <v>84.234604641338507</v>
      </c>
      <c r="AK5875">
        <v>17.3109191686857</v>
      </c>
      <c r="AL5875">
        <v>78.506007002583203</v>
      </c>
      <c r="AM5875">
        <v>83.790001555091905</v>
      </c>
      <c r="AN5875">
        <v>1.0000000196622201</v>
      </c>
    </row>
    <row r="5876" spans="1:40" x14ac:dyDescent="0.25">
      <c r="A5876" t="str">
        <f>"20190312173043009"</f>
        <v>20190312173043009</v>
      </c>
      <c r="B5876" t="str">
        <f>"1552383043003770"</f>
        <v>1552383043003770</v>
      </c>
      <c r="C5876" t="s">
        <v>40</v>
      </c>
      <c r="D5876">
        <v>3.6664340000000002</v>
      </c>
      <c r="E5876">
        <v>0.49568570000000001</v>
      </c>
      <c r="F5876" t="s">
        <v>41</v>
      </c>
      <c r="G5876">
        <v>-300.66239999999999</v>
      </c>
      <c r="H5876" s="1">
        <v>-5.4093539999999996E-7</v>
      </c>
      <c r="I5876">
        <v>-29.560770000000002</v>
      </c>
      <c r="J5876">
        <v>-300.46570000000003</v>
      </c>
      <c r="K5876">
        <v>1.1078779999999999</v>
      </c>
      <c r="L5876">
        <v>-11.68951</v>
      </c>
      <c r="M5876">
        <v>8.2658579999999995E-2</v>
      </c>
      <c r="N5876">
        <v>0</v>
      </c>
      <c r="O5876">
        <v>-0.99649010000000005</v>
      </c>
      <c r="P5876">
        <v>-2.140794E-2</v>
      </c>
      <c r="Q5876">
        <v>0.1877431</v>
      </c>
      <c r="R5876">
        <v>-0.9819852</v>
      </c>
      <c r="S5876">
        <v>-3.0700680000000001E-2</v>
      </c>
      <c r="T5876">
        <v>-0.1888485</v>
      </c>
      <c r="U5876">
        <v>-3.0898129999999999</v>
      </c>
      <c r="V5876">
        <v>0.10373010000000001</v>
      </c>
      <c r="W5876">
        <v>0.20001940000000001</v>
      </c>
      <c r="X5876">
        <v>0.97428550000000003</v>
      </c>
      <c r="Y5876">
        <v>9.2544689999999999E-2</v>
      </c>
      <c r="Z5876">
        <v>6.0560410000000002E-2</v>
      </c>
      <c r="AA5876">
        <v>0.99386509999999995</v>
      </c>
      <c r="AB5876">
        <v>22</v>
      </c>
      <c r="AC5876">
        <v>-0.19669999999996399</v>
      </c>
      <c r="AD5876">
        <v>-1.1078785409353999</v>
      </c>
      <c r="AE5876">
        <v>-17.871259999999999</v>
      </c>
      <c r="AF5876">
        <v>1.66696361866901</v>
      </c>
      <c r="AG5876">
        <v>-1.1078785409353999</v>
      </c>
      <c r="AH5876">
        <v>17.725719853970102</v>
      </c>
      <c r="AI5876">
        <v>93.560732095729605</v>
      </c>
      <c r="AJ5876">
        <v>84.627586086319795</v>
      </c>
      <c r="AK5876">
        <v>17.8383661502073</v>
      </c>
      <c r="AL5876">
        <v>78.461906093930494</v>
      </c>
      <c r="AM5876">
        <v>83.922734268202404</v>
      </c>
      <c r="AN5876">
        <v>0.99999996476630904</v>
      </c>
    </row>
    <row r="5877" spans="1:40" x14ac:dyDescent="0.25">
      <c r="A5877" t="str">
        <f>"20190312173043034"</f>
        <v>20190312173043034</v>
      </c>
      <c r="B5877" t="str">
        <f>"1552383043024267"</f>
        <v>1552383043024267</v>
      </c>
      <c r="C5877" t="s">
        <v>40</v>
      </c>
      <c r="D5877">
        <v>3.5938279999999998</v>
      </c>
      <c r="E5877">
        <v>0.49527100000000002</v>
      </c>
      <c r="F5877" t="s">
        <v>42</v>
      </c>
      <c r="G5877">
        <v>-300.47519999999997</v>
      </c>
      <c r="H5877">
        <v>1.052908</v>
      </c>
      <c r="I5877">
        <v>-12.58487</v>
      </c>
      <c r="J5877">
        <v>-300.45100000000002</v>
      </c>
      <c r="K5877">
        <v>1.10789</v>
      </c>
      <c r="L5877">
        <v>-11.933199999999999</v>
      </c>
      <c r="M5877">
        <v>7.8015680000000004E-2</v>
      </c>
      <c r="N5877">
        <v>0</v>
      </c>
      <c r="O5877">
        <v>-0.99686430000000004</v>
      </c>
      <c r="P5877">
        <v>-2.2798260000000001E-2</v>
      </c>
      <c r="Q5877">
        <v>0.18811410000000001</v>
      </c>
      <c r="R5877">
        <v>-0.9818827</v>
      </c>
      <c r="S5877">
        <v>-3.1829830000000003E-2</v>
      </c>
      <c r="T5877">
        <v>-0.1893735</v>
      </c>
      <c r="U5877">
        <v>-3.0905459999999998</v>
      </c>
      <c r="V5877">
        <v>0.1005552</v>
      </c>
      <c r="W5877">
        <v>0.20042299999999999</v>
      </c>
      <c r="X5877">
        <v>0.97453540000000005</v>
      </c>
      <c r="Y5877">
        <v>8.8266159999999996E-2</v>
      </c>
      <c r="Z5877">
        <v>6.0759880000000002E-2</v>
      </c>
      <c r="AA5877">
        <v>0.99424210000000002</v>
      </c>
      <c r="AB5877">
        <v>22</v>
      </c>
      <c r="AC5877">
        <v>-2.42000000000075E-2</v>
      </c>
      <c r="AD5877">
        <v>-5.4982000000000003E-2</v>
      </c>
      <c r="AE5877">
        <v>-0.65167000000000097</v>
      </c>
      <c r="AF5877">
        <v>7.4441977107049195E-2</v>
      </c>
      <c r="AG5877">
        <v>-5.4982000000000003E-2</v>
      </c>
      <c r="AH5877">
        <v>0.64322285672229496</v>
      </c>
      <c r="AI5877">
        <v>94.853466067306002</v>
      </c>
      <c r="AJ5877">
        <v>83.398369178019806</v>
      </c>
      <c r="AK5877">
        <v>0.64984634467664504</v>
      </c>
      <c r="AL5877">
        <v>78.438303837310599</v>
      </c>
      <c r="AM5877">
        <v>84.108914196947197</v>
      </c>
      <c r="AN5877">
        <v>0.99999998651459898</v>
      </c>
    </row>
    <row r="5878" spans="1:40" x14ac:dyDescent="0.25">
      <c r="A5878" t="str">
        <f>"20190312173043056"</f>
        <v>20190312173043056</v>
      </c>
      <c r="B5878" t="str">
        <f>"1552383043053547"</f>
        <v>1552383043053547</v>
      </c>
      <c r="C5878" t="s">
        <v>40</v>
      </c>
      <c r="D5878">
        <v>3.6586289999999999</v>
      </c>
      <c r="E5878">
        <v>0.4946062</v>
      </c>
      <c r="F5878" t="s">
        <v>41</v>
      </c>
      <c r="G5878">
        <v>-300.64510000000001</v>
      </c>
      <c r="H5878" s="1">
        <v>-3.5545989999999999E-7</v>
      </c>
      <c r="I5878">
        <v>-29.982410000000002</v>
      </c>
      <c r="J5878">
        <v>-300.43849999999998</v>
      </c>
      <c r="K5878">
        <v>1.107904</v>
      </c>
      <c r="L5878">
        <v>-12.157870000000001</v>
      </c>
      <c r="M5878">
        <v>7.3734540000000001E-2</v>
      </c>
      <c r="N5878">
        <v>0</v>
      </c>
      <c r="O5878">
        <v>-0.99719009999999997</v>
      </c>
      <c r="P5878">
        <v>-2.3758359999999999E-2</v>
      </c>
      <c r="Q5878">
        <v>0.18792700000000001</v>
      </c>
      <c r="R5878">
        <v>-0.98189579999999999</v>
      </c>
      <c r="S5878">
        <v>-3.3233640000000002E-2</v>
      </c>
      <c r="T5878">
        <v>-0.18972710000000001</v>
      </c>
      <c r="U5878">
        <v>-3.0909420000000001</v>
      </c>
      <c r="V5878">
        <v>9.7313120000000003E-2</v>
      </c>
      <c r="W5878">
        <v>0.2002689</v>
      </c>
      <c r="X5878">
        <v>0.97489619999999999</v>
      </c>
      <c r="Y5878">
        <v>8.4438540000000006E-2</v>
      </c>
      <c r="Z5878">
        <v>6.0905069999999999E-2</v>
      </c>
      <c r="AA5878">
        <v>0.99456560000000005</v>
      </c>
      <c r="AB5878">
        <v>22</v>
      </c>
      <c r="AC5878">
        <v>-0.206600000000037</v>
      </c>
      <c r="AD5878">
        <v>-1.1079043554599</v>
      </c>
      <c r="AE5878">
        <v>-17.824539999999999</v>
      </c>
      <c r="AF5878">
        <v>1.5145862269291099</v>
      </c>
      <c r="AG5878">
        <v>-1.1079043554599</v>
      </c>
      <c r="AH5878">
        <v>17.692433008080201</v>
      </c>
      <c r="AI5878">
        <v>93.570172515332004</v>
      </c>
      <c r="AJ5878">
        <v>85.107041569074596</v>
      </c>
      <c r="AK5878">
        <v>17.7916724690248</v>
      </c>
      <c r="AL5878">
        <v>78.447316438698607</v>
      </c>
      <c r="AM5878">
        <v>84.299677451989695</v>
      </c>
      <c r="AN5878">
        <v>1.00000003820289</v>
      </c>
    </row>
    <row r="5879" spans="1:40" x14ac:dyDescent="0.25">
      <c r="A5879" t="str">
        <f>"20190312173043076"</f>
        <v>20190312173043076</v>
      </c>
      <c r="B5879" t="str">
        <f>"1552383043073066"</f>
        <v>1552383043073066</v>
      </c>
      <c r="C5879" t="s">
        <v>40</v>
      </c>
      <c r="D5879">
        <v>3.6477020000000002</v>
      </c>
      <c r="E5879">
        <v>0.49426130000000001</v>
      </c>
      <c r="F5879" t="s">
        <v>41</v>
      </c>
      <c r="G5879">
        <v>-300.62049999999999</v>
      </c>
      <c r="H5879" s="1">
        <v>-3.216009E-7</v>
      </c>
      <c r="I5879">
        <v>-30.046099999999999</v>
      </c>
      <c r="J5879">
        <v>-300.42790000000002</v>
      </c>
      <c r="K5879">
        <v>1.107915</v>
      </c>
      <c r="L5879">
        <v>-12.36096</v>
      </c>
      <c r="M5879">
        <v>6.9863679999999997E-2</v>
      </c>
      <c r="N5879">
        <v>0</v>
      </c>
      <c r="O5879">
        <v>-0.99746869999999999</v>
      </c>
      <c r="P5879">
        <v>-2.448618E-2</v>
      </c>
      <c r="Q5879">
        <v>0.1882518</v>
      </c>
      <c r="R5879">
        <v>-0.98181580000000002</v>
      </c>
      <c r="S5879">
        <v>-3.1463619999999998E-2</v>
      </c>
      <c r="T5879">
        <v>-0.19145200000000001</v>
      </c>
      <c r="U5879">
        <v>-3.0911870000000001</v>
      </c>
      <c r="V5879">
        <v>9.4238649999999993E-2</v>
      </c>
      <c r="W5879">
        <v>0.20062160000000001</v>
      </c>
      <c r="X5879">
        <v>0.97512569999999998</v>
      </c>
      <c r="Y5879">
        <v>7.9999769999999998E-2</v>
      </c>
      <c r="Z5879">
        <v>6.1489200000000001E-2</v>
      </c>
      <c r="AA5879">
        <v>0.99489649999999996</v>
      </c>
      <c r="AB5879">
        <v>22</v>
      </c>
      <c r="AC5879">
        <v>-0.19259999999996999</v>
      </c>
      <c r="AD5879">
        <v>-1.1079153216008999</v>
      </c>
      <c r="AE5879">
        <v>-17.685139999999901</v>
      </c>
      <c r="AF5879">
        <v>1.42220561917485</v>
      </c>
      <c r="AG5879">
        <v>-1.1079153216008999</v>
      </c>
      <c r="AH5879">
        <v>17.559556519754999</v>
      </c>
      <c r="AI5879">
        <v>93.598522957352003</v>
      </c>
      <c r="AJ5879">
        <v>85.369535870705406</v>
      </c>
      <c r="AK5879">
        <v>17.6518602519259</v>
      </c>
      <c r="AL5879">
        <v>78.426689617271904</v>
      </c>
      <c r="AM5879">
        <v>84.479931660575303</v>
      </c>
      <c r="AN5879">
        <v>1.0000000401704301</v>
      </c>
    </row>
    <row r="5880" spans="1:40" x14ac:dyDescent="0.25">
      <c r="A5880" t="str">
        <f>"20190312173043116"</f>
        <v>20190312173043116</v>
      </c>
      <c r="B5880" t="str">
        <f>"1552383043103618"</f>
        <v>1552383043103618</v>
      </c>
      <c r="C5880" t="s">
        <v>40</v>
      </c>
      <c r="D5880">
        <v>3.611497</v>
      </c>
      <c r="E5880">
        <v>0.49386819999999998</v>
      </c>
      <c r="F5880" t="s">
        <v>41</v>
      </c>
      <c r="G5880">
        <v>-300.61</v>
      </c>
      <c r="H5880" s="1">
        <v>-2.4727550000000001E-7</v>
      </c>
      <c r="I5880">
        <v>-30.212800000000001</v>
      </c>
      <c r="J5880">
        <v>-300.41070000000002</v>
      </c>
      <c r="K5880">
        <v>1.1079429999999999</v>
      </c>
      <c r="L5880">
        <v>-12.736269999999999</v>
      </c>
      <c r="M5880">
        <v>6.2707120000000005E-2</v>
      </c>
      <c r="N5880">
        <v>0</v>
      </c>
      <c r="O5880">
        <v>-0.99794419999999995</v>
      </c>
      <c r="P5880">
        <v>-2.6553529999999999E-2</v>
      </c>
      <c r="Q5880">
        <v>0.1901265</v>
      </c>
      <c r="R5880">
        <v>-0.98140050000000001</v>
      </c>
      <c r="S5880">
        <v>-3.1524660000000003E-2</v>
      </c>
      <c r="T5880">
        <v>-0.19186700000000001</v>
      </c>
      <c r="U5880">
        <v>-3.0915530000000002</v>
      </c>
      <c r="V5880">
        <v>8.9267689999999997E-2</v>
      </c>
      <c r="W5880">
        <v>0.20253599999999999</v>
      </c>
      <c r="X5880">
        <v>0.97519769999999995</v>
      </c>
      <c r="Y5880">
        <v>7.2866189999999997E-2</v>
      </c>
      <c r="Z5880">
        <v>6.1675779999999999E-2</v>
      </c>
      <c r="AA5880">
        <v>0.99543289999999995</v>
      </c>
      <c r="AB5880">
        <v>22</v>
      </c>
      <c r="AC5880">
        <v>-0.19929999999999301</v>
      </c>
      <c r="AD5880">
        <v>-1.1079432472755</v>
      </c>
      <c r="AE5880">
        <v>-17.47653</v>
      </c>
      <c r="AF5880">
        <v>1.28972377106008</v>
      </c>
      <c r="AG5880">
        <v>-1.1079432472755</v>
      </c>
      <c r="AH5880">
        <v>17.3598697368441</v>
      </c>
      <c r="AI5880">
        <v>93.641774356251304</v>
      </c>
      <c r="AJ5880">
        <v>85.751107447374906</v>
      </c>
      <c r="AK5880">
        <v>17.4429356166047</v>
      </c>
      <c r="AL5880">
        <v>78.314703900841906</v>
      </c>
      <c r="AM5880">
        <v>84.769832144303805</v>
      </c>
      <c r="AN5880">
        <v>1.00000005292961</v>
      </c>
    </row>
    <row r="5881" spans="1:40" x14ac:dyDescent="0.25">
      <c r="A5881" t="str">
        <f>"20190312173043138"</f>
        <v>20190312173043138</v>
      </c>
      <c r="B5881" t="str">
        <f>"1552383043133872"</f>
        <v>1552383043133872</v>
      </c>
      <c r="C5881" t="s">
        <v>40</v>
      </c>
      <c r="D5881">
        <v>3.6051479999999998</v>
      </c>
      <c r="E5881">
        <v>0.49347059999999998</v>
      </c>
      <c r="F5881" t="s">
        <v>41</v>
      </c>
      <c r="G5881">
        <v>-300.6087</v>
      </c>
      <c r="H5881" s="1">
        <v>-4.1871080000000003E-6</v>
      </c>
      <c r="I5881">
        <v>-31.02647</v>
      </c>
      <c r="J5881">
        <v>-300.40159999999997</v>
      </c>
      <c r="K5881">
        <v>1.107958</v>
      </c>
      <c r="L5881">
        <v>-12.961029999999999</v>
      </c>
      <c r="M5881">
        <v>5.841884E-2</v>
      </c>
      <c r="N5881">
        <v>0</v>
      </c>
      <c r="O5881">
        <v>-0.99820419999999999</v>
      </c>
      <c r="P5881">
        <v>-2.8499190000000001E-2</v>
      </c>
      <c r="Q5881">
        <v>0.19059029999999999</v>
      </c>
      <c r="R5881">
        <v>-0.98125609999999996</v>
      </c>
      <c r="S5881">
        <v>-3.3477779999999999E-2</v>
      </c>
      <c r="T5881">
        <v>-0.18731639999999999</v>
      </c>
      <c r="U5881">
        <v>-3.0922550000000002</v>
      </c>
      <c r="V5881">
        <v>8.6999859999999998E-2</v>
      </c>
      <c r="W5881">
        <v>0.2030197</v>
      </c>
      <c r="X5881">
        <v>0.975302</v>
      </c>
      <c r="Y5881">
        <v>6.9207939999999996E-2</v>
      </c>
      <c r="Z5881">
        <v>6.0236049999999999E-2</v>
      </c>
      <c r="AA5881">
        <v>0.99578199999999994</v>
      </c>
      <c r="AB5881">
        <v>22</v>
      </c>
      <c r="AC5881">
        <v>-0.20710000000002499</v>
      </c>
      <c r="AD5881">
        <v>-1.1079621871080001</v>
      </c>
      <c r="AE5881">
        <v>-18.065439999999999</v>
      </c>
      <c r="AF5881">
        <v>1.2574717056384499</v>
      </c>
      <c r="AG5881">
        <v>-1.1079621871080001</v>
      </c>
      <c r="AH5881">
        <v>17.954954712057798</v>
      </c>
      <c r="AI5881">
        <v>93.522517227137101</v>
      </c>
      <c r="AJ5881">
        <v>85.993842755687396</v>
      </c>
      <c r="AK5881">
        <v>18.0330034661614</v>
      </c>
      <c r="AL5881">
        <v>78.286401119844598</v>
      </c>
      <c r="AM5881">
        <v>84.902536730875795</v>
      </c>
      <c r="AN5881">
        <v>0.99999998271605395</v>
      </c>
    </row>
    <row r="5882" spans="1:40" x14ac:dyDescent="0.25">
      <c r="A5882" t="str">
        <f>"20190312173043163"</f>
        <v>20190312173043163</v>
      </c>
      <c r="B5882" t="str">
        <f>"1552383043153391"</f>
        <v>1552383043153391</v>
      </c>
      <c r="C5882" t="s">
        <v>40</v>
      </c>
      <c r="D5882">
        <v>3.6473719999999998</v>
      </c>
      <c r="E5882">
        <v>0.49321280000000001</v>
      </c>
      <c r="F5882" t="s">
        <v>41</v>
      </c>
      <c r="G5882">
        <v>-300.61689999999999</v>
      </c>
      <c r="H5882" s="1">
        <v>-4.1041409999999999E-6</v>
      </c>
      <c r="I5882">
        <v>-31.226669999999999</v>
      </c>
      <c r="J5882">
        <v>-300.3929</v>
      </c>
      <c r="K5882">
        <v>1.1079699999999999</v>
      </c>
      <c r="L5882">
        <v>-13.199129999999901</v>
      </c>
      <c r="M5882">
        <v>5.3874440000000003E-2</v>
      </c>
      <c r="N5882">
        <v>0</v>
      </c>
      <c r="O5882">
        <v>-0.99845980000000001</v>
      </c>
      <c r="P5882">
        <v>-3.0698320000000001E-2</v>
      </c>
      <c r="Q5882">
        <v>0.19164980000000001</v>
      </c>
      <c r="R5882">
        <v>-0.98098320000000006</v>
      </c>
      <c r="S5882">
        <v>-3.6468510000000003E-2</v>
      </c>
      <c r="T5882">
        <v>-0.18759670000000001</v>
      </c>
      <c r="U5882">
        <v>-3.0926819999999999</v>
      </c>
      <c r="V5882">
        <v>8.473253E-2</v>
      </c>
      <c r="W5882">
        <v>0.20409630000000001</v>
      </c>
      <c r="X5882">
        <v>0.9752769</v>
      </c>
      <c r="Y5882">
        <v>6.562772E-2</v>
      </c>
      <c r="Z5882">
        <v>6.0347739999999997E-2</v>
      </c>
      <c r="AA5882">
        <v>0.99601759999999995</v>
      </c>
      <c r="AB5882">
        <v>22</v>
      </c>
      <c r="AC5882">
        <v>-0.22399999999998901</v>
      </c>
      <c r="AD5882">
        <v>-1.1079741041410001</v>
      </c>
      <c r="AE5882">
        <v>-18.027539999999998</v>
      </c>
      <c r="AF5882">
        <v>1.19048734158011</v>
      </c>
      <c r="AG5882">
        <v>-1.1079741041410001</v>
      </c>
      <c r="AH5882">
        <v>17.9215998314728</v>
      </c>
      <c r="AI5882">
        <v>93.529956993183305</v>
      </c>
      <c r="AJ5882">
        <v>86.199567133303901</v>
      </c>
      <c r="AK5882">
        <v>17.995238460363701</v>
      </c>
      <c r="AL5882">
        <v>78.223397168553703</v>
      </c>
      <c r="AM5882">
        <v>85.034583194420406</v>
      </c>
      <c r="AN5882">
        <v>0.999999966493749</v>
      </c>
    </row>
    <row r="5883" spans="1:40" x14ac:dyDescent="0.25">
      <c r="A5883" t="str">
        <f>"20190312173043184"</f>
        <v>20190312173043184</v>
      </c>
      <c r="B5883" t="str">
        <f>"1552383043173888"</f>
        <v>1552383043173888</v>
      </c>
      <c r="C5883" t="s">
        <v>40</v>
      </c>
      <c r="D5883">
        <v>3.6377950000000001</v>
      </c>
      <c r="E5883">
        <v>0.49298530000000002</v>
      </c>
      <c r="F5883" t="s">
        <v>41</v>
      </c>
      <c r="G5883">
        <v>-300.64339999999999</v>
      </c>
      <c r="H5883" s="1">
        <v>-3.8705459999999996E-6</v>
      </c>
      <c r="I5883">
        <v>-31.787610000000001</v>
      </c>
      <c r="J5883">
        <v>-300.38639999999998</v>
      </c>
      <c r="K5883">
        <v>1.1079810000000001</v>
      </c>
      <c r="L5883">
        <v>-13.405609999999999</v>
      </c>
      <c r="M5883">
        <v>4.9933379999999999E-2</v>
      </c>
      <c r="N5883">
        <v>0</v>
      </c>
      <c r="O5883">
        <v>-0.99866469999999896</v>
      </c>
      <c r="P5883">
        <v>-3.2234619999999999E-2</v>
      </c>
      <c r="Q5883">
        <v>0.19213269999999999</v>
      </c>
      <c r="R5883">
        <v>-0.98083960000000003</v>
      </c>
      <c r="S5883">
        <v>-4.1687009999999997E-2</v>
      </c>
      <c r="T5883">
        <v>-0.1843514</v>
      </c>
      <c r="U5883">
        <v>-3.0928650000000002</v>
      </c>
      <c r="V5883">
        <v>8.2400390000000004E-2</v>
      </c>
      <c r="W5883">
        <v>0.2045971</v>
      </c>
      <c r="X5883">
        <v>0.97537180000000001</v>
      </c>
      <c r="Y5883">
        <v>6.3369770000000006E-2</v>
      </c>
      <c r="Z5883">
        <v>5.9325999999999997E-2</v>
      </c>
      <c r="AA5883">
        <v>0.99622520000000003</v>
      </c>
      <c r="AB5883">
        <v>22</v>
      </c>
      <c r="AC5883">
        <v>-0.257000000000005</v>
      </c>
      <c r="AD5883">
        <v>-1.10798487054599</v>
      </c>
      <c r="AE5883">
        <v>-18.382000000000001</v>
      </c>
      <c r="AF5883">
        <v>1.17038394512188</v>
      </c>
      <c r="AG5883">
        <v>-1.10798487054599</v>
      </c>
      <c r="AH5883">
        <v>18.279831148573301</v>
      </c>
      <c r="AI5883">
        <v>93.4615220933876</v>
      </c>
      <c r="AJ5883">
        <v>86.336582449247103</v>
      </c>
      <c r="AK5883">
        <v>18.350739927117601</v>
      </c>
      <c r="AL5883">
        <v>78.194084987427004</v>
      </c>
      <c r="AM5883">
        <v>85.171061286355098</v>
      </c>
      <c r="AN5883">
        <v>0.99999997291789999</v>
      </c>
    </row>
    <row r="5884" spans="1:40" x14ac:dyDescent="0.25">
      <c r="A5884" t="str">
        <f>"20190312173043208"</f>
        <v>20190312173043208</v>
      </c>
      <c r="B5884" t="str">
        <f>"1552383043203168"</f>
        <v>1552383043203168</v>
      </c>
      <c r="C5884" t="s">
        <v>40</v>
      </c>
      <c r="D5884">
        <v>3.6653370000000001</v>
      </c>
      <c r="E5884">
        <v>0.4925581</v>
      </c>
      <c r="F5884" t="s">
        <v>42</v>
      </c>
      <c r="G5884">
        <v>-300.3999</v>
      </c>
      <c r="H5884">
        <v>1.0526310000000001</v>
      </c>
      <c r="I5884">
        <v>-14.339230000000001</v>
      </c>
      <c r="J5884">
        <v>-300.38010000000003</v>
      </c>
      <c r="K5884">
        <v>1.107988</v>
      </c>
      <c r="L5884">
        <v>-13.6360799999999</v>
      </c>
      <c r="M5884">
        <v>4.553393E-2</v>
      </c>
      <c r="N5884">
        <v>0</v>
      </c>
      <c r="O5884">
        <v>-0.99887479999999995</v>
      </c>
      <c r="P5884">
        <v>-3.417626E-2</v>
      </c>
      <c r="Q5884">
        <v>0.19184080000000001</v>
      </c>
      <c r="R5884">
        <v>-0.98083089999999995</v>
      </c>
      <c r="S5884">
        <v>-4.4647220000000001E-2</v>
      </c>
      <c r="T5884">
        <v>-0.1833186</v>
      </c>
      <c r="U5884">
        <v>-3.093048</v>
      </c>
      <c r="V5884">
        <v>8.0025109999999997E-2</v>
      </c>
      <c r="W5884">
        <v>0.20432600000000001</v>
      </c>
      <c r="X5884">
        <v>0.9756264</v>
      </c>
      <c r="Y5884">
        <v>5.9926170000000001E-2</v>
      </c>
      <c r="Z5884">
        <v>5.9015869999999998E-2</v>
      </c>
      <c r="AA5884">
        <v>0.99645669999999997</v>
      </c>
      <c r="AB5884">
        <v>22</v>
      </c>
      <c r="AC5884">
        <v>-1.9799999999975101E-2</v>
      </c>
      <c r="AD5884">
        <v>-5.5357000000000101E-2</v>
      </c>
      <c r="AE5884">
        <v>-0.70315000000000005</v>
      </c>
      <c r="AF5884">
        <v>5.14806347893665E-2</v>
      </c>
      <c r="AG5884">
        <v>-5.5357000000000101E-2</v>
      </c>
      <c r="AH5884">
        <v>0.69720110389381895</v>
      </c>
      <c r="AI5884">
        <v>94.527424113953202</v>
      </c>
      <c r="AJ5884">
        <v>85.7770004830505</v>
      </c>
      <c r="AK5884">
        <v>0.70128741075116696</v>
      </c>
      <c r="AL5884">
        <v>78.209953446994405</v>
      </c>
      <c r="AM5884">
        <v>85.310848980584296</v>
      </c>
      <c r="AN5884">
        <v>1.0000000024417299</v>
      </c>
    </row>
    <row r="5885" spans="1:40" x14ac:dyDescent="0.25">
      <c r="A5885" t="str">
        <f>"20190312173043235"</f>
        <v>20190312173043235</v>
      </c>
      <c r="B5885" t="str">
        <f>"1552383043223663"</f>
        <v>1552383043223663</v>
      </c>
      <c r="C5885" t="s">
        <v>40</v>
      </c>
      <c r="D5885">
        <v>3.6129389999999999</v>
      </c>
      <c r="E5885">
        <v>0.49232500000000001</v>
      </c>
      <c r="F5885" t="s">
        <v>41</v>
      </c>
      <c r="G5885">
        <v>-300.66320000000002</v>
      </c>
      <c r="H5885" s="1">
        <v>-3.758995E-6</v>
      </c>
      <c r="I5885">
        <v>-32.059939999999997</v>
      </c>
      <c r="J5885">
        <v>-300.3741</v>
      </c>
      <c r="K5885">
        <v>1.1079730000000001</v>
      </c>
      <c r="L5885">
        <v>-13.90311</v>
      </c>
      <c r="M5885">
        <v>4.0414520000000002E-2</v>
      </c>
      <c r="N5885">
        <v>0</v>
      </c>
      <c r="O5885">
        <v>-0.99909680000000001</v>
      </c>
      <c r="P5885">
        <v>-3.7095830000000003E-2</v>
      </c>
      <c r="Q5885">
        <v>0.19173109999999999</v>
      </c>
      <c r="R5885">
        <v>-0.98074640000000002</v>
      </c>
      <c r="S5885">
        <v>-4.7546390000000001E-2</v>
      </c>
      <c r="T5885">
        <v>-0.1860311</v>
      </c>
      <c r="U5885">
        <v>-3.093353</v>
      </c>
      <c r="V5885">
        <v>7.7913109999999994E-2</v>
      </c>
      <c r="W5885">
        <v>0.20411779999999999</v>
      </c>
      <c r="X5885">
        <v>0.97584090000000001</v>
      </c>
      <c r="Y5885">
        <v>5.574167E-2</v>
      </c>
      <c r="Z5885">
        <v>5.9906769999999998E-2</v>
      </c>
      <c r="AA5885">
        <v>0.99664640000000004</v>
      </c>
      <c r="AB5885">
        <v>22</v>
      </c>
      <c r="AC5885">
        <v>-0.28910000000001901</v>
      </c>
      <c r="AD5885">
        <v>-1.10797675899499</v>
      </c>
      <c r="AE5885">
        <v>-18.156829999999999</v>
      </c>
      <c r="AF5885">
        <v>1.0189332432181399</v>
      </c>
      <c r="AG5885">
        <v>-1.10797675899499</v>
      </c>
      <c r="AH5885">
        <v>18.0630630647412</v>
      </c>
      <c r="AI5885">
        <v>93.504531224995006</v>
      </c>
      <c r="AJ5885">
        <v>86.771379878838005</v>
      </c>
      <c r="AK5885">
        <v>18.125674738707598</v>
      </c>
      <c r="AL5885">
        <v>78.222139166324695</v>
      </c>
      <c r="AM5885">
        <v>85.435072799965496</v>
      </c>
      <c r="AN5885">
        <v>0.99999999554976005</v>
      </c>
    </row>
    <row r="5886" spans="1:40" x14ac:dyDescent="0.25">
      <c r="A5886" t="str">
        <f>"20190312173043259"</f>
        <v>20190312173043259</v>
      </c>
      <c r="B5886" t="str">
        <f>"1552383043253920"</f>
        <v>1552383043253920</v>
      </c>
      <c r="C5886" t="s">
        <v>40</v>
      </c>
      <c r="D5886">
        <v>3.5604290000000001</v>
      </c>
      <c r="E5886">
        <v>0.49197550000000001</v>
      </c>
      <c r="F5886" t="s">
        <v>41</v>
      </c>
      <c r="G5886">
        <v>-300.7047</v>
      </c>
      <c r="H5886" s="1">
        <v>-3.6947820000000001E-6</v>
      </c>
      <c r="I5886">
        <v>-32.235309999999998</v>
      </c>
      <c r="J5886">
        <v>-300.3698</v>
      </c>
      <c r="K5886">
        <v>1.1079220000000001</v>
      </c>
      <c r="L5886">
        <v>-14.13715</v>
      </c>
      <c r="M5886">
        <v>3.5925119999999998E-2</v>
      </c>
      <c r="N5886">
        <v>0</v>
      </c>
      <c r="O5886">
        <v>-0.99927160000000004</v>
      </c>
      <c r="P5886">
        <v>-3.9488570000000001E-2</v>
      </c>
      <c r="Q5886">
        <v>0.19230720000000001</v>
      </c>
      <c r="R5886">
        <v>-0.98054019999999997</v>
      </c>
      <c r="S5886">
        <v>-5.5786130000000003E-2</v>
      </c>
      <c r="T5886">
        <v>-0.18695690000000001</v>
      </c>
      <c r="U5886">
        <v>-3.0933229999999998</v>
      </c>
      <c r="V5886">
        <v>7.5895560000000001E-2</v>
      </c>
      <c r="W5886">
        <v>0.20445199999999999</v>
      </c>
      <c r="X5886">
        <v>0.97592990000000002</v>
      </c>
      <c r="Y5886">
        <v>5.3909260000000001E-2</v>
      </c>
      <c r="Z5886">
        <v>6.0221619999999997E-2</v>
      </c>
      <c r="AA5886">
        <v>0.99672819999999995</v>
      </c>
      <c r="AB5886">
        <v>22</v>
      </c>
      <c r="AC5886">
        <v>-0.33490000000000397</v>
      </c>
      <c r="AD5886">
        <v>-1.10792569478199</v>
      </c>
      <c r="AE5886">
        <v>-18.09816</v>
      </c>
      <c r="AF5886">
        <v>0.98124018013154302</v>
      </c>
      <c r="AG5886">
        <v>-1.10792569478199</v>
      </c>
      <c r="AH5886">
        <v>18.0069833565869</v>
      </c>
      <c r="AI5886">
        <v>93.515628275554207</v>
      </c>
      <c r="AJ5886">
        <v>86.880911623996298</v>
      </c>
      <c r="AK5886">
        <v>18.067699943287199</v>
      </c>
      <c r="AL5886">
        <v>78.202578019887696</v>
      </c>
      <c r="AM5886">
        <v>85.553204480047199</v>
      </c>
      <c r="AN5886">
        <v>0.99999996302286098</v>
      </c>
    </row>
    <row r="5887" spans="1:40" x14ac:dyDescent="0.25">
      <c r="A5887" t="str">
        <f>"20190312173043280"</f>
        <v>20190312173043280</v>
      </c>
      <c r="B5887" t="str">
        <f>"1552383043273441"</f>
        <v>1552383043273441</v>
      </c>
      <c r="C5887" t="s">
        <v>40</v>
      </c>
      <c r="D5887">
        <v>3.5361519999999902</v>
      </c>
      <c r="E5887">
        <v>0.49172080000000001</v>
      </c>
      <c r="F5887" t="s">
        <v>41</v>
      </c>
      <c r="G5887">
        <v>-300.73039999999997</v>
      </c>
      <c r="H5887" s="1">
        <v>-3.5702090000000002E-6</v>
      </c>
      <c r="I5887">
        <v>-32.541649999999997</v>
      </c>
      <c r="J5887">
        <v>-300.36709999999999</v>
      </c>
      <c r="K5887">
        <v>1.1079289999999999</v>
      </c>
      <c r="L5887">
        <v>-14.3363</v>
      </c>
      <c r="M5887">
        <v>3.2147040000000002E-2</v>
      </c>
      <c r="N5887">
        <v>0</v>
      </c>
      <c r="O5887">
        <v>-0.99940209999999996</v>
      </c>
      <c r="P5887">
        <v>-4.1099320000000002E-2</v>
      </c>
      <c r="Q5887">
        <v>0.193275</v>
      </c>
      <c r="R5887">
        <v>-0.98028380000000004</v>
      </c>
      <c r="S5887">
        <v>-6.0607910000000001E-2</v>
      </c>
      <c r="T5887">
        <v>-0.18623210000000001</v>
      </c>
      <c r="U5887">
        <v>-3.0936279999999998</v>
      </c>
      <c r="V5887">
        <v>7.3790649999999999E-2</v>
      </c>
      <c r="W5887">
        <v>0.20530519999999999</v>
      </c>
      <c r="X5887">
        <v>0.97591229999999995</v>
      </c>
      <c r="Y5887">
        <v>5.1685460000000003E-2</v>
      </c>
      <c r="Z5887">
        <v>5.9997340000000003E-2</v>
      </c>
      <c r="AA5887">
        <v>0.99685959999999996</v>
      </c>
      <c r="AB5887">
        <v>22</v>
      </c>
      <c r="AC5887">
        <v>-0.36329999999998103</v>
      </c>
      <c r="AD5887">
        <v>-1.1079325702089999</v>
      </c>
      <c r="AE5887">
        <v>-18.205349999999999</v>
      </c>
      <c r="AF5887">
        <v>0.94490951642591403</v>
      </c>
      <c r="AG5887">
        <v>-1.1079325702089999</v>
      </c>
      <c r="AH5887">
        <v>18.117186281329499</v>
      </c>
      <c r="AI5887">
        <v>93.494751376743693</v>
      </c>
      <c r="AJ5887">
        <v>87.014419528586899</v>
      </c>
      <c r="AK5887">
        <v>18.1756102325824</v>
      </c>
      <c r="AL5887">
        <v>78.152634870451095</v>
      </c>
      <c r="AM5887">
        <v>85.675981186926293</v>
      </c>
      <c r="AN5887">
        <v>1.0000000512328699</v>
      </c>
    </row>
    <row r="5888" spans="1:40" x14ac:dyDescent="0.25">
      <c r="A5888" t="str">
        <f>"20190312173043299"</f>
        <v>20190312173043299</v>
      </c>
      <c r="B5888" t="str">
        <f>"1552383043293936"</f>
        <v>1552383043293936</v>
      </c>
      <c r="C5888" t="s">
        <v>40</v>
      </c>
      <c r="D5888">
        <v>3.5051239999999999</v>
      </c>
      <c r="E5888">
        <v>0.49146050000000002</v>
      </c>
      <c r="F5888" t="s">
        <v>41</v>
      </c>
      <c r="G5888">
        <v>-300.75619999999998</v>
      </c>
      <c r="H5888" s="1">
        <v>-3.3861890000000002E-6</v>
      </c>
      <c r="I5888">
        <v>-32.986609999999999</v>
      </c>
      <c r="J5888">
        <v>-300.36509999999998</v>
      </c>
      <c r="K5888">
        <v>1.1079840000000001</v>
      </c>
      <c r="L5888">
        <v>-14.53262</v>
      </c>
      <c r="M5888">
        <v>2.8445560000000002E-2</v>
      </c>
      <c r="N5888">
        <v>0</v>
      </c>
      <c r="O5888">
        <v>-0.99951460000000003</v>
      </c>
      <c r="P5888">
        <v>-4.2762099999999997E-2</v>
      </c>
      <c r="Q5888">
        <v>0.19371479999999999</v>
      </c>
      <c r="R5888">
        <v>-0.98012569999999999</v>
      </c>
      <c r="S5888">
        <v>-6.4544679999999993E-2</v>
      </c>
      <c r="T5888">
        <v>-0.18379329999999999</v>
      </c>
      <c r="U5888">
        <v>-3.0938720000000002</v>
      </c>
      <c r="V5888">
        <v>7.180665E-2</v>
      </c>
      <c r="W5888">
        <v>0.20572979999999999</v>
      </c>
      <c r="X5888">
        <v>0.97597080000000003</v>
      </c>
      <c r="Y5888">
        <v>4.9254149999999997E-2</v>
      </c>
      <c r="Z5888">
        <v>5.9222650000000002E-2</v>
      </c>
      <c r="AA5888">
        <v>0.9970289</v>
      </c>
      <c r="AB5888">
        <v>22</v>
      </c>
      <c r="AC5888">
        <v>-0.39109999999999401</v>
      </c>
      <c r="AD5888">
        <v>-1.1079873861889999</v>
      </c>
      <c r="AE5888">
        <v>-18.453990000000001</v>
      </c>
      <c r="AF5888">
        <v>0.912629733597215</v>
      </c>
      <c r="AG5888">
        <v>-1.1079873861889999</v>
      </c>
      <c r="AH5888">
        <v>18.369206514222501</v>
      </c>
      <c r="AI5888">
        <v>93.447522823634898</v>
      </c>
      <c r="AJ5888">
        <v>87.155736030901195</v>
      </c>
      <c r="AK5888">
        <v>18.425207652581701</v>
      </c>
      <c r="AL5888">
        <v>78.127775511624904</v>
      </c>
      <c r="AM5888">
        <v>85.792068489736195</v>
      </c>
      <c r="AN5888">
        <v>0.99999997402245</v>
      </c>
    </row>
    <row r="5889" spans="1:40" x14ac:dyDescent="0.25">
      <c r="A5889" t="str">
        <f>"20190312173043321"</f>
        <v>20190312173043321</v>
      </c>
      <c r="B5889" t="str">
        <f>"1552383043313456"</f>
        <v>1552383043313456</v>
      </c>
      <c r="C5889" t="s">
        <v>40</v>
      </c>
      <c r="D5889">
        <v>3.5038770000000001</v>
      </c>
      <c r="E5889">
        <v>0.49119200000000002</v>
      </c>
      <c r="F5889" t="s">
        <v>41</v>
      </c>
      <c r="G5889">
        <v>-300.77679999999998</v>
      </c>
      <c r="H5889" s="1">
        <v>-3.2684369999999999E-6</v>
      </c>
      <c r="I5889">
        <v>-33.273850000000003</v>
      </c>
      <c r="J5889">
        <v>-300.36369999999999</v>
      </c>
      <c r="K5889">
        <v>1.1080449999999999</v>
      </c>
      <c r="L5889">
        <v>-14.737550000000001</v>
      </c>
      <c r="M5889">
        <v>2.4592570000000001E-2</v>
      </c>
      <c r="N5889">
        <v>0</v>
      </c>
      <c r="O5889">
        <v>-0.99961699999999998</v>
      </c>
      <c r="P5889">
        <v>-4.4598529999999997E-2</v>
      </c>
      <c r="Q5889">
        <v>0.194825</v>
      </c>
      <c r="R5889">
        <v>-0.97982360000000002</v>
      </c>
      <c r="S5889">
        <v>-6.7962649999999999E-2</v>
      </c>
      <c r="T5889">
        <v>-0.18291969999999999</v>
      </c>
      <c r="U5889">
        <v>-3.0940249999999998</v>
      </c>
      <c r="V5889">
        <v>6.9845149999999995E-2</v>
      </c>
      <c r="W5889">
        <v>0.20683840000000001</v>
      </c>
      <c r="X5889">
        <v>0.97587880000000005</v>
      </c>
      <c r="Y5889">
        <v>4.6504240000000002E-2</v>
      </c>
      <c r="Z5889">
        <v>5.8951499999999997E-2</v>
      </c>
      <c r="AA5889">
        <v>0.99717710000000004</v>
      </c>
      <c r="AB5889">
        <v>22</v>
      </c>
      <c r="AC5889">
        <v>-0.41309999999998498</v>
      </c>
      <c r="AD5889">
        <v>-1.1080482684370001</v>
      </c>
      <c r="AE5889">
        <v>-18.536300000000001</v>
      </c>
      <c r="AF5889">
        <v>0.86577485993046799</v>
      </c>
      <c r="AG5889">
        <v>-1.1080482684370001</v>
      </c>
      <c r="AH5889">
        <v>18.454621480727699</v>
      </c>
      <c r="AI5889">
        <v>93.432249520636006</v>
      </c>
      <c r="AJ5889">
        <v>87.314011478966606</v>
      </c>
      <c r="AK5889">
        <v>18.5081168969242</v>
      </c>
      <c r="AL5889">
        <v>78.062860952807299</v>
      </c>
      <c r="AM5889">
        <v>85.906233304766701</v>
      </c>
      <c r="AN5889">
        <v>0.99999995049126</v>
      </c>
    </row>
    <row r="5890" spans="1:40" x14ac:dyDescent="0.25">
      <c r="A5890" t="str">
        <f>"20190312173043344"</f>
        <v>20190312173043344</v>
      </c>
      <c r="B5890" t="str">
        <f>"1552383043333952"</f>
        <v>1552383043333952</v>
      </c>
      <c r="C5890" t="s">
        <v>40</v>
      </c>
      <c r="D5890">
        <v>3.471104</v>
      </c>
      <c r="E5890">
        <v>0.49092479999999999</v>
      </c>
      <c r="F5890" t="s">
        <v>41</v>
      </c>
      <c r="G5890">
        <v>-300.8048</v>
      </c>
      <c r="H5890" s="1">
        <v>-3.0521840000000002E-6</v>
      </c>
      <c r="I5890">
        <v>-33.795349999999999</v>
      </c>
      <c r="J5890">
        <v>-300.363</v>
      </c>
      <c r="K5890">
        <v>1.1080950000000001</v>
      </c>
      <c r="L5890">
        <v>-14.95984</v>
      </c>
      <c r="M5890">
        <v>2.04593E-2</v>
      </c>
      <c r="N5890">
        <v>0</v>
      </c>
      <c r="O5890">
        <v>-0.99971089999999996</v>
      </c>
      <c r="P5890">
        <v>-4.624619E-2</v>
      </c>
      <c r="Q5890">
        <v>0.1961813</v>
      </c>
      <c r="R5890">
        <v>-0.97947680000000004</v>
      </c>
      <c r="S5890">
        <v>-7.1624759999999996E-2</v>
      </c>
      <c r="T5890">
        <v>-0.17990699999999901</v>
      </c>
      <c r="U5890">
        <v>-3.0942989999999999</v>
      </c>
      <c r="V5890">
        <v>6.7422640000000006E-2</v>
      </c>
      <c r="W5890">
        <v>0.20815990000000001</v>
      </c>
      <c r="X5890">
        <v>0.97576830000000003</v>
      </c>
      <c r="Y5890">
        <v>4.3552769999999998E-2</v>
      </c>
      <c r="Z5890">
        <v>5.7989899999999997E-2</v>
      </c>
      <c r="AA5890">
        <v>0.99736670000000005</v>
      </c>
      <c r="AB5890">
        <v>22</v>
      </c>
      <c r="AC5890">
        <v>-0.44180000000000003</v>
      </c>
      <c r="AD5890">
        <v>-1.108098052184</v>
      </c>
      <c r="AE5890">
        <v>-18.835509999999999</v>
      </c>
      <c r="AF5890">
        <v>0.82424844766465699</v>
      </c>
      <c r="AG5890">
        <v>-1.108098052184</v>
      </c>
      <c r="AH5890">
        <v>18.757642700421201</v>
      </c>
      <c r="AI5890">
        <v>93.377537760109007</v>
      </c>
      <c r="AJ5890">
        <v>87.483927109430397</v>
      </c>
      <c r="AK5890">
        <v>18.808413714968001</v>
      </c>
      <c r="AL5890">
        <v>77.985461358562702</v>
      </c>
      <c r="AM5890">
        <v>86.047317391448203</v>
      </c>
      <c r="AN5890">
        <v>1.00000006581873</v>
      </c>
    </row>
    <row r="5891" spans="1:40" x14ac:dyDescent="0.25">
      <c r="A5891" t="str">
        <f>"20190312173043371"</f>
        <v>20190312173043371</v>
      </c>
      <c r="B5891" t="str">
        <f>"1552383043364209"</f>
        <v>1552383043364209</v>
      </c>
      <c r="C5891" t="s">
        <v>40</v>
      </c>
      <c r="D5891">
        <v>3.449125</v>
      </c>
      <c r="E5891">
        <v>0.4905525</v>
      </c>
      <c r="F5891" t="s">
        <v>41</v>
      </c>
      <c r="G5891">
        <v>-300.83429999999998</v>
      </c>
      <c r="H5891" s="1">
        <v>-2.7898380000000002E-6</v>
      </c>
      <c r="I5891">
        <v>-34.425130000000003</v>
      </c>
      <c r="J5891">
        <v>-300.36340000000001</v>
      </c>
      <c r="K5891">
        <v>1.1081399999999999</v>
      </c>
      <c r="L5891">
        <v>-15.21805</v>
      </c>
      <c r="M5891">
        <v>1.5789879999999999E-2</v>
      </c>
      <c r="N5891">
        <v>0</v>
      </c>
      <c r="O5891">
        <v>-0.99979660000000004</v>
      </c>
      <c r="P5891">
        <v>-4.8260999999999998E-2</v>
      </c>
      <c r="Q5891">
        <v>0.19737560000000001</v>
      </c>
      <c r="R5891">
        <v>-0.97913989999999995</v>
      </c>
      <c r="S5891">
        <v>-7.4920650000000005E-2</v>
      </c>
      <c r="T5891">
        <v>-0.17616609999999999</v>
      </c>
      <c r="U5891">
        <v>-3.0946039999999999</v>
      </c>
      <c r="V5891">
        <v>6.4843960000000006E-2</v>
      </c>
      <c r="W5891">
        <v>0.20930289999999999</v>
      </c>
      <c r="X5891">
        <v>0.97569850000000002</v>
      </c>
      <c r="Y5891">
        <v>3.9947400000000001E-2</v>
      </c>
      <c r="Z5891">
        <v>5.6793219999999998E-2</v>
      </c>
      <c r="AA5891">
        <v>0.99758639999999998</v>
      </c>
      <c r="AB5891">
        <v>22</v>
      </c>
      <c r="AC5891">
        <v>-0.47089999999997101</v>
      </c>
      <c r="AD5891">
        <v>-1.1081427898380001</v>
      </c>
      <c r="AE5891">
        <v>-19.207080000000001</v>
      </c>
      <c r="AF5891">
        <v>0.77157588261822696</v>
      </c>
      <c r="AG5891">
        <v>-1.1081427898380001</v>
      </c>
      <c r="AH5891">
        <v>19.133598192126001</v>
      </c>
      <c r="AI5891">
        <v>93.311957750413001</v>
      </c>
      <c r="AJ5891">
        <v>87.690758350713907</v>
      </c>
      <c r="AK5891">
        <v>19.1811858226501</v>
      </c>
      <c r="AL5891">
        <v>77.918496494840497</v>
      </c>
      <c r="AM5891">
        <v>86.197770321716007</v>
      </c>
      <c r="AN5891">
        <v>1.0000000029995699</v>
      </c>
    </row>
    <row r="5892" spans="1:40" x14ac:dyDescent="0.25">
      <c r="A5892" t="str">
        <f>"20190312173043392"</f>
        <v>20190312173043392</v>
      </c>
      <c r="B5892" t="str">
        <f>"1552383043383728"</f>
        <v>1552383043383728</v>
      </c>
      <c r="C5892" t="s">
        <v>40</v>
      </c>
      <c r="D5892">
        <v>3.426914</v>
      </c>
      <c r="E5892">
        <v>0.49040909999999899</v>
      </c>
      <c r="F5892" t="s">
        <v>41</v>
      </c>
      <c r="G5892">
        <v>-300.86509999999998</v>
      </c>
      <c r="H5892" s="1">
        <v>-2.5222039999999999E-6</v>
      </c>
      <c r="I5892">
        <v>-35.068100000000001</v>
      </c>
      <c r="J5892">
        <v>-300.36450000000002</v>
      </c>
      <c r="K5892">
        <v>1.1081749999999999</v>
      </c>
      <c r="L5892">
        <v>-15.431340000000001</v>
      </c>
      <c r="M5892">
        <v>1.2014449999999999E-2</v>
      </c>
      <c r="N5892">
        <v>0</v>
      </c>
      <c r="O5892">
        <v>-0.9998494</v>
      </c>
      <c r="P5892">
        <v>-4.9560920000000001E-2</v>
      </c>
      <c r="Q5892">
        <v>0.1975016</v>
      </c>
      <c r="R5892">
        <v>-0.97904910000000001</v>
      </c>
      <c r="S5892">
        <v>-7.8216549999999996E-2</v>
      </c>
      <c r="T5892">
        <v>-0.1727737</v>
      </c>
      <c r="U5892">
        <v>-3.0948790000000002</v>
      </c>
      <c r="V5892">
        <v>6.2429640000000002E-2</v>
      </c>
      <c r="W5892">
        <v>0.2094125</v>
      </c>
      <c r="X5892">
        <v>0.97583249999999999</v>
      </c>
      <c r="Y5892">
        <v>3.7235320000000002E-2</v>
      </c>
      <c r="Z5892">
        <v>5.5704660000000003E-2</v>
      </c>
      <c r="AA5892">
        <v>0.99775270000000005</v>
      </c>
      <c r="AB5892">
        <v>22</v>
      </c>
      <c r="AC5892">
        <v>-0.50059999999996296</v>
      </c>
      <c r="AD5892">
        <v>-1.108177522204</v>
      </c>
      <c r="AE5892">
        <v>-19.636759999999999</v>
      </c>
      <c r="AF5892">
        <v>0.73417058549641201</v>
      </c>
      <c r="AG5892">
        <v>-1.108177522204</v>
      </c>
      <c r="AH5892">
        <v>19.567051347912201</v>
      </c>
      <c r="AI5892">
        <v>93.239202199819204</v>
      </c>
      <c r="AJ5892">
        <v>87.851226934729297</v>
      </c>
      <c r="AK5892">
        <v>19.612153434061199</v>
      </c>
      <c r="AL5892">
        <v>77.912075280593598</v>
      </c>
      <c r="AM5892">
        <v>86.339446781619998</v>
      </c>
      <c r="AN5892">
        <v>1.0000000615815099</v>
      </c>
    </row>
    <row r="5893" spans="1:40" x14ac:dyDescent="0.25">
      <c r="A5893" t="str">
        <f>"20190312173043413"</f>
        <v>20190312173043413</v>
      </c>
      <c r="B5893" t="str">
        <f>"1552383043403248"</f>
        <v>1552383043403248</v>
      </c>
      <c r="C5893" t="s">
        <v>40</v>
      </c>
      <c r="D5893">
        <v>3.504515</v>
      </c>
      <c r="E5893">
        <v>0.47857129999999998</v>
      </c>
      <c r="F5893" t="s">
        <v>41</v>
      </c>
      <c r="G5893">
        <v>-300.88350000000003</v>
      </c>
      <c r="H5893" s="1">
        <v>-2.421392E-6</v>
      </c>
      <c r="I5893">
        <v>-35.314489999999999</v>
      </c>
      <c r="J5893">
        <v>-300.36630000000002</v>
      </c>
      <c r="K5893">
        <v>1.10822</v>
      </c>
      <c r="L5893">
        <v>-15.64307</v>
      </c>
      <c r="M5893">
        <v>8.328116E-3</v>
      </c>
      <c r="N5893">
        <v>0</v>
      </c>
      <c r="O5893">
        <v>-0.99988730000000003</v>
      </c>
      <c r="P5893">
        <v>-5.0069349999999999E-2</v>
      </c>
      <c r="Q5893">
        <v>0.1980362</v>
      </c>
      <c r="R5893">
        <v>-0.97891530000000004</v>
      </c>
      <c r="S5893">
        <v>-8.0780030000000003E-2</v>
      </c>
      <c r="T5893">
        <v>-0.17249320000000001</v>
      </c>
      <c r="U5893">
        <v>-3.09491</v>
      </c>
      <c r="V5893">
        <v>5.9311019999999999E-2</v>
      </c>
      <c r="W5893">
        <v>0.20994679999999999</v>
      </c>
      <c r="X5893">
        <v>0.97591220000000001</v>
      </c>
      <c r="Y5893">
        <v>3.4376669999999998E-2</v>
      </c>
      <c r="Z5893">
        <v>5.5619340000000003E-2</v>
      </c>
      <c r="AA5893">
        <v>0.99786010000000003</v>
      </c>
      <c r="AB5893">
        <v>22</v>
      </c>
      <c r="AC5893">
        <v>-0.51720000000000199</v>
      </c>
      <c r="AD5893">
        <v>-1.108222421392</v>
      </c>
      <c r="AE5893">
        <v>-19.671420000000001</v>
      </c>
      <c r="AF5893">
        <v>0.67886759511429895</v>
      </c>
      <c r="AG5893">
        <v>-1.108222421392</v>
      </c>
      <c r="AH5893">
        <v>19.604252654086999</v>
      </c>
      <c r="AI5893">
        <v>93.233535406162702</v>
      </c>
      <c r="AJ5893">
        <v>88.016720526251603</v>
      </c>
      <c r="AK5893">
        <v>19.647283279686501</v>
      </c>
      <c r="AL5893">
        <v>77.880765871874104</v>
      </c>
      <c r="AM5893">
        <v>86.522129320046005</v>
      </c>
      <c r="AN5893">
        <v>1.00000003901625</v>
      </c>
    </row>
    <row r="5894" spans="1:40" x14ac:dyDescent="0.25">
      <c r="A5894" t="str">
        <f>"20190312173043437"</f>
        <v>20190312173043437</v>
      </c>
      <c r="B5894" t="str">
        <f>"1552383043433504"</f>
        <v>1552383043433504</v>
      </c>
      <c r="C5894" t="s">
        <v>40</v>
      </c>
      <c r="D5894">
        <v>3.4806170000000001</v>
      </c>
      <c r="E5894">
        <v>0.47856169999999998</v>
      </c>
      <c r="F5894" t="s">
        <v>41</v>
      </c>
      <c r="G5894">
        <v>-300.30650000000003</v>
      </c>
      <c r="H5894" s="1">
        <v>-3.0134759999999998E-6</v>
      </c>
      <c r="I5894">
        <v>-33.57649</v>
      </c>
      <c r="J5894">
        <v>-300.3689</v>
      </c>
      <c r="K5894">
        <v>1.1082809999999901</v>
      </c>
      <c r="L5894">
        <v>-15.86496</v>
      </c>
      <c r="M5894">
        <v>4.5332000000000003E-3</v>
      </c>
      <c r="N5894">
        <v>0</v>
      </c>
      <c r="O5894">
        <v>-0.99991180000000002</v>
      </c>
      <c r="P5894">
        <v>-5.0723850000000001E-2</v>
      </c>
      <c r="Q5894">
        <v>0.19913529999999999</v>
      </c>
      <c r="R5894">
        <v>-0.97865840000000004</v>
      </c>
      <c r="S5894">
        <v>1.0345460000000001E-2</v>
      </c>
      <c r="T5894">
        <v>-0.19181290000000001</v>
      </c>
      <c r="U5894">
        <v>-3.1039430000000001</v>
      </c>
      <c r="V5894">
        <v>5.6229460000000002E-2</v>
      </c>
      <c r="W5894">
        <v>0.2110464</v>
      </c>
      <c r="X5894">
        <v>0.97585739999999999</v>
      </c>
      <c r="Y5894">
        <v>1.2069209999999999E-3</v>
      </c>
      <c r="Z5894">
        <v>6.1677719999999998E-2</v>
      </c>
      <c r="AA5894">
        <v>0.99809539999999997</v>
      </c>
      <c r="AB5894">
        <v>22</v>
      </c>
      <c r="AC5894">
        <v>6.2399999999968203E-2</v>
      </c>
      <c r="AD5894">
        <v>-1.1082840134759999</v>
      </c>
      <c r="AE5894">
        <v>-17.71153</v>
      </c>
      <c r="AF5894">
        <v>1.7827004856964999E-2</v>
      </c>
      <c r="AG5894">
        <v>-1.1082840134759999</v>
      </c>
      <c r="AH5894">
        <v>17.6425518872529</v>
      </c>
      <c r="AI5894">
        <v>93.594527246582302</v>
      </c>
      <c r="AJ5894">
        <v>89.942105212524496</v>
      </c>
      <c r="AK5894">
        <v>17.677337139711899</v>
      </c>
      <c r="AL5894">
        <v>77.816319002674902</v>
      </c>
      <c r="AM5894">
        <v>86.702230952374904</v>
      </c>
      <c r="AN5894">
        <v>1.0000000001297999</v>
      </c>
    </row>
    <row r="5895" spans="1:40" x14ac:dyDescent="0.25">
      <c r="A5895" t="str">
        <f>"20190312173043474"</f>
        <v>20190312173043474</v>
      </c>
      <c r="B5895" t="str">
        <f>"1552383043463760"</f>
        <v>1552383043463760</v>
      </c>
      <c r="C5895" t="s">
        <v>40</v>
      </c>
      <c r="D5895">
        <v>3.4757120000000001</v>
      </c>
      <c r="E5895">
        <v>0.4785258</v>
      </c>
      <c r="F5895" t="s">
        <v>41</v>
      </c>
      <c r="G5895">
        <v>-300.32740000000001</v>
      </c>
      <c r="H5895" s="1">
        <v>-2.777144E-6</v>
      </c>
      <c r="I5895">
        <v>-34.140369999999997</v>
      </c>
      <c r="J5895">
        <v>-300.37490000000003</v>
      </c>
      <c r="K5895">
        <v>1.1084039999999999</v>
      </c>
      <c r="L5895">
        <v>-16.229029999999899</v>
      </c>
      <c r="M5895">
        <v>-1.4786840000000001E-3</v>
      </c>
      <c r="N5895">
        <v>0</v>
      </c>
      <c r="O5895">
        <v>-0.99992150000000002</v>
      </c>
      <c r="P5895">
        <v>-4.9987669999999998E-2</v>
      </c>
      <c r="Q5895">
        <v>0.1999369</v>
      </c>
      <c r="R5895">
        <v>-0.97853290000000004</v>
      </c>
      <c r="S5895">
        <v>7.0495610000000002E-3</v>
      </c>
      <c r="T5895">
        <v>-0.1882432</v>
      </c>
      <c r="U5895">
        <v>-3.104095</v>
      </c>
      <c r="V5895">
        <v>4.9555269999999998E-2</v>
      </c>
      <c r="W5895">
        <v>0.2118611</v>
      </c>
      <c r="X5895">
        <v>0.97604259999999998</v>
      </c>
      <c r="Y5895">
        <v>-3.7456730000000001E-3</v>
      </c>
      <c r="Z5895">
        <v>6.0531889999999998E-2</v>
      </c>
      <c r="AA5895">
        <v>0.99815920000000002</v>
      </c>
      <c r="AB5895">
        <v>22</v>
      </c>
      <c r="AC5895">
        <v>4.7500000000013601E-2</v>
      </c>
      <c r="AD5895">
        <v>-1.108406777144</v>
      </c>
      <c r="AE5895">
        <v>-17.911339999999999</v>
      </c>
      <c r="AF5895">
        <v>-7.3704958999074699E-2</v>
      </c>
      <c r="AG5895">
        <v>-1.108406777144</v>
      </c>
      <c r="AH5895">
        <v>17.842921168181601</v>
      </c>
      <c r="AI5895">
        <v>93.554630375200006</v>
      </c>
      <c r="AJ5895">
        <v>90.236674198188396</v>
      </c>
      <c r="AK5895">
        <v>17.877467209270499</v>
      </c>
      <c r="AL5895">
        <v>77.768560252845703</v>
      </c>
      <c r="AM5895">
        <v>87.093495809297295</v>
      </c>
      <c r="AN5895">
        <v>1.0000000037463701</v>
      </c>
    </row>
    <row r="5896" spans="1:40" x14ac:dyDescent="0.25">
      <c r="A5896" t="str">
        <f>"20190312173043498"</f>
        <v>20190312173043498</v>
      </c>
      <c r="B5896" t="str">
        <f>"1552383043494016"</f>
        <v>1552383043494016</v>
      </c>
      <c r="C5896" t="s">
        <v>40</v>
      </c>
      <c r="D5896">
        <v>3.4274789999999999</v>
      </c>
      <c r="E5896">
        <v>0.47848600000000002</v>
      </c>
      <c r="F5896" t="s">
        <v>41</v>
      </c>
      <c r="G5896">
        <v>-300.33850000000001</v>
      </c>
      <c r="H5896" s="1">
        <v>-2.71355E-6</v>
      </c>
      <c r="I5896">
        <v>-34.295479999999998</v>
      </c>
      <c r="J5896">
        <v>-300.37979999999999</v>
      </c>
      <c r="K5896">
        <v>1.1085</v>
      </c>
      <c r="L5896">
        <v>-16.46884</v>
      </c>
      <c r="M5896">
        <v>-5.2742020000000004E-3</v>
      </c>
      <c r="N5896">
        <v>0</v>
      </c>
      <c r="O5896">
        <v>-0.99990919999999905</v>
      </c>
      <c r="P5896">
        <v>-5.0179069999999999E-2</v>
      </c>
      <c r="Q5896">
        <v>0.20034109999999999</v>
      </c>
      <c r="R5896">
        <v>-0.97844089999999995</v>
      </c>
      <c r="S5896">
        <v>6.2561040000000002E-3</v>
      </c>
      <c r="T5896">
        <v>-0.19050149999999999</v>
      </c>
      <c r="U5896">
        <v>-3.1050719999999998</v>
      </c>
      <c r="V5896">
        <v>4.5988630000000003E-2</v>
      </c>
      <c r="W5896">
        <v>0.21227299999999999</v>
      </c>
      <c r="X5896">
        <v>0.97612770000000004</v>
      </c>
      <c r="Y5896">
        <v>-7.2855860000000001E-3</v>
      </c>
      <c r="Z5896">
        <v>6.1234410000000003E-2</v>
      </c>
      <c r="AA5896">
        <v>0.99809680000000001</v>
      </c>
      <c r="AB5896">
        <v>22</v>
      </c>
      <c r="AC5896">
        <v>4.1299999999978299E-2</v>
      </c>
      <c r="AD5896">
        <v>-1.1085027135500001</v>
      </c>
      <c r="AE5896">
        <v>-17.826639999999902</v>
      </c>
      <c r="AF5896">
        <v>-0.134806708532972</v>
      </c>
      <c r="AG5896">
        <v>-1.1085027135500001</v>
      </c>
      <c r="AH5896">
        <v>17.757512510112999</v>
      </c>
      <c r="AI5896">
        <v>93.571919076692396</v>
      </c>
      <c r="AJ5896">
        <v>90.434954336706596</v>
      </c>
      <c r="AK5896">
        <v>17.7925883912778</v>
      </c>
      <c r="AL5896">
        <v>77.744411218089994</v>
      </c>
      <c r="AM5896">
        <v>87.302599420303395</v>
      </c>
      <c r="AN5896">
        <v>1.0000000336627799</v>
      </c>
    </row>
    <row r="5897" spans="1:40" x14ac:dyDescent="0.25">
      <c r="A5897" t="str">
        <f>"20190312173043522"</f>
        <v>20190312173043522</v>
      </c>
      <c r="B5897" t="str">
        <f>"1552383043513536"</f>
        <v>1552383043513536</v>
      </c>
      <c r="C5897" t="s">
        <v>40</v>
      </c>
      <c r="D5897">
        <v>3.4474999999999998</v>
      </c>
      <c r="E5897">
        <v>0.47834759999999998</v>
      </c>
      <c r="F5897" t="s">
        <v>41</v>
      </c>
      <c r="G5897">
        <v>-300.35140000000001</v>
      </c>
      <c r="H5897" s="1">
        <v>-2.6361789999999999E-6</v>
      </c>
      <c r="I5897">
        <v>-34.483849999999997</v>
      </c>
      <c r="J5897">
        <v>-300.38510000000002</v>
      </c>
      <c r="K5897">
        <v>1.1085780000000001</v>
      </c>
      <c r="L5897">
        <v>-16.694890000000001</v>
      </c>
      <c r="M5897">
        <v>-8.7185739999999998E-3</v>
      </c>
      <c r="N5897">
        <v>0</v>
      </c>
      <c r="O5897">
        <v>-0.99988509999999997</v>
      </c>
      <c r="P5897">
        <v>-5.0439890000000001E-2</v>
      </c>
      <c r="Q5897">
        <v>0.20104379999999999</v>
      </c>
      <c r="R5897">
        <v>-0.97828300000000001</v>
      </c>
      <c r="S5897">
        <v>4.8828129999999997E-3</v>
      </c>
      <c r="T5897">
        <v>-0.19108810000000001</v>
      </c>
      <c r="U5897">
        <v>-3.105499</v>
      </c>
      <c r="V5897">
        <v>4.2842730000000002E-2</v>
      </c>
      <c r="W5897">
        <v>0.21298130000000001</v>
      </c>
      <c r="X5897">
        <v>0.97611650000000005</v>
      </c>
      <c r="Y5897">
        <v>-1.0288520000000001E-2</v>
      </c>
      <c r="Z5897">
        <v>6.1410840000000001E-2</v>
      </c>
      <c r="AA5897">
        <v>0.99805960000000005</v>
      </c>
      <c r="AB5897">
        <v>22</v>
      </c>
      <c r="AC5897">
        <v>3.3700000000010201E-2</v>
      </c>
      <c r="AD5897">
        <v>-1.108580636179</v>
      </c>
      <c r="AE5897">
        <v>-17.7889599999999</v>
      </c>
      <c r="AF5897">
        <v>-0.18807460696714401</v>
      </c>
      <c r="AG5897">
        <v>-1.108580636179</v>
      </c>
      <c r="AH5897">
        <v>17.719176161843301</v>
      </c>
      <c r="AI5897">
        <v>93.579779777879196</v>
      </c>
      <c r="AJ5897">
        <v>90.608125144655901</v>
      </c>
      <c r="AK5897">
        <v>17.754817006636099</v>
      </c>
      <c r="AL5897">
        <v>77.702878215648397</v>
      </c>
      <c r="AM5897">
        <v>87.486843870229194</v>
      </c>
      <c r="AN5897">
        <v>0.99999997761789605</v>
      </c>
    </row>
    <row r="5898" spans="1:40" x14ac:dyDescent="0.25">
      <c r="A5898" t="str">
        <f>"20190312173043542"</f>
        <v>20190312173043542</v>
      </c>
      <c r="B5898" t="str">
        <f>"1552383043534032"</f>
        <v>1552383043534032</v>
      </c>
      <c r="C5898" t="s">
        <v>40</v>
      </c>
      <c r="D5898">
        <v>3.4552499999999999</v>
      </c>
      <c r="E5898">
        <v>0.47814800000000002</v>
      </c>
      <c r="F5898" t="s">
        <v>41</v>
      </c>
      <c r="G5898">
        <v>-300.3553</v>
      </c>
      <c r="H5898" s="1">
        <v>-2.4870110000000002E-6</v>
      </c>
      <c r="I5898">
        <v>-34.833970000000001</v>
      </c>
      <c r="J5898">
        <v>-300.39030000000002</v>
      </c>
      <c r="K5898">
        <v>1.1089929999999999</v>
      </c>
      <c r="L5898">
        <v>-16.8963</v>
      </c>
      <c r="M5898">
        <v>-1.145934E-2</v>
      </c>
      <c r="N5898">
        <v>0</v>
      </c>
      <c r="O5898">
        <v>-0.9998456</v>
      </c>
      <c r="P5898">
        <v>-4.9466990000000002E-2</v>
      </c>
      <c r="Q5898">
        <v>0.20100879999999999</v>
      </c>
      <c r="R5898">
        <v>-0.97833990000000004</v>
      </c>
      <c r="S5898">
        <v>5.0964360000000002E-3</v>
      </c>
      <c r="T5898">
        <v>-0.18981680000000001</v>
      </c>
      <c r="U5898">
        <v>-3.1058650000000001</v>
      </c>
      <c r="V5898">
        <v>3.910748E-2</v>
      </c>
      <c r="W5898">
        <v>0.21389710000000001</v>
      </c>
      <c r="X5898">
        <v>0.97607310000000003</v>
      </c>
      <c r="Y5898">
        <v>-1.309808E-2</v>
      </c>
      <c r="Z5898">
        <v>6.0993119999999998E-2</v>
      </c>
      <c r="AA5898">
        <v>0.99805219999999994</v>
      </c>
      <c r="AB5898">
        <v>22</v>
      </c>
      <c r="AC5898">
        <v>3.5000000000024997E-2</v>
      </c>
      <c r="AD5898">
        <v>-1.1089954870109999</v>
      </c>
      <c r="AE5898">
        <v>-17.937670000000001</v>
      </c>
      <c r="AF5898">
        <v>-0.239653771131696</v>
      </c>
      <c r="AG5898">
        <v>-1.1089954870109999</v>
      </c>
      <c r="AH5898">
        <v>17.8677946436855</v>
      </c>
      <c r="AI5898">
        <v>93.551286841966999</v>
      </c>
      <c r="AJ5898">
        <v>90.768439899284402</v>
      </c>
      <c r="AK5898">
        <v>17.903781453903701</v>
      </c>
      <c r="AL5898">
        <v>77.649169745801998</v>
      </c>
      <c r="AM5898">
        <v>87.705606564520807</v>
      </c>
      <c r="AN5898">
        <v>1.00000003046198</v>
      </c>
    </row>
    <row r="5899" spans="1:40" x14ac:dyDescent="0.25">
      <c r="A5899" t="str">
        <f>"20190312173043568"</f>
        <v>20190312173043568</v>
      </c>
      <c r="B5899" t="str">
        <f>"1552383043563313"</f>
        <v>1552383043563313</v>
      </c>
      <c r="C5899" t="s">
        <v>40</v>
      </c>
      <c r="D5899">
        <v>3.3969130000000001</v>
      </c>
      <c r="E5899">
        <v>0.47809449999999998</v>
      </c>
      <c r="F5899" t="s">
        <v>41</v>
      </c>
      <c r="G5899">
        <v>-300.33800000000002</v>
      </c>
      <c r="H5899" s="1">
        <v>-2.4734419999999998E-6</v>
      </c>
      <c r="I5899">
        <v>-34.854880000000001</v>
      </c>
      <c r="J5899">
        <v>-300.3965</v>
      </c>
      <c r="K5899">
        <v>1.1096699999999999</v>
      </c>
      <c r="L5899">
        <v>-17.12491</v>
      </c>
      <c r="M5899">
        <v>-1.426301E-2</v>
      </c>
      <c r="N5899">
        <v>0</v>
      </c>
      <c r="O5899">
        <v>-0.99978440000000002</v>
      </c>
      <c r="P5899">
        <v>-4.8836339999999999E-2</v>
      </c>
      <c r="Q5899">
        <v>0.2002295</v>
      </c>
      <c r="R5899">
        <v>-0.9785315</v>
      </c>
      <c r="S5899">
        <v>9.0332030000000001E-3</v>
      </c>
      <c r="T5899">
        <v>-0.19182279999999999</v>
      </c>
      <c r="U5899">
        <v>-3.106293</v>
      </c>
      <c r="V5899">
        <v>3.5600560000000003E-2</v>
      </c>
      <c r="W5899">
        <v>0.2148803</v>
      </c>
      <c r="X5899">
        <v>0.97599130000000001</v>
      </c>
      <c r="Y5899">
        <v>-1.7166770000000001E-2</v>
      </c>
      <c r="Z5899">
        <v>6.1621479999999999E-2</v>
      </c>
      <c r="AA5899">
        <v>0.9979519</v>
      </c>
      <c r="AB5899">
        <v>22</v>
      </c>
      <c r="AC5899">
        <v>5.8500000000037702E-2</v>
      </c>
      <c r="AD5899">
        <v>-1.109672473442</v>
      </c>
      <c r="AE5899">
        <v>-17.729970000000002</v>
      </c>
      <c r="AF5899">
        <v>-0.31019052631132499</v>
      </c>
      <c r="AG5899">
        <v>-1.109672473442</v>
      </c>
      <c r="AH5899">
        <v>17.658162120053198</v>
      </c>
      <c r="AI5899">
        <v>93.595293994228996</v>
      </c>
      <c r="AJ5899">
        <v>91.006377681715193</v>
      </c>
      <c r="AK5899">
        <v>17.695713622767801</v>
      </c>
      <c r="AL5899">
        <v>77.591494887198806</v>
      </c>
      <c r="AM5899">
        <v>87.910987619368896</v>
      </c>
      <c r="AN5899">
        <v>0.99999998043804605</v>
      </c>
    </row>
    <row r="5900" spans="1:40" x14ac:dyDescent="0.25">
      <c r="A5900" t="str">
        <f>"20190312173043607"</f>
        <v>20190312173043607</v>
      </c>
      <c r="B5900" t="str">
        <f>"1552383043603934"</f>
        <v>1552383043603934</v>
      </c>
      <c r="C5900" t="s">
        <v>40</v>
      </c>
      <c r="D5900">
        <v>3.4323679999999999</v>
      </c>
      <c r="E5900">
        <v>0.47823450000000001</v>
      </c>
      <c r="F5900" t="s">
        <v>41</v>
      </c>
      <c r="G5900">
        <v>-300.33179999999999</v>
      </c>
      <c r="H5900" s="1">
        <v>-2.5833579999999998E-6</v>
      </c>
      <c r="I5900">
        <v>-34.594830000000002</v>
      </c>
      <c r="J5900">
        <v>-300.40710000000001</v>
      </c>
      <c r="K5900">
        <v>1.1105780000000001</v>
      </c>
      <c r="L5900">
        <v>-17.485900000000001</v>
      </c>
      <c r="M5900">
        <v>-1.8093629999999999E-2</v>
      </c>
      <c r="N5900">
        <v>0</v>
      </c>
      <c r="O5900">
        <v>-0.99966869999999997</v>
      </c>
      <c r="P5900">
        <v>-4.6277760000000001E-2</v>
      </c>
      <c r="Q5900">
        <v>0.19754569999999999</v>
      </c>
      <c r="R5900">
        <v>-0.97920070000000003</v>
      </c>
      <c r="S5900">
        <v>1.1505130000000001E-2</v>
      </c>
      <c r="T5900">
        <v>-0.19733980000000001</v>
      </c>
      <c r="U5900">
        <v>-3.1067809999999998</v>
      </c>
      <c r="V5900">
        <v>2.913313E-2</v>
      </c>
      <c r="W5900">
        <v>0.21537300000000001</v>
      </c>
      <c r="X5900">
        <v>0.9760972</v>
      </c>
      <c r="Y5900">
        <v>-2.1791689999999999E-2</v>
      </c>
      <c r="Z5900">
        <v>6.3367989999999999E-2</v>
      </c>
      <c r="AA5900">
        <v>0.99775230000000004</v>
      </c>
      <c r="AB5900">
        <v>21</v>
      </c>
      <c r="AC5900">
        <v>7.5300000000026998E-2</v>
      </c>
      <c r="AD5900">
        <v>-1.110580583358</v>
      </c>
      <c r="AE5900">
        <v>-17.108929999999901</v>
      </c>
      <c r="AF5900">
        <v>-0.38328720810359601</v>
      </c>
      <c r="AG5900">
        <v>-1.110580583358</v>
      </c>
      <c r="AH5900">
        <v>17.0329965632016</v>
      </c>
      <c r="AI5900">
        <v>93.729561121761407</v>
      </c>
      <c r="AJ5900">
        <v>91.289088133673005</v>
      </c>
      <c r="AK5900">
        <v>17.073466848829099</v>
      </c>
      <c r="AL5900">
        <v>77.562588769376703</v>
      </c>
      <c r="AM5900">
        <v>88.290426398147204</v>
      </c>
      <c r="AN5900">
        <v>1.0000000061202099</v>
      </c>
    </row>
    <row r="5901" spans="1:40" x14ac:dyDescent="0.25">
      <c r="A5901" t="str">
        <f>"20190312173043630"</f>
        <v>20190312173043630</v>
      </c>
      <c r="B5901" t="str">
        <f>"1552383043623455"</f>
        <v>1552383043623455</v>
      </c>
      <c r="C5901" t="s">
        <v>40</v>
      </c>
      <c r="D5901">
        <v>3.47018</v>
      </c>
      <c r="E5901">
        <v>0.4783309</v>
      </c>
      <c r="F5901" t="s">
        <v>41</v>
      </c>
      <c r="G5901">
        <v>-300.28489999999999</v>
      </c>
      <c r="H5901" s="1">
        <v>-2.735605E-6</v>
      </c>
      <c r="I5901">
        <v>-34.210819999999998</v>
      </c>
      <c r="J5901">
        <v>-300.41359999999997</v>
      </c>
      <c r="K5901">
        <v>1.1107089999999999</v>
      </c>
      <c r="L5901">
        <v>-17.690729999999999</v>
      </c>
      <c r="M5901">
        <v>-2.0421169999999999E-2</v>
      </c>
      <c r="N5901">
        <v>0</v>
      </c>
      <c r="O5901">
        <v>-0.99960150000000003</v>
      </c>
      <c r="P5901">
        <v>-4.592342E-2</v>
      </c>
      <c r="Q5901">
        <v>0.19615160000000001</v>
      </c>
      <c r="R5901">
        <v>-0.97949799999999998</v>
      </c>
      <c r="S5901">
        <v>2.2705079999999999E-2</v>
      </c>
      <c r="T5901">
        <v>-0.2062746</v>
      </c>
      <c r="U5901">
        <v>-3.1064150000000001</v>
      </c>
      <c r="V5901">
        <v>2.6476159999999999E-2</v>
      </c>
      <c r="W5901">
        <v>0.2151555</v>
      </c>
      <c r="X5901">
        <v>0.9762208</v>
      </c>
      <c r="Y5901">
        <v>-2.7715819999999999E-2</v>
      </c>
      <c r="Z5901">
        <v>6.6222550000000005E-2</v>
      </c>
      <c r="AA5901">
        <v>0.99741990000000003</v>
      </c>
      <c r="AB5901">
        <v>20</v>
      </c>
      <c r="AC5901">
        <v>0.12869999999998</v>
      </c>
      <c r="AD5901">
        <v>-1.110711735605</v>
      </c>
      <c r="AE5901">
        <v>-16.52009</v>
      </c>
      <c r="AF5901">
        <v>-0.46399946262306802</v>
      </c>
      <c r="AG5901">
        <v>-1.110711735605</v>
      </c>
      <c r="AH5901">
        <v>16.439705278171701</v>
      </c>
      <c r="AI5901">
        <v>93.863652582135202</v>
      </c>
      <c r="AJ5901">
        <v>91.616705072276304</v>
      </c>
      <c r="AK5901">
        <v>16.483715773273701</v>
      </c>
      <c r="AL5901">
        <v>77.575349231762104</v>
      </c>
      <c r="AM5901">
        <v>88.446457551376895</v>
      </c>
      <c r="AN5901">
        <v>0.99999996329061702</v>
      </c>
    </row>
    <row r="5902" spans="1:40" x14ac:dyDescent="0.25">
      <c r="A5902" t="str">
        <f>"20190312173043660"</f>
        <v>20190312173043660</v>
      </c>
      <c r="B5902" t="str">
        <f>"1552383043653711"</f>
        <v>1552383043653711</v>
      </c>
      <c r="C5902" t="s">
        <v>40</v>
      </c>
      <c r="D5902">
        <v>3.552022</v>
      </c>
      <c r="E5902">
        <v>0.47848980000000002</v>
      </c>
      <c r="F5902" t="s">
        <v>41</v>
      </c>
      <c r="G5902">
        <v>-300.2878</v>
      </c>
      <c r="H5902" s="1">
        <v>-2.8561839999999998E-6</v>
      </c>
      <c r="I5902">
        <v>-33.931519999999999</v>
      </c>
      <c r="J5902">
        <v>-300.423</v>
      </c>
      <c r="K5902">
        <v>1.110028</v>
      </c>
      <c r="L5902">
        <v>-17.958220000000001</v>
      </c>
      <c r="M5902">
        <v>-2.386245E-2</v>
      </c>
      <c r="N5902">
        <v>0</v>
      </c>
      <c r="O5902">
        <v>-0.99953919999999996</v>
      </c>
      <c r="P5902">
        <v>-4.6270690000000003E-2</v>
      </c>
      <c r="Q5902">
        <v>0.1959603</v>
      </c>
      <c r="R5902">
        <v>-0.97951999999999995</v>
      </c>
      <c r="S5902">
        <v>2.4078370000000002E-2</v>
      </c>
      <c r="T5902">
        <v>-0.2124529</v>
      </c>
      <c r="U5902">
        <v>-3.1064759999999998</v>
      </c>
      <c r="V5902">
        <v>2.3558140000000002E-2</v>
      </c>
      <c r="W5902">
        <v>0.21425340000000001</v>
      </c>
      <c r="X5902">
        <v>0.97649399999999997</v>
      </c>
      <c r="Y5902">
        <v>-3.1596470000000001E-2</v>
      </c>
      <c r="Z5902">
        <v>6.8183759999999996E-2</v>
      </c>
      <c r="AA5902">
        <v>0.99717230000000001</v>
      </c>
      <c r="AB5902">
        <v>20</v>
      </c>
      <c r="AC5902">
        <v>0.13519999999999699</v>
      </c>
      <c r="AD5902">
        <v>-1.110030856184</v>
      </c>
      <c r="AE5902">
        <v>-15.973299999999901</v>
      </c>
      <c r="AF5902">
        <v>-0.51390903392773202</v>
      </c>
      <c r="AG5902">
        <v>-1.110030856184</v>
      </c>
      <c r="AH5902">
        <v>15.8887975727739</v>
      </c>
      <c r="AI5902">
        <v>93.994250199196898</v>
      </c>
      <c r="AJ5902">
        <v>91.852535233531995</v>
      </c>
      <c r="AK5902">
        <v>15.9358137321386</v>
      </c>
      <c r="AL5902">
        <v>77.628270614776198</v>
      </c>
      <c r="AM5902">
        <v>88.617994358479095</v>
      </c>
      <c r="AN5902">
        <v>1.0000000187039</v>
      </c>
    </row>
    <row r="5903" spans="1:40" x14ac:dyDescent="0.25">
      <c r="A5903" t="str">
        <f>"20190312173043743"</f>
        <v>20190312173043743</v>
      </c>
      <c r="B5903" t="str">
        <f>"1552383043733743"</f>
        <v>1552383043733743</v>
      </c>
      <c r="C5903" t="s">
        <v>40</v>
      </c>
      <c r="D5903">
        <v>2.9906229999999998</v>
      </c>
      <c r="E5903">
        <v>0.47375459999999903</v>
      </c>
      <c r="F5903" t="s">
        <v>41</v>
      </c>
      <c r="G5903">
        <v>-300.31729999999999</v>
      </c>
      <c r="H5903" s="1">
        <v>-2.8560799999999999E-6</v>
      </c>
      <c r="I5903">
        <v>-33.950099999999999</v>
      </c>
      <c r="J5903">
        <v>-300.45499999999998</v>
      </c>
      <c r="K5903">
        <v>1.1095889999999999</v>
      </c>
      <c r="L5903">
        <v>-18.709810000000001</v>
      </c>
      <c r="M5903">
        <v>-3.279609E-2</v>
      </c>
      <c r="N5903">
        <v>0</v>
      </c>
      <c r="O5903">
        <v>-0.99931239999999999</v>
      </c>
      <c r="P5903">
        <v>-4.7150949999999997E-2</v>
      </c>
      <c r="Q5903">
        <v>0.1979399</v>
      </c>
      <c r="R5903">
        <v>-0.97907940000000004</v>
      </c>
      <c r="S5903">
        <v>2.053833E-2</v>
      </c>
      <c r="T5903">
        <v>-0.2156526</v>
      </c>
      <c r="U5903">
        <v>-3.1068419999999999</v>
      </c>
      <c r="V5903">
        <v>1.5656449999999999E-2</v>
      </c>
      <c r="W5903">
        <v>0.21481420000000001</v>
      </c>
      <c r="X5903">
        <v>0.97652939999999999</v>
      </c>
      <c r="Y5903">
        <v>-3.9391389999999998E-2</v>
      </c>
      <c r="Z5903">
        <v>6.9162050000000003E-2</v>
      </c>
      <c r="AA5903">
        <v>0.99682740000000003</v>
      </c>
      <c r="AB5903">
        <v>20</v>
      </c>
      <c r="AC5903">
        <v>0.13769999999999499</v>
      </c>
      <c r="AD5903">
        <v>-1.10959185608</v>
      </c>
      <c r="AE5903">
        <v>-15.2402899999999</v>
      </c>
      <c r="AF5903">
        <v>-0.63416132508178902</v>
      </c>
      <c r="AG5903">
        <v>-1.10959185608</v>
      </c>
      <c r="AH5903">
        <v>15.1472866101706</v>
      </c>
      <c r="AI5903">
        <v>94.185979565367205</v>
      </c>
      <c r="AJ5903">
        <v>92.397364070626494</v>
      </c>
      <c r="AK5903">
        <v>15.201106746680001</v>
      </c>
      <c r="AL5903">
        <v>77.595372524886102</v>
      </c>
      <c r="AM5903">
        <v>89.081469890002396</v>
      </c>
      <c r="AN5903">
        <v>0.99999996700630001</v>
      </c>
    </row>
    <row r="5904" spans="1:40" x14ac:dyDescent="0.25">
      <c r="A5904" t="str">
        <f>"20190312173043768"</f>
        <v>20190312173043768</v>
      </c>
      <c r="B5904" t="str">
        <f>"1552383043763999"</f>
        <v>1552383043763999</v>
      </c>
      <c r="C5904" t="s">
        <v>40</v>
      </c>
      <c r="D5904">
        <v>3.397723</v>
      </c>
      <c r="E5904">
        <v>0.47632449999999998</v>
      </c>
      <c r="F5904" t="s">
        <v>42</v>
      </c>
      <c r="G5904">
        <v>-300.44040000000001</v>
      </c>
      <c r="H5904">
        <v>1.0061070000000001</v>
      </c>
      <c r="I5904">
        <v>-19.604970000000002</v>
      </c>
      <c r="J5904">
        <v>-300.46550000000002</v>
      </c>
      <c r="K5904">
        <v>1.1095699999999999</v>
      </c>
      <c r="L5904">
        <v>-18.932950000000002</v>
      </c>
      <c r="M5904">
        <v>-3.5682310000000002E-2</v>
      </c>
      <c r="N5904">
        <v>0</v>
      </c>
      <c r="O5904">
        <v>-0.99922330000000004</v>
      </c>
      <c r="P5904">
        <v>-4.6884309999999998E-2</v>
      </c>
      <c r="Q5904">
        <v>0.19687009999999999</v>
      </c>
      <c r="R5904">
        <v>-0.97930779999999995</v>
      </c>
      <c r="S5904">
        <v>5.1574710000000003E-2</v>
      </c>
      <c r="T5904">
        <v>-0.36286040000000003</v>
      </c>
      <c r="U5904">
        <v>-3.1399539999999999</v>
      </c>
      <c r="V5904">
        <v>1.249366E-2</v>
      </c>
      <c r="W5904">
        <v>0.21320810000000001</v>
      </c>
      <c r="X5904">
        <v>0.97692690000000004</v>
      </c>
      <c r="Y5904">
        <v>-5.1986690000000002E-2</v>
      </c>
      <c r="Z5904">
        <v>0.1146035</v>
      </c>
      <c r="AA5904">
        <v>0.99205010000000005</v>
      </c>
      <c r="AB5904">
        <v>20</v>
      </c>
      <c r="AC5904">
        <v>2.5100000000009001E-2</v>
      </c>
      <c r="AD5904">
        <v>-0.103463</v>
      </c>
      <c r="AE5904">
        <v>-0.67201999999999895</v>
      </c>
      <c r="AF5904">
        <v>-4.7932033452932302E-2</v>
      </c>
      <c r="AG5904">
        <v>-0.103463</v>
      </c>
      <c r="AH5904">
        <v>0.65518780718395597</v>
      </c>
      <c r="AI5904">
        <v>98.950145412790704</v>
      </c>
      <c r="AJ5904">
        <v>94.184173474667901</v>
      </c>
      <c r="AK5904">
        <v>0.66503619065615804</v>
      </c>
      <c r="AL5904">
        <v>77.689578036738794</v>
      </c>
      <c r="AM5904">
        <v>89.267299357611094</v>
      </c>
      <c r="AN5904">
        <v>0.99999997669470697</v>
      </c>
    </row>
    <row r="5905" spans="1:40" x14ac:dyDescent="0.25">
      <c r="A5905" t="str">
        <f>"20190312173043792"</f>
        <v>20190312173043792</v>
      </c>
      <c r="B5905" t="str">
        <f>"1552383043784028"</f>
        <v>1552383043784028</v>
      </c>
      <c r="C5905" t="s">
        <v>40</v>
      </c>
      <c r="D5905">
        <v>3.40679</v>
      </c>
      <c r="E5905">
        <v>0.47679300000000002</v>
      </c>
      <c r="F5905" t="s">
        <v>41</v>
      </c>
      <c r="G5905">
        <v>-300.32080000000002</v>
      </c>
      <c r="H5905" s="1">
        <v>-3.3184799999999999E-6</v>
      </c>
      <c r="I5905">
        <v>-32.874389999999998</v>
      </c>
      <c r="J5905">
        <v>-300.47590000000002</v>
      </c>
      <c r="K5905">
        <v>1.1095159999999999</v>
      </c>
      <c r="L5905">
        <v>-19.146699999999999</v>
      </c>
      <c r="M5905">
        <v>-3.8220049999999998E-2</v>
      </c>
      <c r="N5905">
        <v>0</v>
      </c>
      <c r="O5905">
        <v>-0.99913750000000001</v>
      </c>
      <c r="P5905">
        <v>-4.7127280000000001E-2</v>
      </c>
      <c r="Q5905">
        <v>0.1967044</v>
      </c>
      <c r="R5905">
        <v>-0.97932960000000002</v>
      </c>
      <c r="S5905">
        <v>3.2318119999999999E-2</v>
      </c>
      <c r="T5905">
        <v>-0.24789929999999999</v>
      </c>
      <c r="U5905">
        <v>-3.1147770000000001</v>
      </c>
      <c r="V5905">
        <v>1.022958E-2</v>
      </c>
      <c r="W5905">
        <v>0.2125745</v>
      </c>
      <c r="X5905">
        <v>0.9770913</v>
      </c>
      <c r="Y5905">
        <v>-4.8557950000000002E-2</v>
      </c>
      <c r="Z5905">
        <v>7.9201450000000007E-2</v>
      </c>
      <c r="AA5905">
        <v>0.99567530000000004</v>
      </c>
      <c r="AB5905">
        <v>20</v>
      </c>
      <c r="AC5905">
        <v>0.15510000000000401</v>
      </c>
      <c r="AD5905">
        <v>-1.1095193184799901</v>
      </c>
      <c r="AE5905">
        <v>-13.727690000000001</v>
      </c>
      <c r="AF5905">
        <v>-0.67531787497335505</v>
      </c>
      <c r="AG5905">
        <v>-1.1095193184799901</v>
      </c>
      <c r="AH5905">
        <v>13.622750153462199</v>
      </c>
      <c r="AI5905">
        <v>94.650552277546097</v>
      </c>
      <c r="AJ5905">
        <v>92.837989015514793</v>
      </c>
      <c r="AK5905">
        <v>13.6845317455145</v>
      </c>
      <c r="AL5905">
        <v>77.726732483468695</v>
      </c>
      <c r="AM5905">
        <v>89.400168287989501</v>
      </c>
      <c r="AN5905">
        <v>0.99999998544645796</v>
      </c>
    </row>
    <row r="5906" spans="1:40" x14ac:dyDescent="0.25">
      <c r="A5906" t="str">
        <f>"20190312173043813"</f>
        <v>20190312173043813</v>
      </c>
      <c r="B5906" t="str">
        <f>"1552383043803547"</f>
        <v>1552383043803547</v>
      </c>
      <c r="C5906" t="s">
        <v>40</v>
      </c>
      <c r="D5906">
        <v>3.4247999999999998</v>
      </c>
      <c r="E5906">
        <v>0.47732429999999898</v>
      </c>
      <c r="F5906" t="s">
        <v>41</v>
      </c>
      <c r="G5906">
        <v>-300.33249999999998</v>
      </c>
      <c r="H5906" s="1">
        <v>-2.3503260000000001E-6</v>
      </c>
      <c r="I5906">
        <v>-35.138449999999999</v>
      </c>
      <c r="J5906">
        <v>-300.48520000000002</v>
      </c>
      <c r="K5906">
        <v>1.1094949999999999</v>
      </c>
      <c r="L5906">
        <v>-19.33081</v>
      </c>
      <c r="M5906">
        <v>-4.0199940000000003E-2</v>
      </c>
      <c r="N5906">
        <v>0</v>
      </c>
      <c r="O5906">
        <v>-0.99906470000000003</v>
      </c>
      <c r="P5906">
        <v>-4.6524570000000001E-2</v>
      </c>
      <c r="Q5906">
        <v>0.1969033</v>
      </c>
      <c r="R5906">
        <v>-0.97931880000000004</v>
      </c>
      <c r="S5906">
        <v>2.786255E-2</v>
      </c>
      <c r="T5906">
        <v>-0.2156332</v>
      </c>
      <c r="U5906">
        <v>-3.107971</v>
      </c>
      <c r="V5906">
        <v>7.68329199999999E-3</v>
      </c>
      <c r="W5906">
        <v>0.2124827</v>
      </c>
      <c r="X5906">
        <v>0.97713459999999996</v>
      </c>
      <c r="Y5906">
        <v>-4.9139189999999999E-2</v>
      </c>
      <c r="Z5906">
        <v>6.9087200000000001E-2</v>
      </c>
      <c r="AA5906">
        <v>0.99639960000000005</v>
      </c>
      <c r="AB5906">
        <v>20</v>
      </c>
      <c r="AC5906">
        <v>0.152700000000038</v>
      </c>
      <c r="AD5906">
        <v>-1.1094973503259999</v>
      </c>
      <c r="AE5906">
        <v>-15.807639999999999</v>
      </c>
      <c r="AF5906">
        <v>-0.78426021573948201</v>
      </c>
      <c r="AG5906">
        <v>-1.1094973503259999</v>
      </c>
      <c r="AH5906">
        <v>15.711328361689899</v>
      </c>
      <c r="AI5906">
        <v>94.034382078081293</v>
      </c>
      <c r="AJ5906">
        <v>92.857653650936101</v>
      </c>
      <c r="AK5906">
        <v>15.769967892967101</v>
      </c>
      <c r="AL5906">
        <v>77.732115120491102</v>
      </c>
      <c r="AM5906">
        <v>89.549487724573694</v>
      </c>
      <c r="AN5906">
        <v>0.99999997864620305</v>
      </c>
    </row>
    <row r="5907" spans="1:40" x14ac:dyDescent="0.25">
      <c r="A5907" t="str">
        <f>"20190312173043835"</f>
        <v>20190312173043835</v>
      </c>
      <c r="B5907" t="str">
        <f>"1552383043824043"</f>
        <v>1552383043824043</v>
      </c>
      <c r="C5907" t="s">
        <v>40</v>
      </c>
      <c r="D5907">
        <v>3.4478930000000001</v>
      </c>
      <c r="E5907">
        <v>0.47724699999999998</v>
      </c>
      <c r="F5907" t="s">
        <v>41</v>
      </c>
      <c r="G5907">
        <v>-300.33519999999999</v>
      </c>
      <c r="H5907" s="1">
        <v>-1.751767E-6</v>
      </c>
      <c r="I5907">
        <v>-36.53537</v>
      </c>
      <c r="J5907">
        <v>-300.49560000000002</v>
      </c>
      <c r="K5907">
        <v>1.109504</v>
      </c>
      <c r="L5907">
        <v>-19.528289999999998</v>
      </c>
      <c r="M5907">
        <v>-4.2177909999999999E-2</v>
      </c>
      <c r="N5907">
        <v>0</v>
      </c>
      <c r="O5907">
        <v>-0.99898739999999997</v>
      </c>
      <c r="P5907">
        <v>-4.5968099999999998E-2</v>
      </c>
      <c r="Q5907">
        <v>0.19688439999999999</v>
      </c>
      <c r="R5907">
        <v>-0.97934849999999996</v>
      </c>
      <c r="S5907">
        <v>2.7069090000000001E-2</v>
      </c>
      <c r="T5907">
        <v>-0.20022960000000001</v>
      </c>
      <c r="U5907">
        <v>-3.104889</v>
      </c>
      <c r="V5907">
        <v>5.1761740000000004E-3</v>
      </c>
      <c r="W5907">
        <v>0.212205</v>
      </c>
      <c r="X5907">
        <v>0.97721150000000001</v>
      </c>
      <c r="Y5907">
        <v>-5.087353E-2</v>
      </c>
      <c r="Z5907">
        <v>6.4226069999999996E-2</v>
      </c>
      <c r="AA5907">
        <v>0.99663780000000002</v>
      </c>
      <c r="AB5907">
        <v>20</v>
      </c>
      <c r="AC5907">
        <v>0.16040000000003801</v>
      </c>
      <c r="AD5907">
        <v>-1.1095057517669999</v>
      </c>
      <c r="AE5907">
        <v>-17.007079999999998</v>
      </c>
      <c r="AF5907">
        <v>-0.87394909735497905</v>
      </c>
      <c r="AG5907">
        <v>-1.1095057517669999</v>
      </c>
      <c r="AH5907">
        <v>16.913199948806</v>
      </c>
      <c r="AI5907">
        <v>93.748238529688194</v>
      </c>
      <c r="AJ5907">
        <v>92.957991375454696</v>
      </c>
      <c r="AK5907">
        <v>16.972068894105401</v>
      </c>
      <c r="AL5907">
        <v>77.748398182329296</v>
      </c>
      <c r="AM5907">
        <v>89.696513855365694</v>
      </c>
      <c r="AN5907">
        <v>1.00000003526726</v>
      </c>
    </row>
    <row r="5908" spans="1:40" x14ac:dyDescent="0.25">
      <c r="A5908" t="str">
        <f>"20190312173043860"</f>
        <v>20190312173043860</v>
      </c>
      <c r="B5908" t="str">
        <f>"1552383043853324"</f>
        <v>1552383043853324</v>
      </c>
      <c r="C5908" t="s">
        <v>40</v>
      </c>
      <c r="D5908">
        <v>3.4649030000000001</v>
      </c>
      <c r="E5908">
        <v>0.47741470000000003</v>
      </c>
      <c r="F5908" t="s">
        <v>41</v>
      </c>
      <c r="G5908">
        <v>-300.322</v>
      </c>
      <c r="H5908" s="1">
        <v>-1.3135809999999999E-6</v>
      </c>
      <c r="I5908">
        <v>-37.548580000000001</v>
      </c>
      <c r="J5908">
        <v>-300.50760000000002</v>
      </c>
      <c r="K5908">
        <v>1.1095469999999901</v>
      </c>
      <c r="L5908">
        <v>-19.748259999999998</v>
      </c>
      <c r="M5908">
        <v>-4.428352E-2</v>
      </c>
      <c r="N5908">
        <v>0</v>
      </c>
      <c r="O5908">
        <v>-0.99890100000000004</v>
      </c>
      <c r="P5908">
        <v>-4.5325409999999997E-2</v>
      </c>
      <c r="Q5908">
        <v>0.19623060000000001</v>
      </c>
      <c r="R5908">
        <v>-0.97950959999999998</v>
      </c>
      <c r="S5908">
        <v>2.990723E-2</v>
      </c>
      <c r="T5908">
        <v>-0.19105459999999999</v>
      </c>
      <c r="U5908">
        <v>-3.1030579999999999</v>
      </c>
      <c r="V5908">
        <v>2.4304320000000002E-3</v>
      </c>
      <c r="W5908">
        <v>0.21126600000000001</v>
      </c>
      <c r="X5908">
        <v>0.97742560000000001</v>
      </c>
      <c r="Y5908">
        <v>-5.3896550000000001E-2</v>
      </c>
      <c r="Z5908">
        <v>6.1316910000000002E-2</v>
      </c>
      <c r="AA5908">
        <v>0.9966621</v>
      </c>
      <c r="AB5908">
        <v>20</v>
      </c>
      <c r="AC5908">
        <v>0.185600000000022</v>
      </c>
      <c r="AD5908">
        <v>-1.10954831358099</v>
      </c>
      <c r="AE5908">
        <v>-17.800319999999999</v>
      </c>
      <c r="AF5908">
        <v>-0.97000319819483405</v>
      </c>
      <c r="AG5908">
        <v>-1.10954831358099</v>
      </c>
      <c r="AH5908">
        <v>17.705846852561098</v>
      </c>
      <c r="AI5908">
        <v>93.580433111641</v>
      </c>
      <c r="AJ5908">
        <v>93.135777018911497</v>
      </c>
      <c r="AK5908">
        <v>17.767076755364801</v>
      </c>
      <c r="AL5908">
        <v>77.803446811479802</v>
      </c>
      <c r="AM5908">
        <v>89.857530630471501</v>
      </c>
      <c r="AN5908">
        <v>1.0000000166455301</v>
      </c>
    </row>
    <row r="5909" spans="1:40" x14ac:dyDescent="0.25">
      <c r="A5909" t="str">
        <f>"20190312173043887"</f>
        <v>20190312173043887</v>
      </c>
      <c r="B5909" t="str">
        <f>"1552383043884087"</f>
        <v>1552383043884087</v>
      </c>
      <c r="C5909" t="s">
        <v>40</v>
      </c>
      <c r="D5909">
        <v>3.4495800000000001</v>
      </c>
      <c r="E5909">
        <v>0.4773809</v>
      </c>
      <c r="F5909" t="s">
        <v>41</v>
      </c>
      <c r="G5909">
        <v>-300.33139999999997</v>
      </c>
      <c r="H5909" s="1">
        <v>-1.0470150000000001E-6</v>
      </c>
      <c r="I5909">
        <v>-38.175780000000003</v>
      </c>
      <c r="J5909">
        <v>-300.52080000000001</v>
      </c>
      <c r="K5909">
        <v>1.1096429999999999</v>
      </c>
      <c r="L5909">
        <v>-19.984950000000001</v>
      </c>
      <c r="M5909">
        <v>-4.6427910000000003E-2</v>
      </c>
      <c r="N5909">
        <v>0</v>
      </c>
      <c r="O5909">
        <v>-0.99880800000000003</v>
      </c>
      <c r="P5909">
        <v>-4.5419559999999998E-2</v>
      </c>
      <c r="Q5909">
        <v>0.19596769999999999</v>
      </c>
      <c r="R5909">
        <v>-0.97955809999999999</v>
      </c>
      <c r="S5909">
        <v>2.966309E-2</v>
      </c>
      <c r="T5909">
        <v>-0.18674779999999999</v>
      </c>
      <c r="U5909">
        <v>-3.1015320000000002</v>
      </c>
      <c r="V5909">
        <v>3.6424999999999999E-4</v>
      </c>
      <c r="W5909">
        <v>0.2107155</v>
      </c>
      <c r="X5909">
        <v>0.97754730000000001</v>
      </c>
      <c r="Y5909">
        <v>-5.5967019999999999E-2</v>
      </c>
      <c r="Z5909">
        <v>5.9956950000000002E-2</v>
      </c>
      <c r="AA5909">
        <v>0.99663069999999998</v>
      </c>
      <c r="AB5909">
        <v>20</v>
      </c>
      <c r="AC5909">
        <v>0.18940000000003401</v>
      </c>
      <c r="AD5909">
        <v>-1.109644047015</v>
      </c>
      <c r="AE5909">
        <v>-18.190829999999899</v>
      </c>
      <c r="AF5909">
        <v>-1.03002149881473</v>
      </c>
      <c r="AG5909">
        <v>-1.109644047015</v>
      </c>
      <c r="AH5909">
        <v>18.095089946765899</v>
      </c>
      <c r="AI5909">
        <v>93.503493862475196</v>
      </c>
      <c r="AJ5909">
        <v>93.257915131372201</v>
      </c>
      <c r="AK5909">
        <v>18.158318600042399</v>
      </c>
      <c r="AL5909">
        <v>77.835713590671304</v>
      </c>
      <c r="AM5909">
        <v>89.978650663019806</v>
      </c>
      <c r="AN5909">
        <v>0.99999993917779895</v>
      </c>
    </row>
    <row r="5910" spans="1:40" x14ac:dyDescent="0.25">
      <c r="A5910" t="str">
        <f>"20190312173043908"</f>
        <v>20190312173043908</v>
      </c>
      <c r="B5910" t="str">
        <f>"1552383043903607"</f>
        <v>1552383043903607</v>
      </c>
      <c r="C5910" t="s">
        <v>40</v>
      </c>
      <c r="D5910">
        <v>3.4740169999999999</v>
      </c>
      <c r="E5910">
        <v>0.4773155</v>
      </c>
      <c r="F5910" t="s">
        <v>41</v>
      </c>
      <c r="G5910">
        <v>-300.3349</v>
      </c>
      <c r="H5910" s="1">
        <v>-8.2963989999999996E-7</v>
      </c>
      <c r="I5910">
        <v>-38.684710000000003</v>
      </c>
      <c r="J5910">
        <v>-300.5317</v>
      </c>
      <c r="K5910">
        <v>1.1097379999999999</v>
      </c>
      <c r="L5910">
        <v>-20.175689999999999</v>
      </c>
      <c r="M5910">
        <v>-4.8023280000000002E-2</v>
      </c>
      <c r="N5910">
        <v>0</v>
      </c>
      <c r="O5910">
        <v>-0.9987357</v>
      </c>
      <c r="P5910">
        <v>-4.5570579999999999E-2</v>
      </c>
      <c r="Q5910">
        <v>0.19684560000000001</v>
      </c>
      <c r="R5910">
        <v>-0.97937479999999999</v>
      </c>
      <c r="S5910">
        <v>3.0822749999999999E-2</v>
      </c>
      <c r="T5910">
        <v>-0.1840051</v>
      </c>
      <c r="U5910">
        <v>-3.1008610000000001</v>
      </c>
      <c r="V5910">
        <v>-1.0899449999999999E-3</v>
      </c>
      <c r="W5910">
        <v>0.2113969</v>
      </c>
      <c r="X5910">
        <v>0.97739969999999998</v>
      </c>
      <c r="Y5910">
        <v>-5.7936870000000001E-2</v>
      </c>
      <c r="Z5910">
        <v>5.9082120000000002E-2</v>
      </c>
      <c r="AA5910">
        <v>0.99657039999999997</v>
      </c>
      <c r="AB5910">
        <v>20</v>
      </c>
      <c r="AC5910">
        <v>0.19679999999999601</v>
      </c>
      <c r="AD5910">
        <v>-1.10973882963989</v>
      </c>
      <c r="AE5910">
        <v>-18.50902</v>
      </c>
      <c r="AF5910">
        <v>-1.0816470020759801</v>
      </c>
      <c r="AG5910">
        <v>-1.10973882963989</v>
      </c>
      <c r="AH5910">
        <v>18.412027785391199</v>
      </c>
      <c r="AI5910">
        <v>93.443264617523297</v>
      </c>
      <c r="AJ5910">
        <v>93.3620773243385</v>
      </c>
      <c r="AK5910">
        <v>18.477127690123499</v>
      </c>
      <c r="AL5910">
        <v>77.795773348951201</v>
      </c>
      <c r="AM5910">
        <v>90.0638932286505</v>
      </c>
      <c r="AN5910">
        <v>1.0000000054349001</v>
      </c>
    </row>
    <row r="5911" spans="1:40" x14ac:dyDescent="0.25">
      <c r="A5911" t="str">
        <f>"20190312173043928"</f>
        <v>20190312173043928</v>
      </c>
      <c r="B5911" t="str">
        <f>"1552383043923127"</f>
        <v>1552383043923127</v>
      </c>
      <c r="C5911" t="s">
        <v>40</v>
      </c>
      <c r="D5911">
        <v>3.449065</v>
      </c>
      <c r="E5911">
        <v>0.477103</v>
      </c>
      <c r="F5911" t="s">
        <v>41</v>
      </c>
      <c r="G5911">
        <v>-300.32799999999997</v>
      </c>
      <c r="H5911" s="1">
        <v>-5.3185359999999997E-7</v>
      </c>
      <c r="I5911">
        <v>-39.374540000000003</v>
      </c>
      <c r="J5911">
        <v>-300.54149999999998</v>
      </c>
      <c r="K5911">
        <v>1.1098239999999999</v>
      </c>
      <c r="L5911">
        <v>-20.346340000000001</v>
      </c>
      <c r="M5911">
        <v>-4.9350749999999999E-2</v>
      </c>
      <c r="N5911">
        <v>0</v>
      </c>
      <c r="O5911">
        <v>-0.99867329999999999</v>
      </c>
      <c r="P5911">
        <v>-4.5218040000000001E-2</v>
      </c>
      <c r="Q5911">
        <v>0.19590750000000001</v>
      </c>
      <c r="R5911">
        <v>-0.97957930000000004</v>
      </c>
      <c r="S5911">
        <v>3.2897950000000002E-2</v>
      </c>
      <c r="T5911">
        <v>-0.17923</v>
      </c>
      <c r="U5911">
        <v>-3.1007389999999999</v>
      </c>
      <c r="V5911">
        <v>-2.7982580000000001E-3</v>
      </c>
      <c r="W5911">
        <v>0.21031230000000001</v>
      </c>
      <c r="X5911">
        <v>0.97763029999999995</v>
      </c>
      <c r="Y5911">
        <v>-5.9931810000000002E-2</v>
      </c>
      <c r="Z5911">
        <v>5.7547090000000002E-2</v>
      </c>
      <c r="AA5911">
        <v>0.99654229999999999</v>
      </c>
      <c r="AB5911">
        <v>20</v>
      </c>
      <c r="AC5911">
        <v>0.21350000000000999</v>
      </c>
      <c r="AD5911">
        <v>-1.1098245318536</v>
      </c>
      <c r="AE5911">
        <v>-19.028199999999998</v>
      </c>
      <c r="AF5911">
        <v>-1.14849075485097</v>
      </c>
      <c r="AG5911">
        <v>-1.1098245318536</v>
      </c>
      <c r="AH5911">
        <v>18.930082867691599</v>
      </c>
      <c r="AI5911">
        <v>93.349126795454595</v>
      </c>
      <c r="AJ5911">
        <v>93.471887218059706</v>
      </c>
      <c r="AK5911">
        <v>18.997336099652301</v>
      </c>
      <c r="AL5911">
        <v>77.859346154789193</v>
      </c>
      <c r="AM5911">
        <v>90.163996487783706</v>
      </c>
      <c r="AN5911">
        <v>1.0000000486286</v>
      </c>
    </row>
    <row r="5912" spans="1:40" x14ac:dyDescent="0.25">
      <c r="A5912" t="str">
        <f>"20190312173043965"</f>
        <v>20190312173043965</v>
      </c>
      <c r="B5912" t="str">
        <f>"1552383043953383"</f>
        <v>1552383043953383</v>
      </c>
      <c r="C5912" t="s">
        <v>40</v>
      </c>
      <c r="D5912">
        <v>3.4563999999999999</v>
      </c>
      <c r="E5912">
        <v>0.47697450000000002</v>
      </c>
      <c r="F5912" t="s">
        <v>41</v>
      </c>
      <c r="G5912">
        <v>-300.31630000000001</v>
      </c>
      <c r="H5912" s="1">
        <v>-4.1899249999999998E-7</v>
      </c>
      <c r="I5912">
        <v>-39.630409999999998</v>
      </c>
      <c r="J5912">
        <v>-300.5607</v>
      </c>
      <c r="K5912">
        <v>1.1099589999999999</v>
      </c>
      <c r="L5912">
        <v>-20.674099999999999</v>
      </c>
      <c r="M5912">
        <v>-5.1611999999999998E-2</v>
      </c>
      <c r="N5912">
        <v>0</v>
      </c>
      <c r="O5912">
        <v>-0.99856279999999997</v>
      </c>
      <c r="P5912">
        <v>-4.4240010000000003E-2</v>
      </c>
      <c r="Q5912">
        <v>0.19514480000000001</v>
      </c>
      <c r="R5912">
        <v>-0.97977639999999999</v>
      </c>
      <c r="S5912">
        <v>3.619385E-2</v>
      </c>
      <c r="T5912">
        <v>-0.1784027</v>
      </c>
      <c r="U5912">
        <v>-3.0998839999999999</v>
      </c>
      <c r="V5912">
        <v>-6.0744359999999999E-3</v>
      </c>
      <c r="W5912">
        <v>0.20929780000000001</v>
      </c>
      <c r="X5912">
        <v>0.97783310000000001</v>
      </c>
      <c r="Y5912">
        <v>-6.3254099999999994E-2</v>
      </c>
      <c r="Z5912">
        <v>5.7282E-2</v>
      </c>
      <c r="AA5912">
        <v>0.99635220000000002</v>
      </c>
      <c r="AB5912">
        <v>20</v>
      </c>
      <c r="AC5912">
        <v>0.24439999999998399</v>
      </c>
      <c r="AD5912">
        <v>-1.1099594189924999</v>
      </c>
      <c r="AE5912">
        <v>-18.956309999999998</v>
      </c>
      <c r="AF5912">
        <v>-1.2183727790671599</v>
      </c>
      <c r="AG5912">
        <v>-1.1099594189924999</v>
      </c>
      <c r="AH5912">
        <v>18.8537948505187</v>
      </c>
      <c r="AI5912">
        <v>93.362227715056704</v>
      </c>
      <c r="AJ5912">
        <v>93.697435380749397</v>
      </c>
      <c r="AK5912">
        <v>18.925697408709301</v>
      </c>
      <c r="AL5912">
        <v>77.9187955261892</v>
      </c>
      <c r="AM5912">
        <v>90.355924818660895</v>
      </c>
      <c r="AN5912">
        <v>1.0000000196565799</v>
      </c>
    </row>
    <row r="5913" spans="1:40" x14ac:dyDescent="0.25">
      <c r="A5913" t="str">
        <f>"20190312173043991"</f>
        <v>20190312173043991</v>
      </c>
      <c r="B5913" t="str">
        <f>"1552383043983639"</f>
        <v>1552383043983639</v>
      </c>
      <c r="C5913" t="s">
        <v>40</v>
      </c>
      <c r="D5913">
        <v>3.4758529999999999</v>
      </c>
      <c r="E5913">
        <v>0.4768386</v>
      </c>
      <c r="F5913" t="s">
        <v>41</v>
      </c>
      <c r="G5913">
        <v>-300.31720000000001</v>
      </c>
      <c r="H5913" s="1">
        <v>-2.6852459999999998E-7</v>
      </c>
      <c r="I5913">
        <v>-39.981650000000002</v>
      </c>
      <c r="J5913">
        <v>-300.57440000000003</v>
      </c>
      <c r="K5913">
        <v>1.1100490000000001</v>
      </c>
      <c r="L5913">
        <v>-20.905239999999999</v>
      </c>
      <c r="M5913">
        <v>-5.2976099999999998E-2</v>
      </c>
      <c r="N5913">
        <v>0</v>
      </c>
      <c r="O5913">
        <v>-0.99849359999999998</v>
      </c>
      <c r="P5913">
        <v>-4.5133649999999997E-2</v>
      </c>
      <c r="Q5913">
        <v>0.1961582</v>
      </c>
      <c r="R5913">
        <v>-0.97953299999999999</v>
      </c>
      <c r="S5913">
        <v>3.9093019999999999E-2</v>
      </c>
      <c r="T5913">
        <v>-0.17816689999999999</v>
      </c>
      <c r="U5913">
        <v>-3.0991819999999999</v>
      </c>
      <c r="V5913">
        <v>-6.5501930000000002E-3</v>
      </c>
      <c r="W5913">
        <v>0.2101566</v>
      </c>
      <c r="X5913">
        <v>0.97764580000000001</v>
      </c>
      <c r="Y5913">
        <v>-6.5551769999999995E-2</v>
      </c>
      <c r="Z5913">
        <v>5.7208719999999998E-2</v>
      </c>
      <c r="AA5913">
        <v>0.99620790000000004</v>
      </c>
      <c r="AB5913">
        <v>20</v>
      </c>
      <c r="AC5913">
        <v>0.25720000000001098</v>
      </c>
      <c r="AD5913">
        <v>-1.1100492685246</v>
      </c>
      <c r="AE5913">
        <v>-19.076409999999999</v>
      </c>
      <c r="AF5913">
        <v>-1.26325903362782</v>
      </c>
      <c r="AG5913">
        <v>-1.1100492685246</v>
      </c>
      <c r="AH5913">
        <v>18.971762874443002</v>
      </c>
      <c r="AI5913">
        <v>93.341210740484001</v>
      </c>
      <c r="AJ5913">
        <v>93.809489128609201</v>
      </c>
      <c r="AK5913">
        <v>19.046149724516201</v>
      </c>
      <c r="AL5913">
        <v>77.868470513075295</v>
      </c>
      <c r="AM5913">
        <v>90.383873994436598</v>
      </c>
      <c r="AN5913">
        <v>1.00000000590476</v>
      </c>
    </row>
    <row r="5914" spans="1:40" x14ac:dyDescent="0.25">
      <c r="A5914" t="str">
        <f>"20190312173044013"</f>
        <v>20190312173044013</v>
      </c>
      <c r="B5914" t="str">
        <f>"1552383044003159"</f>
        <v>1552383044003159</v>
      </c>
      <c r="C5914" t="s">
        <v>40</v>
      </c>
      <c r="D5914">
        <v>3.460353</v>
      </c>
      <c r="E5914">
        <v>0.47680070000000002</v>
      </c>
      <c r="F5914" t="s">
        <v>54</v>
      </c>
      <c r="G5914">
        <v>-300.32760000000002</v>
      </c>
      <c r="H5914" s="1">
        <v>-2.8582940000000001E-7</v>
      </c>
      <c r="I5914">
        <v>-40.754820000000002</v>
      </c>
      <c r="J5914">
        <v>-300.5865</v>
      </c>
      <c r="K5914">
        <v>1.11012</v>
      </c>
      <c r="L5914">
        <v>-21.106750000000002</v>
      </c>
      <c r="M5914">
        <v>-5.405327E-2</v>
      </c>
      <c r="N5914">
        <v>0</v>
      </c>
      <c r="O5914">
        <v>-0.99843760000000004</v>
      </c>
      <c r="P5914">
        <v>-4.5051319999999999E-2</v>
      </c>
      <c r="Q5914">
        <v>0.1961936</v>
      </c>
      <c r="R5914">
        <v>-0.97952980000000001</v>
      </c>
      <c r="S5914">
        <v>3.8543699999999903E-2</v>
      </c>
      <c r="T5914">
        <v>-0.173314</v>
      </c>
      <c r="U5914">
        <v>-3.0991520000000001</v>
      </c>
      <c r="V5914">
        <v>-7.7241519999999998E-3</v>
      </c>
      <c r="W5914">
        <v>0.21008060000000001</v>
      </c>
      <c r="X5914">
        <v>0.97765360000000001</v>
      </c>
      <c r="Y5914">
        <v>-6.6452830000000004E-2</v>
      </c>
      <c r="Z5914">
        <v>5.5649509999999999E-2</v>
      </c>
      <c r="AA5914">
        <v>0.99623649999999997</v>
      </c>
      <c r="AB5914">
        <v>20</v>
      </c>
      <c r="AC5914">
        <v>0.25889999999998198</v>
      </c>
      <c r="AD5914">
        <v>-1.1101202858293999</v>
      </c>
      <c r="AE5914">
        <v>-19.648070000000001</v>
      </c>
      <c r="AF5914">
        <v>-1.31646859901702</v>
      </c>
      <c r="AG5914">
        <v>-1.1101202858293999</v>
      </c>
      <c r="AH5914">
        <v>19.542968309899599</v>
      </c>
      <c r="AI5914">
        <v>93.243804386534293</v>
      </c>
      <c r="AJ5914">
        <v>93.8537806488428</v>
      </c>
      <c r="AK5914">
        <v>19.6186917755224</v>
      </c>
      <c r="AL5914">
        <v>77.8729248576267</v>
      </c>
      <c r="AM5914">
        <v>90.452667592969803</v>
      </c>
      <c r="AN5914">
        <v>1.0000000413067101</v>
      </c>
    </row>
    <row r="5915" spans="1:40" x14ac:dyDescent="0.25">
      <c r="A5915" t="str">
        <f>"20190312173044033"</f>
        <v>20190312173044033</v>
      </c>
      <c r="B5915" t="str">
        <f>"1552383044023655"</f>
        <v>1552383044023655</v>
      </c>
      <c r="C5915" t="s">
        <v>40</v>
      </c>
      <c r="D5915">
        <v>3.4661699999999902</v>
      </c>
      <c r="E5915">
        <v>0.47670059999999898</v>
      </c>
      <c r="F5915" t="s">
        <v>54</v>
      </c>
      <c r="G5915">
        <v>-300.334</v>
      </c>
      <c r="H5915" s="1">
        <v>-4.9148309999999997E-7</v>
      </c>
      <c r="I5915">
        <v>-41.076949999999997</v>
      </c>
      <c r="J5915">
        <v>-300.5967</v>
      </c>
      <c r="K5915">
        <v>1.1101780000000001</v>
      </c>
      <c r="L5915">
        <v>-21.27542</v>
      </c>
      <c r="M5915">
        <v>-5.486038E-2</v>
      </c>
      <c r="N5915">
        <v>0</v>
      </c>
      <c r="O5915">
        <v>-0.99839480000000003</v>
      </c>
      <c r="P5915">
        <v>-4.4075839999999998E-2</v>
      </c>
      <c r="Q5915">
        <v>0.19571169999999999</v>
      </c>
      <c r="R5915">
        <v>-0.97967059999999995</v>
      </c>
      <c r="S5915">
        <v>3.9184570000000002E-2</v>
      </c>
      <c r="T5915">
        <v>-0.172269799999999</v>
      </c>
      <c r="U5915">
        <v>-3.0989990000000001</v>
      </c>
      <c r="V5915">
        <v>-9.5280350000000007E-3</v>
      </c>
      <c r="W5915">
        <v>0.20951919999999999</v>
      </c>
      <c r="X5915">
        <v>0.97775809999999996</v>
      </c>
      <c r="Y5915">
        <v>-6.7466159999999997E-2</v>
      </c>
      <c r="Z5915">
        <v>5.5312359999999998E-2</v>
      </c>
      <c r="AA5915">
        <v>0.99618720000000005</v>
      </c>
      <c r="AB5915">
        <v>20</v>
      </c>
      <c r="AC5915">
        <v>0.26269999999999499</v>
      </c>
      <c r="AD5915">
        <v>-1.1101784914831001</v>
      </c>
      <c r="AE5915">
        <v>-19.80153</v>
      </c>
      <c r="AF5915">
        <v>-1.3445059505113699</v>
      </c>
      <c r="AG5915">
        <v>-1.1101784914831001</v>
      </c>
      <c r="AH5915">
        <v>19.6953924724559</v>
      </c>
      <c r="AI5915">
        <v>93.218726109869607</v>
      </c>
      <c r="AJ5915">
        <v>93.905237581259101</v>
      </c>
      <c r="AK5915">
        <v>19.7724221373605</v>
      </c>
      <c r="AL5915">
        <v>77.905822248922505</v>
      </c>
      <c r="AM5915">
        <v>90.558316942958996</v>
      </c>
      <c r="AN5915">
        <v>0.99999999036760501</v>
      </c>
    </row>
    <row r="5916" spans="1:40" x14ac:dyDescent="0.25">
      <c r="A5916" t="str">
        <f>"20190312173044059"</f>
        <v>20190312173044059</v>
      </c>
      <c r="B5916" t="str">
        <f>"1552383044053911"</f>
        <v>1552383044053911</v>
      </c>
      <c r="C5916" t="s">
        <v>40</v>
      </c>
      <c r="D5916">
        <v>3.4473609999999999</v>
      </c>
      <c r="E5916">
        <v>0.47669010000000001</v>
      </c>
      <c r="F5916" t="s">
        <v>54</v>
      </c>
      <c r="G5916">
        <v>-300.32929999999999</v>
      </c>
      <c r="H5916" s="1">
        <v>-5.3121890000000005E-7</v>
      </c>
      <c r="I5916">
        <v>-41.140500000000003</v>
      </c>
      <c r="J5916">
        <v>-300.61040000000003</v>
      </c>
      <c r="K5916">
        <v>1.1102639999999999</v>
      </c>
      <c r="L5916">
        <v>-21.500920000000001</v>
      </c>
      <c r="M5916">
        <v>-5.5792469999999997E-2</v>
      </c>
      <c r="N5916">
        <v>0</v>
      </c>
      <c r="O5916">
        <v>-0.99834440000000002</v>
      </c>
      <c r="P5916">
        <v>-4.3028810000000001E-2</v>
      </c>
      <c r="Q5916">
        <v>0.19481519999999999</v>
      </c>
      <c r="R5916">
        <v>-0.97989570000000004</v>
      </c>
      <c r="S5916">
        <v>4.1717530000000003E-2</v>
      </c>
      <c r="T5916">
        <v>-0.1731751</v>
      </c>
      <c r="U5916">
        <v>-3.0987239999999998</v>
      </c>
      <c r="V5916">
        <v>-1.154557E-2</v>
      </c>
      <c r="W5916">
        <v>0.2085283</v>
      </c>
      <c r="X5916">
        <v>0.97794820000000005</v>
      </c>
      <c r="Y5916">
        <v>-6.9212529999999994E-2</v>
      </c>
      <c r="Z5916">
        <v>5.5599089999999997E-2</v>
      </c>
      <c r="AA5916">
        <v>0.99605140000000003</v>
      </c>
      <c r="AB5916">
        <v>20</v>
      </c>
      <c r="AC5916">
        <v>0.28110000000003699</v>
      </c>
      <c r="AD5916">
        <v>-1.1102645312188999</v>
      </c>
      <c r="AE5916">
        <v>-19.639579999999999</v>
      </c>
      <c r="AF5916">
        <v>-1.3721257272754199</v>
      </c>
      <c r="AG5916">
        <v>-1.1102645312188999</v>
      </c>
      <c r="AH5916">
        <v>19.530893017631001</v>
      </c>
      <c r="AI5916">
        <v>93.245585131090905</v>
      </c>
      <c r="AJ5916">
        <v>94.018661765740902</v>
      </c>
      <c r="AK5916">
        <v>19.6104869497644</v>
      </c>
      <c r="AL5916">
        <v>77.963879408043198</v>
      </c>
      <c r="AM5916">
        <v>90.676397483910307</v>
      </c>
      <c r="AN5916">
        <v>1.00000001698537</v>
      </c>
    </row>
    <row r="5917" spans="1:40" x14ac:dyDescent="0.25">
      <c r="A5917" t="str">
        <f>"20190312173044100"</f>
        <v>20190312173044100</v>
      </c>
      <c r="B5917" t="str">
        <f>"1552383044093456"</f>
        <v>1552383044093456</v>
      </c>
      <c r="C5917" t="s">
        <v>40</v>
      </c>
      <c r="D5917">
        <v>3.4668389999999998</v>
      </c>
      <c r="E5917">
        <v>0.47664420000000002</v>
      </c>
      <c r="F5917" t="s">
        <v>54</v>
      </c>
      <c r="G5917">
        <v>-300.33199999999999</v>
      </c>
      <c r="H5917" s="1">
        <v>-5.0597339999999997E-7</v>
      </c>
      <c r="I5917">
        <v>-41.100200000000001</v>
      </c>
      <c r="J5917">
        <v>-300.63170000000002</v>
      </c>
      <c r="K5917">
        <v>1.1104179999999999</v>
      </c>
      <c r="L5917">
        <v>-21.854130000000001</v>
      </c>
      <c r="M5917">
        <v>-5.6899499999999999E-2</v>
      </c>
      <c r="N5917">
        <v>0</v>
      </c>
      <c r="O5917">
        <v>-0.9982837</v>
      </c>
      <c r="P5917">
        <v>-4.272157E-2</v>
      </c>
      <c r="Q5917">
        <v>0.19834679999999999</v>
      </c>
      <c r="R5917">
        <v>-0.97920050000000003</v>
      </c>
      <c r="S5917">
        <v>4.400635E-2</v>
      </c>
      <c r="T5917">
        <v>-0.17551829999999999</v>
      </c>
      <c r="U5917">
        <v>-3.0983890000000001</v>
      </c>
      <c r="V5917">
        <v>-1.2970270000000001E-2</v>
      </c>
      <c r="W5917">
        <v>0.211923</v>
      </c>
      <c r="X5917">
        <v>0.97720030000000002</v>
      </c>
      <c r="Y5917">
        <v>-7.1055049999999995E-2</v>
      </c>
      <c r="Z5917">
        <v>5.634583E-2</v>
      </c>
      <c r="AA5917">
        <v>0.99587969999999904</v>
      </c>
      <c r="AB5917">
        <v>20</v>
      </c>
      <c r="AC5917">
        <v>0.299700000000029</v>
      </c>
      <c r="AD5917">
        <v>-1.1104185059734</v>
      </c>
      <c r="AE5917">
        <v>-19.24607</v>
      </c>
      <c r="AF5917">
        <v>-1.3897861103070499</v>
      </c>
      <c r="AG5917">
        <v>-1.1104185059734</v>
      </c>
      <c r="AH5917">
        <v>19.134150693672201</v>
      </c>
      <c r="AI5917">
        <v>93.3126325144692</v>
      </c>
      <c r="AJ5917">
        <v>94.154314949191402</v>
      </c>
      <c r="AK5917">
        <v>19.2166661379899</v>
      </c>
      <c r="AL5917">
        <v>77.7649312693529</v>
      </c>
      <c r="AM5917">
        <v>90.760435803293007</v>
      </c>
      <c r="AN5917">
        <v>1.00000000607648</v>
      </c>
    </row>
    <row r="5918" spans="1:40" x14ac:dyDescent="0.25">
      <c r="A5918" t="str">
        <f>"20190312173044124"</f>
        <v>20190312173044124</v>
      </c>
      <c r="B5918" t="str">
        <f>"1552383044113953"</f>
        <v>1552383044113953</v>
      </c>
      <c r="C5918" t="s">
        <v>40</v>
      </c>
      <c r="D5918">
        <v>3.4487649999999999</v>
      </c>
      <c r="E5918">
        <v>0.47658850000000003</v>
      </c>
      <c r="F5918" t="s">
        <v>54</v>
      </c>
      <c r="G5918">
        <v>-300.2928</v>
      </c>
      <c r="H5918" s="1">
        <v>-1.7101670000000001E-6</v>
      </c>
      <c r="I5918">
        <v>-43.003270000000001</v>
      </c>
      <c r="J5918">
        <v>-300.6447</v>
      </c>
      <c r="K5918">
        <v>1.1104959999999999</v>
      </c>
      <c r="L5918">
        <v>-22.070219999999999</v>
      </c>
      <c r="M5918">
        <v>-5.7392440000000003E-2</v>
      </c>
      <c r="N5918">
        <v>0</v>
      </c>
      <c r="O5918">
        <v>-0.99825660000000005</v>
      </c>
      <c r="P5918">
        <v>-4.1848589999999998E-2</v>
      </c>
      <c r="Q5918">
        <v>0.19862940000000001</v>
      </c>
      <c r="R5918">
        <v>-0.97918110000000003</v>
      </c>
      <c r="S5918">
        <v>4.9652099999999998E-2</v>
      </c>
      <c r="T5918">
        <v>-0.1627026</v>
      </c>
      <c r="U5918">
        <v>-3.098846</v>
      </c>
      <c r="V5918">
        <v>-1.4363269999999999E-2</v>
      </c>
      <c r="W5918">
        <v>0.2121411</v>
      </c>
      <c r="X5918">
        <v>0.97713349999999999</v>
      </c>
      <c r="Y5918">
        <v>-7.3362819999999995E-2</v>
      </c>
      <c r="Z5918">
        <v>5.222839E-2</v>
      </c>
      <c r="AA5918">
        <v>0.99593679999999996</v>
      </c>
      <c r="AB5918">
        <v>20</v>
      </c>
      <c r="AC5918">
        <v>0.35189999999999999</v>
      </c>
      <c r="AD5918">
        <v>-1.1104977101669999</v>
      </c>
      <c r="AE5918">
        <v>-20.933050000000001</v>
      </c>
      <c r="AF5918">
        <v>-1.5484760933038</v>
      </c>
      <c r="AG5918">
        <v>-1.1104977101669999</v>
      </c>
      <c r="AH5918">
        <v>20.819764584319</v>
      </c>
      <c r="AI5918">
        <v>93.044791195903201</v>
      </c>
      <c r="AJ5918">
        <v>94.253558816242204</v>
      </c>
      <c r="AK5918">
        <v>20.9067831270686</v>
      </c>
      <c r="AL5918">
        <v>77.752144409532704</v>
      </c>
      <c r="AM5918">
        <v>90.842152567841595</v>
      </c>
      <c r="AN5918">
        <v>1.00000001332827</v>
      </c>
    </row>
    <row r="5919" spans="1:40" x14ac:dyDescent="0.25">
      <c r="A5919" t="str">
        <f>"20190312173044144"</f>
        <v>20190312173044144</v>
      </c>
      <c r="B5919" t="str">
        <f>"1552383044133473"</f>
        <v>1552383044133473</v>
      </c>
      <c r="C5919" t="s">
        <v>40</v>
      </c>
      <c r="D5919">
        <v>3.4320580000000001</v>
      </c>
      <c r="E5919">
        <v>0.47646670000000002</v>
      </c>
      <c r="F5919" t="s">
        <v>54</v>
      </c>
      <c r="G5919">
        <v>-300.27480000000003</v>
      </c>
      <c r="H5919" s="1">
        <v>-1.9645960000000001E-6</v>
      </c>
      <c r="I5919">
        <v>-43.407490000000003</v>
      </c>
      <c r="J5919">
        <v>-300.6551</v>
      </c>
      <c r="K5919">
        <v>1.1105430000000001</v>
      </c>
      <c r="L5919">
        <v>-22.244260000000001</v>
      </c>
      <c r="M5919">
        <v>-5.7671750000000001E-2</v>
      </c>
      <c r="N5919">
        <v>0</v>
      </c>
      <c r="O5919">
        <v>-0.99824109999999999</v>
      </c>
      <c r="P5919">
        <v>-4.0241230000000003E-2</v>
      </c>
      <c r="Q5919">
        <v>0.19770960000000001</v>
      </c>
      <c r="R5919">
        <v>-0.97943500000000006</v>
      </c>
      <c r="S5919">
        <v>5.3710939999999999E-2</v>
      </c>
      <c r="T5919">
        <v>-0.16127629999999901</v>
      </c>
      <c r="U5919">
        <v>-3.0987849999999999</v>
      </c>
      <c r="V5919">
        <v>-1.6285890000000001E-2</v>
      </c>
      <c r="W5919">
        <v>0.21117929999999999</v>
      </c>
      <c r="X5919">
        <v>0.97731170000000001</v>
      </c>
      <c r="Y5919">
        <v>-7.4946570000000004E-2</v>
      </c>
      <c r="Z5919">
        <v>5.1767939999999998E-2</v>
      </c>
      <c r="AA5919">
        <v>0.99584289999999998</v>
      </c>
      <c r="AB5919">
        <v>19</v>
      </c>
      <c r="AC5919">
        <v>0.38029999999997699</v>
      </c>
      <c r="AD5919">
        <v>-1.1105449645959999</v>
      </c>
      <c r="AE5919">
        <v>-21.163229999999999</v>
      </c>
      <c r="AF5919">
        <v>-1.5959094223238099</v>
      </c>
      <c r="AG5919">
        <v>-1.1105449645959999</v>
      </c>
      <c r="AH5919">
        <v>21.048124210097701</v>
      </c>
      <c r="AI5919">
        <v>93.011621331957002</v>
      </c>
      <c r="AJ5919">
        <v>94.335980209983603</v>
      </c>
      <c r="AK5919">
        <v>21.1377333166627</v>
      </c>
      <c r="AL5919">
        <v>77.808529346144795</v>
      </c>
      <c r="AM5919">
        <v>90.954686622148202</v>
      </c>
      <c r="AN5919">
        <v>1.00000004295923</v>
      </c>
    </row>
    <row r="5920" spans="1:40" x14ac:dyDescent="0.25">
      <c r="A5920" t="str">
        <f>"20190312173044167"</f>
        <v>20190312173044167</v>
      </c>
      <c r="B5920" t="str">
        <f>"1552383044163729"</f>
        <v>1552383044163729</v>
      </c>
      <c r="C5920" t="s">
        <v>40</v>
      </c>
      <c r="D5920">
        <v>3.4872299999999998</v>
      </c>
      <c r="E5920">
        <v>0.4764272</v>
      </c>
      <c r="F5920" t="s">
        <v>54</v>
      </c>
      <c r="G5920">
        <v>-300.25380000000001</v>
      </c>
      <c r="H5920" s="1">
        <v>-1.9339950000000001E-6</v>
      </c>
      <c r="I5920">
        <v>-43.363950000000003</v>
      </c>
      <c r="J5920">
        <v>-300.66730000000001</v>
      </c>
      <c r="K5920">
        <v>1.1105959999999999</v>
      </c>
      <c r="L5920">
        <v>-22.449549999999999</v>
      </c>
      <c r="M5920">
        <v>-5.7875879999999998E-2</v>
      </c>
      <c r="N5920">
        <v>0</v>
      </c>
      <c r="O5920">
        <v>-0.9982297</v>
      </c>
      <c r="P5920">
        <v>-3.9069390000000002E-2</v>
      </c>
      <c r="Q5920">
        <v>0.1979081</v>
      </c>
      <c r="R5920">
        <v>-0.97944189999999998</v>
      </c>
      <c r="S5920">
        <v>5.8868410000000003E-2</v>
      </c>
      <c r="T5920">
        <v>-0.16291900000000001</v>
      </c>
      <c r="U5920">
        <v>-3.0982970000000001</v>
      </c>
      <c r="V5920">
        <v>-1.76866E-2</v>
      </c>
      <c r="W5920">
        <v>0.2113312</v>
      </c>
      <c r="X5920">
        <v>0.97725450000000003</v>
      </c>
      <c r="Y5920">
        <v>-7.680969E-2</v>
      </c>
      <c r="Z5920">
        <v>5.2296559999999999E-2</v>
      </c>
      <c r="AA5920">
        <v>0.99567329999999998</v>
      </c>
      <c r="AB5920">
        <v>19</v>
      </c>
      <c r="AC5920">
        <v>0.41349999999999898</v>
      </c>
      <c r="AD5920">
        <v>-1.1105979339949901</v>
      </c>
      <c r="AE5920">
        <v>-20.914400000000001</v>
      </c>
      <c r="AF5920">
        <v>-1.6187968177293099</v>
      </c>
      <c r="AG5920">
        <v>-1.1105979339949901</v>
      </c>
      <c r="AH5920">
        <v>20.796782009757099</v>
      </c>
      <c r="AI5920">
        <v>93.047626922273594</v>
      </c>
      <c r="AJ5920">
        <v>94.450860844203106</v>
      </c>
      <c r="AK5920">
        <v>20.8892334198611</v>
      </c>
      <c r="AL5920">
        <v>77.799624933920398</v>
      </c>
      <c r="AM5920">
        <v>91.036840366469207</v>
      </c>
      <c r="AN5920">
        <v>1.0000000248416201</v>
      </c>
    </row>
    <row r="5921" spans="1:40" x14ac:dyDescent="0.25">
      <c r="A5921" t="str">
        <f>"20190312173044190"</f>
        <v>20190312173044190</v>
      </c>
      <c r="B5921" t="str">
        <f>"1552383044183755"</f>
        <v>1552383044183755</v>
      </c>
      <c r="C5921" t="s">
        <v>40</v>
      </c>
      <c r="D5921">
        <v>3.4185660000000002</v>
      </c>
      <c r="E5921">
        <v>0.47638000000000003</v>
      </c>
      <c r="F5921" t="s">
        <v>54</v>
      </c>
      <c r="G5921">
        <v>-300.22910000000002</v>
      </c>
      <c r="H5921" s="1">
        <v>-2.1538270000000001E-6</v>
      </c>
      <c r="I5921">
        <v>-43.715220000000002</v>
      </c>
      <c r="J5921">
        <v>-300.6789</v>
      </c>
      <c r="K5921">
        <v>1.110643</v>
      </c>
      <c r="L5921">
        <v>-22.646149999999999</v>
      </c>
      <c r="M5921">
        <v>-5.7959650000000001E-2</v>
      </c>
      <c r="N5921">
        <v>0</v>
      </c>
      <c r="O5921">
        <v>-0.99822520000000003</v>
      </c>
      <c r="P5921">
        <v>-3.86156E-2</v>
      </c>
      <c r="Q5921">
        <v>0.19881740000000001</v>
      </c>
      <c r="R5921">
        <v>-0.97927549999999997</v>
      </c>
      <c r="S5921">
        <v>6.3842769999999993E-2</v>
      </c>
      <c r="T5921">
        <v>-0.16180359999999999</v>
      </c>
      <c r="U5921">
        <v>-3.0982059999999998</v>
      </c>
      <c r="V5921">
        <v>-1.8239950000000001E-2</v>
      </c>
      <c r="W5921">
        <v>0.2121989</v>
      </c>
      <c r="X5921">
        <v>0.97705629999999999</v>
      </c>
      <c r="Y5921">
        <v>-7.8492160000000005E-2</v>
      </c>
      <c r="Z5921">
        <v>5.1936389999999999E-2</v>
      </c>
      <c r="AA5921">
        <v>0.99556089999999997</v>
      </c>
      <c r="AB5921">
        <v>19</v>
      </c>
      <c r="AC5921">
        <v>0.44979999999998199</v>
      </c>
      <c r="AD5921">
        <v>-1.1106451538269999</v>
      </c>
      <c r="AE5921">
        <v>-21.06907</v>
      </c>
      <c r="AF5921">
        <v>-1.66568737597019</v>
      </c>
      <c r="AG5921">
        <v>-1.1106451538269999</v>
      </c>
      <c r="AH5921">
        <v>20.949384039158499</v>
      </c>
      <c r="AI5921">
        <v>93.025202203643303</v>
      </c>
      <c r="AJ5921">
        <v>94.546028811103596</v>
      </c>
      <c r="AK5921">
        <v>21.044826887202799</v>
      </c>
      <c r="AL5921">
        <v>77.748755904970693</v>
      </c>
      <c r="AM5921">
        <v>91.069488805171105</v>
      </c>
      <c r="AN5921">
        <v>1.00000004115345</v>
      </c>
    </row>
    <row r="5922" spans="1:40" x14ac:dyDescent="0.25">
      <c r="A5922" t="str">
        <f>"20190312173044215"</f>
        <v>20190312173044215</v>
      </c>
      <c r="B5922" t="str">
        <f>"1552383044203275"</f>
        <v>1552383044203275</v>
      </c>
      <c r="C5922" t="s">
        <v>40</v>
      </c>
      <c r="D5922">
        <v>3.7153299999999998</v>
      </c>
      <c r="E5922">
        <v>0.47643069999999998</v>
      </c>
      <c r="F5922" t="s">
        <v>54</v>
      </c>
      <c r="G5922">
        <v>-300.19850000000002</v>
      </c>
      <c r="H5922" s="1">
        <v>-2.5778979999999999E-6</v>
      </c>
      <c r="I5922">
        <v>-44.38908</v>
      </c>
      <c r="J5922">
        <v>-300.69150000000002</v>
      </c>
      <c r="K5922">
        <v>1.1107020000000001</v>
      </c>
      <c r="L5922">
        <v>-22.861049999999999</v>
      </c>
      <c r="M5922">
        <v>-5.793773E-2</v>
      </c>
      <c r="N5922">
        <v>0</v>
      </c>
      <c r="O5922">
        <v>-0.99822699999999998</v>
      </c>
      <c r="P5922">
        <v>-3.8106309999999997E-2</v>
      </c>
      <c r="Q5922">
        <v>0.1987448</v>
      </c>
      <c r="R5922">
        <v>-0.97931029999999997</v>
      </c>
      <c r="S5922">
        <v>6.8450929999999993E-2</v>
      </c>
      <c r="T5922">
        <v>-0.15826489999999999</v>
      </c>
      <c r="U5922">
        <v>-3.098328</v>
      </c>
      <c r="V5922">
        <v>-1.8758940000000002E-2</v>
      </c>
      <c r="W5922">
        <v>0.2120899</v>
      </c>
      <c r="X5922">
        <v>0.97707010000000005</v>
      </c>
      <c r="Y5922">
        <v>-7.9950670000000001E-2</v>
      </c>
      <c r="Z5922">
        <v>5.0797839999999997E-2</v>
      </c>
      <c r="AA5922">
        <v>0.99550360000000004</v>
      </c>
      <c r="AB5922">
        <v>19</v>
      </c>
      <c r="AC5922">
        <v>0.492999999999995</v>
      </c>
      <c r="AD5922">
        <v>-1.110704577898</v>
      </c>
      <c r="AE5922">
        <v>-21.528029999999902</v>
      </c>
      <c r="AF5922">
        <v>-1.7349571266533099</v>
      </c>
      <c r="AG5922">
        <v>-1.110704577898</v>
      </c>
      <c r="AH5922">
        <v>21.406343236478701</v>
      </c>
      <c r="AI5922">
        <v>92.960535051219907</v>
      </c>
      <c r="AJ5922">
        <v>94.633622462061496</v>
      </c>
      <c r="AK5922">
        <v>21.505238237430099</v>
      </c>
      <c r="AL5922">
        <v>77.755146119794702</v>
      </c>
      <c r="AM5922">
        <v>91.099896576784005</v>
      </c>
      <c r="AN5922">
        <v>1.00000000191297</v>
      </c>
    </row>
    <row r="5923" spans="1:40" x14ac:dyDescent="0.25">
      <c r="A5923" t="str">
        <f>"20190312173044255"</f>
        <v>20190312173044255</v>
      </c>
      <c r="B5923" t="str">
        <f>"1552383044254026"</f>
        <v>1552383044254026</v>
      </c>
      <c r="C5923" t="s">
        <v>40</v>
      </c>
      <c r="D5923">
        <v>3.3961260000000002</v>
      </c>
      <c r="E5923">
        <v>0.47648699999999999</v>
      </c>
      <c r="F5923" t="s">
        <v>54</v>
      </c>
      <c r="G5923">
        <v>-300.18150000000003</v>
      </c>
      <c r="H5923" s="1">
        <v>-2.780842E-6</v>
      </c>
      <c r="I5923">
        <v>-44.71208</v>
      </c>
      <c r="J5923">
        <v>-300.71129999999999</v>
      </c>
      <c r="K5923">
        <v>1.1107929999999999</v>
      </c>
      <c r="L5923">
        <v>-23.207920000000001</v>
      </c>
      <c r="M5923">
        <v>-5.7614150000000003E-2</v>
      </c>
      <c r="N5923">
        <v>0</v>
      </c>
      <c r="O5923">
        <v>-0.99824650000000004</v>
      </c>
      <c r="P5923">
        <v>-3.5262710000000003E-2</v>
      </c>
      <c r="Q5923">
        <v>0.19838929999999999</v>
      </c>
      <c r="R5923">
        <v>-0.97948930000000001</v>
      </c>
      <c r="S5923">
        <v>7.2296139999999995E-2</v>
      </c>
      <c r="T5923">
        <v>-0.15748110000000001</v>
      </c>
      <c r="U5923">
        <v>-3.0981450000000001</v>
      </c>
      <c r="V5923">
        <v>-2.1346560000000001E-2</v>
      </c>
      <c r="W5923">
        <v>0.21168310000000001</v>
      </c>
      <c r="X5923">
        <v>0.97710520000000001</v>
      </c>
      <c r="Y5923">
        <v>-8.0863969999999993E-2</v>
      </c>
      <c r="Z5923">
        <v>5.054873E-2</v>
      </c>
      <c r="AA5923">
        <v>0.99544250000000001</v>
      </c>
      <c r="AB5923">
        <v>19</v>
      </c>
      <c r="AC5923">
        <v>0.52979999999996596</v>
      </c>
      <c r="AD5923">
        <v>-1.1107957808419999</v>
      </c>
      <c r="AE5923">
        <v>-21.504159999999999</v>
      </c>
      <c r="AF5923">
        <v>-1.7632760556039</v>
      </c>
      <c r="AG5923">
        <v>-1.1107957808419999</v>
      </c>
      <c r="AH5923">
        <v>21.380892032926699</v>
      </c>
      <c r="AI5923">
        <v>92.963954390603007</v>
      </c>
      <c r="AJ5923">
        <v>94.714497713053703</v>
      </c>
      <c r="AK5923">
        <v>21.482214826192202</v>
      </c>
      <c r="AL5923">
        <v>77.778995428317003</v>
      </c>
      <c r="AM5923">
        <v>91.251526722949507</v>
      </c>
      <c r="AN5923">
        <v>0.99999999115824101</v>
      </c>
    </row>
    <row r="5924" spans="1:40" x14ac:dyDescent="0.25">
      <c r="A5924" t="str">
        <f>"20190312173044284"</f>
        <v>20190312173044284</v>
      </c>
      <c r="B5924" t="str">
        <f>"1552383044273547"</f>
        <v>1552383044273547</v>
      </c>
      <c r="C5924" t="s">
        <v>40</v>
      </c>
      <c r="D5924">
        <v>3.4349379999999998</v>
      </c>
      <c r="E5924">
        <v>0.47650989999999999</v>
      </c>
      <c r="F5924" t="s">
        <v>54</v>
      </c>
      <c r="G5924">
        <v>-300.11720000000003</v>
      </c>
      <c r="H5924" s="1">
        <v>-2.9682650000000001E-6</v>
      </c>
      <c r="I5924">
        <v>-45.021050000000002</v>
      </c>
      <c r="J5924">
        <v>-300.7253</v>
      </c>
      <c r="K5924">
        <v>1.110868</v>
      </c>
      <c r="L5924">
        <v>-23.457239999999999</v>
      </c>
      <c r="M5924">
        <v>-5.7153059999999999E-2</v>
      </c>
      <c r="N5924">
        <v>0</v>
      </c>
      <c r="O5924">
        <v>-0.99827319999999997</v>
      </c>
      <c r="P5924">
        <v>-3.4053590000000002E-2</v>
      </c>
      <c r="Q5924">
        <v>0.19857030000000001</v>
      </c>
      <c r="R5924">
        <v>-0.97949489999999995</v>
      </c>
      <c r="S5924">
        <v>8.4381100000000001E-2</v>
      </c>
      <c r="T5924">
        <v>-0.15775059999999999</v>
      </c>
      <c r="U5924">
        <v>-3.0978089999999998</v>
      </c>
      <c r="V5924">
        <v>-2.214673E-2</v>
      </c>
      <c r="W5924">
        <v>0.21183260000000001</v>
      </c>
      <c r="X5924">
        <v>0.97705500000000001</v>
      </c>
      <c r="Y5924">
        <v>-8.4286369999999999E-2</v>
      </c>
      <c r="Z5924">
        <v>5.063281E-2</v>
      </c>
      <c r="AA5924">
        <v>0.99515430000000005</v>
      </c>
      <c r="AB5924">
        <v>19</v>
      </c>
      <c r="AC5924">
        <v>0.60809999999997899</v>
      </c>
      <c r="AD5924">
        <v>-1.110870968265</v>
      </c>
      <c r="AE5924">
        <v>-21.56381</v>
      </c>
      <c r="AF5924">
        <v>-1.8347916589134201</v>
      </c>
      <c r="AG5924">
        <v>-1.110870968265</v>
      </c>
      <c r="AH5924">
        <v>21.436952691539499</v>
      </c>
      <c r="AI5924">
        <v>92.955648447575001</v>
      </c>
      <c r="AJ5924">
        <v>94.892030904878695</v>
      </c>
      <c r="AK5924">
        <v>21.5439883828194</v>
      </c>
      <c r="AL5924">
        <v>77.770231066407405</v>
      </c>
      <c r="AM5924">
        <v>91.298490780704</v>
      </c>
      <c r="AN5924">
        <v>1.00000000054872</v>
      </c>
    </row>
    <row r="5925" spans="1:40" x14ac:dyDescent="0.25">
      <c r="A5925" t="str">
        <f>"20190312173044307"</f>
        <v>20190312173044307</v>
      </c>
      <c r="B5925" t="str">
        <f>"1552383044303333"</f>
        <v>1552383044303333</v>
      </c>
      <c r="C5925" t="s">
        <v>40</v>
      </c>
      <c r="D5925">
        <v>3.4212509999999998</v>
      </c>
      <c r="E5925">
        <v>0.47657909999999998</v>
      </c>
      <c r="F5925" t="s">
        <v>54</v>
      </c>
      <c r="G5925">
        <v>-300.07279999999997</v>
      </c>
      <c r="H5925" s="1">
        <v>-3.2293309999999999E-6</v>
      </c>
      <c r="I5925">
        <v>-45.474119999999999</v>
      </c>
      <c r="J5925">
        <v>-300.73590000000002</v>
      </c>
      <c r="K5925">
        <v>1.110935</v>
      </c>
      <c r="L5925">
        <v>-23.652830000000002</v>
      </c>
      <c r="M5925">
        <v>-5.6632309999999998E-2</v>
      </c>
      <c r="N5925">
        <v>0</v>
      </c>
      <c r="O5925">
        <v>-0.99830339999999995</v>
      </c>
      <c r="P5925">
        <v>-3.2109680000000002E-2</v>
      </c>
      <c r="Q5925">
        <v>0.19868</v>
      </c>
      <c r="R5925">
        <v>-0.97953860000000004</v>
      </c>
      <c r="S5925">
        <v>9.1796879999999997E-2</v>
      </c>
      <c r="T5925">
        <v>-0.1562952</v>
      </c>
      <c r="U5925">
        <v>-3.0976870000000001</v>
      </c>
      <c r="V5925">
        <v>-2.3615219999999999E-2</v>
      </c>
      <c r="W5925">
        <v>0.2119193</v>
      </c>
      <c r="X5925">
        <v>0.97700180000000003</v>
      </c>
      <c r="Y5925">
        <v>-8.614861E-2</v>
      </c>
      <c r="Z5925">
        <v>5.0165359999999999E-2</v>
      </c>
      <c r="AA5925">
        <v>0.99501850000000003</v>
      </c>
      <c r="AB5925">
        <v>19</v>
      </c>
      <c r="AC5925">
        <v>0.66310000000004199</v>
      </c>
      <c r="AD5925">
        <v>-1.1109382293309999</v>
      </c>
      <c r="AE5925">
        <v>-21.821290000000001</v>
      </c>
      <c r="AF5925">
        <v>-1.8930367677964599</v>
      </c>
      <c r="AG5925">
        <v>-1.1109382293309999</v>
      </c>
      <c r="AH5925">
        <v>21.6925332310371</v>
      </c>
      <c r="AI5925">
        <v>92.920642941687703</v>
      </c>
      <c r="AJ5925">
        <v>94.987381351841506</v>
      </c>
      <c r="AK5925">
        <v>21.8032972261827</v>
      </c>
      <c r="AL5925">
        <v>77.765148025344303</v>
      </c>
      <c r="AM5925">
        <v>91.384633095817406</v>
      </c>
      <c r="AN5925">
        <v>0.99999999276568896</v>
      </c>
    </row>
    <row r="5926" spans="1:40" x14ac:dyDescent="0.25">
      <c r="A5926" t="str">
        <f>"20190312173044326"</f>
        <v>20190312173044326</v>
      </c>
      <c r="B5926" t="str">
        <f>"1552383044323829"</f>
        <v>1552383044323829</v>
      </c>
      <c r="C5926" t="s">
        <v>40</v>
      </c>
      <c r="D5926">
        <v>3.4125429999999999</v>
      </c>
      <c r="E5926">
        <v>0.47664329999999999</v>
      </c>
      <c r="F5926" t="s">
        <v>54</v>
      </c>
      <c r="G5926">
        <v>-300.02210000000002</v>
      </c>
      <c r="H5926" s="1">
        <v>-3.386326E-6</v>
      </c>
      <c r="I5926">
        <v>-45.788020000000003</v>
      </c>
      <c r="J5926">
        <v>-300.74470000000002</v>
      </c>
      <c r="K5926">
        <v>1.1109800000000001</v>
      </c>
      <c r="L5926">
        <v>-23.81766</v>
      </c>
      <c r="M5926">
        <v>-5.6102480000000003E-2</v>
      </c>
      <c r="N5926">
        <v>0</v>
      </c>
      <c r="O5926">
        <v>-0.99833320000000003</v>
      </c>
      <c r="P5926">
        <v>-2.9693870000000001E-2</v>
      </c>
      <c r="Q5926">
        <v>0.19772429999999999</v>
      </c>
      <c r="R5926">
        <v>-0.97980800000000001</v>
      </c>
      <c r="S5926">
        <v>9.9884029999999999E-2</v>
      </c>
      <c r="T5926">
        <v>-0.1554585</v>
      </c>
      <c r="U5926">
        <v>-3.0974729999999999</v>
      </c>
      <c r="V5926">
        <v>-2.5549840000000001E-2</v>
      </c>
      <c r="W5926">
        <v>0.2109481</v>
      </c>
      <c r="X5926">
        <v>0.97716329999999996</v>
      </c>
      <c r="Y5926">
        <v>-8.8217550000000006E-2</v>
      </c>
      <c r="Z5926">
        <v>4.9896599999999999E-2</v>
      </c>
      <c r="AA5926">
        <v>0.99485080000000004</v>
      </c>
      <c r="AB5926">
        <v>19</v>
      </c>
      <c r="AC5926">
        <v>0.72259999999999902</v>
      </c>
      <c r="AD5926">
        <v>-1.1109833863259999</v>
      </c>
      <c r="AE5926">
        <v>-21.970359999999999</v>
      </c>
      <c r="AF5926">
        <v>-1.9491875908138001</v>
      </c>
      <c r="AG5926">
        <v>-1.1109833863259999</v>
      </c>
      <c r="AH5926">
        <v>21.839422953176499</v>
      </c>
      <c r="AI5926">
        <v>92.900647176311793</v>
      </c>
      <c r="AJ5926">
        <v>95.100184844593798</v>
      </c>
      <c r="AK5926">
        <v>21.954362010238501</v>
      </c>
      <c r="AL5926">
        <v>77.822080958066607</v>
      </c>
      <c r="AM5926">
        <v>91.497768624459795</v>
      </c>
      <c r="AN5926">
        <v>1.0000000050422599</v>
      </c>
    </row>
    <row r="5927" spans="1:40" x14ac:dyDescent="0.25">
      <c r="A5927" t="str">
        <f>"20190312173044351"</f>
        <v>20190312173044351</v>
      </c>
      <c r="B5927" t="str">
        <f>"1552383044343350"</f>
        <v>1552383044343350</v>
      </c>
      <c r="C5927" t="s">
        <v>40</v>
      </c>
      <c r="D5927">
        <v>3.406857</v>
      </c>
      <c r="E5927">
        <v>0.47671180000000002</v>
      </c>
      <c r="F5927" t="s">
        <v>54</v>
      </c>
      <c r="G5927">
        <v>-299.98970000000003</v>
      </c>
      <c r="H5927" s="1">
        <v>-3.2494620000000002E-6</v>
      </c>
      <c r="I5927">
        <v>-45.523099999999999</v>
      </c>
      <c r="J5927">
        <v>-300.7552</v>
      </c>
      <c r="K5927">
        <v>1.111035</v>
      </c>
      <c r="L5927">
        <v>-24.021180000000001</v>
      </c>
      <c r="M5927">
        <v>-5.5317289999999998E-2</v>
      </c>
      <c r="N5927">
        <v>0</v>
      </c>
      <c r="O5927">
        <v>-0.99837750000000003</v>
      </c>
      <c r="P5927">
        <v>-2.710046E-2</v>
      </c>
      <c r="Q5927">
        <v>0.19684199999999999</v>
      </c>
      <c r="R5927">
        <v>-0.98006079999999995</v>
      </c>
      <c r="S5927">
        <v>0.10772710000000001</v>
      </c>
      <c r="T5927">
        <v>-0.15852249999999901</v>
      </c>
      <c r="U5927">
        <v>-3.0970759999999999</v>
      </c>
      <c r="V5927">
        <v>-2.741389E-2</v>
      </c>
      <c r="W5927">
        <v>0.2100484</v>
      </c>
      <c r="X5927">
        <v>0.97730660000000003</v>
      </c>
      <c r="Y5927">
        <v>-8.9952879999999999E-2</v>
      </c>
      <c r="Z5927">
        <v>5.0881240000000001E-2</v>
      </c>
      <c r="AA5927">
        <v>0.99464549999999996</v>
      </c>
      <c r="AB5927">
        <v>19</v>
      </c>
      <c r="AC5927">
        <v>0.76549999999997398</v>
      </c>
      <c r="AD5927">
        <v>-1.1110382494619999</v>
      </c>
      <c r="AE5927">
        <v>-21.501919999999998</v>
      </c>
      <c r="AF5927">
        <v>-1.94866782223164</v>
      </c>
      <c r="AG5927">
        <v>-1.1110382494619999</v>
      </c>
      <c r="AH5927">
        <v>21.3696578254931</v>
      </c>
      <c r="AI5927">
        <v>92.963932086200401</v>
      </c>
      <c r="AJ5927">
        <v>95.210308321042703</v>
      </c>
      <c r="AK5927">
        <v>21.487065594255299</v>
      </c>
      <c r="AL5927">
        <v>77.874811636627697</v>
      </c>
      <c r="AM5927">
        <v>91.606751079524201</v>
      </c>
      <c r="AN5927">
        <v>1.00000002105552</v>
      </c>
    </row>
    <row r="5928" spans="1:40" x14ac:dyDescent="0.25">
      <c r="A5928" t="str">
        <f>"20190312173044373"</f>
        <v>20190312173044373</v>
      </c>
      <c r="B5928" t="str">
        <f>"1552383044363846"</f>
        <v>1552383044363846</v>
      </c>
      <c r="C5928" t="s">
        <v>40</v>
      </c>
      <c r="D5928">
        <v>3.4238279999999999</v>
      </c>
      <c r="E5928">
        <v>0.47678209999999999</v>
      </c>
      <c r="F5928" t="s">
        <v>54</v>
      </c>
      <c r="G5928">
        <v>-299.96039999999999</v>
      </c>
      <c r="H5928" s="1">
        <v>-3.1355229999999999E-6</v>
      </c>
      <c r="I5928">
        <v>-45.318519999999999</v>
      </c>
      <c r="J5928">
        <v>-300.76530000000002</v>
      </c>
      <c r="K5928">
        <v>1.1110949999999999</v>
      </c>
      <c r="L5928">
        <v>-24.220949999999998</v>
      </c>
      <c r="M5928">
        <v>-5.4418469999999997E-2</v>
      </c>
      <c r="N5928">
        <v>0</v>
      </c>
      <c r="O5928">
        <v>-0.99842690000000001</v>
      </c>
      <c r="P5928">
        <v>-2.4715440000000002E-2</v>
      </c>
      <c r="Q5928">
        <v>0.1961185</v>
      </c>
      <c r="R5928">
        <v>-0.98026869999999999</v>
      </c>
      <c r="S5928">
        <v>0.1155701</v>
      </c>
      <c r="T5928">
        <v>-0.16154739999999901</v>
      </c>
      <c r="U5928">
        <v>-3.0966800000000001</v>
      </c>
      <c r="V5928">
        <v>-2.8953610000000001E-2</v>
      </c>
      <c r="W5928">
        <v>0.209309</v>
      </c>
      <c r="X5928">
        <v>0.97742079999999998</v>
      </c>
      <c r="Y5928">
        <v>-9.1574569999999994E-2</v>
      </c>
      <c r="Z5928">
        <v>5.185381E-2</v>
      </c>
      <c r="AA5928">
        <v>0.99444719999999998</v>
      </c>
      <c r="AB5928">
        <v>19</v>
      </c>
      <c r="AC5928">
        <v>0.80490000000003104</v>
      </c>
      <c r="AD5928">
        <v>-1.1110981355230001</v>
      </c>
      <c r="AE5928">
        <v>-21.097570000000001</v>
      </c>
      <c r="AF5928">
        <v>-1.9465183022659001</v>
      </c>
      <c r="AG5928">
        <v>-1.1110981355230001</v>
      </c>
      <c r="AH5928">
        <v>20.964434928349299</v>
      </c>
      <c r="AI5928">
        <v>93.020822770273597</v>
      </c>
      <c r="AJ5928">
        <v>95.304623966577495</v>
      </c>
      <c r="AK5928">
        <v>21.0839039182219</v>
      </c>
      <c r="AL5928">
        <v>77.918138971294198</v>
      </c>
      <c r="AM5928">
        <v>91.696745845171705</v>
      </c>
      <c r="AN5928">
        <v>0.99999999464283595</v>
      </c>
    </row>
    <row r="5929" spans="1:40" x14ac:dyDescent="0.25">
      <c r="A5929" t="str">
        <f>"20190312173044397"</f>
        <v>20190312173044397</v>
      </c>
      <c r="B5929" t="str">
        <f>"1552383044393634"</f>
        <v>1552383044393634</v>
      </c>
      <c r="C5929" t="s">
        <v>40</v>
      </c>
      <c r="D5929">
        <v>3.4141270000000001</v>
      </c>
      <c r="E5929">
        <v>0.47688000000000003</v>
      </c>
      <c r="F5929" t="s">
        <v>54</v>
      </c>
      <c r="G5929">
        <v>-299.93130000000002</v>
      </c>
      <c r="H5929" s="1">
        <v>-3.0691730000000001E-6</v>
      </c>
      <c r="I5929">
        <v>-45.203620000000001</v>
      </c>
      <c r="J5929">
        <v>-300.77519999999998</v>
      </c>
      <c r="K5929">
        <v>1.111151</v>
      </c>
      <c r="L5929">
        <v>-24.423279999999998</v>
      </c>
      <c r="M5929">
        <v>-5.3390489999999999E-2</v>
      </c>
      <c r="N5929">
        <v>0</v>
      </c>
      <c r="O5929">
        <v>-0.99848230000000004</v>
      </c>
      <c r="P5929">
        <v>-2.2790319999999999E-2</v>
      </c>
      <c r="Q5929">
        <v>0.19632759999999999</v>
      </c>
      <c r="R5929">
        <v>-0.98027370000000003</v>
      </c>
      <c r="S5929">
        <v>0.1230774</v>
      </c>
      <c r="T5929">
        <v>-0.16395779999999999</v>
      </c>
      <c r="U5929">
        <v>-3.0962830000000001</v>
      </c>
      <c r="V5929">
        <v>-2.9895660000000001E-2</v>
      </c>
      <c r="W5929">
        <v>0.20950199999999999</v>
      </c>
      <c r="X5929">
        <v>0.97735110000000003</v>
      </c>
      <c r="Y5929">
        <v>-9.2959959999999994E-2</v>
      </c>
      <c r="Z5929">
        <v>5.2630639999999999E-2</v>
      </c>
      <c r="AA5929">
        <v>0.99427779999999999</v>
      </c>
      <c r="AB5929">
        <v>19</v>
      </c>
      <c r="AC5929">
        <v>0.84389999999996201</v>
      </c>
      <c r="AD5929">
        <v>-1.111154069173</v>
      </c>
      <c r="AE5929">
        <v>-20.780339999999999</v>
      </c>
      <c r="AF5929">
        <v>-1.9467130902924099</v>
      </c>
      <c r="AG5929">
        <v>-1.111154069173</v>
      </c>
      <c r="AH5929">
        <v>20.646699785238098</v>
      </c>
      <c r="AI5929">
        <v>93.066968269233399</v>
      </c>
      <c r="AJ5929">
        <v>95.386316981804995</v>
      </c>
      <c r="AK5929">
        <v>20.768017893942201</v>
      </c>
      <c r="AL5929">
        <v>77.906830291063699</v>
      </c>
      <c r="AM5929">
        <v>91.752043066183703</v>
      </c>
      <c r="AN5929">
        <v>1.0000000055810201</v>
      </c>
    </row>
    <row r="5930" spans="1:40" x14ac:dyDescent="0.25">
      <c r="A5930" t="str">
        <f>"20190312173044419"</f>
        <v>20190312173044419</v>
      </c>
      <c r="B5930" t="str">
        <f>"1552383044414130"</f>
        <v>1552383044414130</v>
      </c>
      <c r="C5930" t="s">
        <v>40</v>
      </c>
      <c r="D5930">
        <v>3.4122979999999998</v>
      </c>
      <c r="E5930">
        <v>0.47695650000000001</v>
      </c>
      <c r="F5930" t="s">
        <v>54</v>
      </c>
      <c r="G5930">
        <v>-299.90069999999997</v>
      </c>
      <c r="H5930" s="1">
        <v>-3.215955E-6</v>
      </c>
      <c r="I5930">
        <v>-45.436160000000001</v>
      </c>
      <c r="J5930">
        <v>-300.7835</v>
      </c>
      <c r="K5930">
        <v>1.111192</v>
      </c>
      <c r="L5930">
        <v>-24.600010000000001</v>
      </c>
      <c r="M5930">
        <v>-5.2408990000000003E-2</v>
      </c>
      <c r="N5930">
        <v>0</v>
      </c>
      <c r="O5930">
        <v>-0.99853440000000004</v>
      </c>
      <c r="P5930">
        <v>-2.1294319999999999E-2</v>
      </c>
      <c r="Q5930">
        <v>0.1969824</v>
      </c>
      <c r="R5930">
        <v>-0.98017589999999999</v>
      </c>
      <c r="S5930">
        <v>0.12884519999999999</v>
      </c>
      <c r="T5930">
        <v>-0.16372390000000001</v>
      </c>
      <c r="U5930">
        <v>-3.0961609999999999</v>
      </c>
      <c r="V5930">
        <v>-3.0443149999999999E-2</v>
      </c>
      <c r="W5930">
        <v>0.21014350000000001</v>
      </c>
      <c r="X5930">
        <v>0.97719650000000002</v>
      </c>
      <c r="Y5930">
        <v>-9.3832109999999996E-2</v>
      </c>
      <c r="Z5930">
        <v>5.2557819999999998E-2</v>
      </c>
      <c r="AA5930">
        <v>0.99419979999999997</v>
      </c>
      <c r="AB5930">
        <v>19</v>
      </c>
      <c r="AC5930">
        <v>0.882800000000031</v>
      </c>
      <c r="AD5930">
        <v>-1.111195215955</v>
      </c>
      <c r="AE5930">
        <v>-20.83615</v>
      </c>
      <c r="AF5930">
        <v>-1.9681002486566801</v>
      </c>
      <c r="AG5930">
        <v>-1.111195215955</v>
      </c>
      <c r="AH5930">
        <v>20.7024643758349</v>
      </c>
      <c r="AI5930">
        <v>93.058612589270197</v>
      </c>
      <c r="AJ5930">
        <v>95.430559543738696</v>
      </c>
      <c r="AK5930">
        <v>20.825470093840298</v>
      </c>
      <c r="AL5930">
        <v>77.8692386243101</v>
      </c>
      <c r="AM5930">
        <v>91.784390389535602</v>
      </c>
      <c r="AN5930">
        <v>1.0000000377932099</v>
      </c>
    </row>
    <row r="5931" spans="1:40" x14ac:dyDescent="0.25">
      <c r="A5931" t="str">
        <f>"20190312173044442"</f>
        <v>20190312173044442</v>
      </c>
      <c r="B5931" t="str">
        <f>"1552383044433651"</f>
        <v>1552383044433651</v>
      </c>
      <c r="C5931" t="s">
        <v>40</v>
      </c>
      <c r="D5931">
        <v>3.422933</v>
      </c>
      <c r="E5931">
        <v>0.47703440000000003</v>
      </c>
      <c r="F5931" t="s">
        <v>54</v>
      </c>
      <c r="G5931">
        <v>-299.86599999999999</v>
      </c>
      <c r="H5931" s="1">
        <v>-3.4363270000000001E-6</v>
      </c>
      <c r="I5931">
        <v>-45.853529999999999</v>
      </c>
      <c r="J5931">
        <v>-300.7928</v>
      </c>
      <c r="K5931">
        <v>1.111229</v>
      </c>
      <c r="L5931">
        <v>-24.802489999999999</v>
      </c>
      <c r="M5931">
        <v>-5.1209079999999997E-2</v>
      </c>
      <c r="N5931">
        <v>0</v>
      </c>
      <c r="O5931">
        <v>-0.99859730000000002</v>
      </c>
      <c r="P5931">
        <v>-2.0177400000000002E-2</v>
      </c>
      <c r="Q5931">
        <v>0.1983133</v>
      </c>
      <c r="R5931">
        <v>-0.97993140000000001</v>
      </c>
      <c r="S5931">
        <v>0.13366700000000001</v>
      </c>
      <c r="T5931">
        <v>-0.16187299999999999</v>
      </c>
      <c r="U5931">
        <v>-3.0960999999999999</v>
      </c>
      <c r="V5931">
        <v>-3.0389159999999998E-2</v>
      </c>
      <c r="W5931">
        <v>0.2114547</v>
      </c>
      <c r="X5931">
        <v>0.97691519999999998</v>
      </c>
      <c r="Y5931">
        <v>-9.4183470000000005E-2</v>
      </c>
      <c r="Z5931">
        <v>5.196858E-2</v>
      </c>
      <c r="AA5931">
        <v>0.99419749999999996</v>
      </c>
      <c r="AB5931">
        <v>19</v>
      </c>
      <c r="AC5931">
        <v>0.92680000000001395</v>
      </c>
      <c r="AD5931">
        <v>-1.1112324363269901</v>
      </c>
      <c r="AE5931">
        <v>-21.05104</v>
      </c>
      <c r="AF5931">
        <v>-1.9981287123117299</v>
      </c>
      <c r="AG5931">
        <v>-1.1112324363269901</v>
      </c>
      <c r="AH5931">
        <v>20.917775086868801</v>
      </c>
      <c r="AI5931">
        <v>93.027159357664999</v>
      </c>
      <c r="AJ5931">
        <v>95.456508929301506</v>
      </c>
      <c r="AK5931">
        <v>21.0423542043978</v>
      </c>
      <c r="AL5931">
        <v>77.792384365180794</v>
      </c>
      <c r="AM5931">
        <v>91.781740436929198</v>
      </c>
      <c r="AN5931">
        <v>0.99999994959431604</v>
      </c>
    </row>
    <row r="5932" spans="1:40" x14ac:dyDescent="0.25">
      <c r="A5932" t="str">
        <f>"20190312173044461"</f>
        <v>20190312173044461</v>
      </c>
      <c r="B5932" t="str">
        <f>"1552383044453171"</f>
        <v>1552383044453171</v>
      </c>
      <c r="C5932" t="s">
        <v>40</v>
      </c>
      <c r="D5932">
        <v>3.4256540000000002</v>
      </c>
      <c r="E5932">
        <v>0.47711009999999998</v>
      </c>
      <c r="F5932" t="s">
        <v>54</v>
      </c>
      <c r="G5932">
        <v>-299.834</v>
      </c>
      <c r="H5932" s="1">
        <v>-3.8061380000000001E-6</v>
      </c>
      <c r="I5932">
        <v>-46.565370000000001</v>
      </c>
      <c r="J5932">
        <v>-300.7998</v>
      </c>
      <c r="K5932">
        <v>1.111245</v>
      </c>
      <c r="L5932">
        <v>-24.963529999999999</v>
      </c>
      <c r="M5932">
        <v>-5.020616E-2</v>
      </c>
      <c r="N5932">
        <v>0</v>
      </c>
      <c r="O5932">
        <v>-0.99864830000000004</v>
      </c>
      <c r="P5932">
        <v>-1.997881E-2</v>
      </c>
      <c r="Q5932">
        <v>0.19855139999999999</v>
      </c>
      <c r="R5932">
        <v>-0.97988710000000001</v>
      </c>
      <c r="S5932">
        <v>0.1364136</v>
      </c>
      <c r="T5932">
        <v>-0.1580975</v>
      </c>
      <c r="U5932">
        <v>-3.0962519999999998</v>
      </c>
      <c r="V5932">
        <v>-2.9610230000000001E-2</v>
      </c>
      <c r="W5932">
        <v>0.21167610000000001</v>
      </c>
      <c r="X5932">
        <v>0.97689119999999996</v>
      </c>
      <c r="Y5932">
        <v>-9.4064510000000004E-2</v>
      </c>
      <c r="Z5932">
        <v>5.0760369999999999E-2</v>
      </c>
      <c r="AA5932">
        <v>0.99427120000000002</v>
      </c>
      <c r="AB5932">
        <v>19</v>
      </c>
      <c r="AC5932">
        <v>0.96580000000000099</v>
      </c>
      <c r="AD5932">
        <v>-1.1112488061379999</v>
      </c>
      <c r="AE5932">
        <v>-21.601839999999999</v>
      </c>
      <c r="AF5932">
        <v>-2.0438275225146798</v>
      </c>
      <c r="AG5932">
        <v>-1.1112488061379999</v>
      </c>
      <c r="AH5932">
        <v>21.469397568515301</v>
      </c>
      <c r="AI5932">
        <v>92.949654407408403</v>
      </c>
      <c r="AJ5932">
        <v>95.438012573113397</v>
      </c>
      <c r="AK5932">
        <v>21.595072049101901</v>
      </c>
      <c r="AL5932">
        <v>77.779405620373595</v>
      </c>
      <c r="AM5932">
        <v>91.736142097789994</v>
      </c>
      <c r="AN5932">
        <v>0.99999997683465103</v>
      </c>
    </row>
    <row r="5933" spans="1:40" x14ac:dyDescent="0.25">
      <c r="A5933" t="str">
        <f>"20190312173044486"</f>
        <v>20190312173044486</v>
      </c>
      <c r="B5933" t="str">
        <f>"1552383044473667"</f>
        <v>1552383044473667</v>
      </c>
      <c r="C5933" t="s">
        <v>40</v>
      </c>
      <c r="D5933">
        <v>3.4175610000000001</v>
      </c>
      <c r="E5933">
        <v>0.47720970000000001</v>
      </c>
      <c r="F5933" t="s">
        <v>54</v>
      </c>
      <c r="G5933">
        <v>-299.84500000000003</v>
      </c>
      <c r="H5933" s="1">
        <v>-3.8949529999999997E-6</v>
      </c>
      <c r="I5933">
        <v>-46.744480000000003</v>
      </c>
      <c r="J5933">
        <v>-300.80880000000002</v>
      </c>
      <c r="K5933">
        <v>1.1112390000000001</v>
      </c>
      <c r="L5933">
        <v>-25.173100000000002</v>
      </c>
      <c r="M5933">
        <v>-4.886414E-2</v>
      </c>
      <c r="N5933">
        <v>0</v>
      </c>
      <c r="O5933">
        <v>-0.99871520000000003</v>
      </c>
      <c r="P5933">
        <v>-1.956068E-2</v>
      </c>
      <c r="Q5933">
        <v>0.19812669999999999</v>
      </c>
      <c r="R5933">
        <v>-0.97998110000000005</v>
      </c>
      <c r="S5933">
        <v>0.13574220000000001</v>
      </c>
      <c r="T5933">
        <v>-0.15797340000000001</v>
      </c>
      <c r="U5933">
        <v>-3.0963440000000002</v>
      </c>
      <c r="V5933">
        <v>-2.871872E-2</v>
      </c>
      <c r="W5933">
        <v>0.21122489999999999</v>
      </c>
      <c r="X5933">
        <v>0.97701550000000004</v>
      </c>
      <c r="Y5933">
        <v>-9.2510179999999997E-2</v>
      </c>
      <c r="Z5933">
        <v>5.0728170000000003E-2</v>
      </c>
      <c r="AA5933">
        <v>0.99441869999999999</v>
      </c>
      <c r="AB5933">
        <v>19</v>
      </c>
      <c r="AC5933">
        <v>0.963799999999992</v>
      </c>
      <c r="AD5933">
        <v>-1.11124289495299</v>
      </c>
      <c r="AE5933">
        <v>-21.571379999999898</v>
      </c>
      <c r="AF5933">
        <v>-2.0114830459045301</v>
      </c>
      <c r="AG5933">
        <v>-1.11124289495299</v>
      </c>
      <c r="AH5933">
        <v>21.441719542084702</v>
      </c>
      <c r="AI5933">
        <v>92.953822207813502</v>
      </c>
      <c r="AJ5933">
        <v>95.359326418241906</v>
      </c>
      <c r="AK5933">
        <v>21.564513946225699</v>
      </c>
      <c r="AL5933">
        <v>77.805855895750994</v>
      </c>
      <c r="AM5933">
        <v>91.683686478781098</v>
      </c>
      <c r="AN5933">
        <v>1.0000000052493401</v>
      </c>
    </row>
    <row r="5934" spans="1:40" x14ac:dyDescent="0.25">
      <c r="A5934" t="str">
        <f>"20190312173044512"</f>
        <v>20190312173044512</v>
      </c>
      <c r="B5934" t="str">
        <f>"1552383044503922"</f>
        <v>1552383044503922</v>
      </c>
      <c r="C5934" t="s">
        <v>40</v>
      </c>
      <c r="D5934">
        <v>3.5651600000000001</v>
      </c>
      <c r="E5934">
        <v>0.51258119999999996</v>
      </c>
      <c r="F5934" t="s">
        <v>54</v>
      </c>
      <c r="G5934">
        <v>-299.863</v>
      </c>
      <c r="H5934" s="1">
        <v>-3.8623329999999997E-6</v>
      </c>
      <c r="I5934">
        <v>-46.688319999999997</v>
      </c>
      <c r="J5934">
        <v>-300.81790000000001</v>
      </c>
      <c r="K5934">
        <v>1.1112150000000001</v>
      </c>
      <c r="L5934">
        <v>-25.393740000000001</v>
      </c>
      <c r="M5934">
        <v>-4.7430460000000001E-2</v>
      </c>
      <c r="N5934">
        <v>0</v>
      </c>
      <c r="O5934">
        <v>-0.99878469999999997</v>
      </c>
      <c r="P5934">
        <v>-2.0548719999999999E-2</v>
      </c>
      <c r="Q5934">
        <v>0.19845199999999999</v>
      </c>
      <c r="R5934">
        <v>-0.97989539999999997</v>
      </c>
      <c r="S5934">
        <v>0.13610839999999999</v>
      </c>
      <c r="T5934">
        <v>-0.15992190000000001</v>
      </c>
      <c r="U5934">
        <v>-3.0963129999999999</v>
      </c>
      <c r="V5934">
        <v>-2.6317670000000001E-2</v>
      </c>
      <c r="W5934">
        <v>0.21151529999999999</v>
      </c>
      <c r="X5934">
        <v>0.97702029999999995</v>
      </c>
      <c r="Y5934">
        <v>-9.1197159999999999E-2</v>
      </c>
      <c r="Z5934">
        <v>5.1361049999999998E-2</v>
      </c>
      <c r="AA5934">
        <v>0.99450749999999999</v>
      </c>
      <c r="AB5934">
        <v>19</v>
      </c>
      <c r="AC5934">
        <v>0.95490000000000896</v>
      </c>
      <c r="AD5934">
        <v>-1.1112188623329999</v>
      </c>
      <c r="AE5934">
        <v>-21.29458</v>
      </c>
      <c r="AF5934">
        <v>-1.95860473810164</v>
      </c>
      <c r="AG5934">
        <v>-1.1112188623329999</v>
      </c>
      <c r="AH5934">
        <v>21.1677881461571</v>
      </c>
      <c r="AI5934">
        <v>92.992268117668999</v>
      </c>
      <c r="AJ5934">
        <v>95.286389314417903</v>
      </c>
      <c r="AK5934">
        <v>21.2872307940866</v>
      </c>
      <c r="AL5934">
        <v>77.788832565849205</v>
      </c>
      <c r="AM5934">
        <v>91.542984189456504</v>
      </c>
      <c r="AN5934">
        <v>1.0000000042502</v>
      </c>
    </row>
    <row r="5935" spans="1:40" x14ac:dyDescent="0.25">
      <c r="A5935" t="str">
        <f>"20190312173044535"</f>
        <v>20190312173044535</v>
      </c>
      <c r="B5935" t="str">
        <f>"1552383044523443"</f>
        <v>1552383044523443</v>
      </c>
      <c r="C5935" t="s">
        <v>40</v>
      </c>
      <c r="D5935">
        <v>3.4624959999999998</v>
      </c>
      <c r="E5935">
        <v>0.57265129999999997</v>
      </c>
      <c r="F5935" t="s">
        <v>42</v>
      </c>
      <c r="G5935">
        <v>-300.85579999999999</v>
      </c>
      <c r="H5935">
        <v>1.025352</v>
      </c>
      <c r="I5935">
        <v>-26.213149999999999</v>
      </c>
      <c r="J5935">
        <v>-300.82560000000001</v>
      </c>
      <c r="K5935">
        <v>1.1111850000000001</v>
      </c>
      <c r="L5935">
        <v>-25.58896</v>
      </c>
      <c r="M5935">
        <v>-4.6162729999999999E-2</v>
      </c>
      <c r="N5935">
        <v>0</v>
      </c>
      <c r="O5935">
        <v>-0.99884479999999998</v>
      </c>
      <c r="P5935">
        <v>-2.2369969999999999E-2</v>
      </c>
      <c r="Q5935">
        <v>0.19841700000000001</v>
      </c>
      <c r="R5935">
        <v>-0.97986249999999997</v>
      </c>
      <c r="S5935">
        <v>-0.1443787</v>
      </c>
      <c r="T5935">
        <v>-0.32745790000000002</v>
      </c>
      <c r="U5935">
        <v>-3.1248469999999999</v>
      </c>
      <c r="V5935">
        <v>-2.324499E-2</v>
      </c>
      <c r="W5935">
        <v>0.21144070000000001</v>
      </c>
      <c r="X5935">
        <v>0.97711440000000005</v>
      </c>
      <c r="Y5935">
        <v>-2.6321720000000001E-4</v>
      </c>
      <c r="Z5935">
        <v>0.1040001</v>
      </c>
      <c r="AA5935">
        <v>0.99457720000000005</v>
      </c>
      <c r="AB5935">
        <v>19</v>
      </c>
      <c r="AC5935">
        <v>-3.0199999999979299E-2</v>
      </c>
      <c r="AD5935">
        <v>-8.5833000000000007E-2</v>
      </c>
      <c r="AE5935">
        <v>-0.62418999999999802</v>
      </c>
      <c r="AF5935">
        <v>1.3259054416972201E-3</v>
      </c>
      <c r="AG5935">
        <v>-8.5833000000000007E-2</v>
      </c>
      <c r="AH5935">
        <v>0.61334781277023598</v>
      </c>
      <c r="AI5935">
        <v>97.966321760758603</v>
      </c>
      <c r="AJ5935">
        <v>89.876140966148398</v>
      </c>
      <c r="AK5935">
        <v>0.61932592497349304</v>
      </c>
      <c r="AL5935">
        <v>77.793205996472594</v>
      </c>
      <c r="AM5935">
        <v>91.362776622062498</v>
      </c>
      <c r="AN5935">
        <v>1.00000002493197</v>
      </c>
    </row>
    <row r="5936" spans="1:40" x14ac:dyDescent="0.25">
      <c r="A5936" t="str">
        <f>"20190312173044554"</f>
        <v>20190312173044554</v>
      </c>
      <c r="B5936" t="str">
        <f>"1552383044543940"</f>
        <v>1552383044543940</v>
      </c>
      <c r="C5936" t="s">
        <v>40</v>
      </c>
      <c r="D5936">
        <v>3.4553430000000001</v>
      </c>
      <c r="E5936">
        <v>0.58111749999999995</v>
      </c>
      <c r="F5936" t="s">
        <v>42</v>
      </c>
      <c r="G5936">
        <v>-300.97500000000002</v>
      </c>
      <c r="H5936">
        <v>0.97026599999999996</v>
      </c>
      <c r="I5936">
        <v>-26.349779999999999</v>
      </c>
      <c r="J5936">
        <v>-300.8322</v>
      </c>
      <c r="K5936">
        <v>1.111151</v>
      </c>
      <c r="L5936">
        <v>-25.7608</v>
      </c>
      <c r="M5936">
        <v>-4.5052500000000002E-2</v>
      </c>
      <c r="N5936">
        <v>0</v>
      </c>
      <c r="O5936">
        <v>-0.99889640000000002</v>
      </c>
      <c r="P5936">
        <v>-2.3750509999999999E-2</v>
      </c>
      <c r="Q5936">
        <v>0.19707050000000001</v>
      </c>
      <c r="R5936">
        <v>-0.98010189999999997</v>
      </c>
      <c r="S5936">
        <v>-0.62112429999999996</v>
      </c>
      <c r="T5936">
        <v>-0.58647229999999995</v>
      </c>
      <c r="U5936">
        <v>-3.166229</v>
      </c>
      <c r="V5936">
        <v>-2.077681E-2</v>
      </c>
      <c r="W5936">
        <v>0.21003949999999999</v>
      </c>
      <c r="X5936">
        <v>0.97747209999999995</v>
      </c>
      <c r="Y5936">
        <v>0.1449763</v>
      </c>
      <c r="Z5936">
        <v>0.1792463</v>
      </c>
      <c r="AA5936">
        <v>0.97306349999999997</v>
      </c>
      <c r="AB5936">
        <v>19</v>
      </c>
      <c r="AC5936">
        <v>-0.14280000000002199</v>
      </c>
      <c r="AD5936">
        <v>-0.14088500000000001</v>
      </c>
      <c r="AE5936">
        <v>-0.58897999999999895</v>
      </c>
      <c r="AF5936">
        <v>0.110164260274062</v>
      </c>
      <c r="AG5936">
        <v>-0.14088500000000001</v>
      </c>
      <c r="AH5936">
        <v>0.56431966983229198</v>
      </c>
      <c r="AI5936">
        <v>103.76788456543299</v>
      </c>
      <c r="AJ5936">
        <v>78.953865855283993</v>
      </c>
      <c r="AK5936">
        <v>0.59198094329662199</v>
      </c>
      <c r="AL5936">
        <v>77.875332783008702</v>
      </c>
      <c r="AM5936">
        <v>91.2176759770459</v>
      </c>
      <c r="AN5936">
        <v>0.99999998683621705</v>
      </c>
    </row>
    <row r="5937" spans="1:40" x14ac:dyDescent="0.25">
      <c r="A5937" t="str">
        <f>"20190312173044574"</f>
        <v>20190312173044574</v>
      </c>
      <c r="B5937" t="str">
        <f>"1552383044563459"</f>
        <v>1552383044563459</v>
      </c>
      <c r="C5937" t="s">
        <v>40</v>
      </c>
      <c r="D5937">
        <v>3.439794</v>
      </c>
      <c r="E5937">
        <v>0.58563350000000003</v>
      </c>
      <c r="F5937" t="s">
        <v>42</v>
      </c>
      <c r="G5937">
        <v>-300.99619999999999</v>
      </c>
      <c r="H5937">
        <v>0.95868019999999998</v>
      </c>
      <c r="I5937">
        <v>-26.513269999999999</v>
      </c>
      <c r="J5937">
        <v>-300.8383</v>
      </c>
      <c r="K5937">
        <v>1.1111120000000001</v>
      </c>
      <c r="L5937">
        <v>-25.92343</v>
      </c>
      <c r="M5937">
        <v>-4.4010559999999997E-2</v>
      </c>
      <c r="N5937">
        <v>0</v>
      </c>
      <c r="O5937">
        <v>-0.99894400000000005</v>
      </c>
      <c r="P5937">
        <v>-2.4504689999999999E-2</v>
      </c>
      <c r="Q5937">
        <v>0.19563839999999999</v>
      </c>
      <c r="R5937">
        <v>-0.98037010000000002</v>
      </c>
      <c r="S5937">
        <v>-0.69131469999999995</v>
      </c>
      <c r="T5937">
        <v>-0.64308759999999998</v>
      </c>
      <c r="U5937">
        <v>-3.1734619999999998</v>
      </c>
      <c r="V5937">
        <v>-1.9003010000000001E-2</v>
      </c>
      <c r="W5937">
        <v>0.20853669999999999</v>
      </c>
      <c r="X5937">
        <v>0.97782990000000003</v>
      </c>
      <c r="Y5937">
        <v>0.1655644</v>
      </c>
      <c r="Z5937">
        <v>0.1947661</v>
      </c>
      <c r="AA5937">
        <v>0.96677539999999995</v>
      </c>
      <c r="AB5937">
        <v>19</v>
      </c>
      <c r="AC5937">
        <v>-0.157899999999983</v>
      </c>
      <c r="AD5937">
        <v>-0.15243180000000001</v>
      </c>
      <c r="AE5937">
        <v>-0.58984000000000203</v>
      </c>
      <c r="AF5937">
        <v>0.124054508625892</v>
      </c>
      <c r="AG5937">
        <v>-0.15243180000000001</v>
      </c>
      <c r="AH5937">
        <v>0.56124190431318299</v>
      </c>
      <c r="AI5937">
        <v>104.85273344855899</v>
      </c>
      <c r="AJ5937">
        <v>77.535990960904996</v>
      </c>
      <c r="AK5937">
        <v>0.59465742231871599</v>
      </c>
      <c r="AL5937">
        <v>77.963386993295103</v>
      </c>
      <c r="AM5937">
        <v>91.113338048106002</v>
      </c>
      <c r="AN5937">
        <v>0.99999999148497998</v>
      </c>
    </row>
    <row r="5938" spans="1:40" x14ac:dyDescent="0.25">
      <c r="A5938" t="str">
        <f>"20190312173044596"</f>
        <v>20190312173044596</v>
      </c>
      <c r="B5938" t="str">
        <f>"1552383044593714"</f>
        <v>1552383044593714</v>
      </c>
      <c r="C5938" t="s">
        <v>40</v>
      </c>
      <c r="D5938">
        <v>3.4711479999999999</v>
      </c>
      <c r="E5938">
        <v>0.58894729999999995</v>
      </c>
      <c r="F5938" t="s">
        <v>42</v>
      </c>
      <c r="G5938">
        <v>-301.01150000000001</v>
      </c>
      <c r="H5938">
        <v>0.95171479999999997</v>
      </c>
      <c r="I5938">
        <v>-26.67915</v>
      </c>
      <c r="J5938">
        <v>-300.84519999999998</v>
      </c>
      <c r="K5938">
        <v>1.1110679999999999</v>
      </c>
      <c r="L5938">
        <v>-26.11215</v>
      </c>
      <c r="M5938">
        <v>-4.2812780000000002E-2</v>
      </c>
      <c r="N5938">
        <v>0</v>
      </c>
      <c r="O5938">
        <v>-0.99899729999999998</v>
      </c>
      <c r="P5938">
        <v>-2.4853050000000002E-2</v>
      </c>
      <c r="Q5938">
        <v>0.19501080000000001</v>
      </c>
      <c r="R5938">
        <v>-0.98048650000000004</v>
      </c>
      <c r="S5938">
        <v>-0.72729489999999997</v>
      </c>
      <c r="T5938">
        <v>-0.66986319999999999</v>
      </c>
      <c r="U5938">
        <v>-3.1755680000000002</v>
      </c>
      <c r="V5938">
        <v>-1.747452E-2</v>
      </c>
      <c r="W5938">
        <v>0.20781520000000001</v>
      </c>
      <c r="X5938">
        <v>0.97801199999999999</v>
      </c>
      <c r="Y5938">
        <v>0.17670829999999901</v>
      </c>
      <c r="Z5938">
        <v>0.20200080000000001</v>
      </c>
      <c r="AA5938">
        <v>0.9633119</v>
      </c>
      <c r="AB5938">
        <v>19</v>
      </c>
      <c r="AC5938">
        <v>-0.166300000000035</v>
      </c>
      <c r="AD5938">
        <v>-0.159353199999999</v>
      </c>
      <c r="AE5938">
        <v>-0.56699999999999995</v>
      </c>
      <c r="AF5938">
        <v>0.13225183540209801</v>
      </c>
      <c r="AG5938">
        <v>-0.159353199999999</v>
      </c>
      <c r="AH5938">
        <v>0.53471067571036102</v>
      </c>
      <c r="AI5938">
        <v>106.135164619512</v>
      </c>
      <c r="AJ5938">
        <v>76.107641465420798</v>
      </c>
      <c r="AK5938">
        <v>0.57341040890107198</v>
      </c>
      <c r="AL5938">
        <v>78.005651896783206</v>
      </c>
      <c r="AM5938">
        <v>91.023617012342001</v>
      </c>
      <c r="AN5938">
        <v>0.99999999417213503</v>
      </c>
    </row>
    <row r="5939" spans="1:40" x14ac:dyDescent="0.25">
      <c r="A5939" t="str">
        <f>"20190312173044618"</f>
        <v>20190312173044618</v>
      </c>
      <c r="B5939" t="str">
        <f>"1552383044613235"</f>
        <v>1552383044613235</v>
      </c>
      <c r="C5939" t="s">
        <v>40</v>
      </c>
      <c r="D5939">
        <v>3.4635690000000001</v>
      </c>
      <c r="E5939">
        <v>0.59067979999999998</v>
      </c>
      <c r="F5939" t="s">
        <v>42</v>
      </c>
      <c r="G5939">
        <v>-301.01909999999998</v>
      </c>
      <c r="H5939">
        <v>0.95094339999999999</v>
      </c>
      <c r="I5939">
        <v>-26.848050000000001</v>
      </c>
      <c r="J5939">
        <v>-300.85160000000002</v>
      </c>
      <c r="K5939">
        <v>1.111029</v>
      </c>
      <c r="L5939">
        <v>-26.294709999999998</v>
      </c>
      <c r="M5939">
        <v>-4.1664390000000003E-2</v>
      </c>
      <c r="N5939">
        <v>0</v>
      </c>
      <c r="O5939">
        <v>-0.99904709999999997</v>
      </c>
      <c r="P5939">
        <v>-2.4368299999999999E-2</v>
      </c>
      <c r="Q5939">
        <v>0.19407540000000001</v>
      </c>
      <c r="R5939">
        <v>-0.98068409999999995</v>
      </c>
      <c r="S5939">
        <v>-0.75100710000000004</v>
      </c>
      <c r="T5939">
        <v>-0.69155759999999999</v>
      </c>
      <c r="U5939">
        <v>-3.178223</v>
      </c>
      <c r="V5939">
        <v>-1.6830020000000001E-2</v>
      </c>
      <c r="W5939">
        <v>0.20679130000000001</v>
      </c>
      <c r="X5939">
        <v>0.97824029999999995</v>
      </c>
      <c r="Y5939">
        <v>0.18419769999999999</v>
      </c>
      <c r="Z5939">
        <v>0.20780190000000001</v>
      </c>
      <c r="AA5939">
        <v>0.96067139999999995</v>
      </c>
      <c r="AB5939">
        <v>19</v>
      </c>
      <c r="AC5939">
        <v>-0.16749999999996101</v>
      </c>
      <c r="AD5939">
        <v>-0.160085599999999</v>
      </c>
      <c r="AE5939">
        <v>-0.55334000000000205</v>
      </c>
      <c r="AF5939">
        <v>0.13402208836144699</v>
      </c>
      <c r="AG5939">
        <v>-0.160085599999999</v>
      </c>
      <c r="AH5939">
        <v>0.51997091012289598</v>
      </c>
      <c r="AI5939">
        <v>106.600912315972</v>
      </c>
      <c r="AJ5939">
        <v>75.546645201175807</v>
      </c>
      <c r="AK5939">
        <v>0.560320503703154</v>
      </c>
      <c r="AL5939">
        <v>78.0656196710366</v>
      </c>
      <c r="AM5939">
        <v>90.985641249689607</v>
      </c>
      <c r="AN5939">
        <v>0.99999998793649003</v>
      </c>
    </row>
    <row r="5940" spans="1:40" x14ac:dyDescent="0.25">
      <c r="A5940" t="str">
        <f>"20190312173044639"</f>
        <v>20190312173044639</v>
      </c>
      <c r="B5940" t="str">
        <f>"1552383044633731"</f>
        <v>1552383044633731</v>
      </c>
      <c r="C5940" t="s">
        <v>40</v>
      </c>
      <c r="D5940">
        <v>3.4445480000000002</v>
      </c>
      <c r="E5940">
        <v>0.59159899999999999</v>
      </c>
      <c r="F5940" t="s">
        <v>42</v>
      </c>
      <c r="G5940">
        <v>-301.02460000000002</v>
      </c>
      <c r="H5940">
        <v>0.9513857</v>
      </c>
      <c r="I5940">
        <v>-27.017510000000001</v>
      </c>
      <c r="J5940">
        <v>-300.8578</v>
      </c>
      <c r="K5940">
        <v>1.1109990000000001</v>
      </c>
      <c r="L5940">
        <v>-26.474430000000002</v>
      </c>
      <c r="M5940">
        <v>-4.0541639999999997E-2</v>
      </c>
      <c r="N5940">
        <v>0</v>
      </c>
      <c r="O5940">
        <v>-0.9990945</v>
      </c>
      <c r="P5940">
        <v>-2.322399E-2</v>
      </c>
      <c r="Q5940">
        <v>0.1934855</v>
      </c>
      <c r="R5940">
        <v>-0.98082840000000004</v>
      </c>
      <c r="S5940">
        <v>-0.76016240000000002</v>
      </c>
      <c r="T5940">
        <v>-0.70224449999999905</v>
      </c>
      <c r="U5940">
        <v>-3.1791689999999999</v>
      </c>
      <c r="V5940">
        <v>-1.6868859999999999E-2</v>
      </c>
      <c r="W5940">
        <v>0.20611570000000001</v>
      </c>
      <c r="X5940">
        <v>0.97838219999999998</v>
      </c>
      <c r="Y5940">
        <v>0.1877114</v>
      </c>
      <c r="Z5940">
        <v>0.21068819999999999</v>
      </c>
      <c r="AA5940">
        <v>0.95936169999999998</v>
      </c>
      <c r="AB5940">
        <v>19</v>
      </c>
      <c r="AC5940">
        <v>-0.16680000000002301</v>
      </c>
      <c r="AD5940">
        <v>-0.15961330000000001</v>
      </c>
      <c r="AE5940">
        <v>-0.54307999999999901</v>
      </c>
      <c r="AF5940">
        <v>0.13406170483670701</v>
      </c>
      <c r="AG5940">
        <v>-0.15961330000000001</v>
      </c>
      <c r="AH5940">
        <v>0.50920318754214999</v>
      </c>
      <c r="AI5940">
        <v>106.863491729519</v>
      </c>
      <c r="AJ5940">
        <v>75.250032247064297</v>
      </c>
      <c r="AK5940">
        <v>0.55021526009708199</v>
      </c>
      <c r="AL5940">
        <v>78.105180955379893</v>
      </c>
      <c r="AM5940">
        <v>90.987772189261094</v>
      </c>
      <c r="AN5940">
        <v>0.99999998475051399</v>
      </c>
    </row>
    <row r="5941" spans="1:40" x14ac:dyDescent="0.25">
      <c r="A5941" t="str">
        <f>"20190312173044661"</f>
        <v>20190312173044661</v>
      </c>
      <c r="B5941" t="str">
        <f>"1552383044653251"</f>
        <v>1552383044653251</v>
      </c>
      <c r="C5941" t="s">
        <v>40</v>
      </c>
      <c r="D5941">
        <v>3.5662790000000002</v>
      </c>
      <c r="E5941">
        <v>0.59244059999999998</v>
      </c>
      <c r="F5941" t="s">
        <v>42</v>
      </c>
      <c r="G5941">
        <v>-301.0283</v>
      </c>
      <c r="H5941">
        <v>0.95217850000000004</v>
      </c>
      <c r="I5941">
        <v>-27.18712</v>
      </c>
      <c r="J5941">
        <v>-300.86369999999999</v>
      </c>
      <c r="K5941">
        <v>1.1109709999999999</v>
      </c>
      <c r="L5941">
        <v>-26.65475</v>
      </c>
      <c r="M5941">
        <v>-3.9421789999999998E-2</v>
      </c>
      <c r="N5941">
        <v>0</v>
      </c>
      <c r="O5941">
        <v>-0.99914040000000004</v>
      </c>
      <c r="P5941">
        <v>-2.1663760000000001E-2</v>
      </c>
      <c r="Q5941">
        <v>0.19366659999999999</v>
      </c>
      <c r="R5941">
        <v>-0.98082820000000004</v>
      </c>
      <c r="S5941">
        <v>-0.76119999999999999</v>
      </c>
      <c r="T5941">
        <v>-0.70872860000000004</v>
      </c>
      <c r="U5941">
        <v>-3.1804199999999998</v>
      </c>
      <c r="V5941">
        <v>-1.7323399999999999E-2</v>
      </c>
      <c r="W5941">
        <v>0.2062002</v>
      </c>
      <c r="X5941">
        <v>0.97835649999999996</v>
      </c>
      <c r="Y5941">
        <v>0.1889332</v>
      </c>
      <c r="Z5941">
        <v>0.2124481</v>
      </c>
      <c r="AA5941">
        <v>0.95873359999999996</v>
      </c>
      <c r="AB5941">
        <v>19</v>
      </c>
      <c r="AC5941">
        <v>-0.16460000000000699</v>
      </c>
      <c r="AD5941">
        <v>-0.158792499999999</v>
      </c>
      <c r="AE5941">
        <v>-0.53237000000000001</v>
      </c>
      <c r="AF5941">
        <v>0.13270685861916101</v>
      </c>
      <c r="AG5941">
        <v>-0.158792499999999</v>
      </c>
      <c r="AH5941">
        <v>0.49800494471845602</v>
      </c>
      <c r="AI5941">
        <v>107.1243575979</v>
      </c>
      <c r="AJ5941">
        <v>75.078729474008796</v>
      </c>
      <c r="AK5941">
        <v>0.53929128802980697</v>
      </c>
      <c r="AL5941">
        <v>78.100233746397706</v>
      </c>
      <c r="AM5941">
        <v>91.0144093649062</v>
      </c>
      <c r="AN5941">
        <v>1.00000003187992</v>
      </c>
    </row>
    <row r="5942" spans="1:40" x14ac:dyDescent="0.25">
      <c r="A5942" t="str">
        <f>"20190312173044686"</f>
        <v>20190312173044686</v>
      </c>
      <c r="B5942" t="str">
        <f>"1552383044683507"</f>
        <v>1552383044683507</v>
      </c>
      <c r="C5942" t="s">
        <v>40</v>
      </c>
      <c r="D5942">
        <v>3.4287990000000002</v>
      </c>
      <c r="E5942">
        <v>0.5930877</v>
      </c>
      <c r="F5942" t="s">
        <v>42</v>
      </c>
      <c r="G5942">
        <v>-301.03179999999998</v>
      </c>
      <c r="H5942">
        <v>0.95382299999999998</v>
      </c>
      <c r="I5942">
        <v>-27.357150000000001</v>
      </c>
      <c r="J5942">
        <v>-300.87040000000002</v>
      </c>
      <c r="K5942">
        <v>1.1109359999999999</v>
      </c>
      <c r="L5942">
        <v>-26.86542</v>
      </c>
      <c r="M5942">
        <v>-3.8120510000000003E-2</v>
      </c>
      <c r="N5942">
        <v>0</v>
      </c>
      <c r="O5942">
        <v>-0.99919279999999999</v>
      </c>
      <c r="P5942">
        <v>-1.9569280000000001E-2</v>
      </c>
      <c r="Q5942">
        <v>0.19406899999999999</v>
      </c>
      <c r="R5942">
        <v>-0.98079289999999997</v>
      </c>
      <c r="S5942">
        <v>-0.76092530000000003</v>
      </c>
      <c r="T5942">
        <v>-0.71211059999999904</v>
      </c>
      <c r="U5942">
        <v>-3.1824340000000002</v>
      </c>
      <c r="V5942">
        <v>-1.8133159999999999E-2</v>
      </c>
      <c r="W5942">
        <v>0.20646800000000001</v>
      </c>
      <c r="X5942">
        <v>0.97828530000000002</v>
      </c>
      <c r="Y5942">
        <v>0.1899527</v>
      </c>
      <c r="Z5942">
        <v>0.21328630000000001</v>
      </c>
      <c r="AA5942">
        <v>0.95834589999999997</v>
      </c>
      <c r="AB5942">
        <v>19</v>
      </c>
      <c r="AC5942">
        <v>-0.16139999999995699</v>
      </c>
      <c r="AD5942">
        <v>-0.157113</v>
      </c>
      <c r="AE5942">
        <v>-0.49173</v>
      </c>
      <c r="AF5942">
        <v>0.13050868313792299</v>
      </c>
      <c r="AG5942">
        <v>-0.157113</v>
      </c>
      <c r="AH5942">
        <v>0.45554348166590602</v>
      </c>
      <c r="AI5942">
        <v>108.343107747407</v>
      </c>
      <c r="AJ5942">
        <v>74.013518108709604</v>
      </c>
      <c r="AK5942">
        <v>0.49923629158114202</v>
      </c>
      <c r="AL5942">
        <v>78.084551963480493</v>
      </c>
      <c r="AM5942">
        <v>91.061893270954798</v>
      </c>
      <c r="AN5942">
        <v>0.99999998735583695</v>
      </c>
    </row>
    <row r="5943" spans="1:40" x14ac:dyDescent="0.25">
      <c r="A5943" t="str">
        <f>"20190312173044711"</f>
        <v>20190312173044711</v>
      </c>
      <c r="B5943" t="str">
        <f>"1552383044704002"</f>
        <v>1552383044704002</v>
      </c>
      <c r="C5943" t="s">
        <v>40</v>
      </c>
      <c r="D5943">
        <v>3.5089389999999998</v>
      </c>
      <c r="E5943">
        <v>0.59381010000000001</v>
      </c>
      <c r="F5943" t="s">
        <v>42</v>
      </c>
      <c r="G5943">
        <v>-301.06549999999999</v>
      </c>
      <c r="H5943">
        <v>0.92751170000000005</v>
      </c>
      <c r="I5943">
        <v>-27.684339999999999</v>
      </c>
      <c r="J5943">
        <v>-300.87709999999998</v>
      </c>
      <c r="K5943">
        <v>1.1109059999999999</v>
      </c>
      <c r="L5943">
        <v>-27.085080000000001</v>
      </c>
      <c r="M5943">
        <v>-3.6761769999999999E-2</v>
      </c>
      <c r="N5943">
        <v>0</v>
      </c>
      <c r="O5943">
        <v>-0.99924550000000001</v>
      </c>
      <c r="P5943">
        <v>-1.7320840000000001E-2</v>
      </c>
      <c r="Q5943">
        <v>0.19458780000000001</v>
      </c>
      <c r="R5943">
        <v>-0.9807321</v>
      </c>
      <c r="S5943">
        <v>-0.75784300000000004</v>
      </c>
      <c r="T5943">
        <v>-0.71342869999999903</v>
      </c>
      <c r="U5943">
        <v>-3.1847840000000001</v>
      </c>
      <c r="V5943">
        <v>-1.9040339999999999E-2</v>
      </c>
      <c r="W5943">
        <v>0.20683799999999999</v>
      </c>
      <c r="X5943">
        <v>0.97818989999999995</v>
      </c>
      <c r="Y5943">
        <v>0.1902356</v>
      </c>
      <c r="Z5943">
        <v>0.21354909999999999</v>
      </c>
      <c r="AA5943">
        <v>0.95823130000000001</v>
      </c>
      <c r="AB5943">
        <v>19</v>
      </c>
      <c r="AC5943">
        <v>-0.18840000000000101</v>
      </c>
      <c r="AD5943">
        <v>-0.18339429999999901</v>
      </c>
      <c r="AE5943">
        <v>-0.59926000000000401</v>
      </c>
      <c r="AF5943">
        <v>0.15318468476382899</v>
      </c>
      <c r="AG5943">
        <v>-0.18339429999999901</v>
      </c>
      <c r="AH5943">
        <v>0.55820403840505295</v>
      </c>
      <c r="AI5943">
        <v>107.579763646735</v>
      </c>
      <c r="AJ5943">
        <v>74.654425787441994</v>
      </c>
      <c r="AK5943">
        <v>0.60719911512649105</v>
      </c>
      <c r="AL5943">
        <v>78.062884815383299</v>
      </c>
      <c r="AM5943">
        <v>91.115114126658</v>
      </c>
      <c r="AN5943">
        <v>0.99999998662666201</v>
      </c>
    </row>
    <row r="5944" spans="1:40" x14ac:dyDescent="0.25">
      <c r="A5944" t="str">
        <f>"20190312173044746"</f>
        <v>20190312173044746</v>
      </c>
      <c r="B5944" t="str">
        <f>"1552383044744022"</f>
        <v>1552383044744022</v>
      </c>
      <c r="C5944" t="s">
        <v>40</v>
      </c>
      <c r="D5944">
        <v>3.3881649999999999</v>
      </c>
      <c r="E5944">
        <v>0.59440930000000003</v>
      </c>
      <c r="F5944" t="s">
        <v>42</v>
      </c>
      <c r="G5944">
        <v>-301.06049999999999</v>
      </c>
      <c r="H5944">
        <v>0.93779279999999998</v>
      </c>
      <c r="I5944">
        <v>-27.858170000000001</v>
      </c>
      <c r="J5944">
        <v>-300.88569999999999</v>
      </c>
      <c r="K5944">
        <v>1.1108720000000001</v>
      </c>
      <c r="L5944">
        <v>-27.381229999999999</v>
      </c>
      <c r="M5944">
        <v>-3.4922450000000001E-2</v>
      </c>
      <c r="N5944">
        <v>0</v>
      </c>
      <c r="O5944">
        <v>-0.99931369999999997</v>
      </c>
      <c r="P5944">
        <v>-1.2264840000000001E-2</v>
      </c>
      <c r="Q5944">
        <v>0.19474130000000001</v>
      </c>
      <c r="R5944">
        <v>-0.98077789999999998</v>
      </c>
      <c r="S5944">
        <v>-0.75512699999999999</v>
      </c>
      <c r="T5944">
        <v>-0.71379599999999999</v>
      </c>
      <c r="U5944">
        <v>-3.1872250000000002</v>
      </c>
      <c r="V5944">
        <v>-2.228726E-2</v>
      </c>
      <c r="W5944">
        <v>0.2068043</v>
      </c>
      <c r="X5944">
        <v>0.97812840000000001</v>
      </c>
      <c r="Y5944">
        <v>0.19110369999999999</v>
      </c>
      <c r="Z5944">
        <v>0.2135242</v>
      </c>
      <c r="AA5944">
        <v>0.95806409999999997</v>
      </c>
      <c r="AB5944">
        <v>19</v>
      </c>
      <c r="AC5944">
        <v>-0.17480000000000401</v>
      </c>
      <c r="AD5944">
        <v>-0.17307919999999899</v>
      </c>
      <c r="AE5944">
        <v>-0.47694000000000197</v>
      </c>
      <c r="AF5944">
        <v>0.141597036070438</v>
      </c>
      <c r="AG5944">
        <v>-0.17307919999999899</v>
      </c>
      <c r="AH5944">
        <v>0.43253721564853398</v>
      </c>
      <c r="AI5944">
        <v>110.82130500008699</v>
      </c>
      <c r="AJ5944">
        <v>71.873425482757796</v>
      </c>
      <c r="AK5944">
        <v>0.48692358026445898</v>
      </c>
      <c r="AL5944">
        <v>78.064857954395407</v>
      </c>
      <c r="AM5944">
        <v>91.305293875667303</v>
      </c>
      <c r="AN5944">
        <v>0.99999995367167704</v>
      </c>
    </row>
    <row r="5945" spans="1:40" x14ac:dyDescent="0.25">
      <c r="A5945" t="str">
        <f>"20190312173044772"</f>
        <v>20190312173044772</v>
      </c>
      <c r="B5945" t="str">
        <f>"1552383044763539"</f>
        <v>1552383044763539</v>
      </c>
      <c r="C5945" t="s">
        <v>40</v>
      </c>
      <c r="D5945">
        <v>3.3609390000000001</v>
      </c>
      <c r="E5945">
        <v>0.59433840000000004</v>
      </c>
      <c r="F5945" t="s">
        <v>42</v>
      </c>
      <c r="G5945">
        <v>-301.07440000000003</v>
      </c>
      <c r="H5945">
        <v>0.92871649999999994</v>
      </c>
      <c r="I5945">
        <v>-28.19342</v>
      </c>
      <c r="J5945">
        <v>-300.89150000000001</v>
      </c>
      <c r="K5945">
        <v>1.1108549999999999</v>
      </c>
      <c r="L5945">
        <v>-27.59357</v>
      </c>
      <c r="M5945">
        <v>-3.3602609999999998E-2</v>
      </c>
      <c r="N5945">
        <v>0</v>
      </c>
      <c r="O5945">
        <v>-0.99936069999999999</v>
      </c>
      <c r="P5945">
        <v>-8.7729969999999994E-3</v>
      </c>
      <c r="Q5945">
        <v>0.19463859999999999</v>
      </c>
      <c r="R5945">
        <v>-0.98083589999999998</v>
      </c>
      <c r="S5945">
        <v>-0.74163819999999903</v>
      </c>
      <c r="T5945">
        <v>-0.71577760000000001</v>
      </c>
      <c r="U5945">
        <v>-3.1916500000000001</v>
      </c>
      <c r="V5945">
        <v>-2.4484269999999999E-2</v>
      </c>
      <c r="W5945">
        <v>0.2065729</v>
      </c>
      <c r="X5945">
        <v>0.97812480000000002</v>
      </c>
      <c r="Y5945">
        <v>0.18823880000000001</v>
      </c>
      <c r="Z5945">
        <v>0.2139848</v>
      </c>
      <c r="AA5945">
        <v>0.95852839999999995</v>
      </c>
      <c r="AB5945">
        <v>19</v>
      </c>
      <c r="AC5945">
        <v>-0.18290000000001699</v>
      </c>
      <c r="AD5945">
        <v>-0.18213849999999901</v>
      </c>
      <c r="AE5945">
        <v>-0.59984999999999999</v>
      </c>
      <c r="AF5945">
        <v>0.149986574483054</v>
      </c>
      <c r="AG5945">
        <v>-0.18213849999999901</v>
      </c>
      <c r="AH5945">
        <v>0.55854186372610704</v>
      </c>
      <c r="AI5945">
        <v>107.481247019676</v>
      </c>
      <c r="AJ5945">
        <v>74.968828832219401</v>
      </c>
      <c r="AK5945">
        <v>0.606332762797825</v>
      </c>
      <c r="AL5945">
        <v>78.078409164998703</v>
      </c>
      <c r="AM5945">
        <v>91.433919721745497</v>
      </c>
      <c r="AN5945">
        <v>0.99999998343344099</v>
      </c>
    </row>
    <row r="5946" spans="1:40" x14ac:dyDescent="0.25">
      <c r="A5946" t="str">
        <f>"20190312173044794"</f>
        <v>20190312173044794</v>
      </c>
      <c r="B5946" t="str">
        <f>"1552383044784035"</f>
        <v>1552383044784035</v>
      </c>
      <c r="C5946" t="s">
        <v>40</v>
      </c>
      <c r="D5946">
        <v>3.3356870000000001</v>
      </c>
      <c r="E5946">
        <v>0.59417559999999903</v>
      </c>
      <c r="F5946" t="s">
        <v>42</v>
      </c>
      <c r="G5946">
        <v>-301.06830000000002</v>
      </c>
      <c r="H5946">
        <v>0.93747329999999995</v>
      </c>
      <c r="I5946">
        <v>-28.366769999999999</v>
      </c>
      <c r="J5946">
        <v>-300.89659999999998</v>
      </c>
      <c r="K5946">
        <v>1.1108420000000001</v>
      </c>
      <c r="L5946">
        <v>-27.785129999999999</v>
      </c>
      <c r="M5946">
        <v>-3.24131E-2</v>
      </c>
      <c r="N5946">
        <v>0</v>
      </c>
      <c r="O5946">
        <v>-0.99940150000000005</v>
      </c>
      <c r="P5946">
        <v>-5.1344169999999996E-3</v>
      </c>
      <c r="Q5946">
        <v>0.1942246</v>
      </c>
      <c r="R5946">
        <v>-0.98094389999999998</v>
      </c>
      <c r="S5946">
        <v>-0.72900390000000004</v>
      </c>
      <c r="T5946">
        <v>-0.71641849999999996</v>
      </c>
      <c r="U5946">
        <v>-3.1942750000000002</v>
      </c>
      <c r="V5946">
        <v>-2.6959230000000001E-2</v>
      </c>
      <c r="W5946">
        <v>0.206042</v>
      </c>
      <c r="X5946">
        <v>0.97817169999999998</v>
      </c>
      <c r="Y5946">
        <v>0.18562310000000001</v>
      </c>
      <c r="Z5946">
        <v>0.2141594</v>
      </c>
      <c r="AA5946">
        <v>0.95899939999999995</v>
      </c>
      <c r="AB5946">
        <v>19</v>
      </c>
      <c r="AC5946">
        <v>-0.17170000000004301</v>
      </c>
      <c r="AD5946">
        <v>-0.17336869999999999</v>
      </c>
      <c r="AE5946">
        <v>-0.58164000000000304</v>
      </c>
      <c r="AF5946">
        <v>0.14121506638023901</v>
      </c>
      <c r="AG5946">
        <v>-0.17336869999999999</v>
      </c>
      <c r="AH5946">
        <v>0.54256022762008704</v>
      </c>
      <c r="AI5946">
        <v>107.183464252542</v>
      </c>
      <c r="AJ5946">
        <v>75.411006045586504</v>
      </c>
      <c r="AK5946">
        <v>0.58683047101154096</v>
      </c>
      <c r="AL5946">
        <v>78.109496347698297</v>
      </c>
      <c r="AM5946">
        <v>91.578719943369407</v>
      </c>
      <c r="AN5946">
        <v>0.99999999026354103</v>
      </c>
    </row>
    <row r="5947" spans="1:40" x14ac:dyDescent="0.25">
      <c r="A5947" t="str">
        <f>"20190312173044815"</f>
        <v>20190312173044815</v>
      </c>
      <c r="B5947" t="str">
        <f>"1552383044813315"</f>
        <v>1552383044813315</v>
      </c>
      <c r="C5947" t="s">
        <v>40</v>
      </c>
      <c r="D5947">
        <v>3.3606340000000001</v>
      </c>
      <c r="E5947">
        <v>0.52764369999999905</v>
      </c>
      <c r="F5947" t="s">
        <v>42</v>
      </c>
      <c r="G5947">
        <v>-301.06540000000001</v>
      </c>
      <c r="H5947">
        <v>0.94187569999999998</v>
      </c>
      <c r="I5947">
        <v>-28.53839</v>
      </c>
      <c r="J5947">
        <v>-300.90109999999999</v>
      </c>
      <c r="K5947">
        <v>1.11083</v>
      </c>
      <c r="L5947">
        <v>-27.965879999999999</v>
      </c>
      <c r="M5947">
        <v>-3.1289890000000001E-2</v>
      </c>
      <c r="N5947">
        <v>0</v>
      </c>
      <c r="O5947">
        <v>-0.99943859999999995</v>
      </c>
      <c r="P5947">
        <v>-6.7345100000000004E-4</v>
      </c>
      <c r="Q5947">
        <v>0.19382969999999999</v>
      </c>
      <c r="R5947">
        <v>-0.9810352</v>
      </c>
      <c r="S5947">
        <v>-0.71612549999999997</v>
      </c>
      <c r="T5947">
        <v>-0.71705839999999998</v>
      </c>
      <c r="U5947">
        <v>-3.1965029999999999</v>
      </c>
      <c r="V5947">
        <v>-3.0319749999999999E-2</v>
      </c>
      <c r="W5947">
        <v>0.20553060000000001</v>
      </c>
      <c r="X5947">
        <v>0.97818090000000002</v>
      </c>
      <c r="Y5947">
        <v>0.1828949</v>
      </c>
      <c r="Z5947">
        <v>0.21435879999999999</v>
      </c>
      <c r="AA5947">
        <v>0.95947890000000002</v>
      </c>
      <c r="AB5947">
        <v>19</v>
      </c>
      <c r="AC5947">
        <v>-0.16430000000002501</v>
      </c>
      <c r="AD5947">
        <v>-0.1689543</v>
      </c>
      <c r="AE5947">
        <v>-0.57251000000000396</v>
      </c>
      <c r="AF5947">
        <v>0.13540894531974701</v>
      </c>
      <c r="AG5947">
        <v>-0.1689543</v>
      </c>
      <c r="AH5947">
        <v>0.534373170242883</v>
      </c>
      <c r="AI5947">
        <v>107.039576721507</v>
      </c>
      <c r="AJ5947">
        <v>75.780679737358994</v>
      </c>
      <c r="AK5947">
        <v>0.57657247856321203</v>
      </c>
      <c r="AL5947">
        <v>78.139438302463304</v>
      </c>
      <c r="AM5947">
        <v>91.7753747715891</v>
      </c>
      <c r="AN5947">
        <v>0.99999999395061601</v>
      </c>
    </row>
    <row r="5948" spans="1:40" x14ac:dyDescent="0.25">
      <c r="A5948" t="str">
        <f>"20190312173044837"</f>
        <v>20190312173044837</v>
      </c>
      <c r="B5948" t="str">
        <f>"1552383044833811"</f>
        <v>1552383044833811</v>
      </c>
      <c r="C5948" t="s">
        <v>40</v>
      </c>
      <c r="D5948">
        <v>3.244818</v>
      </c>
      <c r="E5948">
        <v>0.50810690000000003</v>
      </c>
      <c r="F5948" t="s">
        <v>42</v>
      </c>
      <c r="G5948">
        <v>-300.94650000000001</v>
      </c>
      <c r="H5948">
        <v>1.004724</v>
      </c>
      <c r="I5948">
        <v>-28.741420000000002</v>
      </c>
      <c r="J5948">
        <v>-300.90550000000002</v>
      </c>
      <c r="K5948">
        <v>1.1108129999999901</v>
      </c>
      <c r="L5948">
        <v>-28.153289999999998</v>
      </c>
      <c r="M5948">
        <v>-3.0121849999999999E-2</v>
      </c>
      <c r="N5948">
        <v>0</v>
      </c>
      <c r="O5948">
        <v>-0.99947580000000003</v>
      </c>
      <c r="P5948">
        <v>3.7632239999999999E-3</v>
      </c>
      <c r="Q5948">
        <v>0.19331139999999999</v>
      </c>
      <c r="R5948">
        <v>-0.98113030000000001</v>
      </c>
      <c r="S5948">
        <v>-0.18301390000000001</v>
      </c>
      <c r="T5948">
        <v>-0.43009760000000002</v>
      </c>
      <c r="U5948">
        <v>-3.1428530000000001</v>
      </c>
      <c r="V5948">
        <v>-3.3611599999999998E-2</v>
      </c>
      <c r="W5948">
        <v>0.20489070000000001</v>
      </c>
      <c r="X5948">
        <v>0.97820759999999995</v>
      </c>
      <c r="Y5948">
        <v>2.7498700000000001E-2</v>
      </c>
      <c r="Z5948">
        <v>0.13535610000000001</v>
      </c>
      <c r="AA5948">
        <v>0.9904153</v>
      </c>
      <c r="AB5948">
        <v>19</v>
      </c>
      <c r="AC5948">
        <v>-4.0999999999996803E-2</v>
      </c>
      <c r="AD5948">
        <v>-0.106088999999999</v>
      </c>
      <c r="AE5948">
        <v>-0.58812999999999904</v>
      </c>
      <c r="AF5948">
        <v>2.2534882844969101E-2</v>
      </c>
      <c r="AG5948">
        <v>-0.106088999999999</v>
      </c>
      <c r="AH5948">
        <v>0.57062096653827399</v>
      </c>
      <c r="AI5948">
        <v>100.524074953872</v>
      </c>
      <c r="AJ5948">
        <v>87.738458361710499</v>
      </c>
      <c r="AK5948">
        <v>0.58083645229867398</v>
      </c>
      <c r="AL5948">
        <v>78.176899476470595</v>
      </c>
      <c r="AM5948">
        <v>91.967931416493897</v>
      </c>
      <c r="AN5948">
        <v>1.0000000236494</v>
      </c>
    </row>
    <row r="5949" spans="1:40" x14ac:dyDescent="0.25">
      <c r="A5949" t="str">
        <f>"20190312173044861"</f>
        <v>20190312173044861</v>
      </c>
      <c r="B5949" t="str">
        <f>"1552383044853331"</f>
        <v>1552383044853331</v>
      </c>
      <c r="C5949" t="s">
        <v>40</v>
      </c>
      <c r="D5949">
        <v>3.2307589999999999</v>
      </c>
      <c r="E5949">
        <v>0.4981622</v>
      </c>
      <c r="F5949" t="s">
        <v>42</v>
      </c>
      <c r="G5949">
        <v>-300.90980000000002</v>
      </c>
      <c r="H5949">
        <v>1.0273019999999999</v>
      </c>
      <c r="I5949">
        <v>-28.925840000000001</v>
      </c>
      <c r="J5949">
        <v>-300.91000000000003</v>
      </c>
      <c r="K5949">
        <v>1.110797</v>
      </c>
      <c r="L5949">
        <v>-28.351590000000002</v>
      </c>
      <c r="M5949">
        <v>-2.8882809999999998E-2</v>
      </c>
      <c r="N5949">
        <v>0</v>
      </c>
      <c r="O5949">
        <v>-0.99951400000000001</v>
      </c>
      <c r="P5949">
        <v>8.3162229999999993E-3</v>
      </c>
      <c r="Q5949">
        <v>0.1932075</v>
      </c>
      <c r="R5949">
        <v>-0.98112299999999997</v>
      </c>
      <c r="S5949">
        <v>-1.7456050000000001E-2</v>
      </c>
      <c r="T5949">
        <v>-0.33770040000000001</v>
      </c>
      <c r="U5949">
        <v>-3.124298</v>
      </c>
      <c r="V5949">
        <v>-3.6946909999999999E-2</v>
      </c>
      <c r="W5949">
        <v>0.2046607</v>
      </c>
      <c r="X5949">
        <v>0.97813550000000005</v>
      </c>
      <c r="Y5949">
        <v>-2.3331870000000001E-2</v>
      </c>
      <c r="Z5949">
        <v>0.1073799</v>
      </c>
      <c r="AA5949">
        <v>0.99394420000000006</v>
      </c>
      <c r="AB5949">
        <v>19</v>
      </c>
      <c r="AC5949">
        <v>2.0000000000663901E-4</v>
      </c>
      <c r="AD5949">
        <v>-8.3495000000000097E-2</v>
      </c>
      <c r="AE5949">
        <v>-0.57424999999999904</v>
      </c>
      <c r="AF5949">
        <v>-1.64394694806686E-2</v>
      </c>
      <c r="AG5949">
        <v>-8.3495000000000097E-2</v>
      </c>
      <c r="AH5949">
        <v>0.56212099754443501</v>
      </c>
      <c r="AI5949">
        <v>98.4451337559248</v>
      </c>
      <c r="AJ5949">
        <v>91.675162149929406</v>
      </c>
      <c r="AK5949">
        <v>0.568525889526728</v>
      </c>
      <c r="AL5949">
        <v>78.190363319130697</v>
      </c>
      <c r="AM5949">
        <v>92.163193220992198</v>
      </c>
      <c r="AN5949">
        <v>1.00000006632164</v>
      </c>
    </row>
    <row r="5950" spans="1:40" x14ac:dyDescent="0.25">
      <c r="A5950" t="str">
        <f>"20190312173044886"</f>
        <v>20190312173044886</v>
      </c>
      <c r="B5950" t="str">
        <f>"1552383044873827"</f>
        <v>1552383044873827</v>
      </c>
      <c r="C5950" t="s">
        <v>40</v>
      </c>
      <c r="D5950">
        <v>3.2437279999999999</v>
      </c>
      <c r="E5950">
        <v>0.49300270000000002</v>
      </c>
      <c r="F5950" t="s">
        <v>54</v>
      </c>
      <c r="G5950">
        <v>-300.6191</v>
      </c>
      <c r="H5950" s="1">
        <v>-2.6345269999999999E-7</v>
      </c>
      <c r="I5950">
        <v>-40.616819999999997</v>
      </c>
      <c r="J5950">
        <v>-300.91449999999998</v>
      </c>
      <c r="K5950">
        <v>1.110784</v>
      </c>
      <c r="L5950">
        <v>-28.560390000000002</v>
      </c>
      <c r="M5950">
        <v>-2.7576929999999999E-2</v>
      </c>
      <c r="N5950">
        <v>0</v>
      </c>
      <c r="O5950">
        <v>-0.99955210000000005</v>
      </c>
      <c r="P5950">
        <v>1.2018610000000001E-2</v>
      </c>
      <c r="Q5950">
        <v>0.1935878</v>
      </c>
      <c r="R5950">
        <v>-0.98100969999999998</v>
      </c>
      <c r="S5950">
        <v>7.3822020000000002E-2</v>
      </c>
      <c r="T5950">
        <v>-0.2818928</v>
      </c>
      <c r="U5950">
        <v>-3.1126100000000001</v>
      </c>
      <c r="V5950">
        <v>-3.9364780000000002E-2</v>
      </c>
      <c r="W5950">
        <v>0.20492289999999999</v>
      </c>
      <c r="X5950">
        <v>0.97798620000000003</v>
      </c>
      <c r="Y5950">
        <v>-5.1175949999999998E-2</v>
      </c>
      <c r="Z5950">
        <v>9.0072520000000003E-2</v>
      </c>
      <c r="AA5950">
        <v>0.99461949999999999</v>
      </c>
      <c r="AB5950">
        <v>19</v>
      </c>
      <c r="AC5950">
        <v>0.29539999999997202</v>
      </c>
      <c r="AD5950">
        <v>-1.1107842634526901</v>
      </c>
      <c r="AE5950">
        <v>-12.056430000000001</v>
      </c>
      <c r="AF5950">
        <v>-0.62250854460757399</v>
      </c>
      <c r="AG5950">
        <v>-1.1107842634526901</v>
      </c>
      <c r="AH5950">
        <v>11.942387311836301</v>
      </c>
      <c r="AI5950">
        <v>95.306737817479402</v>
      </c>
      <c r="AJ5950">
        <v>92.983897611376804</v>
      </c>
      <c r="AK5950">
        <v>12.0100779878381</v>
      </c>
      <c r="AL5950">
        <v>78.175014203003599</v>
      </c>
      <c r="AM5950">
        <v>92.304959828799696</v>
      </c>
      <c r="AN5950">
        <v>0.99999999411964902</v>
      </c>
    </row>
    <row r="5951" spans="1:40" x14ac:dyDescent="0.25">
      <c r="A5951" t="str">
        <f>"20190312173044911"</f>
        <v>20190312173044911</v>
      </c>
      <c r="B5951" t="str">
        <f>"1552383044903107"</f>
        <v>1552383044903107</v>
      </c>
      <c r="C5951" t="s">
        <v>40</v>
      </c>
      <c r="D5951">
        <v>3.29528</v>
      </c>
      <c r="E5951">
        <v>0.48921690000000001</v>
      </c>
      <c r="F5951" t="s">
        <v>54</v>
      </c>
      <c r="G5951">
        <v>-300.36239999999998</v>
      </c>
      <c r="H5951" s="1">
        <v>-1.2540580000000001E-6</v>
      </c>
      <c r="I5951">
        <v>-42.27046</v>
      </c>
      <c r="J5951">
        <v>-300.91890000000001</v>
      </c>
      <c r="K5951">
        <v>1.110779</v>
      </c>
      <c r="L5951">
        <v>-28.781400000000001</v>
      </c>
      <c r="M5951">
        <v>-2.61967E-2</v>
      </c>
      <c r="N5951">
        <v>0</v>
      </c>
      <c r="O5951">
        <v>-0.99959050000000005</v>
      </c>
      <c r="P5951">
        <v>1.5844810000000001E-2</v>
      </c>
      <c r="Q5951">
        <v>0.1939911</v>
      </c>
      <c r="R5951">
        <v>-0.98087530000000001</v>
      </c>
      <c r="S5951">
        <v>0.1250916</v>
      </c>
      <c r="T5951">
        <v>-0.25166359999999999</v>
      </c>
      <c r="U5951">
        <v>-3.106201</v>
      </c>
      <c r="V5951">
        <v>-4.1833700000000001E-2</v>
      </c>
      <c r="W5951">
        <v>0.20520949999999999</v>
      </c>
      <c r="X5951">
        <v>0.97782360000000001</v>
      </c>
      <c r="Y5951">
        <v>-6.6271319999999995E-2</v>
      </c>
      <c r="Z5951">
        <v>8.0592289999999997E-2</v>
      </c>
      <c r="AA5951">
        <v>0.99454160000000003</v>
      </c>
      <c r="AB5951">
        <v>19</v>
      </c>
      <c r="AC5951">
        <v>0.55650000000002797</v>
      </c>
      <c r="AD5951">
        <v>-1.1107802540580001</v>
      </c>
      <c r="AE5951">
        <v>-13.489059999999901</v>
      </c>
      <c r="AF5951">
        <v>-0.903584486769759</v>
      </c>
      <c r="AG5951">
        <v>-1.1107802540580001</v>
      </c>
      <c r="AH5951">
        <v>13.3792800389904</v>
      </c>
      <c r="AI5951">
        <v>94.735212822861996</v>
      </c>
      <c r="AJ5951">
        <v>93.863666793760203</v>
      </c>
      <c r="AK5951">
        <v>13.4556840056261</v>
      </c>
      <c r="AL5951">
        <v>78.158236689191895</v>
      </c>
      <c r="AM5951">
        <v>92.449760548701093</v>
      </c>
      <c r="AN5951">
        <v>0.99999999503144898</v>
      </c>
    </row>
    <row r="5952" spans="1:40" x14ac:dyDescent="0.25">
      <c r="A5952" t="str">
        <f>"20190312173044933"</f>
        <v>20190312173044933</v>
      </c>
      <c r="B5952" t="str">
        <f>"1552383044923603"</f>
        <v>1552383044923603</v>
      </c>
      <c r="C5952" t="s">
        <v>40</v>
      </c>
      <c r="D5952">
        <v>3.2045629999999998</v>
      </c>
      <c r="E5952">
        <v>0.48747489999999999</v>
      </c>
      <c r="F5952" t="s">
        <v>54</v>
      </c>
      <c r="G5952">
        <v>-300.11079999999998</v>
      </c>
      <c r="H5952" s="1">
        <v>-2.188076E-6</v>
      </c>
      <c r="I5952">
        <v>-43.795009999999998</v>
      </c>
      <c r="J5952">
        <v>-300.92239999999998</v>
      </c>
      <c r="K5952">
        <v>1.11077</v>
      </c>
      <c r="L5952">
        <v>-28.966190000000001</v>
      </c>
      <c r="M5952">
        <v>-2.5044469999999999E-2</v>
      </c>
      <c r="N5952">
        <v>0</v>
      </c>
      <c r="O5952">
        <v>-0.99962099999999998</v>
      </c>
      <c r="P5952">
        <v>1.9516749999999999E-2</v>
      </c>
      <c r="Q5952">
        <v>0.19428229999999999</v>
      </c>
      <c r="R5952">
        <v>-0.98075159999999995</v>
      </c>
      <c r="S5952">
        <v>0.1669312</v>
      </c>
      <c r="T5952">
        <v>-0.22943949999999999</v>
      </c>
      <c r="U5952">
        <v>-3.1011660000000001</v>
      </c>
      <c r="V5952">
        <v>-4.4373280000000001E-2</v>
      </c>
      <c r="W5952">
        <v>0.20540639999999999</v>
      </c>
      <c r="X5952">
        <v>0.97767029999999999</v>
      </c>
      <c r="Y5952">
        <v>-7.8597890000000004E-2</v>
      </c>
      <c r="Z5952">
        <v>7.3581399999999894E-2</v>
      </c>
      <c r="AA5952">
        <v>0.99418720000000005</v>
      </c>
      <c r="AB5952">
        <v>19</v>
      </c>
      <c r="AC5952">
        <v>0.81159999999999799</v>
      </c>
      <c r="AD5952">
        <v>-1.110772188076</v>
      </c>
      <c r="AE5952">
        <v>-14.828819999999901</v>
      </c>
      <c r="AF5952">
        <v>-1.1761698686676301</v>
      </c>
      <c r="AG5952">
        <v>-1.110772188076</v>
      </c>
      <c r="AH5952">
        <v>14.721485832669501</v>
      </c>
      <c r="AI5952">
        <v>94.301276601884894</v>
      </c>
      <c r="AJ5952">
        <v>94.567930873570006</v>
      </c>
      <c r="AK5952">
        <v>14.8101092344133</v>
      </c>
      <c r="AL5952">
        <v>78.146709608777996</v>
      </c>
      <c r="AM5952">
        <v>92.598685953108699</v>
      </c>
      <c r="AN5952">
        <v>0.99999999632050396</v>
      </c>
    </row>
    <row r="5953" spans="1:40" x14ac:dyDescent="0.25">
      <c r="A5953" t="str">
        <f>"20190312173044953"</f>
        <v>20190312173044953</v>
      </c>
      <c r="B5953" t="str">
        <f>"1552383044943123"</f>
        <v>1552383044943123</v>
      </c>
      <c r="C5953" t="s">
        <v>40</v>
      </c>
      <c r="D5953">
        <v>3.1493069999999999</v>
      </c>
      <c r="E5953">
        <v>0.48616809999999999</v>
      </c>
      <c r="F5953" t="s">
        <v>54</v>
      </c>
      <c r="G5953">
        <v>-299.95350000000002</v>
      </c>
      <c r="H5953" s="1">
        <v>-2.6650560000000002E-6</v>
      </c>
      <c r="I5953">
        <v>-44.577150000000003</v>
      </c>
      <c r="J5953">
        <v>-300.9255</v>
      </c>
      <c r="K5953">
        <v>1.110762</v>
      </c>
      <c r="L5953">
        <v>-29.140319999999999</v>
      </c>
      <c r="M5953">
        <v>-2.395953E-2</v>
      </c>
      <c r="N5953">
        <v>0</v>
      </c>
      <c r="O5953">
        <v>-0.9996486</v>
      </c>
      <c r="P5953">
        <v>2.3245680000000001E-2</v>
      </c>
      <c r="Q5953">
        <v>0.19356619999999999</v>
      </c>
      <c r="R5953">
        <v>-0.98081209999999996</v>
      </c>
      <c r="S5953">
        <v>0.19232179999999999</v>
      </c>
      <c r="T5953">
        <v>-0.2204846</v>
      </c>
      <c r="U5953">
        <v>-3.0987239999999998</v>
      </c>
      <c r="V5953">
        <v>-4.7038860000000002E-2</v>
      </c>
      <c r="W5953">
        <v>0.20461119999999999</v>
      </c>
      <c r="X5953">
        <v>0.97771249999999998</v>
      </c>
      <c r="Y5953">
        <v>-8.5687540000000006E-2</v>
      </c>
      <c r="Z5953">
        <v>7.0745069999999993E-2</v>
      </c>
      <c r="AA5953">
        <v>0.9938072</v>
      </c>
      <c r="AB5953">
        <v>19</v>
      </c>
      <c r="AC5953">
        <v>0.97199999999997999</v>
      </c>
      <c r="AD5953">
        <v>-1.1107646650559999</v>
      </c>
      <c r="AE5953">
        <v>-15.436829999999899</v>
      </c>
      <c r="AF5953">
        <v>-1.3347205618750899</v>
      </c>
      <c r="AG5953">
        <v>-1.1107646650559999</v>
      </c>
      <c r="AH5953">
        <v>15.330048512725201</v>
      </c>
      <c r="AI5953">
        <v>94.128656029548793</v>
      </c>
      <c r="AJ5953">
        <v>94.975946051212802</v>
      </c>
      <c r="AK5953">
        <v>15.428080390052999</v>
      </c>
      <c r="AL5953">
        <v>78.193260760752594</v>
      </c>
      <c r="AM5953">
        <v>92.754441187855704</v>
      </c>
      <c r="AN5953">
        <v>1.00000006508589</v>
      </c>
    </row>
    <row r="5954" spans="1:40" x14ac:dyDescent="0.25">
      <c r="A5954" t="str">
        <f>"20190312173044975"</f>
        <v>20190312173044975</v>
      </c>
      <c r="B5954" t="str">
        <f>"1552383044963620"</f>
        <v>1552383044963620</v>
      </c>
      <c r="C5954" t="s">
        <v>40</v>
      </c>
      <c r="D5954">
        <v>3.1679390000000001</v>
      </c>
      <c r="E5954">
        <v>0.48539500000000002</v>
      </c>
      <c r="F5954" t="s">
        <v>54</v>
      </c>
      <c r="G5954">
        <v>-299.83109999999999</v>
      </c>
      <c r="H5954" s="1">
        <v>-2.9909320000000001E-6</v>
      </c>
      <c r="I5954">
        <v>-45.038609999999998</v>
      </c>
      <c r="J5954">
        <v>-300.92860000000002</v>
      </c>
      <c r="K5954">
        <v>1.1107549999999999</v>
      </c>
      <c r="L5954">
        <v>-29.328060000000001</v>
      </c>
      <c r="M5954">
        <v>-2.2789569999999999E-2</v>
      </c>
      <c r="N5954">
        <v>0</v>
      </c>
      <c r="O5954">
        <v>-0.99967680000000003</v>
      </c>
      <c r="P5954">
        <v>2.6919789999999999E-2</v>
      </c>
      <c r="Q5954">
        <v>0.1933744</v>
      </c>
      <c r="R5954">
        <v>-0.98075590000000001</v>
      </c>
      <c r="S5954">
        <v>0.21313480000000001</v>
      </c>
      <c r="T5954">
        <v>-0.2163321</v>
      </c>
      <c r="U5954">
        <v>-3.0963440000000002</v>
      </c>
      <c r="V5954">
        <v>-4.956377E-2</v>
      </c>
      <c r="W5954">
        <v>0.20433999999999999</v>
      </c>
      <c r="X5954">
        <v>0.97764439999999997</v>
      </c>
      <c r="Y5954">
        <v>-9.1225269999999997E-2</v>
      </c>
      <c r="Z5954">
        <v>6.9442760000000006E-2</v>
      </c>
      <c r="AA5954">
        <v>0.99340609999999996</v>
      </c>
      <c r="AB5954">
        <v>19</v>
      </c>
      <c r="AC5954">
        <v>1.0975000000000199</v>
      </c>
      <c r="AD5954">
        <v>-1.110757990932</v>
      </c>
      <c r="AE5954">
        <v>-15.71055</v>
      </c>
      <c r="AF5954">
        <v>-1.44807102563084</v>
      </c>
      <c r="AG5954">
        <v>-1.110757990932</v>
      </c>
      <c r="AH5954">
        <v>15.6038361279968</v>
      </c>
      <c r="AI5954">
        <v>94.054365088347694</v>
      </c>
      <c r="AJ5954">
        <v>95.301991072787601</v>
      </c>
      <c r="AK5954">
        <v>15.7102003462422</v>
      </c>
      <c r="AL5954">
        <v>78.209133843062006</v>
      </c>
      <c r="AM5954">
        <v>92.902247111903606</v>
      </c>
      <c r="AN5954">
        <v>0.99999998787398603</v>
      </c>
    </row>
    <row r="5955" spans="1:40" x14ac:dyDescent="0.25">
      <c r="A5955" t="str">
        <f>"20190312173044999"</f>
        <v>20190312173044999</v>
      </c>
      <c r="B5955" t="str">
        <f>"1552383044993875"</f>
        <v>1552383044993875</v>
      </c>
      <c r="C5955" t="s">
        <v>40</v>
      </c>
      <c r="D5955">
        <v>3.2238509999999998</v>
      </c>
      <c r="E5955">
        <v>0.48481039999999997</v>
      </c>
      <c r="F5955" t="s">
        <v>54</v>
      </c>
      <c r="G5955">
        <v>-299.72989999999999</v>
      </c>
      <c r="H5955" s="1">
        <v>-3.2651869999999999E-6</v>
      </c>
      <c r="I5955">
        <v>-45.458460000000002</v>
      </c>
      <c r="J5955">
        <v>-300.93169999999998</v>
      </c>
      <c r="K5955">
        <v>1.110744</v>
      </c>
      <c r="L5955">
        <v>-29.533080000000002</v>
      </c>
      <c r="M5955">
        <v>-2.1511120000000002E-2</v>
      </c>
      <c r="N5955">
        <v>0</v>
      </c>
      <c r="O5955">
        <v>-0.99970610000000004</v>
      </c>
      <c r="P5955">
        <v>3.0350439999999999E-2</v>
      </c>
      <c r="Q5955">
        <v>0.19381770000000001</v>
      </c>
      <c r="R5955">
        <v>-0.98056810000000005</v>
      </c>
      <c r="S5955">
        <v>0.22994999999999999</v>
      </c>
      <c r="T5955">
        <v>-0.21309610000000001</v>
      </c>
      <c r="U5955">
        <v>-3.0945740000000002</v>
      </c>
      <c r="V5955">
        <v>-5.1737640000000001E-2</v>
      </c>
      <c r="W5955">
        <v>0.2047003</v>
      </c>
      <c r="X5955">
        <v>0.9774564</v>
      </c>
      <c r="Y5955">
        <v>-9.5365500000000006E-2</v>
      </c>
      <c r="Z5955">
        <v>6.8424199999999893E-2</v>
      </c>
      <c r="AA5955">
        <v>0.99308790000000002</v>
      </c>
      <c r="AB5955">
        <v>19</v>
      </c>
      <c r="AC5955">
        <v>1.20179999999999</v>
      </c>
      <c r="AD5955">
        <v>-1.1107472651869901</v>
      </c>
      <c r="AE5955">
        <v>-15.925379999999899</v>
      </c>
      <c r="AF5955">
        <v>-1.53668296796918</v>
      </c>
      <c r="AG5955">
        <v>-1.1107472651869901</v>
      </c>
      <c r="AH5955">
        <v>15.8193213043391</v>
      </c>
      <c r="AI5955">
        <v>93.997652871984499</v>
      </c>
      <c r="AJ5955">
        <v>95.548282939767205</v>
      </c>
      <c r="AK5955">
        <v>15.9325478364599</v>
      </c>
      <c r="AL5955">
        <v>78.188044597849498</v>
      </c>
      <c r="AM5955">
        <v>93.0298892858047</v>
      </c>
      <c r="AN5955">
        <v>1.0000000050569</v>
      </c>
    </row>
    <row r="5956" spans="1:40" x14ac:dyDescent="0.25">
      <c r="A5956" t="str">
        <f>"20190312173045022"</f>
        <v>20190312173045022</v>
      </c>
      <c r="B5956" t="str">
        <f>"1552383045013395"</f>
        <v>1552383045013395</v>
      </c>
      <c r="C5956" t="s">
        <v>40</v>
      </c>
      <c r="D5956">
        <v>3.2280929999999999</v>
      </c>
      <c r="E5956">
        <v>0.48437180000000002</v>
      </c>
      <c r="F5956" t="s">
        <v>54</v>
      </c>
      <c r="G5956">
        <v>-299.63249999999999</v>
      </c>
      <c r="H5956" s="1">
        <v>-3.5644760000000001E-6</v>
      </c>
      <c r="I5956">
        <v>-46.003450000000001</v>
      </c>
      <c r="J5956">
        <v>-300.93450000000001</v>
      </c>
      <c r="K5956">
        <v>1.110741</v>
      </c>
      <c r="L5956">
        <v>-29.725560000000002</v>
      </c>
      <c r="M5956">
        <v>-2.0311530000000001E-2</v>
      </c>
      <c r="N5956">
        <v>0</v>
      </c>
      <c r="O5956">
        <v>-0.99973179999999995</v>
      </c>
      <c r="P5956">
        <v>3.317237E-2</v>
      </c>
      <c r="Q5956">
        <v>0.19362969999999999</v>
      </c>
      <c r="R5956">
        <v>-0.98051379999999999</v>
      </c>
      <c r="S5956">
        <v>0.24398800000000001</v>
      </c>
      <c r="T5956">
        <v>-0.2085986</v>
      </c>
      <c r="U5956">
        <v>-3.09314</v>
      </c>
      <c r="V5956">
        <v>-5.3382579999999999E-2</v>
      </c>
      <c r="W5956">
        <v>0.20443800000000001</v>
      </c>
      <c r="X5956">
        <v>0.97742280000000004</v>
      </c>
      <c r="Y5956">
        <v>-9.8692959999999996E-2</v>
      </c>
      <c r="Z5956">
        <v>6.6997580000000001E-2</v>
      </c>
      <c r="AA5956">
        <v>0.99285999999999996</v>
      </c>
      <c r="AB5956">
        <v>19</v>
      </c>
      <c r="AC5956">
        <v>1.30200000000002</v>
      </c>
      <c r="AD5956">
        <v>-1.1107445644759999</v>
      </c>
      <c r="AE5956">
        <v>-16.277889999999999</v>
      </c>
      <c r="AF5956">
        <v>-1.62486307609058</v>
      </c>
      <c r="AG5956">
        <v>-1.1107445644759999</v>
      </c>
      <c r="AH5956">
        <v>16.173256910915899</v>
      </c>
      <c r="AI5956">
        <v>93.909164568787006</v>
      </c>
      <c r="AJ5956">
        <v>95.737029664603696</v>
      </c>
      <c r="AK5956">
        <v>16.292580293189999</v>
      </c>
      <c r="AL5956">
        <v>78.203397466837103</v>
      </c>
      <c r="AM5956">
        <v>93.126140329186299</v>
      </c>
      <c r="AN5956">
        <v>0.99999996282564696</v>
      </c>
    </row>
    <row r="5957" spans="1:40" x14ac:dyDescent="0.25">
      <c r="A5957" t="str">
        <f>"20190312173045046"</f>
        <v>20190312173045046</v>
      </c>
      <c r="B5957" t="str">
        <f>"1552383045033891"</f>
        <v>1552383045033891</v>
      </c>
      <c r="C5957" t="s">
        <v>40</v>
      </c>
      <c r="D5957">
        <v>3.206753</v>
      </c>
      <c r="E5957">
        <v>0.48430289999999998</v>
      </c>
      <c r="F5957" t="s">
        <v>54</v>
      </c>
      <c r="G5957">
        <v>-299.55930000000001</v>
      </c>
      <c r="H5957" s="1">
        <v>-3.7546710000000001E-6</v>
      </c>
      <c r="I5957">
        <v>-46.344859999999997</v>
      </c>
      <c r="J5957">
        <v>-300.93709999999999</v>
      </c>
      <c r="K5957">
        <v>1.110741</v>
      </c>
      <c r="L5957">
        <v>-29.926539999999999</v>
      </c>
      <c r="M5957">
        <v>-1.905865E-2</v>
      </c>
      <c r="N5957">
        <v>0</v>
      </c>
      <c r="O5957">
        <v>-0.99975729999999996</v>
      </c>
      <c r="P5957">
        <v>3.579574E-2</v>
      </c>
      <c r="Q5957">
        <v>0.1936783</v>
      </c>
      <c r="R5957">
        <v>-0.9804119</v>
      </c>
      <c r="S5957">
        <v>0.25582890000000003</v>
      </c>
      <c r="T5957">
        <v>-0.20663699999999999</v>
      </c>
      <c r="U5957">
        <v>-3.0917659999999998</v>
      </c>
      <c r="V5957">
        <v>-5.4776390000000001E-2</v>
      </c>
      <c r="W5957">
        <v>0.20441139999999999</v>
      </c>
      <c r="X5957">
        <v>0.97735130000000003</v>
      </c>
      <c r="Y5957">
        <v>-0.1012613</v>
      </c>
      <c r="Z5957">
        <v>6.6383300000000006E-2</v>
      </c>
      <c r="AA5957">
        <v>0.99264260000000004</v>
      </c>
      <c r="AB5957">
        <v>19</v>
      </c>
      <c r="AC5957">
        <v>1.3777999999999699</v>
      </c>
      <c r="AD5957">
        <v>-1.1107447546710001</v>
      </c>
      <c r="AE5957">
        <v>-16.418319999999898</v>
      </c>
      <c r="AF5957">
        <v>-1.68283155231929</v>
      </c>
      <c r="AG5957">
        <v>-1.1107447546710001</v>
      </c>
      <c r="AH5957">
        <v>16.314927369594098</v>
      </c>
      <c r="AI5957">
        <v>93.874280491858698</v>
      </c>
      <c r="AJ5957">
        <v>95.889046717844906</v>
      </c>
      <c r="AK5957">
        <v>16.439055052485202</v>
      </c>
      <c r="AL5957">
        <v>78.204955079679195</v>
      </c>
      <c r="AM5957">
        <v>93.207829209020602</v>
      </c>
      <c r="AN5957">
        <v>1.0000000184815401</v>
      </c>
    </row>
    <row r="5958" spans="1:40" x14ac:dyDescent="0.25">
      <c r="A5958" t="str">
        <f>"20190312173045065"</f>
        <v>20190312173045065</v>
      </c>
      <c r="B5958" t="str">
        <f>"1552383045053412"</f>
        <v>1552383045053412</v>
      </c>
      <c r="C5958" t="s">
        <v>40</v>
      </c>
      <c r="D5958">
        <v>3.2137470000000001</v>
      </c>
      <c r="E5958">
        <v>0.48431020000000002</v>
      </c>
      <c r="F5958" t="s">
        <v>54</v>
      </c>
      <c r="G5958">
        <v>-299.51119999999997</v>
      </c>
      <c r="H5958" s="1">
        <v>-3.9010670000000004E-6</v>
      </c>
      <c r="I5958">
        <v>-46.61121</v>
      </c>
      <c r="J5958">
        <v>-300.9391</v>
      </c>
      <c r="K5958">
        <v>1.110733</v>
      </c>
      <c r="L5958">
        <v>-30.09601</v>
      </c>
      <c r="M5958">
        <v>-1.8003069999999999E-2</v>
      </c>
      <c r="N5958">
        <v>0</v>
      </c>
      <c r="O5958">
        <v>-0.99977760000000004</v>
      </c>
      <c r="P5958">
        <v>3.8308839999999997E-2</v>
      </c>
      <c r="Q5958">
        <v>0.19358320000000001</v>
      </c>
      <c r="R5958">
        <v>-0.98033559999999997</v>
      </c>
      <c r="S5958">
        <v>0.26416020000000001</v>
      </c>
      <c r="T5958">
        <v>-0.2057726</v>
      </c>
      <c r="U5958">
        <v>-3.0909420000000001</v>
      </c>
      <c r="V5958">
        <v>-5.6253690000000002E-2</v>
      </c>
      <c r="W5958">
        <v>0.20425460000000001</v>
      </c>
      <c r="X5958">
        <v>0.97730019999999995</v>
      </c>
      <c r="Y5958">
        <v>-0.1028908</v>
      </c>
      <c r="Z5958">
        <v>6.61133E-2</v>
      </c>
      <c r="AA5958">
        <v>0.99249310000000002</v>
      </c>
      <c r="AB5958">
        <v>19</v>
      </c>
      <c r="AC5958">
        <v>1.4279000000000199</v>
      </c>
      <c r="AD5958">
        <v>-1.1107369010670001</v>
      </c>
      <c r="AE5958">
        <v>-16.5152</v>
      </c>
      <c r="AF5958">
        <v>-1.71730057483099</v>
      </c>
      <c r="AG5958">
        <v>-1.1107369010670001</v>
      </c>
      <c r="AH5958">
        <v>16.413124436612801</v>
      </c>
      <c r="AI5958">
        <v>93.850558934586999</v>
      </c>
      <c r="AJ5958">
        <v>95.973107876175902</v>
      </c>
      <c r="AK5958">
        <v>16.540057784041799</v>
      </c>
      <c r="AL5958">
        <v>78.214133070048405</v>
      </c>
      <c r="AM5958">
        <v>93.294327066540006</v>
      </c>
      <c r="AN5958">
        <v>1.0000000500899</v>
      </c>
    </row>
    <row r="5959" spans="1:40" x14ac:dyDescent="0.25">
      <c r="A5959" t="str">
        <f>"20190312173045086"</f>
        <v>20190312173045086</v>
      </c>
      <c r="B5959" t="str">
        <f>"1552383045083668"</f>
        <v>1552383045083668</v>
      </c>
      <c r="C5959" t="s">
        <v>40</v>
      </c>
      <c r="D5959">
        <v>3.2334000000000001</v>
      </c>
      <c r="E5959">
        <v>0.48435709999999998</v>
      </c>
      <c r="F5959" t="s">
        <v>54</v>
      </c>
      <c r="G5959">
        <v>-299.47129999999999</v>
      </c>
      <c r="H5959" s="1">
        <v>-4.0073050000000001E-6</v>
      </c>
      <c r="I5959">
        <v>-46.802379999999999</v>
      </c>
      <c r="J5959">
        <v>-300.94110000000001</v>
      </c>
      <c r="K5959">
        <v>1.110724</v>
      </c>
      <c r="L5959">
        <v>-30.284520000000001</v>
      </c>
      <c r="M5959">
        <v>-1.6828610000000001E-2</v>
      </c>
      <c r="N5959">
        <v>0</v>
      </c>
      <c r="O5959">
        <v>-0.99979879999999999</v>
      </c>
      <c r="P5959">
        <v>4.0815400000000002E-2</v>
      </c>
      <c r="Q5959">
        <v>0.1933067</v>
      </c>
      <c r="R5959">
        <v>-0.98028939999999998</v>
      </c>
      <c r="S5959">
        <v>0.27148440000000001</v>
      </c>
      <c r="T5959">
        <v>-0.2054511</v>
      </c>
      <c r="U5959">
        <v>-3.0901489999999998</v>
      </c>
      <c r="V5959">
        <v>-5.7608329999999999E-2</v>
      </c>
      <c r="W5959">
        <v>0.20391239999999999</v>
      </c>
      <c r="X5959">
        <v>0.97729270000000001</v>
      </c>
      <c r="Y5959">
        <v>-0.1040793</v>
      </c>
      <c r="Z5959">
        <v>6.6018519999999997E-2</v>
      </c>
      <c r="AA5959">
        <v>0.99237549999999997</v>
      </c>
      <c r="AB5959">
        <v>19</v>
      </c>
      <c r="AC5959">
        <v>1.46980000000002</v>
      </c>
      <c r="AD5959">
        <v>-1.1107280073049901</v>
      </c>
      <c r="AE5959">
        <v>-16.517859999999999</v>
      </c>
      <c r="AF5959">
        <v>-1.7397759652439999</v>
      </c>
      <c r="AG5959">
        <v>-1.1107280073049901</v>
      </c>
      <c r="AH5959">
        <v>16.4171332055116</v>
      </c>
      <c r="AI5959">
        <v>93.849053822934707</v>
      </c>
      <c r="AJ5959">
        <v>96.049238952693202</v>
      </c>
      <c r="AK5959">
        <v>16.546383284662699</v>
      </c>
      <c r="AL5959">
        <v>78.234160657540201</v>
      </c>
      <c r="AM5959">
        <v>93.373502219492593</v>
      </c>
      <c r="AN5959">
        <v>1.00000000401621</v>
      </c>
    </row>
    <row r="5960" spans="1:40" x14ac:dyDescent="0.25">
      <c r="A5960" t="str">
        <f>"20190312173045114"</f>
        <v>20190312173045114</v>
      </c>
      <c r="B5960" t="str">
        <f>"1552383045103187"</f>
        <v>1552383045103187</v>
      </c>
      <c r="C5960" t="s">
        <v>40</v>
      </c>
      <c r="D5960">
        <v>3.2540650000000002</v>
      </c>
      <c r="E5960">
        <v>0.4844618</v>
      </c>
      <c r="F5960" t="s">
        <v>54</v>
      </c>
      <c r="G5960">
        <v>-299.43770000000001</v>
      </c>
      <c r="H5960" s="1">
        <v>-4.1038859999999998E-6</v>
      </c>
      <c r="I5960">
        <v>-46.97728</v>
      </c>
      <c r="J5960">
        <v>-300.94330000000002</v>
      </c>
      <c r="K5960">
        <v>1.1107049999999901</v>
      </c>
      <c r="L5960">
        <v>-30.52524</v>
      </c>
      <c r="M5960">
        <v>-1.5329600000000001E-2</v>
      </c>
      <c r="N5960">
        <v>0</v>
      </c>
      <c r="O5960">
        <v>-0.99982360000000003</v>
      </c>
      <c r="P5960">
        <v>4.3948090000000002E-2</v>
      </c>
      <c r="Q5960">
        <v>0.19265350000000001</v>
      </c>
      <c r="R5960">
        <v>-0.98028219999999999</v>
      </c>
      <c r="S5960">
        <v>0.2782288</v>
      </c>
      <c r="T5960">
        <v>-0.20555789999999999</v>
      </c>
      <c r="U5960">
        <v>-3.089264</v>
      </c>
      <c r="V5960">
        <v>-5.9272350000000001E-2</v>
      </c>
      <c r="W5960">
        <v>0.20317389999999999</v>
      </c>
      <c r="X5960">
        <v>0.97734699999999997</v>
      </c>
      <c r="Y5960">
        <v>-0.1047622</v>
      </c>
      <c r="Z5960">
        <v>6.606513E-2</v>
      </c>
      <c r="AA5960">
        <v>0.99230050000000003</v>
      </c>
      <c r="AB5960">
        <v>19</v>
      </c>
      <c r="AC5960">
        <v>1.50560000000001</v>
      </c>
      <c r="AD5960">
        <v>-1.11070910388599</v>
      </c>
      <c r="AE5960">
        <v>-16.452039999999901</v>
      </c>
      <c r="AF5960">
        <v>-1.74973230572344</v>
      </c>
      <c r="AG5960">
        <v>-1.11070910388599</v>
      </c>
      <c r="AH5960">
        <v>16.3531087979303</v>
      </c>
      <c r="AI5960">
        <v>93.863596991742696</v>
      </c>
      <c r="AJ5960">
        <v>96.107236864920395</v>
      </c>
      <c r="AK5960">
        <v>16.4839135284099</v>
      </c>
      <c r="AL5960">
        <v>78.277378284250204</v>
      </c>
      <c r="AM5960">
        <v>93.470518807136003</v>
      </c>
      <c r="AN5960">
        <v>1.00000000176236</v>
      </c>
    </row>
    <row r="5961" spans="1:40" x14ac:dyDescent="0.25">
      <c r="A5961" t="str">
        <f>"20190312173045149"</f>
        <v>20190312173045149</v>
      </c>
      <c r="B5961" t="str">
        <f>"1552383045143207"</f>
        <v>1552383045143207</v>
      </c>
      <c r="C5961" t="s">
        <v>40</v>
      </c>
      <c r="D5961">
        <v>3.296008</v>
      </c>
      <c r="E5961">
        <v>0.48482979999999998</v>
      </c>
      <c r="F5961" t="s">
        <v>54</v>
      </c>
      <c r="G5961">
        <v>-299.40780000000001</v>
      </c>
      <c r="H5961" s="1">
        <v>-4.1567060000000001E-6</v>
      </c>
      <c r="I5961">
        <v>-47.06794</v>
      </c>
      <c r="J5961">
        <v>-300.94560000000001</v>
      </c>
      <c r="K5961">
        <v>1.1106780000000001</v>
      </c>
      <c r="L5961">
        <v>-30.818729999999999</v>
      </c>
      <c r="M5961">
        <v>-1.35008E-2</v>
      </c>
      <c r="N5961">
        <v>0</v>
      </c>
      <c r="O5961">
        <v>-0.99985179999999996</v>
      </c>
      <c r="P5961">
        <v>4.878934E-2</v>
      </c>
      <c r="Q5961">
        <v>0.19096579999999999</v>
      </c>
      <c r="R5961">
        <v>-0.98038400000000003</v>
      </c>
      <c r="S5961">
        <v>0.28665159999999901</v>
      </c>
      <c r="T5961">
        <v>-0.20734949999999999</v>
      </c>
      <c r="U5961">
        <v>-3.0882260000000001</v>
      </c>
      <c r="V5961">
        <v>-6.2321790000000002E-2</v>
      </c>
      <c r="W5961">
        <v>0.20136570000000001</v>
      </c>
      <c r="X5961">
        <v>0.9775315</v>
      </c>
      <c r="Y5961">
        <v>-0.1056532</v>
      </c>
      <c r="Z5961">
        <v>6.6651840000000004E-2</v>
      </c>
      <c r="AA5961">
        <v>0.99216680000000002</v>
      </c>
      <c r="AB5961">
        <v>19</v>
      </c>
      <c r="AC5961">
        <v>1.5378000000000001</v>
      </c>
      <c r="AD5961">
        <v>-1.1106821567059999</v>
      </c>
      <c r="AE5961">
        <v>-16.249210000000001</v>
      </c>
      <c r="AF5961">
        <v>-1.74895088783749</v>
      </c>
      <c r="AG5961">
        <v>-1.1106821567059999</v>
      </c>
      <c r="AH5961">
        <v>16.152170990092301</v>
      </c>
      <c r="AI5961">
        <v>93.910886234978705</v>
      </c>
      <c r="AJ5961">
        <v>96.179888128308207</v>
      </c>
      <c r="AK5961">
        <v>16.284504037718602</v>
      </c>
      <c r="AL5961">
        <v>78.383167089288904</v>
      </c>
      <c r="AM5961">
        <v>93.647912494657007</v>
      </c>
      <c r="AN5961">
        <v>0.99999999206877099</v>
      </c>
    </row>
    <row r="5962" spans="1:40" x14ac:dyDescent="0.25">
      <c r="A5962" t="str">
        <f>"20190312173045175"</f>
        <v>20190312173045175</v>
      </c>
      <c r="B5962" t="str">
        <f>"1552383045163700"</f>
        <v>1552383045163700</v>
      </c>
      <c r="C5962" t="s">
        <v>40</v>
      </c>
      <c r="D5962">
        <v>3.2956240000000001</v>
      </c>
      <c r="E5962">
        <v>0.48506959999999999</v>
      </c>
      <c r="F5962" t="s">
        <v>54</v>
      </c>
      <c r="G5962">
        <v>-299.37670000000003</v>
      </c>
      <c r="H5962" s="1">
        <v>-4.1208600000000004E-6</v>
      </c>
      <c r="I5962">
        <v>-46.984079999999999</v>
      </c>
      <c r="J5962">
        <v>-300.947</v>
      </c>
      <c r="K5962">
        <v>1.110657</v>
      </c>
      <c r="L5962">
        <v>-31.047999999999998</v>
      </c>
      <c r="M5962">
        <v>-1.207107E-2</v>
      </c>
      <c r="N5962">
        <v>0</v>
      </c>
      <c r="O5962">
        <v>-0.99987079999999995</v>
      </c>
      <c r="P5962">
        <v>5.1868549999999999E-2</v>
      </c>
      <c r="Q5962">
        <v>0.19013569999999999</v>
      </c>
      <c r="R5962">
        <v>-0.98038689999999995</v>
      </c>
      <c r="S5962">
        <v>0.29953000000000002</v>
      </c>
      <c r="T5962">
        <v>-0.21206069999999999</v>
      </c>
      <c r="U5962">
        <v>-3.0864259999999999</v>
      </c>
      <c r="V5962">
        <v>-6.400016E-2</v>
      </c>
      <c r="W5962">
        <v>0.20043</v>
      </c>
      <c r="X5962">
        <v>0.97761540000000002</v>
      </c>
      <c r="Y5962">
        <v>-0.10837720000000001</v>
      </c>
      <c r="Z5962">
        <v>6.8177130000000002E-2</v>
      </c>
      <c r="AA5962">
        <v>0.99176929999999996</v>
      </c>
      <c r="AB5962">
        <v>19</v>
      </c>
      <c r="AC5962">
        <v>1.5702999999999701</v>
      </c>
      <c r="AD5962">
        <v>-1.1106611208599999</v>
      </c>
      <c r="AE5962">
        <v>-15.936079999999899</v>
      </c>
      <c r="AF5962">
        <v>-1.7541234816201701</v>
      </c>
      <c r="AG5962">
        <v>-1.1106611208599999</v>
      </c>
      <c r="AH5962">
        <v>15.839762993731799</v>
      </c>
      <c r="AI5962">
        <v>93.986640080347897</v>
      </c>
      <c r="AJ5962">
        <v>96.319287608208398</v>
      </c>
      <c r="AK5962">
        <v>15.9752498888673</v>
      </c>
      <c r="AL5962">
        <v>78.437895061787898</v>
      </c>
      <c r="AM5962">
        <v>93.745556756828094</v>
      </c>
      <c r="AN5962">
        <v>1.00000003784859</v>
      </c>
    </row>
    <row r="5963" spans="1:40" x14ac:dyDescent="0.25">
      <c r="A5963" t="str">
        <f>"20190312173045196"</f>
        <v>20190312173045196</v>
      </c>
      <c r="B5963" t="str">
        <f>"1552383045193955"</f>
        <v>1552383045193955</v>
      </c>
      <c r="C5963" t="s">
        <v>40</v>
      </c>
      <c r="D5963">
        <v>3.3131819999999998</v>
      </c>
      <c r="E5963">
        <v>0.48543910000000001</v>
      </c>
      <c r="F5963" t="s">
        <v>54</v>
      </c>
      <c r="G5963">
        <v>-299.35640000000001</v>
      </c>
      <c r="H5963" s="1">
        <v>-4.1396769999999999E-6</v>
      </c>
      <c r="I5963">
        <v>-47.012169999999998</v>
      </c>
      <c r="J5963">
        <v>-300.9479</v>
      </c>
      <c r="K5963">
        <v>1.110638</v>
      </c>
      <c r="L5963">
        <v>-31.23535</v>
      </c>
      <c r="M5963">
        <v>-1.09032E-2</v>
      </c>
      <c r="N5963">
        <v>0</v>
      </c>
      <c r="O5963">
        <v>-0.99988529999999998</v>
      </c>
      <c r="P5963">
        <v>5.4851570000000002E-2</v>
      </c>
      <c r="Q5963">
        <v>0.18971470000000001</v>
      </c>
      <c r="R5963">
        <v>-0.98030629999999996</v>
      </c>
      <c r="S5963">
        <v>0.307403599999999</v>
      </c>
      <c r="T5963">
        <v>-0.21465719999999999</v>
      </c>
      <c r="U5963">
        <v>-3.085388</v>
      </c>
      <c r="V5963">
        <v>-6.5837660000000006E-2</v>
      </c>
      <c r="W5963">
        <v>0.19992080000000001</v>
      </c>
      <c r="X5963">
        <v>0.97759759999999996</v>
      </c>
      <c r="Y5963">
        <v>-0.1097489</v>
      </c>
      <c r="Z5963">
        <v>6.901852E-2</v>
      </c>
      <c r="AA5963">
        <v>0.9915602</v>
      </c>
      <c r="AB5963">
        <v>19</v>
      </c>
      <c r="AC5963">
        <v>1.5914999999999899</v>
      </c>
      <c r="AD5963">
        <v>-1.1106421396770001</v>
      </c>
      <c r="AE5963">
        <v>-15.776820000000001</v>
      </c>
      <c r="AF5963">
        <v>-1.7548238530248199</v>
      </c>
      <c r="AG5963">
        <v>-1.1106421396770001</v>
      </c>
      <c r="AH5963">
        <v>15.681597471427001</v>
      </c>
      <c r="AI5963">
        <v>94.026136762666695</v>
      </c>
      <c r="AJ5963">
        <v>96.385028252883004</v>
      </c>
      <c r="AK5963">
        <v>15.818515479444899</v>
      </c>
      <c r="AL5963">
        <v>78.467672276966496</v>
      </c>
      <c r="AM5963">
        <v>93.852845494558395</v>
      </c>
      <c r="AN5963">
        <v>0.99999999563633701</v>
      </c>
    </row>
    <row r="5964" spans="1:40" x14ac:dyDescent="0.25">
      <c r="A5964" t="str">
        <f>"20190312173045219"</f>
        <v>20190312173045219</v>
      </c>
      <c r="B5964" t="str">
        <f>"1552383045213476"</f>
        <v>1552383045213476</v>
      </c>
      <c r="C5964" t="s">
        <v>40</v>
      </c>
      <c r="D5964">
        <v>3.3297509999999999</v>
      </c>
      <c r="E5964">
        <v>0.48569440000000003</v>
      </c>
      <c r="F5964" t="s">
        <v>54</v>
      </c>
      <c r="G5964">
        <v>-299.32429999999999</v>
      </c>
      <c r="H5964" s="1">
        <v>-4.216117E-6</v>
      </c>
      <c r="I5964">
        <v>-47.148200000000003</v>
      </c>
      <c r="J5964">
        <v>-300.9486</v>
      </c>
      <c r="K5964">
        <v>1.1106290000000001</v>
      </c>
      <c r="L5964">
        <v>-31.431819999999998</v>
      </c>
      <c r="M5964">
        <v>-9.6775960000000001E-3</v>
      </c>
      <c r="N5964">
        <v>0</v>
      </c>
      <c r="O5964">
        <v>-0.99989890000000003</v>
      </c>
      <c r="P5964">
        <v>5.7635190000000003E-2</v>
      </c>
      <c r="Q5964">
        <v>0.18918689999999999</v>
      </c>
      <c r="R5964">
        <v>-0.98024829999999996</v>
      </c>
      <c r="S5964">
        <v>0.31469730000000001</v>
      </c>
      <c r="T5964">
        <v>-0.21527109999999999</v>
      </c>
      <c r="U5964">
        <v>-3.08432</v>
      </c>
      <c r="V5964">
        <v>-6.7420040000000001E-2</v>
      </c>
      <c r="W5964">
        <v>0.199297</v>
      </c>
      <c r="X5964">
        <v>0.97761710000000002</v>
      </c>
      <c r="Y5964">
        <v>-0.1108841</v>
      </c>
      <c r="Z5964">
        <v>6.9227499999999997E-2</v>
      </c>
      <c r="AA5964">
        <v>0.9914193</v>
      </c>
      <c r="AB5964">
        <v>19</v>
      </c>
      <c r="AC5964">
        <v>1.6243000000000001</v>
      </c>
      <c r="AD5964">
        <v>-1.1106332161170001</v>
      </c>
      <c r="AE5964">
        <v>-15.716379999999999</v>
      </c>
      <c r="AF5964">
        <v>-1.76759512667312</v>
      </c>
      <c r="AG5964">
        <v>-1.1106332161170001</v>
      </c>
      <c r="AH5964">
        <v>15.6227305815199</v>
      </c>
      <c r="AI5964">
        <v>94.040670280122399</v>
      </c>
      <c r="AJ5964">
        <v>96.455137785072495</v>
      </c>
      <c r="AK5964">
        <v>15.761586515809199</v>
      </c>
      <c r="AL5964">
        <v>78.504147184517706</v>
      </c>
      <c r="AM5964">
        <v>93.945079545181898</v>
      </c>
      <c r="AN5964">
        <v>0.99999997510750505</v>
      </c>
    </row>
    <row r="5965" spans="1:40" x14ac:dyDescent="0.25">
      <c r="A5965" t="str">
        <f>"20190312173045240"</f>
        <v>20190312173045240</v>
      </c>
      <c r="B5965" t="str">
        <f>"1552383045233971"</f>
        <v>1552383045233971</v>
      </c>
      <c r="C5965" t="s">
        <v>40</v>
      </c>
      <c r="D5965">
        <v>3.2885650000000002</v>
      </c>
      <c r="E5965">
        <v>0.485954</v>
      </c>
      <c r="F5965" t="s">
        <v>54</v>
      </c>
      <c r="G5965">
        <v>-299.30220000000003</v>
      </c>
      <c r="H5965" s="1">
        <v>-4.25482E-6</v>
      </c>
      <c r="I5965">
        <v>-47.214530000000003</v>
      </c>
      <c r="J5965">
        <v>-300.94900000000001</v>
      </c>
      <c r="K5965">
        <v>1.110617</v>
      </c>
      <c r="L5965">
        <v>-31.620509999999999</v>
      </c>
      <c r="M5965">
        <v>-8.5005419999999998E-3</v>
      </c>
      <c r="N5965">
        <v>0</v>
      </c>
      <c r="O5965">
        <v>-0.99991059999999998</v>
      </c>
      <c r="P5965">
        <v>6.0442030000000001E-2</v>
      </c>
      <c r="Q5965">
        <v>0.18898770000000001</v>
      </c>
      <c r="R5965">
        <v>-0.98011769999999998</v>
      </c>
      <c r="S5965">
        <v>0.32165529999999998</v>
      </c>
      <c r="T5965">
        <v>-0.21698000000000001</v>
      </c>
      <c r="U5965">
        <v>-3.083405</v>
      </c>
      <c r="V5965">
        <v>-6.9073129999999996E-2</v>
      </c>
      <c r="W5965">
        <v>0.1989938</v>
      </c>
      <c r="X5965">
        <v>0.97756350000000003</v>
      </c>
      <c r="Y5965">
        <v>-0.1119535</v>
      </c>
      <c r="Z5965">
        <v>6.9783780000000004E-2</v>
      </c>
      <c r="AA5965">
        <v>0.99126009999999998</v>
      </c>
      <c r="AB5965">
        <v>20</v>
      </c>
      <c r="AC5965">
        <v>1.6467999999999801</v>
      </c>
      <c r="AD5965">
        <v>-1.1106212548200001</v>
      </c>
      <c r="AE5965">
        <v>-15.59402</v>
      </c>
      <c r="AF5965">
        <v>-1.7704238793793701</v>
      </c>
      <c r="AG5965">
        <v>-1.1106212548200001</v>
      </c>
      <c r="AH5965">
        <v>15.5016931313202</v>
      </c>
      <c r="AI5965">
        <v>94.071585022521305</v>
      </c>
      <c r="AJ5965">
        <v>96.515430173115107</v>
      </c>
      <c r="AK5965">
        <v>15.6419426613817</v>
      </c>
      <c r="AL5965">
        <v>78.521874783520005</v>
      </c>
      <c r="AM5965">
        <v>94.041714146326996</v>
      </c>
      <c r="AN5965">
        <v>1.0000000131293401</v>
      </c>
    </row>
    <row r="5966" spans="1:40" x14ac:dyDescent="0.25">
      <c r="A5966" t="str">
        <f>"20190312173045265"</f>
        <v>20190312173045265</v>
      </c>
      <c r="B5966" t="str">
        <f>"1552383045253492"</f>
        <v>1552383045253492</v>
      </c>
      <c r="C5966" t="s">
        <v>40</v>
      </c>
      <c r="D5966">
        <v>3.3105540000000002</v>
      </c>
      <c r="E5966">
        <v>0.48627369999999998</v>
      </c>
      <c r="F5966" t="s">
        <v>54</v>
      </c>
      <c r="G5966">
        <v>-299.27609999999999</v>
      </c>
      <c r="H5966" s="1">
        <v>-4.3231659999999999E-6</v>
      </c>
      <c r="I5966">
        <v>-47.337310000000002</v>
      </c>
      <c r="J5966">
        <v>-300.94929999999999</v>
      </c>
      <c r="K5966">
        <v>1.1106</v>
      </c>
      <c r="L5966">
        <v>-31.829409999999999</v>
      </c>
      <c r="M5966">
        <v>-7.1972809999999998E-3</v>
      </c>
      <c r="N5966">
        <v>0</v>
      </c>
      <c r="O5966">
        <v>-0.99992230000000004</v>
      </c>
      <c r="P5966">
        <v>6.3333529999999999E-2</v>
      </c>
      <c r="Q5966">
        <v>0.18965470000000001</v>
      </c>
      <c r="R5966">
        <v>-0.97980639999999997</v>
      </c>
      <c r="S5966">
        <v>0.328125</v>
      </c>
      <c r="T5966">
        <v>-0.21783140000000001</v>
      </c>
      <c r="U5966">
        <v>-3.082611</v>
      </c>
      <c r="V5966">
        <v>-7.0688340000000002E-2</v>
      </c>
      <c r="W5966">
        <v>0.1995246</v>
      </c>
      <c r="X5966">
        <v>0.97733979999999998</v>
      </c>
      <c r="Y5966">
        <v>-0.1127402</v>
      </c>
      <c r="Z5966">
        <v>7.0064429999999997E-2</v>
      </c>
      <c r="AA5966">
        <v>0.99115120000000001</v>
      </c>
      <c r="AB5966">
        <v>20</v>
      </c>
      <c r="AC5966">
        <v>1.6732</v>
      </c>
      <c r="AD5966">
        <v>-1.1106043231659899</v>
      </c>
      <c r="AE5966">
        <v>-15.5078999999999</v>
      </c>
      <c r="AF5966">
        <v>-1.7757744263270701</v>
      </c>
      <c r="AG5966">
        <v>-1.1106043231659899</v>
      </c>
      <c r="AH5966">
        <v>15.417293394704799</v>
      </c>
      <c r="AI5966">
        <v>94.093287524654002</v>
      </c>
      <c r="AJ5966">
        <v>96.570413599261201</v>
      </c>
      <c r="AK5966">
        <v>15.5589123139839</v>
      </c>
      <c r="AL5966">
        <v>78.490839634983203</v>
      </c>
      <c r="AM5966">
        <v>94.136844940877893</v>
      </c>
      <c r="AN5966">
        <v>0.99999999604057699</v>
      </c>
    </row>
    <row r="5967" spans="1:40" x14ac:dyDescent="0.25">
      <c r="A5967" t="str">
        <f>"20190312173045286"</f>
        <v>20190312173045286</v>
      </c>
      <c r="B5967" t="str">
        <f>"1552383045273988"</f>
        <v>1552383045273988</v>
      </c>
      <c r="C5967" t="s">
        <v>40</v>
      </c>
      <c r="D5967">
        <v>3.3333970000000002</v>
      </c>
      <c r="E5967">
        <v>0.4866143</v>
      </c>
      <c r="F5967" t="s">
        <v>54</v>
      </c>
      <c r="G5967">
        <v>-299.22770000000003</v>
      </c>
      <c r="H5967" s="1">
        <v>-4.5120939999999998E-6</v>
      </c>
      <c r="I5967">
        <v>-47.687049999999999</v>
      </c>
      <c r="J5967">
        <v>-300.94920000000002</v>
      </c>
      <c r="K5967">
        <v>1.110584</v>
      </c>
      <c r="L5967">
        <v>-32.018430000000002</v>
      </c>
      <c r="M5967">
        <v>-6.017555E-3</v>
      </c>
      <c r="N5967">
        <v>0</v>
      </c>
      <c r="O5967">
        <v>-0.99993129999999997</v>
      </c>
      <c r="P5967">
        <v>6.5382250000000003E-2</v>
      </c>
      <c r="Q5967">
        <v>0.1906631</v>
      </c>
      <c r="R5967">
        <v>-0.97947600000000001</v>
      </c>
      <c r="S5967">
        <v>0.33459470000000002</v>
      </c>
      <c r="T5967">
        <v>-0.2158487</v>
      </c>
      <c r="U5967">
        <v>-3.0819700000000001</v>
      </c>
      <c r="V5967">
        <v>-7.1582240000000005E-2</v>
      </c>
      <c r="W5967">
        <v>0.20039360000000001</v>
      </c>
      <c r="X5967">
        <v>0.97709690000000005</v>
      </c>
      <c r="Y5967">
        <v>-0.11365119999999999</v>
      </c>
      <c r="Z5967">
        <v>6.9433549999999997E-2</v>
      </c>
      <c r="AA5967">
        <v>0.99109150000000001</v>
      </c>
      <c r="AB5967">
        <v>20</v>
      </c>
      <c r="AC5967">
        <v>1.72149999999999</v>
      </c>
      <c r="AD5967">
        <v>-1.110588512094</v>
      </c>
      <c r="AE5967">
        <v>-15.668619999999899</v>
      </c>
      <c r="AF5967">
        <v>-1.8067914273263701</v>
      </c>
      <c r="AG5967">
        <v>-1.110588512094</v>
      </c>
      <c r="AH5967">
        <v>15.5806339140277</v>
      </c>
      <c r="AI5967">
        <v>94.0501008137485</v>
      </c>
      <c r="AJ5967">
        <v>96.614698259573004</v>
      </c>
      <c r="AK5967">
        <v>15.724314143008099</v>
      </c>
      <c r="AL5967">
        <v>78.440023162247897</v>
      </c>
      <c r="AM5967">
        <v>94.190010614037305</v>
      </c>
      <c r="AN5967">
        <v>0.99999998199699303</v>
      </c>
    </row>
    <row r="5968" spans="1:40" x14ac:dyDescent="0.25">
      <c r="A5968" t="str">
        <f>"20190312173045314"</f>
        <v>20190312173045314</v>
      </c>
      <c r="B5968" t="str">
        <f>"1552383045303267"</f>
        <v>1552383045303267</v>
      </c>
      <c r="C5968" t="s">
        <v>40</v>
      </c>
      <c r="D5968">
        <v>3.4364279999999998</v>
      </c>
      <c r="E5968">
        <v>0.48689729999999998</v>
      </c>
      <c r="F5968" t="s">
        <v>54</v>
      </c>
      <c r="G5968">
        <v>-299.19009999999997</v>
      </c>
      <c r="H5968" s="1">
        <v>-4.7120629999999998E-6</v>
      </c>
      <c r="I5968">
        <v>-48.06315</v>
      </c>
      <c r="J5968">
        <v>-300.94889999999998</v>
      </c>
      <c r="K5968">
        <v>1.11056</v>
      </c>
      <c r="L5968">
        <v>-32.269289999999998</v>
      </c>
      <c r="M5968">
        <v>-4.4520239999999997E-3</v>
      </c>
      <c r="N5968">
        <v>0</v>
      </c>
      <c r="O5968">
        <v>-0.99994159999999999</v>
      </c>
      <c r="P5968">
        <v>6.79395E-2</v>
      </c>
      <c r="Q5968">
        <v>0.19142049999999999</v>
      </c>
      <c r="R5968">
        <v>-0.97915430000000003</v>
      </c>
      <c r="S5968">
        <v>0.33789059999999999</v>
      </c>
      <c r="T5968">
        <v>-0.21332029999999999</v>
      </c>
      <c r="U5968">
        <v>-3.0818479999999999</v>
      </c>
      <c r="V5968">
        <v>-7.2607809999999995E-2</v>
      </c>
      <c r="W5968">
        <v>0.20096820000000001</v>
      </c>
      <c r="X5968">
        <v>0.97690319999999997</v>
      </c>
      <c r="Y5968">
        <v>-0.11315359999999999</v>
      </c>
      <c r="Z5968">
        <v>6.8625640000000002E-2</v>
      </c>
      <c r="AA5968">
        <v>0.99120469999999905</v>
      </c>
      <c r="AB5968">
        <v>20</v>
      </c>
      <c r="AC5968">
        <v>1.7587999999999999</v>
      </c>
      <c r="AD5968">
        <v>-1.110564712063</v>
      </c>
      <c r="AE5968">
        <v>-15.793859999999899</v>
      </c>
      <c r="AF5968">
        <v>-1.82021105958179</v>
      </c>
      <c r="AG5968">
        <v>-1.110564712063</v>
      </c>
      <c r="AH5968">
        <v>15.709152374220499</v>
      </c>
      <c r="AI5968">
        <v>94.017032828516804</v>
      </c>
      <c r="AJ5968">
        <v>96.609357907905604</v>
      </c>
      <c r="AK5968">
        <v>15.853201272852701</v>
      </c>
      <c r="AL5968">
        <v>78.406417408624606</v>
      </c>
      <c r="AM5968">
        <v>94.250662724835394</v>
      </c>
      <c r="AN5968">
        <v>0.99999998682723801</v>
      </c>
    </row>
    <row r="5969" spans="1:40" x14ac:dyDescent="0.25">
      <c r="A5969" t="str">
        <f>"20190312173045337"</f>
        <v>20190312173045337</v>
      </c>
      <c r="B5969" t="str">
        <f>"1552383045333523"</f>
        <v>1552383045333523</v>
      </c>
      <c r="C5969" t="s">
        <v>40</v>
      </c>
      <c r="D5969">
        <v>3.235465</v>
      </c>
      <c r="E5969">
        <v>0.45981260000000002</v>
      </c>
      <c r="F5969" t="s">
        <v>54</v>
      </c>
      <c r="G5969">
        <v>-299.14269999999999</v>
      </c>
      <c r="H5969" s="1">
        <v>-4.9179169999999998E-6</v>
      </c>
      <c r="I5969">
        <v>-48.446530000000003</v>
      </c>
      <c r="J5969">
        <v>-300.94830000000002</v>
      </c>
      <c r="K5969">
        <v>1.1105400000000001</v>
      </c>
      <c r="L5969">
        <v>-32.46622</v>
      </c>
      <c r="M5969">
        <v>-3.2225800000000001E-3</v>
      </c>
      <c r="N5969">
        <v>0</v>
      </c>
      <c r="O5969">
        <v>-0.99994760000000005</v>
      </c>
      <c r="P5969">
        <v>7.0400240000000003E-2</v>
      </c>
      <c r="Q5969">
        <v>0.19144949999999999</v>
      </c>
      <c r="R5969">
        <v>-0.97897460000000003</v>
      </c>
      <c r="S5969">
        <v>0.34402470000000002</v>
      </c>
      <c r="T5969">
        <v>-0.21153469999999999</v>
      </c>
      <c r="U5969">
        <v>-3.0813600000000001</v>
      </c>
      <c r="V5969">
        <v>-7.3866349999999997E-2</v>
      </c>
      <c r="W5969">
        <v>0.2008509</v>
      </c>
      <c r="X5969">
        <v>0.97683299999999995</v>
      </c>
      <c r="Y5969">
        <v>-0.11390260000000001</v>
      </c>
      <c r="Z5969">
        <v>6.8054770000000001E-2</v>
      </c>
      <c r="AA5969">
        <v>0.99115830000000005</v>
      </c>
      <c r="AB5969">
        <v>20</v>
      </c>
      <c r="AC5969">
        <v>1.8056000000000201</v>
      </c>
      <c r="AD5969">
        <v>-1.1105449179169999</v>
      </c>
      <c r="AE5969">
        <v>-15.9803099999999</v>
      </c>
      <c r="AF5969">
        <v>-1.84827715464313</v>
      </c>
      <c r="AG5969">
        <v>-1.1105449179169999</v>
      </c>
      <c r="AH5969">
        <v>15.8985937309925</v>
      </c>
      <c r="AI5969">
        <v>93.969076564921806</v>
      </c>
      <c r="AJ5969">
        <v>96.631104631665707</v>
      </c>
      <c r="AK5969">
        <v>16.044149122912099</v>
      </c>
      <c r="AL5969">
        <v>78.4132784346873</v>
      </c>
      <c r="AM5969">
        <v>94.324373642622305</v>
      </c>
      <c r="AN5969">
        <v>1.00000001579106</v>
      </c>
    </row>
    <row r="5970" spans="1:40" x14ac:dyDescent="0.25">
      <c r="A5970" t="str">
        <f>"20190312173045373"</f>
        <v>20190312173045373</v>
      </c>
      <c r="B5970" t="str">
        <f>"1552383045363780"</f>
        <v>1552383045363780</v>
      </c>
      <c r="C5970" t="s">
        <v>40</v>
      </c>
      <c r="D5970">
        <v>3.379629</v>
      </c>
      <c r="E5970">
        <v>0.45575589999999999</v>
      </c>
      <c r="F5970" t="s">
        <v>54</v>
      </c>
      <c r="G5970">
        <v>-297.42590000000001</v>
      </c>
      <c r="H5970" s="1">
        <v>-8.0495150000000008E-6</v>
      </c>
      <c r="I5970">
        <v>-51.504939999999998</v>
      </c>
      <c r="J5970">
        <v>-300.947</v>
      </c>
      <c r="K5970">
        <v>1.1104989999999999</v>
      </c>
      <c r="L5970">
        <v>-32.784520000000001</v>
      </c>
      <c r="M5970">
        <v>-1.2356299999999999E-3</v>
      </c>
      <c r="N5970">
        <v>0</v>
      </c>
      <c r="O5970">
        <v>-0.99995449999999997</v>
      </c>
      <c r="P5970">
        <v>7.477752E-2</v>
      </c>
      <c r="Q5970">
        <v>0.19074169999999999</v>
      </c>
      <c r="R5970">
        <v>-0.97878810000000005</v>
      </c>
      <c r="S5970">
        <v>0.56588749999999999</v>
      </c>
      <c r="T5970">
        <v>-0.17841270000000001</v>
      </c>
      <c r="U5970">
        <v>-3.058624</v>
      </c>
      <c r="V5970">
        <v>-7.6300000000000007E-2</v>
      </c>
      <c r="W5970">
        <v>0.19987779999999999</v>
      </c>
      <c r="X5970">
        <v>0.97684550000000003</v>
      </c>
      <c r="Y5970">
        <v>-0.1828427</v>
      </c>
      <c r="Z5970">
        <v>5.7256910000000001E-2</v>
      </c>
      <c r="AA5970">
        <v>0.9814735</v>
      </c>
      <c r="AB5970">
        <v>20</v>
      </c>
      <c r="AC5970">
        <v>3.5210999999999899</v>
      </c>
      <c r="AD5970">
        <v>-1.110507049515</v>
      </c>
      <c r="AE5970">
        <v>-18.720420000000001</v>
      </c>
      <c r="AF5970">
        <v>-3.5322248875027502</v>
      </c>
      <c r="AG5970">
        <v>-1.110507049515</v>
      </c>
      <c r="AH5970">
        <v>18.652659946249099</v>
      </c>
      <c r="AI5970">
        <v>93.347787893714994</v>
      </c>
      <c r="AJ5970">
        <v>100.723037437752</v>
      </c>
      <c r="AK5970">
        <v>19.0166127802331</v>
      </c>
      <c r="AL5970">
        <v>78.470186539140101</v>
      </c>
      <c r="AM5970">
        <v>94.466223103096794</v>
      </c>
      <c r="AN5970">
        <v>0.99999997790154405</v>
      </c>
    </row>
    <row r="5971" spans="1:40" x14ac:dyDescent="0.25">
      <c r="A5971" t="str">
        <f>"20190312173045401"</f>
        <v>20190312173045401</v>
      </c>
      <c r="B5971" t="str">
        <f>"1552383045393059"</f>
        <v>1552383045393059</v>
      </c>
      <c r="C5971" t="s">
        <v>40</v>
      </c>
      <c r="D5971">
        <v>3.2407249999999999</v>
      </c>
      <c r="E5971">
        <v>0.45491389999999998</v>
      </c>
      <c r="F5971" t="s">
        <v>54</v>
      </c>
      <c r="G5971">
        <v>-297.09460000000001</v>
      </c>
      <c r="H5971" s="1">
        <v>-8.1061209999999993E-6</v>
      </c>
      <c r="I5971">
        <v>-52.035649999999997</v>
      </c>
      <c r="J5971">
        <v>-300.94540000000001</v>
      </c>
      <c r="K5971">
        <v>1.1104719999999999</v>
      </c>
      <c r="L5971">
        <v>-33.040409999999902</v>
      </c>
      <c r="M5971">
        <v>3.6019030000000003E-4</v>
      </c>
      <c r="N5971">
        <v>0</v>
      </c>
      <c r="O5971">
        <v>-0.9999576</v>
      </c>
      <c r="P5971">
        <v>7.7169539999999995E-2</v>
      </c>
      <c r="Q5971">
        <v>0.1910926</v>
      </c>
      <c r="R5971">
        <v>-0.97853429999999997</v>
      </c>
      <c r="S5971">
        <v>0.61087040000000004</v>
      </c>
      <c r="T5971">
        <v>-0.17609259999999999</v>
      </c>
      <c r="U5971">
        <v>-3.0526430000000002</v>
      </c>
      <c r="V5971">
        <v>-7.713354E-2</v>
      </c>
      <c r="W5971">
        <v>0.20000770000000001</v>
      </c>
      <c r="X5971">
        <v>0.97675350000000005</v>
      </c>
      <c r="Y5971">
        <v>-0.19555529999999999</v>
      </c>
      <c r="Z5971">
        <v>5.6475610000000002E-2</v>
      </c>
      <c r="AA5971">
        <v>0.97906519999999997</v>
      </c>
      <c r="AB5971">
        <v>20</v>
      </c>
      <c r="AC5971">
        <v>3.8507999999999898</v>
      </c>
      <c r="AD5971">
        <v>-1.1104801061209999</v>
      </c>
      <c r="AE5971">
        <v>-18.995239999999999</v>
      </c>
      <c r="AF5971">
        <v>-3.8313800125465902</v>
      </c>
      <c r="AG5971">
        <v>-1.1104801061209999</v>
      </c>
      <c r="AH5971">
        <v>18.934468306073398</v>
      </c>
      <c r="AI5971">
        <v>93.289945256361904</v>
      </c>
      <c r="AJ5971">
        <v>101.439312146435</v>
      </c>
      <c r="AK5971">
        <v>19.350109273601799</v>
      </c>
      <c r="AL5971">
        <v>78.462591059257093</v>
      </c>
      <c r="AM5971">
        <v>94.515237249595103</v>
      </c>
      <c r="AN5971">
        <v>1.0000000314072299</v>
      </c>
    </row>
    <row r="5972" spans="1:40" x14ac:dyDescent="0.25">
      <c r="A5972" t="str">
        <f>"20190312173045423"</f>
        <v>20190312173045423</v>
      </c>
      <c r="B5972" t="str">
        <f>"1552383045413555"</f>
        <v>1552383045413555</v>
      </c>
      <c r="C5972" t="s">
        <v>40</v>
      </c>
      <c r="D5972">
        <v>3.2433019999999999</v>
      </c>
      <c r="E5972">
        <v>0.4546888</v>
      </c>
      <c r="F5972" t="s">
        <v>54</v>
      </c>
      <c r="G5972">
        <v>-296.98329999999999</v>
      </c>
      <c r="H5972" s="1">
        <v>-8.105473E-6</v>
      </c>
      <c r="I5972">
        <v>-52.388620000000003</v>
      </c>
      <c r="J5972">
        <v>-300.94389999999999</v>
      </c>
      <c r="K5972">
        <v>1.1104560000000001</v>
      </c>
      <c r="L5972">
        <v>-33.237270000000002</v>
      </c>
      <c r="M5972">
        <v>1.5877339999999999E-3</v>
      </c>
      <c r="N5972">
        <v>0</v>
      </c>
      <c r="O5972">
        <v>-0.9999576</v>
      </c>
      <c r="P5972">
        <v>7.9212989999999997E-2</v>
      </c>
      <c r="Q5972">
        <v>0.19118099999999999</v>
      </c>
      <c r="R5972">
        <v>-0.97835349999999999</v>
      </c>
      <c r="S5972">
        <v>0.62472530000000004</v>
      </c>
      <c r="T5972">
        <v>-0.17509620000000001</v>
      </c>
      <c r="U5972">
        <v>-3.050751</v>
      </c>
      <c r="V5972">
        <v>-7.7977770000000002E-2</v>
      </c>
      <c r="W5972">
        <v>0.1999311</v>
      </c>
      <c r="X5972">
        <v>0.97670210000000002</v>
      </c>
      <c r="Y5972">
        <v>-0.19874230000000001</v>
      </c>
      <c r="Z5972">
        <v>5.6147839999999997E-2</v>
      </c>
      <c r="AA5972">
        <v>0.97844209999999998</v>
      </c>
      <c r="AB5972">
        <v>20</v>
      </c>
      <c r="AC5972">
        <v>3.9605999999999999</v>
      </c>
      <c r="AD5972">
        <v>-1.11046410547299</v>
      </c>
      <c r="AE5972">
        <v>-19.151350000000001</v>
      </c>
      <c r="AF5972">
        <v>-3.9175555121988999</v>
      </c>
      <c r="AG5972">
        <v>-1.11046410547299</v>
      </c>
      <c r="AH5972">
        <v>19.096044968842602</v>
      </c>
      <c r="AI5972">
        <v>93.260338737973399</v>
      </c>
      <c r="AJ5972">
        <v>101.593379169074</v>
      </c>
      <c r="AK5972">
        <v>19.525350321383801</v>
      </c>
      <c r="AL5972">
        <v>78.467069843233702</v>
      </c>
      <c r="AM5972">
        <v>94.564688210238202</v>
      </c>
      <c r="AN5972">
        <v>0.99999998475289598</v>
      </c>
    </row>
    <row r="5973" spans="1:40" x14ac:dyDescent="0.25">
      <c r="A5973" t="str">
        <f>"20190312173045444"</f>
        <v>20190312173045444</v>
      </c>
      <c r="B5973" t="str">
        <f>"1552383045433076"</f>
        <v>1552383045433076</v>
      </c>
      <c r="C5973" t="s">
        <v>40</v>
      </c>
      <c r="D5973">
        <v>3.2213080000000001</v>
      </c>
      <c r="E5973">
        <v>0.4545688</v>
      </c>
      <c r="F5973" t="s">
        <v>54</v>
      </c>
      <c r="G5973">
        <v>-296.93310000000002</v>
      </c>
      <c r="H5973" s="1">
        <v>-8.1040689999999994E-6</v>
      </c>
      <c r="I5973">
        <v>-52.557679999999998</v>
      </c>
      <c r="J5973">
        <v>-300.94229999999999</v>
      </c>
      <c r="K5973">
        <v>1.110439</v>
      </c>
      <c r="L5973">
        <v>-33.424959999999999</v>
      </c>
      <c r="M5973">
        <v>2.7585769999999999E-3</v>
      </c>
      <c r="N5973">
        <v>0</v>
      </c>
      <c r="O5973">
        <v>-0.99995670000000003</v>
      </c>
      <c r="P5973">
        <v>8.1435110000000005E-2</v>
      </c>
      <c r="Q5973">
        <v>0.1917731</v>
      </c>
      <c r="R5973">
        <v>-0.97805520000000001</v>
      </c>
      <c r="S5973">
        <v>0.63302609999999904</v>
      </c>
      <c r="T5973">
        <v>-0.1752667</v>
      </c>
      <c r="U5973">
        <v>-3.0493769999999998</v>
      </c>
      <c r="V5973">
        <v>-7.9058160000000002E-2</v>
      </c>
      <c r="W5973">
        <v>0.20035710000000001</v>
      </c>
      <c r="X5973">
        <v>0.9765279</v>
      </c>
      <c r="Y5973">
        <v>-0.20023540000000001</v>
      </c>
      <c r="Z5973">
        <v>5.6203000000000003E-2</v>
      </c>
      <c r="AA5973">
        <v>0.97813450000000002</v>
      </c>
      <c r="AB5973">
        <v>20</v>
      </c>
      <c r="AC5973">
        <v>4.0091999999999599</v>
      </c>
      <c r="AD5973">
        <v>-1.110447104069</v>
      </c>
      <c r="AE5973">
        <v>-19.132719999999999</v>
      </c>
      <c r="AF5973">
        <v>-3.9436779053355999</v>
      </c>
      <c r="AG5973">
        <v>-1.110447104069</v>
      </c>
      <c r="AH5973">
        <v>19.0821320652148</v>
      </c>
      <c r="AI5973">
        <v>93.261684486039997</v>
      </c>
      <c r="AJ5973">
        <v>101.676845178045</v>
      </c>
      <c r="AK5973">
        <v>19.517004184717202</v>
      </c>
      <c r="AL5973">
        <v>78.442157372465701</v>
      </c>
      <c r="AM5973">
        <v>94.628481537499496</v>
      </c>
      <c r="AN5973">
        <v>0.99999994983070095</v>
      </c>
    </row>
    <row r="5974" spans="1:40" x14ac:dyDescent="0.25">
      <c r="A5974" t="str">
        <f>"20190312173045466"</f>
        <v>20190312173045466</v>
      </c>
      <c r="B5974" t="str">
        <f>"1552383045453572"</f>
        <v>1552383045453572</v>
      </c>
      <c r="C5974" t="s">
        <v>40</v>
      </c>
      <c r="D5974">
        <v>3.2244079999999999</v>
      </c>
      <c r="E5974">
        <v>0.45451279999999999</v>
      </c>
      <c r="F5974" t="s">
        <v>54</v>
      </c>
      <c r="G5974">
        <v>-296.87009999999998</v>
      </c>
      <c r="H5974" s="1">
        <v>-8.0993250000000006E-6</v>
      </c>
      <c r="I5974">
        <v>-52.796590000000002</v>
      </c>
      <c r="J5974">
        <v>-300.94040000000001</v>
      </c>
      <c r="K5974">
        <v>1.110422</v>
      </c>
      <c r="L5974">
        <v>-33.618470000000002</v>
      </c>
      <c r="M5974">
        <v>3.9655330000000003E-3</v>
      </c>
      <c r="N5974">
        <v>0</v>
      </c>
      <c r="O5974">
        <v>-0.99995429999999996</v>
      </c>
      <c r="P5974">
        <v>8.4322439999999999E-2</v>
      </c>
      <c r="Q5974">
        <v>0.19191140000000001</v>
      </c>
      <c r="R5974">
        <v>-0.97778339999999997</v>
      </c>
      <c r="S5974">
        <v>0.64077759999999995</v>
      </c>
      <c r="T5974">
        <v>-0.1747341</v>
      </c>
      <c r="U5974">
        <v>-3.0482179999999999</v>
      </c>
      <c r="V5974">
        <v>-8.0768619999999999E-2</v>
      </c>
      <c r="W5974">
        <v>0.20031370000000001</v>
      </c>
      <c r="X5974">
        <v>0.97639690000000001</v>
      </c>
      <c r="Y5974">
        <v>-0.2015121</v>
      </c>
      <c r="Z5974">
        <v>5.6031440000000002E-2</v>
      </c>
      <c r="AA5974">
        <v>0.97788209999999998</v>
      </c>
      <c r="AB5974">
        <v>20</v>
      </c>
      <c r="AC5974">
        <v>4.0703000000000298</v>
      </c>
      <c r="AD5974">
        <v>-1.110430099325</v>
      </c>
      <c r="AE5974">
        <v>-19.17812</v>
      </c>
      <c r="AF5974">
        <v>-3.9814411473645799</v>
      </c>
      <c r="AG5974">
        <v>-1.110430099325</v>
      </c>
      <c r="AH5974">
        <v>19.1327327270232</v>
      </c>
      <c r="AI5974">
        <v>93.252106111173205</v>
      </c>
      <c r="AJ5974">
        <v>101.755244277437</v>
      </c>
      <c r="AK5974">
        <v>19.574125528848501</v>
      </c>
      <c r="AL5974">
        <v>78.444696371377404</v>
      </c>
      <c r="AM5974">
        <v>94.728803137030397</v>
      </c>
      <c r="AN5974">
        <v>1.000000027357</v>
      </c>
    </row>
    <row r="5975" spans="1:40" x14ac:dyDescent="0.25">
      <c r="A5975" t="str">
        <f>"20190312173045489"</f>
        <v>20190312173045489</v>
      </c>
      <c r="B5975" t="str">
        <f>"1552383045483828"</f>
        <v>1552383045483828</v>
      </c>
      <c r="C5975" t="s">
        <v>40</v>
      </c>
      <c r="D5975">
        <v>3.187125</v>
      </c>
      <c r="E5975">
        <v>0.4545979</v>
      </c>
      <c r="F5975" t="s">
        <v>54</v>
      </c>
      <c r="G5975">
        <v>-296.84800000000001</v>
      </c>
      <c r="H5975" s="1">
        <v>-8.1046769999999992E-6</v>
      </c>
      <c r="I5975">
        <v>-52.818019999999997</v>
      </c>
      <c r="J5975">
        <v>-300.93799999999999</v>
      </c>
      <c r="K5975">
        <v>1.1104039999999999</v>
      </c>
      <c r="L5975">
        <v>-33.832279999999997</v>
      </c>
      <c r="M5975">
        <v>5.2983010000000001E-3</v>
      </c>
      <c r="N5975">
        <v>0</v>
      </c>
      <c r="O5975">
        <v>-0.9999498</v>
      </c>
      <c r="P5975">
        <v>8.6511099999999994E-2</v>
      </c>
      <c r="Q5975">
        <v>0.1924882</v>
      </c>
      <c r="R5975">
        <v>-0.97747870000000003</v>
      </c>
      <c r="S5975">
        <v>0.64941409999999999</v>
      </c>
      <c r="T5975">
        <v>-0.1762128</v>
      </c>
      <c r="U5975">
        <v>-3.0467529999999998</v>
      </c>
      <c r="V5975">
        <v>-8.1658300000000003E-2</v>
      </c>
      <c r="W5975">
        <v>0.20069680000000001</v>
      </c>
      <c r="X5975">
        <v>0.97624420000000001</v>
      </c>
      <c r="Y5975">
        <v>-0.20294860000000001</v>
      </c>
      <c r="Z5975">
        <v>5.6505220000000002E-2</v>
      </c>
      <c r="AA5975">
        <v>0.97755769999999997</v>
      </c>
      <c r="AB5975">
        <v>20</v>
      </c>
      <c r="AC5975">
        <v>4.0899999999999697</v>
      </c>
      <c r="AD5975">
        <v>-1.1104121046769999</v>
      </c>
      <c r="AE5975">
        <v>-18.98574</v>
      </c>
      <c r="AF5975">
        <v>-3.9763481806574399</v>
      </c>
      <c r="AG5975">
        <v>-1.1104121046769999</v>
      </c>
      <c r="AH5975">
        <v>18.945212799673602</v>
      </c>
      <c r="AI5975">
        <v>93.282997287209596</v>
      </c>
      <c r="AJ5975">
        <v>101.853561513364</v>
      </c>
      <c r="AK5975">
        <v>19.389828465485401</v>
      </c>
      <c r="AL5975">
        <v>78.422291177253101</v>
      </c>
      <c r="AM5975">
        <v>94.7813958899319</v>
      </c>
      <c r="AN5975">
        <v>1.00000001076138</v>
      </c>
    </row>
    <row r="5976" spans="1:40" x14ac:dyDescent="0.25">
      <c r="A5976" t="str">
        <f>"20190312173045514"</f>
        <v>20190312173045514</v>
      </c>
      <c r="B5976" t="str">
        <f>"1552383045503348"</f>
        <v>1552383045503348</v>
      </c>
      <c r="C5976" t="s">
        <v>40</v>
      </c>
      <c r="D5976">
        <v>3.2035279999999999</v>
      </c>
      <c r="E5976">
        <v>0.45472479999999998</v>
      </c>
      <c r="F5976" t="s">
        <v>54</v>
      </c>
      <c r="G5976">
        <v>-296.80040000000002</v>
      </c>
      <c r="H5976" s="1">
        <v>-8.0928729999999995E-6</v>
      </c>
      <c r="I5976">
        <v>-53.071370000000002</v>
      </c>
      <c r="J5976">
        <v>-300.93520000000001</v>
      </c>
      <c r="K5976">
        <v>1.1103860000000001</v>
      </c>
      <c r="L5976">
        <v>-34.059750000000001</v>
      </c>
      <c r="M5976">
        <v>6.7146259999999996E-3</v>
      </c>
      <c r="N5976">
        <v>0</v>
      </c>
      <c r="O5976">
        <v>-0.99994289999999997</v>
      </c>
      <c r="P5976">
        <v>8.9088600000000004E-2</v>
      </c>
      <c r="Q5976">
        <v>0.19292219999999999</v>
      </c>
      <c r="R5976">
        <v>-0.97716190000000003</v>
      </c>
      <c r="S5976">
        <v>0.65502930000000004</v>
      </c>
      <c r="T5976">
        <v>-0.17579139999999999</v>
      </c>
      <c r="U5976">
        <v>-3.045776</v>
      </c>
      <c r="V5976">
        <v>-8.2856479999999996E-2</v>
      </c>
      <c r="W5976">
        <v>0.2009378</v>
      </c>
      <c r="X5976">
        <v>0.97609360000000001</v>
      </c>
      <c r="Y5976">
        <v>-0.20335049999999999</v>
      </c>
      <c r="Z5976">
        <v>5.6374319999999999E-2</v>
      </c>
      <c r="AA5976">
        <v>0.97748170000000001</v>
      </c>
      <c r="AB5976">
        <v>20</v>
      </c>
      <c r="AC5976">
        <v>4.1347999999999798</v>
      </c>
      <c r="AD5976">
        <v>-1.1103940928730001</v>
      </c>
      <c r="AE5976">
        <v>-19.011619999999901</v>
      </c>
      <c r="AF5976">
        <v>-3.9940370722495699</v>
      </c>
      <c r="AG5976">
        <v>-1.1103940928730001</v>
      </c>
      <c r="AH5976">
        <v>18.977143617408</v>
      </c>
      <c r="AI5976">
        <v>93.277051257860606</v>
      </c>
      <c r="AJ5976">
        <v>101.88533021787801</v>
      </c>
      <c r="AK5976">
        <v>19.424656677834001</v>
      </c>
      <c r="AL5976">
        <v>78.408195107234505</v>
      </c>
      <c r="AM5976">
        <v>94.851966257650901</v>
      </c>
      <c r="AN5976">
        <v>0.99999995585389401</v>
      </c>
    </row>
    <row r="5977" spans="1:40" x14ac:dyDescent="0.25">
      <c r="A5977" t="str">
        <f>"20190312173045539"</f>
        <v>20190312173045539</v>
      </c>
      <c r="B5977" t="str">
        <f>"1552383045533603"</f>
        <v>1552383045533603</v>
      </c>
      <c r="C5977" t="s">
        <v>40</v>
      </c>
      <c r="D5977">
        <v>3.1953459999999998</v>
      </c>
      <c r="E5977">
        <v>0.4549802</v>
      </c>
      <c r="F5977" t="s">
        <v>54</v>
      </c>
      <c r="G5977">
        <v>-296.73739999999998</v>
      </c>
      <c r="H5977" s="1">
        <v>-8.08205E-6</v>
      </c>
      <c r="I5977">
        <v>-53.364249999999998</v>
      </c>
      <c r="J5977">
        <v>-300.93189999999998</v>
      </c>
      <c r="K5977">
        <v>1.110376</v>
      </c>
      <c r="L5977">
        <v>-34.291020000000003</v>
      </c>
      <c r="M5977">
        <v>8.1544619999999995E-3</v>
      </c>
      <c r="N5977">
        <v>0</v>
      </c>
      <c r="O5977">
        <v>-0.99993339999999997</v>
      </c>
      <c r="P5977">
        <v>9.1520019999999994E-2</v>
      </c>
      <c r="Q5977">
        <v>0.19379779999999999</v>
      </c>
      <c r="R5977">
        <v>-0.97676320000000005</v>
      </c>
      <c r="S5977">
        <v>0.66198729999999995</v>
      </c>
      <c r="T5977">
        <v>-0.1751105</v>
      </c>
      <c r="U5977">
        <v>-3.0443419999999999</v>
      </c>
      <c r="V5977">
        <v>-8.3887829999999997E-2</v>
      </c>
      <c r="W5977">
        <v>0.20162540000000001</v>
      </c>
      <c r="X5977">
        <v>0.97586379999999995</v>
      </c>
      <c r="Y5977">
        <v>-0.20417199999999999</v>
      </c>
      <c r="Z5977">
        <v>5.6163299999999999E-2</v>
      </c>
      <c r="AA5977">
        <v>0.97732260000000004</v>
      </c>
      <c r="AB5977">
        <v>20</v>
      </c>
      <c r="AC5977">
        <v>4.1944999999999997</v>
      </c>
      <c r="AD5977">
        <v>-1.1103840820499999</v>
      </c>
      <c r="AE5977">
        <v>-19.073229999999899</v>
      </c>
      <c r="AF5977">
        <v>-4.0258085559806096</v>
      </c>
      <c r="AG5977">
        <v>-1.1103840820499999</v>
      </c>
      <c r="AH5977">
        <v>19.0452303549629</v>
      </c>
      <c r="AI5977">
        <v>93.264729300455002</v>
      </c>
      <c r="AJ5977">
        <v>101.93556656198</v>
      </c>
      <c r="AK5977">
        <v>19.497714907462299</v>
      </c>
      <c r="AL5977">
        <v>78.367976630206101</v>
      </c>
      <c r="AM5977">
        <v>94.913218111252405</v>
      </c>
      <c r="AN5977">
        <v>1.0000000630488499</v>
      </c>
    </row>
    <row r="5978" spans="1:40" x14ac:dyDescent="0.25">
      <c r="A5978" t="str">
        <f>"20190312173045562"</f>
        <v>20190312173045562</v>
      </c>
      <c r="B5978" t="str">
        <f>"1552383045554099"</f>
        <v>1552383045554099</v>
      </c>
      <c r="C5978" t="s">
        <v>40</v>
      </c>
      <c r="D5978">
        <v>3.204326</v>
      </c>
      <c r="E5978">
        <v>0.4550903</v>
      </c>
      <c r="F5978" t="s">
        <v>54</v>
      </c>
      <c r="G5978">
        <v>-296.69170000000003</v>
      </c>
      <c r="H5978" s="1">
        <v>-8.0680460000000005E-6</v>
      </c>
      <c r="I5978">
        <v>-53.631270000000001</v>
      </c>
      <c r="J5978">
        <v>-300.92860000000002</v>
      </c>
      <c r="K5978">
        <v>1.11036</v>
      </c>
      <c r="L5978">
        <v>-34.506869999999999</v>
      </c>
      <c r="M5978">
        <v>9.4997569999999993E-3</v>
      </c>
      <c r="N5978">
        <v>0</v>
      </c>
      <c r="O5978">
        <v>-0.99992320000000001</v>
      </c>
      <c r="P5978">
        <v>9.3920429999999999E-2</v>
      </c>
      <c r="Q5978">
        <v>0.1943617</v>
      </c>
      <c r="R5978">
        <v>-0.97642340000000005</v>
      </c>
      <c r="S5978">
        <v>0.66726680000000005</v>
      </c>
      <c r="T5978">
        <v>-0.1747378</v>
      </c>
      <c r="U5978">
        <v>-3.0435180000000002</v>
      </c>
      <c r="V5978">
        <v>-8.4979869999999999E-2</v>
      </c>
      <c r="W5978">
        <v>0.20201759999999999</v>
      </c>
      <c r="X5978">
        <v>0.97568809999999995</v>
      </c>
      <c r="Y5978">
        <v>-0.20452970000000001</v>
      </c>
      <c r="Z5978">
        <v>5.6045619999999997E-2</v>
      </c>
      <c r="AA5978">
        <v>0.97725459999999997</v>
      </c>
      <c r="AB5978">
        <v>21</v>
      </c>
      <c r="AC5978">
        <v>4.2368999999999897</v>
      </c>
      <c r="AD5978">
        <v>-1.110368068046</v>
      </c>
      <c r="AE5978">
        <v>-19.124399999999898</v>
      </c>
      <c r="AF5978">
        <v>-4.0420376863001097</v>
      </c>
      <c r="AG5978">
        <v>-1.110368068046</v>
      </c>
      <c r="AH5978">
        <v>19.102406346778199</v>
      </c>
      <c r="AI5978">
        <v>93.254789136809606</v>
      </c>
      <c r="AJ5978">
        <v>101.947461597344</v>
      </c>
      <c r="AK5978">
        <v>19.556914739841702</v>
      </c>
      <c r="AL5978">
        <v>78.345032105926094</v>
      </c>
      <c r="AM5978">
        <v>94.977750227264494</v>
      </c>
      <c r="AN5978">
        <v>0.99999997874829305</v>
      </c>
    </row>
    <row r="5979" spans="1:40" x14ac:dyDescent="0.25">
      <c r="A5979" t="str">
        <f>"20190312173045583"</f>
        <v>20190312173045583</v>
      </c>
      <c r="B5979" t="str">
        <f>"1552383045573620"</f>
        <v>1552383045573620</v>
      </c>
      <c r="C5979" t="s">
        <v>40</v>
      </c>
      <c r="D5979">
        <v>3.163513</v>
      </c>
      <c r="E5979">
        <v>0.4552234</v>
      </c>
      <c r="F5979" t="s">
        <v>54</v>
      </c>
      <c r="G5979">
        <v>-296.66219999999998</v>
      </c>
      <c r="H5979" s="1">
        <v>-8.0630700000000004E-6</v>
      </c>
      <c r="I5979">
        <v>-53.767740000000003</v>
      </c>
      <c r="J5979">
        <v>-300.9255</v>
      </c>
      <c r="K5979">
        <v>1.110347</v>
      </c>
      <c r="L5979">
        <v>-34.69699</v>
      </c>
      <c r="M5979">
        <v>1.069035E-2</v>
      </c>
      <c r="N5979">
        <v>0</v>
      </c>
      <c r="O5979">
        <v>-0.99991220000000003</v>
      </c>
      <c r="P5979">
        <v>9.6516829999999998E-2</v>
      </c>
      <c r="Q5979">
        <v>0.19449060000000001</v>
      </c>
      <c r="R5979">
        <v>-0.97614460000000003</v>
      </c>
      <c r="S5979">
        <v>0.67395019999999894</v>
      </c>
      <c r="T5979">
        <v>-0.17539920000000001</v>
      </c>
      <c r="U5979">
        <v>-3.0425420000000001</v>
      </c>
      <c r="V5979">
        <v>-8.641952E-2</v>
      </c>
      <c r="W5979">
        <v>0.20200219999999999</v>
      </c>
      <c r="X5979">
        <v>0.97556480000000001</v>
      </c>
      <c r="Y5979">
        <v>-0.2054744</v>
      </c>
      <c r="Z5979">
        <v>5.6254899999999997E-2</v>
      </c>
      <c r="AA5979">
        <v>0.97704429999999998</v>
      </c>
      <c r="AB5979">
        <v>21</v>
      </c>
      <c r="AC5979">
        <v>4.2633000000000099</v>
      </c>
      <c r="AD5979">
        <v>-1.1103550630700001</v>
      </c>
      <c r="AE5979">
        <v>-19.07075</v>
      </c>
      <c r="AF5979">
        <v>-4.0461139948093097</v>
      </c>
      <c r="AG5979">
        <v>-1.1103550630700001</v>
      </c>
      <c r="AH5979">
        <v>19.053721616307801</v>
      </c>
      <c r="AI5979">
        <v>93.2625510767854</v>
      </c>
      <c r="AJ5979">
        <v>101.988837744975</v>
      </c>
      <c r="AK5979">
        <v>19.510208462669802</v>
      </c>
      <c r="AL5979">
        <v>78.345932702571602</v>
      </c>
      <c r="AM5979">
        <v>95.062280605279895</v>
      </c>
      <c r="AN5979">
        <v>0.99999995062045399</v>
      </c>
    </row>
    <row r="5980" spans="1:40" x14ac:dyDescent="0.25">
      <c r="A5980" t="str">
        <f>"20190312173045605"</f>
        <v>20190312173045605</v>
      </c>
      <c r="B5980" t="str">
        <f>"1552383045594116"</f>
        <v>1552383045594116</v>
      </c>
      <c r="C5980" t="s">
        <v>40</v>
      </c>
      <c r="D5980">
        <v>3.2267679999999999</v>
      </c>
      <c r="E5980">
        <v>0.45539659999999899</v>
      </c>
      <c r="F5980" t="s">
        <v>54</v>
      </c>
      <c r="G5980">
        <v>-296.63010000000003</v>
      </c>
      <c r="H5980" s="1">
        <v>-8.0601090000000006E-6</v>
      </c>
      <c r="I5980">
        <v>-53.894080000000002</v>
      </c>
      <c r="J5980">
        <v>-300.92189999999999</v>
      </c>
      <c r="K5980">
        <v>1.1103479999999999</v>
      </c>
      <c r="L5980">
        <v>-34.898040000000002</v>
      </c>
      <c r="M5980">
        <v>1.1961319999999999E-2</v>
      </c>
      <c r="N5980">
        <v>0</v>
      </c>
      <c r="O5980">
        <v>-0.99989890000000003</v>
      </c>
      <c r="P5980">
        <v>9.8927929999999997E-2</v>
      </c>
      <c r="Q5980">
        <v>0.1942844</v>
      </c>
      <c r="R5980">
        <v>-0.97594449999999999</v>
      </c>
      <c r="S5980">
        <v>0.68045040000000001</v>
      </c>
      <c r="T5980">
        <v>-0.175897</v>
      </c>
      <c r="U5980">
        <v>-3.0411069999999998</v>
      </c>
      <c r="V5980">
        <v>-8.7597120000000001E-2</v>
      </c>
      <c r="W5980">
        <v>0.201658</v>
      </c>
      <c r="X5980">
        <v>0.97553100000000004</v>
      </c>
      <c r="Y5980">
        <v>-0.20631550000000001</v>
      </c>
      <c r="Z5980">
        <v>5.6420749999999999E-2</v>
      </c>
      <c r="AA5980">
        <v>0.97685750000000005</v>
      </c>
      <c r="AB5980">
        <v>21</v>
      </c>
      <c r="AC5980">
        <v>4.2917999999999603</v>
      </c>
      <c r="AD5980">
        <v>-1.1103560601089999</v>
      </c>
      <c r="AE5980">
        <v>-18.996040000000001</v>
      </c>
      <c r="AF5980">
        <v>-4.0510996048969803</v>
      </c>
      <c r="AG5980">
        <v>-1.1103560601089999</v>
      </c>
      <c r="AH5980">
        <v>18.984305758414799</v>
      </c>
      <c r="AI5980">
        <v>93.273766267286007</v>
      </c>
      <c r="AJ5980">
        <v>102.045791957086</v>
      </c>
      <c r="AK5980">
        <v>19.443460692942502</v>
      </c>
      <c r="AL5980">
        <v>78.3660684974882</v>
      </c>
      <c r="AM5980">
        <v>95.131073108246198</v>
      </c>
      <c r="AN5980">
        <v>0.999999968178646</v>
      </c>
    </row>
    <row r="5981" spans="1:40" x14ac:dyDescent="0.25">
      <c r="A5981" t="str">
        <f>"20190312173045625"</f>
        <v>20190312173045625</v>
      </c>
      <c r="B5981" t="str">
        <f>"1552383045613636"</f>
        <v>1552383045613636</v>
      </c>
      <c r="C5981" t="s">
        <v>40</v>
      </c>
      <c r="D5981">
        <v>3.13212</v>
      </c>
      <c r="E5981">
        <v>0.45552680000000001</v>
      </c>
      <c r="F5981" t="s">
        <v>54</v>
      </c>
      <c r="G5981">
        <v>-296.62479999999999</v>
      </c>
      <c r="H5981" s="1">
        <v>-8.05735E-6</v>
      </c>
      <c r="I5981">
        <v>-53.935419999999901</v>
      </c>
      <c r="J5981">
        <v>-300.91820000000001</v>
      </c>
      <c r="K5981">
        <v>1.11036</v>
      </c>
      <c r="L5981">
        <v>-35.090389999999999</v>
      </c>
      <c r="M5981">
        <v>1.3197840000000001E-2</v>
      </c>
      <c r="N5981">
        <v>0</v>
      </c>
      <c r="O5981">
        <v>-0.9998842</v>
      </c>
      <c r="P5981">
        <v>0.10126780000000001</v>
      </c>
      <c r="Q5981">
        <v>0.19477159999999999</v>
      </c>
      <c r="R5981">
        <v>-0.975607</v>
      </c>
      <c r="S5981">
        <v>0.68612669999999998</v>
      </c>
      <c r="T5981">
        <v>-0.1772908</v>
      </c>
      <c r="U5981">
        <v>-3.0397029999999998</v>
      </c>
      <c r="V5981">
        <v>-8.8743379999999997E-2</v>
      </c>
      <c r="W5981">
        <v>0.20202609999999999</v>
      </c>
      <c r="X5981">
        <v>0.97535130000000003</v>
      </c>
      <c r="Y5981">
        <v>-0.20693239999999999</v>
      </c>
      <c r="Z5981">
        <v>5.6875349999999998E-2</v>
      </c>
      <c r="AA5981">
        <v>0.97670069999999998</v>
      </c>
      <c r="AB5981">
        <v>21</v>
      </c>
      <c r="AC5981">
        <v>4.2934000000000196</v>
      </c>
      <c r="AD5981">
        <v>-1.1103680573500001</v>
      </c>
      <c r="AE5981">
        <v>-18.845029999999898</v>
      </c>
      <c r="AF5981">
        <v>-4.0310013840104899</v>
      </c>
      <c r="AG5981">
        <v>-1.1103680573500001</v>
      </c>
      <c r="AH5981">
        <v>18.837881686650501</v>
      </c>
      <c r="AI5981">
        <v>93.2987942774229</v>
      </c>
      <c r="AJ5981">
        <v>102.078216724162</v>
      </c>
      <c r="AK5981">
        <v>19.296312492829301</v>
      </c>
      <c r="AL5981">
        <v>78.344535627499098</v>
      </c>
      <c r="AM5981">
        <v>95.198803205610204</v>
      </c>
      <c r="AN5981">
        <v>1.00000004549336</v>
      </c>
    </row>
    <row r="5982" spans="1:40" x14ac:dyDescent="0.25">
      <c r="A5982" t="str">
        <f>"20190312173045647"</f>
        <v>20190312173045647</v>
      </c>
      <c r="B5982" t="str">
        <f>"1552383045643892"</f>
        <v>1552383045643892</v>
      </c>
      <c r="C5982" t="s">
        <v>40</v>
      </c>
      <c r="D5982">
        <v>3.2306249999999999</v>
      </c>
      <c r="E5982">
        <v>0.45577010000000001</v>
      </c>
      <c r="F5982" t="s">
        <v>54</v>
      </c>
      <c r="G5982">
        <v>-296.55560000000003</v>
      </c>
      <c r="H5982" s="1">
        <v>-8.0502919999999996E-6</v>
      </c>
      <c r="I5982">
        <v>-54.213880000000003</v>
      </c>
      <c r="J5982">
        <v>-300.91399999999999</v>
      </c>
      <c r="K5982">
        <v>1.1103730000000001</v>
      </c>
      <c r="L5982">
        <v>-35.297789999999999</v>
      </c>
      <c r="M5982">
        <v>1.4556309999999999E-2</v>
      </c>
      <c r="N5982">
        <v>0</v>
      </c>
      <c r="O5982">
        <v>-0.99986589999999997</v>
      </c>
      <c r="P5982">
        <v>0.103648</v>
      </c>
      <c r="Q5982">
        <v>0.19456960000000001</v>
      </c>
      <c r="R5982">
        <v>-0.97539710000000002</v>
      </c>
      <c r="S5982">
        <v>0.69311519999999904</v>
      </c>
      <c r="T5982">
        <v>-0.17641119999999999</v>
      </c>
      <c r="U5982">
        <v>-3.0382690000000001</v>
      </c>
      <c r="V5982">
        <v>-8.9811089999999996E-2</v>
      </c>
      <c r="W5982">
        <v>0.20170850000000001</v>
      </c>
      <c r="X5982">
        <v>0.9753193</v>
      </c>
      <c r="Y5982">
        <v>-0.20784230000000001</v>
      </c>
      <c r="Z5982">
        <v>5.6598750000000003E-2</v>
      </c>
      <c r="AA5982">
        <v>0.97652349999999999</v>
      </c>
      <c r="AB5982">
        <v>21</v>
      </c>
      <c r="AC5982">
        <v>4.3583999999999596</v>
      </c>
      <c r="AD5982">
        <v>-1.110381050292</v>
      </c>
      <c r="AE5982">
        <v>-18.916090000000001</v>
      </c>
      <c r="AF5982">
        <v>-4.0692672327122104</v>
      </c>
      <c r="AG5982">
        <v>-1.110381050292</v>
      </c>
      <c r="AH5982">
        <v>18.9156372770689</v>
      </c>
      <c r="AI5982">
        <v>93.284533518213394</v>
      </c>
      <c r="AJ5982">
        <v>102.140843544002</v>
      </c>
      <c r="AK5982">
        <v>19.3802274363773</v>
      </c>
      <c r="AL5982">
        <v>78.363115248811795</v>
      </c>
      <c r="AM5982">
        <v>95.261174982411902</v>
      </c>
      <c r="AN5982">
        <v>1.0000000439058601</v>
      </c>
    </row>
    <row r="5983" spans="1:40" x14ac:dyDescent="0.25">
      <c r="A5983" t="str">
        <f>"20190312173045667"</f>
        <v>20190312173045667</v>
      </c>
      <c r="B5983" t="str">
        <f>"1552383045663412"</f>
        <v>1552383045663412</v>
      </c>
      <c r="C5983" t="s">
        <v>40</v>
      </c>
      <c r="D5983">
        <v>3.153578</v>
      </c>
      <c r="E5983">
        <v>0.45597650000000001</v>
      </c>
      <c r="F5983" t="s">
        <v>54</v>
      </c>
      <c r="G5983">
        <v>-296.56479999999999</v>
      </c>
      <c r="H5983" s="1">
        <v>-8.0488360000000001E-6</v>
      </c>
      <c r="I5983">
        <v>-54.198270000000001</v>
      </c>
      <c r="J5983">
        <v>-300.90989999999999</v>
      </c>
      <c r="K5983">
        <v>1.11039</v>
      </c>
      <c r="L5983">
        <v>-35.481749999999998</v>
      </c>
      <c r="M5983">
        <v>1.5791550000000001E-2</v>
      </c>
      <c r="N5983">
        <v>0</v>
      </c>
      <c r="O5983">
        <v>-0.99984819999999996</v>
      </c>
      <c r="P5983">
        <v>0.1059533</v>
      </c>
      <c r="Q5983">
        <v>0.1947429</v>
      </c>
      <c r="R5983">
        <v>-0.97511510000000001</v>
      </c>
      <c r="S5983">
        <v>0.69885249999999999</v>
      </c>
      <c r="T5983">
        <v>-0.1784213</v>
      </c>
      <c r="U5983">
        <v>-3.0370180000000002</v>
      </c>
      <c r="V5983">
        <v>-9.0928120000000001E-2</v>
      </c>
      <c r="W5983">
        <v>0.2017823</v>
      </c>
      <c r="X5983">
        <v>0.97520050000000003</v>
      </c>
      <c r="Y5983">
        <v>-0.2084656</v>
      </c>
      <c r="Z5983">
        <v>5.7247079999999999E-2</v>
      </c>
      <c r="AA5983">
        <v>0.97635289999999997</v>
      </c>
      <c r="AB5983">
        <v>21</v>
      </c>
      <c r="AC5983">
        <v>4.3451000000000004</v>
      </c>
      <c r="AD5983">
        <v>-1.1103980488359999</v>
      </c>
      <c r="AE5983">
        <v>-18.716519999999999</v>
      </c>
      <c r="AF5983">
        <v>-4.0355098249108297</v>
      </c>
      <c r="AG5983">
        <v>-1.1103980488359999</v>
      </c>
      <c r="AH5983">
        <v>18.720283288283099</v>
      </c>
      <c r="AI5983">
        <v>93.318482479714405</v>
      </c>
      <c r="AJ5983">
        <v>102.165028861206</v>
      </c>
      <c r="AK5983">
        <v>19.1824745475495</v>
      </c>
      <c r="AL5983">
        <v>78.358797737358302</v>
      </c>
      <c r="AM5983">
        <v>95.326882187975201</v>
      </c>
      <c r="AN5983">
        <v>1.00000001740013</v>
      </c>
    </row>
    <row r="5984" spans="1:40" x14ac:dyDescent="0.25">
      <c r="A5984" t="str">
        <f>"20190312173045690"</f>
        <v>20190312173045690</v>
      </c>
      <c r="B5984" t="str">
        <f>"1552383045683908"</f>
        <v>1552383045683908</v>
      </c>
      <c r="C5984" t="s">
        <v>40</v>
      </c>
      <c r="D5984">
        <v>3.2332130000000001</v>
      </c>
      <c r="E5984">
        <v>0.45612340000000001</v>
      </c>
      <c r="F5984" t="s">
        <v>54</v>
      </c>
      <c r="G5984">
        <v>-296.52480000000003</v>
      </c>
      <c r="H5984" s="1">
        <v>-8.0433499999999998E-6</v>
      </c>
      <c r="I5984">
        <v>-54.371720000000003</v>
      </c>
      <c r="J5984">
        <v>-300.90460000000002</v>
      </c>
      <c r="K5984">
        <v>1.1104309999999999</v>
      </c>
      <c r="L5984">
        <v>-35.706330000000001</v>
      </c>
      <c r="M5984">
        <v>1.7365539999999999E-2</v>
      </c>
      <c r="N5984">
        <v>0</v>
      </c>
      <c r="O5984">
        <v>-0.99982289999999996</v>
      </c>
      <c r="P5984">
        <v>0.1078596</v>
      </c>
      <c r="Q5984">
        <v>0.19533909999999999</v>
      </c>
      <c r="R5984">
        <v>-0.97478699999999996</v>
      </c>
      <c r="S5984">
        <v>0.70468140000000001</v>
      </c>
      <c r="T5984">
        <v>-0.17844079999999901</v>
      </c>
      <c r="U5984">
        <v>-3.0356139999999998</v>
      </c>
      <c r="V5984">
        <v>-9.1326169999999998E-2</v>
      </c>
      <c r="W5984">
        <v>0.20226469999999999</v>
      </c>
      <c r="X5984">
        <v>0.97506329999999997</v>
      </c>
      <c r="Y5984">
        <v>-0.2088042</v>
      </c>
      <c r="Z5984">
        <v>5.7262529999999999E-2</v>
      </c>
      <c r="AA5984">
        <v>0.97627960000000003</v>
      </c>
      <c r="AB5984">
        <v>21</v>
      </c>
      <c r="AC5984">
        <v>4.3797999999999799</v>
      </c>
      <c r="AD5984">
        <v>-1.11043904335</v>
      </c>
      <c r="AE5984">
        <v>-18.665389999999899</v>
      </c>
      <c r="AF5984">
        <v>-4.0414390884852596</v>
      </c>
      <c r="AG5984">
        <v>-1.11043904335</v>
      </c>
      <c r="AH5984">
        <v>18.675984748420898</v>
      </c>
      <c r="AI5984">
        <v>93.325891042124496</v>
      </c>
      <c r="AJ5984">
        <v>102.210399111924</v>
      </c>
      <c r="AK5984">
        <v>19.1404992384781</v>
      </c>
      <c r="AL5984">
        <v>78.330575651669193</v>
      </c>
      <c r="AM5984">
        <v>95.350814739122598</v>
      </c>
      <c r="AN5984">
        <v>0.99999995859992297</v>
      </c>
    </row>
    <row r="5985" spans="1:40" x14ac:dyDescent="0.25">
      <c r="A5985" t="str">
        <f>"20190312173045714"</f>
        <v>20190312173045714</v>
      </c>
      <c r="B5985" t="str">
        <f>"1552383045704517"</f>
        <v>1552383045704517</v>
      </c>
      <c r="C5985" t="s">
        <v>40</v>
      </c>
      <c r="D5985">
        <v>3.2340300000000002</v>
      </c>
      <c r="E5985">
        <v>0.45626090000000002</v>
      </c>
      <c r="F5985" t="s">
        <v>54</v>
      </c>
      <c r="G5985">
        <v>-296.4538</v>
      </c>
      <c r="H5985" s="1">
        <v>-8.0287270000000004E-6</v>
      </c>
      <c r="I5985">
        <v>-54.723390000000002</v>
      </c>
      <c r="J5985">
        <v>-300.899</v>
      </c>
      <c r="K5985">
        <v>1.1104780000000001</v>
      </c>
      <c r="L5985">
        <v>-35.9238</v>
      </c>
      <c r="M5985">
        <v>1.897561E-2</v>
      </c>
      <c r="N5985">
        <v>0</v>
      </c>
      <c r="O5985">
        <v>-0.99979410000000002</v>
      </c>
      <c r="P5985">
        <v>0.11012230000000001</v>
      </c>
      <c r="Q5985">
        <v>0.19486690000000001</v>
      </c>
      <c r="R5985">
        <v>-0.9746283</v>
      </c>
      <c r="S5985">
        <v>0.71020509999999903</v>
      </c>
      <c r="T5985">
        <v>-0.1771905</v>
      </c>
      <c r="U5985">
        <v>-3.0345149999999999</v>
      </c>
      <c r="V5985">
        <v>-9.2047710000000005E-2</v>
      </c>
      <c r="W5985">
        <v>0.2016917</v>
      </c>
      <c r="X5985">
        <v>0.97511420000000004</v>
      </c>
      <c r="Y5985">
        <v>-0.20899789999999999</v>
      </c>
      <c r="Z5985">
        <v>5.6867359999999999E-2</v>
      </c>
      <c r="AA5985">
        <v>0.97626120000000005</v>
      </c>
      <c r="AB5985">
        <v>21</v>
      </c>
      <c r="AC5985">
        <v>4.4451999999999998</v>
      </c>
      <c r="AD5985">
        <v>-1.110486028727</v>
      </c>
      <c r="AE5985">
        <v>-18.799589999999998</v>
      </c>
      <c r="AF5985">
        <v>-4.07419360056236</v>
      </c>
      <c r="AG5985">
        <v>-1.110486028727</v>
      </c>
      <c r="AH5985">
        <v>18.818372582898199</v>
      </c>
      <c r="AI5985">
        <v>93.300850860535604</v>
      </c>
      <c r="AJ5985">
        <v>102.216047598646</v>
      </c>
      <c r="AK5985">
        <v>19.286352153365801</v>
      </c>
      <c r="AL5985">
        <v>78.364097650577605</v>
      </c>
      <c r="AM5985">
        <v>95.392561769945104</v>
      </c>
      <c r="AN5985">
        <v>1.0000000129033799</v>
      </c>
    </row>
    <row r="5986" spans="1:40" x14ac:dyDescent="0.25">
      <c r="A5986" t="str">
        <f>"20190312173045752"</f>
        <v>20190312173045752</v>
      </c>
      <c r="B5986" t="str">
        <f>"1552383045743556"</f>
        <v>1552383045743556</v>
      </c>
      <c r="C5986" t="s">
        <v>40</v>
      </c>
      <c r="D5986">
        <v>3.208183</v>
      </c>
      <c r="E5986">
        <v>0.4565071</v>
      </c>
      <c r="F5986" t="s">
        <v>54</v>
      </c>
      <c r="G5986">
        <v>-296.4683</v>
      </c>
      <c r="H5986" s="1">
        <v>-8.0280679999999994E-6</v>
      </c>
      <c r="I5986">
        <v>-54.683970000000002</v>
      </c>
      <c r="J5986">
        <v>-300.8886</v>
      </c>
      <c r="K5986">
        <v>1.1106039999999999</v>
      </c>
      <c r="L5986">
        <v>-36.291379999999997</v>
      </c>
      <c r="M5986">
        <v>2.1949699999999999E-2</v>
      </c>
      <c r="N5986">
        <v>0</v>
      </c>
      <c r="O5986">
        <v>-0.99973429999999996</v>
      </c>
      <c r="P5986">
        <v>0.11492239999999999</v>
      </c>
      <c r="Q5986">
        <v>0.19402469999999999</v>
      </c>
      <c r="R5986">
        <v>-0.97424230000000001</v>
      </c>
      <c r="S5986">
        <v>0.71633910000000001</v>
      </c>
      <c r="T5986">
        <v>-0.1795378</v>
      </c>
      <c r="U5986">
        <v>-3.0330509999999999</v>
      </c>
      <c r="V5986">
        <v>-9.4013979999999997E-2</v>
      </c>
      <c r="W5986">
        <v>0.20069580000000001</v>
      </c>
      <c r="X5986">
        <v>0.975132</v>
      </c>
      <c r="Y5986">
        <v>-0.2080545</v>
      </c>
      <c r="Z5986">
        <v>5.7632589999999997E-2</v>
      </c>
      <c r="AA5986">
        <v>0.9764178</v>
      </c>
      <c r="AB5986">
        <v>21</v>
      </c>
      <c r="AC5986">
        <v>4.4202999999999903</v>
      </c>
      <c r="AD5986">
        <v>-1.1106120280679901</v>
      </c>
      <c r="AE5986">
        <v>-18.392589999999998</v>
      </c>
      <c r="AF5986">
        <v>-4.0017188829401702</v>
      </c>
      <c r="AG5986">
        <v>-1.1106120280679901</v>
      </c>
      <c r="AH5986">
        <v>18.421684070058902</v>
      </c>
      <c r="AI5986">
        <v>93.371642904494607</v>
      </c>
      <c r="AJ5986">
        <v>102.25587849621201</v>
      </c>
      <c r="AK5986">
        <v>18.884005323872099</v>
      </c>
      <c r="AL5986">
        <v>78.422348656340901</v>
      </c>
      <c r="AM5986">
        <v>95.506953836096301</v>
      </c>
      <c r="AN5986">
        <v>0.99999992499853696</v>
      </c>
    </row>
    <row r="5987" spans="1:40" x14ac:dyDescent="0.25">
      <c r="A5987" t="str">
        <f>"20190312173045777"</f>
        <v>20190312173045777</v>
      </c>
      <c r="B5987" t="str">
        <f>"1552383045773812"</f>
        <v>1552383045773812</v>
      </c>
      <c r="C5987" t="s">
        <v>40</v>
      </c>
      <c r="D5987">
        <v>3.0765400000000001</v>
      </c>
      <c r="E5987">
        <v>0.4566964</v>
      </c>
      <c r="F5987" t="s">
        <v>54</v>
      </c>
      <c r="G5987">
        <v>-296.52589999999998</v>
      </c>
      <c r="H5987" s="1">
        <v>-8.0342819999999994E-6</v>
      </c>
      <c r="I5987">
        <v>-54.448909999999998</v>
      </c>
      <c r="J5987">
        <v>-300.88080000000002</v>
      </c>
      <c r="K5987">
        <v>1.110706</v>
      </c>
      <c r="L5987">
        <v>-36.536009999999997</v>
      </c>
      <c r="M5987">
        <v>2.412485E-2</v>
      </c>
      <c r="N5987">
        <v>0</v>
      </c>
      <c r="O5987">
        <v>-0.99968429999999997</v>
      </c>
      <c r="P5987">
        <v>0.1174145</v>
      </c>
      <c r="Q5987">
        <v>0.19485379999999999</v>
      </c>
      <c r="R5987">
        <v>-0.97377939999999996</v>
      </c>
      <c r="S5987">
        <v>0.72808839999999997</v>
      </c>
      <c r="T5987">
        <v>-0.18535160000000001</v>
      </c>
      <c r="U5987">
        <v>-3.0303339999999999</v>
      </c>
      <c r="V5987">
        <v>-9.4445260000000003E-2</v>
      </c>
      <c r="W5987">
        <v>0.20143430000000001</v>
      </c>
      <c r="X5987">
        <v>0.97493810000000003</v>
      </c>
      <c r="Y5987">
        <v>-0.2096787</v>
      </c>
      <c r="Z5987">
        <v>5.9502689999999997E-2</v>
      </c>
      <c r="AA5987">
        <v>0.97595810000000005</v>
      </c>
      <c r="AB5987">
        <v>21</v>
      </c>
      <c r="AC5987">
        <v>4.3549000000000397</v>
      </c>
      <c r="AD5987">
        <v>-1.1107140342820001</v>
      </c>
      <c r="AE5987">
        <v>-17.9129</v>
      </c>
      <c r="AF5987">
        <v>-3.9072914308456901</v>
      </c>
      <c r="AG5987">
        <v>-1.1107140342820001</v>
      </c>
      <c r="AH5987">
        <v>17.947596320885399</v>
      </c>
      <c r="AI5987">
        <v>93.460466817843198</v>
      </c>
      <c r="AJ5987">
        <v>102.281965370642</v>
      </c>
      <c r="AK5987">
        <v>18.401544111540499</v>
      </c>
      <c r="AL5987">
        <v>78.379154368954701</v>
      </c>
      <c r="AM5987">
        <v>95.533153506187503</v>
      </c>
      <c r="AN5987">
        <v>0.99999999159228303</v>
      </c>
    </row>
    <row r="5988" spans="1:40" x14ac:dyDescent="0.25">
      <c r="A5988" t="str">
        <f>"20190312173045802"</f>
        <v>20190312173045802</v>
      </c>
      <c r="B5988" t="str">
        <f>"1552383045794012"</f>
        <v>1552383045794012</v>
      </c>
      <c r="C5988" t="s">
        <v>40</v>
      </c>
      <c r="D5988">
        <v>3.2511369999999999</v>
      </c>
      <c r="E5988">
        <v>0.4567447</v>
      </c>
      <c r="F5988" t="s">
        <v>54</v>
      </c>
      <c r="G5988">
        <v>-296.44260000000003</v>
      </c>
      <c r="H5988" s="1">
        <v>-8.0214909999999997E-6</v>
      </c>
      <c r="I5988">
        <v>-54.822699999999998</v>
      </c>
      <c r="J5988">
        <v>-300.8725</v>
      </c>
      <c r="K5988">
        <v>1.1108009999999999</v>
      </c>
      <c r="L5988">
        <v>-36.77655</v>
      </c>
      <c r="M5988">
        <v>2.641748E-2</v>
      </c>
      <c r="N5988">
        <v>0</v>
      </c>
      <c r="O5988">
        <v>-0.99962689999999998</v>
      </c>
      <c r="P5988">
        <v>0.1201161</v>
      </c>
      <c r="Q5988">
        <v>0.19526840000000001</v>
      </c>
      <c r="R5988">
        <v>-0.97336659999999997</v>
      </c>
      <c r="S5988">
        <v>0.73513790000000001</v>
      </c>
      <c r="T5988">
        <v>-0.18397579999999999</v>
      </c>
      <c r="U5988">
        <v>-3.0289609999999998</v>
      </c>
      <c r="V5988">
        <v>-9.4969490000000004E-2</v>
      </c>
      <c r="W5988">
        <v>0.2017687</v>
      </c>
      <c r="X5988">
        <v>0.97481810000000002</v>
      </c>
      <c r="Y5988">
        <v>-0.2096893</v>
      </c>
      <c r="Z5988">
        <v>5.9067460000000002E-2</v>
      </c>
      <c r="AA5988">
        <v>0.97598229999999997</v>
      </c>
      <c r="AB5988">
        <v>22</v>
      </c>
      <c r="AC5988">
        <v>4.4298999999999698</v>
      </c>
      <c r="AD5988">
        <v>-1.110809021491</v>
      </c>
      <c r="AE5988">
        <v>-18.046150000000001</v>
      </c>
      <c r="AF5988">
        <v>-3.9375376645262699</v>
      </c>
      <c r="AG5988">
        <v>-1.110809021491</v>
      </c>
      <c r="AH5988">
        <v>18.092227971559801</v>
      </c>
      <c r="AI5988">
        <v>93.433211505751103</v>
      </c>
      <c r="AJ5988">
        <v>102.278213431048</v>
      </c>
      <c r="AK5988">
        <v>18.549038048283698</v>
      </c>
      <c r="AL5988">
        <v>78.359593947043507</v>
      </c>
      <c r="AM5988">
        <v>95.564354369377497</v>
      </c>
      <c r="AN5988">
        <v>1.0000000702090699</v>
      </c>
    </row>
    <row r="5989" spans="1:40" x14ac:dyDescent="0.25">
      <c r="A5989" t="str">
        <f>"20190312173045826"</f>
        <v>20190312173045826</v>
      </c>
      <c r="B5989" t="str">
        <f>"1552383045813532"</f>
        <v>1552383045813532</v>
      </c>
      <c r="C5989" t="s">
        <v>40</v>
      </c>
      <c r="D5989">
        <v>3.2392989999999999</v>
      </c>
      <c r="E5989">
        <v>0.45681769999999999</v>
      </c>
      <c r="F5989" t="s">
        <v>54</v>
      </c>
      <c r="G5989">
        <v>-296.35230000000001</v>
      </c>
      <c r="H5989" s="1">
        <v>-8.0138219999999996E-6</v>
      </c>
      <c r="I5989">
        <v>-55.172719999999998</v>
      </c>
      <c r="J5989">
        <v>-300.8639</v>
      </c>
      <c r="K5989">
        <v>1.1108979999999999</v>
      </c>
      <c r="L5989">
        <v>-37.005650000000003</v>
      </c>
      <c r="M5989">
        <v>2.878522E-2</v>
      </c>
      <c r="N5989">
        <v>0</v>
      </c>
      <c r="O5989">
        <v>-0.99956179999999994</v>
      </c>
      <c r="P5989">
        <v>0.1227313</v>
      </c>
      <c r="Q5989">
        <v>0.19484950000000001</v>
      </c>
      <c r="R5989">
        <v>-0.97312460000000001</v>
      </c>
      <c r="S5989">
        <v>0.74377439999999995</v>
      </c>
      <c r="T5989">
        <v>-0.18277679999999999</v>
      </c>
      <c r="U5989">
        <v>-3.0269780000000002</v>
      </c>
      <c r="V5989">
        <v>-9.5328280000000001E-2</v>
      </c>
      <c r="W5989">
        <v>0.20128299999999999</v>
      </c>
      <c r="X5989">
        <v>0.97488339999999996</v>
      </c>
      <c r="Y5989">
        <v>-0.21015310000000001</v>
      </c>
      <c r="Z5989">
        <v>5.8692830000000001E-2</v>
      </c>
      <c r="AA5989">
        <v>0.97590509999999997</v>
      </c>
      <c r="AB5989">
        <v>22</v>
      </c>
      <c r="AC5989">
        <v>4.5115999999999801</v>
      </c>
      <c r="AD5989">
        <v>-1.1109060138219999</v>
      </c>
      <c r="AE5989">
        <v>-18.167069999999899</v>
      </c>
      <c r="AF5989">
        <v>-3.9727825351681099</v>
      </c>
      <c r="AG5989">
        <v>-1.1109060138219999</v>
      </c>
      <c r="AH5989">
        <v>18.225222093042799</v>
      </c>
      <c r="AI5989">
        <v>93.408270208262607</v>
      </c>
      <c r="AJ5989">
        <v>102.297123390002</v>
      </c>
      <c r="AK5989">
        <v>18.686247177644201</v>
      </c>
      <c r="AL5989">
        <v>78.3880044186307</v>
      </c>
      <c r="AM5989">
        <v>95.5848718020045</v>
      </c>
      <c r="AN5989">
        <v>0.99999998532615897</v>
      </c>
    </row>
    <row r="5990" spans="1:40" x14ac:dyDescent="0.25">
      <c r="A5990" t="str">
        <f>"20190312173045849"</f>
        <v>20190312173045849</v>
      </c>
      <c r="B5990" t="str">
        <f>"1552383045843788"</f>
        <v>1552383045843788</v>
      </c>
      <c r="C5990" t="s">
        <v>40</v>
      </c>
      <c r="D5990">
        <v>3.105566</v>
      </c>
      <c r="E5990">
        <v>0.45688529999999999</v>
      </c>
      <c r="F5990" t="s">
        <v>54</v>
      </c>
      <c r="G5990">
        <v>-296.33850000000001</v>
      </c>
      <c r="H5990" s="1">
        <v>-8.0124619999999993E-6</v>
      </c>
      <c r="I5990">
        <v>-55.22795</v>
      </c>
      <c r="J5990">
        <v>-300.85430000000002</v>
      </c>
      <c r="K5990">
        <v>1.111005</v>
      </c>
      <c r="L5990">
        <v>-37.239690000000003</v>
      </c>
      <c r="M5990">
        <v>3.13837E-2</v>
      </c>
      <c r="N5990">
        <v>0</v>
      </c>
      <c r="O5990">
        <v>-0.99948380000000003</v>
      </c>
      <c r="P5990">
        <v>0.1261303</v>
      </c>
      <c r="Q5990">
        <v>0.19379199999999999</v>
      </c>
      <c r="R5990">
        <v>-0.97290100000000002</v>
      </c>
      <c r="S5990">
        <v>0.75125120000000001</v>
      </c>
      <c r="T5990">
        <v>-0.18441779999999999</v>
      </c>
      <c r="U5990">
        <v>-3.0250240000000002</v>
      </c>
      <c r="V5990">
        <v>-9.6244250000000003E-2</v>
      </c>
      <c r="W5990">
        <v>0.2001628</v>
      </c>
      <c r="X5990">
        <v>0.975024</v>
      </c>
      <c r="Y5990">
        <v>-0.2100234</v>
      </c>
      <c r="Z5990">
        <v>5.9231499999999999E-2</v>
      </c>
      <c r="AA5990">
        <v>0.97590049999999995</v>
      </c>
      <c r="AB5990">
        <v>22</v>
      </c>
      <c r="AC5990">
        <v>4.5158000000000103</v>
      </c>
      <c r="AD5990">
        <v>-1.1110130124619999</v>
      </c>
      <c r="AE5990">
        <v>-17.988259999999901</v>
      </c>
      <c r="AF5990">
        <v>-3.9349034223351298</v>
      </c>
      <c r="AG5990">
        <v>-1.1110130124619999</v>
      </c>
      <c r="AH5990">
        <v>18.056328750355402</v>
      </c>
      <c r="AI5990">
        <v>93.4404465055472</v>
      </c>
      <c r="AJ5990">
        <v>102.293902395724</v>
      </c>
      <c r="AK5990">
        <v>18.5134767884878</v>
      </c>
      <c r="AL5990">
        <v>78.453520138502697</v>
      </c>
      <c r="AM5990">
        <v>95.637382594596602</v>
      </c>
      <c r="AN5990">
        <v>0.99999995136895004</v>
      </c>
    </row>
    <row r="5991" spans="1:40" x14ac:dyDescent="0.25">
      <c r="A5991" t="str">
        <f>"20190312173045885"</f>
        <v>20190312173045885</v>
      </c>
      <c r="B5991" t="str">
        <f>"1552383045874047"</f>
        <v>1552383045874047</v>
      </c>
      <c r="C5991" t="s">
        <v>40</v>
      </c>
      <c r="D5991">
        <v>3.0965910000000001</v>
      </c>
      <c r="E5991">
        <v>0.45699210000000001</v>
      </c>
      <c r="F5991" t="s">
        <v>54</v>
      </c>
      <c r="G5991">
        <v>-296.39409999999998</v>
      </c>
      <c r="H5991" s="1">
        <v>-8.0225710000000007E-6</v>
      </c>
      <c r="I5991">
        <v>-54.964460000000003</v>
      </c>
      <c r="J5991">
        <v>-300.83850000000001</v>
      </c>
      <c r="K5991">
        <v>1.111138</v>
      </c>
      <c r="L5991">
        <v>-37.590269999999997</v>
      </c>
      <c r="M5991">
        <v>3.5522230000000002E-2</v>
      </c>
      <c r="N5991">
        <v>0</v>
      </c>
      <c r="O5991">
        <v>-0.9993455</v>
      </c>
      <c r="P5991">
        <v>0.13191220000000001</v>
      </c>
      <c r="Q5991">
        <v>0.1934149</v>
      </c>
      <c r="R5991">
        <v>-0.97220890000000004</v>
      </c>
      <c r="S5991">
        <v>0.76062010000000002</v>
      </c>
      <c r="T5991">
        <v>-0.1894672</v>
      </c>
      <c r="U5991">
        <v>-3.0227050000000002</v>
      </c>
      <c r="V5991">
        <v>-9.8073209999999994E-2</v>
      </c>
      <c r="W5991">
        <v>0.19970209999999999</v>
      </c>
      <c r="X5991">
        <v>0.97493620000000003</v>
      </c>
      <c r="Y5991">
        <v>-0.20897309999999999</v>
      </c>
      <c r="Z5991">
        <v>6.0864090000000003E-2</v>
      </c>
      <c r="AA5991">
        <v>0.97602549999999999</v>
      </c>
      <c r="AB5991">
        <v>22</v>
      </c>
      <c r="AC5991">
        <v>4.4444000000000301</v>
      </c>
      <c r="AD5991">
        <v>-1.1111460225709999</v>
      </c>
      <c r="AE5991">
        <v>-17.374189999999899</v>
      </c>
      <c r="AF5991">
        <v>-3.80978520086079</v>
      </c>
      <c r="AG5991">
        <v>-1.1111460225709999</v>
      </c>
      <c r="AH5991">
        <v>17.454098711964502</v>
      </c>
      <c r="AI5991">
        <v>93.559020161981095</v>
      </c>
      <c r="AJ5991">
        <v>102.31308636209199</v>
      </c>
      <c r="AK5991">
        <v>17.899571799547999</v>
      </c>
      <c r="AL5991">
        <v>78.480460086490794</v>
      </c>
      <c r="AM5991">
        <v>95.744315681801993</v>
      </c>
      <c r="AN5991">
        <v>0.99999993866727499</v>
      </c>
    </row>
    <row r="5992" spans="1:40" x14ac:dyDescent="0.25">
      <c r="A5992" t="str">
        <f>"20190312173045912"</f>
        <v>20190312173045912</v>
      </c>
      <c r="B5992" t="str">
        <f>"1552383045903323"</f>
        <v>1552383045903323</v>
      </c>
      <c r="C5992" t="s">
        <v>40</v>
      </c>
      <c r="D5992">
        <v>3.2454589999999999</v>
      </c>
      <c r="E5992">
        <v>0.45711200000000002</v>
      </c>
      <c r="F5992" t="s">
        <v>54</v>
      </c>
      <c r="G5992">
        <v>-296.30259999999998</v>
      </c>
      <c r="H5992" s="1">
        <v>-8.0318009999999993E-6</v>
      </c>
      <c r="I5992">
        <v>-55.167969999999997</v>
      </c>
      <c r="J5992">
        <v>-300.82560000000001</v>
      </c>
      <c r="K5992">
        <v>1.111221</v>
      </c>
      <c r="L5992">
        <v>-37.850560000000002</v>
      </c>
      <c r="M5992">
        <v>3.8787540000000002E-2</v>
      </c>
      <c r="N5992">
        <v>0</v>
      </c>
      <c r="O5992">
        <v>-0.99922440000000001</v>
      </c>
      <c r="P5992">
        <v>0.13513229999999901</v>
      </c>
      <c r="Q5992">
        <v>0.1942228</v>
      </c>
      <c r="R5992">
        <v>-0.97160519999999995</v>
      </c>
      <c r="S5992">
        <v>0.77880859999999996</v>
      </c>
      <c r="T5992">
        <v>-0.19078020000000001</v>
      </c>
      <c r="U5992">
        <v>-3.0180359999999999</v>
      </c>
      <c r="V5992">
        <v>-9.8171560000000005E-2</v>
      </c>
      <c r="W5992">
        <v>0.20046230000000001</v>
      </c>
      <c r="X5992">
        <v>0.97477040000000004</v>
      </c>
      <c r="Y5992">
        <v>-0.21165059999999999</v>
      </c>
      <c r="Z5992">
        <v>6.1301929999999998E-2</v>
      </c>
      <c r="AA5992">
        <v>0.97542099999999998</v>
      </c>
      <c r="AB5992">
        <v>22</v>
      </c>
      <c r="AC5992">
        <v>4.5230000000000201</v>
      </c>
      <c r="AD5992">
        <v>-1.1112290318009901</v>
      </c>
      <c r="AE5992">
        <v>-17.317409999999999</v>
      </c>
      <c r="AF5992">
        <v>-3.8331057858540798</v>
      </c>
      <c r="AG5992">
        <v>-1.1112290318009901</v>
      </c>
      <c r="AH5992">
        <v>17.412698372238498</v>
      </c>
      <c r="AI5992">
        <v>93.566343277987102</v>
      </c>
      <c r="AJ5992">
        <v>102.414675112803</v>
      </c>
      <c r="AK5992">
        <v>17.8641986814193</v>
      </c>
      <c r="AL5992">
        <v>78.436006339830499</v>
      </c>
      <c r="AM5992">
        <v>95.751009104515305</v>
      </c>
      <c r="AN5992">
        <v>1.00000006081514</v>
      </c>
    </row>
    <row r="5993" spans="1:40" x14ac:dyDescent="0.25">
      <c r="A5993" t="str">
        <f>"20190312173045941"</f>
        <v>20190312173045941</v>
      </c>
      <c r="B5993" t="str">
        <f>"1552383045933579"</f>
        <v>1552383045933579</v>
      </c>
      <c r="C5993" t="s">
        <v>40</v>
      </c>
      <c r="D5993">
        <v>3.2469070000000002</v>
      </c>
      <c r="E5993">
        <v>0.45725090000000002</v>
      </c>
      <c r="F5993" t="s">
        <v>54</v>
      </c>
      <c r="G5993">
        <v>-296.16370000000001</v>
      </c>
      <c r="H5993" s="1">
        <v>-8.0241229999999995E-6</v>
      </c>
      <c r="I5993">
        <v>-55.669750000000001</v>
      </c>
      <c r="J5993">
        <v>-300.81049999999999</v>
      </c>
      <c r="K5993">
        <v>1.111297</v>
      </c>
      <c r="L5993">
        <v>-38.135739999999998</v>
      </c>
      <c r="M5993">
        <v>4.2503850000000003E-2</v>
      </c>
      <c r="N5993">
        <v>0</v>
      </c>
      <c r="O5993">
        <v>-0.99907330000000005</v>
      </c>
      <c r="P5993">
        <v>0.13902979999999901</v>
      </c>
      <c r="Q5993">
        <v>0.1943751</v>
      </c>
      <c r="R5993">
        <v>-0.97102500000000003</v>
      </c>
      <c r="S5993">
        <v>0.78894039999999999</v>
      </c>
      <c r="T5993">
        <v>-0.18805279999999999</v>
      </c>
      <c r="U5993">
        <v>-3.015533</v>
      </c>
      <c r="V5993">
        <v>-9.8500710000000005E-2</v>
      </c>
      <c r="W5993">
        <v>0.20057159999999999</v>
      </c>
      <c r="X5993">
        <v>0.97471459999999999</v>
      </c>
      <c r="Y5993">
        <v>-0.2112947</v>
      </c>
      <c r="Z5993">
        <v>6.0440729999999998E-2</v>
      </c>
      <c r="AA5993">
        <v>0.97555179999999997</v>
      </c>
      <c r="AB5993">
        <v>22</v>
      </c>
      <c r="AC5993">
        <v>4.6467999999999803</v>
      </c>
      <c r="AD5993">
        <v>-1.111305024123</v>
      </c>
      <c r="AE5993">
        <v>-17.534009999999899</v>
      </c>
      <c r="AF5993">
        <v>-3.8827469265755998</v>
      </c>
      <c r="AG5993">
        <v>-1.111305024123</v>
      </c>
      <c r="AH5993">
        <v>17.6494298093209</v>
      </c>
      <c r="AI5993">
        <v>93.518972160694403</v>
      </c>
      <c r="AJ5993">
        <v>102.407023321529</v>
      </c>
      <c r="AK5993">
        <v>18.1056094939281</v>
      </c>
      <c r="AL5993">
        <v>78.429612833667804</v>
      </c>
      <c r="AM5993">
        <v>95.770489314275807</v>
      </c>
      <c r="AN5993">
        <v>0.99999995402510999</v>
      </c>
    </row>
    <row r="5994" spans="1:40" x14ac:dyDescent="0.25">
      <c r="A5994" t="str">
        <f>"20190312173045962"</f>
        <v>20190312173045962</v>
      </c>
      <c r="B5994" t="str">
        <f>"1552383045954076"</f>
        <v>1552383045954076</v>
      </c>
      <c r="C5994" t="s">
        <v>40</v>
      </c>
      <c r="D5994">
        <v>3.244977</v>
      </c>
      <c r="E5994">
        <v>0.45734150000000001</v>
      </c>
      <c r="F5994" t="s">
        <v>54</v>
      </c>
      <c r="G5994">
        <v>-296.07859999999999</v>
      </c>
      <c r="H5994" s="1">
        <v>-8.0226009999999995E-6</v>
      </c>
      <c r="I5994">
        <v>-55.948880000000003</v>
      </c>
      <c r="J5994">
        <v>-300.798</v>
      </c>
      <c r="K5994">
        <v>1.111359</v>
      </c>
      <c r="L5994">
        <v>-38.353639999999999</v>
      </c>
      <c r="M5994">
        <v>4.545619E-2</v>
      </c>
      <c r="N5994">
        <v>0</v>
      </c>
      <c r="O5994">
        <v>-0.99894360000000004</v>
      </c>
      <c r="P5994">
        <v>0.14163599999999901</v>
      </c>
      <c r="Q5994">
        <v>0.19452340000000001</v>
      </c>
      <c r="R5994">
        <v>-0.97061869999999995</v>
      </c>
      <c r="S5994">
        <v>0.80026249999999999</v>
      </c>
      <c r="T5994">
        <v>-0.1879448</v>
      </c>
      <c r="U5994">
        <v>-3.0125730000000002</v>
      </c>
      <c r="V5994">
        <v>-9.8270010000000005E-2</v>
      </c>
      <c r="W5994">
        <v>0.20069300000000001</v>
      </c>
      <c r="X5994">
        <v>0.97471300000000005</v>
      </c>
      <c r="Y5994">
        <v>-0.21206939999999999</v>
      </c>
      <c r="Z5994">
        <v>6.0417980000000003E-2</v>
      </c>
      <c r="AA5994">
        <v>0.97538519999999895</v>
      </c>
      <c r="AB5994">
        <v>22</v>
      </c>
      <c r="AC5994">
        <v>4.7194000000000003</v>
      </c>
      <c r="AD5994">
        <v>-1.111367022601</v>
      </c>
      <c r="AE5994">
        <v>-17.595239999999901</v>
      </c>
      <c r="AF5994">
        <v>-3.9001750744229602</v>
      </c>
      <c r="AG5994">
        <v>-1.111367022601</v>
      </c>
      <c r="AH5994">
        <v>17.725611153725001</v>
      </c>
      <c r="AI5994">
        <v>93.504053355036305</v>
      </c>
      <c r="AJ5994">
        <v>102.409085330178</v>
      </c>
      <c r="AK5994">
        <v>18.183613310976799</v>
      </c>
      <c r="AL5994">
        <v>78.4225139275608</v>
      </c>
      <c r="AM5994">
        <v>95.757074440411799</v>
      </c>
      <c r="AN5994">
        <v>1.00000005374169</v>
      </c>
    </row>
    <row r="5995" spans="1:40" x14ac:dyDescent="0.25">
      <c r="A5995" t="str">
        <f>"20190312173045984"</f>
        <v>20190312173045984</v>
      </c>
      <c r="B5995" t="str">
        <f>"1552383045973596"</f>
        <v>1552383045973596</v>
      </c>
      <c r="C5995" t="s">
        <v>40</v>
      </c>
      <c r="D5995">
        <v>3.1548660000000002</v>
      </c>
      <c r="E5995">
        <v>0.45744200000000002</v>
      </c>
      <c r="F5995" t="s">
        <v>54</v>
      </c>
      <c r="G5995">
        <v>-296.00760000000002</v>
      </c>
      <c r="H5995" s="1">
        <v>-8.0198699999999904E-6</v>
      </c>
      <c r="I5995">
        <v>-56.194459999999999</v>
      </c>
      <c r="J5995">
        <v>-300.78519999999997</v>
      </c>
      <c r="K5995">
        <v>1.111435</v>
      </c>
      <c r="L5995">
        <v>-38.56418</v>
      </c>
      <c r="M5995">
        <v>4.8403359999999999E-2</v>
      </c>
      <c r="N5995">
        <v>0</v>
      </c>
      <c r="O5995">
        <v>-0.9988049</v>
      </c>
      <c r="P5995">
        <v>0.1440931</v>
      </c>
      <c r="Q5995">
        <v>0.19433130000000001</v>
      </c>
      <c r="R5995">
        <v>-0.97029500000000002</v>
      </c>
      <c r="S5995">
        <v>0.80831909999999996</v>
      </c>
      <c r="T5995">
        <v>-0.18753059999999999</v>
      </c>
      <c r="U5995">
        <v>-3.010437</v>
      </c>
      <c r="V5995">
        <v>-9.7894040000000002E-2</v>
      </c>
      <c r="W5995">
        <v>0.20048659999999999</v>
      </c>
      <c r="X5995">
        <v>0.97479329999999997</v>
      </c>
      <c r="Y5995">
        <v>-0.2117964</v>
      </c>
      <c r="Z5995">
        <v>6.0295330000000001E-2</v>
      </c>
      <c r="AA5995">
        <v>0.97545210000000004</v>
      </c>
      <c r="AB5995">
        <v>22</v>
      </c>
      <c r="AC5995">
        <v>4.7775999999999499</v>
      </c>
      <c r="AD5995">
        <v>-1.11144301987</v>
      </c>
      <c r="AE5995">
        <v>-17.630279999999999</v>
      </c>
      <c r="AF5995">
        <v>-3.90416074137101</v>
      </c>
      <c r="AG5995">
        <v>-1.11144301987</v>
      </c>
      <c r="AH5995">
        <v>17.7750613400733</v>
      </c>
      <c r="AI5995">
        <v>93.494851194117601</v>
      </c>
      <c r="AJ5995">
        <v>102.387885072336</v>
      </c>
      <c r="AK5995">
        <v>18.232678967289701</v>
      </c>
      <c r="AL5995">
        <v>78.434585060813006</v>
      </c>
      <c r="AM5995">
        <v>95.734726337504199</v>
      </c>
      <c r="AN5995">
        <v>1.0000000487859799</v>
      </c>
    </row>
    <row r="5996" spans="1:40" x14ac:dyDescent="0.25">
      <c r="A5996" t="str">
        <f>"20190312173046021"</f>
        <v>20190312173046021</v>
      </c>
      <c r="B5996" t="str">
        <f>"1552383046014095"</f>
        <v>1552383046014095</v>
      </c>
      <c r="C5996" t="s">
        <v>40</v>
      </c>
      <c r="D5996">
        <v>3.2498589999999998</v>
      </c>
      <c r="E5996">
        <v>0.45767920000000001</v>
      </c>
      <c r="F5996" t="s">
        <v>54</v>
      </c>
      <c r="G5996">
        <v>-295.96800000000002</v>
      </c>
      <c r="H5996" s="1">
        <v>-8.0193240000000003E-6</v>
      </c>
      <c r="I5996">
        <v>-56.322989999999997</v>
      </c>
      <c r="J5996">
        <v>-300.76089999999999</v>
      </c>
      <c r="K5996">
        <v>1.1115699999999999</v>
      </c>
      <c r="L5996">
        <v>-38.935090000000002</v>
      </c>
      <c r="M5996">
        <v>5.381387E-2</v>
      </c>
      <c r="N5996">
        <v>0</v>
      </c>
      <c r="O5996">
        <v>-0.99852790000000002</v>
      </c>
      <c r="P5996">
        <v>0.14786150000000001</v>
      </c>
      <c r="Q5996">
        <v>0.19450290000000001</v>
      </c>
      <c r="R5996">
        <v>-0.96969349999999999</v>
      </c>
      <c r="S5996">
        <v>0.81603999999999999</v>
      </c>
      <c r="T5996">
        <v>-0.18827959999999999</v>
      </c>
      <c r="U5996">
        <v>-3.008362</v>
      </c>
      <c r="V5996">
        <v>-9.6467020000000001E-2</v>
      </c>
      <c r="W5996">
        <v>0.20066729999999999</v>
      </c>
      <c r="X5996">
        <v>0.9748983</v>
      </c>
      <c r="Y5996">
        <v>-0.20899909999999999</v>
      </c>
      <c r="Z5996">
        <v>6.0548730000000002E-2</v>
      </c>
      <c r="AA5996">
        <v>0.97603949999999995</v>
      </c>
      <c r="AB5996">
        <v>23</v>
      </c>
      <c r="AC5996">
        <v>4.7928999999999702</v>
      </c>
      <c r="AD5996">
        <v>-1.1115780193239999</v>
      </c>
      <c r="AE5996">
        <v>-17.387899999999998</v>
      </c>
      <c r="AF5996">
        <v>-3.8356542357013099</v>
      </c>
      <c r="AG5996">
        <v>-1.1115780193239999</v>
      </c>
      <c r="AH5996">
        <v>17.553959963357599</v>
      </c>
      <c r="AI5996">
        <v>93.540026754939205</v>
      </c>
      <c r="AJ5996">
        <v>102.325771830007</v>
      </c>
      <c r="AK5996">
        <v>18.002482037320799</v>
      </c>
      <c r="AL5996">
        <v>78.424016062230805</v>
      </c>
      <c r="AM5996">
        <v>95.651070540723893</v>
      </c>
      <c r="AN5996">
        <v>0.99999997328992896</v>
      </c>
    </row>
    <row r="5997" spans="1:40" x14ac:dyDescent="0.25">
      <c r="A5997" t="str">
        <f>"20190312173046045"</f>
        <v>20190312173046045</v>
      </c>
      <c r="B5997" t="str">
        <f>"1552383046034588"</f>
        <v>1552383046034588</v>
      </c>
      <c r="C5997" t="s">
        <v>40</v>
      </c>
      <c r="D5997">
        <v>3.1630850000000001</v>
      </c>
      <c r="E5997">
        <v>0.45771539999999999</v>
      </c>
      <c r="F5997" t="s">
        <v>54</v>
      </c>
      <c r="G5997">
        <v>-295.87920000000003</v>
      </c>
      <c r="H5997" s="1">
        <v>-8.0157339999999999E-6</v>
      </c>
      <c r="I5997">
        <v>-56.673459999999999</v>
      </c>
      <c r="J5997">
        <v>-300.74360000000001</v>
      </c>
      <c r="K5997">
        <v>1.1116549999999901</v>
      </c>
      <c r="L5997">
        <v>-39.179349999999999</v>
      </c>
      <c r="M5997">
        <v>5.749576E-2</v>
      </c>
      <c r="N5997">
        <v>0</v>
      </c>
      <c r="O5997">
        <v>-0.99832240000000005</v>
      </c>
      <c r="P5997">
        <v>0.1510253</v>
      </c>
      <c r="Q5997">
        <v>0.19416310000000001</v>
      </c>
      <c r="R5997">
        <v>-0.96927419999999997</v>
      </c>
      <c r="S5997">
        <v>0.82711789999999996</v>
      </c>
      <c r="T5997">
        <v>-0.188334</v>
      </c>
      <c r="U5997">
        <v>-3.0054020000000001</v>
      </c>
      <c r="V5997">
        <v>-9.6085320000000002E-2</v>
      </c>
      <c r="W5997">
        <v>0.20034450000000001</v>
      </c>
      <c r="X5997">
        <v>0.97500240000000005</v>
      </c>
      <c r="Y5997">
        <v>-0.20898320000000001</v>
      </c>
      <c r="Z5997">
        <v>6.0575999999999998E-2</v>
      </c>
      <c r="AA5997">
        <v>0.9760413</v>
      </c>
      <c r="AB5997">
        <v>23</v>
      </c>
      <c r="AC5997">
        <v>4.8643999999999803</v>
      </c>
      <c r="AD5997">
        <v>-1.1116630157339999</v>
      </c>
      <c r="AE5997">
        <v>-17.494109999999999</v>
      </c>
      <c r="AF5997">
        <v>-3.8361136943604</v>
      </c>
      <c r="AG5997">
        <v>-1.1116630157339999</v>
      </c>
      <c r="AH5997">
        <v>17.678595567326902</v>
      </c>
      <c r="AI5997">
        <v>93.516504402277704</v>
      </c>
      <c r="AJ5997">
        <v>102.24292552945199</v>
      </c>
      <c r="AK5997">
        <v>18.124135956500702</v>
      </c>
      <c r="AL5997">
        <v>78.442894753907595</v>
      </c>
      <c r="AM5997">
        <v>95.628257175233003</v>
      </c>
      <c r="AN5997">
        <v>0.99999999370275605</v>
      </c>
    </row>
    <row r="5998" spans="1:40" x14ac:dyDescent="0.25">
      <c r="A5998" t="str">
        <f>"20190312173046068"</f>
        <v>20190312173046068</v>
      </c>
      <c r="B5998" t="str">
        <f>"1552383046063869"</f>
        <v>1552383046063869</v>
      </c>
      <c r="C5998" t="s">
        <v>40</v>
      </c>
      <c r="D5998">
        <v>3.250337</v>
      </c>
      <c r="E5998">
        <v>0.45783699999999999</v>
      </c>
      <c r="F5998" t="s">
        <v>54</v>
      </c>
      <c r="G5998">
        <v>-295.82850000000002</v>
      </c>
      <c r="H5998" s="1">
        <v>-8.0223460000000003E-6</v>
      </c>
      <c r="I5998">
        <v>-56.791670000000003</v>
      </c>
      <c r="J5998">
        <v>-300.72539999999998</v>
      </c>
      <c r="K5998">
        <v>1.1117300000000001</v>
      </c>
      <c r="L5998">
        <v>-39.422609999999999</v>
      </c>
      <c r="M5998">
        <v>6.128401E-2</v>
      </c>
      <c r="N5998">
        <v>0</v>
      </c>
      <c r="O5998">
        <v>-0.99809689999999995</v>
      </c>
      <c r="P5998">
        <v>0.15425610000000001</v>
      </c>
      <c r="Q5998">
        <v>0.1935897</v>
      </c>
      <c r="R5998">
        <v>-0.96887990000000002</v>
      </c>
      <c r="S5998">
        <v>0.83792109999999997</v>
      </c>
      <c r="T5998">
        <v>-0.1895134</v>
      </c>
      <c r="U5998">
        <v>-3.0025019999999998</v>
      </c>
      <c r="V5998">
        <v>-9.5661479999999993E-2</v>
      </c>
      <c r="W5998">
        <v>0.19979930000000001</v>
      </c>
      <c r="X5998">
        <v>0.97515589999999996</v>
      </c>
      <c r="Y5998">
        <v>-0.20876819999999999</v>
      </c>
      <c r="Z5998">
        <v>6.096244E-2</v>
      </c>
      <c r="AA5998">
        <v>0.97606329999999997</v>
      </c>
      <c r="AB5998">
        <v>23</v>
      </c>
      <c r="AC5998">
        <v>4.8968999999999596</v>
      </c>
      <c r="AD5998">
        <v>-1.1117380223459901</v>
      </c>
      <c r="AE5998">
        <v>-17.369059999999902</v>
      </c>
      <c r="AF5998">
        <v>-3.8087695554217902</v>
      </c>
      <c r="AG5998">
        <v>-1.1117380223459901</v>
      </c>
      <c r="AH5998">
        <v>17.569838582576899</v>
      </c>
      <c r="AI5998">
        <v>93.538610325261502</v>
      </c>
      <c r="AJ5998">
        <v>102.231262428992</v>
      </c>
      <c r="AK5998">
        <v>18.0122712275395</v>
      </c>
      <c r="AL5998">
        <v>78.474776572577596</v>
      </c>
      <c r="AM5998">
        <v>95.602712388379103</v>
      </c>
      <c r="AN5998">
        <v>0.99999995417054399</v>
      </c>
    </row>
    <row r="5999" spans="1:40" x14ac:dyDescent="0.25">
      <c r="A5999" t="str">
        <f>"20190312173046092"</f>
        <v>20190312173046092</v>
      </c>
      <c r="B5999" t="str">
        <f>"1552383046084364"</f>
        <v>1552383046084364</v>
      </c>
      <c r="C5999" t="s">
        <v>40</v>
      </c>
      <c r="D5999">
        <v>3.053931</v>
      </c>
      <c r="E5999">
        <v>0.46231410000000001</v>
      </c>
      <c r="F5999" t="s">
        <v>54</v>
      </c>
      <c r="G5999">
        <v>-295.80860000000001</v>
      </c>
      <c r="H5999" s="1">
        <v>-8.0262010000000006E-6</v>
      </c>
      <c r="I5999">
        <v>-56.82546</v>
      </c>
      <c r="J5999">
        <v>-300.70690000000002</v>
      </c>
      <c r="K5999">
        <v>1.1117980000000001</v>
      </c>
      <c r="L5999">
        <v>-39.655909999999999</v>
      </c>
      <c r="M5999">
        <v>6.5008839999999998E-2</v>
      </c>
      <c r="N5999">
        <v>0</v>
      </c>
      <c r="O5999">
        <v>-0.99786070000000004</v>
      </c>
      <c r="P5999">
        <v>0.15780469999999999</v>
      </c>
      <c r="Q5999">
        <v>0.19233049999999999</v>
      </c>
      <c r="R5999">
        <v>-0.96855939999999996</v>
      </c>
      <c r="S5999">
        <v>0.84750369999999997</v>
      </c>
      <c r="T5999">
        <v>-0.19162999999999999</v>
      </c>
      <c r="U5999">
        <v>-2.9997250000000002</v>
      </c>
      <c r="V5999">
        <v>-9.5602590000000001E-2</v>
      </c>
      <c r="W5999">
        <v>0.19857179999999999</v>
      </c>
      <c r="X5999">
        <v>0.97541239999999996</v>
      </c>
      <c r="Y5999">
        <v>-0.20823069999999999</v>
      </c>
      <c r="Z5999">
        <v>6.1651009999999999E-2</v>
      </c>
      <c r="AA5999">
        <v>0.97613479999999997</v>
      </c>
      <c r="AB5999">
        <v>23</v>
      </c>
      <c r="AC5999">
        <v>4.8982999999999999</v>
      </c>
      <c r="AD5999">
        <v>-1.1118060262010001</v>
      </c>
      <c r="AE5999">
        <v>-17.169550000000001</v>
      </c>
      <c r="AF5999">
        <v>-3.7571701972376101</v>
      </c>
      <c r="AG5999">
        <v>-1.1118060262010001</v>
      </c>
      <c r="AH5999">
        <v>17.384261336476399</v>
      </c>
      <c r="AI5999">
        <v>93.576988152755206</v>
      </c>
      <c r="AJ5999">
        <v>102.195465403067</v>
      </c>
      <c r="AK5999">
        <v>17.820353047732102</v>
      </c>
      <c r="AL5999">
        <v>78.546545595478094</v>
      </c>
      <c r="AM5999">
        <v>95.597822170199393</v>
      </c>
      <c r="AN5999">
        <v>0.99999998252185296</v>
      </c>
    </row>
    <row r="6000" spans="1:40" x14ac:dyDescent="0.25">
      <c r="A6000" t="str">
        <f>"20190312173046117"</f>
        <v>20190312173046117</v>
      </c>
      <c r="B6000" t="str">
        <f>"1552383046113644"</f>
        <v>1552383046113644</v>
      </c>
      <c r="C6000" t="s">
        <v>40</v>
      </c>
      <c r="D6000">
        <v>3.1343179999999999</v>
      </c>
      <c r="E6000">
        <v>0.44890869999999999</v>
      </c>
      <c r="F6000" t="s">
        <v>54</v>
      </c>
      <c r="G6000">
        <v>-296.55489999999998</v>
      </c>
      <c r="H6000" s="1">
        <v>-7.9858879999999997E-6</v>
      </c>
      <c r="I6000">
        <v>-54.78875</v>
      </c>
      <c r="J6000">
        <v>-300.68490000000003</v>
      </c>
      <c r="K6000">
        <v>1.111869</v>
      </c>
      <c r="L6000">
        <v>-39.91977</v>
      </c>
      <c r="M6000">
        <v>6.9323990000000002E-2</v>
      </c>
      <c r="N6000">
        <v>0</v>
      </c>
      <c r="O6000">
        <v>-0.99756990000000001</v>
      </c>
      <c r="P6000">
        <v>0.1625906</v>
      </c>
      <c r="Q6000">
        <v>0.1919022</v>
      </c>
      <c r="R6000">
        <v>-0.96785220000000005</v>
      </c>
      <c r="S6000">
        <v>0.82498169999999904</v>
      </c>
      <c r="T6000">
        <v>-0.22091150000000001</v>
      </c>
      <c r="U6000">
        <v>-3.0068359999999998</v>
      </c>
      <c r="V6000">
        <v>-9.6232349999999994E-2</v>
      </c>
      <c r="W6000">
        <v>0.19817360000000001</v>
      </c>
      <c r="X6000">
        <v>0.97543150000000001</v>
      </c>
      <c r="Y6000">
        <v>-0.19643140000000001</v>
      </c>
      <c r="Z6000">
        <v>7.0991159999999998E-2</v>
      </c>
      <c r="AA6000">
        <v>0.97794429999999999</v>
      </c>
      <c r="AB6000">
        <v>23</v>
      </c>
      <c r="AC6000">
        <v>4.1300000000000496</v>
      </c>
      <c r="AD6000">
        <v>-1.111876985888</v>
      </c>
      <c r="AE6000">
        <v>-14.868979999999899</v>
      </c>
      <c r="AF6000">
        <v>-3.0733071382481598</v>
      </c>
      <c r="AG6000">
        <v>-1.111876985888</v>
      </c>
      <c r="AH6000">
        <v>15.0414370888204</v>
      </c>
      <c r="AI6000">
        <v>94.142391430487706</v>
      </c>
      <c r="AJ6000">
        <v>101.547880271015</v>
      </c>
      <c r="AK6000">
        <v>15.3924110162994</v>
      </c>
      <c r="AL6000">
        <v>78.569823887159799</v>
      </c>
      <c r="AM6000">
        <v>95.634350406219696</v>
      </c>
      <c r="AN6000">
        <v>1.0000000260578601</v>
      </c>
    </row>
    <row r="6001" spans="1:40" x14ac:dyDescent="0.25">
      <c r="A6001" t="str">
        <f>"20190312173046154"</f>
        <v>20190312173046154</v>
      </c>
      <c r="B6001" t="str">
        <f>"1552383046143901"</f>
        <v>1552383046143901</v>
      </c>
      <c r="C6001" t="s">
        <v>40</v>
      </c>
      <c r="D6001">
        <v>3.04745</v>
      </c>
      <c r="E6001">
        <v>0.44455359999999999</v>
      </c>
      <c r="F6001" t="s">
        <v>54</v>
      </c>
      <c r="G6001">
        <v>-295.82029999999997</v>
      </c>
      <c r="H6001" s="1">
        <v>-8.1888250000000003E-6</v>
      </c>
      <c r="I6001">
        <v>-55.27711</v>
      </c>
      <c r="J6001">
        <v>-300.6515</v>
      </c>
      <c r="K6001">
        <v>1.1119779999999999</v>
      </c>
      <c r="L6001">
        <v>-40.293700000000001</v>
      </c>
      <c r="M6001">
        <v>7.5632530000000003E-2</v>
      </c>
      <c r="N6001">
        <v>0</v>
      </c>
      <c r="O6001">
        <v>-0.99711079999999996</v>
      </c>
      <c r="P6001">
        <v>0.17042289999999999</v>
      </c>
      <c r="Q6001">
        <v>0.191967</v>
      </c>
      <c r="R6001">
        <v>-0.96649099999999999</v>
      </c>
      <c r="S6001">
        <v>0.94512940000000001</v>
      </c>
      <c r="T6001">
        <v>-0.2160212</v>
      </c>
      <c r="U6001">
        <v>-2.9837039999999999</v>
      </c>
      <c r="V6001">
        <v>-9.8016130000000007E-2</v>
      </c>
      <c r="W6001">
        <v>0.19827829999999999</v>
      </c>
      <c r="X6001">
        <v>0.97523260000000001</v>
      </c>
      <c r="Y6001">
        <v>-0.2282826</v>
      </c>
      <c r="Z6001">
        <v>6.9262969999999993E-2</v>
      </c>
      <c r="AA6001">
        <v>0.97112799999999999</v>
      </c>
      <c r="AB6001">
        <v>23</v>
      </c>
      <c r="AC6001">
        <v>4.8312000000000204</v>
      </c>
      <c r="AD6001">
        <v>-1.111986188825</v>
      </c>
      <c r="AE6001">
        <v>-14.983409999999999</v>
      </c>
      <c r="AF6001">
        <v>-3.6658110863384401</v>
      </c>
      <c r="AG6001">
        <v>-1.111986188825</v>
      </c>
      <c r="AH6001">
        <v>15.229913200224599</v>
      </c>
      <c r="AI6001">
        <v>94.060383971082402</v>
      </c>
      <c r="AJ6001">
        <v>103.533546750949</v>
      </c>
      <c r="AK6001">
        <v>15.7042968735068</v>
      </c>
      <c r="AL6001">
        <v>78.563703673964099</v>
      </c>
      <c r="AM6001">
        <v>95.739261551367093</v>
      </c>
      <c r="AN6001">
        <v>1.00000003504691</v>
      </c>
    </row>
    <row r="6002" spans="1:40" x14ac:dyDescent="0.25">
      <c r="A6002" t="str">
        <f>"20190312173046180"</f>
        <v>20190312173046180</v>
      </c>
      <c r="B6002" t="str">
        <f>"1552383046174156"</f>
        <v>1552383046174156</v>
      </c>
      <c r="C6002" t="s">
        <v>40</v>
      </c>
      <c r="D6002">
        <v>3.114582</v>
      </c>
      <c r="E6002">
        <v>0.4426966</v>
      </c>
      <c r="F6002" t="s">
        <v>54</v>
      </c>
      <c r="G6002">
        <v>-295.30329999999998</v>
      </c>
      <c r="H6002" s="1">
        <v>-8.2825250000000008E-6</v>
      </c>
      <c r="I6002">
        <v>-56.098790000000001</v>
      </c>
      <c r="J6002">
        <v>-300.62599999999998</v>
      </c>
      <c r="K6002">
        <v>1.112055</v>
      </c>
      <c r="L6002">
        <v>-40.56082</v>
      </c>
      <c r="M6002">
        <v>8.0263890000000004E-2</v>
      </c>
      <c r="N6002">
        <v>0</v>
      </c>
      <c r="O6002">
        <v>-0.99674830000000003</v>
      </c>
      <c r="P6002">
        <v>0.17556849999999999</v>
      </c>
      <c r="Q6002">
        <v>0.1923504</v>
      </c>
      <c r="R6002">
        <v>-0.9654935</v>
      </c>
      <c r="S6002">
        <v>1.004456</v>
      </c>
      <c r="T6002">
        <v>-0.20884430000000001</v>
      </c>
      <c r="U6002">
        <v>-2.9683839999999999</v>
      </c>
      <c r="V6002">
        <v>-9.8727339999999997E-2</v>
      </c>
      <c r="W6002">
        <v>0.19870119999999999</v>
      </c>
      <c r="X6002">
        <v>0.97507469999999996</v>
      </c>
      <c r="Y6002">
        <v>-0.24274709999999999</v>
      </c>
      <c r="Z6002">
        <v>6.6940970000000002E-2</v>
      </c>
      <c r="AA6002">
        <v>0.96777729999999995</v>
      </c>
      <c r="AB6002">
        <v>23</v>
      </c>
      <c r="AC6002">
        <v>5.3226999999999904</v>
      </c>
      <c r="AD6002">
        <v>-1.1120632825250001</v>
      </c>
      <c r="AE6002">
        <v>-15.53797</v>
      </c>
      <c r="AF6002">
        <v>-4.0398365999129604</v>
      </c>
      <c r="AG6002">
        <v>-1.1120632825250001</v>
      </c>
      <c r="AH6002">
        <v>15.842439924151201</v>
      </c>
      <c r="AI6002">
        <v>93.891182949758701</v>
      </c>
      <c r="AJ6002">
        <v>104.30560081136301</v>
      </c>
      <c r="AK6002">
        <v>16.387186068653701</v>
      </c>
      <c r="AL6002">
        <v>78.538980547275699</v>
      </c>
      <c r="AM6002">
        <v>95.781554657277397</v>
      </c>
      <c r="AN6002">
        <v>0.99999996256250201</v>
      </c>
    </row>
    <row r="6003" spans="1:40" x14ac:dyDescent="0.25">
      <c r="A6003" t="str">
        <f>"20190312173046205"</f>
        <v>20190312173046205</v>
      </c>
      <c r="B6003" t="str">
        <f>"1552383046193676"</f>
        <v>1552383046193676</v>
      </c>
      <c r="C6003" t="s">
        <v>40</v>
      </c>
      <c r="D6003">
        <v>3.1906129999999999</v>
      </c>
      <c r="E6003">
        <v>0.44207930000000001</v>
      </c>
      <c r="F6003" t="s">
        <v>54</v>
      </c>
      <c r="G6003">
        <v>-295.01830000000001</v>
      </c>
      <c r="H6003" s="1">
        <v>-8.3363979999999999E-6</v>
      </c>
      <c r="I6003">
        <v>-56.596789999999999</v>
      </c>
      <c r="J6003">
        <v>-300.60059999999999</v>
      </c>
      <c r="K6003">
        <v>1.112139</v>
      </c>
      <c r="L6003">
        <v>-40.814819999999997</v>
      </c>
      <c r="M6003">
        <v>8.4767919999999997E-2</v>
      </c>
      <c r="N6003">
        <v>0</v>
      </c>
      <c r="O6003">
        <v>-0.9963748</v>
      </c>
      <c r="P6003">
        <v>0.1801537</v>
      </c>
      <c r="Q6003">
        <v>0.192663</v>
      </c>
      <c r="R6003">
        <v>-0.96458569999999999</v>
      </c>
      <c r="S6003">
        <v>1.0350649999999999</v>
      </c>
      <c r="T6003">
        <v>-0.2052612</v>
      </c>
      <c r="U6003">
        <v>-2.9598689999999999</v>
      </c>
      <c r="V6003">
        <v>-9.8997219999999997E-2</v>
      </c>
      <c r="W6003">
        <v>0.1990536</v>
      </c>
      <c r="X6003">
        <v>0.97497549999999999</v>
      </c>
      <c r="Y6003">
        <v>-0.24817620000000001</v>
      </c>
      <c r="Z6003">
        <v>6.5785300000000005E-2</v>
      </c>
      <c r="AA6003">
        <v>0.96647859999999997</v>
      </c>
      <c r="AB6003">
        <v>23</v>
      </c>
      <c r="AC6003">
        <v>5.5822999999999698</v>
      </c>
      <c r="AD6003">
        <v>-1.1121473363979999</v>
      </c>
      <c r="AE6003">
        <v>-15.781969999999999</v>
      </c>
      <c r="AF6003">
        <v>-4.2058040971714199</v>
      </c>
      <c r="AG6003">
        <v>-1.1121473363979999</v>
      </c>
      <c r="AH6003">
        <v>16.127194445322498</v>
      </c>
      <c r="AI6003">
        <v>93.817639075854501</v>
      </c>
      <c r="AJ6003">
        <v>104.616582530305</v>
      </c>
      <c r="AK6003">
        <v>16.7036541055807</v>
      </c>
      <c r="AL6003">
        <v>78.518378463010393</v>
      </c>
      <c r="AM6003">
        <v>95.797837382591993</v>
      </c>
      <c r="AN6003">
        <v>1.0000000054204601</v>
      </c>
    </row>
    <row r="6004" spans="1:40" x14ac:dyDescent="0.25">
      <c r="A6004" t="str">
        <f>"20190312173046225"</f>
        <v>20190312173046225</v>
      </c>
      <c r="B6004" t="str">
        <f>"1552383046214172"</f>
        <v>1552383046214172</v>
      </c>
      <c r="C6004" t="s">
        <v>40</v>
      </c>
      <c r="D6004">
        <v>3.1001850000000002</v>
      </c>
      <c r="E6004">
        <v>0.44154860000000001</v>
      </c>
      <c r="F6004" t="s">
        <v>54</v>
      </c>
      <c r="G6004">
        <v>-294.822</v>
      </c>
      <c r="H6004" s="1">
        <v>-8.3672770000000008E-6</v>
      </c>
      <c r="I6004">
        <v>-57.001959999999997</v>
      </c>
      <c r="J6004">
        <v>-300.57740000000001</v>
      </c>
      <c r="K6004">
        <v>1.1122129999999999</v>
      </c>
      <c r="L6004">
        <v>-41.035609999999998</v>
      </c>
      <c r="M6004">
        <v>8.877575E-2</v>
      </c>
      <c r="N6004">
        <v>0</v>
      </c>
      <c r="O6004">
        <v>-0.9960253</v>
      </c>
      <c r="P6004">
        <v>0.18374460000000001</v>
      </c>
      <c r="Q6004">
        <v>0.19261259999999999</v>
      </c>
      <c r="R6004">
        <v>-0.9639181</v>
      </c>
      <c r="S6004">
        <v>1.054443</v>
      </c>
      <c r="T6004">
        <v>-0.20293810000000001</v>
      </c>
      <c r="U6004">
        <v>-2.953735</v>
      </c>
      <c r="V6004">
        <v>-9.8737119999999998E-2</v>
      </c>
      <c r="W6004">
        <v>0.19904140000000001</v>
      </c>
      <c r="X6004">
        <v>0.97500439999999999</v>
      </c>
      <c r="Y6004">
        <v>-0.2505561</v>
      </c>
      <c r="Z6004">
        <v>6.5047289999999994E-2</v>
      </c>
      <c r="AA6004">
        <v>0.9659143</v>
      </c>
      <c r="AB6004">
        <v>23</v>
      </c>
      <c r="AC6004">
        <v>5.7553999999999998</v>
      </c>
      <c r="AD6004">
        <v>-1.1122213672769901</v>
      </c>
      <c r="AE6004">
        <v>-15.966349999999901</v>
      </c>
      <c r="AF6004">
        <v>-4.2967599360415996</v>
      </c>
      <c r="AG6004">
        <v>-1.1122213672769901</v>
      </c>
      <c r="AH6004">
        <v>16.3440689398847</v>
      </c>
      <c r="AI6004">
        <v>93.765441754503399</v>
      </c>
      <c r="AJ6004">
        <v>104.72942860525499</v>
      </c>
      <c r="AK6004">
        <v>16.935990429541</v>
      </c>
      <c r="AL6004">
        <v>78.519092133987996</v>
      </c>
      <c r="AM6004">
        <v>95.78253758068</v>
      </c>
      <c r="AN6004">
        <v>1.0000000388996</v>
      </c>
    </row>
    <row r="6005" spans="1:40" x14ac:dyDescent="0.25">
      <c r="A6005" t="str">
        <f>"20190312173046249"</f>
        <v>20190312173046249</v>
      </c>
      <c r="B6005" t="str">
        <f>"1552383046243452"</f>
        <v>1552383046243452</v>
      </c>
      <c r="C6005" t="s">
        <v>40</v>
      </c>
      <c r="D6005">
        <v>3.1842679999999999</v>
      </c>
      <c r="E6005">
        <v>0.4413262</v>
      </c>
      <c r="F6005" t="s">
        <v>54</v>
      </c>
      <c r="G6005">
        <v>-294.70479999999998</v>
      </c>
      <c r="H6005" s="1">
        <v>-8.3884790000000003E-6</v>
      </c>
      <c r="I6005">
        <v>-57.216270000000002</v>
      </c>
      <c r="J6005">
        <v>-300.55059999999997</v>
      </c>
      <c r="K6005">
        <v>1.112285</v>
      </c>
      <c r="L6005">
        <v>-41.279269999999997</v>
      </c>
      <c r="M6005">
        <v>9.3282370000000003E-2</v>
      </c>
      <c r="N6005">
        <v>0</v>
      </c>
      <c r="O6005">
        <v>-0.99561299999999997</v>
      </c>
      <c r="P6005">
        <v>0.18759529999999999</v>
      </c>
      <c r="Q6005">
        <v>0.19308600000000001</v>
      </c>
      <c r="R6005">
        <v>-0.96308170000000004</v>
      </c>
      <c r="S6005">
        <v>1.0702210000000001</v>
      </c>
      <c r="T6005">
        <v>-0.20269319999999999</v>
      </c>
      <c r="U6005">
        <v>-2.9487920000000001</v>
      </c>
      <c r="V6005">
        <v>-9.8266270000000003E-2</v>
      </c>
      <c r="W6005">
        <v>0.19956009999999999</v>
      </c>
      <c r="X6005">
        <v>0.97494590000000003</v>
      </c>
      <c r="Y6005">
        <v>-0.2512645</v>
      </c>
      <c r="Z6005">
        <v>6.4967639999999993E-2</v>
      </c>
      <c r="AA6005">
        <v>0.96573569999999997</v>
      </c>
      <c r="AB6005">
        <v>23</v>
      </c>
      <c r="AC6005">
        <v>5.8457999999999899</v>
      </c>
      <c r="AD6005">
        <v>-1.1122933884790001</v>
      </c>
      <c r="AE6005">
        <v>-15.9369999999999</v>
      </c>
      <c r="AF6005">
        <v>-4.3151019917693301</v>
      </c>
      <c r="AG6005">
        <v>-1.1122933884790001</v>
      </c>
      <c r="AH6005">
        <v>16.342664805346299</v>
      </c>
      <c r="AI6005">
        <v>93.764948416866602</v>
      </c>
      <c r="AJ6005">
        <v>104.790770206573</v>
      </c>
      <c r="AK6005">
        <v>16.939303253715298</v>
      </c>
      <c r="AL6005">
        <v>78.488763943458494</v>
      </c>
      <c r="AM6005">
        <v>95.755490813737097</v>
      </c>
      <c r="AN6005">
        <v>1.00000000062926</v>
      </c>
    </row>
    <row r="6006" spans="1:40" x14ac:dyDescent="0.25">
      <c r="A6006" t="str">
        <f>"20190312173046272"</f>
        <v>20190312173046272</v>
      </c>
      <c r="B6006" t="str">
        <f>"1552383046263949"</f>
        <v>1552383046263949</v>
      </c>
      <c r="C6006" t="s">
        <v>40</v>
      </c>
      <c r="D6006">
        <v>3.1042160000000001</v>
      </c>
      <c r="E6006">
        <v>0.44130940000000002</v>
      </c>
      <c r="F6006" t="s">
        <v>54</v>
      </c>
      <c r="G6006">
        <v>-294.54610000000002</v>
      </c>
      <c r="H6006" s="1">
        <v>-8.4091929999999999E-6</v>
      </c>
      <c r="I6006">
        <v>-57.586469999999998</v>
      </c>
      <c r="J6006">
        <v>-300.52260000000001</v>
      </c>
      <c r="K6006">
        <v>1.1123620000000001</v>
      </c>
      <c r="L6006">
        <v>-41.523069999999997</v>
      </c>
      <c r="M6006">
        <v>9.7874450000000002E-2</v>
      </c>
      <c r="N6006">
        <v>0</v>
      </c>
      <c r="O6006">
        <v>-0.99517169999999999</v>
      </c>
      <c r="P6006">
        <v>0.1920404</v>
      </c>
      <c r="Q6006">
        <v>0.19329840000000001</v>
      </c>
      <c r="R6006">
        <v>-0.96216239999999997</v>
      </c>
      <c r="S6006">
        <v>1.0840449999999999</v>
      </c>
      <c r="T6006">
        <v>-0.20081470000000001</v>
      </c>
      <c r="U6006">
        <v>-2.9441220000000001</v>
      </c>
      <c r="V6006">
        <v>-9.830933E-2</v>
      </c>
      <c r="W6006">
        <v>0.19981750000000001</v>
      </c>
      <c r="X6006">
        <v>0.9748888</v>
      </c>
      <c r="Y6006">
        <v>-0.25130370000000002</v>
      </c>
      <c r="Z6006">
        <v>6.4370109999999994E-2</v>
      </c>
      <c r="AA6006">
        <v>0.96576550000000005</v>
      </c>
      <c r="AB6006">
        <v>24</v>
      </c>
      <c r="AC6006">
        <v>5.9764999999999802</v>
      </c>
      <c r="AD6006">
        <v>-1.112370409193</v>
      </c>
      <c r="AE6006">
        <v>-16.063399999999898</v>
      </c>
      <c r="AF6006">
        <v>-4.3572112368483804</v>
      </c>
      <c r="AG6006">
        <v>-1.112370409193</v>
      </c>
      <c r="AH6006">
        <v>16.501724010381999</v>
      </c>
      <c r="AI6006">
        <v>93.729012435990995</v>
      </c>
      <c r="AJ6006">
        <v>104.79113179285601</v>
      </c>
      <c r="AK6006">
        <v>17.103495344653499</v>
      </c>
      <c r="AL6006">
        <v>78.473712455602595</v>
      </c>
      <c r="AM6006">
        <v>95.758330894598004</v>
      </c>
      <c r="AN6006">
        <v>0.99999996501836796</v>
      </c>
    </row>
    <row r="6007" spans="1:40" x14ac:dyDescent="0.25">
      <c r="A6007" t="str">
        <f>"20190312173046295"</f>
        <v>20190312173046295</v>
      </c>
      <c r="B6007" t="str">
        <f>"1552383046283469"</f>
        <v>1552383046283469</v>
      </c>
      <c r="C6007" t="s">
        <v>40</v>
      </c>
      <c r="D6007">
        <v>3.1043560000000001</v>
      </c>
      <c r="E6007">
        <v>0.4411986</v>
      </c>
      <c r="F6007" t="s">
        <v>54</v>
      </c>
      <c r="G6007">
        <v>-294.4427</v>
      </c>
      <c r="H6007" s="1">
        <v>-8.4249680000000006E-6</v>
      </c>
      <c r="I6007">
        <v>-57.804900000000004</v>
      </c>
      <c r="J6007">
        <v>-300.495</v>
      </c>
      <c r="K6007">
        <v>1.1124350000000001</v>
      </c>
      <c r="L6007">
        <v>-41.753480000000003</v>
      </c>
      <c r="M6007">
        <v>0.102297</v>
      </c>
      <c r="N6007">
        <v>0</v>
      </c>
      <c r="O6007">
        <v>-0.99472629999999995</v>
      </c>
      <c r="P6007">
        <v>0.196358</v>
      </c>
      <c r="Q6007">
        <v>0.1933173</v>
      </c>
      <c r="R6007">
        <v>-0.96128690000000006</v>
      </c>
      <c r="S6007">
        <v>1.0975649999999999</v>
      </c>
      <c r="T6007">
        <v>-0.20081019999999999</v>
      </c>
      <c r="U6007">
        <v>-2.93927</v>
      </c>
      <c r="V6007">
        <v>-9.8385680000000003E-2</v>
      </c>
      <c r="W6007">
        <v>0.19988059999999999</v>
      </c>
      <c r="X6007">
        <v>0.97486819999999996</v>
      </c>
      <c r="Y6007">
        <v>-0.25142300000000001</v>
      </c>
      <c r="Z6007">
        <v>6.4373749999999993E-2</v>
      </c>
      <c r="AA6007">
        <v>0.96573419999999999</v>
      </c>
      <c r="AB6007">
        <v>24</v>
      </c>
      <c r="AC6007">
        <v>6.0522999999999998</v>
      </c>
      <c r="AD6007">
        <v>-1.112443424968</v>
      </c>
      <c r="AE6007">
        <v>-16.05142</v>
      </c>
      <c r="AF6007">
        <v>-4.3601543142122896</v>
      </c>
      <c r="AG6007">
        <v>-1.112443424968</v>
      </c>
      <c r="AH6007">
        <v>16.516898571113899</v>
      </c>
      <c r="AI6007">
        <v>93.725899049320404</v>
      </c>
      <c r="AJ6007">
        <v>104.78768233536201</v>
      </c>
      <c r="AK6007">
        <v>17.1188905722878</v>
      </c>
      <c r="AL6007">
        <v>78.470023086587901</v>
      </c>
      <c r="AM6007">
        <v>95.762893854568404</v>
      </c>
      <c r="AN6007">
        <v>1.0000000018283299</v>
      </c>
    </row>
    <row r="6008" spans="1:40" x14ac:dyDescent="0.25">
      <c r="A6008" t="str">
        <f>"20190312173046318"</f>
        <v>20190312173046318</v>
      </c>
      <c r="B6008" t="str">
        <f>"1552383046313725"</f>
        <v>1552383046313725</v>
      </c>
      <c r="C6008" t="s">
        <v>40</v>
      </c>
      <c r="D6008">
        <v>3.0273240000000001</v>
      </c>
      <c r="E6008">
        <v>0.4411331</v>
      </c>
      <c r="F6008" t="s">
        <v>54</v>
      </c>
      <c r="G6008">
        <v>-294.37020000000001</v>
      </c>
      <c r="H6008" s="1">
        <v>-8.4393099999999997E-6</v>
      </c>
      <c r="I6008">
        <v>-57.925469999999997</v>
      </c>
      <c r="J6008">
        <v>-300.4649</v>
      </c>
      <c r="K6008">
        <v>1.1125069999999999</v>
      </c>
      <c r="L6008">
        <v>-41.995539999999998</v>
      </c>
      <c r="M6008">
        <v>0.1070407</v>
      </c>
      <c r="N6008">
        <v>0</v>
      </c>
      <c r="O6008">
        <v>-0.99422650000000001</v>
      </c>
      <c r="P6008">
        <v>0.2015448</v>
      </c>
      <c r="Q6008">
        <v>0.19336529999999999</v>
      </c>
      <c r="R6008">
        <v>-0.96020269999999996</v>
      </c>
      <c r="S6008">
        <v>1.111359</v>
      </c>
      <c r="T6008">
        <v>-0.20185359999999999</v>
      </c>
      <c r="U6008">
        <v>-2.934418</v>
      </c>
      <c r="V6008">
        <v>-9.9037860000000005E-2</v>
      </c>
      <c r="W6008">
        <v>0.19997029999999999</v>
      </c>
      <c r="X6008">
        <v>0.97478379999999998</v>
      </c>
      <c r="Y6008">
        <v>-0.25129869999999999</v>
      </c>
      <c r="Z6008">
        <v>6.4706949999999999E-2</v>
      </c>
      <c r="AA6008">
        <v>0.9657443</v>
      </c>
      <c r="AB6008">
        <v>24</v>
      </c>
      <c r="AC6008">
        <v>6.09469999999998</v>
      </c>
      <c r="AD6008">
        <v>-1.1125154393100001</v>
      </c>
      <c r="AE6008">
        <v>-15.929929999999899</v>
      </c>
      <c r="AF6008">
        <v>-4.3360352261010799</v>
      </c>
      <c r="AG6008">
        <v>-1.1125154393100001</v>
      </c>
      <c r="AH6008">
        <v>16.420936745970799</v>
      </c>
      <c r="AI6008">
        <v>93.747784624176404</v>
      </c>
      <c r="AJ6008">
        <v>104.79163909181401</v>
      </c>
      <c r="AK6008">
        <v>17.020166147833802</v>
      </c>
      <c r="AL6008">
        <v>78.464778176923701</v>
      </c>
      <c r="AM6008">
        <v>95.801334148965097</v>
      </c>
      <c r="AN6008">
        <v>1.00000003766895</v>
      </c>
    </row>
    <row r="6009" spans="1:40" x14ac:dyDescent="0.25">
      <c r="A6009" t="str">
        <f>"20190312173046343"</f>
        <v>20190312173046343</v>
      </c>
      <c r="B6009" t="str">
        <f>"1552383046334221"</f>
        <v>1552383046334221</v>
      </c>
      <c r="C6009" t="s">
        <v>40</v>
      </c>
      <c r="D6009">
        <v>3.1092759999999999</v>
      </c>
      <c r="E6009">
        <v>0.44123050000000003</v>
      </c>
      <c r="F6009" t="s">
        <v>54</v>
      </c>
      <c r="G6009">
        <v>-294.3451</v>
      </c>
      <c r="H6009" s="1">
        <v>-8.4522879999999992E-6</v>
      </c>
      <c r="I6009">
        <v>-57.886879999999998</v>
      </c>
      <c r="J6009">
        <v>-300.43180000000001</v>
      </c>
      <c r="K6009">
        <v>1.1126039999999999</v>
      </c>
      <c r="L6009">
        <v>-42.25009</v>
      </c>
      <c r="M6009">
        <v>0.1121423</v>
      </c>
      <c r="N6009">
        <v>0</v>
      </c>
      <c r="O6009">
        <v>-0.99366350000000003</v>
      </c>
      <c r="P6009">
        <v>0.20709839999999999</v>
      </c>
      <c r="Q6009">
        <v>0.1933271</v>
      </c>
      <c r="R6009">
        <v>-0.95902829999999994</v>
      </c>
      <c r="S6009">
        <v>1.1279300000000001</v>
      </c>
      <c r="T6009">
        <v>-0.20504500000000001</v>
      </c>
      <c r="U6009">
        <v>-2.9288940000000001</v>
      </c>
      <c r="V6009">
        <v>-9.9718749999999995E-2</v>
      </c>
      <c r="W6009">
        <v>0.19997219999999999</v>
      </c>
      <c r="X6009">
        <v>0.97471399999999997</v>
      </c>
      <c r="Y6009">
        <v>-0.25167820000000002</v>
      </c>
      <c r="Z6009">
        <v>6.5717440000000002E-2</v>
      </c>
      <c r="AA6009">
        <v>0.96557720000000002</v>
      </c>
      <c r="AB6009">
        <v>24</v>
      </c>
      <c r="AC6009">
        <v>6.0867000000000004</v>
      </c>
      <c r="AD6009">
        <v>-1.1126124522880001</v>
      </c>
      <c r="AE6009">
        <v>-15.63679</v>
      </c>
      <c r="AF6009">
        <v>-4.2759086818532399</v>
      </c>
      <c r="AG6009">
        <v>-1.1126124522880001</v>
      </c>
      <c r="AH6009">
        <v>16.149741270664698</v>
      </c>
      <c r="AI6009">
        <v>93.810199257342703</v>
      </c>
      <c r="AJ6009">
        <v>104.829719697176</v>
      </c>
      <c r="AK6009">
        <v>16.743220856034402</v>
      </c>
      <c r="AL6009">
        <v>78.464667166293395</v>
      </c>
      <c r="AM6009">
        <v>95.841359151094593</v>
      </c>
      <c r="AN6009">
        <v>1.0000000458352001</v>
      </c>
    </row>
    <row r="6010" spans="1:40" x14ac:dyDescent="0.25">
      <c r="A6010" t="str">
        <f>"20190312173046368"</f>
        <v>20190312173046368</v>
      </c>
      <c r="B6010" t="str">
        <f>"1552383046363502"</f>
        <v>1552383046363502</v>
      </c>
      <c r="C6010" t="s">
        <v>40</v>
      </c>
      <c r="D6010">
        <v>3.1292179999999998</v>
      </c>
      <c r="E6010">
        <v>0.4414402</v>
      </c>
      <c r="F6010" t="s">
        <v>54</v>
      </c>
      <c r="G6010">
        <v>-294.28210000000001</v>
      </c>
      <c r="H6010" s="1">
        <v>-8.4682499999999998E-6</v>
      </c>
      <c r="I6010">
        <v>-57.956240000000001</v>
      </c>
      <c r="J6010">
        <v>-300.39550000000003</v>
      </c>
      <c r="K6010">
        <v>1.112714</v>
      </c>
      <c r="L6010">
        <v>-42.516570000000002</v>
      </c>
      <c r="M6010">
        <v>0.1176412</v>
      </c>
      <c r="N6010">
        <v>0</v>
      </c>
      <c r="O6010">
        <v>-0.99302690000000005</v>
      </c>
      <c r="P6010">
        <v>0.21279429999999999</v>
      </c>
      <c r="Q6010">
        <v>0.1937835</v>
      </c>
      <c r="R6010">
        <v>-0.95768819999999999</v>
      </c>
      <c r="S6010">
        <v>1.144409</v>
      </c>
      <c r="T6010">
        <v>-0.20704829999999999</v>
      </c>
      <c r="U6010">
        <v>-2.9227910000000001</v>
      </c>
      <c r="V6010">
        <v>-0.1001843</v>
      </c>
      <c r="W6010">
        <v>0.20046929999999999</v>
      </c>
      <c r="X6010">
        <v>0.97456410000000004</v>
      </c>
      <c r="Y6010">
        <v>-0.25171149999999998</v>
      </c>
      <c r="Z6010">
        <v>6.635568E-2</v>
      </c>
      <c r="AA6010">
        <v>0.96552490000000002</v>
      </c>
      <c r="AB6010">
        <v>24</v>
      </c>
      <c r="AC6010">
        <v>6.1134000000000102</v>
      </c>
      <c r="AD6010">
        <v>-1.1127224682500001</v>
      </c>
      <c r="AE6010">
        <v>-15.43967</v>
      </c>
      <c r="AF6010">
        <v>-4.2355354060762496</v>
      </c>
      <c r="AG6010">
        <v>-1.1127224682500001</v>
      </c>
      <c r="AH6010">
        <v>15.9799119255277</v>
      </c>
      <c r="AI6010">
        <v>93.850678162431194</v>
      </c>
      <c r="AJ6010">
        <v>104.84510400590899</v>
      </c>
      <c r="AK6010">
        <v>16.569112728661601</v>
      </c>
      <c r="AL6010">
        <v>78.435596358916399</v>
      </c>
      <c r="AM6010">
        <v>95.869336746380796</v>
      </c>
      <c r="AN6010">
        <v>1.0000000096088899</v>
      </c>
    </row>
    <row r="6011" spans="1:40" x14ac:dyDescent="0.25">
      <c r="A6011" t="str">
        <f>"20190312173046400"</f>
        <v>20190312173046400</v>
      </c>
      <c r="B6011" t="str">
        <f>"1552383046393757"</f>
        <v>1552383046393757</v>
      </c>
      <c r="C6011" t="s">
        <v>40</v>
      </c>
      <c r="D6011">
        <v>3.210178</v>
      </c>
      <c r="E6011">
        <v>0.44175350000000002</v>
      </c>
      <c r="F6011" t="s">
        <v>54</v>
      </c>
      <c r="G6011">
        <v>-294.17880000000002</v>
      </c>
      <c r="H6011" s="1">
        <v>-8.4871439999999906E-6</v>
      </c>
      <c r="I6011">
        <v>-58.143149999999999</v>
      </c>
      <c r="J6011">
        <v>-300.34640000000002</v>
      </c>
      <c r="K6011">
        <v>1.1128640000000001</v>
      </c>
      <c r="L6011">
        <v>-42.8598</v>
      </c>
      <c r="M6011">
        <v>0.1249487</v>
      </c>
      <c r="N6011">
        <v>0</v>
      </c>
      <c r="O6011">
        <v>-0.9921333</v>
      </c>
      <c r="P6011">
        <v>0.22086359999999999</v>
      </c>
      <c r="Q6011">
        <v>0.1931891</v>
      </c>
      <c r="R6011">
        <v>-0.9559801</v>
      </c>
      <c r="S6011">
        <v>1.1603699999999999</v>
      </c>
      <c r="T6011">
        <v>-0.20769299999999999</v>
      </c>
      <c r="U6011">
        <v>-2.9167480000000001</v>
      </c>
      <c r="V6011">
        <v>-0.1012832</v>
      </c>
      <c r="W6011">
        <v>0.19992170000000001</v>
      </c>
      <c r="X6011">
        <v>0.97456299999999996</v>
      </c>
      <c r="Y6011">
        <v>-0.2498311</v>
      </c>
      <c r="Z6011">
        <v>6.6551170000000007E-2</v>
      </c>
      <c r="AA6011">
        <v>0.96599970000000002</v>
      </c>
      <c r="AB6011">
        <v>24</v>
      </c>
      <c r="AC6011">
        <v>6.1675999999999904</v>
      </c>
      <c r="AD6011">
        <v>-1.1128724871440001</v>
      </c>
      <c r="AE6011">
        <v>-15.28335</v>
      </c>
      <c r="AF6011">
        <v>-4.1904645822660003</v>
      </c>
      <c r="AG6011">
        <v>-1.1128724871440001</v>
      </c>
      <c r="AH6011">
        <v>15.861902530570401</v>
      </c>
      <c r="AI6011">
        <v>93.880592506794201</v>
      </c>
      <c r="AJ6011">
        <v>104.79854527333799</v>
      </c>
      <c r="AK6011">
        <v>16.443796109085699</v>
      </c>
      <c r="AL6011">
        <v>78.467619779403194</v>
      </c>
      <c r="AM6011">
        <v>95.933266081032997</v>
      </c>
      <c r="AN6011">
        <v>1.0000000068510599</v>
      </c>
    </row>
    <row r="6012" spans="1:40" x14ac:dyDescent="0.25">
      <c r="A6012" t="str">
        <f>"20190312173046429"</f>
        <v>20190312173046429</v>
      </c>
      <c r="B6012" t="str">
        <f>"1552383046424013"</f>
        <v>1552383046424013</v>
      </c>
      <c r="C6012" t="s">
        <v>40</v>
      </c>
      <c r="D6012">
        <v>3.0879340000000002</v>
      </c>
      <c r="E6012">
        <v>0.44202089999999999</v>
      </c>
      <c r="F6012" t="s">
        <v>54</v>
      </c>
      <c r="G6012">
        <v>-294.06439999999998</v>
      </c>
      <c r="H6012" s="1">
        <v>-8.5133920000000003E-6</v>
      </c>
      <c r="I6012">
        <v>-58.296999999999997</v>
      </c>
      <c r="J6012">
        <v>-300.30079999999998</v>
      </c>
      <c r="K6012">
        <v>1.1129960000000001</v>
      </c>
      <c r="L6012">
        <v>-43.161349999999999</v>
      </c>
      <c r="M6012">
        <v>0.1315847</v>
      </c>
      <c r="N6012">
        <v>0</v>
      </c>
      <c r="O6012">
        <v>-0.99127419999999999</v>
      </c>
      <c r="P6012">
        <v>0.22755539999999999</v>
      </c>
      <c r="Q6012">
        <v>0.19289329999999999</v>
      </c>
      <c r="R6012">
        <v>-0.95446880000000001</v>
      </c>
      <c r="S6012">
        <v>1.183044</v>
      </c>
      <c r="T6012">
        <v>-0.2095785</v>
      </c>
      <c r="U6012">
        <v>-2.9071660000000001</v>
      </c>
      <c r="V6012">
        <v>-0.1016417</v>
      </c>
      <c r="W6012">
        <v>0.1996713</v>
      </c>
      <c r="X6012">
        <v>0.97457700000000003</v>
      </c>
      <c r="Y6012">
        <v>-0.25091140000000001</v>
      </c>
      <c r="Z6012">
        <v>6.7165879999999997E-2</v>
      </c>
      <c r="AA6012">
        <v>0.96567709999999995</v>
      </c>
      <c r="AB6012">
        <v>24</v>
      </c>
      <c r="AC6012">
        <v>6.2363999999999997</v>
      </c>
      <c r="AD6012">
        <v>-1.1130045133919999</v>
      </c>
      <c r="AE6012">
        <v>-15.135649999999901</v>
      </c>
      <c r="AF6012">
        <v>-4.1712081023484799</v>
      </c>
      <c r="AG6012">
        <v>-1.1130045133919999</v>
      </c>
      <c r="AH6012">
        <v>15.7518609943537</v>
      </c>
      <c r="AI6012">
        <v>93.9074804955536</v>
      </c>
      <c r="AJ6012">
        <v>104.831911236088</v>
      </c>
      <c r="AK6012">
        <v>16.332754846178599</v>
      </c>
      <c r="AL6012">
        <v>78.482261739030307</v>
      </c>
      <c r="AM6012">
        <v>95.954031826006897</v>
      </c>
      <c r="AN6012">
        <v>0.99999999607578904</v>
      </c>
    </row>
    <row r="6013" spans="1:40" x14ac:dyDescent="0.25">
      <c r="A6013" t="str">
        <f>"20190312173046451"</f>
        <v>20190312173046451</v>
      </c>
      <c r="B6013" t="str">
        <f>"1552383046443532"</f>
        <v>1552383046443532</v>
      </c>
      <c r="C6013" t="s">
        <v>40</v>
      </c>
      <c r="D6013">
        <v>3.0491450000000002</v>
      </c>
      <c r="E6013">
        <v>0.4421408</v>
      </c>
      <c r="F6013" t="s">
        <v>54</v>
      </c>
      <c r="G6013">
        <v>-293.98930000000001</v>
      </c>
      <c r="H6013" s="1">
        <v>-8.53133999999999E-6</v>
      </c>
      <c r="I6013">
        <v>-58.390259999999998</v>
      </c>
      <c r="J6013">
        <v>-300.26299999999998</v>
      </c>
      <c r="K6013">
        <v>1.1131009999999999</v>
      </c>
      <c r="L6013">
        <v>-43.400149999999996</v>
      </c>
      <c r="M6013">
        <v>0.1370053</v>
      </c>
      <c r="N6013">
        <v>0</v>
      </c>
      <c r="O6013">
        <v>-0.99053910000000001</v>
      </c>
      <c r="P6013">
        <v>0.23315259999999999</v>
      </c>
      <c r="Q6013">
        <v>0.19310369999999999</v>
      </c>
      <c r="R6013">
        <v>-0.95307419999999998</v>
      </c>
      <c r="S6013">
        <v>1.20163</v>
      </c>
      <c r="T6013">
        <v>-0.21190580000000001</v>
      </c>
      <c r="U6013">
        <v>-2.8994450000000001</v>
      </c>
      <c r="V6013">
        <v>-0.1020901</v>
      </c>
      <c r="W6013">
        <v>0.19991329999999999</v>
      </c>
      <c r="X6013">
        <v>0.97448049999999997</v>
      </c>
      <c r="Y6013">
        <v>-0.2517894</v>
      </c>
      <c r="Z6013">
        <v>6.791171E-2</v>
      </c>
      <c r="AA6013">
        <v>0.96539629999999998</v>
      </c>
      <c r="AB6013">
        <v>24</v>
      </c>
      <c r="AC6013">
        <v>6.2736999999999599</v>
      </c>
      <c r="AD6013">
        <v>-1.1131095313399999</v>
      </c>
      <c r="AE6013">
        <v>-14.99011</v>
      </c>
      <c r="AF6013">
        <v>-4.1413177419796003</v>
      </c>
      <c r="AG6013">
        <v>-1.1131095313399999</v>
      </c>
      <c r="AH6013">
        <v>15.634944947264399</v>
      </c>
      <c r="AI6013">
        <v>93.936912397338901</v>
      </c>
      <c r="AJ6013">
        <v>104.835574887527</v>
      </c>
      <c r="AK6013">
        <v>16.212372712616201</v>
      </c>
      <c r="AL6013">
        <v>78.468110671399401</v>
      </c>
      <c r="AM6013">
        <v>95.980696454651493</v>
      </c>
      <c r="AN6013">
        <v>0.99999998045757399</v>
      </c>
    </row>
    <row r="6014" spans="1:40" x14ac:dyDescent="0.25">
      <c r="A6014" t="str">
        <f>"20190312173046471"</f>
        <v>20190312173046471</v>
      </c>
      <c r="B6014" t="str">
        <f>"1552383046464029"</f>
        <v>1552383046464029</v>
      </c>
      <c r="C6014" t="s">
        <v>40</v>
      </c>
      <c r="D6014">
        <v>3.1353369999999998</v>
      </c>
      <c r="E6014">
        <v>0.44223689999999999</v>
      </c>
      <c r="F6014" t="s">
        <v>54</v>
      </c>
      <c r="G6014">
        <v>-293.8777</v>
      </c>
      <c r="H6014" s="1">
        <v>-8.5544640000000007E-6</v>
      </c>
      <c r="I6014">
        <v>-58.565069999999999</v>
      </c>
      <c r="J6014">
        <v>-300.22680000000003</v>
      </c>
      <c r="K6014">
        <v>1.113205</v>
      </c>
      <c r="L6014">
        <v>-43.621189999999999</v>
      </c>
      <c r="M6014">
        <v>0.14214109999999999</v>
      </c>
      <c r="N6014">
        <v>0</v>
      </c>
      <c r="O6014">
        <v>-0.98981459999999999</v>
      </c>
      <c r="P6014">
        <v>0.23848530000000001</v>
      </c>
      <c r="Q6014">
        <v>0.19334770000000001</v>
      </c>
      <c r="R6014">
        <v>-0.95170460000000001</v>
      </c>
      <c r="S6014">
        <v>1.218018</v>
      </c>
      <c r="T6014">
        <v>-0.2123295</v>
      </c>
      <c r="U6014">
        <v>-2.8927610000000001</v>
      </c>
      <c r="V6014">
        <v>-0.1025489</v>
      </c>
      <c r="W6014">
        <v>0.20018430000000001</v>
      </c>
      <c r="X6014">
        <v>0.97437669999999998</v>
      </c>
      <c r="Y6014">
        <v>-0.25221060000000001</v>
      </c>
      <c r="Z6014">
        <v>6.8041439999999995E-2</v>
      </c>
      <c r="AA6014">
        <v>0.9652773</v>
      </c>
      <c r="AB6014">
        <v>24</v>
      </c>
      <c r="AC6014">
        <v>6.3491000000000204</v>
      </c>
      <c r="AD6014">
        <v>-1.1132135544640001</v>
      </c>
      <c r="AE6014">
        <v>-14.943879999999901</v>
      </c>
      <c r="AF6014">
        <v>-4.1409579809006303</v>
      </c>
      <c r="AG6014">
        <v>-1.1132135544640001</v>
      </c>
      <c r="AH6014">
        <v>15.6212024322495</v>
      </c>
      <c r="AI6014">
        <v>93.940527769947195</v>
      </c>
      <c r="AJ6014">
        <v>104.846817066697</v>
      </c>
      <c r="AK6014">
        <v>16.199035244320701</v>
      </c>
      <c r="AL6014">
        <v>78.452263309632301</v>
      </c>
      <c r="AM6014">
        <v>96.008013289043504</v>
      </c>
      <c r="AN6014">
        <v>0.99999999218029501</v>
      </c>
    </row>
    <row r="6015" spans="1:40" x14ac:dyDescent="0.25">
      <c r="A6015" t="str">
        <f>"20190312173046493"</f>
        <v>20190312173046493</v>
      </c>
      <c r="B6015" t="str">
        <f>"1552383046483549"</f>
        <v>1552383046483549</v>
      </c>
      <c r="C6015" t="s">
        <v>40</v>
      </c>
      <c r="D6015">
        <v>3.0483739999999999</v>
      </c>
      <c r="E6015">
        <v>0.44930130000000001</v>
      </c>
      <c r="F6015" t="s">
        <v>54</v>
      </c>
      <c r="G6015">
        <v>-293.72980000000001</v>
      </c>
      <c r="H6015" s="1">
        <v>-8.5829810000000004E-6</v>
      </c>
      <c r="I6015">
        <v>-58.817999999999998</v>
      </c>
      <c r="J6015">
        <v>-300.18729999999999</v>
      </c>
      <c r="K6015">
        <v>1.1133150000000001</v>
      </c>
      <c r="L6015">
        <v>-43.853490000000001</v>
      </c>
      <c r="M6015">
        <v>0.14767079999999999</v>
      </c>
      <c r="N6015">
        <v>0</v>
      </c>
      <c r="O6015">
        <v>-0.98900429999999995</v>
      </c>
      <c r="P6015">
        <v>0.24374290000000001</v>
      </c>
      <c r="Q6015">
        <v>0.19328409999999999</v>
      </c>
      <c r="R6015">
        <v>-0.95038429999999996</v>
      </c>
      <c r="S6015">
        <v>1.2338260000000001</v>
      </c>
      <c r="T6015">
        <v>-0.2114075</v>
      </c>
      <c r="U6015">
        <v>-2.8859859999999999</v>
      </c>
      <c r="V6015">
        <v>-0.1025399</v>
      </c>
      <c r="W6015">
        <v>0.2001511</v>
      </c>
      <c r="X6015">
        <v>0.97438449999999999</v>
      </c>
      <c r="Y6015">
        <v>-0.2521004</v>
      </c>
      <c r="Z6015">
        <v>6.7741469999999998E-2</v>
      </c>
      <c r="AA6015">
        <v>0.96532709999999999</v>
      </c>
      <c r="AB6015">
        <v>24</v>
      </c>
      <c r="AC6015">
        <v>6.45749999999998</v>
      </c>
      <c r="AD6015">
        <v>-1.113323582981</v>
      </c>
      <c r="AE6015">
        <v>-14.964510000000001</v>
      </c>
      <c r="AF6015">
        <v>-4.15740843202137</v>
      </c>
      <c r="AG6015">
        <v>-1.113323582981</v>
      </c>
      <c r="AH6015">
        <v>15.680882807530599</v>
      </c>
      <c r="AI6015">
        <v>93.925925203905607</v>
      </c>
      <c r="AJ6015">
        <v>104.84896795960201</v>
      </c>
      <c r="AK6015">
        <v>16.260800100074199</v>
      </c>
      <c r="AL6015">
        <v>78.454205193598995</v>
      </c>
      <c r="AM6015">
        <v>96.007442125290098</v>
      </c>
      <c r="AN6015">
        <v>1.0000000238817299</v>
      </c>
    </row>
    <row r="6016" spans="1:40" x14ac:dyDescent="0.25">
      <c r="A6016" t="str">
        <f>"20190312173046518"</f>
        <v>20190312173046518</v>
      </c>
      <c r="B6016" t="str">
        <f>"1552383046513804"</f>
        <v>1552383046513804</v>
      </c>
      <c r="C6016" t="s">
        <v>40</v>
      </c>
      <c r="D6016">
        <v>3.240856</v>
      </c>
      <c r="E6016">
        <v>0.44937339999999998</v>
      </c>
      <c r="F6016" t="s">
        <v>54</v>
      </c>
      <c r="G6016">
        <v>-294.90280000000001</v>
      </c>
      <c r="H6016" s="1">
        <v>-8.3742119999999997E-6</v>
      </c>
      <c r="I6016">
        <v>-56.638390000000001</v>
      </c>
      <c r="J6016">
        <v>-300.14159999999998</v>
      </c>
      <c r="K6016">
        <v>1.113448</v>
      </c>
      <c r="L6016">
        <v>-44.112490000000001</v>
      </c>
      <c r="M6016">
        <v>0.15400339999999901</v>
      </c>
      <c r="N6016">
        <v>0</v>
      </c>
      <c r="O6016">
        <v>-0.98803759999999996</v>
      </c>
      <c r="P6016">
        <v>0.25002049999999998</v>
      </c>
      <c r="Q6016">
        <v>0.19298489999999999</v>
      </c>
      <c r="R6016">
        <v>-0.94881340000000003</v>
      </c>
      <c r="S6016">
        <v>1.1988829999999999</v>
      </c>
      <c r="T6016">
        <v>-0.25257980000000002</v>
      </c>
      <c r="U6016">
        <v>-2.9005130000000001</v>
      </c>
      <c r="V6016">
        <v>-0.10279050000000001</v>
      </c>
      <c r="W6016">
        <v>0.19988439999999999</v>
      </c>
      <c r="X6016">
        <v>0.97441279999999997</v>
      </c>
      <c r="Y6016">
        <v>-0.23384849999999999</v>
      </c>
      <c r="Z6016">
        <v>8.0731529999999996E-2</v>
      </c>
      <c r="AA6016">
        <v>0.96891550000000004</v>
      </c>
      <c r="AB6016">
        <v>24</v>
      </c>
      <c r="AC6016">
        <v>5.2387999999999604</v>
      </c>
      <c r="AD6016">
        <v>-1.1134563742120001</v>
      </c>
      <c r="AE6016">
        <v>-12.5259</v>
      </c>
      <c r="AF6016">
        <v>-3.22551224561338</v>
      </c>
      <c r="AG6016">
        <v>-1.1134563742120001</v>
      </c>
      <c r="AH6016">
        <v>13.0952086119814</v>
      </c>
      <c r="AI6016">
        <v>94.719646530905095</v>
      </c>
      <c r="AJ6016">
        <v>103.837216060298</v>
      </c>
      <c r="AK6016">
        <v>13.5324869456869</v>
      </c>
      <c r="AL6016">
        <v>78.469800652856094</v>
      </c>
      <c r="AM6016">
        <v>96.021842504340796</v>
      </c>
      <c r="AN6016">
        <v>0.99999998252872402</v>
      </c>
    </row>
    <row r="6017" spans="1:40" x14ac:dyDescent="0.25">
      <c r="A6017" t="str">
        <f>"20190312173046547"</f>
        <v>20190312173046547</v>
      </c>
      <c r="B6017" t="str">
        <f>"1552383046544061"</f>
        <v>1552383046544061</v>
      </c>
      <c r="C6017" t="s">
        <v>40</v>
      </c>
      <c r="D6017">
        <v>3.0867599999999999</v>
      </c>
      <c r="E6017">
        <v>0.43233650000000001</v>
      </c>
      <c r="F6017" t="s">
        <v>54</v>
      </c>
      <c r="G6017">
        <v>-294.88060000000002</v>
      </c>
      <c r="H6017" s="1">
        <v>-8.3851500000000005E-6</v>
      </c>
      <c r="I6017">
        <v>-56.609859999999998</v>
      </c>
      <c r="J6017">
        <v>-300.08550000000002</v>
      </c>
      <c r="K6017">
        <v>1.113607</v>
      </c>
      <c r="L6017">
        <v>-44.415990000000001</v>
      </c>
      <c r="M6017">
        <v>0.16167139999999999</v>
      </c>
      <c r="N6017">
        <v>0</v>
      </c>
      <c r="O6017">
        <v>-0.9868112</v>
      </c>
      <c r="P6017">
        <v>0.25769959999999997</v>
      </c>
      <c r="Q6017">
        <v>0.1929805</v>
      </c>
      <c r="R6017">
        <v>-0.94675730000000002</v>
      </c>
      <c r="S6017">
        <v>1.2179869999999999</v>
      </c>
      <c r="T6017">
        <v>-0.25778010000000001</v>
      </c>
      <c r="U6017">
        <v>-2.8933110000000002</v>
      </c>
      <c r="V6017">
        <v>-0.1031992</v>
      </c>
      <c r="W6017">
        <v>0.19991139999999999</v>
      </c>
      <c r="X6017">
        <v>0.97436400000000001</v>
      </c>
      <c r="Y6017">
        <v>-0.23254630000000001</v>
      </c>
      <c r="Z6017">
        <v>8.233E-2</v>
      </c>
      <c r="AA6017">
        <v>0.96909440000000002</v>
      </c>
      <c r="AB6017">
        <v>24</v>
      </c>
      <c r="AC6017">
        <v>5.2049000000000003</v>
      </c>
      <c r="AD6017">
        <v>-1.1136153851499999</v>
      </c>
      <c r="AE6017">
        <v>-12.193869999999899</v>
      </c>
      <c r="AF6017">
        <v>-3.1427856754265799</v>
      </c>
      <c r="AG6017">
        <v>-1.1136153851499999</v>
      </c>
      <c r="AH6017">
        <v>12.784759370432401</v>
      </c>
      <c r="AI6017">
        <v>94.834949537164604</v>
      </c>
      <c r="AJ6017">
        <v>103.81076706242401</v>
      </c>
      <c r="AK6017">
        <v>13.212392409687499</v>
      </c>
      <c r="AL6017">
        <v>78.468221111654699</v>
      </c>
      <c r="AM6017">
        <v>96.045909213892998</v>
      </c>
      <c r="AN6017">
        <v>0.99999992361329704</v>
      </c>
    </row>
    <row r="6018" spans="1:40" x14ac:dyDescent="0.25">
      <c r="A6018" t="str">
        <f>"20190312173046572"</f>
        <v>20190312173046572</v>
      </c>
      <c r="B6018" t="str">
        <f>"1552383046563581"</f>
        <v>1552383046563581</v>
      </c>
      <c r="C6018" t="s">
        <v>40</v>
      </c>
      <c r="D6018">
        <v>3.0482849999999999</v>
      </c>
      <c r="E6018">
        <v>0.42575960000000002</v>
      </c>
      <c r="F6018" t="s">
        <v>54</v>
      </c>
      <c r="G6018">
        <v>-293.37479999999999</v>
      </c>
      <c r="H6018" s="1">
        <v>-8.7600579999999995E-6</v>
      </c>
      <c r="I6018">
        <v>-58.33746</v>
      </c>
      <c r="J6018">
        <v>-300.03379999999999</v>
      </c>
      <c r="K6018">
        <v>1.1137570000000001</v>
      </c>
      <c r="L6018">
        <v>-44.683259999999997</v>
      </c>
      <c r="M6018">
        <v>0.16865849999999999</v>
      </c>
      <c r="N6018">
        <v>0</v>
      </c>
      <c r="O6018">
        <v>-0.98564050000000003</v>
      </c>
      <c r="P6018">
        <v>0.26427430000000002</v>
      </c>
      <c r="Q6018">
        <v>0.19281309999999999</v>
      </c>
      <c r="R6018">
        <v>-0.94497730000000002</v>
      </c>
      <c r="S6018">
        <v>1.370026</v>
      </c>
      <c r="T6018">
        <v>-0.22734979999999999</v>
      </c>
      <c r="U6018">
        <v>-2.842133</v>
      </c>
      <c r="V6018">
        <v>-0.1031353</v>
      </c>
      <c r="W6018">
        <v>0.1997699</v>
      </c>
      <c r="X6018">
        <v>0.97439989999999999</v>
      </c>
      <c r="Y6018">
        <v>-0.2749183</v>
      </c>
      <c r="Z6018">
        <v>7.254592E-2</v>
      </c>
      <c r="AA6018">
        <v>0.95872679999999999</v>
      </c>
      <c r="AB6018">
        <v>24</v>
      </c>
      <c r="AC6018">
        <v>6.65899999999999</v>
      </c>
      <c r="AD6018">
        <v>-1.113765760058</v>
      </c>
      <c r="AE6018">
        <v>-13.654199999999999</v>
      </c>
      <c r="AF6018">
        <v>-4.2378471142518004</v>
      </c>
      <c r="AG6018">
        <v>-1.113765760058</v>
      </c>
      <c r="AH6018">
        <v>14.503758924499101</v>
      </c>
      <c r="AI6018">
        <v>94.215619371396997</v>
      </c>
      <c r="AJ6018">
        <v>106.287812215597</v>
      </c>
      <c r="AK6018">
        <v>15.1511994664461</v>
      </c>
      <c r="AL6018">
        <v>78.4764966605306</v>
      </c>
      <c r="AM6018">
        <v>96.041972376936101</v>
      </c>
      <c r="AN6018">
        <v>1.00000003408605</v>
      </c>
    </row>
    <row r="6019" spans="1:40" x14ac:dyDescent="0.25">
      <c r="A6019" t="str">
        <f>"20190312173046594"</f>
        <v>20190312173046594</v>
      </c>
      <c r="B6019" t="str">
        <f>"1552383046584077"</f>
        <v>1552383046584077</v>
      </c>
      <c r="C6019" t="s">
        <v>40</v>
      </c>
      <c r="D6019">
        <v>3.0274040000000002</v>
      </c>
      <c r="E6019">
        <v>0.42255880000000001</v>
      </c>
      <c r="F6019" t="s">
        <v>54</v>
      </c>
      <c r="G6019">
        <v>-292.47910000000002</v>
      </c>
      <c r="H6019" s="1">
        <v>-8.9732189999999994E-6</v>
      </c>
      <c r="I6019">
        <v>-59.46378</v>
      </c>
      <c r="J6019">
        <v>-299.98489999999998</v>
      </c>
      <c r="K6019">
        <v>1.1138920000000001</v>
      </c>
      <c r="L6019">
        <v>-44.92633</v>
      </c>
      <c r="M6019">
        <v>0.1751703</v>
      </c>
      <c r="N6019">
        <v>0</v>
      </c>
      <c r="O6019">
        <v>-0.98450369999999998</v>
      </c>
      <c r="P6019">
        <v>0.27077119999999999</v>
      </c>
      <c r="Q6019">
        <v>0.1925695</v>
      </c>
      <c r="R6019">
        <v>-0.94318659999999999</v>
      </c>
      <c r="S6019">
        <v>1.439087</v>
      </c>
      <c r="T6019">
        <v>-0.21215980000000001</v>
      </c>
      <c r="U6019">
        <v>-2.8155209999999999</v>
      </c>
      <c r="V6019">
        <v>-0.103452</v>
      </c>
      <c r="W6019">
        <v>0.19954369999999999</v>
      </c>
      <c r="X6019">
        <v>0.97441259999999996</v>
      </c>
      <c r="Y6019">
        <v>-0.29105140000000002</v>
      </c>
      <c r="Z6019">
        <v>6.7660349999999994E-2</v>
      </c>
      <c r="AA6019">
        <v>0.95431189999999999</v>
      </c>
      <c r="AB6019">
        <v>25</v>
      </c>
      <c r="AC6019">
        <v>7.5057999999999598</v>
      </c>
      <c r="AD6019">
        <v>-1.1139009732189999</v>
      </c>
      <c r="AE6019">
        <v>-14.53745</v>
      </c>
      <c r="AF6019">
        <v>-4.8207764782424398</v>
      </c>
      <c r="AG6019">
        <v>-1.1139009732189999</v>
      </c>
      <c r="AH6019">
        <v>15.5553912819947</v>
      </c>
      <c r="AI6019">
        <v>93.912895880580393</v>
      </c>
      <c r="AJ6019">
        <v>107.218748916099</v>
      </c>
      <c r="AK6019">
        <v>16.3233225529385</v>
      </c>
      <c r="AL6019">
        <v>78.489722404447605</v>
      </c>
      <c r="AM6019">
        <v>96.060309338755502</v>
      </c>
      <c r="AN6019">
        <v>0.99999995977622402</v>
      </c>
    </row>
    <row r="6020" spans="1:40" x14ac:dyDescent="0.25">
      <c r="A6020" t="str">
        <f>"20190312173046616"</f>
        <v>20190312173046616</v>
      </c>
      <c r="B6020" t="str">
        <f>"1552383046613357"</f>
        <v>1552383046613357</v>
      </c>
      <c r="C6020" t="s">
        <v>40</v>
      </c>
      <c r="D6020">
        <v>3.2099069999999998</v>
      </c>
      <c r="E6020">
        <v>0.42146460000000002</v>
      </c>
      <c r="F6020" t="s">
        <v>54</v>
      </c>
      <c r="G6020">
        <v>-291.7912</v>
      </c>
      <c r="H6020" s="1">
        <v>-1.0364509999999999E-5</v>
      </c>
      <c r="I6020">
        <v>-60.38935</v>
      </c>
      <c r="J6020">
        <v>-299.93709999999999</v>
      </c>
      <c r="K6020">
        <v>1.114017</v>
      </c>
      <c r="L6020">
        <v>-45.155819999999999</v>
      </c>
      <c r="M6020">
        <v>0.181477</v>
      </c>
      <c r="N6020">
        <v>0</v>
      </c>
      <c r="O6020">
        <v>-0.98336029999999996</v>
      </c>
      <c r="P6020">
        <v>0.27698040000000002</v>
      </c>
      <c r="Q6020">
        <v>0.1926109</v>
      </c>
      <c r="R6020">
        <v>-0.94137280000000001</v>
      </c>
      <c r="S6020">
        <v>1.4818119999999999</v>
      </c>
      <c r="T6020">
        <v>-0.2014464</v>
      </c>
      <c r="U6020">
        <v>-2.7964479999999998</v>
      </c>
      <c r="V6020">
        <v>-0.10368910000000001</v>
      </c>
      <c r="W6020">
        <v>0.19959940000000001</v>
      </c>
      <c r="X6020">
        <v>0.97437600000000002</v>
      </c>
      <c r="Y6020">
        <v>-0.29910700000000001</v>
      </c>
      <c r="Z6020">
        <v>6.4237699999999995E-2</v>
      </c>
      <c r="AA6020">
        <v>0.95205490000000004</v>
      </c>
      <c r="AB6020">
        <v>25</v>
      </c>
      <c r="AC6020">
        <v>8.1458999999999797</v>
      </c>
      <c r="AD6020">
        <v>-1.1140273645100001</v>
      </c>
      <c r="AE6020">
        <v>-15.23353</v>
      </c>
      <c r="AF6020">
        <v>-5.2242725595994104</v>
      </c>
      <c r="AG6020">
        <v>-1.1140273645100001</v>
      </c>
      <c r="AH6020">
        <v>16.3907407981877</v>
      </c>
      <c r="AI6020">
        <v>93.705132862947295</v>
      </c>
      <c r="AJ6020">
        <v>107.67880494424899</v>
      </c>
      <c r="AK6020">
        <v>17.239212994195402</v>
      </c>
      <c r="AL6020">
        <v>78.486465626636701</v>
      </c>
      <c r="AM6020">
        <v>96.074321601912999</v>
      </c>
      <c r="AN6020">
        <v>0.99999996965758398</v>
      </c>
    </row>
    <row r="6021" spans="1:40" x14ac:dyDescent="0.25">
      <c r="A6021" t="str">
        <f>"20190312173046645"</f>
        <v>20190312173046645</v>
      </c>
      <c r="B6021" t="str">
        <f>"1552383046633856"</f>
        <v>1552383046633856</v>
      </c>
      <c r="C6021" t="s">
        <v>40</v>
      </c>
      <c r="D6021">
        <v>3.198493</v>
      </c>
      <c r="E6021">
        <v>0.42226150000000001</v>
      </c>
      <c r="F6021" t="s">
        <v>54</v>
      </c>
      <c r="G6021">
        <v>-291.44349999999997</v>
      </c>
      <c r="H6021" s="1">
        <v>-1.035498E-5</v>
      </c>
      <c r="I6021">
        <v>-60.829799999999999</v>
      </c>
      <c r="J6021">
        <v>-299.8689</v>
      </c>
      <c r="K6021">
        <v>1.1141909999999999</v>
      </c>
      <c r="L6021">
        <v>-45.469970000000004</v>
      </c>
      <c r="M6021">
        <v>0.19037200000000001</v>
      </c>
      <c r="N6021">
        <v>0</v>
      </c>
      <c r="O6021">
        <v>-0.98167649999999995</v>
      </c>
      <c r="P6021">
        <v>0.28579749999999998</v>
      </c>
      <c r="Q6021">
        <v>0.19311139999999999</v>
      </c>
      <c r="R6021">
        <v>-0.93863110000000005</v>
      </c>
      <c r="S6021">
        <v>1.508362</v>
      </c>
      <c r="T6021">
        <v>-0.19783770000000001</v>
      </c>
      <c r="U6021">
        <v>-2.7835079999999999</v>
      </c>
      <c r="V6021">
        <v>-0.1041188</v>
      </c>
      <c r="W6021">
        <v>0.2001165</v>
      </c>
      <c r="X6021">
        <v>0.97422410000000004</v>
      </c>
      <c r="Y6021">
        <v>-0.29938320000000002</v>
      </c>
      <c r="Z6021">
        <v>6.3050770000000006E-2</v>
      </c>
      <c r="AA6021">
        <v>0.95204750000000005</v>
      </c>
      <c r="AB6021">
        <v>25</v>
      </c>
      <c r="AC6021">
        <v>8.4254000000000193</v>
      </c>
      <c r="AD6021">
        <v>-1.1142013549799901</v>
      </c>
      <c r="AE6021">
        <v>-15.359829999999899</v>
      </c>
      <c r="AF6021">
        <v>-5.3255803719280896</v>
      </c>
      <c r="AG6021">
        <v>-1.1142013549799901</v>
      </c>
      <c r="AH6021">
        <v>16.615716388455599</v>
      </c>
      <c r="AI6021">
        <v>93.653788859309302</v>
      </c>
      <c r="AJ6021">
        <v>107.771415408095</v>
      </c>
      <c r="AK6021">
        <v>17.483857756768</v>
      </c>
      <c r="AL6021">
        <v>78.456227903982196</v>
      </c>
      <c r="AM6021">
        <v>96.100248784554196</v>
      </c>
      <c r="AN6021">
        <v>0.99999996755324905</v>
      </c>
    </row>
    <row r="6022" spans="1:40" x14ac:dyDescent="0.25">
      <c r="A6022" t="str">
        <f>"20190312173046669"</f>
        <v>20190312173046669</v>
      </c>
      <c r="B6022" t="str">
        <f>"1552383046664109"</f>
        <v>1552383046664109</v>
      </c>
      <c r="C6022" t="s">
        <v>40</v>
      </c>
      <c r="D6022">
        <v>3.227325</v>
      </c>
      <c r="E6022">
        <v>0.42327169999999997</v>
      </c>
      <c r="F6022" t="s">
        <v>54</v>
      </c>
      <c r="G6022">
        <v>-291.25990000000002</v>
      </c>
      <c r="H6022" s="1">
        <v>-1.0352250000000001E-5</v>
      </c>
      <c r="I6022">
        <v>-61.072749999999999</v>
      </c>
      <c r="J6022">
        <v>-299.80869999999999</v>
      </c>
      <c r="K6022">
        <v>1.1143609999999999</v>
      </c>
      <c r="L6022">
        <v>-45.734470000000002</v>
      </c>
      <c r="M6022">
        <v>0.19812199999999999</v>
      </c>
      <c r="N6022">
        <v>0</v>
      </c>
      <c r="O6022">
        <v>-0.98014129999999999</v>
      </c>
      <c r="P6022">
        <v>0.29336420000000002</v>
      </c>
      <c r="Q6022">
        <v>0.1928279</v>
      </c>
      <c r="R6022">
        <v>-0.93635210000000002</v>
      </c>
      <c r="S6022">
        <v>1.529083</v>
      </c>
      <c r="T6022">
        <v>-0.19789760000000001</v>
      </c>
      <c r="U6022">
        <v>-2.771271</v>
      </c>
      <c r="V6022">
        <v>-0.1043476</v>
      </c>
      <c r="W6022">
        <v>0.1998521</v>
      </c>
      <c r="X6022">
        <v>0.97425399999999995</v>
      </c>
      <c r="Y6022">
        <v>-0.29907929999999999</v>
      </c>
      <c r="Z6022">
        <v>6.3062140000000003E-2</v>
      </c>
      <c r="AA6022">
        <v>0.95214219999999905</v>
      </c>
      <c r="AB6022">
        <v>25</v>
      </c>
      <c r="AC6022">
        <v>8.5487999999999698</v>
      </c>
      <c r="AD6022">
        <v>-1.1143713522499901</v>
      </c>
      <c r="AE6022">
        <v>-15.3382799999999</v>
      </c>
      <c r="AF6022">
        <v>-5.3189485767900999</v>
      </c>
      <c r="AG6022">
        <v>-1.1143713522499901</v>
      </c>
      <c r="AH6022">
        <v>16.660878654989599</v>
      </c>
      <c r="AI6022">
        <v>93.645802238799305</v>
      </c>
      <c r="AJ6022">
        <v>107.705567621195</v>
      </c>
      <c r="AK6022">
        <v>17.524780027993</v>
      </c>
      <c r="AL6022">
        <v>78.471690438889198</v>
      </c>
      <c r="AM6022">
        <v>96.113366407492407</v>
      </c>
      <c r="AN6022">
        <v>1.00000007000808</v>
      </c>
    </row>
    <row r="6023" spans="1:40" x14ac:dyDescent="0.25">
      <c r="A6023" t="str">
        <f>"20190312173046694"</f>
        <v>20190312173046694</v>
      </c>
      <c r="B6023" t="str">
        <f>"1552383046683629"</f>
        <v>1552383046683629</v>
      </c>
      <c r="C6023" t="s">
        <v>40</v>
      </c>
      <c r="D6023">
        <v>3.2007699999999999</v>
      </c>
      <c r="E6023">
        <v>0.42389979999999999</v>
      </c>
      <c r="F6023" t="s">
        <v>54</v>
      </c>
      <c r="G6023">
        <v>-291.22250000000003</v>
      </c>
      <c r="H6023" s="1">
        <v>-1.03433E-5</v>
      </c>
      <c r="I6023">
        <v>-61.084169999999901</v>
      </c>
      <c r="J6023">
        <v>-299.7473</v>
      </c>
      <c r="K6023">
        <v>1.114506</v>
      </c>
      <c r="L6023">
        <v>-45.994349999999997</v>
      </c>
      <c r="M6023">
        <v>0.2059194</v>
      </c>
      <c r="N6023">
        <v>0</v>
      </c>
      <c r="O6023">
        <v>-0.97853219999999996</v>
      </c>
      <c r="P6023">
        <v>0.30157390000000001</v>
      </c>
      <c r="Q6023">
        <v>0.1930163</v>
      </c>
      <c r="R6023">
        <v>-0.93370089999999994</v>
      </c>
      <c r="S6023">
        <v>1.544586</v>
      </c>
      <c r="T6023">
        <v>-0.2004668</v>
      </c>
      <c r="U6023">
        <v>-2.7612920000000001</v>
      </c>
      <c r="V6023">
        <v>-0.10522960000000001</v>
      </c>
      <c r="W6023">
        <v>0.20004839999999999</v>
      </c>
      <c r="X6023">
        <v>0.97411879999999995</v>
      </c>
      <c r="Y6023">
        <v>-0.2969927</v>
      </c>
      <c r="Z6023">
        <v>6.3861189999999998E-2</v>
      </c>
      <c r="AA6023">
        <v>0.95274190000000003</v>
      </c>
      <c r="AB6023">
        <v>25</v>
      </c>
      <c r="AC6023">
        <v>8.5247999999999706</v>
      </c>
      <c r="AD6023">
        <v>-1.1145163433</v>
      </c>
      <c r="AE6023">
        <v>-15.0898199999999</v>
      </c>
      <c r="AF6023">
        <v>-5.2131349099962101</v>
      </c>
      <c r="AG6023">
        <v>-1.1145163433</v>
      </c>
      <c r="AH6023">
        <v>16.453848766190099</v>
      </c>
      <c r="AI6023">
        <v>93.694596275188502</v>
      </c>
      <c r="AJ6023">
        <v>107.579960004746</v>
      </c>
      <c r="AK6023">
        <v>17.2958972444323</v>
      </c>
      <c r="AL6023">
        <v>78.460211048768301</v>
      </c>
      <c r="AM6023">
        <v>96.165492541420505</v>
      </c>
      <c r="AN6023">
        <v>1.0000000337860699</v>
      </c>
    </row>
    <row r="6024" spans="1:40" x14ac:dyDescent="0.25">
      <c r="A6024" t="str">
        <f>"20190312173046716"</f>
        <v>20190312173046716</v>
      </c>
      <c r="B6024" t="str">
        <f>"1552383046713886"</f>
        <v>1552383046713886</v>
      </c>
      <c r="C6024" t="s">
        <v>40</v>
      </c>
      <c r="D6024">
        <v>3.2077279999999999</v>
      </c>
      <c r="E6024">
        <v>0.4247437</v>
      </c>
      <c r="F6024" t="s">
        <v>54</v>
      </c>
      <c r="G6024">
        <v>-291.12130000000002</v>
      </c>
      <c r="H6024" s="1">
        <v>-1.0328470000000001E-5</v>
      </c>
      <c r="I6024">
        <v>-61.157879999999999</v>
      </c>
      <c r="J6024">
        <v>-299.68950000000001</v>
      </c>
      <c r="K6024">
        <v>1.114641</v>
      </c>
      <c r="L6024">
        <v>-46.230289999999997</v>
      </c>
      <c r="M6024">
        <v>0.2131719</v>
      </c>
      <c r="N6024">
        <v>0</v>
      </c>
      <c r="O6024">
        <v>-0.97697750000000005</v>
      </c>
      <c r="P6024">
        <v>0.30851830000000002</v>
      </c>
      <c r="Q6024">
        <v>0.19308249999999999</v>
      </c>
      <c r="R6024">
        <v>-0.93141600000000002</v>
      </c>
      <c r="S6024">
        <v>1.5641480000000001</v>
      </c>
      <c r="T6024">
        <v>-0.2020931</v>
      </c>
      <c r="U6024">
        <v>-2.7495729999999998</v>
      </c>
      <c r="V6024">
        <v>-0.10532859999999999</v>
      </c>
      <c r="W6024">
        <v>0.20013010000000001</v>
      </c>
      <c r="X6024">
        <v>0.97409129999999999</v>
      </c>
      <c r="Y6024">
        <v>-0.29675980000000002</v>
      </c>
      <c r="Z6024">
        <v>6.4359079999999999E-2</v>
      </c>
      <c r="AA6024">
        <v>0.95278090000000004</v>
      </c>
      <c r="AB6024">
        <v>25</v>
      </c>
      <c r="AC6024">
        <v>8.5681999999999903</v>
      </c>
      <c r="AD6024">
        <v>-1.1146513284699999</v>
      </c>
      <c r="AE6024">
        <v>-14.92759</v>
      </c>
      <c r="AF6024">
        <v>-5.1673130340445503</v>
      </c>
      <c r="AG6024">
        <v>-1.1146513284699999</v>
      </c>
      <c r="AH6024">
        <v>16.3424759644824</v>
      </c>
      <c r="AI6024">
        <v>93.720841550270407</v>
      </c>
      <c r="AJ6024">
        <v>107.546387443</v>
      </c>
      <c r="AK6024">
        <v>17.176148934657999</v>
      </c>
      <c r="AL6024">
        <v>78.455433157663904</v>
      </c>
      <c r="AM6024">
        <v>96.171421178355601</v>
      </c>
      <c r="AN6024">
        <v>1.0000000158198299</v>
      </c>
    </row>
    <row r="6025" spans="1:40" x14ac:dyDescent="0.25">
      <c r="A6025" t="str">
        <f>"20190312173046746"</f>
        <v>20190312173046746</v>
      </c>
      <c r="B6025" t="str">
        <f>"1552383046733405"</f>
        <v>1552383046733405</v>
      </c>
      <c r="C6025" t="s">
        <v>40</v>
      </c>
      <c r="D6025">
        <v>3.2153849999999999</v>
      </c>
      <c r="E6025">
        <v>0.4251067</v>
      </c>
      <c r="F6025" t="s">
        <v>54</v>
      </c>
      <c r="G6025">
        <v>-291.05290000000002</v>
      </c>
      <c r="H6025" s="1">
        <v>-1.032136E-5</v>
      </c>
      <c r="I6025">
        <v>-61.220779999999998</v>
      </c>
      <c r="J6025">
        <v>-299.61110000000002</v>
      </c>
      <c r="K6025">
        <v>1.114841</v>
      </c>
      <c r="L6025">
        <v>-46.537990000000001</v>
      </c>
      <c r="M6025">
        <v>0.22289970000000001</v>
      </c>
      <c r="N6025">
        <v>0</v>
      </c>
      <c r="O6025">
        <v>-0.97480330000000004</v>
      </c>
      <c r="P6025">
        <v>0.3177352</v>
      </c>
      <c r="Q6025">
        <v>0.19328480000000001</v>
      </c>
      <c r="R6025">
        <v>-0.92827000000000004</v>
      </c>
      <c r="S6025">
        <v>1.578735</v>
      </c>
      <c r="T6025">
        <v>-0.20375389999999999</v>
      </c>
      <c r="U6025">
        <v>-2.7402039999999999</v>
      </c>
      <c r="V6025">
        <v>-0.10537820000000001</v>
      </c>
      <c r="W6025">
        <v>0.20036599999999999</v>
      </c>
      <c r="X6025">
        <v>0.97403740000000005</v>
      </c>
      <c r="Y6025">
        <v>-0.29243920000000001</v>
      </c>
      <c r="Z6025">
        <v>6.4826380000000003E-2</v>
      </c>
      <c r="AA6025">
        <v>0.9540843</v>
      </c>
      <c r="AB6025">
        <v>25</v>
      </c>
      <c r="AC6025">
        <v>8.5581999999999994</v>
      </c>
      <c r="AD6025">
        <v>-1.11485132136</v>
      </c>
      <c r="AE6025">
        <v>-14.682790000000001</v>
      </c>
      <c r="AF6025">
        <v>-5.0482365491472798</v>
      </c>
      <c r="AG6025">
        <v>-1.11485132136</v>
      </c>
      <c r="AH6025">
        <v>16.151550516308099</v>
      </c>
      <c r="AI6025">
        <v>93.769279314440197</v>
      </c>
      <c r="AJ6025">
        <v>107.35685890662801</v>
      </c>
      <c r="AK6025">
        <v>16.9587785469867</v>
      </c>
      <c r="AL6025">
        <v>78.441637213260904</v>
      </c>
      <c r="AM6025">
        <v>96.174643930210294</v>
      </c>
      <c r="AN6025">
        <v>0.99999997779499905</v>
      </c>
    </row>
    <row r="6026" spans="1:40" x14ac:dyDescent="0.25">
      <c r="A6026" t="str">
        <f>"20190312173046780"</f>
        <v>20190312173046780</v>
      </c>
      <c r="B6026" t="str">
        <f>"1552383046773421"</f>
        <v>1552383046773421</v>
      </c>
      <c r="C6026" t="s">
        <v>40</v>
      </c>
      <c r="D6026">
        <v>3.0970810000000002</v>
      </c>
      <c r="E6026">
        <v>0.4256993</v>
      </c>
      <c r="F6026" t="s">
        <v>54</v>
      </c>
      <c r="G6026">
        <v>-290.83190000000002</v>
      </c>
      <c r="H6026" s="1">
        <v>-1.029952E-5</v>
      </c>
      <c r="I6026">
        <v>-61.460279999999997</v>
      </c>
      <c r="J6026">
        <v>-299.51089999999999</v>
      </c>
      <c r="K6026">
        <v>1.1150880000000001</v>
      </c>
      <c r="L6026">
        <v>-46.911380000000001</v>
      </c>
      <c r="M6026">
        <v>0.23514379999999999</v>
      </c>
      <c r="N6026">
        <v>0</v>
      </c>
      <c r="O6026">
        <v>-0.97192140000000005</v>
      </c>
      <c r="P6026">
        <v>0.32957509999999901</v>
      </c>
      <c r="Q6026">
        <v>0.1930518</v>
      </c>
      <c r="R6026">
        <v>-0.92418180000000005</v>
      </c>
      <c r="S6026">
        <v>1.603424</v>
      </c>
      <c r="T6026">
        <v>-0.20361389999999999</v>
      </c>
      <c r="U6026">
        <v>-2.7253720000000001</v>
      </c>
      <c r="V6026">
        <v>-0.1056792</v>
      </c>
      <c r="W6026">
        <v>0.2001983</v>
      </c>
      <c r="X6026">
        <v>0.97403930000000005</v>
      </c>
      <c r="Y6026">
        <v>-0.28910249999999998</v>
      </c>
      <c r="Z6026">
        <v>6.4696069999999994E-2</v>
      </c>
      <c r="AA6026">
        <v>0.95510949999999994</v>
      </c>
      <c r="AB6026">
        <v>25</v>
      </c>
      <c r="AC6026">
        <v>8.6789999999999701</v>
      </c>
      <c r="AD6026">
        <v>-1.1150982995199901</v>
      </c>
      <c r="AE6026">
        <v>-14.5489</v>
      </c>
      <c r="AF6026">
        <v>-4.9927813624891302</v>
      </c>
      <c r="AG6026">
        <v>-1.1150982995199901</v>
      </c>
      <c r="AH6026">
        <v>16.112009412651201</v>
      </c>
      <c r="AI6026">
        <v>93.782198563246595</v>
      </c>
      <c r="AJ6026">
        <v>107.217136962928</v>
      </c>
      <c r="AK6026">
        <v>16.904678561409298</v>
      </c>
      <c r="AL6026">
        <v>78.451444748821302</v>
      </c>
      <c r="AM6026">
        <v>96.192132244791594</v>
      </c>
      <c r="AN6026">
        <v>1.00000000529001</v>
      </c>
    </row>
    <row r="6027" spans="1:40" x14ac:dyDescent="0.25">
      <c r="A6027" t="str">
        <f>"20190312173046805"</f>
        <v>20190312173046805</v>
      </c>
      <c r="B6027" t="str">
        <f>"1552383046793918"</f>
        <v>1552383046793918</v>
      </c>
      <c r="C6027" t="s">
        <v>40</v>
      </c>
      <c r="D6027">
        <v>3.0996709999999998</v>
      </c>
      <c r="E6027">
        <v>0.42595420000000001</v>
      </c>
      <c r="F6027" t="s">
        <v>54</v>
      </c>
      <c r="G6027">
        <v>-290.62450000000001</v>
      </c>
      <c r="H6027" s="1">
        <v>-1.0260569999999999E-5</v>
      </c>
      <c r="I6027">
        <v>-61.630110000000002</v>
      </c>
      <c r="J6027">
        <v>-299.43490000000003</v>
      </c>
      <c r="K6027">
        <v>1.1152580000000001</v>
      </c>
      <c r="L6027">
        <v>-47.182040000000001</v>
      </c>
      <c r="M6027">
        <v>0.24427099999999999</v>
      </c>
      <c r="N6027">
        <v>0</v>
      </c>
      <c r="O6027">
        <v>-0.96966669999999999</v>
      </c>
      <c r="P6027">
        <v>0.33844940000000001</v>
      </c>
      <c r="Q6027">
        <v>0.19353049999999999</v>
      </c>
      <c r="R6027">
        <v>-0.92086809999999997</v>
      </c>
      <c r="S6027">
        <v>1.6339109999999999</v>
      </c>
      <c r="T6027">
        <v>-0.2050283</v>
      </c>
      <c r="U6027">
        <v>-2.7062680000000001</v>
      </c>
      <c r="V6027">
        <v>-0.1060031</v>
      </c>
      <c r="W6027">
        <v>0.20073269999999999</v>
      </c>
      <c r="X6027">
        <v>0.97389409999999998</v>
      </c>
      <c r="Y6027">
        <v>-0.2909544</v>
      </c>
      <c r="Z6027">
        <v>6.5117620000000001E-2</v>
      </c>
      <c r="AA6027">
        <v>0.95451830000000004</v>
      </c>
      <c r="AB6027">
        <v>25</v>
      </c>
      <c r="AC6027">
        <v>8.8104000000000102</v>
      </c>
      <c r="AD6027">
        <v>-1.1152682605699999</v>
      </c>
      <c r="AE6027">
        <v>-14.4480699999999</v>
      </c>
      <c r="AF6027">
        <v>-4.99241881720355</v>
      </c>
      <c r="AG6027">
        <v>-1.1152682605699999</v>
      </c>
      <c r="AH6027">
        <v>16.092672140528901</v>
      </c>
      <c r="AI6027">
        <v>93.786931941921296</v>
      </c>
      <c r="AJ6027">
        <v>107.23542278725201</v>
      </c>
      <c r="AK6027">
        <v>16.886153071731801</v>
      </c>
      <c r="AL6027">
        <v>78.420191357539196</v>
      </c>
      <c r="AM6027">
        <v>96.2118813979626</v>
      </c>
      <c r="AN6027">
        <v>0.99999999603685497</v>
      </c>
    </row>
    <row r="6028" spans="1:40" x14ac:dyDescent="0.25">
      <c r="A6028" t="str">
        <f>"20190312173046826"</f>
        <v>20190312173046826</v>
      </c>
      <c r="B6028" t="str">
        <f>"1552383046813437"</f>
        <v>1552383046813437</v>
      </c>
      <c r="C6028" t="s">
        <v>40</v>
      </c>
      <c r="D6028">
        <v>3.0935670000000002</v>
      </c>
      <c r="E6028">
        <v>0.42633569999999998</v>
      </c>
      <c r="F6028" t="s">
        <v>54</v>
      </c>
      <c r="G6028">
        <v>-290.3646</v>
      </c>
      <c r="H6028" s="1">
        <v>-1.0222719999999999E-5</v>
      </c>
      <c r="I6028">
        <v>-61.901470000000003</v>
      </c>
      <c r="J6028">
        <v>-299.3698</v>
      </c>
      <c r="K6028">
        <v>1.115413</v>
      </c>
      <c r="L6028">
        <v>-47.405610000000003</v>
      </c>
      <c r="M6028">
        <v>0.25200549999999999</v>
      </c>
      <c r="N6028">
        <v>0</v>
      </c>
      <c r="O6028">
        <v>-0.96768430000000005</v>
      </c>
      <c r="P6028">
        <v>0.34573350000000003</v>
      </c>
      <c r="Q6028">
        <v>0.1938764</v>
      </c>
      <c r="R6028">
        <v>-0.91808520000000005</v>
      </c>
      <c r="S6028">
        <v>1.658325</v>
      </c>
      <c r="T6028">
        <v>-0.20390510000000001</v>
      </c>
      <c r="U6028">
        <v>-2.6911619999999998</v>
      </c>
      <c r="V6028">
        <v>-0.1060344</v>
      </c>
      <c r="W6028">
        <v>0.2011462</v>
      </c>
      <c r="X6028">
        <v>0.97380540000000004</v>
      </c>
      <c r="Y6028">
        <v>-0.29199809999999998</v>
      </c>
      <c r="Z6028">
        <v>6.4721920000000002E-2</v>
      </c>
      <c r="AA6028">
        <v>0.95422640000000003</v>
      </c>
      <c r="AB6028">
        <v>25</v>
      </c>
      <c r="AC6028">
        <v>9.0052000000000003</v>
      </c>
      <c r="AD6028">
        <v>-1.1154232227200001</v>
      </c>
      <c r="AE6028">
        <v>-14.49586</v>
      </c>
      <c r="AF6028">
        <v>-5.0398262805866603</v>
      </c>
      <c r="AG6028">
        <v>-1.1154232227200001</v>
      </c>
      <c r="AH6028">
        <v>16.228100721297402</v>
      </c>
      <c r="AI6028">
        <v>93.755587536880697</v>
      </c>
      <c r="AJ6028">
        <v>107.25279207259899</v>
      </c>
      <c r="AK6028">
        <v>17.029247514932901</v>
      </c>
      <c r="AL6028">
        <v>78.396006575458998</v>
      </c>
      <c r="AM6028">
        <v>96.214262814490894</v>
      </c>
      <c r="AN6028">
        <v>1.00000002241347</v>
      </c>
    </row>
    <row r="6029" spans="1:40" x14ac:dyDescent="0.25">
      <c r="A6029" t="str">
        <f>"20190312173046849"</f>
        <v>20190312173046849</v>
      </c>
      <c r="B6029" t="str">
        <f>"1552383046843693"</f>
        <v>1552383046843693</v>
      </c>
      <c r="C6029" t="s">
        <v>40</v>
      </c>
      <c r="D6029">
        <v>3.3709690000000001</v>
      </c>
      <c r="E6029">
        <v>0.42694359999999998</v>
      </c>
      <c r="F6029" t="s">
        <v>54</v>
      </c>
      <c r="G6029">
        <v>-290.18369999999999</v>
      </c>
      <c r="H6029" s="1">
        <v>-1.019355E-5</v>
      </c>
      <c r="I6029">
        <v>-62.07526</v>
      </c>
      <c r="J6029">
        <v>-299.29570000000001</v>
      </c>
      <c r="K6029">
        <v>1.115583</v>
      </c>
      <c r="L6029">
        <v>-47.651249999999997</v>
      </c>
      <c r="M6029">
        <v>0.26068980000000003</v>
      </c>
      <c r="N6029">
        <v>0</v>
      </c>
      <c r="O6029">
        <v>-0.96538000000000002</v>
      </c>
      <c r="P6029">
        <v>0.35448770000000002</v>
      </c>
      <c r="Q6029">
        <v>0.1940489</v>
      </c>
      <c r="R6029">
        <v>-0.91470419999999997</v>
      </c>
      <c r="S6029">
        <v>1.67755099999999</v>
      </c>
      <c r="T6029">
        <v>-0.2036973</v>
      </c>
      <c r="U6029">
        <v>-2.6789550000000002</v>
      </c>
      <c r="V6029">
        <v>-0.10667459999999999</v>
      </c>
      <c r="W6029">
        <v>0.2013993</v>
      </c>
      <c r="X6029">
        <v>0.97368310000000002</v>
      </c>
      <c r="Y6029">
        <v>-0.2902845</v>
      </c>
      <c r="Z6029">
        <v>6.4581040000000006E-2</v>
      </c>
      <c r="AA6029">
        <v>0.95475869999999996</v>
      </c>
      <c r="AB6029">
        <v>25</v>
      </c>
      <c r="AC6029">
        <v>9.1120000000000196</v>
      </c>
      <c r="AD6029">
        <v>-1.1155931935500001</v>
      </c>
      <c r="AE6029">
        <v>-14.424010000000001</v>
      </c>
      <c r="AF6029">
        <v>-5.0151148031908797</v>
      </c>
      <c r="AG6029">
        <v>-1.1155931935500001</v>
      </c>
      <c r="AH6029">
        <v>16.231328003061499</v>
      </c>
      <c r="AI6029">
        <v>93.757090609638098</v>
      </c>
      <c r="AJ6029">
        <v>107.16997110365</v>
      </c>
      <c r="AK6029">
        <v>17.025038425966901</v>
      </c>
      <c r="AL6029">
        <v>78.381201351903698</v>
      </c>
      <c r="AM6029">
        <v>96.252265256988906</v>
      </c>
      <c r="AN6029">
        <v>0.99999996377562905</v>
      </c>
    </row>
    <row r="6030" spans="1:40" x14ac:dyDescent="0.25">
      <c r="A6030" t="str">
        <f>"20190312173046871"</f>
        <v>20190312173046871</v>
      </c>
      <c r="B6030" t="str">
        <f>"1552383046863213"</f>
        <v>1552383046863213</v>
      </c>
      <c r="C6030" t="s">
        <v>40</v>
      </c>
      <c r="D6030">
        <v>3.0891160000000002</v>
      </c>
      <c r="E6030">
        <v>0.42712939999999999</v>
      </c>
      <c r="F6030" t="s">
        <v>54</v>
      </c>
      <c r="G6030">
        <v>-290.08100000000002</v>
      </c>
      <c r="H6030" s="1">
        <v>-1.016434E-5</v>
      </c>
      <c r="I6030">
        <v>-62.106369999999998</v>
      </c>
      <c r="J6030">
        <v>-299.221</v>
      </c>
      <c r="K6030">
        <v>1.1157410000000001</v>
      </c>
      <c r="L6030">
        <v>-47.890470000000001</v>
      </c>
      <c r="M6030">
        <v>0.2693217</v>
      </c>
      <c r="N6030">
        <v>0</v>
      </c>
      <c r="O6030">
        <v>-0.96300620000000003</v>
      </c>
      <c r="P6030">
        <v>0.36238140000000002</v>
      </c>
      <c r="Q6030">
        <v>0.19471530000000001</v>
      </c>
      <c r="R6030">
        <v>-0.91146369999999999</v>
      </c>
      <c r="S6030">
        <v>1.6988529999999999</v>
      </c>
      <c r="T6030">
        <v>-0.20567559999999999</v>
      </c>
      <c r="U6030">
        <v>-2.665009</v>
      </c>
      <c r="V6030">
        <v>-0.1064933</v>
      </c>
      <c r="W6030">
        <v>0.20217499999999999</v>
      </c>
      <c r="X6030">
        <v>0.97354220000000002</v>
      </c>
      <c r="Y6030">
        <v>-0.28938809999999998</v>
      </c>
      <c r="Z6030">
        <v>6.513534E-2</v>
      </c>
      <c r="AA6030">
        <v>0.95499310000000004</v>
      </c>
      <c r="AB6030">
        <v>25</v>
      </c>
      <c r="AC6030">
        <v>9.1400000000000396</v>
      </c>
      <c r="AD6030">
        <v>-1.11575116434</v>
      </c>
      <c r="AE6030">
        <v>-14.2158999999999</v>
      </c>
      <c r="AF6030">
        <v>-4.9518551446627397</v>
      </c>
      <c r="AG6030">
        <v>-1.11575116434</v>
      </c>
      <c r="AH6030">
        <v>16.082192805170902</v>
      </c>
      <c r="AI6030">
        <v>93.793503354699695</v>
      </c>
      <c r="AJ6030">
        <v>107.114080599312</v>
      </c>
      <c r="AK6030">
        <v>16.8642431035946</v>
      </c>
      <c r="AL6030">
        <v>78.335823808004506</v>
      </c>
      <c r="AM6030">
        <v>96.242619320409503</v>
      </c>
      <c r="AN6030">
        <v>0.99999998437536497</v>
      </c>
    </row>
    <row r="6031" spans="1:40" x14ac:dyDescent="0.25">
      <c r="A6031" t="str">
        <f>"20190312173046895"</f>
        <v>20190312173046895</v>
      </c>
      <c r="B6031" t="str">
        <f>"1552383046883709"</f>
        <v>1552383046883709</v>
      </c>
      <c r="C6031" t="s">
        <v>40</v>
      </c>
      <c r="D6031">
        <v>3.0851120000000001</v>
      </c>
      <c r="E6031">
        <v>0.4355192</v>
      </c>
      <c r="F6031" t="s">
        <v>54</v>
      </c>
      <c r="G6031">
        <v>-289.8175</v>
      </c>
      <c r="H6031" s="1">
        <v>-3.1742009999999999E-6</v>
      </c>
      <c r="I6031">
        <v>-62.374949999999998</v>
      </c>
      <c r="J6031">
        <v>-299.14139999999998</v>
      </c>
      <c r="K6031">
        <v>1.115909</v>
      </c>
      <c r="L6031">
        <v>-48.137079999999997</v>
      </c>
      <c r="M6031">
        <v>0.27840490000000001</v>
      </c>
      <c r="N6031">
        <v>0</v>
      </c>
      <c r="O6031">
        <v>-0.96041770000000004</v>
      </c>
      <c r="P6031">
        <v>0.3709075</v>
      </c>
      <c r="Q6031">
        <v>0.19418659999999999</v>
      </c>
      <c r="R6031">
        <v>-0.90814070000000002</v>
      </c>
      <c r="S6031">
        <v>1.720947</v>
      </c>
      <c r="T6031">
        <v>-0.2041934</v>
      </c>
      <c r="U6031">
        <v>-2.6508180000000001</v>
      </c>
      <c r="V6031">
        <v>-0.106456</v>
      </c>
      <c r="W6031">
        <v>0.20178699999999999</v>
      </c>
      <c r="X6031">
        <v>0.97362680000000001</v>
      </c>
      <c r="Y6031">
        <v>-0.28830250000000002</v>
      </c>
      <c r="Z6031">
        <v>6.4577199999999904E-2</v>
      </c>
      <c r="AA6031">
        <v>0.95535930000000002</v>
      </c>
      <c r="AB6031">
        <v>25</v>
      </c>
      <c r="AC6031">
        <v>9.3238999999999805</v>
      </c>
      <c r="AD6031">
        <v>-1.1159121742010001</v>
      </c>
      <c r="AE6031">
        <v>-14.237869999999999</v>
      </c>
      <c r="AF6031">
        <v>-4.9698008564477796</v>
      </c>
      <c r="AG6031">
        <v>-1.1159121742010001</v>
      </c>
      <c r="AH6031">
        <v>16.2011907578005</v>
      </c>
      <c r="AI6031">
        <v>93.767479410670504</v>
      </c>
      <c r="AJ6031">
        <v>107.053671750573</v>
      </c>
      <c r="AK6031">
        <v>16.9830139405206</v>
      </c>
      <c r="AL6031">
        <v>78.358522698185098</v>
      </c>
      <c r="AM6031">
        <v>96.239912089702301</v>
      </c>
      <c r="AN6031">
        <v>1.0000000094916199</v>
      </c>
    </row>
    <row r="6032" spans="1:40" x14ac:dyDescent="0.25">
      <c r="A6032" t="str">
        <f>"20190312173046916"</f>
        <v>20190312173046916</v>
      </c>
      <c r="B6032" t="str">
        <f>"1552383046903217"</f>
        <v>1552383046903217</v>
      </c>
      <c r="C6032" t="s">
        <v>40</v>
      </c>
      <c r="D6032">
        <v>3.1581630000000001</v>
      </c>
      <c r="E6032">
        <v>0.4363862</v>
      </c>
      <c r="F6032" t="s">
        <v>54</v>
      </c>
      <c r="G6032">
        <v>-291.29309999999998</v>
      </c>
      <c r="H6032" s="1">
        <v>-1.024274E-5</v>
      </c>
      <c r="I6032">
        <v>-60.531219999999998</v>
      </c>
      <c r="J6032">
        <v>-299.06540000000001</v>
      </c>
      <c r="K6032">
        <v>1.116074</v>
      </c>
      <c r="L6032">
        <v>-48.364719999999998</v>
      </c>
      <c r="M6032">
        <v>0.28695949999999998</v>
      </c>
      <c r="N6032">
        <v>0</v>
      </c>
      <c r="O6032">
        <v>-0.95789449999999998</v>
      </c>
      <c r="P6032">
        <v>0.37929930000000001</v>
      </c>
      <c r="Q6032">
        <v>0.19404869999999999</v>
      </c>
      <c r="R6032">
        <v>-0.90469730000000004</v>
      </c>
      <c r="S6032">
        <v>1.687805</v>
      </c>
      <c r="T6032">
        <v>-0.23998249999999999</v>
      </c>
      <c r="U6032">
        <v>-2.6654049999999998</v>
      </c>
      <c r="V6032">
        <v>-0.1068442</v>
      </c>
      <c r="W6032">
        <v>0.20180419999999999</v>
      </c>
      <c r="X6032">
        <v>0.97358069999999997</v>
      </c>
      <c r="Y6032">
        <v>-0.26844889999999999</v>
      </c>
      <c r="Z6032">
        <v>7.5648469999999995E-2</v>
      </c>
      <c r="AA6032">
        <v>0.96031900000000003</v>
      </c>
      <c r="AB6032">
        <v>25</v>
      </c>
      <c r="AC6032">
        <v>7.7723000000000297</v>
      </c>
      <c r="AD6032">
        <v>-1.11608424274</v>
      </c>
      <c r="AE6032">
        <v>-12.166499999999999</v>
      </c>
      <c r="AF6032">
        <v>-3.9304439691954598</v>
      </c>
      <c r="AG6032">
        <v>-1.11608424274</v>
      </c>
      <c r="AH6032">
        <v>13.802711613219801</v>
      </c>
      <c r="AI6032">
        <v>94.446840143500495</v>
      </c>
      <c r="AJ6032">
        <v>105.894770992248</v>
      </c>
      <c r="AK6032">
        <v>14.394751880792899</v>
      </c>
      <c r="AL6032">
        <v>78.357516385084296</v>
      </c>
      <c r="AM6032">
        <v>96.262780118776703</v>
      </c>
      <c r="AN6032">
        <v>0.99999999881188495</v>
      </c>
    </row>
    <row r="6033" spans="1:40" x14ac:dyDescent="0.25">
      <c r="A6033" t="str">
        <f>"20190312173046943"</f>
        <v>20190312173046943</v>
      </c>
      <c r="B6033" t="str">
        <f>"1552383046934449"</f>
        <v>1552383046934449</v>
      </c>
      <c r="C6033" t="s">
        <v>40</v>
      </c>
      <c r="D6033">
        <v>3.0577260000000002</v>
      </c>
      <c r="E6033">
        <v>0.4376312</v>
      </c>
      <c r="F6033" t="s">
        <v>54</v>
      </c>
      <c r="G6033">
        <v>-291.11829999999998</v>
      </c>
      <c r="H6033" s="1">
        <v>-1.0232189999999999E-5</v>
      </c>
      <c r="I6033">
        <v>-60.726550000000003</v>
      </c>
      <c r="J6033">
        <v>-298.96730000000002</v>
      </c>
      <c r="K6033">
        <v>1.1162799999999999</v>
      </c>
      <c r="L6033">
        <v>-48.648800000000001</v>
      </c>
      <c r="M6033">
        <v>0.29786590000000002</v>
      </c>
      <c r="N6033">
        <v>0</v>
      </c>
      <c r="O6033">
        <v>-0.95455630000000002</v>
      </c>
      <c r="P6033">
        <v>0.3897023</v>
      </c>
      <c r="Q6033">
        <v>0.19401089999999999</v>
      </c>
      <c r="R6033">
        <v>-0.90027359999999901</v>
      </c>
      <c r="S6033">
        <v>1.7052</v>
      </c>
      <c r="T6033">
        <v>-0.239477</v>
      </c>
      <c r="U6033">
        <v>-2.652466</v>
      </c>
      <c r="V6033">
        <v>-0.1070463</v>
      </c>
      <c r="W6033">
        <v>0.20200460000000001</v>
      </c>
      <c r="X6033">
        <v>0.97351690000000002</v>
      </c>
      <c r="Y6033">
        <v>-0.26405529999999999</v>
      </c>
      <c r="Z6033">
        <v>7.5335699999999894E-2</v>
      </c>
      <c r="AA6033">
        <v>0.96156090000000005</v>
      </c>
      <c r="AB6033">
        <v>25</v>
      </c>
      <c r="AC6033">
        <v>7.8490000000000402</v>
      </c>
      <c r="AD6033">
        <v>-1.1162902321899999</v>
      </c>
      <c r="AE6033">
        <v>-12.07775</v>
      </c>
      <c r="AF6033">
        <v>-3.8717005536389699</v>
      </c>
      <c r="AG6033">
        <v>-1.1162902321899999</v>
      </c>
      <c r="AH6033">
        <v>13.78473237727</v>
      </c>
      <c r="AI6033">
        <v>94.457955951593206</v>
      </c>
      <c r="AJ6033">
        <v>105.688393044566</v>
      </c>
      <c r="AK6033">
        <v>14.3615812420668</v>
      </c>
      <c r="AL6033">
        <v>78.345792428874404</v>
      </c>
      <c r="AM6033">
        <v>96.274939940521193</v>
      </c>
      <c r="AN6033">
        <v>0.99999996167522898</v>
      </c>
    </row>
    <row r="6034" spans="1:40" x14ac:dyDescent="0.25">
      <c r="A6034" t="str">
        <f>"20190312173046968"</f>
        <v>20190312173046968</v>
      </c>
      <c r="B6034" t="str">
        <f>"1552383046963729"</f>
        <v>1552383046963729</v>
      </c>
      <c r="C6034" t="s">
        <v>40</v>
      </c>
      <c r="D6034">
        <v>3.1553260000000001</v>
      </c>
      <c r="E6034">
        <v>0.4386159</v>
      </c>
      <c r="F6034" t="s">
        <v>54</v>
      </c>
      <c r="G6034">
        <v>-290.8954</v>
      </c>
      <c r="H6034" s="1">
        <v>-1.0217170000000001E-5</v>
      </c>
      <c r="I6034">
        <v>-60.968640000000001</v>
      </c>
      <c r="J6034">
        <v>-298.87560000000002</v>
      </c>
      <c r="K6034">
        <v>1.1164750000000001</v>
      </c>
      <c r="L6034">
        <v>-48.903410000000001</v>
      </c>
      <c r="M6034">
        <v>0.30791039999999997</v>
      </c>
      <c r="N6034">
        <v>0</v>
      </c>
      <c r="O6034">
        <v>-0.95136080000000001</v>
      </c>
      <c r="P6034">
        <v>0.39921719999999999</v>
      </c>
      <c r="Q6034">
        <v>0.19368850000000001</v>
      </c>
      <c r="R6034">
        <v>-0.89616469999999904</v>
      </c>
      <c r="S6034">
        <v>1.7272029999999901</v>
      </c>
      <c r="T6034">
        <v>-0.2388586</v>
      </c>
      <c r="U6034">
        <v>-2.636139</v>
      </c>
      <c r="V6034">
        <v>-0.107151</v>
      </c>
      <c r="W6034">
        <v>0.20193169999999999</v>
      </c>
      <c r="X6034">
        <v>0.97352050000000001</v>
      </c>
      <c r="Y6034">
        <v>-0.26224190000000003</v>
      </c>
      <c r="Z6034">
        <v>7.5022110000000003E-2</v>
      </c>
      <c r="AA6034">
        <v>0.96208159999999998</v>
      </c>
      <c r="AB6034">
        <v>25</v>
      </c>
      <c r="AC6034">
        <v>7.9802000000000204</v>
      </c>
      <c r="AD6034">
        <v>-1.1164852171699999</v>
      </c>
      <c r="AE6034">
        <v>-12.06523</v>
      </c>
      <c r="AF6034">
        <v>-3.8542806597568</v>
      </c>
      <c r="AG6034">
        <v>-1.1164852171699999</v>
      </c>
      <c r="AH6034">
        <v>13.8537688258172</v>
      </c>
      <c r="AI6034">
        <v>94.439646838483597</v>
      </c>
      <c r="AJ6034">
        <v>105.54718970559</v>
      </c>
      <c r="AK6034">
        <v>14.4232080108247</v>
      </c>
      <c r="AL6034">
        <v>78.350057113010607</v>
      </c>
      <c r="AM6034">
        <v>96.281005272409601</v>
      </c>
      <c r="AN6034">
        <v>0.99999995609306902</v>
      </c>
    </row>
    <row r="6035" spans="1:40" x14ac:dyDescent="0.25">
      <c r="A6035" t="str">
        <f>"20190312173046993"</f>
        <v>20190312173046993</v>
      </c>
      <c r="B6035" t="str">
        <f>"1552383046984226"</f>
        <v>1552383046984226</v>
      </c>
      <c r="C6035" t="s">
        <v>40</v>
      </c>
      <c r="D6035">
        <v>3.1290269999999998</v>
      </c>
      <c r="E6035">
        <v>0.4394593</v>
      </c>
      <c r="F6035" t="s">
        <v>54</v>
      </c>
      <c r="G6035">
        <v>-290.7955</v>
      </c>
      <c r="H6035" s="1">
        <v>-1.019725E-5</v>
      </c>
      <c r="I6035">
        <v>-61.017330000000001</v>
      </c>
      <c r="J6035">
        <v>-298.77460000000002</v>
      </c>
      <c r="K6035">
        <v>1.1166860000000001</v>
      </c>
      <c r="L6035">
        <v>-49.173949999999998</v>
      </c>
      <c r="M6035">
        <v>0.3188184</v>
      </c>
      <c r="N6035">
        <v>0</v>
      </c>
      <c r="O6035">
        <v>-0.94775719999999997</v>
      </c>
      <c r="P6035">
        <v>0.40939829999999999</v>
      </c>
      <c r="Q6035">
        <v>0.19339000000000001</v>
      </c>
      <c r="R6035">
        <v>-0.89162419999999998</v>
      </c>
      <c r="S6035">
        <v>1.74823</v>
      </c>
      <c r="T6035">
        <v>-0.2415658</v>
      </c>
      <c r="U6035">
        <v>-2.6210019999999998</v>
      </c>
      <c r="V6035">
        <v>-0.1071135</v>
      </c>
      <c r="W6035">
        <v>0.20192560000000001</v>
      </c>
      <c r="X6035">
        <v>0.97352590000000006</v>
      </c>
      <c r="Y6035">
        <v>-0.25902789999999998</v>
      </c>
      <c r="Z6035">
        <v>7.5688099999999994E-2</v>
      </c>
      <c r="AA6035">
        <v>0.96289970000000003</v>
      </c>
      <c r="AB6035">
        <v>25</v>
      </c>
      <c r="AC6035">
        <v>7.9791000000000096</v>
      </c>
      <c r="AD6035">
        <v>-1.11669619725</v>
      </c>
      <c r="AE6035">
        <v>-11.84338</v>
      </c>
      <c r="AF6035">
        <v>-3.7635588216304598</v>
      </c>
      <c r="AG6035">
        <v>-1.11669619725</v>
      </c>
      <c r="AH6035">
        <v>13.6856122100384</v>
      </c>
      <c r="AI6035">
        <v>94.498515193479193</v>
      </c>
      <c r="AJ6035">
        <v>105.37631143761099</v>
      </c>
      <c r="AK6035">
        <v>14.2375337388319</v>
      </c>
      <c r="AL6035">
        <v>78.350414060572604</v>
      </c>
      <c r="AM6035">
        <v>96.278790097770496</v>
      </c>
      <c r="AN6035">
        <v>0.99999996389420898</v>
      </c>
    </row>
    <row r="6036" spans="1:40" x14ac:dyDescent="0.25">
      <c r="A6036" t="str">
        <f>"20190312173047015"</f>
        <v>20190312173047015</v>
      </c>
      <c r="B6036" t="str">
        <f>"1552383047003745"</f>
        <v>1552383047003745</v>
      </c>
      <c r="C6036" t="s">
        <v>40</v>
      </c>
      <c r="D6036">
        <v>3.2313019999999999</v>
      </c>
      <c r="E6036">
        <v>0.44019910000000001</v>
      </c>
      <c r="F6036" t="s">
        <v>54</v>
      </c>
      <c r="G6036">
        <v>-290.6703</v>
      </c>
      <c r="H6036" s="1">
        <v>-1.017357E-5</v>
      </c>
      <c r="I6036">
        <v>-61.084350000000001</v>
      </c>
      <c r="J6036">
        <v>-298.68639999999999</v>
      </c>
      <c r="K6036">
        <v>1.116841</v>
      </c>
      <c r="L6036">
        <v>-49.402560000000001</v>
      </c>
      <c r="M6036">
        <v>0.32820510000000003</v>
      </c>
      <c r="N6036">
        <v>0</v>
      </c>
      <c r="O6036">
        <v>-0.94454419999999994</v>
      </c>
      <c r="P6036">
        <v>0.41814449999999997</v>
      </c>
      <c r="Q6036">
        <v>0.19372790000000001</v>
      </c>
      <c r="R6036">
        <v>-0.8874822</v>
      </c>
      <c r="S6036">
        <v>1.771881</v>
      </c>
      <c r="T6036">
        <v>-0.24414920000000001</v>
      </c>
      <c r="U6036">
        <v>-2.604034</v>
      </c>
      <c r="V6036">
        <v>-0.1071201</v>
      </c>
      <c r="W6036">
        <v>0.2025187</v>
      </c>
      <c r="X6036">
        <v>0.97340199999999999</v>
      </c>
      <c r="Y6036">
        <v>-0.25830779999999998</v>
      </c>
      <c r="Z6036">
        <v>7.6352519999999993E-2</v>
      </c>
      <c r="AA6036">
        <v>0.96304069999999997</v>
      </c>
      <c r="AB6036">
        <v>25</v>
      </c>
      <c r="AC6036">
        <v>8.0160999999999891</v>
      </c>
      <c r="AD6036">
        <v>-1.11685117357</v>
      </c>
      <c r="AE6036">
        <v>-11.681789999999999</v>
      </c>
      <c r="AF6036">
        <v>-3.7146733500520699</v>
      </c>
      <c r="AG6036">
        <v>-1.11685117357</v>
      </c>
      <c r="AH6036">
        <v>13.581297027517801</v>
      </c>
      <c r="AI6036">
        <v>94.535263353670899</v>
      </c>
      <c r="AJ6036">
        <v>105.29705982777</v>
      </c>
      <c r="AK6036">
        <v>14.124368431584999</v>
      </c>
      <c r="AL6036">
        <v>78.315715426857494</v>
      </c>
      <c r="AM6036">
        <v>96.279966749669697</v>
      </c>
      <c r="AN6036">
        <v>0.99999999663884998</v>
      </c>
    </row>
    <row r="6037" spans="1:40" x14ac:dyDescent="0.25">
      <c r="A6037" t="str">
        <f>"20190312173047048"</f>
        <v>20190312173047048</v>
      </c>
      <c r="B6037" t="str">
        <f>"1552383047043765"</f>
        <v>1552383047043765</v>
      </c>
      <c r="C6037" t="s">
        <v>40</v>
      </c>
      <c r="D6037">
        <v>3.1682039999999998</v>
      </c>
      <c r="E6037">
        <v>0.42198570000000002</v>
      </c>
      <c r="F6037" t="s">
        <v>54</v>
      </c>
      <c r="G6037">
        <v>-290.3433</v>
      </c>
      <c r="H6037" s="1">
        <v>-1.0132000000000001E-5</v>
      </c>
      <c r="I6037">
        <v>-61.455979999999997</v>
      </c>
      <c r="J6037">
        <v>-298.55309999999997</v>
      </c>
      <c r="K6037">
        <v>1.117049</v>
      </c>
      <c r="L6037">
        <v>-49.73462</v>
      </c>
      <c r="M6037">
        <v>0.34211730000000001</v>
      </c>
      <c r="N6037">
        <v>0</v>
      </c>
      <c r="O6037">
        <v>-0.93958929999999996</v>
      </c>
      <c r="P6037">
        <v>0.4304383</v>
      </c>
      <c r="Q6037">
        <v>0.19417760000000001</v>
      </c>
      <c r="R6037">
        <v>-0.8814864</v>
      </c>
      <c r="S6037">
        <v>1.7917179999999999</v>
      </c>
      <c r="T6037">
        <v>-0.23984920000000001</v>
      </c>
      <c r="U6037">
        <v>-2.5885310000000001</v>
      </c>
      <c r="V6037">
        <v>-0.106397699999999</v>
      </c>
      <c r="W6037">
        <v>0.20339180000000001</v>
      </c>
      <c r="X6037">
        <v>0.97329920000000003</v>
      </c>
      <c r="Y6037">
        <v>-0.25179020000000002</v>
      </c>
      <c r="Z6037">
        <v>7.4726630000000002E-2</v>
      </c>
      <c r="AA6037">
        <v>0.96489259999999999</v>
      </c>
      <c r="AB6037">
        <v>25</v>
      </c>
      <c r="AC6037">
        <v>8.2097999999999693</v>
      </c>
      <c r="AD6037">
        <v>-1.1170591320000001</v>
      </c>
      <c r="AE6037">
        <v>-11.721360000000001</v>
      </c>
      <c r="AF6037">
        <v>-3.68156441552359</v>
      </c>
      <c r="AG6037">
        <v>-1.1170591320000001</v>
      </c>
      <c r="AH6037">
        <v>13.739147101595499</v>
      </c>
      <c r="AI6037">
        <v>94.490461440341605</v>
      </c>
      <c r="AJ6037">
        <v>105.000665517288</v>
      </c>
      <c r="AK6037">
        <v>14.267652250083501</v>
      </c>
      <c r="AL6037">
        <v>78.264627437151105</v>
      </c>
      <c r="AM6037">
        <v>96.238604357358497</v>
      </c>
      <c r="AN6037">
        <v>1.0000000137965801</v>
      </c>
    </row>
    <row r="6038" spans="1:40" x14ac:dyDescent="0.25">
      <c r="A6038" t="str">
        <f>"20190312173047074"</f>
        <v>20190312173047074</v>
      </c>
      <c r="B6038" t="str">
        <f>"1552383047063282"</f>
        <v>1552383047063282</v>
      </c>
      <c r="C6038" t="s">
        <v>40</v>
      </c>
      <c r="D6038">
        <v>3.1612710000000002</v>
      </c>
      <c r="E6038">
        <v>0.42158410000000002</v>
      </c>
      <c r="F6038" t="s">
        <v>54</v>
      </c>
      <c r="G6038">
        <v>-288.24279999999999</v>
      </c>
      <c r="H6038" s="1">
        <v>-3.9519789999999997E-6</v>
      </c>
      <c r="I6038">
        <v>-62.883220000000001</v>
      </c>
      <c r="J6038">
        <v>-298.43669999999997</v>
      </c>
      <c r="K6038">
        <v>1.117211</v>
      </c>
      <c r="L6038">
        <v>-50.012149999999998</v>
      </c>
      <c r="M6038">
        <v>0.35402040000000001</v>
      </c>
      <c r="N6038">
        <v>0</v>
      </c>
      <c r="O6038">
        <v>-0.93516410000000005</v>
      </c>
      <c r="P6038">
        <v>0.441411</v>
      </c>
      <c r="Q6038">
        <v>0.19365250000000001</v>
      </c>
      <c r="R6038">
        <v>-0.87615949999999998</v>
      </c>
      <c r="S6038">
        <v>1.9562379999999999</v>
      </c>
      <c r="T6038">
        <v>-0.21194660000000001</v>
      </c>
      <c r="U6038">
        <v>-2.4947810000000001</v>
      </c>
      <c r="V6038">
        <v>-0.1062022</v>
      </c>
      <c r="W6038">
        <v>0.20325270000000001</v>
      </c>
      <c r="X6038">
        <v>0.97334960000000004</v>
      </c>
      <c r="Y6038">
        <v>-0.29705860000000001</v>
      </c>
      <c r="Z6038">
        <v>6.5986929999999999E-2</v>
      </c>
      <c r="AA6038">
        <v>0.95257650000000005</v>
      </c>
      <c r="AB6038">
        <v>25</v>
      </c>
      <c r="AC6038">
        <v>10.1938999999999</v>
      </c>
      <c r="AD6038">
        <v>-1.117214951979</v>
      </c>
      <c r="AE6038">
        <v>-12.8710699999999</v>
      </c>
      <c r="AF6038">
        <v>-4.9537543987351196</v>
      </c>
      <c r="AG6038">
        <v>-1.117214951979</v>
      </c>
      <c r="AH6038">
        <v>15.5743779927439</v>
      </c>
      <c r="AI6038">
        <v>93.910628364724502</v>
      </c>
      <c r="AJ6038">
        <v>107.644346365519</v>
      </c>
      <c r="AK6038">
        <v>16.381364465537601</v>
      </c>
      <c r="AL6038">
        <v>78.272767208876402</v>
      </c>
      <c r="AM6038">
        <v>96.226911489028893</v>
      </c>
      <c r="AN6038">
        <v>1.00000000558114</v>
      </c>
    </row>
    <row r="6039" spans="1:40" x14ac:dyDescent="0.25">
      <c r="A6039" t="str">
        <f>"20190312173047093"</f>
        <v>20190312173047093</v>
      </c>
      <c r="B6039" t="str">
        <f>"1552383047083777"</f>
        <v>1552383047083777</v>
      </c>
      <c r="C6039" t="s">
        <v>40</v>
      </c>
      <c r="D6039">
        <v>3.176256</v>
      </c>
      <c r="E6039">
        <v>0.42170580000000002</v>
      </c>
      <c r="F6039" t="s">
        <v>54</v>
      </c>
      <c r="G6039">
        <v>-287.84129999999999</v>
      </c>
      <c r="H6039" s="1">
        <v>-4.1067290000000002E-6</v>
      </c>
      <c r="I6039">
        <v>-63.148890000000002</v>
      </c>
      <c r="J6039">
        <v>-298.35449999999997</v>
      </c>
      <c r="K6039">
        <v>1.117313</v>
      </c>
      <c r="L6039">
        <v>-50.202269999999999</v>
      </c>
      <c r="M6039">
        <v>0.36230109999999999</v>
      </c>
      <c r="N6039">
        <v>0</v>
      </c>
      <c r="O6039">
        <v>-0.93198380000000003</v>
      </c>
      <c r="P6039">
        <v>0.44898329999999997</v>
      </c>
      <c r="Q6039">
        <v>0.1930076</v>
      </c>
      <c r="R6039">
        <v>-0.87244639999999996</v>
      </c>
      <c r="S6039">
        <v>1.990326</v>
      </c>
      <c r="T6039">
        <v>-0.20986679999999999</v>
      </c>
      <c r="U6039">
        <v>-2.4677120000000001</v>
      </c>
      <c r="V6039">
        <v>-0.105974</v>
      </c>
      <c r="W6039">
        <v>0.20287079999999999</v>
      </c>
      <c r="X6039">
        <v>0.97345409999999999</v>
      </c>
      <c r="Y6039">
        <v>-0.30169489999999999</v>
      </c>
      <c r="Z6039">
        <v>6.5274689999999996E-2</v>
      </c>
      <c r="AA6039">
        <v>0.9511674</v>
      </c>
      <c r="AB6039">
        <v>25</v>
      </c>
      <c r="AC6039">
        <v>10.5131999999999</v>
      </c>
      <c r="AD6039">
        <v>-1.117317106729</v>
      </c>
      <c r="AE6039">
        <v>-12.946619999999999</v>
      </c>
      <c r="AF6039">
        <v>-5.0851018144788602</v>
      </c>
      <c r="AG6039">
        <v>-1.117317106729</v>
      </c>
      <c r="AH6039">
        <v>15.805188952692699</v>
      </c>
      <c r="AI6039">
        <v>93.849959040904395</v>
      </c>
      <c r="AJ6039">
        <v>107.834864041269</v>
      </c>
      <c r="AK6039">
        <v>16.640632674598798</v>
      </c>
      <c r="AL6039">
        <v>78.295113590328398</v>
      </c>
      <c r="AM6039">
        <v>96.212974486933206</v>
      </c>
      <c r="AN6039">
        <v>0.99999996748772402</v>
      </c>
    </row>
    <row r="6040" spans="1:40" x14ac:dyDescent="0.25">
      <c r="A6040" t="str">
        <f>"20190312173047116"</f>
        <v>20190312173047116</v>
      </c>
      <c r="B6040" t="str">
        <f>"1552383047114034"</f>
        <v>1552383047114034</v>
      </c>
      <c r="C6040" t="s">
        <v>40</v>
      </c>
      <c r="D6040">
        <v>3.0075090000000002</v>
      </c>
      <c r="E6040">
        <v>0.42133660000000001</v>
      </c>
      <c r="F6040" t="s">
        <v>54</v>
      </c>
      <c r="G6040">
        <v>-287.74040000000002</v>
      </c>
      <c r="H6040" s="1">
        <v>-4.1592160000000004E-6</v>
      </c>
      <c r="I6040">
        <v>-63.139530000000001</v>
      </c>
      <c r="J6040">
        <v>-298.2484</v>
      </c>
      <c r="K6040">
        <v>1.1174309999999901</v>
      </c>
      <c r="L6040">
        <v>-50.440669999999997</v>
      </c>
      <c r="M6040">
        <v>0.3728243</v>
      </c>
      <c r="N6040">
        <v>0</v>
      </c>
      <c r="O6040">
        <v>-0.92781970000000002</v>
      </c>
      <c r="P6040">
        <v>0.45904230000000001</v>
      </c>
      <c r="Q6040">
        <v>0.19214249999999999</v>
      </c>
      <c r="R6040">
        <v>-0.86738760000000004</v>
      </c>
      <c r="S6040">
        <v>2.0106510000000002</v>
      </c>
      <c r="T6040">
        <v>-0.21165410000000001</v>
      </c>
      <c r="U6040">
        <v>-2.4507140000000001</v>
      </c>
      <c r="V6040">
        <v>-0.1061769</v>
      </c>
      <c r="W6040">
        <v>0.2023123</v>
      </c>
      <c r="X6040">
        <v>0.97354819999999997</v>
      </c>
      <c r="Y6040">
        <v>-0.29883539999999997</v>
      </c>
      <c r="Z6040">
        <v>6.5629450000000006E-2</v>
      </c>
      <c r="AA6040">
        <v>0.95204529999999998</v>
      </c>
      <c r="AB6040">
        <v>25</v>
      </c>
      <c r="AC6040">
        <v>10.5079999999999</v>
      </c>
      <c r="AD6040">
        <v>-1.1174351592159999</v>
      </c>
      <c r="AE6040">
        <v>-12.69886</v>
      </c>
      <c r="AF6040">
        <v>-4.9925225491678997</v>
      </c>
      <c r="AG6040">
        <v>-1.1174351592159999</v>
      </c>
      <c r="AH6040">
        <v>15.629255170889399</v>
      </c>
      <c r="AI6040">
        <v>93.896172608559496</v>
      </c>
      <c r="AJ6040">
        <v>107.715273155099</v>
      </c>
      <c r="AK6040">
        <v>16.4452899012384</v>
      </c>
      <c r="AL6040">
        <v>78.327790687930204</v>
      </c>
      <c r="AM6040">
        <v>96.224179736660702</v>
      </c>
      <c r="AN6040">
        <v>0.99999994927406799</v>
      </c>
    </row>
    <row r="6041" spans="1:40" x14ac:dyDescent="0.25">
      <c r="A6041" t="str">
        <f>"20190312173047143"</f>
        <v>20190312173047143</v>
      </c>
      <c r="B6041" t="str">
        <f>"1552383047133554"</f>
        <v>1552383047133554</v>
      </c>
      <c r="C6041" t="s">
        <v>40</v>
      </c>
      <c r="D6041">
        <v>3.148056</v>
      </c>
      <c r="E6041">
        <v>0.4223209</v>
      </c>
      <c r="F6041" t="s">
        <v>54</v>
      </c>
      <c r="G6041">
        <v>-287.57190000000003</v>
      </c>
      <c r="H6041" s="1">
        <v>-4.2454129999999998E-6</v>
      </c>
      <c r="I6041">
        <v>-63.131469999999901</v>
      </c>
      <c r="J6041">
        <v>-298.12990000000002</v>
      </c>
      <c r="K6041">
        <v>1.117559</v>
      </c>
      <c r="L6041">
        <v>-50.69858</v>
      </c>
      <c r="M6041">
        <v>0.38437450000000001</v>
      </c>
      <c r="N6041">
        <v>0</v>
      </c>
      <c r="O6041">
        <v>-0.92309019999999997</v>
      </c>
      <c r="P6041">
        <v>0.4697539</v>
      </c>
      <c r="Q6041">
        <v>0.19225529999999999</v>
      </c>
      <c r="R6041">
        <v>-0.86160859999999995</v>
      </c>
      <c r="S6041">
        <v>2.0408629999999999</v>
      </c>
      <c r="T6041">
        <v>-0.21360290000000001</v>
      </c>
      <c r="U6041">
        <v>-2.4259029999999999</v>
      </c>
      <c r="V6041">
        <v>-0.106151</v>
      </c>
      <c r="W6041">
        <v>0.20273959999999999</v>
      </c>
      <c r="X6041">
        <v>0.97346220000000006</v>
      </c>
      <c r="Y6041">
        <v>-0.29864550000000001</v>
      </c>
      <c r="Z6041">
        <v>6.6025829999999994E-2</v>
      </c>
      <c r="AA6041">
        <v>0.95207739999999996</v>
      </c>
      <c r="AB6041">
        <v>25</v>
      </c>
      <c r="AC6041">
        <v>10.5579999999999</v>
      </c>
      <c r="AD6041">
        <v>-1.117563245413</v>
      </c>
      <c r="AE6041">
        <v>-12.432889999999899</v>
      </c>
      <c r="AF6041">
        <v>-4.94428899384961</v>
      </c>
      <c r="AG6041">
        <v>-1.117563245413</v>
      </c>
      <c r="AH6041">
        <v>15.4635606755709</v>
      </c>
      <c r="AI6041">
        <v>93.937894402384202</v>
      </c>
      <c r="AJ6041">
        <v>107.731056951022</v>
      </c>
      <c r="AK6041">
        <v>16.2731880720793</v>
      </c>
      <c r="AL6041">
        <v>78.302790919819799</v>
      </c>
      <c r="AM6041">
        <v>96.223218794581697</v>
      </c>
      <c r="AN6041">
        <v>1.000000017519</v>
      </c>
    </row>
    <row r="6042" spans="1:40" x14ac:dyDescent="0.25">
      <c r="A6042" t="str">
        <f>"20190312173047168"</f>
        <v>20190312173047168</v>
      </c>
      <c r="B6042" t="str">
        <f>"1552383047163811"</f>
        <v>1552383047163811</v>
      </c>
      <c r="C6042" t="s">
        <v>40</v>
      </c>
      <c r="D6042">
        <v>3.0470860000000002</v>
      </c>
      <c r="E6042">
        <v>0.42340420000000001</v>
      </c>
      <c r="F6042" t="s">
        <v>54</v>
      </c>
      <c r="G6042">
        <v>-287.40089999999998</v>
      </c>
      <c r="H6042" s="1">
        <v>-4.3198819999999999E-6</v>
      </c>
      <c r="I6042">
        <v>-63.196559999999998</v>
      </c>
      <c r="J6042">
        <v>-298.00990000000002</v>
      </c>
      <c r="K6042">
        <v>1.1176680000000001</v>
      </c>
      <c r="L6042">
        <v>-50.949800000000003</v>
      </c>
      <c r="M6042">
        <v>0.39581709999999998</v>
      </c>
      <c r="N6042">
        <v>0</v>
      </c>
      <c r="O6042">
        <v>-0.91823739999999998</v>
      </c>
      <c r="P6042">
        <v>0.48038760000000003</v>
      </c>
      <c r="Q6042">
        <v>0.1923493</v>
      </c>
      <c r="R6042">
        <v>-0.85570419999999903</v>
      </c>
      <c r="S6042">
        <v>2.064117</v>
      </c>
      <c r="T6042">
        <v>-0.21500459999999999</v>
      </c>
      <c r="U6042">
        <v>-2.4044490000000001</v>
      </c>
      <c r="V6042">
        <v>-0.10616159999999999</v>
      </c>
      <c r="W6042">
        <v>0.20311779999999999</v>
      </c>
      <c r="X6042">
        <v>0.97338219999999998</v>
      </c>
      <c r="Y6042">
        <v>-0.29626609999999998</v>
      </c>
      <c r="Z6042">
        <v>6.6240930000000003E-2</v>
      </c>
      <c r="AA6042">
        <v>0.95280560000000003</v>
      </c>
      <c r="AB6042">
        <v>25</v>
      </c>
      <c r="AC6042">
        <v>10.609</v>
      </c>
      <c r="AD6042">
        <v>-1.117672319882</v>
      </c>
      <c r="AE6042">
        <v>-12.246759999999901</v>
      </c>
      <c r="AF6042">
        <v>-4.8713380704309399</v>
      </c>
      <c r="AG6042">
        <v>-1.117672319882</v>
      </c>
      <c r="AH6042">
        <v>15.3728140998629</v>
      </c>
      <c r="AI6042">
        <v>93.964714823338198</v>
      </c>
      <c r="AJ6042">
        <v>107.58236970074201</v>
      </c>
      <c r="AK6042">
        <v>16.164855067707901</v>
      </c>
      <c r="AL6042">
        <v>78.280661204394093</v>
      </c>
      <c r="AM6042">
        <v>96.224342862012605</v>
      </c>
      <c r="AN6042">
        <v>1.0000000166341101</v>
      </c>
    </row>
    <row r="6043" spans="1:40" x14ac:dyDescent="0.25">
      <c r="A6043" t="str">
        <f>"20190312173047188"</f>
        <v>20190312173047188</v>
      </c>
      <c r="B6043" t="str">
        <f>"1552383047183329"</f>
        <v>1552383047183329</v>
      </c>
      <c r="C6043" t="s">
        <v>40</v>
      </c>
      <c r="D6043">
        <v>3.0300060000000002</v>
      </c>
      <c r="E6043">
        <v>0.42403550000000001</v>
      </c>
      <c r="F6043" t="s">
        <v>54</v>
      </c>
      <c r="G6043">
        <v>-287.33210000000003</v>
      </c>
      <c r="H6043" s="1">
        <v>-4.3637880000000001E-6</v>
      </c>
      <c r="I6043">
        <v>-63.144440000000003</v>
      </c>
      <c r="J6043">
        <v>-297.91300000000001</v>
      </c>
      <c r="K6043">
        <v>1.1177429999999999</v>
      </c>
      <c r="L6043">
        <v>-51.147309999999997</v>
      </c>
      <c r="M6043">
        <v>0.40492319999999998</v>
      </c>
      <c r="N6043">
        <v>0</v>
      </c>
      <c r="O6043">
        <v>-0.91425480000000003</v>
      </c>
      <c r="P6043">
        <v>0.48866419999999999</v>
      </c>
      <c r="Q6043">
        <v>0.193109</v>
      </c>
      <c r="R6043">
        <v>-0.85083279999999994</v>
      </c>
      <c r="S6043">
        <v>2.0869450000000001</v>
      </c>
      <c r="T6043">
        <v>-0.21844450000000001</v>
      </c>
      <c r="U6043">
        <v>-2.3833920000000002</v>
      </c>
      <c r="V6043">
        <v>-0.10604230000000001</v>
      </c>
      <c r="W6043">
        <v>0.2040846</v>
      </c>
      <c r="X6043">
        <v>0.97319290000000003</v>
      </c>
      <c r="Y6043">
        <v>-0.29606359999999998</v>
      </c>
      <c r="Z6043">
        <v>6.7135340000000002E-2</v>
      </c>
      <c r="AA6043">
        <v>0.95280589999999998</v>
      </c>
      <c r="AB6043">
        <v>25</v>
      </c>
      <c r="AC6043">
        <v>10.5808999999999</v>
      </c>
      <c r="AD6043">
        <v>-1.117747363788</v>
      </c>
      <c r="AE6043">
        <v>-11.99713</v>
      </c>
      <c r="AF6043">
        <v>-4.7927442056415401</v>
      </c>
      <c r="AG6043">
        <v>-1.117747363788</v>
      </c>
      <c r="AH6043">
        <v>15.1801066914723</v>
      </c>
      <c r="AI6043">
        <v>94.016479918977893</v>
      </c>
      <c r="AJ6043">
        <v>107.522226451775</v>
      </c>
      <c r="AK6043">
        <v>15.9579257848395</v>
      </c>
      <c r="AL6043">
        <v>78.224081828634098</v>
      </c>
      <c r="AM6043">
        <v>96.218602914615602</v>
      </c>
      <c r="AN6043">
        <v>0.99999995697842903</v>
      </c>
    </row>
    <row r="6044" spans="1:40" x14ac:dyDescent="0.25">
      <c r="A6044" t="str">
        <f>"20190312173047206"</f>
        <v>20190312173047206</v>
      </c>
      <c r="B6044" t="str">
        <f>"1552383047194066"</f>
        <v>1552383047194066</v>
      </c>
      <c r="C6044" t="s">
        <v>40</v>
      </c>
      <c r="D6044">
        <v>3.0334729999999999</v>
      </c>
      <c r="E6044">
        <v>0.42446250000000002</v>
      </c>
      <c r="F6044" t="s">
        <v>54</v>
      </c>
      <c r="G6044">
        <v>-287.09359999999998</v>
      </c>
      <c r="H6044" s="1">
        <v>-4.4562790000000001E-6</v>
      </c>
      <c r="I6044">
        <v>-63.298949999999998</v>
      </c>
      <c r="J6044">
        <v>-297.82119999999998</v>
      </c>
      <c r="K6044">
        <v>1.1177900000000001</v>
      </c>
      <c r="L6044">
        <v>-51.329470000000001</v>
      </c>
      <c r="M6044">
        <v>0.41340149999999998</v>
      </c>
      <c r="N6044">
        <v>0</v>
      </c>
      <c r="O6044">
        <v>-0.91044990000000003</v>
      </c>
      <c r="P6044">
        <v>0.49654749999999998</v>
      </c>
      <c r="Q6044">
        <v>0.1937355</v>
      </c>
      <c r="R6044">
        <v>-0.8461128</v>
      </c>
      <c r="S6044">
        <v>2.1062620000000001</v>
      </c>
      <c r="T6044">
        <v>-0.21759829999999999</v>
      </c>
      <c r="U6044">
        <v>-2.365631</v>
      </c>
      <c r="V6044">
        <v>-0.106134199999999</v>
      </c>
      <c r="W6044">
        <v>0.2048837</v>
      </c>
      <c r="X6044">
        <v>0.97301499999999996</v>
      </c>
      <c r="Y6044">
        <v>-0.29509740000000001</v>
      </c>
      <c r="Z6044">
        <v>6.6700759999999998E-2</v>
      </c>
      <c r="AA6044">
        <v>0.95313610000000004</v>
      </c>
      <c r="AB6044">
        <v>25</v>
      </c>
      <c r="AC6044">
        <v>10.727599999999899</v>
      </c>
      <c r="AD6044">
        <v>-1.1177944562790001</v>
      </c>
      <c r="AE6044">
        <v>-11.9694799999999</v>
      </c>
      <c r="AF6044">
        <v>-4.7959806067192403</v>
      </c>
      <c r="AG6044">
        <v>-1.1177944562790001</v>
      </c>
      <c r="AH6044">
        <v>15.2599969402631</v>
      </c>
      <c r="AI6044">
        <v>93.997333420163599</v>
      </c>
      <c r="AJ6044">
        <v>107.44712544025001</v>
      </c>
      <c r="AK6044">
        <v>16.034911943735601</v>
      </c>
      <c r="AL6044">
        <v>78.177308891164898</v>
      </c>
      <c r="AM6044">
        <v>96.225078912355102</v>
      </c>
      <c r="AN6044">
        <v>0.99999999458016497</v>
      </c>
    </row>
    <row r="6045" spans="1:40" x14ac:dyDescent="0.25">
      <c r="A6045" t="str">
        <f>"20190312173047227"</f>
        <v>20190312173047227</v>
      </c>
      <c r="B6045" t="str">
        <f>"1552383047223346"</f>
        <v>1552383047223346</v>
      </c>
      <c r="C6045" t="s">
        <v>40</v>
      </c>
      <c r="D6045">
        <v>3.0434480000000002</v>
      </c>
      <c r="E6045">
        <v>0.43397330000000001</v>
      </c>
      <c r="F6045" t="s">
        <v>54</v>
      </c>
      <c r="G6045">
        <v>-286.88909999999998</v>
      </c>
      <c r="H6045" s="1">
        <v>-4.5404569999999999E-6</v>
      </c>
      <c r="I6045">
        <v>-63.404369999999901</v>
      </c>
      <c r="J6045">
        <v>-297.71640000000002</v>
      </c>
      <c r="K6045">
        <v>1.1178399999999999</v>
      </c>
      <c r="L6045">
        <v>-51.532200000000003</v>
      </c>
      <c r="M6045">
        <v>0.42293190000000003</v>
      </c>
      <c r="N6045">
        <v>0</v>
      </c>
      <c r="O6045">
        <v>-0.90605919999999895</v>
      </c>
      <c r="P6045">
        <v>0.5052451</v>
      </c>
      <c r="Q6045">
        <v>0.1935375</v>
      </c>
      <c r="R6045">
        <v>-0.84099409999999897</v>
      </c>
      <c r="S6045">
        <v>2.125702</v>
      </c>
      <c r="T6045">
        <v>-0.21734919999999999</v>
      </c>
      <c r="U6045">
        <v>-2.3479000000000001</v>
      </c>
      <c r="V6045">
        <v>-0.1059546</v>
      </c>
      <c r="W6045">
        <v>0.2048683</v>
      </c>
      <c r="X6045">
        <v>0.97303779999999995</v>
      </c>
      <c r="Y6045">
        <v>-0.29300009999999999</v>
      </c>
      <c r="Z6045">
        <v>6.6395190000000007E-2</v>
      </c>
      <c r="AA6045">
        <v>0.95380430000000005</v>
      </c>
      <c r="AB6045">
        <v>25</v>
      </c>
      <c r="AC6045">
        <v>10.827299999999999</v>
      </c>
      <c r="AD6045">
        <v>-1.1178445404570001</v>
      </c>
      <c r="AE6045">
        <v>-11.872169999999899</v>
      </c>
      <c r="AF6045">
        <v>-4.7664298594382801</v>
      </c>
      <c r="AG6045">
        <v>-1.1178445404570001</v>
      </c>
      <c r="AH6045">
        <v>15.263645262335499</v>
      </c>
      <c r="AI6045">
        <v>93.998845756156697</v>
      </c>
      <c r="AJ6045">
        <v>107.342193883486</v>
      </c>
      <c r="AK6045">
        <v>16.029575687334699</v>
      </c>
      <c r="AL6045">
        <v>78.178210180531593</v>
      </c>
      <c r="AM6045">
        <v>96.214482866308103</v>
      </c>
      <c r="AN6045">
        <v>0.99999997891744397</v>
      </c>
    </row>
    <row r="6046" spans="1:40" x14ac:dyDescent="0.25">
      <c r="A6046" t="str">
        <f>"20190312173047249"</f>
        <v>20190312173047249</v>
      </c>
      <c r="B6046" t="str">
        <f>"1552383047243842"</f>
        <v>1552383047243842</v>
      </c>
      <c r="C6046" t="s">
        <v>40</v>
      </c>
      <c r="D6046">
        <v>2.9819179999999998</v>
      </c>
      <c r="E6046">
        <v>0.43494670000000002</v>
      </c>
      <c r="F6046" t="s">
        <v>54</v>
      </c>
      <c r="G6046">
        <v>-288.2199</v>
      </c>
      <c r="H6046" s="1">
        <v>-4.066918E-6</v>
      </c>
      <c r="I6046">
        <v>-62.30245</v>
      </c>
      <c r="J6046">
        <v>-297.60329999999999</v>
      </c>
      <c r="K6046">
        <v>1.117882</v>
      </c>
      <c r="L6046">
        <v>-51.744959999999999</v>
      </c>
      <c r="M6046">
        <v>0.4330311</v>
      </c>
      <c r="N6046">
        <v>0</v>
      </c>
      <c r="O6046">
        <v>-0.90127330000000005</v>
      </c>
      <c r="P6046">
        <v>0.51463760000000003</v>
      </c>
      <c r="Q6046">
        <v>0.19388430000000001</v>
      </c>
      <c r="R6046">
        <v>-0.83519889999999997</v>
      </c>
      <c r="S6046">
        <v>2.0887760000000002</v>
      </c>
      <c r="T6046">
        <v>-0.2458707</v>
      </c>
      <c r="U6046">
        <v>-2.3689269999999998</v>
      </c>
      <c r="V6046">
        <v>-0.106044</v>
      </c>
      <c r="W6046">
        <v>0.20538120000000001</v>
      </c>
      <c r="X6046">
        <v>0.97291989999999995</v>
      </c>
      <c r="Y6046">
        <v>-0.26927410000000002</v>
      </c>
      <c r="Z6046">
        <v>7.4597919999999998E-2</v>
      </c>
      <c r="AA6046">
        <v>0.96017010000000003</v>
      </c>
      <c r="AB6046">
        <v>25</v>
      </c>
      <c r="AC6046">
        <v>9.3833999999999893</v>
      </c>
      <c r="AD6046">
        <v>-1.117886066918</v>
      </c>
      <c r="AE6046">
        <v>-10.55749</v>
      </c>
      <c r="AF6046">
        <v>-3.8614693093355501</v>
      </c>
      <c r="AG6046">
        <v>-1.117886066918</v>
      </c>
      <c r="AH6046">
        <v>13.4952508347929</v>
      </c>
      <c r="AI6046">
        <v>94.553395014233004</v>
      </c>
      <c r="AJ6046">
        <v>105.96770173419</v>
      </c>
      <c r="AK6046">
        <v>14.0812786912101</v>
      </c>
      <c r="AL6046">
        <v>78.148184354299801</v>
      </c>
      <c r="AM6046">
        <v>96.2204331078499</v>
      </c>
      <c r="AN6046">
        <v>0.99999994953272298</v>
      </c>
    </row>
    <row r="6047" spans="1:40" x14ac:dyDescent="0.25">
      <c r="A6047" t="str">
        <f>"20190312173047273"</f>
        <v>20190312173047273</v>
      </c>
      <c r="B6047" t="str">
        <f>"1552383047263361"</f>
        <v>1552383047263361</v>
      </c>
      <c r="C6047" t="s">
        <v>40</v>
      </c>
      <c r="D6047">
        <v>3.0964930000000002</v>
      </c>
      <c r="E6047">
        <v>0.43609419999999999</v>
      </c>
      <c r="F6047" t="s">
        <v>54</v>
      </c>
      <c r="G6047">
        <v>-287.84089999999998</v>
      </c>
      <c r="H6047" s="1">
        <v>-4.2008609999999999E-6</v>
      </c>
      <c r="I6047">
        <v>-62.621360000000003</v>
      </c>
      <c r="J6047">
        <v>-297.48140000000001</v>
      </c>
      <c r="K6047">
        <v>1.117917</v>
      </c>
      <c r="L6047">
        <v>-51.968020000000003</v>
      </c>
      <c r="M6047">
        <v>0.44371559999999999</v>
      </c>
      <c r="N6047">
        <v>0</v>
      </c>
      <c r="O6047">
        <v>-0.89605879999999904</v>
      </c>
      <c r="P6047">
        <v>0.52444769999999996</v>
      </c>
      <c r="Q6047">
        <v>0.19421939999999999</v>
      </c>
      <c r="R6047">
        <v>-0.8289955</v>
      </c>
      <c r="S6047">
        <v>2.1083069999999999</v>
      </c>
      <c r="T6047">
        <v>-0.24141979999999999</v>
      </c>
      <c r="U6047">
        <v>-2.3488769999999999</v>
      </c>
      <c r="V6047">
        <v>-0.1060036</v>
      </c>
      <c r="W6047">
        <v>0.205874</v>
      </c>
      <c r="X6047">
        <v>0.97282020000000002</v>
      </c>
      <c r="Y6047">
        <v>-0.26639659999999998</v>
      </c>
      <c r="Z6047">
        <v>7.296424E-2</v>
      </c>
      <c r="AA6047">
        <v>0.9610978</v>
      </c>
      <c r="AB6047">
        <v>25</v>
      </c>
      <c r="AC6047">
        <v>9.6405000000000296</v>
      </c>
      <c r="AD6047">
        <v>-1.117921200861</v>
      </c>
      <c r="AE6047">
        <v>-10.653339999999901</v>
      </c>
      <c r="AF6047">
        <v>-3.8882438251567</v>
      </c>
      <c r="AG6047">
        <v>-1.117921200861</v>
      </c>
      <c r="AH6047">
        <v>13.7418147954573</v>
      </c>
      <c r="AI6047">
        <v>94.475906110755901</v>
      </c>
      <c r="AJ6047">
        <v>105.79885035639801</v>
      </c>
      <c r="AK6047">
        <v>14.325001281949501</v>
      </c>
      <c r="AL6047">
        <v>78.119333096135804</v>
      </c>
      <c r="AM6047">
        <v>96.218714123080005</v>
      </c>
      <c r="AN6047">
        <v>1.0000000043085</v>
      </c>
    </row>
    <row r="6048" spans="1:40" x14ac:dyDescent="0.25">
      <c r="A6048" t="str">
        <f>"20190312173047294"</f>
        <v>20190312173047294</v>
      </c>
      <c r="B6048" t="str">
        <f>"1552383047283858"</f>
        <v>1552383047283858</v>
      </c>
      <c r="C6048" t="s">
        <v>40</v>
      </c>
      <c r="D6048">
        <v>3.1073659999999999</v>
      </c>
      <c r="E6048">
        <v>0.43665979999999999</v>
      </c>
      <c r="F6048" t="s">
        <v>54</v>
      </c>
      <c r="G6048">
        <v>-287.3537</v>
      </c>
      <c r="H6048" s="1">
        <v>-4.3699040000000004E-6</v>
      </c>
      <c r="I6048">
        <v>-63.048879999999997</v>
      </c>
      <c r="J6048">
        <v>-297.36329999999998</v>
      </c>
      <c r="K6048">
        <v>1.1179490000000001</v>
      </c>
      <c r="L6048">
        <v>-52.178069999999998</v>
      </c>
      <c r="M6048">
        <v>0.45386690000000002</v>
      </c>
      <c r="N6048">
        <v>0</v>
      </c>
      <c r="O6048">
        <v>-0.89095769999999996</v>
      </c>
      <c r="P6048">
        <v>0.53392119999999998</v>
      </c>
      <c r="Q6048">
        <v>0.19417680000000001</v>
      </c>
      <c r="R6048">
        <v>-0.82293590000000005</v>
      </c>
      <c r="S6048">
        <v>2.1275940000000002</v>
      </c>
      <c r="T6048">
        <v>-0.23485110000000001</v>
      </c>
      <c r="U6048">
        <v>-2.3278500000000002</v>
      </c>
      <c r="V6048">
        <v>-0.106119</v>
      </c>
      <c r="W6048">
        <v>0.20596130000000001</v>
      </c>
      <c r="X6048">
        <v>0.97278920000000002</v>
      </c>
      <c r="Y6048">
        <v>-0.26421460000000002</v>
      </c>
      <c r="Z6048">
        <v>7.0733229999999994E-2</v>
      </c>
      <c r="AA6048">
        <v>0.96186669999999996</v>
      </c>
      <c r="AB6048">
        <v>25</v>
      </c>
      <c r="AC6048">
        <v>10.009599999999899</v>
      </c>
      <c r="AD6048">
        <v>-1.1179533699040001</v>
      </c>
      <c r="AE6048">
        <v>-10.870810000000001</v>
      </c>
      <c r="AF6048">
        <v>-3.9619500810770401</v>
      </c>
      <c r="AG6048">
        <v>-1.1179533699040001</v>
      </c>
      <c r="AH6048">
        <v>14.1488943630191</v>
      </c>
      <c r="AI6048">
        <v>94.351067607740404</v>
      </c>
      <c r="AJ6048">
        <v>105.64322149687</v>
      </c>
      <c r="AK6048">
        <v>14.7356058537849</v>
      </c>
      <c r="AL6048">
        <v>78.114222345656898</v>
      </c>
      <c r="AM6048">
        <v>96.2256277782582</v>
      </c>
      <c r="AN6048">
        <v>1.00000006344766</v>
      </c>
    </row>
    <row r="6049" spans="1:40" x14ac:dyDescent="0.25">
      <c r="A6049" t="str">
        <f>"20190312173047318"</f>
        <v>20190312173047318</v>
      </c>
      <c r="B6049" t="str">
        <f>"1552383047314114"</f>
        <v>1552383047314114</v>
      </c>
      <c r="C6049" t="s">
        <v>40</v>
      </c>
      <c r="D6049">
        <v>3.1313249999999999</v>
      </c>
      <c r="E6049">
        <v>0.43778830000000002</v>
      </c>
      <c r="F6049" t="s">
        <v>54</v>
      </c>
      <c r="G6049">
        <v>-287.01929999999999</v>
      </c>
      <c r="H6049" s="1">
        <v>-4.4985509999999997E-6</v>
      </c>
      <c r="I6049">
        <v>-63.271720000000002</v>
      </c>
      <c r="J6049">
        <v>-297.23910000000001</v>
      </c>
      <c r="K6049">
        <v>1.1179809999999999</v>
      </c>
      <c r="L6049">
        <v>-52.392910000000001</v>
      </c>
      <c r="M6049">
        <v>0.46434049999999999</v>
      </c>
      <c r="N6049">
        <v>0</v>
      </c>
      <c r="O6049">
        <v>-0.88554239999999995</v>
      </c>
      <c r="P6049">
        <v>0.54372909999999997</v>
      </c>
      <c r="Q6049">
        <v>0.19478970000000001</v>
      </c>
      <c r="R6049">
        <v>-0.81634319999999905</v>
      </c>
      <c r="S6049">
        <v>2.14975</v>
      </c>
      <c r="T6049">
        <v>-0.23233899999999999</v>
      </c>
      <c r="U6049">
        <v>-2.305542</v>
      </c>
      <c r="V6049">
        <v>-0.1063839</v>
      </c>
      <c r="W6049">
        <v>0.2066858</v>
      </c>
      <c r="X6049">
        <v>0.97260650000000004</v>
      </c>
      <c r="Y6049">
        <v>-0.26247490000000001</v>
      </c>
      <c r="Z6049">
        <v>6.968539E-2</v>
      </c>
      <c r="AA6049">
        <v>0.96241929999999998</v>
      </c>
      <c r="AB6049">
        <v>25</v>
      </c>
      <c r="AC6049">
        <v>10.219799999999999</v>
      </c>
      <c r="AD6049">
        <v>-1.1179854985509901</v>
      </c>
      <c r="AE6049">
        <v>-10.8788099999999</v>
      </c>
      <c r="AF6049">
        <v>-3.9766895254661101</v>
      </c>
      <c r="AG6049">
        <v>-1.1179854985509901</v>
      </c>
      <c r="AH6049">
        <v>14.3003446162743</v>
      </c>
      <c r="AI6049">
        <v>94.307433346526594</v>
      </c>
      <c r="AJ6049">
        <v>105.540370210782</v>
      </c>
      <c r="AK6049">
        <v>14.8850195599847</v>
      </c>
      <c r="AL6049">
        <v>78.071797739291199</v>
      </c>
      <c r="AM6049">
        <v>96.242209142128004</v>
      </c>
      <c r="AN6049">
        <v>0.99999997897154902</v>
      </c>
    </row>
    <row r="6050" spans="1:40" x14ac:dyDescent="0.25">
      <c r="A6050" t="str">
        <f>"20190312173047340"</f>
        <v>20190312173047340</v>
      </c>
      <c r="B6050" t="str">
        <f>"1552383047333635"</f>
        <v>1552383047333635</v>
      </c>
      <c r="C6050" t="s">
        <v>40</v>
      </c>
      <c r="D6050">
        <v>3.002758</v>
      </c>
      <c r="E6050">
        <v>0.41891879999999998</v>
      </c>
      <c r="F6050" t="s">
        <v>54</v>
      </c>
      <c r="G6050">
        <v>-286.65429999999998</v>
      </c>
      <c r="H6050" s="1">
        <v>-4.6349960000000004E-6</v>
      </c>
      <c r="I6050">
        <v>-63.536859999999997</v>
      </c>
      <c r="J6050">
        <v>-297.11110000000002</v>
      </c>
      <c r="K6050">
        <v>1.1180289999999999</v>
      </c>
      <c r="L6050">
        <v>-52.608370000000001</v>
      </c>
      <c r="M6050">
        <v>0.47493619999999998</v>
      </c>
      <c r="N6050">
        <v>0</v>
      </c>
      <c r="O6050">
        <v>-0.87990299999999999</v>
      </c>
      <c r="P6050">
        <v>0.55350089999999996</v>
      </c>
      <c r="Q6050">
        <v>0.19518959999999999</v>
      </c>
      <c r="R6050">
        <v>-0.80965290000000001</v>
      </c>
      <c r="S6050">
        <v>2.1698</v>
      </c>
      <c r="T6050">
        <v>-0.22917870000000001</v>
      </c>
      <c r="U6050">
        <v>-2.284424</v>
      </c>
      <c r="V6050">
        <v>-0.1064712</v>
      </c>
      <c r="W6050">
        <v>0.20718639999999999</v>
      </c>
      <c r="X6050">
        <v>0.97249039999999998</v>
      </c>
      <c r="Y6050">
        <v>-0.25983129999999999</v>
      </c>
      <c r="Z6050">
        <v>6.842384E-2</v>
      </c>
      <c r="AA6050">
        <v>0.96322680000000005</v>
      </c>
      <c r="AB6050">
        <v>25</v>
      </c>
      <c r="AC6050">
        <v>10.456799999999999</v>
      </c>
      <c r="AD6050">
        <v>-1.1180336349959901</v>
      </c>
      <c r="AE6050">
        <v>-10.92849</v>
      </c>
      <c r="AF6050">
        <v>-3.98925132912608</v>
      </c>
      <c r="AG6050">
        <v>-1.1180336349959901</v>
      </c>
      <c r="AH6050">
        <v>14.504577776638699</v>
      </c>
      <c r="AI6050">
        <v>94.250504348215401</v>
      </c>
      <c r="AJ6050">
        <v>105.3780596996</v>
      </c>
      <c r="AK6050">
        <v>15.084657830208799</v>
      </c>
      <c r="AL6050">
        <v>78.042480533686998</v>
      </c>
      <c r="AM6050">
        <v>96.248031022065405</v>
      </c>
      <c r="AN6050">
        <v>0.99999994943327797</v>
      </c>
    </row>
    <row r="6051" spans="1:40" x14ac:dyDescent="0.25">
      <c r="A6051" t="str">
        <f>"20190312173047367"</f>
        <v>20190312173047367</v>
      </c>
      <c r="B6051" t="str">
        <f>"1552383047363890"</f>
        <v>1552383047363890</v>
      </c>
      <c r="C6051" t="s">
        <v>40</v>
      </c>
      <c r="D6051">
        <v>3.1591459999999998</v>
      </c>
      <c r="E6051">
        <v>0.4195584</v>
      </c>
      <c r="F6051" t="s">
        <v>54</v>
      </c>
      <c r="G6051">
        <v>-284.35719999999998</v>
      </c>
      <c r="H6051" s="1">
        <v>-5.5890430000000003E-6</v>
      </c>
      <c r="I6051">
        <v>-64.544910000000002</v>
      </c>
      <c r="J6051">
        <v>-296.9631</v>
      </c>
      <c r="K6051">
        <v>1.1180829999999999</v>
      </c>
      <c r="L6051">
        <v>-52.849980000000002</v>
      </c>
      <c r="M6051">
        <v>0.48694989999999999</v>
      </c>
      <c r="N6051">
        <v>0</v>
      </c>
      <c r="O6051">
        <v>-0.87331000000000003</v>
      </c>
      <c r="P6051">
        <v>0.56433739999999999</v>
      </c>
      <c r="Q6051">
        <v>0.19520989999999999</v>
      </c>
      <c r="R6051">
        <v>-0.80213259999999997</v>
      </c>
      <c r="S6051">
        <v>2.3181150000000001</v>
      </c>
      <c r="T6051">
        <v>-0.20321110000000001</v>
      </c>
      <c r="U6051">
        <v>-2.169556</v>
      </c>
      <c r="V6051">
        <v>-0.106245699999999</v>
      </c>
      <c r="W6051">
        <v>0.20731150000000001</v>
      </c>
      <c r="X6051">
        <v>0.97248849999999998</v>
      </c>
      <c r="Y6051">
        <v>-0.30339159999999998</v>
      </c>
      <c r="Z6051">
        <v>6.0639350000000002E-2</v>
      </c>
      <c r="AA6051">
        <v>0.95093450000000002</v>
      </c>
      <c r="AB6051">
        <v>25</v>
      </c>
      <c r="AC6051">
        <v>12.6059</v>
      </c>
      <c r="AD6051">
        <v>-1.1180885890429999</v>
      </c>
      <c r="AE6051">
        <v>-11.694929999999999</v>
      </c>
      <c r="AF6051">
        <v>-5.2921949419764003</v>
      </c>
      <c r="AG6051">
        <v>-1.1180885890429999</v>
      </c>
      <c r="AH6051">
        <v>16.2846031111389</v>
      </c>
      <c r="AI6051">
        <v>93.735975298502098</v>
      </c>
      <c r="AJ6051">
        <v>108.003203516124</v>
      </c>
      <c r="AK6051">
        <v>17.159421548646201</v>
      </c>
      <c r="AL6051">
        <v>78.035154910888807</v>
      </c>
      <c r="AM6051">
        <v>96.234914459427401</v>
      </c>
      <c r="AN6051">
        <v>1.0000000447164901</v>
      </c>
    </row>
    <row r="6052" spans="1:40" x14ac:dyDescent="0.25">
      <c r="A6052" t="str">
        <f>"20190312173047389"</f>
        <v>20190312173047389</v>
      </c>
      <c r="B6052" t="str">
        <f>"1552383047383411"</f>
        <v>1552383047383411</v>
      </c>
      <c r="C6052" t="s">
        <v>40</v>
      </c>
      <c r="D6052">
        <v>3.1565150000000002</v>
      </c>
      <c r="E6052">
        <v>0.4197244</v>
      </c>
      <c r="F6052" t="s">
        <v>54</v>
      </c>
      <c r="G6052">
        <v>-284.38409999999999</v>
      </c>
      <c r="H6052" s="1">
        <v>-5.6122600000000002E-6</v>
      </c>
      <c r="I6052">
        <v>-64.344250000000002</v>
      </c>
      <c r="J6052">
        <v>-296.83199999999999</v>
      </c>
      <c r="K6052">
        <v>1.1181289999999999</v>
      </c>
      <c r="L6052">
        <v>-53.057459999999999</v>
      </c>
      <c r="M6052">
        <v>0.4973765</v>
      </c>
      <c r="N6052">
        <v>0</v>
      </c>
      <c r="O6052">
        <v>-0.86741250000000003</v>
      </c>
      <c r="P6052">
        <v>0.57378750000000001</v>
      </c>
      <c r="Q6052">
        <v>0.19529260000000001</v>
      </c>
      <c r="R6052">
        <v>-0.79537930000000001</v>
      </c>
      <c r="S6052">
        <v>2.343842</v>
      </c>
      <c r="T6052">
        <v>-0.20833299999999999</v>
      </c>
      <c r="U6052">
        <v>-2.141724</v>
      </c>
      <c r="V6052">
        <v>-0.10613400000000001</v>
      </c>
      <c r="W6052">
        <v>0.20747099999999999</v>
      </c>
      <c r="X6052">
        <v>0.97246659999999996</v>
      </c>
      <c r="Y6052">
        <v>-0.30326009999999998</v>
      </c>
      <c r="Z6052">
        <v>6.1880879999999999E-2</v>
      </c>
      <c r="AA6052">
        <v>0.95089639999999997</v>
      </c>
      <c r="AB6052">
        <v>25</v>
      </c>
      <c r="AC6052">
        <v>12.447900000000001</v>
      </c>
      <c r="AD6052">
        <v>-1.11813461226</v>
      </c>
      <c r="AE6052">
        <v>-11.28679</v>
      </c>
      <c r="AF6052">
        <v>-5.1613751067197198</v>
      </c>
      <c r="AG6052">
        <v>-1.11813461226</v>
      </c>
      <c r="AH6052">
        <v>15.9128284907547</v>
      </c>
      <c r="AI6052">
        <v>93.8238642670225</v>
      </c>
      <c r="AJ6052">
        <v>107.97063106549</v>
      </c>
      <c r="AK6052">
        <v>16.7662795091688</v>
      </c>
      <c r="AL6052">
        <v>78.025812156911499</v>
      </c>
      <c r="AM6052">
        <v>96.228550172307806</v>
      </c>
      <c r="AN6052">
        <v>0.99999996495627896</v>
      </c>
    </row>
    <row r="6053" spans="1:40" x14ac:dyDescent="0.25">
      <c r="A6053" t="str">
        <f>"20190312173047409"</f>
        <v>20190312173047409</v>
      </c>
      <c r="B6053" t="str">
        <f>"1552383047404120"</f>
        <v>1552383047404120</v>
      </c>
      <c r="C6053" t="s">
        <v>40</v>
      </c>
      <c r="D6053">
        <v>3.1701990000000002</v>
      </c>
      <c r="E6053">
        <v>0.42078369999999998</v>
      </c>
      <c r="F6053" t="s">
        <v>54</v>
      </c>
      <c r="G6053">
        <v>-284.14049999999997</v>
      </c>
      <c r="H6053" s="1">
        <v>-5.7178209999999996E-6</v>
      </c>
      <c r="I6053">
        <v>-64.388639999999995</v>
      </c>
      <c r="J6053">
        <v>-296.71050000000002</v>
      </c>
      <c r="K6053">
        <v>1.1181700000000001</v>
      </c>
      <c r="L6053">
        <v>-53.244869999999999</v>
      </c>
      <c r="M6053">
        <v>0.50686799999999999</v>
      </c>
      <c r="N6053">
        <v>0</v>
      </c>
      <c r="O6053">
        <v>-0.86189950000000004</v>
      </c>
      <c r="P6053">
        <v>0.58235789999999998</v>
      </c>
      <c r="Q6053">
        <v>0.1952892</v>
      </c>
      <c r="R6053">
        <v>-0.78912689999999996</v>
      </c>
      <c r="S6053">
        <v>2.368347</v>
      </c>
      <c r="T6053">
        <v>-0.20865420000000001</v>
      </c>
      <c r="U6053">
        <v>-2.1145019999999999</v>
      </c>
      <c r="V6053">
        <v>-0.1059949</v>
      </c>
      <c r="W6053">
        <v>0.2075302</v>
      </c>
      <c r="X6053">
        <v>0.97246920000000003</v>
      </c>
      <c r="Y6053">
        <v>-0.30377399999999999</v>
      </c>
      <c r="Z6053">
        <v>6.1722109999999997E-2</v>
      </c>
      <c r="AA6053">
        <v>0.95074270000000005</v>
      </c>
      <c r="AB6053">
        <v>25</v>
      </c>
      <c r="AC6053">
        <v>12.57</v>
      </c>
      <c r="AD6053">
        <v>-1.1181757178209999</v>
      </c>
      <c r="AE6053">
        <v>-11.14377</v>
      </c>
      <c r="AF6053">
        <v>-5.16333384286379</v>
      </c>
      <c r="AG6053">
        <v>-1.1181757178209999</v>
      </c>
      <c r="AH6053">
        <v>15.9073687826022</v>
      </c>
      <c r="AI6053">
        <v>93.825050500142098</v>
      </c>
      <c r="AJ6053">
        <v>107.98278494503499</v>
      </c>
      <c r="AK6053">
        <v>16.761703818362101</v>
      </c>
      <c r="AL6053">
        <v>78.022345494561193</v>
      </c>
      <c r="AM6053">
        <v>96.220434524046297</v>
      </c>
      <c r="AN6053">
        <v>1.00000002384334</v>
      </c>
    </row>
    <row r="6054" spans="1:40" x14ac:dyDescent="0.25">
      <c r="A6054" t="str">
        <f>"20190312173047449"</f>
        <v>20190312173047449</v>
      </c>
      <c r="B6054" t="str">
        <f>"1552383047444140"</f>
        <v>1552383047444140</v>
      </c>
      <c r="C6054" t="s">
        <v>40</v>
      </c>
      <c r="D6054">
        <v>3.1520860000000002</v>
      </c>
      <c r="E6054">
        <v>0.42241499999999998</v>
      </c>
      <c r="F6054" t="s">
        <v>54</v>
      </c>
      <c r="G6054">
        <v>-284.1583</v>
      </c>
      <c r="H6054" s="1">
        <v>-5.7309919999999996E-6</v>
      </c>
      <c r="I6054">
        <v>-64.268140000000002</v>
      </c>
      <c r="J6054">
        <v>-296.47059999999999</v>
      </c>
      <c r="K6054">
        <v>1.118231</v>
      </c>
      <c r="L6054">
        <v>-53.601930000000003</v>
      </c>
      <c r="M6054">
        <v>0.52516890000000005</v>
      </c>
      <c r="N6054">
        <v>0</v>
      </c>
      <c r="O6054">
        <v>-0.85087029999999997</v>
      </c>
      <c r="P6054">
        <v>0.59803869999999903</v>
      </c>
      <c r="Q6054">
        <v>0.1964128</v>
      </c>
      <c r="R6054">
        <v>-0.77702740000000003</v>
      </c>
      <c r="S6054">
        <v>2.3847960000000001</v>
      </c>
      <c r="T6054">
        <v>-0.2124412</v>
      </c>
      <c r="U6054">
        <v>-2.0942989999999999</v>
      </c>
      <c r="V6054">
        <v>-0.1048791</v>
      </c>
      <c r="W6054">
        <v>0.20877080000000001</v>
      </c>
      <c r="X6054">
        <v>0.97232459999999998</v>
      </c>
      <c r="Y6054">
        <v>-0.29115390000000002</v>
      </c>
      <c r="Z6054">
        <v>6.2076770000000003E-2</v>
      </c>
      <c r="AA6054">
        <v>0.95466010000000001</v>
      </c>
      <c r="AB6054">
        <v>25</v>
      </c>
      <c r="AC6054">
        <v>12.312299999999899</v>
      </c>
      <c r="AD6054">
        <v>-1.118236730992</v>
      </c>
      <c r="AE6054">
        <v>-10.66621</v>
      </c>
      <c r="AF6054">
        <v>-4.8522732238050201</v>
      </c>
      <c r="AG6054">
        <v>-1.118236730992</v>
      </c>
      <c r="AH6054">
        <v>15.4703869335105</v>
      </c>
      <c r="AI6054">
        <v>93.945413598252202</v>
      </c>
      <c r="AJ6054">
        <v>107.413987016063</v>
      </c>
      <c r="AK6054">
        <v>16.2520115892627</v>
      </c>
      <c r="AL6054">
        <v>77.949672288437597</v>
      </c>
      <c r="AM6054">
        <v>96.156366217225795</v>
      </c>
      <c r="AN6054">
        <v>1.0000000001573</v>
      </c>
    </row>
    <row r="6055" spans="1:40" x14ac:dyDescent="0.25">
      <c r="A6055" t="str">
        <f>"20190312173047472"</f>
        <v>20190312173047472</v>
      </c>
      <c r="B6055" t="str">
        <f>"1552383047463657"</f>
        <v>1552383047463657</v>
      </c>
      <c r="C6055" t="s">
        <v>40</v>
      </c>
      <c r="D6055">
        <v>2.9910679999999998</v>
      </c>
      <c r="E6055">
        <v>0.4215042</v>
      </c>
      <c r="F6055" t="s">
        <v>54</v>
      </c>
      <c r="G6055">
        <v>-283.74829999999997</v>
      </c>
      <c r="H6055" s="1">
        <v>-5.8962149999999998E-6</v>
      </c>
      <c r="I6055">
        <v>-64.412880000000001</v>
      </c>
      <c r="J6055">
        <v>-296.33319999999998</v>
      </c>
      <c r="K6055">
        <v>1.118266</v>
      </c>
      <c r="L6055">
        <v>-53.798769999999998</v>
      </c>
      <c r="M6055">
        <v>0.53537829999999997</v>
      </c>
      <c r="N6055">
        <v>0</v>
      </c>
      <c r="O6055">
        <v>-0.84448279999999998</v>
      </c>
      <c r="P6055">
        <v>0.60722670000000001</v>
      </c>
      <c r="Q6055">
        <v>0.19615750000000001</v>
      </c>
      <c r="R6055">
        <v>-0.76993420000000001</v>
      </c>
      <c r="S6055">
        <v>2.4172669999999998</v>
      </c>
      <c r="T6055">
        <v>-0.21246770000000001</v>
      </c>
      <c r="U6055">
        <v>-2.0541079999999998</v>
      </c>
      <c r="V6055">
        <v>-0.1046937</v>
      </c>
      <c r="W6055">
        <v>0.20856569999999999</v>
      </c>
      <c r="X6055">
        <v>0.97238860000000005</v>
      </c>
      <c r="Y6055">
        <v>-0.29517290000000002</v>
      </c>
      <c r="Z6055">
        <v>6.1870120000000001E-2</v>
      </c>
      <c r="AA6055">
        <v>0.95343849999999997</v>
      </c>
      <c r="AB6055">
        <v>25</v>
      </c>
      <c r="AC6055">
        <v>12.584899999999999</v>
      </c>
      <c r="AD6055">
        <v>-1.118271896215</v>
      </c>
      <c r="AE6055">
        <v>-10.61411</v>
      </c>
      <c r="AF6055">
        <v>-4.92299476765481</v>
      </c>
      <c r="AG6055">
        <v>-1.118271896215</v>
      </c>
      <c r="AH6055">
        <v>15.6307165850265</v>
      </c>
      <c r="AI6055">
        <v>93.903736845169504</v>
      </c>
      <c r="AJ6055">
        <v>107.48215650682999</v>
      </c>
      <c r="AK6055">
        <v>16.425763619315902</v>
      </c>
      <c r="AL6055">
        <v>77.961688232533803</v>
      </c>
      <c r="AM6055">
        <v>96.145165264200202</v>
      </c>
      <c r="AN6055">
        <v>1.00000000572307</v>
      </c>
    </row>
    <row r="6056" spans="1:40" x14ac:dyDescent="0.25">
      <c r="A6056" t="str">
        <f>"20190312173047493"</f>
        <v>20190312173047493</v>
      </c>
      <c r="B6056" t="str">
        <f>"1552383047484152"</f>
        <v>1552383047484152</v>
      </c>
      <c r="C6056" t="s">
        <v>40</v>
      </c>
      <c r="D6056">
        <v>3.2470819999999998</v>
      </c>
      <c r="E6056">
        <v>0.42242439999999998</v>
      </c>
      <c r="F6056" t="s">
        <v>54</v>
      </c>
      <c r="G6056">
        <v>-283.26530000000002</v>
      </c>
      <c r="H6056" s="1">
        <v>-6.0896000000000001E-6</v>
      </c>
      <c r="I6056">
        <v>-64.590249999999997</v>
      </c>
      <c r="J6056">
        <v>-296.19670000000002</v>
      </c>
      <c r="K6056">
        <v>1.1182989999999999</v>
      </c>
      <c r="L6056">
        <v>-53.989469999999997</v>
      </c>
      <c r="M6056">
        <v>0.5453479</v>
      </c>
      <c r="N6056">
        <v>0</v>
      </c>
      <c r="O6056">
        <v>-0.8380784</v>
      </c>
      <c r="P6056">
        <v>0.61653829999999998</v>
      </c>
      <c r="Q6056">
        <v>0.19600400000000001</v>
      </c>
      <c r="R6056">
        <v>-0.76253740000000003</v>
      </c>
      <c r="S6056">
        <v>2.4465029999999999</v>
      </c>
      <c r="T6056">
        <v>-0.20935699999999999</v>
      </c>
      <c r="U6056">
        <v>-2.0203250000000001</v>
      </c>
      <c r="V6056">
        <v>-0.1049769</v>
      </c>
      <c r="W6056">
        <v>0.2084462</v>
      </c>
      <c r="X6056">
        <v>0.97238369999999996</v>
      </c>
      <c r="Y6056">
        <v>-0.29733559999999998</v>
      </c>
      <c r="Z6056">
        <v>6.067355E-2</v>
      </c>
      <c r="AA6056">
        <v>0.9528432</v>
      </c>
      <c r="AB6056">
        <v>25</v>
      </c>
      <c r="AC6056">
        <v>12.931399999999901</v>
      </c>
      <c r="AD6056">
        <v>-1.1183050896</v>
      </c>
      <c r="AE6056">
        <v>-10.60078</v>
      </c>
      <c r="AF6056">
        <v>-5.0344523802976804</v>
      </c>
      <c r="AG6056">
        <v>-1.1183050896</v>
      </c>
      <c r="AH6056">
        <v>15.867180000129499</v>
      </c>
      <c r="AI6056">
        <v>93.843282862257496</v>
      </c>
      <c r="AJ6056">
        <v>107.603564202022</v>
      </c>
      <c r="AK6056">
        <v>16.684235619273</v>
      </c>
      <c r="AL6056">
        <v>77.968689046324698</v>
      </c>
      <c r="AM6056">
        <v>96.161691257597099</v>
      </c>
      <c r="AN6056">
        <v>1.0000000139268601</v>
      </c>
    </row>
    <row r="6057" spans="1:40" x14ac:dyDescent="0.25">
      <c r="A6057" t="str">
        <f>"20190312173047516"</f>
        <v>20190312173047516</v>
      </c>
      <c r="B6057" t="str">
        <f>"1552383047513433"</f>
        <v>1552383047513433</v>
      </c>
      <c r="C6057" t="s">
        <v>40</v>
      </c>
      <c r="D6057">
        <v>3.1361050000000001</v>
      </c>
      <c r="E6057">
        <v>0.4226916</v>
      </c>
      <c r="F6057" t="s">
        <v>54</v>
      </c>
      <c r="G6057">
        <v>-283.19319999999999</v>
      </c>
      <c r="H6057" s="1">
        <v>-6.1361609999999998E-6</v>
      </c>
      <c r="I6057">
        <v>-64.517409999999998</v>
      </c>
      <c r="J6057">
        <v>-296.05270000000002</v>
      </c>
      <c r="K6057">
        <v>1.118325</v>
      </c>
      <c r="L6057">
        <v>-54.185519999999997</v>
      </c>
      <c r="M6057">
        <v>0.55567339999999998</v>
      </c>
      <c r="N6057">
        <v>0</v>
      </c>
      <c r="O6057">
        <v>-0.83126739999999999</v>
      </c>
      <c r="P6057">
        <v>0.62576730000000003</v>
      </c>
      <c r="Q6057">
        <v>0.1959804</v>
      </c>
      <c r="R6057">
        <v>-0.75498809999999905</v>
      </c>
      <c r="S6057">
        <v>2.464966</v>
      </c>
      <c r="T6057">
        <v>-0.21198819999999999</v>
      </c>
      <c r="U6057">
        <v>-1.9956970000000001</v>
      </c>
      <c r="V6057">
        <v>-0.10478419999999999</v>
      </c>
      <c r="W6057">
        <v>0.20846210000000001</v>
      </c>
      <c r="X6057">
        <v>0.97240110000000002</v>
      </c>
      <c r="Y6057">
        <v>-0.2947321</v>
      </c>
      <c r="Z6057">
        <v>6.105787E-2</v>
      </c>
      <c r="AA6057">
        <v>0.95362729999999996</v>
      </c>
      <c r="AB6057">
        <v>24</v>
      </c>
      <c r="AC6057">
        <v>12.859500000000001</v>
      </c>
      <c r="AD6057">
        <v>-1.118331136161</v>
      </c>
      <c r="AE6057">
        <v>-10.33189</v>
      </c>
      <c r="AF6057">
        <v>-4.9264326848564099</v>
      </c>
      <c r="AG6057">
        <v>-1.118331136161</v>
      </c>
      <c r="AH6057">
        <v>15.6639957419435</v>
      </c>
      <c r="AI6057">
        <v>93.8961745232194</v>
      </c>
      <c r="AJ6057">
        <v>107.458714600129</v>
      </c>
      <c r="AK6057">
        <v>16.458467915700901</v>
      </c>
      <c r="AL6057">
        <v>77.967757868951594</v>
      </c>
      <c r="AM6057">
        <v>96.150358154939198</v>
      </c>
      <c r="AN6057">
        <v>1.00000003749362</v>
      </c>
    </row>
    <row r="6058" spans="1:40" x14ac:dyDescent="0.25">
      <c r="A6058" t="str">
        <f>"20190312173047539"</f>
        <v>20190312173047539</v>
      </c>
      <c r="B6058" t="str">
        <f>"1552383047533928"</f>
        <v>1552383047533928</v>
      </c>
      <c r="C6058" t="s">
        <v>40</v>
      </c>
      <c r="D6058">
        <v>3.0351170000000001</v>
      </c>
      <c r="E6058">
        <v>0.42317959999999899</v>
      </c>
      <c r="F6058" t="s">
        <v>54</v>
      </c>
      <c r="G6058">
        <v>-282.83300000000003</v>
      </c>
      <c r="H6058" s="1">
        <v>-6.2823879999999999E-6</v>
      </c>
      <c r="I6058">
        <v>-64.638660000000002</v>
      </c>
      <c r="J6058">
        <v>-295.90550000000002</v>
      </c>
      <c r="K6058">
        <v>1.1183620000000001</v>
      </c>
      <c r="L6058">
        <v>-54.380580000000002</v>
      </c>
      <c r="M6058">
        <v>0.56603110000000001</v>
      </c>
      <c r="N6058">
        <v>0</v>
      </c>
      <c r="O6058">
        <v>-0.824248599999999</v>
      </c>
      <c r="P6058">
        <v>0.63493789999999894</v>
      </c>
      <c r="Q6058">
        <v>0.19638749999999999</v>
      </c>
      <c r="R6058">
        <v>-0.74718530000000005</v>
      </c>
      <c r="S6058">
        <v>2.4871829999999999</v>
      </c>
      <c r="T6058">
        <v>-0.21040510000000001</v>
      </c>
      <c r="U6058">
        <v>-1.966675</v>
      </c>
      <c r="V6058">
        <v>-0.1045706</v>
      </c>
      <c r="W6058">
        <v>0.2089037</v>
      </c>
      <c r="X6058">
        <v>0.97232929999999995</v>
      </c>
      <c r="Y6058">
        <v>-0.29380250000000002</v>
      </c>
      <c r="Z6058">
        <v>6.023912E-2</v>
      </c>
      <c r="AA6058">
        <v>0.95396610000000004</v>
      </c>
      <c r="AB6058">
        <v>24</v>
      </c>
      <c r="AC6058">
        <v>13.0725</v>
      </c>
      <c r="AD6058">
        <v>-1.1183682823879999</v>
      </c>
      <c r="AE6058">
        <v>-10.25808</v>
      </c>
      <c r="AF6058">
        <v>-4.9467441912529297</v>
      </c>
      <c r="AG6058">
        <v>-1.1183682823879999</v>
      </c>
      <c r="AH6058">
        <v>15.7849163082478</v>
      </c>
      <c r="AI6058">
        <v>93.867783525629306</v>
      </c>
      <c r="AJ6058">
        <v>107.400169455789</v>
      </c>
      <c r="AK6058">
        <v>16.579644404122</v>
      </c>
      <c r="AL6058">
        <v>77.941886200256207</v>
      </c>
      <c r="AM6058">
        <v>96.138366382951702</v>
      </c>
      <c r="AN6058">
        <v>1.0000000169482599</v>
      </c>
    </row>
    <row r="6059" spans="1:40" x14ac:dyDescent="0.25">
      <c r="A6059" t="str">
        <f>"20190312173047563"</f>
        <v>20190312173047563</v>
      </c>
      <c r="B6059" t="str">
        <f>"1552383047553449"</f>
        <v>1552383047553449</v>
      </c>
      <c r="C6059" t="s">
        <v>40</v>
      </c>
      <c r="D6059">
        <v>3.0310830000000002</v>
      </c>
      <c r="E6059">
        <v>0.42365599999999998</v>
      </c>
      <c r="F6059" t="s">
        <v>54</v>
      </c>
      <c r="G6059">
        <v>-282.5147</v>
      </c>
      <c r="H6059" s="1">
        <v>-6.3791670000000004E-6</v>
      </c>
      <c r="I6059">
        <v>-64.728470000000002</v>
      </c>
      <c r="J6059">
        <v>-295.75400000000002</v>
      </c>
      <c r="K6059">
        <v>1.118395</v>
      </c>
      <c r="L6059">
        <v>-54.576259999999998</v>
      </c>
      <c r="M6059">
        <v>0.57649980000000001</v>
      </c>
      <c r="N6059">
        <v>0</v>
      </c>
      <c r="O6059">
        <v>-0.81696049999999998</v>
      </c>
      <c r="P6059">
        <v>0.64430120000000002</v>
      </c>
      <c r="Q6059">
        <v>0.19661770000000001</v>
      </c>
      <c r="R6059">
        <v>-0.73906559999999999</v>
      </c>
      <c r="S6059">
        <v>2.5085139999999999</v>
      </c>
      <c r="T6059">
        <v>-0.20950460000000001</v>
      </c>
      <c r="U6059">
        <v>-1.938477</v>
      </c>
      <c r="V6059">
        <v>-0.10447140000000001</v>
      </c>
      <c r="W6059">
        <v>0.2091625</v>
      </c>
      <c r="X6059">
        <v>0.97228429999999999</v>
      </c>
      <c r="Y6059">
        <v>-0.29227500000000001</v>
      </c>
      <c r="Z6059">
        <v>5.9585409999999998E-2</v>
      </c>
      <c r="AA6059">
        <v>0.9544762</v>
      </c>
      <c r="AB6059">
        <v>24</v>
      </c>
      <c r="AC6059">
        <v>13.2393</v>
      </c>
      <c r="AD6059">
        <v>-1.118401379167</v>
      </c>
      <c r="AE6059">
        <v>-10.15221</v>
      </c>
      <c r="AF6059">
        <v>-4.9415866058658997</v>
      </c>
      <c r="AG6059">
        <v>-1.118401379167</v>
      </c>
      <c r="AH6059">
        <v>15.8569313898041</v>
      </c>
      <c r="AI6059">
        <v>93.852295802004207</v>
      </c>
      <c r="AJ6059">
        <v>107.30890083966101</v>
      </c>
      <c r="AK6059">
        <v>16.6466925522504</v>
      </c>
      <c r="AL6059">
        <v>77.926722777072499</v>
      </c>
      <c r="AM6059">
        <v>96.132869337599899</v>
      </c>
      <c r="AN6059">
        <v>0.99999999242534998</v>
      </c>
    </row>
    <row r="6060" spans="1:40" x14ac:dyDescent="0.25">
      <c r="A6060" t="str">
        <f>"20190312173047583"</f>
        <v>20190312173047583</v>
      </c>
      <c r="B6060" t="str">
        <f>"1552383047573945"</f>
        <v>1552383047573945</v>
      </c>
      <c r="C6060" t="s">
        <v>40</v>
      </c>
      <c r="D6060">
        <v>3.0332729999999999</v>
      </c>
      <c r="E6060">
        <v>0.42424149999999999</v>
      </c>
      <c r="F6060" t="s">
        <v>54</v>
      </c>
      <c r="G6060">
        <v>-282.22899999999998</v>
      </c>
      <c r="H6060" s="1">
        <v>-6.4690740000000002E-6</v>
      </c>
      <c r="I6060">
        <v>-64.779399999999995</v>
      </c>
      <c r="J6060">
        <v>-295.61500000000001</v>
      </c>
      <c r="K6060">
        <v>1.1184240000000001</v>
      </c>
      <c r="L6060">
        <v>-54.750979999999998</v>
      </c>
      <c r="M6060">
        <v>0.58592460000000002</v>
      </c>
      <c r="N6060">
        <v>0</v>
      </c>
      <c r="O6060">
        <v>-0.81022680000000002</v>
      </c>
      <c r="P6060">
        <v>0.65286669999999902</v>
      </c>
      <c r="Q6060">
        <v>0.1962373</v>
      </c>
      <c r="R6060">
        <v>-0.73161200000000004</v>
      </c>
      <c r="S6060">
        <v>2.5303960000000001</v>
      </c>
      <c r="T6060">
        <v>-0.2092417</v>
      </c>
      <c r="U6060">
        <v>-1.9089050000000001</v>
      </c>
      <c r="V6060">
        <v>-0.1044815</v>
      </c>
      <c r="W6060">
        <v>0.2088053</v>
      </c>
      <c r="X6060">
        <v>0.97236</v>
      </c>
      <c r="Y6060">
        <v>-0.29228850000000001</v>
      </c>
      <c r="Z6060">
        <v>5.9171399999999999E-2</v>
      </c>
      <c r="AA6060">
        <v>0.95449790000000001</v>
      </c>
      <c r="AB6060">
        <v>24</v>
      </c>
      <c r="AC6060">
        <v>13.3859999999999</v>
      </c>
      <c r="AD6060">
        <v>-1.1184304690739999</v>
      </c>
      <c r="AE6060">
        <v>-10.028419999999899</v>
      </c>
      <c r="AF6060">
        <v>-4.9482314929222504</v>
      </c>
      <c r="AG6060">
        <v>-1.1184304690739999</v>
      </c>
      <c r="AH6060">
        <v>15.8991859993096</v>
      </c>
      <c r="AI6060">
        <v>93.842634267374393</v>
      </c>
      <c r="AJ6060">
        <v>107.28747176280299</v>
      </c>
      <c r="AK6060">
        <v>16.688918391026501</v>
      </c>
      <c r="AL6060">
        <v>77.947651076887993</v>
      </c>
      <c r="AM6060">
        <v>96.132983865356394</v>
      </c>
      <c r="AN6060">
        <v>1.0000000033751699</v>
      </c>
    </row>
    <row r="6061" spans="1:40" x14ac:dyDescent="0.25">
      <c r="A6061" t="str">
        <f>"20190312173047606"</f>
        <v>20190312173047606</v>
      </c>
      <c r="B6061" t="str">
        <f>"1552383047593466"</f>
        <v>1552383047593466</v>
      </c>
      <c r="C6061" t="s">
        <v>40</v>
      </c>
      <c r="D6061">
        <v>3.1016439999999998</v>
      </c>
      <c r="E6061">
        <v>0.42495630000000001</v>
      </c>
      <c r="F6061" t="s">
        <v>54</v>
      </c>
      <c r="G6061">
        <v>-282.09809999999999</v>
      </c>
      <c r="H6061" s="1">
        <v>-6.5183820000000001E-6</v>
      </c>
      <c r="I6061">
        <v>-64.730559999999997</v>
      </c>
      <c r="J6061">
        <v>-295.46530000000001</v>
      </c>
      <c r="K6061">
        <v>1.1184480000000001</v>
      </c>
      <c r="L6061">
        <v>-54.9343</v>
      </c>
      <c r="M6061">
        <v>0.59589590000000003</v>
      </c>
      <c r="N6061">
        <v>0</v>
      </c>
      <c r="O6061">
        <v>-0.8029212</v>
      </c>
      <c r="P6061">
        <v>0.66200939999999997</v>
      </c>
      <c r="Q6061">
        <v>0.19537280000000001</v>
      </c>
      <c r="R6061">
        <v>-0.72358330000000004</v>
      </c>
      <c r="S6061">
        <v>2.5493160000000001</v>
      </c>
      <c r="T6061">
        <v>-0.2109385</v>
      </c>
      <c r="U6061">
        <v>-1.882172</v>
      </c>
      <c r="V6061">
        <v>-0.1045377</v>
      </c>
      <c r="W6061">
        <v>0.2079626</v>
      </c>
      <c r="X6061">
        <v>0.97253449999999997</v>
      </c>
      <c r="Y6061">
        <v>-0.29031370000000001</v>
      </c>
      <c r="Z6061">
        <v>5.923759E-2</v>
      </c>
      <c r="AA6061">
        <v>0.95509619999999995</v>
      </c>
      <c r="AB6061">
        <v>24</v>
      </c>
      <c r="AC6061">
        <v>13.3672</v>
      </c>
      <c r="AD6061">
        <v>-1.1184545183819901</v>
      </c>
      <c r="AE6061">
        <v>-9.7962599999999895</v>
      </c>
      <c r="AF6061">
        <v>-4.8736116289173204</v>
      </c>
      <c r="AG6061">
        <v>-1.1184545183819901</v>
      </c>
      <c r="AH6061">
        <v>15.761083853257301</v>
      </c>
      <c r="AI6061">
        <v>93.8784811003122</v>
      </c>
      <c r="AJ6061">
        <v>107.18255279831401</v>
      </c>
      <c r="AK6061">
        <v>16.5352591467027</v>
      </c>
      <c r="AL6061">
        <v>77.997017495226302</v>
      </c>
      <c r="AM6061">
        <v>96.135164981851403</v>
      </c>
      <c r="AN6061">
        <v>0.99999996370514899</v>
      </c>
    </row>
    <row r="6062" spans="1:40" x14ac:dyDescent="0.25">
      <c r="A6062" t="str">
        <f>"20190312173047628"</f>
        <v>20190312173047628</v>
      </c>
      <c r="B6062" t="str">
        <f>"1552383047623724"</f>
        <v>1552383047623724</v>
      </c>
      <c r="C6062" t="s">
        <v>40</v>
      </c>
      <c r="D6062">
        <v>2.983368</v>
      </c>
      <c r="E6062">
        <v>0.4257283</v>
      </c>
      <c r="F6062" t="s">
        <v>54</v>
      </c>
      <c r="G6062">
        <v>-282.08659999999998</v>
      </c>
      <c r="H6062" s="1">
        <v>-6.5374929999999997E-6</v>
      </c>
      <c r="I6062">
        <v>-64.594790000000003</v>
      </c>
      <c r="J6062">
        <v>-295.31130000000002</v>
      </c>
      <c r="K6062">
        <v>1.118466</v>
      </c>
      <c r="L6062">
        <v>-55.11786</v>
      </c>
      <c r="M6062">
        <v>0.60594519999999996</v>
      </c>
      <c r="N6062">
        <v>0</v>
      </c>
      <c r="O6062">
        <v>-0.79536419999999997</v>
      </c>
      <c r="P6062">
        <v>0.67110000000000003</v>
      </c>
      <c r="Q6062">
        <v>0.19524420000000001</v>
      </c>
      <c r="R6062">
        <v>-0.7151959</v>
      </c>
      <c r="S6062">
        <v>2.568085</v>
      </c>
      <c r="T6062">
        <v>-0.21469179999999999</v>
      </c>
      <c r="U6062">
        <v>-1.8543700000000001</v>
      </c>
      <c r="V6062">
        <v>-0.1045833</v>
      </c>
      <c r="W6062">
        <v>0.20785339999999999</v>
      </c>
      <c r="X6062">
        <v>0.972553</v>
      </c>
      <c r="Y6062">
        <v>-0.2883387</v>
      </c>
      <c r="Z6062">
        <v>5.9858580000000002E-2</v>
      </c>
      <c r="AA6062">
        <v>0.9556557</v>
      </c>
      <c r="AB6062">
        <v>24</v>
      </c>
      <c r="AC6062">
        <v>13.2247</v>
      </c>
      <c r="AD6062">
        <v>-1.118472537493</v>
      </c>
      <c r="AE6062">
        <v>-9.4769299999999994</v>
      </c>
      <c r="AF6062">
        <v>-4.7540256879430496</v>
      </c>
      <c r="AG6062">
        <v>-1.118472537493</v>
      </c>
      <c r="AH6062">
        <v>15.4796574747471</v>
      </c>
      <c r="AI6062">
        <v>93.951166962806994</v>
      </c>
      <c r="AJ6062">
        <v>107.072475997867</v>
      </c>
      <c r="AK6062">
        <v>16.231806325675599</v>
      </c>
      <c r="AL6062">
        <v>78.003414655303303</v>
      </c>
      <c r="AM6062">
        <v>96.137704893188896</v>
      </c>
      <c r="AN6062">
        <v>1.0000000201697199</v>
      </c>
    </row>
    <row r="6063" spans="1:40" x14ac:dyDescent="0.25">
      <c r="A6063" t="str">
        <f>"20190312173047651"</f>
        <v>20190312173047651</v>
      </c>
      <c r="B6063" t="str">
        <f>"1552383047644216"</f>
        <v>1552383047644216</v>
      </c>
      <c r="C6063" t="s">
        <v>40</v>
      </c>
      <c r="D6063">
        <v>3.0232920000000001</v>
      </c>
      <c r="E6063">
        <v>0.43923230000000002</v>
      </c>
      <c r="F6063" t="s">
        <v>54</v>
      </c>
      <c r="G6063">
        <v>-281.89980000000003</v>
      </c>
      <c r="H6063" s="1">
        <v>-6.6010879999999999E-6</v>
      </c>
      <c r="I6063">
        <v>-64.585229999999996</v>
      </c>
      <c r="J6063">
        <v>-295.15890000000002</v>
      </c>
      <c r="K6063">
        <v>1.118482</v>
      </c>
      <c r="L6063">
        <v>-55.295169999999999</v>
      </c>
      <c r="M6063">
        <v>0.61570899999999995</v>
      </c>
      <c r="N6063">
        <v>0</v>
      </c>
      <c r="O6063">
        <v>-0.78782980000000002</v>
      </c>
      <c r="P6063">
        <v>0.67982730000000002</v>
      </c>
      <c r="Q6063">
        <v>0.195075</v>
      </c>
      <c r="R6063">
        <v>-0.70695200000000002</v>
      </c>
      <c r="S6063">
        <v>2.5869140000000002</v>
      </c>
      <c r="T6063">
        <v>-0.21573980000000001</v>
      </c>
      <c r="U6063">
        <v>-1.826141</v>
      </c>
      <c r="V6063">
        <v>-0.1044982</v>
      </c>
      <c r="W6063">
        <v>0.20770379999999999</v>
      </c>
      <c r="X6063">
        <v>0.97259410000000002</v>
      </c>
      <c r="Y6063">
        <v>-0.28676049999999997</v>
      </c>
      <c r="Z6063">
        <v>5.9721160000000002E-2</v>
      </c>
      <c r="AA6063">
        <v>0.95613899999999996</v>
      </c>
      <c r="AB6063">
        <v>24</v>
      </c>
      <c r="AC6063">
        <v>13.259099999999901</v>
      </c>
      <c r="AD6063">
        <v>-1.118488601088</v>
      </c>
      <c r="AE6063">
        <v>-9.2900600000000093</v>
      </c>
      <c r="AF6063">
        <v>-4.7040243846955603</v>
      </c>
      <c r="AG6063">
        <v>-1.118488601088</v>
      </c>
      <c r="AH6063">
        <v>15.410933400397001</v>
      </c>
      <c r="AI6063">
        <v>93.970864558428204</v>
      </c>
      <c r="AJ6063">
        <v>106.97425535534499</v>
      </c>
      <c r="AK6063">
        <v>16.151647916978799</v>
      </c>
      <c r="AL6063">
        <v>78.0121772525642</v>
      </c>
      <c r="AM6063">
        <v>96.132491499490399</v>
      </c>
      <c r="AN6063">
        <v>1.0000000128462401</v>
      </c>
    </row>
    <row r="6064" spans="1:40" x14ac:dyDescent="0.25">
      <c r="A6064" t="str">
        <f>"20190312173047673"</f>
        <v>20190312173047673</v>
      </c>
      <c r="B6064" t="str">
        <f>"1552383047663737"</f>
        <v>1552383047663737</v>
      </c>
      <c r="C6064" t="s">
        <v>40</v>
      </c>
      <c r="D6064">
        <v>3.142547</v>
      </c>
      <c r="E6064">
        <v>0.44121539999999998</v>
      </c>
      <c r="F6064" t="s">
        <v>54</v>
      </c>
      <c r="G6064">
        <v>-283.47989999999999</v>
      </c>
      <c r="H6064" s="1">
        <v>-6.1096269999999996E-6</v>
      </c>
      <c r="I6064">
        <v>-63.916130000000003</v>
      </c>
      <c r="J6064">
        <v>-294.99709999999999</v>
      </c>
      <c r="K6064">
        <v>1.1184829999999999</v>
      </c>
      <c r="L6064">
        <v>-55.478490000000001</v>
      </c>
      <c r="M6064">
        <v>0.62586079999999999</v>
      </c>
      <c r="N6064">
        <v>0</v>
      </c>
      <c r="O6064">
        <v>-0.77978910000000001</v>
      </c>
      <c r="P6064">
        <v>0.68915839999999995</v>
      </c>
      <c r="Q6064">
        <v>0.1944631</v>
      </c>
      <c r="R6064">
        <v>-0.69802929999999996</v>
      </c>
      <c r="S6064">
        <v>2.5359500000000001</v>
      </c>
      <c r="T6064">
        <v>-0.24286749999999999</v>
      </c>
      <c r="U6064">
        <v>-1.8719479999999999</v>
      </c>
      <c r="V6064">
        <v>-0.10470699999999999</v>
      </c>
      <c r="W6064">
        <v>0.20710619999999999</v>
      </c>
      <c r="X6064">
        <v>0.97269899999999998</v>
      </c>
      <c r="Y6064">
        <v>-0.2534921</v>
      </c>
      <c r="Z6064">
        <v>6.6155779999999997E-2</v>
      </c>
      <c r="AA6064">
        <v>0.96507259999999995</v>
      </c>
      <c r="AB6064">
        <v>24</v>
      </c>
      <c r="AC6064">
        <v>11.517200000000001</v>
      </c>
      <c r="AD6064">
        <v>-1.118489109627</v>
      </c>
      <c r="AE6064">
        <v>-8.43764</v>
      </c>
      <c r="AF6064">
        <v>-3.67804620901937</v>
      </c>
      <c r="AG6064">
        <v>-1.118489109627</v>
      </c>
      <c r="AH6064">
        <v>13.705197968336799</v>
      </c>
      <c r="AI6064">
        <v>94.506820818365</v>
      </c>
      <c r="AJ6064">
        <v>105.022423736075</v>
      </c>
      <c r="AK6064">
        <v>14.234166401842399</v>
      </c>
      <c r="AL6064">
        <v>78.047177410139994</v>
      </c>
      <c r="AM6064">
        <v>96.143993713847493</v>
      </c>
      <c r="AN6064">
        <v>0.99999993926421804</v>
      </c>
    </row>
    <row r="6065" spans="1:40" x14ac:dyDescent="0.25">
      <c r="A6065" t="str">
        <f>"20190312173047694"</f>
        <v>20190312173047694</v>
      </c>
      <c r="B6065" t="str">
        <f>"1552383047683257"</f>
        <v>1552383047683257</v>
      </c>
      <c r="C6065" t="s">
        <v>40</v>
      </c>
      <c r="D6065">
        <v>3.027549</v>
      </c>
      <c r="E6065">
        <v>0.44193149999999998</v>
      </c>
      <c r="F6065" t="s">
        <v>54</v>
      </c>
      <c r="G6065">
        <v>-283.48439999999999</v>
      </c>
      <c r="H6065" s="1">
        <v>-6.1227179999999999E-6</v>
      </c>
      <c r="I6065">
        <v>-63.831020000000002</v>
      </c>
      <c r="J6065">
        <v>-294.84480000000002</v>
      </c>
      <c r="K6065">
        <v>1.118487</v>
      </c>
      <c r="L6065">
        <v>-55.64676</v>
      </c>
      <c r="M6065">
        <v>0.63522699999999999</v>
      </c>
      <c r="N6065">
        <v>0</v>
      </c>
      <c r="O6065">
        <v>-0.77217780000000003</v>
      </c>
      <c r="P6065">
        <v>0.69751809999999903</v>
      </c>
      <c r="Q6065">
        <v>0.1943751</v>
      </c>
      <c r="R6065">
        <v>-0.68970050000000005</v>
      </c>
      <c r="S6065">
        <v>2.5495299999999999</v>
      </c>
      <c r="T6065">
        <v>-0.24769369999999999</v>
      </c>
      <c r="U6065">
        <v>-1.849701</v>
      </c>
      <c r="V6065">
        <v>-0.1046692</v>
      </c>
      <c r="W6065">
        <v>0.20703340000000001</v>
      </c>
      <c r="X6065">
        <v>0.97271859999999999</v>
      </c>
      <c r="Y6065">
        <v>-0.2497028</v>
      </c>
      <c r="Z6065">
        <v>6.6910280000000003E-2</v>
      </c>
      <c r="AA6065">
        <v>0.96600810000000004</v>
      </c>
      <c r="AB6065">
        <v>24</v>
      </c>
      <c r="AC6065">
        <v>11.3604</v>
      </c>
      <c r="AD6065">
        <v>-1.1184931227179999</v>
      </c>
      <c r="AE6065">
        <v>-8.1842599999999894</v>
      </c>
      <c r="AF6065">
        <v>-3.5511319602524298</v>
      </c>
      <c r="AG6065">
        <v>-1.1184931227179999</v>
      </c>
      <c r="AH6065">
        <v>13.4518383854492</v>
      </c>
      <c r="AI6065">
        <v>94.596341795827001</v>
      </c>
      <c r="AJ6065">
        <v>104.788066908164</v>
      </c>
      <c r="AK6065">
        <v>13.9575614278762</v>
      </c>
      <c r="AL6065">
        <v>78.051441352949496</v>
      </c>
      <c r="AM6065">
        <v>96.141669832304004</v>
      </c>
      <c r="AN6065">
        <v>0.99999997246507899</v>
      </c>
    </row>
    <row r="6066" spans="1:40" x14ac:dyDescent="0.25">
      <c r="A6066" t="str">
        <f>"20190312173047718"</f>
        <v>20190312173047718</v>
      </c>
      <c r="B6066" t="str">
        <f>"1552383047713512"</f>
        <v>1552383047713512</v>
      </c>
      <c r="C6066" t="s">
        <v>40</v>
      </c>
      <c r="D6066">
        <v>3.1457540000000002</v>
      </c>
      <c r="E6066">
        <v>0.44169750000000002</v>
      </c>
      <c r="F6066" t="s">
        <v>54</v>
      </c>
      <c r="G6066">
        <v>-283.11700000000002</v>
      </c>
      <c r="H6066" s="1">
        <v>-6.2622919999999999E-6</v>
      </c>
      <c r="I6066">
        <v>-63.975110000000001</v>
      </c>
      <c r="J6066">
        <v>-294.68209999999999</v>
      </c>
      <c r="K6066">
        <v>1.1184970000000001</v>
      </c>
      <c r="L6066">
        <v>-55.822049999999997</v>
      </c>
      <c r="M6066">
        <v>0.64503199999999905</v>
      </c>
      <c r="N6066">
        <v>0</v>
      </c>
      <c r="O6066">
        <v>-0.76400599999999996</v>
      </c>
      <c r="P6066">
        <v>0.70605099999999998</v>
      </c>
      <c r="Q6066">
        <v>0.19455149999999999</v>
      </c>
      <c r="R6066">
        <v>-0.68091250000000003</v>
      </c>
      <c r="S6066">
        <v>2.5668030000000002</v>
      </c>
      <c r="T6066">
        <v>-0.24479899999999999</v>
      </c>
      <c r="U6066">
        <v>-1.822784</v>
      </c>
      <c r="V6066">
        <v>-0.10439950000000001</v>
      </c>
      <c r="W6066">
        <v>0.20722889999999999</v>
      </c>
      <c r="X6066">
        <v>0.97270599999999996</v>
      </c>
      <c r="Y6066">
        <v>-0.24721580000000001</v>
      </c>
      <c r="Z6066">
        <v>6.5565109999999996E-2</v>
      </c>
      <c r="AA6066">
        <v>0.96673969999999998</v>
      </c>
      <c r="AB6066">
        <v>24</v>
      </c>
      <c r="AC6066">
        <v>11.5650999999999</v>
      </c>
      <c r="AD6066">
        <v>-1.1185032622919999</v>
      </c>
      <c r="AE6066">
        <v>-8.15306</v>
      </c>
      <c r="AF6066">
        <v>-3.5550173612434</v>
      </c>
      <c r="AG6066">
        <v>-1.1185032622919999</v>
      </c>
      <c r="AH6066">
        <v>13.605400935118199</v>
      </c>
      <c r="AI6066">
        <v>94.547719564910295</v>
      </c>
      <c r="AJ6066">
        <v>104.643670932765</v>
      </c>
      <c r="AK6066">
        <v>14.1065989023512</v>
      </c>
      <c r="AL6066">
        <v>78.039992268439406</v>
      </c>
      <c r="AM6066">
        <v>96.126043889360503</v>
      </c>
      <c r="AN6066">
        <v>1.00000001751572</v>
      </c>
    </row>
    <row r="6067" spans="1:40" x14ac:dyDescent="0.25">
      <c r="A6067" t="str">
        <f>"20190312173047740"</f>
        <v>20190312173047740</v>
      </c>
      <c r="B6067" t="str">
        <f>"1552383047734012"</f>
        <v>1552383047734012</v>
      </c>
      <c r="C6067" t="s">
        <v>40</v>
      </c>
      <c r="D6067">
        <v>3.1537630000000001</v>
      </c>
      <c r="E6067">
        <v>0.4238769</v>
      </c>
      <c r="F6067" t="s">
        <v>54</v>
      </c>
      <c r="G6067">
        <v>-282.71289999999999</v>
      </c>
      <c r="H6067" s="1">
        <v>-6.3851070000000001E-6</v>
      </c>
      <c r="I6067">
        <v>-64.085679999999996</v>
      </c>
      <c r="J6067">
        <v>-294.51870000000002</v>
      </c>
      <c r="K6067">
        <v>1.1185020000000001</v>
      </c>
      <c r="L6067">
        <v>-55.993560000000002</v>
      </c>
      <c r="M6067">
        <v>0.65467030000000004</v>
      </c>
      <c r="N6067">
        <v>0</v>
      </c>
      <c r="O6067">
        <v>-0.75576319999999997</v>
      </c>
      <c r="P6067">
        <v>0.71463350000000003</v>
      </c>
      <c r="Q6067">
        <v>0.1944004</v>
      </c>
      <c r="R6067">
        <v>-0.67194309999999902</v>
      </c>
      <c r="S6067">
        <v>2.5907290000000001</v>
      </c>
      <c r="T6067">
        <v>-0.2421006</v>
      </c>
      <c r="U6067">
        <v>-1.7886660000000001</v>
      </c>
      <c r="V6067">
        <v>-0.1043729</v>
      </c>
      <c r="W6067">
        <v>0.20709079999999999</v>
      </c>
      <c r="X6067">
        <v>0.97273829999999994</v>
      </c>
      <c r="Y6067">
        <v>-0.24779309999999999</v>
      </c>
      <c r="Z6067">
        <v>6.4321829999999997E-2</v>
      </c>
      <c r="AA6067">
        <v>0.96667530000000002</v>
      </c>
      <c r="AB6067">
        <v>24</v>
      </c>
      <c r="AC6067">
        <v>11.8058</v>
      </c>
      <c r="AD6067">
        <v>-1.1185083851069999</v>
      </c>
      <c r="AE6067">
        <v>-8.0921200000000102</v>
      </c>
      <c r="AF6067">
        <v>-3.6031292193559001</v>
      </c>
      <c r="AG6067">
        <v>-1.1185083851069999</v>
      </c>
      <c r="AH6067">
        <v>13.7621725300782</v>
      </c>
      <c r="AI6067">
        <v>94.495579082655794</v>
      </c>
      <c r="AJ6067">
        <v>104.671525710857</v>
      </c>
      <c r="AK6067">
        <v>14.269933213809001</v>
      </c>
      <c r="AL6067">
        <v>78.048080673571803</v>
      </c>
      <c r="AM6067">
        <v>96.1242930758021</v>
      </c>
      <c r="AN6067">
        <v>1.0000000509929601</v>
      </c>
    </row>
    <row r="6068" spans="1:40" x14ac:dyDescent="0.25">
      <c r="A6068" t="str">
        <f>"20190312173047764"</f>
        <v>20190312173047764</v>
      </c>
      <c r="B6068" t="str">
        <f>"1552383047753530"</f>
        <v>1552383047753530</v>
      </c>
      <c r="C6068" t="s">
        <v>40</v>
      </c>
      <c r="D6068">
        <v>3.123008</v>
      </c>
      <c r="E6068">
        <v>0.42386430000000003</v>
      </c>
      <c r="F6068" t="s">
        <v>54</v>
      </c>
      <c r="G6068">
        <v>-280.66109999999998</v>
      </c>
      <c r="H6068" s="1">
        <v>-7.0318019999999998E-6</v>
      </c>
      <c r="I6068">
        <v>-64.442499999999995</v>
      </c>
      <c r="J6068">
        <v>-294.3467</v>
      </c>
      <c r="K6068">
        <v>1.1185050000000001</v>
      </c>
      <c r="L6068">
        <v>-56.169620000000002</v>
      </c>
      <c r="M6068">
        <v>0.66460710000000001</v>
      </c>
      <c r="N6068">
        <v>0</v>
      </c>
      <c r="O6068">
        <v>-0.74703969999999997</v>
      </c>
      <c r="P6068">
        <v>0.72321000000000002</v>
      </c>
      <c r="Q6068">
        <v>0.19455520000000001</v>
      </c>
      <c r="R6068">
        <v>-0.66265819999999998</v>
      </c>
      <c r="S6068">
        <v>2.7060550000000001</v>
      </c>
      <c r="T6068">
        <v>-0.21841749999999999</v>
      </c>
      <c r="U6068">
        <v>-1.649872</v>
      </c>
      <c r="V6068">
        <v>-0.10404289999999899</v>
      </c>
      <c r="W6068">
        <v>0.2072629</v>
      </c>
      <c r="X6068">
        <v>0.97273699999999996</v>
      </c>
      <c r="Y6068">
        <v>-0.29000340000000002</v>
      </c>
      <c r="Z6068">
        <v>5.8176449999999998E-2</v>
      </c>
      <c r="AA6068">
        <v>0.95525570000000004</v>
      </c>
      <c r="AB6068">
        <v>24</v>
      </c>
      <c r="AC6068">
        <v>13.685600000000001</v>
      </c>
      <c r="AD6068">
        <v>-1.1185120318020001</v>
      </c>
      <c r="AE6068">
        <v>-8.2728800000000007</v>
      </c>
      <c r="AF6068">
        <v>-4.7030058566709698</v>
      </c>
      <c r="AG6068">
        <v>-1.1185120318020001</v>
      </c>
      <c r="AH6068">
        <v>15.2030927842409</v>
      </c>
      <c r="AI6068">
        <v>94.020434441122603</v>
      </c>
      <c r="AJ6068">
        <v>107.1892090365</v>
      </c>
      <c r="AK6068">
        <v>15.9531615505957</v>
      </c>
      <c r="AL6068">
        <v>78.038001409137607</v>
      </c>
      <c r="AM6068">
        <v>96.105084210057697</v>
      </c>
      <c r="AN6068">
        <v>1.0000000529629001</v>
      </c>
    </row>
    <row r="6069" spans="1:40" x14ac:dyDescent="0.25">
      <c r="A6069" t="str">
        <f>"20190312173047784"</f>
        <v>20190312173047784</v>
      </c>
      <c r="B6069" t="str">
        <f>"1552383047774024"</f>
        <v>1552383047774024</v>
      </c>
      <c r="C6069" t="s">
        <v>40</v>
      </c>
      <c r="D6069">
        <v>3.0985429999999998</v>
      </c>
      <c r="E6069">
        <v>0.4242879</v>
      </c>
      <c r="F6069" t="s">
        <v>54</v>
      </c>
      <c r="G6069">
        <v>-280.2638</v>
      </c>
      <c r="H6069" s="1">
        <v>-7.157197E-6</v>
      </c>
      <c r="I6069">
        <v>-64.510120000000001</v>
      </c>
      <c r="J6069">
        <v>-294.19170000000003</v>
      </c>
      <c r="K6069">
        <v>1.1185050000000001</v>
      </c>
      <c r="L6069">
        <v>-56.323970000000003</v>
      </c>
      <c r="M6069">
        <v>0.67336430000000003</v>
      </c>
      <c r="N6069">
        <v>0</v>
      </c>
      <c r="O6069">
        <v>-0.73915589999999998</v>
      </c>
      <c r="P6069">
        <v>0.73135269999999997</v>
      </c>
      <c r="Q6069">
        <v>0.19434499999999999</v>
      </c>
      <c r="R6069">
        <v>-0.6537229</v>
      </c>
      <c r="S6069">
        <v>2.7267459999999999</v>
      </c>
      <c r="T6069">
        <v>-0.21656790000000001</v>
      </c>
      <c r="U6069">
        <v>-1.6148990000000001</v>
      </c>
      <c r="V6069">
        <v>-0.1045681</v>
      </c>
      <c r="W6069">
        <v>0.20705119999999999</v>
      </c>
      <c r="X6069">
        <v>0.97272570000000003</v>
      </c>
      <c r="Y6069">
        <v>-0.29102129999999998</v>
      </c>
      <c r="Z6069">
        <v>5.7267020000000002E-2</v>
      </c>
      <c r="AA6069">
        <v>0.95500110000000005</v>
      </c>
      <c r="AB6069">
        <v>24</v>
      </c>
      <c r="AC6069">
        <v>13.927899999999999</v>
      </c>
      <c r="AD6069">
        <v>-1.11851215719699</v>
      </c>
      <c r="AE6069">
        <v>-8.1861499999999996</v>
      </c>
      <c r="AF6069">
        <v>-4.7603579766258601</v>
      </c>
      <c r="AG6069">
        <v>-1.11851215719699</v>
      </c>
      <c r="AH6069">
        <v>15.3575447103988</v>
      </c>
      <c r="AI6069">
        <v>93.979432968652802</v>
      </c>
      <c r="AJ6069">
        <v>107.221799395427</v>
      </c>
      <c r="AK6069">
        <v>16.117265805443601</v>
      </c>
      <c r="AL6069">
        <v>78.050399078841096</v>
      </c>
      <c r="AM6069">
        <v>96.135738420700505</v>
      </c>
      <c r="AN6069">
        <v>0.99999998719976901</v>
      </c>
    </row>
    <row r="6070" spans="1:40" x14ac:dyDescent="0.25">
      <c r="A6070" t="str">
        <f>"20190312173047807"</f>
        <v>20190312173047807</v>
      </c>
      <c r="B6070" t="str">
        <f>"1552383047804281"</f>
        <v>1552383047804281</v>
      </c>
      <c r="C6070" t="s">
        <v>40</v>
      </c>
      <c r="D6070">
        <v>3.0701350000000001</v>
      </c>
      <c r="E6070">
        <v>0.42550120000000002</v>
      </c>
      <c r="F6070" t="s">
        <v>54</v>
      </c>
      <c r="G6070">
        <v>-280.14839999999998</v>
      </c>
      <c r="H6070" s="1">
        <v>-7.2047190000000001E-6</v>
      </c>
      <c r="I6070">
        <v>-64.431060000000002</v>
      </c>
      <c r="J6070">
        <v>-294.02409999999998</v>
      </c>
      <c r="K6070">
        <v>1.1185039999999999</v>
      </c>
      <c r="L6070">
        <v>-56.486660000000001</v>
      </c>
      <c r="M6070">
        <v>0.68262829999999997</v>
      </c>
      <c r="N6070">
        <v>0</v>
      </c>
      <c r="O6070">
        <v>-0.73060890000000001</v>
      </c>
      <c r="P6070">
        <v>0.73958519999999905</v>
      </c>
      <c r="Q6070">
        <v>0.19460179999999999</v>
      </c>
      <c r="R6070">
        <v>-0.64431709999999998</v>
      </c>
      <c r="S6070">
        <v>2.7440799999999999</v>
      </c>
      <c r="T6070">
        <v>-0.21855910000000001</v>
      </c>
      <c r="U6070">
        <v>-1.5841369999999999</v>
      </c>
      <c r="V6070">
        <v>-0.1046981</v>
      </c>
      <c r="W6070">
        <v>0.20731330000000001</v>
      </c>
      <c r="X6070">
        <v>0.97265590000000002</v>
      </c>
      <c r="Y6070">
        <v>-0.28958679999999998</v>
      </c>
      <c r="Z6070">
        <v>5.7273159999999997E-2</v>
      </c>
      <c r="AA6070">
        <v>0.95543670000000003</v>
      </c>
      <c r="AB6070">
        <v>24</v>
      </c>
      <c r="AC6070">
        <v>13.875699999999901</v>
      </c>
      <c r="AD6070">
        <v>-1.118511204719</v>
      </c>
      <c r="AE6070">
        <v>-7.9443999999999999</v>
      </c>
      <c r="AF6070">
        <v>-4.6922158327444503</v>
      </c>
      <c r="AG6070">
        <v>-1.118511204719</v>
      </c>
      <c r="AH6070">
        <v>15.203544512016901</v>
      </c>
      <c r="AI6070">
        <v>94.021125020739305</v>
      </c>
      <c r="AJ6070">
        <v>107.15160909615599</v>
      </c>
      <c r="AK6070">
        <v>15.950414491950299</v>
      </c>
      <c r="AL6070">
        <v>78.035048922783304</v>
      </c>
      <c r="AM6070">
        <v>96.143745619405394</v>
      </c>
      <c r="AN6070">
        <v>0.99999999815265495</v>
      </c>
    </row>
    <row r="6071" spans="1:40" x14ac:dyDescent="0.25">
      <c r="A6071" t="str">
        <f>"20190312173047829"</f>
        <v>20190312173047829</v>
      </c>
      <c r="B6071" t="str">
        <f>"1552383047823804"</f>
        <v>1552383047823804</v>
      </c>
      <c r="C6071" t="s">
        <v>40</v>
      </c>
      <c r="D6071">
        <v>2.9786510000000002</v>
      </c>
      <c r="E6071">
        <v>0.42639949999999999</v>
      </c>
      <c r="F6071" t="s">
        <v>41</v>
      </c>
      <c r="G6071">
        <v>-279.8501</v>
      </c>
      <c r="H6071" s="1">
        <v>-3.9379839999999998E-6</v>
      </c>
      <c r="I6071">
        <v>-64.487009999999998</v>
      </c>
      <c r="J6071">
        <v>-293.8494</v>
      </c>
      <c r="K6071">
        <v>1.118493</v>
      </c>
      <c r="L6071">
        <v>-56.652099999999997</v>
      </c>
      <c r="M6071">
        <v>0.69207959999999902</v>
      </c>
      <c r="N6071">
        <v>0</v>
      </c>
      <c r="O6071">
        <v>-0.72166200000000003</v>
      </c>
      <c r="P6071">
        <v>0.74798719999999996</v>
      </c>
      <c r="Q6071">
        <v>0.19457659999999999</v>
      </c>
      <c r="R6071">
        <v>-0.63455130000000004</v>
      </c>
      <c r="S6071">
        <v>2.7575989999999999</v>
      </c>
      <c r="T6071">
        <v>-0.21760850000000001</v>
      </c>
      <c r="U6071">
        <v>-1.5564880000000001</v>
      </c>
      <c r="V6071">
        <v>-0.1048061</v>
      </c>
      <c r="W6071">
        <v>0.20729420000000001</v>
      </c>
      <c r="X6071">
        <v>0.97264830000000002</v>
      </c>
      <c r="Y6071">
        <v>-0.28643039999999997</v>
      </c>
      <c r="Z6071">
        <v>5.6463109999999997E-2</v>
      </c>
      <c r="AA6071">
        <v>0.95643590000000001</v>
      </c>
      <c r="AB6071">
        <v>24</v>
      </c>
      <c r="AC6071">
        <v>13.9993</v>
      </c>
      <c r="AD6071">
        <v>-1.118496937984</v>
      </c>
      <c r="AE6071">
        <v>-7.8349099999999998</v>
      </c>
      <c r="AF6071">
        <v>-4.6582758065976204</v>
      </c>
      <c r="AG6071">
        <v>-1.118496937984</v>
      </c>
      <c r="AH6071">
        <v>15.270322095911499</v>
      </c>
      <c r="AI6071">
        <v>94.007546569875402</v>
      </c>
      <c r="AJ6071">
        <v>106.964546689524</v>
      </c>
      <c r="AK6071">
        <v>16.004165264189599</v>
      </c>
      <c r="AL6071">
        <v>78.036167106452496</v>
      </c>
      <c r="AM6071">
        <v>96.150082267130699</v>
      </c>
      <c r="AN6071">
        <v>0.99999995972186895</v>
      </c>
    </row>
    <row r="6072" spans="1:40" x14ac:dyDescent="0.25">
      <c r="A6072" t="str">
        <f>"20190312173047852"</f>
        <v>20190312173047852</v>
      </c>
      <c r="B6072" t="str">
        <f>"1552383047844300"</f>
        <v>1552383047844300</v>
      </c>
      <c r="C6072" t="s">
        <v>40</v>
      </c>
      <c r="D6072">
        <v>3.094239</v>
      </c>
      <c r="E6072">
        <v>0.43276249999999999</v>
      </c>
      <c r="F6072" t="s">
        <v>41</v>
      </c>
      <c r="G6072">
        <v>-279.70530000000002</v>
      </c>
      <c r="H6072" s="1">
        <v>-3.8817910000000002E-6</v>
      </c>
      <c r="I6072">
        <v>-64.435199999999995</v>
      </c>
      <c r="J6072">
        <v>-293.68119999999999</v>
      </c>
      <c r="K6072">
        <v>1.118474</v>
      </c>
      <c r="L6072">
        <v>-56.807189999999999</v>
      </c>
      <c r="M6072">
        <v>0.70096230000000004</v>
      </c>
      <c r="N6072">
        <v>0</v>
      </c>
      <c r="O6072">
        <v>-0.71303719999999904</v>
      </c>
      <c r="P6072">
        <v>0.75544100000000003</v>
      </c>
      <c r="Q6072">
        <v>0.19483719999999999</v>
      </c>
      <c r="R6072">
        <v>-0.62557790000000002</v>
      </c>
      <c r="S6072">
        <v>2.7732239999999999</v>
      </c>
      <c r="T6072">
        <v>-0.21930359999999999</v>
      </c>
      <c r="U6072">
        <v>-1.5260309999999999</v>
      </c>
      <c r="V6072">
        <v>-0.1043198</v>
      </c>
      <c r="W6072">
        <v>0.20757220000000001</v>
      </c>
      <c r="X6072">
        <v>0.97264130000000004</v>
      </c>
      <c r="Y6072">
        <v>-0.2848926</v>
      </c>
      <c r="Z6072">
        <v>5.637698E-2</v>
      </c>
      <c r="AA6072">
        <v>0.95690010000000003</v>
      </c>
      <c r="AB6072">
        <v>24</v>
      </c>
      <c r="AC6072">
        <v>13.9758999999999</v>
      </c>
      <c r="AD6072">
        <v>-1.1184778817909999</v>
      </c>
      <c r="AE6072">
        <v>-7.6280099999999802</v>
      </c>
      <c r="AF6072">
        <v>-4.5962391272607004</v>
      </c>
      <c r="AG6072">
        <v>-1.1184778817909999</v>
      </c>
      <c r="AH6072">
        <v>15.1625629830853</v>
      </c>
      <c r="AI6072">
        <v>94.0380197680674</v>
      </c>
      <c r="AJ6072">
        <v>106.863669904719</v>
      </c>
      <c r="AK6072">
        <v>15.883315872419301</v>
      </c>
      <c r="AL6072">
        <v>78.019884832776896</v>
      </c>
      <c r="AM6072">
        <v>96.121806807649094</v>
      </c>
      <c r="AN6072">
        <v>0.99999996867528396</v>
      </c>
    </row>
    <row r="6073" spans="1:40" x14ac:dyDescent="0.25">
      <c r="A6073" t="str">
        <f>"20190312173047873"</f>
        <v>20190312173047873</v>
      </c>
      <c r="B6073" t="str">
        <f>"1552383047863816"</f>
        <v>1552383047863816</v>
      </c>
      <c r="C6073" t="s">
        <v>40</v>
      </c>
      <c r="D6073">
        <v>3.0702470000000002</v>
      </c>
      <c r="E6073">
        <v>0.4338264</v>
      </c>
      <c r="F6073" t="s">
        <v>41</v>
      </c>
      <c r="G6073">
        <v>-279.42779999999999</v>
      </c>
      <c r="H6073" s="1">
        <v>-3.825284E-6</v>
      </c>
      <c r="I6073">
        <v>-64.71902</v>
      </c>
      <c r="J6073">
        <v>-293.50979999999998</v>
      </c>
      <c r="K6073">
        <v>1.118455</v>
      </c>
      <c r="L6073">
        <v>-56.96161</v>
      </c>
      <c r="M6073">
        <v>0.70982469999999998</v>
      </c>
      <c r="N6073">
        <v>0</v>
      </c>
      <c r="O6073">
        <v>-0.70421529999999999</v>
      </c>
      <c r="P6073">
        <v>0.76329419999999903</v>
      </c>
      <c r="Q6073">
        <v>0.194803</v>
      </c>
      <c r="R6073">
        <v>-0.61598229999999998</v>
      </c>
      <c r="S6073">
        <v>2.7588810000000001</v>
      </c>
      <c r="T6073">
        <v>-0.21649099999999999</v>
      </c>
      <c r="U6073">
        <v>-1.5314030000000001</v>
      </c>
      <c r="V6073">
        <v>-0.1044411</v>
      </c>
      <c r="W6073">
        <v>0.20754230000000001</v>
      </c>
      <c r="X6073">
        <v>0.97263469999999996</v>
      </c>
      <c r="Y6073">
        <v>-0.26942250000000001</v>
      </c>
      <c r="Z6073">
        <v>5.4916300000000001E-2</v>
      </c>
      <c r="AA6073">
        <v>0.96145499999999995</v>
      </c>
      <c r="AB6073">
        <v>24</v>
      </c>
      <c r="AC6073">
        <v>14.081999999999899</v>
      </c>
      <c r="AD6073">
        <v>-1.118458825284</v>
      </c>
      <c r="AE6073">
        <v>-7.7574100000000001</v>
      </c>
      <c r="AF6073">
        <v>-4.3896210851879198</v>
      </c>
      <c r="AG6073">
        <v>-1.118458825284</v>
      </c>
      <c r="AH6073">
        <v>15.385951588702699</v>
      </c>
      <c r="AI6073">
        <v>93.998709851725593</v>
      </c>
      <c r="AJ6073">
        <v>105.923479461802</v>
      </c>
      <c r="AK6073">
        <v>16.038928570988901</v>
      </c>
      <c r="AL6073">
        <v>78.021636551850506</v>
      </c>
      <c r="AM6073">
        <v>96.128912192363202</v>
      </c>
      <c r="AN6073">
        <v>1.00000000465129</v>
      </c>
    </row>
    <row r="6074" spans="1:40" x14ac:dyDescent="0.25">
      <c r="A6074" t="str">
        <f>"20190312173047896"</f>
        <v>20190312173047896</v>
      </c>
      <c r="B6074" t="str">
        <f>"1552383047884313"</f>
        <v>1552383047884313</v>
      </c>
      <c r="C6074" t="s">
        <v>40</v>
      </c>
      <c r="D6074">
        <v>3.0798480000000001</v>
      </c>
      <c r="E6074">
        <v>0.43463069999999998</v>
      </c>
      <c r="F6074" t="s">
        <v>41</v>
      </c>
      <c r="G6074">
        <v>-278.88310000000001</v>
      </c>
      <c r="H6074" s="1">
        <v>-3.6630100000000002E-6</v>
      </c>
      <c r="I6074">
        <v>-64.891549999999995</v>
      </c>
      <c r="J6074">
        <v>-293.33699999999999</v>
      </c>
      <c r="K6074">
        <v>1.118441</v>
      </c>
      <c r="L6074">
        <v>-57.113219999999998</v>
      </c>
      <c r="M6074">
        <v>0.71854479999999998</v>
      </c>
      <c r="N6074">
        <v>0</v>
      </c>
      <c r="O6074">
        <v>-0.69531519999999902</v>
      </c>
      <c r="P6074">
        <v>0.77096659999999995</v>
      </c>
      <c r="Q6074">
        <v>0.1941195</v>
      </c>
      <c r="R6074">
        <v>-0.60657090000000002</v>
      </c>
      <c r="S6074">
        <v>2.7717290000000001</v>
      </c>
      <c r="T6074">
        <v>-0.21194679999999999</v>
      </c>
      <c r="U6074">
        <v>-1.5027159999999999</v>
      </c>
      <c r="V6074">
        <v>-0.1043487</v>
      </c>
      <c r="W6074">
        <v>0.2068692</v>
      </c>
      <c r="X6074">
        <v>0.97278799999999999</v>
      </c>
      <c r="Y6074">
        <v>-0.26706729999999901</v>
      </c>
      <c r="Z6074">
        <v>5.3233900000000001E-2</v>
      </c>
      <c r="AA6074">
        <v>0.96220640000000002</v>
      </c>
      <c r="AB6074">
        <v>24</v>
      </c>
      <c r="AC6074">
        <v>14.4538999999999</v>
      </c>
      <c r="AD6074">
        <v>-1.11844466301</v>
      </c>
      <c r="AE6074">
        <v>-7.7783299999999898</v>
      </c>
      <c r="AF6074">
        <v>-4.4408322230576696</v>
      </c>
      <c r="AG6074">
        <v>-1.11844466301</v>
      </c>
      <c r="AH6074">
        <v>15.7229810152661</v>
      </c>
      <c r="AI6074">
        <v>93.916145941342094</v>
      </c>
      <c r="AJ6074">
        <v>105.771915175361</v>
      </c>
      <c r="AK6074">
        <v>16.376325635013</v>
      </c>
      <c r="AL6074">
        <v>78.061057892210599</v>
      </c>
      <c r="AM6074">
        <v>96.122573434988894</v>
      </c>
      <c r="AN6074">
        <v>1.00000000502216</v>
      </c>
    </row>
    <row r="6075" spans="1:40" x14ac:dyDescent="0.25">
      <c r="A6075" t="str">
        <f>"20190312173047919"</f>
        <v>20190312173047919</v>
      </c>
      <c r="B6075" t="str">
        <f>"1552383047913592"</f>
        <v>1552383047913592</v>
      </c>
      <c r="C6075" t="s">
        <v>40</v>
      </c>
      <c r="D6075">
        <v>3.0759569999999998</v>
      </c>
      <c r="E6075">
        <v>0.43544319999999997</v>
      </c>
      <c r="F6075" t="s">
        <v>41</v>
      </c>
      <c r="G6075">
        <v>-278.68060000000003</v>
      </c>
      <c r="H6075" s="1">
        <v>-3.590517E-6</v>
      </c>
      <c r="I6075">
        <v>-64.864829999999998</v>
      </c>
      <c r="J6075">
        <v>-293.15410000000003</v>
      </c>
      <c r="K6075">
        <v>1.1184160000000001</v>
      </c>
      <c r="L6075">
        <v>-57.269739999999999</v>
      </c>
      <c r="M6075">
        <v>0.72756140000000002</v>
      </c>
      <c r="N6075">
        <v>0</v>
      </c>
      <c r="O6075">
        <v>-0.68587489999999995</v>
      </c>
      <c r="P6075">
        <v>0.778976</v>
      </c>
      <c r="Q6075">
        <v>0.1943472</v>
      </c>
      <c r="R6075">
        <v>-0.59617600000000004</v>
      </c>
      <c r="S6075">
        <v>2.7855829999999999</v>
      </c>
      <c r="T6075">
        <v>-0.21257090000000001</v>
      </c>
      <c r="U6075">
        <v>-1.4732670000000001</v>
      </c>
      <c r="V6075">
        <v>-0.1046492</v>
      </c>
      <c r="W6075">
        <v>0.2070959</v>
      </c>
      <c r="X6075">
        <v>0.97270749999999995</v>
      </c>
      <c r="Y6075">
        <v>-0.26441870000000001</v>
      </c>
      <c r="Z6075">
        <v>5.279756E-2</v>
      </c>
      <c r="AA6075">
        <v>0.96296170000000003</v>
      </c>
      <c r="AB6075">
        <v>24</v>
      </c>
      <c r="AC6075">
        <v>14.4735</v>
      </c>
      <c r="AD6075">
        <v>-1.118419590517</v>
      </c>
      <c r="AE6075">
        <v>-7.5950899999999901</v>
      </c>
      <c r="AF6075">
        <v>-4.3811102441205696</v>
      </c>
      <c r="AG6075">
        <v>-1.118419590517</v>
      </c>
      <c r="AH6075">
        <v>15.668095065133899</v>
      </c>
      <c r="AI6075">
        <v>93.932614340720406</v>
      </c>
      <c r="AJ6075">
        <v>105.62204645696499</v>
      </c>
      <c r="AK6075">
        <v>16.307488841684499</v>
      </c>
      <c r="AL6075">
        <v>78.047781659062494</v>
      </c>
      <c r="AM6075">
        <v>96.140574796223305</v>
      </c>
      <c r="AN6075">
        <v>1.00000002370684</v>
      </c>
    </row>
    <row r="6076" spans="1:40" x14ac:dyDescent="0.25">
      <c r="A6076" t="str">
        <f>"20190312173047940"</f>
        <v>20190312173047940</v>
      </c>
      <c r="B6076" t="str">
        <f>"1552383047934092"</f>
        <v>1552383047934092</v>
      </c>
      <c r="C6076" t="s">
        <v>40</v>
      </c>
      <c r="D6076">
        <v>2.9847510000000002</v>
      </c>
      <c r="E6076">
        <v>0.43729560000000001</v>
      </c>
      <c r="F6076" t="s">
        <v>41</v>
      </c>
      <c r="G6076">
        <v>-278.34379999999999</v>
      </c>
      <c r="H6076" s="1">
        <v>-3.4791260000000002E-6</v>
      </c>
      <c r="I6076">
        <v>-64.889030000000005</v>
      </c>
      <c r="J6076">
        <v>-292.97919999999999</v>
      </c>
      <c r="K6076">
        <v>1.118395</v>
      </c>
      <c r="L6076">
        <v>-57.415590000000002</v>
      </c>
      <c r="M6076">
        <v>0.73597679999999999</v>
      </c>
      <c r="N6076">
        <v>0</v>
      </c>
      <c r="O6076">
        <v>-0.67683700000000002</v>
      </c>
      <c r="P6076">
        <v>0.78604209999999997</v>
      </c>
      <c r="Q6076">
        <v>0.1945963</v>
      </c>
      <c r="R6076">
        <v>-0.58674559999999998</v>
      </c>
      <c r="S6076">
        <v>2.8010860000000002</v>
      </c>
      <c r="T6076">
        <v>-0.21152750000000001</v>
      </c>
      <c r="U6076">
        <v>-1.4410400000000001</v>
      </c>
      <c r="V6076">
        <v>-0.1043075</v>
      </c>
      <c r="W6076">
        <v>0.20735580000000001</v>
      </c>
      <c r="X6076">
        <v>0.97268880000000002</v>
      </c>
      <c r="Y6076">
        <v>-0.26346900000000001</v>
      </c>
      <c r="Z6076">
        <v>5.2004380000000003E-2</v>
      </c>
      <c r="AA6076">
        <v>0.96326509999999999</v>
      </c>
      <c r="AB6076">
        <v>24</v>
      </c>
      <c r="AC6076">
        <v>14.635400000000001</v>
      </c>
      <c r="AD6076">
        <v>-1.118398479126</v>
      </c>
      <c r="AE6076">
        <v>-7.4734400000000001</v>
      </c>
      <c r="AF6076">
        <v>-4.3856942817541604</v>
      </c>
      <c r="AG6076">
        <v>-1.118398479126</v>
      </c>
      <c r="AH6076">
        <v>15.7584443376781</v>
      </c>
      <c r="AI6076">
        <v>93.911387839526498</v>
      </c>
      <c r="AJ6076">
        <v>105.552287354168</v>
      </c>
      <c r="AK6076">
        <v>16.395538949202699</v>
      </c>
      <c r="AL6076">
        <v>78.032559688199797</v>
      </c>
      <c r="AM6076">
        <v>96.120793839235006</v>
      </c>
      <c r="AN6076">
        <v>0.99999999199766498</v>
      </c>
    </row>
    <row r="6077" spans="1:40" x14ac:dyDescent="0.25">
      <c r="A6077" t="str">
        <f>"20190312173047964"</f>
        <v>20190312173047964</v>
      </c>
      <c r="B6077" t="str">
        <f>"1552383047953608"</f>
        <v>1552383047953608</v>
      </c>
      <c r="C6077" t="s">
        <v>40</v>
      </c>
      <c r="D6077">
        <v>2.9826769999999998</v>
      </c>
      <c r="E6077">
        <v>0.43867509999999998</v>
      </c>
      <c r="F6077" t="s">
        <v>41</v>
      </c>
      <c r="G6077">
        <v>-278.47930000000002</v>
      </c>
      <c r="H6077" s="1">
        <v>-3.5056049999999999E-6</v>
      </c>
      <c r="I6077">
        <v>-64.742050000000006</v>
      </c>
      <c r="J6077">
        <v>-292.79489999999998</v>
      </c>
      <c r="K6077">
        <v>1.1183730000000001</v>
      </c>
      <c r="L6077">
        <v>-57.565399999999997</v>
      </c>
      <c r="M6077">
        <v>0.74463630000000003</v>
      </c>
      <c r="N6077">
        <v>0</v>
      </c>
      <c r="O6077">
        <v>-0.66729859999999996</v>
      </c>
      <c r="P6077">
        <v>0.79311100000000001</v>
      </c>
      <c r="Q6077">
        <v>0.19479379999999999</v>
      </c>
      <c r="R6077">
        <v>-0.5770883</v>
      </c>
      <c r="S6077">
        <v>2.8103030000000002</v>
      </c>
      <c r="T6077">
        <v>-0.21676290000000001</v>
      </c>
      <c r="U6077">
        <v>-1.419983</v>
      </c>
      <c r="V6077">
        <v>-0.10362739999999999</v>
      </c>
      <c r="W6077">
        <v>0.2075708</v>
      </c>
      <c r="X6077">
        <v>0.97271569999999996</v>
      </c>
      <c r="Y6077">
        <v>-0.25799519999999998</v>
      </c>
      <c r="Z6077">
        <v>5.2587420000000003E-2</v>
      </c>
      <c r="AA6077">
        <v>0.96471399999999996</v>
      </c>
      <c r="AB6077">
        <v>24</v>
      </c>
      <c r="AC6077">
        <v>14.3155999999999</v>
      </c>
      <c r="AD6077">
        <v>-1.1183765056049999</v>
      </c>
      <c r="AE6077">
        <v>-7.1766500000000004</v>
      </c>
      <c r="AF6077">
        <v>-4.1888378088192599</v>
      </c>
      <c r="AG6077">
        <v>-1.1183765056049999</v>
      </c>
      <c r="AH6077">
        <v>15.375662508306601</v>
      </c>
      <c r="AI6077">
        <v>94.014382966727197</v>
      </c>
      <c r="AJ6077">
        <v>105.23942402521</v>
      </c>
      <c r="AK6077">
        <v>15.975234764041099</v>
      </c>
      <c r="AL6077">
        <v>78.0199678706241</v>
      </c>
      <c r="AM6077">
        <v>96.081018472562903</v>
      </c>
      <c r="AN6077">
        <v>1.0000000540349401</v>
      </c>
    </row>
    <row r="6078" spans="1:40" x14ac:dyDescent="0.25">
      <c r="A6078" t="str">
        <f>"20190312173047985"</f>
        <v>20190312173047985</v>
      </c>
      <c r="B6078" t="str">
        <f>"1552383047974104"</f>
        <v>1552383047974104</v>
      </c>
      <c r="C6078" t="s">
        <v>40</v>
      </c>
      <c r="D6078">
        <v>3.0170759999999999</v>
      </c>
      <c r="E6078">
        <v>0.44015539999999997</v>
      </c>
      <c r="F6078" t="s">
        <v>41</v>
      </c>
      <c r="G6078">
        <v>-278.56360000000001</v>
      </c>
      <c r="H6078" s="1">
        <v>-3.515222E-6</v>
      </c>
      <c r="I6078">
        <v>-64.599400000000003</v>
      </c>
      <c r="J6078">
        <v>-292.61770000000001</v>
      </c>
      <c r="K6078">
        <v>1.1183449999999999</v>
      </c>
      <c r="L6078">
        <v>-57.705509999999997</v>
      </c>
      <c r="M6078">
        <v>0.75275619999999999</v>
      </c>
      <c r="N6078">
        <v>0</v>
      </c>
      <c r="O6078">
        <v>-0.65812499999999996</v>
      </c>
      <c r="P6078">
        <v>0.79971649999999905</v>
      </c>
      <c r="Q6078">
        <v>0.1945479</v>
      </c>
      <c r="R6078">
        <v>-0.56798300000000002</v>
      </c>
      <c r="S6078">
        <v>2.8221129999999999</v>
      </c>
      <c r="T6078">
        <v>-0.22177769999999999</v>
      </c>
      <c r="U6078">
        <v>-1.3948670000000001</v>
      </c>
      <c r="V6078">
        <v>-0.10284989999999999</v>
      </c>
      <c r="W6078">
        <v>0.207346</v>
      </c>
      <c r="X6078">
        <v>0.97284610000000005</v>
      </c>
      <c r="Y6078">
        <v>-0.25459969999999998</v>
      </c>
      <c r="Z6078">
        <v>5.3147109999999997E-2</v>
      </c>
      <c r="AA6078">
        <v>0.96558500000000003</v>
      </c>
      <c r="AB6078">
        <v>24</v>
      </c>
      <c r="AC6078">
        <v>14.0541</v>
      </c>
      <c r="AD6078">
        <v>-1.1183485152220001</v>
      </c>
      <c r="AE6078">
        <v>-6.8938899999999999</v>
      </c>
      <c r="AF6078">
        <v>-4.0397831783368696</v>
      </c>
      <c r="AG6078">
        <v>-1.1183485152220001</v>
      </c>
      <c r="AH6078">
        <v>15.0413168474579</v>
      </c>
      <c r="AI6078">
        <v>94.107186998848803</v>
      </c>
      <c r="AJ6078">
        <v>105.033667517317</v>
      </c>
      <c r="AK6078">
        <v>15.614472902890199</v>
      </c>
      <c r="AL6078">
        <v>78.033133757972493</v>
      </c>
      <c r="AM6078">
        <v>96.034928545154401</v>
      </c>
      <c r="AN6078">
        <v>0.99999999996560995</v>
      </c>
    </row>
    <row r="6079" spans="1:40" x14ac:dyDescent="0.25">
      <c r="A6079" t="str">
        <f>"20190312173048008"</f>
        <v>20190312173048008</v>
      </c>
      <c r="B6079" t="str">
        <f>"1552383048004361"</f>
        <v>1552383048004361</v>
      </c>
      <c r="C6079" t="s">
        <v>40</v>
      </c>
      <c r="D6079">
        <v>3.017379</v>
      </c>
      <c r="E6079">
        <v>0.4415772</v>
      </c>
      <c r="F6079" t="s">
        <v>41</v>
      </c>
      <c r="G6079">
        <v>-278.74290000000002</v>
      </c>
      <c r="H6079" s="1">
        <v>-3.5529980000000001E-6</v>
      </c>
      <c r="I6079">
        <v>-64.425740000000005</v>
      </c>
      <c r="J6079">
        <v>-292.4366</v>
      </c>
      <c r="K6079">
        <v>1.1183149999999999</v>
      </c>
      <c r="L6079">
        <v>-57.845059999999997</v>
      </c>
      <c r="M6079">
        <v>0.76085829999999999</v>
      </c>
      <c r="N6079">
        <v>0</v>
      </c>
      <c r="O6079">
        <v>-0.64874119999999902</v>
      </c>
      <c r="P6079">
        <v>0.80649179999999998</v>
      </c>
      <c r="Q6079">
        <v>0.19327250000000001</v>
      </c>
      <c r="R6079">
        <v>-0.55876400000000004</v>
      </c>
      <c r="S6079">
        <v>2.8324579999999999</v>
      </c>
      <c r="T6079">
        <v>-0.2283027</v>
      </c>
      <c r="U6079">
        <v>-1.3718870000000001</v>
      </c>
      <c r="V6079">
        <v>-0.10211580000000001</v>
      </c>
      <c r="W6079">
        <v>0.20609189999999999</v>
      </c>
      <c r="X6079">
        <v>0.97318979999999999</v>
      </c>
      <c r="Y6079">
        <v>-0.25025140000000001</v>
      </c>
      <c r="Z6079">
        <v>5.3990599999999903E-2</v>
      </c>
      <c r="AA6079">
        <v>0.96667429999999999</v>
      </c>
      <c r="AB6079">
        <v>24</v>
      </c>
      <c r="AC6079">
        <v>13.6936999999999</v>
      </c>
      <c r="AD6079">
        <v>-1.118318552998</v>
      </c>
      <c r="AE6079">
        <v>-6.5806800000000001</v>
      </c>
      <c r="AF6079">
        <v>-3.85625347967453</v>
      </c>
      <c r="AG6079">
        <v>-1.118318552998</v>
      </c>
      <c r="AH6079">
        <v>14.6106463882796</v>
      </c>
      <c r="AI6079">
        <v>94.232574005256296</v>
      </c>
      <c r="AJ6079">
        <v>104.785168580841</v>
      </c>
      <c r="AK6079">
        <v>15.152303955795899</v>
      </c>
      <c r="AL6079">
        <v>78.1065740630346</v>
      </c>
      <c r="AM6079">
        <v>95.990067385744496</v>
      </c>
      <c r="AN6079">
        <v>0.99999994733964304</v>
      </c>
    </row>
    <row r="6080" spans="1:40" x14ac:dyDescent="0.25">
      <c r="A6080" t="str">
        <f>"20190312173048019"</f>
        <v>20190312173048019</v>
      </c>
      <c r="B6080" t="str">
        <f>"1552383048014121"</f>
        <v>1552383048014121</v>
      </c>
      <c r="C6080" t="s">
        <v>40</v>
      </c>
      <c r="D6080">
        <v>3.0018690000000001</v>
      </c>
      <c r="E6080">
        <v>0.44205650000000002</v>
      </c>
      <c r="F6080" t="s">
        <v>41</v>
      </c>
      <c r="G6080">
        <v>-278.90699999999998</v>
      </c>
      <c r="H6080" s="1">
        <v>-3.5870090000000002E-6</v>
      </c>
      <c r="I6080">
        <v>-64.262410000000003</v>
      </c>
      <c r="J6080">
        <v>-292.33109999999999</v>
      </c>
      <c r="K6080">
        <v>1.1183019999999999</v>
      </c>
      <c r="L6080">
        <v>-57.924990000000001</v>
      </c>
      <c r="M6080">
        <v>0.76550010000000002</v>
      </c>
      <c r="N6080">
        <v>0</v>
      </c>
      <c r="O6080">
        <v>-0.64325749999999904</v>
      </c>
      <c r="P6080">
        <v>0.81052769999999996</v>
      </c>
      <c r="Q6080">
        <v>0.19318869999999999</v>
      </c>
      <c r="R6080">
        <v>-0.55292240000000004</v>
      </c>
      <c r="S6080">
        <v>2.8421020000000001</v>
      </c>
      <c r="T6080">
        <v>-0.2349184</v>
      </c>
      <c r="U6080">
        <v>-1.3480529999999999</v>
      </c>
      <c r="V6080">
        <v>-0.1021584</v>
      </c>
      <c r="W6080">
        <v>0.20600930000000001</v>
      </c>
      <c r="X6080">
        <v>0.97320289999999998</v>
      </c>
      <c r="Y6080">
        <v>-0.25107289999999999</v>
      </c>
      <c r="Z6080">
        <v>5.523807E-2</v>
      </c>
      <c r="AA6080">
        <v>0.96639079999999999</v>
      </c>
      <c r="AB6080">
        <v>24</v>
      </c>
      <c r="AC6080">
        <v>13.424099999999999</v>
      </c>
      <c r="AD6080">
        <v>-1.118305587009</v>
      </c>
      <c r="AE6080">
        <v>-6.3374199999999998</v>
      </c>
      <c r="AF6080">
        <v>-3.7629365598123798</v>
      </c>
      <c r="AG6080">
        <v>-1.118305587009</v>
      </c>
      <c r="AH6080">
        <v>14.2733870735181</v>
      </c>
      <c r="AI6080">
        <v>94.332477993448194</v>
      </c>
      <c r="AJ6080">
        <v>104.76902098026299</v>
      </c>
      <c r="AK6080">
        <v>14.803373854955501</v>
      </c>
      <c r="AL6080">
        <v>78.111411444252198</v>
      </c>
      <c r="AM6080">
        <v>95.992468025750597</v>
      </c>
      <c r="AN6080">
        <v>1.0000000274727201</v>
      </c>
    </row>
    <row r="6081" spans="1:40" x14ac:dyDescent="0.25">
      <c r="A6081" t="str">
        <f>"20190312173048033"</f>
        <v>20190312173048033</v>
      </c>
      <c r="B6081" t="str">
        <f>"1552383048023881"</f>
        <v>1552383048023881</v>
      </c>
      <c r="C6081" t="s">
        <v>40</v>
      </c>
      <c r="D6081">
        <v>3.0886559999999998</v>
      </c>
      <c r="E6081">
        <v>0.44267719999999999</v>
      </c>
      <c r="F6081" t="s">
        <v>41</v>
      </c>
      <c r="G6081">
        <v>-278.81900000000002</v>
      </c>
      <c r="H6081" s="1">
        <v>-3.553394E-6</v>
      </c>
      <c r="I6081">
        <v>-64.234830000000002</v>
      </c>
      <c r="J6081">
        <v>-292.2294</v>
      </c>
      <c r="K6081">
        <v>1.1182890000000001</v>
      </c>
      <c r="L6081">
        <v>-58.000489999999999</v>
      </c>
      <c r="M6081">
        <v>0.76990190000000003</v>
      </c>
      <c r="N6081">
        <v>0</v>
      </c>
      <c r="O6081">
        <v>-0.63798239999999995</v>
      </c>
      <c r="P6081">
        <v>0.81431560000000003</v>
      </c>
      <c r="Q6081">
        <v>0.19307389999999999</v>
      </c>
      <c r="R6081">
        <v>-0.54736850000000004</v>
      </c>
      <c r="S6081">
        <v>2.849701</v>
      </c>
      <c r="T6081">
        <v>-0.23585130000000001</v>
      </c>
      <c r="U6081">
        <v>-1.3307500000000001</v>
      </c>
      <c r="V6081">
        <v>-0.10213170000000001</v>
      </c>
      <c r="W6081">
        <v>0.205896</v>
      </c>
      <c r="X6081">
        <v>0.97322960000000003</v>
      </c>
      <c r="Y6081">
        <v>-0.25022489999999997</v>
      </c>
      <c r="Z6081">
        <v>5.5087280000000002E-2</v>
      </c>
      <c r="AA6081">
        <v>0.96661929999999996</v>
      </c>
      <c r="AB6081">
        <v>24</v>
      </c>
      <c r="AC6081">
        <v>13.4103999999999</v>
      </c>
      <c r="AD6081">
        <v>-1.11829255339399</v>
      </c>
      <c r="AE6081">
        <v>-6.2343400000000004</v>
      </c>
      <c r="AF6081">
        <v>-3.73484390451596</v>
      </c>
      <c r="AG6081">
        <v>-1.11829255339399</v>
      </c>
      <c r="AH6081">
        <v>14.2224083147399</v>
      </c>
      <c r="AI6081">
        <v>94.348995628027595</v>
      </c>
      <c r="AJ6081">
        <v>104.713812784137</v>
      </c>
      <c r="AK6081">
        <v>14.7470856611487</v>
      </c>
      <c r="AL6081">
        <v>78.118044345912196</v>
      </c>
      <c r="AM6081">
        <v>95.990750071273695</v>
      </c>
      <c r="AN6081">
        <v>0.99999995063852298</v>
      </c>
    </row>
    <row r="6082" spans="1:40" x14ac:dyDescent="0.25">
      <c r="A6082" t="str">
        <f>"20190312173048046"</f>
        <v>20190312173048046</v>
      </c>
      <c r="B6082" t="str">
        <f>"1552383048033641"</f>
        <v>1552383048033641</v>
      </c>
      <c r="C6082" t="s">
        <v>40</v>
      </c>
      <c r="D6082">
        <v>3.014561</v>
      </c>
      <c r="E6082">
        <v>0.44315769999999999</v>
      </c>
      <c r="F6082" t="s">
        <v>41</v>
      </c>
      <c r="G6082">
        <v>-278.77269999999999</v>
      </c>
      <c r="H6082" s="1">
        <v>-3.5328170000000001E-6</v>
      </c>
      <c r="I6082">
        <v>-64.198679999999996</v>
      </c>
      <c r="J6082">
        <v>-292.11709999999999</v>
      </c>
      <c r="K6082">
        <v>1.118276</v>
      </c>
      <c r="L6082">
        <v>-58.083010000000002</v>
      </c>
      <c r="M6082">
        <v>0.7747018</v>
      </c>
      <c r="N6082">
        <v>0</v>
      </c>
      <c r="O6082">
        <v>-0.63214550000000003</v>
      </c>
      <c r="P6082">
        <v>0.818333599999999</v>
      </c>
      <c r="Q6082">
        <v>0.19285530000000001</v>
      </c>
      <c r="R6082">
        <v>-0.54142179999999995</v>
      </c>
      <c r="S6082">
        <v>2.8560789999999998</v>
      </c>
      <c r="T6082">
        <v>-0.23734949999999999</v>
      </c>
      <c r="U6082">
        <v>-1.3155209999999999</v>
      </c>
      <c r="V6082">
        <v>-0.1018867</v>
      </c>
      <c r="W6082">
        <v>0.2056846</v>
      </c>
      <c r="X6082">
        <v>0.97330000000000005</v>
      </c>
      <c r="Y6082">
        <v>-0.24797079999999999</v>
      </c>
      <c r="Z6082">
        <v>5.4984470000000001E-2</v>
      </c>
      <c r="AA6082">
        <v>0.96720589999999995</v>
      </c>
      <c r="AB6082">
        <v>24</v>
      </c>
      <c r="AC6082">
        <v>13.3444</v>
      </c>
      <c r="AD6082">
        <v>-1.1182795328170001</v>
      </c>
      <c r="AE6082">
        <v>-6.1156700000000104</v>
      </c>
      <c r="AF6082">
        <v>-3.6768662379902901</v>
      </c>
      <c r="AG6082">
        <v>-1.1182795328170001</v>
      </c>
      <c r="AH6082">
        <v>14.123582885139299</v>
      </c>
      <c r="AI6082">
        <v>94.381679112046896</v>
      </c>
      <c r="AJ6082">
        <v>104.592205945524</v>
      </c>
      <c r="AK6082">
        <v>14.637127039108099</v>
      </c>
      <c r="AL6082">
        <v>78.130421854738998</v>
      </c>
      <c r="AM6082">
        <v>95.976054060777699</v>
      </c>
      <c r="AN6082">
        <v>0.99999997215702396</v>
      </c>
    </row>
    <row r="6083" spans="1:40" x14ac:dyDescent="0.25">
      <c r="A6083" t="str">
        <f>"20190312173048059"</f>
        <v>20190312173048059</v>
      </c>
      <c r="B6083" t="str">
        <f>"1552383048054137"</f>
        <v>1552383048054137</v>
      </c>
      <c r="C6083" t="s">
        <v>40</v>
      </c>
      <c r="D6083">
        <v>3.286108</v>
      </c>
      <c r="E6083">
        <v>0.4442509</v>
      </c>
      <c r="F6083" t="s">
        <v>41</v>
      </c>
      <c r="G6083">
        <v>-278.72160000000002</v>
      </c>
      <c r="H6083" s="1">
        <v>-3.5096389999999998E-6</v>
      </c>
      <c r="I6083">
        <v>-64.155559999999994</v>
      </c>
      <c r="J6083">
        <v>-292.0052</v>
      </c>
      <c r="K6083">
        <v>1.11826</v>
      </c>
      <c r="L6083">
        <v>-58.163879999999999</v>
      </c>
      <c r="M6083">
        <v>0.77941890000000003</v>
      </c>
      <c r="N6083">
        <v>0</v>
      </c>
      <c r="O6083">
        <v>-0.62632019999999899</v>
      </c>
      <c r="P6083">
        <v>0.8222623</v>
      </c>
      <c r="Q6083">
        <v>0.19303480000000001</v>
      </c>
      <c r="R6083">
        <v>-0.53537170000000001</v>
      </c>
      <c r="S6083">
        <v>2.8634949999999999</v>
      </c>
      <c r="T6083">
        <v>-0.23904839999999999</v>
      </c>
      <c r="U6083">
        <v>-1.2980959999999999</v>
      </c>
      <c r="V6083">
        <v>-0.1017378</v>
      </c>
      <c r="W6083">
        <v>0.20586750000000001</v>
      </c>
      <c r="X6083">
        <v>0.9732769</v>
      </c>
      <c r="Y6083">
        <v>-0.24651989999999999</v>
      </c>
      <c r="Z6083">
        <v>5.4943779999999998E-2</v>
      </c>
      <c r="AA6083">
        <v>0.96757899999999997</v>
      </c>
      <c r="AB6083">
        <v>24</v>
      </c>
      <c r="AC6083">
        <v>13.2835999999999</v>
      </c>
      <c r="AD6083">
        <v>-1.1182635096389999</v>
      </c>
      <c r="AE6083">
        <v>-5.9916799999999801</v>
      </c>
      <c r="AF6083">
        <v>-3.6288073348964698</v>
      </c>
      <c r="AG6083">
        <v>-1.1182635096389999</v>
      </c>
      <c r="AH6083">
        <v>14.0252240215868</v>
      </c>
      <c r="AI6083">
        <v>94.413934981224102</v>
      </c>
      <c r="AJ6083">
        <v>104.50627102956</v>
      </c>
      <c r="AK6083">
        <v>14.530163963510001</v>
      </c>
      <c r="AL6083">
        <v>78.119713206628902</v>
      </c>
      <c r="AM6083">
        <v>95.967524167815995</v>
      </c>
      <c r="AN6083">
        <v>0.99999996578934902</v>
      </c>
    </row>
    <row r="6084" spans="1:40" x14ac:dyDescent="0.25">
      <c r="A6084" t="str">
        <f>"20190312173048086"</f>
        <v>20190312173048086</v>
      </c>
      <c r="B6084" t="str">
        <f>"1552383048073657"</f>
        <v>1552383048073657</v>
      </c>
      <c r="C6084" t="s">
        <v>40</v>
      </c>
      <c r="D6084">
        <v>3.3612860000000002</v>
      </c>
      <c r="E6084">
        <v>0.44468279999999899</v>
      </c>
      <c r="F6084" t="s">
        <v>41</v>
      </c>
      <c r="G6084">
        <v>-278.80290000000002</v>
      </c>
      <c r="H6084" s="1">
        <v>-3.5265949999999999E-6</v>
      </c>
      <c r="I6084">
        <v>-64.075289999999995</v>
      </c>
      <c r="J6084">
        <v>-291.7869</v>
      </c>
      <c r="K6084">
        <v>1.118234</v>
      </c>
      <c r="L6084">
        <v>-58.3178699999999</v>
      </c>
      <c r="M6084">
        <v>0.78841490000000003</v>
      </c>
      <c r="N6084">
        <v>0</v>
      </c>
      <c r="O6084">
        <v>-0.61495769999999905</v>
      </c>
      <c r="P6084">
        <v>0.82946430000000004</v>
      </c>
      <c r="Q6084">
        <v>0.19307920000000001</v>
      </c>
      <c r="R6084">
        <v>-0.52412780000000003</v>
      </c>
      <c r="S6084">
        <v>2.86911</v>
      </c>
      <c r="T6084">
        <v>-0.24302099999999999</v>
      </c>
      <c r="U6084">
        <v>-1.2846679999999999</v>
      </c>
      <c r="V6084">
        <v>-0.1008588</v>
      </c>
      <c r="W6084">
        <v>0.20593139999999999</v>
      </c>
      <c r="X6084">
        <v>0.97335490000000002</v>
      </c>
      <c r="Y6084">
        <v>-0.23691960000000001</v>
      </c>
      <c r="Z6084">
        <v>5.4765750000000002E-2</v>
      </c>
      <c r="AA6084">
        <v>0.96998439999999997</v>
      </c>
      <c r="AB6084">
        <v>23</v>
      </c>
      <c r="AC6084">
        <v>12.983999999999901</v>
      </c>
      <c r="AD6084">
        <v>-1.118237526595</v>
      </c>
      <c r="AE6084">
        <v>-5.7574199999999998</v>
      </c>
      <c r="AF6084">
        <v>-3.4245422404048198</v>
      </c>
      <c r="AG6084">
        <v>-1.118237526595</v>
      </c>
      <c r="AH6084">
        <v>13.694042633444999</v>
      </c>
      <c r="AI6084">
        <v>94.529464031625807</v>
      </c>
      <c r="AJ6084">
        <v>104.040305637917</v>
      </c>
      <c r="AK6084">
        <v>14.1599699282453</v>
      </c>
      <c r="AL6084">
        <v>78.115972255396997</v>
      </c>
      <c r="AM6084">
        <v>95.915862161663497</v>
      </c>
      <c r="AN6084">
        <v>1.0000000001986999</v>
      </c>
    </row>
    <row r="6085" spans="1:40" x14ac:dyDescent="0.25">
      <c r="A6085" t="str">
        <f>"20190312173048097"</f>
        <v>20190312173048097</v>
      </c>
      <c r="B6085" t="str">
        <f>"1552383048094152"</f>
        <v>1552383048094152</v>
      </c>
      <c r="C6085" t="s">
        <v>40</v>
      </c>
      <c r="D6085">
        <v>3.0397050000000001</v>
      </c>
      <c r="E6085">
        <v>0.4445306</v>
      </c>
      <c r="F6085" t="s">
        <v>41</v>
      </c>
      <c r="G6085">
        <v>-278.67809999999997</v>
      </c>
      <c r="H6085" s="1">
        <v>-3.4726820000000002E-6</v>
      </c>
      <c r="I6085">
        <v>-63.989759999999997</v>
      </c>
      <c r="J6085">
        <v>-291.6893</v>
      </c>
      <c r="K6085">
        <v>1.1182219999999901</v>
      </c>
      <c r="L6085">
        <v>-58.385100000000001</v>
      </c>
      <c r="M6085">
        <v>0.79235419999999901</v>
      </c>
      <c r="N6085">
        <v>0</v>
      </c>
      <c r="O6085">
        <v>-0.60987360000000002</v>
      </c>
      <c r="P6085">
        <v>0.83264450000000001</v>
      </c>
      <c r="Q6085">
        <v>0.19287509999999999</v>
      </c>
      <c r="R6085">
        <v>-0.51913670000000001</v>
      </c>
      <c r="S6085">
        <v>2.8852540000000002</v>
      </c>
      <c r="T6085">
        <v>-0.24612390000000001</v>
      </c>
      <c r="U6085">
        <v>-1.248383</v>
      </c>
      <c r="V6085">
        <v>-0.1004611</v>
      </c>
      <c r="W6085">
        <v>0.2057368</v>
      </c>
      <c r="X6085">
        <v>0.9734372</v>
      </c>
      <c r="Y6085">
        <v>-0.242866</v>
      </c>
      <c r="Z6085">
        <v>5.5292460000000002E-2</v>
      </c>
      <c r="AA6085">
        <v>0.96848270000000003</v>
      </c>
      <c r="AB6085">
        <v>23</v>
      </c>
      <c r="AC6085">
        <v>13.011200000000001</v>
      </c>
      <c r="AD6085">
        <v>-1.11822547268199</v>
      </c>
      <c r="AE6085">
        <v>-5.6046599999999902</v>
      </c>
      <c r="AF6085">
        <v>-3.4730736548821999</v>
      </c>
      <c r="AG6085">
        <v>-1.11822547268199</v>
      </c>
      <c r="AH6085">
        <v>13.6441790090441</v>
      </c>
      <c r="AI6085">
        <v>94.541100907118306</v>
      </c>
      <c r="AJ6085">
        <v>104.28113480723501</v>
      </c>
      <c r="AK6085">
        <v>14.1236075296232</v>
      </c>
      <c r="AL6085">
        <v>78.127366262894796</v>
      </c>
      <c r="AM6085">
        <v>95.892204881328396</v>
      </c>
      <c r="AN6085">
        <v>1.0000000229156401</v>
      </c>
    </row>
    <row r="6086" spans="1:40" x14ac:dyDescent="0.25">
      <c r="A6086" t="str">
        <f>"20190312173048109"</f>
        <v>20190312173048109</v>
      </c>
      <c r="B6086" t="str">
        <f>"1552383048103913"</f>
        <v>1552383048103913</v>
      </c>
      <c r="C6086" t="s">
        <v>40</v>
      </c>
      <c r="D6086">
        <v>3.0644100000000001</v>
      </c>
      <c r="E6086">
        <v>0.44410880000000003</v>
      </c>
      <c r="F6086" t="s">
        <v>41</v>
      </c>
      <c r="G6086">
        <v>-278.54739999999998</v>
      </c>
      <c r="H6086" s="1">
        <v>-3.425514E-6</v>
      </c>
      <c r="I6086">
        <v>-63.969630000000002</v>
      </c>
      <c r="J6086">
        <v>-291.58710000000002</v>
      </c>
      <c r="K6086">
        <v>1.1182080000000001</v>
      </c>
      <c r="L6086">
        <v>-58.454560000000001</v>
      </c>
      <c r="M6086">
        <v>0.7964272</v>
      </c>
      <c r="N6086">
        <v>0</v>
      </c>
      <c r="O6086">
        <v>-0.60454519999999901</v>
      </c>
      <c r="P6086">
        <v>0.83615200000000001</v>
      </c>
      <c r="Q6086">
        <v>0.1923115</v>
      </c>
      <c r="R6086">
        <v>-0.51367910000000006</v>
      </c>
      <c r="S6086">
        <v>2.893402</v>
      </c>
      <c r="T6086">
        <v>-0.24619540000000001</v>
      </c>
      <c r="U6086">
        <v>-1.2295229999999999</v>
      </c>
      <c r="V6086">
        <v>-0.1003599</v>
      </c>
      <c r="W6086">
        <v>0.20517730000000001</v>
      </c>
      <c r="X6086">
        <v>0.97356569999999998</v>
      </c>
      <c r="Y6086">
        <v>-0.24270349999999999</v>
      </c>
      <c r="Z6086">
        <v>5.4925479999999999E-2</v>
      </c>
      <c r="AA6086">
        <v>0.96854439999999997</v>
      </c>
      <c r="AB6086">
        <v>23</v>
      </c>
      <c r="AC6086">
        <v>13.0397</v>
      </c>
      <c r="AD6086">
        <v>-1.1182114255140001</v>
      </c>
      <c r="AE6086">
        <v>-5.5150699999999997</v>
      </c>
      <c r="AF6086">
        <v>-3.4694931791653598</v>
      </c>
      <c r="AG6086">
        <v>-1.1182114255140001</v>
      </c>
      <c r="AH6086">
        <v>13.635791261732299</v>
      </c>
      <c r="AI6086">
        <v>94.543940366812706</v>
      </c>
      <c r="AJ6086">
        <v>104.27543082911301</v>
      </c>
      <c r="AK6086">
        <v>14.114623021744499</v>
      </c>
      <c r="AL6086">
        <v>78.160121820912394</v>
      </c>
      <c r="AM6086">
        <v>95.885539561912395</v>
      </c>
      <c r="AN6086">
        <v>1.0000000030898899</v>
      </c>
    </row>
    <row r="6087" spans="1:40" x14ac:dyDescent="0.25">
      <c r="A6087" t="str">
        <f>"20190312173048121"</f>
        <v>20190312173048121</v>
      </c>
      <c r="B6087" t="str">
        <f>"1552383048113673"</f>
        <v>1552383048113673</v>
      </c>
      <c r="C6087" t="s">
        <v>40</v>
      </c>
      <c r="D6087">
        <v>3.0336439999999998</v>
      </c>
      <c r="E6087">
        <v>0.44357029999999997</v>
      </c>
      <c r="F6087" t="s">
        <v>41</v>
      </c>
      <c r="G6087">
        <v>-278.46640000000002</v>
      </c>
      <c r="H6087" s="1">
        <v>-3.390217E-6</v>
      </c>
      <c r="I6087">
        <v>-63.911819999999999</v>
      </c>
      <c r="J6087">
        <v>-291.48149999999998</v>
      </c>
      <c r="K6087">
        <v>1.1181939999999999</v>
      </c>
      <c r="L6087">
        <v>-58.525570000000002</v>
      </c>
      <c r="M6087">
        <v>0.80058459999999998</v>
      </c>
      <c r="N6087">
        <v>0</v>
      </c>
      <c r="O6087">
        <v>-0.59902860000000002</v>
      </c>
      <c r="P6087">
        <v>0.83946929999999997</v>
      </c>
      <c r="Q6087">
        <v>0.19237399999999999</v>
      </c>
      <c r="R6087">
        <v>-0.5082158</v>
      </c>
      <c r="S6087">
        <v>2.9029850000000001</v>
      </c>
      <c r="T6087">
        <v>-0.24740590000000001</v>
      </c>
      <c r="U6087">
        <v>-1.2074279999999999</v>
      </c>
      <c r="V6087">
        <v>-9.9966529999999998E-2</v>
      </c>
      <c r="W6087">
        <v>0.20524819999999999</v>
      </c>
      <c r="X6087">
        <v>0.97359119999999999</v>
      </c>
      <c r="Y6087">
        <v>-0.24341370000000001</v>
      </c>
      <c r="Z6087">
        <v>5.4820630000000002E-2</v>
      </c>
      <c r="AA6087">
        <v>0.96837200000000001</v>
      </c>
      <c r="AB6087">
        <v>23</v>
      </c>
      <c r="AC6087">
        <v>13.015099999999901</v>
      </c>
      <c r="AD6087">
        <v>-1.1181973902169999</v>
      </c>
      <c r="AE6087">
        <v>-5.3862500000000004</v>
      </c>
      <c r="AF6087">
        <v>-3.4628442120256002</v>
      </c>
      <c r="AG6087">
        <v>-1.1181973902169999</v>
      </c>
      <c r="AH6087">
        <v>13.562298438332499</v>
      </c>
      <c r="AI6087">
        <v>94.567435210608394</v>
      </c>
      <c r="AJ6087">
        <v>104.32323444750701</v>
      </c>
      <c r="AK6087">
        <v>14.0419939599276</v>
      </c>
      <c r="AL6087">
        <v>78.155970909582095</v>
      </c>
      <c r="AM6087">
        <v>95.862479151604404</v>
      </c>
      <c r="AN6087">
        <v>0.99999997772046001</v>
      </c>
    </row>
    <row r="6088" spans="1:40" x14ac:dyDescent="0.25">
      <c r="A6088" t="str">
        <f>"20190312173048134"</f>
        <v>20190312173048134</v>
      </c>
      <c r="B6088" t="str">
        <f>"1552383048123434"</f>
        <v>1552383048123434</v>
      </c>
      <c r="C6088" t="s">
        <v>40</v>
      </c>
      <c r="D6088">
        <v>3.0394830000000002</v>
      </c>
      <c r="E6088">
        <v>0.44311240000000002</v>
      </c>
      <c r="F6088" t="s">
        <v>41</v>
      </c>
      <c r="G6088">
        <v>-278.24790000000002</v>
      </c>
      <c r="H6088" s="1">
        <v>-3.3153959999999999E-6</v>
      </c>
      <c r="I6088">
        <v>-63.908340000000003</v>
      </c>
      <c r="J6088">
        <v>-291.38170000000002</v>
      </c>
      <c r="K6088">
        <v>1.11818</v>
      </c>
      <c r="L6088">
        <v>-58.591250000000002</v>
      </c>
      <c r="M6088">
        <v>0.8044559</v>
      </c>
      <c r="N6088">
        <v>0</v>
      </c>
      <c r="O6088">
        <v>-0.59381980000000001</v>
      </c>
      <c r="P6088">
        <v>0.84263269999999901</v>
      </c>
      <c r="Q6088">
        <v>0.19202449999999999</v>
      </c>
      <c r="R6088">
        <v>-0.50308750000000002</v>
      </c>
      <c r="S6088">
        <v>2.912811</v>
      </c>
      <c r="T6088">
        <v>-0.2461227</v>
      </c>
      <c r="U6088">
        <v>-1.1847840000000001</v>
      </c>
      <c r="V6088">
        <v>-9.9617720000000007E-2</v>
      </c>
      <c r="W6088">
        <v>0.20490710000000001</v>
      </c>
      <c r="X6088">
        <v>0.97369890000000003</v>
      </c>
      <c r="Y6088">
        <v>-0.24475569999999999</v>
      </c>
      <c r="Z6088">
        <v>5.4204380000000003E-2</v>
      </c>
      <c r="AA6088">
        <v>0.96806840000000005</v>
      </c>
      <c r="AB6088">
        <v>23</v>
      </c>
      <c r="AC6088">
        <v>13.133800000000001</v>
      </c>
      <c r="AD6088">
        <v>-1.1181833153959999</v>
      </c>
      <c r="AE6088">
        <v>-5.3170900000000003</v>
      </c>
      <c r="AF6088">
        <v>-3.5003496328858699</v>
      </c>
      <c r="AG6088">
        <v>-1.1181833153959999</v>
      </c>
      <c r="AH6088">
        <v>13.639582139041901</v>
      </c>
      <c r="AI6088">
        <v>94.540191640483798</v>
      </c>
      <c r="AJ6088">
        <v>104.393300923128</v>
      </c>
      <c r="AK6088">
        <v>14.125897578807001</v>
      </c>
      <c r="AL6088">
        <v>78.175940118815603</v>
      </c>
      <c r="AM6088">
        <v>95.841523397849997</v>
      </c>
      <c r="AN6088">
        <v>1.0000000788148</v>
      </c>
    </row>
    <row r="6089" spans="1:40" x14ac:dyDescent="0.25">
      <c r="A6089" t="str">
        <f>"20190312173048148"</f>
        <v>20190312173048148</v>
      </c>
      <c r="B6089" t="str">
        <f>"1552383048143929"</f>
        <v>1552383048143929</v>
      </c>
      <c r="C6089" t="s">
        <v>40</v>
      </c>
      <c r="D6089">
        <v>3.058859</v>
      </c>
      <c r="E6089">
        <v>0.44245479999999998</v>
      </c>
      <c r="F6089" t="s">
        <v>41</v>
      </c>
      <c r="G6089">
        <v>-278.13060000000002</v>
      </c>
      <c r="H6089" s="1">
        <v>-3.270398E-6</v>
      </c>
      <c r="I6089">
        <v>-63.870330000000003</v>
      </c>
      <c r="J6089">
        <v>-291.2552</v>
      </c>
      <c r="K6089">
        <v>1.1181589999999999</v>
      </c>
      <c r="L6089">
        <v>-58.673490000000001</v>
      </c>
      <c r="M6089">
        <v>0.80929269999999998</v>
      </c>
      <c r="N6089">
        <v>0</v>
      </c>
      <c r="O6089">
        <v>-0.58721080000000003</v>
      </c>
      <c r="P6089">
        <v>0.84683399999999998</v>
      </c>
      <c r="Q6089">
        <v>0.1912132</v>
      </c>
      <c r="R6089">
        <v>-0.49629580000000001</v>
      </c>
      <c r="S6089">
        <v>2.9215390000000001</v>
      </c>
      <c r="T6089">
        <v>-0.24653220000000001</v>
      </c>
      <c r="U6089">
        <v>-1.16391</v>
      </c>
      <c r="V6089">
        <v>-9.9555459999999998E-2</v>
      </c>
      <c r="W6089">
        <v>0.20409949999999999</v>
      </c>
      <c r="X6089">
        <v>0.97387480000000004</v>
      </c>
      <c r="Y6089">
        <v>-0.2437937</v>
      </c>
      <c r="Z6089">
        <v>5.3787620000000001E-2</v>
      </c>
      <c r="AA6089">
        <v>0.96833440000000004</v>
      </c>
      <c r="AB6089">
        <v>23</v>
      </c>
      <c r="AC6089">
        <v>13.1245999999999</v>
      </c>
      <c r="AD6089">
        <v>-1.1181622703980001</v>
      </c>
      <c r="AE6089">
        <v>-5.1968399999999999</v>
      </c>
      <c r="AF6089">
        <v>-3.47970908412145</v>
      </c>
      <c r="AG6089">
        <v>-1.1181622703980001</v>
      </c>
      <c r="AH6089">
        <v>13.5895791626002</v>
      </c>
      <c r="AI6089">
        <v>94.5573688481212</v>
      </c>
      <c r="AJ6089">
        <v>104.362410248581</v>
      </c>
      <c r="AK6089">
        <v>14.072502406808701</v>
      </c>
      <c r="AL6089">
        <v>78.223210408919897</v>
      </c>
      <c r="AM6089">
        <v>95.836850579663206</v>
      </c>
      <c r="AN6089">
        <v>1.00000001079555</v>
      </c>
    </row>
    <row r="6090" spans="1:40" x14ac:dyDescent="0.25">
      <c r="A6090" t="str">
        <f>"20190312173048162"</f>
        <v>20190312173048162</v>
      </c>
      <c r="B6090" t="str">
        <f>"1552383048153689"</f>
        <v>1552383048153689</v>
      </c>
      <c r="C6090" t="s">
        <v>40</v>
      </c>
      <c r="D6090">
        <v>3.0536020000000001</v>
      </c>
      <c r="E6090">
        <v>0.44216529999999998</v>
      </c>
      <c r="F6090" t="s">
        <v>41</v>
      </c>
      <c r="G6090">
        <v>-277.99340000000001</v>
      </c>
      <c r="H6090" s="1">
        <v>-3.215385E-6</v>
      </c>
      <c r="I6090">
        <v>-63.807960000000001</v>
      </c>
      <c r="J6090">
        <v>-291.13440000000003</v>
      </c>
      <c r="K6090">
        <v>1.1181399999999999</v>
      </c>
      <c r="L6090">
        <v>-58.750889999999998</v>
      </c>
      <c r="M6090">
        <v>0.81384389999999995</v>
      </c>
      <c r="N6090">
        <v>0</v>
      </c>
      <c r="O6090">
        <v>-0.58088700000000004</v>
      </c>
      <c r="P6090">
        <v>0.85042980000000001</v>
      </c>
      <c r="Q6090">
        <v>0.1909399</v>
      </c>
      <c r="R6090">
        <v>-0.49021599999999999</v>
      </c>
      <c r="S6090">
        <v>2.9329529999999999</v>
      </c>
      <c r="T6090">
        <v>-0.2472906</v>
      </c>
      <c r="U6090">
        <v>-1.135529</v>
      </c>
      <c r="V6090">
        <v>-9.8965600000000001E-2</v>
      </c>
      <c r="W6090">
        <v>0.20383960000000001</v>
      </c>
      <c r="X6090">
        <v>0.97398940000000001</v>
      </c>
      <c r="Y6090">
        <v>-0.24565629999999999</v>
      </c>
      <c r="Z6090">
        <v>5.3559080000000002E-2</v>
      </c>
      <c r="AA6090">
        <v>0.96787630000000002</v>
      </c>
      <c r="AB6090">
        <v>23</v>
      </c>
      <c r="AC6090">
        <v>13.141</v>
      </c>
      <c r="AD6090">
        <v>-1.1181432153849999</v>
      </c>
      <c r="AE6090">
        <v>-5.05706999999998</v>
      </c>
      <c r="AF6090">
        <v>-3.4961254140637901</v>
      </c>
      <c r="AG6090">
        <v>-1.1181432153849999</v>
      </c>
      <c r="AH6090">
        <v>13.548428385344399</v>
      </c>
      <c r="AI6090">
        <v>94.568891985173906</v>
      </c>
      <c r="AJ6090">
        <v>104.469329824002</v>
      </c>
      <c r="AK6090">
        <v>14.0368461156266</v>
      </c>
      <c r="AL6090">
        <v>78.238421967937796</v>
      </c>
      <c r="AM6090">
        <v>95.801826200798999</v>
      </c>
      <c r="AN6090">
        <v>1.00000006191193</v>
      </c>
    </row>
    <row r="6091" spans="1:40" x14ac:dyDescent="0.25">
      <c r="A6091" t="str">
        <f>"20190312173048176"</f>
        <v>20190312173048176</v>
      </c>
      <c r="B6091" t="str">
        <f>"1552383048163449"</f>
        <v>1552383048163449</v>
      </c>
      <c r="C6091" t="s">
        <v>40</v>
      </c>
      <c r="D6091">
        <v>3.0193400000000001</v>
      </c>
      <c r="E6091">
        <v>0.4419247</v>
      </c>
      <c r="F6091" t="s">
        <v>41</v>
      </c>
      <c r="G6091">
        <v>-277.82279999999997</v>
      </c>
      <c r="H6091" s="1">
        <v>-3.153893E-6</v>
      </c>
      <c r="I6091">
        <v>-63.782269999999997</v>
      </c>
      <c r="J6091">
        <v>-291.01920000000001</v>
      </c>
      <c r="K6091">
        <v>1.1181219999999901</v>
      </c>
      <c r="L6091">
        <v>-58.822940000000003</v>
      </c>
      <c r="M6091">
        <v>0.81810869999999902</v>
      </c>
      <c r="N6091">
        <v>0</v>
      </c>
      <c r="O6091">
        <v>-0.57486490000000001</v>
      </c>
      <c r="P6091">
        <v>0.85355170000000002</v>
      </c>
      <c r="Q6091">
        <v>0.19024089999999999</v>
      </c>
      <c r="R6091">
        <v>-0.48503429999999997</v>
      </c>
      <c r="S6091">
        <v>2.9421080000000002</v>
      </c>
      <c r="T6091">
        <v>-0.2471304</v>
      </c>
      <c r="U6091">
        <v>-1.1120300000000001</v>
      </c>
      <c r="V6091">
        <v>-9.7766829999999999E-2</v>
      </c>
      <c r="W6091">
        <v>0.2031673</v>
      </c>
      <c r="X6091">
        <v>0.97425090000000003</v>
      </c>
      <c r="Y6091">
        <v>-0.2462831</v>
      </c>
      <c r="Z6091">
        <v>5.3112960000000001E-2</v>
      </c>
      <c r="AA6091">
        <v>0.96774150000000003</v>
      </c>
      <c r="AB6091">
        <v>23</v>
      </c>
      <c r="AC6091">
        <v>13.196400000000001</v>
      </c>
      <c r="AD6091">
        <v>-1.1181251538929999</v>
      </c>
      <c r="AE6091">
        <v>-4.9593299999999898</v>
      </c>
      <c r="AF6091">
        <v>-3.50721671115652</v>
      </c>
      <c r="AG6091">
        <v>-1.1181251538929999</v>
      </c>
      <c r="AH6091">
        <v>13.5632720121601</v>
      </c>
      <c r="AI6091">
        <v>94.563250422211894</v>
      </c>
      <c r="AJ6091">
        <v>104.498083847942</v>
      </c>
      <c r="AK6091">
        <v>14.0539361246104</v>
      </c>
      <c r="AL6091">
        <v>78.277765189617298</v>
      </c>
      <c r="AM6091">
        <v>95.730491216823694</v>
      </c>
      <c r="AN6091">
        <v>1.0000000604941699</v>
      </c>
    </row>
    <row r="6092" spans="1:40" x14ac:dyDescent="0.25">
      <c r="A6092" t="str">
        <f>"20190312173048190"</f>
        <v>20190312173048190</v>
      </c>
      <c r="B6092" t="str">
        <f>"1552383048183945"</f>
        <v>1552383048183945</v>
      </c>
      <c r="C6092" t="s">
        <v>40</v>
      </c>
      <c r="D6092">
        <v>3.0434209999999999</v>
      </c>
      <c r="E6092">
        <v>0.4416118</v>
      </c>
      <c r="F6092" t="s">
        <v>41</v>
      </c>
      <c r="G6092">
        <v>-277.7509</v>
      </c>
      <c r="H6092" s="1">
        <v>-3.122871E-6</v>
      </c>
      <c r="I6092">
        <v>-63.733339999999998</v>
      </c>
      <c r="J6092">
        <v>-290.89690000000002</v>
      </c>
      <c r="K6092">
        <v>1.118106</v>
      </c>
      <c r="L6092">
        <v>-58.898499999999999</v>
      </c>
      <c r="M6092">
        <v>0.82257209999999903</v>
      </c>
      <c r="N6092">
        <v>0</v>
      </c>
      <c r="O6092">
        <v>-0.56845999999999997</v>
      </c>
      <c r="P6092">
        <v>0.85710849999999905</v>
      </c>
      <c r="Q6092">
        <v>0.19048860000000001</v>
      </c>
      <c r="R6092">
        <v>-0.47862199999999999</v>
      </c>
      <c r="S6092">
        <v>2.9497990000000001</v>
      </c>
      <c r="T6092">
        <v>-0.24858050000000001</v>
      </c>
      <c r="U6092">
        <v>-1.091675</v>
      </c>
      <c r="V6092">
        <v>-9.7428020000000004E-2</v>
      </c>
      <c r="W6092">
        <v>0.2034213</v>
      </c>
      <c r="X6092">
        <v>0.97423179999999998</v>
      </c>
      <c r="Y6092">
        <v>-0.24540680000000001</v>
      </c>
      <c r="Z6092">
        <v>5.2931730000000003E-2</v>
      </c>
      <c r="AA6092">
        <v>0.967974</v>
      </c>
      <c r="AB6092">
        <v>23</v>
      </c>
      <c r="AC6092">
        <v>13.146000000000001</v>
      </c>
      <c r="AD6092">
        <v>-1.1181091228710001</v>
      </c>
      <c r="AE6092">
        <v>-4.8348399999999998</v>
      </c>
      <c r="AF6092">
        <v>-3.47423165255924</v>
      </c>
      <c r="AG6092">
        <v>-1.1181091228710001</v>
      </c>
      <c r="AH6092">
        <v>13.4776136426124</v>
      </c>
      <c r="AI6092">
        <v>94.592953271795196</v>
      </c>
      <c r="AJ6092">
        <v>104.454899338476</v>
      </c>
      <c r="AK6092">
        <v>13.9630413265099</v>
      </c>
      <c r="AL6092">
        <v>78.262901222630504</v>
      </c>
      <c r="AM6092">
        <v>95.710874965477998</v>
      </c>
      <c r="AN6092">
        <v>1.0000000222530201</v>
      </c>
    </row>
    <row r="6093" spans="1:40" x14ac:dyDescent="0.25">
      <c r="A6093" t="str">
        <f>"20190312173048203"</f>
        <v>20190312173048203</v>
      </c>
      <c r="B6093" t="str">
        <f>"1552383048193705"</f>
        <v>1552383048193705</v>
      </c>
      <c r="C6093" t="s">
        <v>40</v>
      </c>
      <c r="D6093">
        <v>3.1036679999999999</v>
      </c>
      <c r="E6093">
        <v>0.44155319999999998</v>
      </c>
      <c r="F6093" t="s">
        <v>41</v>
      </c>
      <c r="G6093">
        <v>-277.4923</v>
      </c>
      <c r="H6093" s="1">
        <v>-3.0347899999999999E-6</v>
      </c>
      <c r="I6093">
        <v>-63.732559999999999</v>
      </c>
      <c r="J6093">
        <v>-290.77749999999997</v>
      </c>
      <c r="K6093">
        <v>1.118085</v>
      </c>
      <c r="L6093">
        <v>-58.97119</v>
      </c>
      <c r="M6093">
        <v>0.82686170000000003</v>
      </c>
      <c r="N6093">
        <v>0</v>
      </c>
      <c r="O6093">
        <v>-0.56220230000000004</v>
      </c>
      <c r="P6093">
        <v>0.86032059999999999</v>
      </c>
      <c r="Q6093">
        <v>0.19058249999999999</v>
      </c>
      <c r="R6093">
        <v>-0.47278619999999999</v>
      </c>
      <c r="S6093">
        <v>2.9591059999999998</v>
      </c>
      <c r="T6093">
        <v>-0.2468272</v>
      </c>
      <c r="U6093">
        <v>-1.0671389999999901</v>
      </c>
      <c r="V6093">
        <v>-9.6636E-2</v>
      </c>
      <c r="W6093">
        <v>0.2035314</v>
      </c>
      <c r="X6093">
        <v>0.97428760000000003</v>
      </c>
      <c r="Y6093">
        <v>-0.2461758</v>
      </c>
      <c r="Z6093">
        <v>5.213284E-2</v>
      </c>
      <c r="AA6093">
        <v>0.96782210000000002</v>
      </c>
      <c r="AB6093">
        <v>23</v>
      </c>
      <c r="AC6093">
        <v>13.2851999999999</v>
      </c>
      <c r="AD6093">
        <v>-1.11808803479</v>
      </c>
      <c r="AE6093">
        <v>-4.7613699999999897</v>
      </c>
      <c r="AF6093">
        <v>-3.5103452243986002</v>
      </c>
      <c r="AG6093">
        <v>-1.11808803479</v>
      </c>
      <c r="AH6093">
        <v>13.578209108643</v>
      </c>
      <c r="AI6093">
        <v>94.558160429311798</v>
      </c>
      <c r="AJ6093">
        <v>104.49518087644201</v>
      </c>
      <c r="AK6093">
        <v>14.0691295767021</v>
      </c>
      <c r="AL6093">
        <v>78.256457157156603</v>
      </c>
      <c r="AM6093">
        <v>95.664430490065001</v>
      </c>
      <c r="AN6093">
        <v>0.99999993739785797</v>
      </c>
    </row>
    <row r="6094" spans="1:40" x14ac:dyDescent="0.25">
      <c r="A6094" t="str">
        <f>"20190312173048215"</f>
        <v>20190312173048215</v>
      </c>
      <c r="B6094" t="str">
        <f>"1552383048203466"</f>
        <v>1552383048203466</v>
      </c>
      <c r="C6094" t="s">
        <v>40</v>
      </c>
      <c r="D6094">
        <v>3.0427439999999999</v>
      </c>
      <c r="E6094">
        <v>0.44153100000000001</v>
      </c>
      <c r="F6094" t="s">
        <v>41</v>
      </c>
      <c r="G6094">
        <v>-277.29270000000002</v>
      </c>
      <c r="H6094" s="1">
        <v>-2.966111E-6</v>
      </c>
      <c r="I6094">
        <v>-63.727049999999998</v>
      </c>
      <c r="J6094">
        <v>-290.67349999999999</v>
      </c>
      <c r="K6094">
        <v>1.118066</v>
      </c>
      <c r="L6094">
        <v>-59.032960000000003</v>
      </c>
      <c r="M6094">
        <v>0.83053259999999995</v>
      </c>
      <c r="N6094">
        <v>0</v>
      </c>
      <c r="O6094">
        <v>-0.55676530000000002</v>
      </c>
      <c r="P6094">
        <v>0.86305549999999998</v>
      </c>
      <c r="Q6094">
        <v>0.19075629999999999</v>
      </c>
      <c r="R6094">
        <v>-0.46770469999999997</v>
      </c>
      <c r="S6094">
        <v>2.966583</v>
      </c>
      <c r="T6094">
        <v>-0.24597330000000001</v>
      </c>
      <c r="U6094">
        <v>-1.046265</v>
      </c>
      <c r="V6094">
        <v>-9.5961299999999999E-2</v>
      </c>
      <c r="W6094">
        <v>0.2037186</v>
      </c>
      <c r="X6094">
        <v>0.97431520000000005</v>
      </c>
      <c r="Y6094">
        <v>-0.24666940000000001</v>
      </c>
      <c r="Z6094">
        <v>5.1581349999999998E-2</v>
      </c>
      <c r="AA6094">
        <v>0.96772599999999998</v>
      </c>
      <c r="AB6094">
        <v>23</v>
      </c>
      <c r="AC6094">
        <v>13.380799999999899</v>
      </c>
      <c r="AD6094">
        <v>-1.1180689661109999</v>
      </c>
      <c r="AE6094">
        <v>-4.6940900000000001</v>
      </c>
      <c r="AF6094">
        <v>-3.5298309881264398</v>
      </c>
      <c r="AG6094">
        <v>-1.1180689661109999</v>
      </c>
      <c r="AH6094">
        <v>13.643443446332901</v>
      </c>
      <c r="AI6094">
        <v>94.536169967400795</v>
      </c>
      <c r="AJ6094">
        <v>104.505497226369</v>
      </c>
      <c r="AK6094">
        <v>14.1369492497852</v>
      </c>
      <c r="AL6094">
        <v>78.245502298226796</v>
      </c>
      <c r="AM6094">
        <v>95.624978371522403</v>
      </c>
      <c r="AN6094">
        <v>0.99999997401734397</v>
      </c>
    </row>
    <row r="6095" spans="1:40" x14ac:dyDescent="0.25">
      <c r="A6095" t="str">
        <f>"20190312173048226"</f>
        <v>20190312173048226</v>
      </c>
      <c r="B6095" t="str">
        <f>"1552383048223961"</f>
        <v>1552383048223961</v>
      </c>
      <c r="C6095" t="s">
        <v>40</v>
      </c>
      <c r="D6095">
        <v>3.0147360000000001</v>
      </c>
      <c r="E6095">
        <v>0.44156830000000002</v>
      </c>
      <c r="F6095" t="s">
        <v>41</v>
      </c>
      <c r="G6095">
        <v>-277.13940000000002</v>
      </c>
      <c r="H6095" s="1">
        <v>-2.9124389999999999E-6</v>
      </c>
      <c r="I6095">
        <v>-63.715820000000001</v>
      </c>
      <c r="J6095">
        <v>-290.57299999999998</v>
      </c>
      <c r="K6095">
        <v>1.1180509999999999</v>
      </c>
      <c r="L6095">
        <v>-59.092219999999998</v>
      </c>
      <c r="M6095">
        <v>0.83403590000000005</v>
      </c>
      <c r="N6095">
        <v>0</v>
      </c>
      <c r="O6095">
        <v>-0.55150369999999904</v>
      </c>
      <c r="P6095">
        <v>0.86581459999999999</v>
      </c>
      <c r="Q6095">
        <v>0.19082969999999999</v>
      </c>
      <c r="R6095">
        <v>-0.46254699999999999</v>
      </c>
      <c r="S6095">
        <v>2.9728699999999999</v>
      </c>
      <c r="T6095">
        <v>-0.24559259999999999</v>
      </c>
      <c r="U6095">
        <v>-1.0286249999999999</v>
      </c>
      <c r="V6095">
        <v>-9.5597769999999999E-2</v>
      </c>
      <c r="W6095">
        <v>0.20379890000000001</v>
      </c>
      <c r="X6095">
        <v>0.97433420000000004</v>
      </c>
      <c r="Y6095">
        <v>-0.2463273</v>
      </c>
      <c r="Z6095">
        <v>5.1112789999999998E-2</v>
      </c>
      <c r="AA6095">
        <v>0.96783799999999998</v>
      </c>
      <c r="AB6095">
        <v>23</v>
      </c>
      <c r="AC6095">
        <v>13.433599999999901</v>
      </c>
      <c r="AD6095">
        <v>-1.1180539124390001</v>
      </c>
      <c r="AE6095">
        <v>-4.6235999999999899</v>
      </c>
      <c r="AF6095">
        <v>-3.5309681561257502</v>
      </c>
      <c r="AG6095">
        <v>-1.1180539124390001</v>
      </c>
      <c r="AH6095">
        <v>13.670936177185499</v>
      </c>
      <c r="AI6095">
        <v>94.527502349200802</v>
      </c>
      <c r="AJ6095">
        <v>104.48202120868901</v>
      </c>
      <c r="AK6095">
        <v>14.1637663293128</v>
      </c>
      <c r="AL6095">
        <v>78.240803517182499</v>
      </c>
      <c r="AM6095">
        <v>95.603696583511194</v>
      </c>
      <c r="AN6095">
        <v>1.0000000292799101</v>
      </c>
    </row>
    <row r="6096" spans="1:40" x14ac:dyDescent="0.25">
      <c r="A6096" t="str">
        <f>"20190312173048238"</f>
        <v>20190312173048238</v>
      </c>
      <c r="B6096" t="str">
        <f>"1552383048233721"</f>
        <v>1552383048233721</v>
      </c>
      <c r="C6096" t="s">
        <v>40</v>
      </c>
      <c r="D6096">
        <v>3.1119599999999998</v>
      </c>
      <c r="E6096">
        <v>0.44160369999999999</v>
      </c>
      <c r="F6096" t="s">
        <v>41</v>
      </c>
      <c r="G6096">
        <v>-276.98689999999999</v>
      </c>
      <c r="H6096" s="1">
        <v>-2.858828E-6</v>
      </c>
      <c r="I6096">
        <v>-63.703009999999999</v>
      </c>
      <c r="J6096">
        <v>-290.46269999999998</v>
      </c>
      <c r="K6096">
        <v>1.118031</v>
      </c>
      <c r="L6096">
        <v>-59.156129999999997</v>
      </c>
      <c r="M6096">
        <v>0.83782479999999904</v>
      </c>
      <c r="N6096">
        <v>0</v>
      </c>
      <c r="O6096">
        <v>-0.54573070000000001</v>
      </c>
      <c r="P6096">
        <v>0.86896189999999995</v>
      </c>
      <c r="Q6096">
        <v>0.190641</v>
      </c>
      <c r="R6096">
        <v>-0.45668530000000002</v>
      </c>
      <c r="S6096">
        <v>2.978882</v>
      </c>
      <c r="T6096">
        <v>-0.24514330000000001</v>
      </c>
      <c r="U6096">
        <v>-1.010956</v>
      </c>
      <c r="V6096">
        <v>-9.5461669999999998E-2</v>
      </c>
      <c r="W6096">
        <v>0.20361360000000001</v>
      </c>
      <c r="X6096">
        <v>0.97438630000000004</v>
      </c>
      <c r="Y6096">
        <v>-0.24540409999999999</v>
      </c>
      <c r="Z6096">
        <v>5.0576969999999999E-2</v>
      </c>
      <c r="AA6096">
        <v>0.96810059999999998</v>
      </c>
      <c r="AB6096">
        <v>23</v>
      </c>
      <c r="AC6096">
        <v>13.4757999999999</v>
      </c>
      <c r="AD6096">
        <v>-1.1180338588279899</v>
      </c>
      <c r="AE6096">
        <v>-4.54687999999999</v>
      </c>
      <c r="AF6096">
        <v>-3.5232990614152602</v>
      </c>
      <c r="AG6096">
        <v>-1.1180338588279899</v>
      </c>
      <c r="AH6096">
        <v>13.688705289487601</v>
      </c>
      <c r="AI6096">
        <v>94.522543869206302</v>
      </c>
      <c r="AJ6096">
        <v>104.43390990628301</v>
      </c>
      <c r="AK6096">
        <v>14.179008727273599</v>
      </c>
      <c r="AL6096">
        <v>78.251647995645797</v>
      </c>
      <c r="AM6096">
        <v>95.595472114830201</v>
      </c>
      <c r="AN6096">
        <v>1.0000000450859099</v>
      </c>
    </row>
    <row r="6097" spans="1:40" x14ac:dyDescent="0.25">
      <c r="A6097" t="str">
        <f>"20190312173048250"</f>
        <v>20190312173048250</v>
      </c>
      <c r="B6097" t="str">
        <f>"1552383048243481"</f>
        <v>1552383048243481</v>
      </c>
      <c r="C6097" t="s">
        <v>40</v>
      </c>
      <c r="D6097">
        <v>3.1026600000000002</v>
      </c>
      <c r="E6097">
        <v>0.44172440000000002</v>
      </c>
      <c r="F6097" t="s">
        <v>41</v>
      </c>
      <c r="G6097">
        <v>-276.84500000000003</v>
      </c>
      <c r="H6097" s="1">
        <v>-2.8071260000000001E-6</v>
      </c>
      <c r="I6097">
        <v>-63.677410000000002</v>
      </c>
      <c r="J6097">
        <v>-290.36680000000001</v>
      </c>
      <c r="K6097">
        <v>1.1180099999999999</v>
      </c>
      <c r="L6097">
        <v>-59.210819999999998</v>
      </c>
      <c r="M6097">
        <v>0.84107019999999899</v>
      </c>
      <c r="N6097">
        <v>0</v>
      </c>
      <c r="O6097">
        <v>-0.5407151</v>
      </c>
      <c r="P6097">
        <v>0.87159399999999998</v>
      </c>
      <c r="Q6097">
        <v>0.1905201</v>
      </c>
      <c r="R6097">
        <v>-0.45169209999999899</v>
      </c>
      <c r="S6097">
        <v>2.9852599999999998</v>
      </c>
      <c r="T6097">
        <v>-0.2450938</v>
      </c>
      <c r="U6097">
        <v>-0.99114990000000003</v>
      </c>
      <c r="V6097">
        <v>-9.5231700000000002E-2</v>
      </c>
      <c r="W6097">
        <v>0.20349780000000001</v>
      </c>
      <c r="X6097">
        <v>0.97443290000000005</v>
      </c>
      <c r="Y6097">
        <v>-0.24602979999999999</v>
      </c>
      <c r="Z6097">
        <v>5.0234109999999998E-2</v>
      </c>
      <c r="AA6097">
        <v>0.96795960000000003</v>
      </c>
      <c r="AB6097">
        <v>23</v>
      </c>
      <c r="AC6097">
        <v>13.521799999999899</v>
      </c>
      <c r="AD6097">
        <v>-1.11801280712599</v>
      </c>
      <c r="AE6097">
        <v>-4.4665899999999903</v>
      </c>
      <c r="AF6097">
        <v>-3.5333523246170899</v>
      </c>
      <c r="AG6097">
        <v>-1.11801280712599</v>
      </c>
      <c r="AH6097">
        <v>13.705033469239</v>
      </c>
      <c r="AI6097">
        <v>94.516629445483701</v>
      </c>
      <c r="AJ6097">
        <v>104.45684706455</v>
      </c>
      <c r="AK6097">
        <v>14.197269937552599</v>
      </c>
      <c r="AL6097">
        <v>78.258423643212893</v>
      </c>
      <c r="AM6097">
        <v>95.581812429201307</v>
      </c>
      <c r="AN6097">
        <v>0.999999953946069</v>
      </c>
    </row>
    <row r="6098" spans="1:40" x14ac:dyDescent="0.25">
      <c r="A6098" t="str">
        <f>"20190312173048265"</f>
        <v>20190312173048265</v>
      </c>
      <c r="B6098" t="str">
        <f>"1552383048253241"</f>
        <v>1552383048253241</v>
      </c>
      <c r="C6098" t="s">
        <v>40</v>
      </c>
      <c r="D6098">
        <v>3.0295589999999999</v>
      </c>
      <c r="E6098">
        <v>0.4418185</v>
      </c>
      <c r="F6098" t="s">
        <v>41</v>
      </c>
      <c r="G6098">
        <v>-276.779</v>
      </c>
      <c r="H6098" s="1">
        <v>-2.7799280000000002E-6</v>
      </c>
      <c r="I6098">
        <v>-63.641939999999998</v>
      </c>
      <c r="J6098">
        <v>-290.2346</v>
      </c>
      <c r="K6098">
        <v>1.1179840000000001</v>
      </c>
      <c r="L6098">
        <v>-59.285220000000002</v>
      </c>
      <c r="M6098">
        <v>0.84546849999999996</v>
      </c>
      <c r="N6098">
        <v>0</v>
      </c>
      <c r="O6098">
        <v>-0.53381190000000001</v>
      </c>
      <c r="P6098">
        <v>0.87506399999999995</v>
      </c>
      <c r="Q6098">
        <v>0.1901727</v>
      </c>
      <c r="R6098">
        <v>-0.44508160000000002</v>
      </c>
      <c r="S6098">
        <v>2.9903559999999998</v>
      </c>
      <c r="T6098">
        <v>-0.24604889999999999</v>
      </c>
      <c r="U6098">
        <v>-0.97518919999999998</v>
      </c>
      <c r="V6098">
        <v>-9.4647839999999997E-2</v>
      </c>
      <c r="W6098">
        <v>0.2031635</v>
      </c>
      <c r="X6098">
        <v>0.97455950000000002</v>
      </c>
      <c r="Y6098">
        <v>-0.24326120000000001</v>
      </c>
      <c r="Z6098">
        <v>4.9840049999999997E-2</v>
      </c>
      <c r="AA6098">
        <v>0.96867950000000003</v>
      </c>
      <c r="AB6098">
        <v>23</v>
      </c>
      <c r="AC6098">
        <v>13.4556</v>
      </c>
      <c r="AD6098">
        <v>-1.1179867799279899</v>
      </c>
      <c r="AE6098">
        <v>-4.3567200000000099</v>
      </c>
      <c r="AF6098">
        <v>-3.4779569583585501</v>
      </c>
      <c r="AG6098">
        <v>-1.1179867799279899</v>
      </c>
      <c r="AH6098">
        <v>13.6184229222202</v>
      </c>
      <c r="AI6098">
        <v>94.547775443910695</v>
      </c>
      <c r="AJ6098">
        <v>104.326325283659</v>
      </c>
      <c r="AK6098">
        <v>14.099912125000699</v>
      </c>
      <c r="AL6098">
        <v>78.277985883109295</v>
      </c>
      <c r="AM6098">
        <v>95.547088621119798</v>
      </c>
      <c r="AN6098">
        <v>0.99999992019457895</v>
      </c>
    </row>
    <row r="6099" spans="1:40" x14ac:dyDescent="0.25">
      <c r="A6099" t="str">
        <f>"20190312173048278"</f>
        <v>20190312173048278</v>
      </c>
      <c r="B6099" t="str">
        <f>"1552383048273635"</f>
        <v>1552383048273635</v>
      </c>
      <c r="C6099" t="s">
        <v>40</v>
      </c>
      <c r="D6099">
        <v>3.0140820000000001</v>
      </c>
      <c r="E6099">
        <v>0.4421022</v>
      </c>
      <c r="F6099" t="s">
        <v>41</v>
      </c>
      <c r="G6099">
        <v>-276.69630000000001</v>
      </c>
      <c r="H6099" s="1">
        <v>-2.7403700000000001E-6</v>
      </c>
      <c r="I6099">
        <v>-63.591920000000002</v>
      </c>
      <c r="J6099">
        <v>-290.12</v>
      </c>
      <c r="K6099">
        <v>1.1179509999999999</v>
      </c>
      <c r="L6099">
        <v>-59.348329999999997</v>
      </c>
      <c r="M6099">
        <v>0.84920620000000002</v>
      </c>
      <c r="N6099">
        <v>0</v>
      </c>
      <c r="O6099">
        <v>-0.52784619999999904</v>
      </c>
      <c r="P6099">
        <v>0.87801649999999998</v>
      </c>
      <c r="Q6099">
        <v>0.19033890000000001</v>
      </c>
      <c r="R6099">
        <v>-0.43915609999999999</v>
      </c>
      <c r="S6099">
        <v>2.9971619999999999</v>
      </c>
      <c r="T6099">
        <v>-0.24750330000000001</v>
      </c>
      <c r="U6099">
        <v>-0.95343020000000001</v>
      </c>
      <c r="V6099">
        <v>-9.434091E-2</v>
      </c>
      <c r="W6099">
        <v>0.2033363</v>
      </c>
      <c r="X6099">
        <v>0.97455329999999996</v>
      </c>
      <c r="Y6099">
        <v>-0.24344579999999999</v>
      </c>
      <c r="Z6099">
        <v>4.9711159999999997E-2</v>
      </c>
      <c r="AA6099">
        <v>0.96863969999999999</v>
      </c>
      <c r="AB6099">
        <v>23</v>
      </c>
      <c r="AC6099">
        <v>13.423699999999901</v>
      </c>
      <c r="AD6099">
        <v>-1.1179537403699999</v>
      </c>
      <c r="AE6099">
        <v>-4.2435899999999904</v>
      </c>
      <c r="AF6099">
        <v>-3.4605404960886501</v>
      </c>
      <c r="AG6099">
        <v>-1.1179537403699999</v>
      </c>
      <c r="AH6099">
        <v>13.555524409149699</v>
      </c>
      <c r="AI6099">
        <v>94.568762686308901</v>
      </c>
      <c r="AJ6099">
        <v>104.320956315038</v>
      </c>
      <c r="AK6099">
        <v>14.034863843220201</v>
      </c>
      <c r="AL6099">
        <v>78.267875013816095</v>
      </c>
      <c r="AM6099">
        <v>95.529246783477603</v>
      </c>
      <c r="AN6099">
        <v>0.99999999636910397</v>
      </c>
    </row>
    <row r="6100" spans="1:40" x14ac:dyDescent="0.25">
      <c r="A6100" t="str">
        <f>"20190312173048291"</f>
        <v>20190312173048291</v>
      </c>
      <c r="B6100" t="str">
        <f>"1552383048284371"</f>
        <v>1552383048284371</v>
      </c>
      <c r="C6100" t="s">
        <v>40</v>
      </c>
      <c r="D6100">
        <v>3.0033820000000002</v>
      </c>
      <c r="E6100">
        <v>0.44225219999999998</v>
      </c>
      <c r="F6100" t="s">
        <v>41</v>
      </c>
      <c r="G6100">
        <v>-276.56079999999997</v>
      </c>
      <c r="H6100" s="1">
        <v>-2.677706E-6</v>
      </c>
      <c r="I6100">
        <v>-63.571559999999998</v>
      </c>
      <c r="J6100">
        <v>-290.0145</v>
      </c>
      <c r="K6100">
        <v>1.117917</v>
      </c>
      <c r="L6100">
        <v>-59.405669999999901</v>
      </c>
      <c r="M6100">
        <v>0.85259059999999898</v>
      </c>
      <c r="N6100">
        <v>0</v>
      </c>
      <c r="O6100">
        <v>-0.5223622</v>
      </c>
      <c r="P6100">
        <v>0.880486199999999</v>
      </c>
      <c r="Q6100">
        <v>0.19070100000000001</v>
      </c>
      <c r="R6100">
        <v>-0.43402479999999899</v>
      </c>
      <c r="S6100">
        <v>3.0027159999999999</v>
      </c>
      <c r="T6100">
        <v>-0.2475725</v>
      </c>
      <c r="U6100">
        <v>-0.93524169999999995</v>
      </c>
      <c r="V6100">
        <v>-9.3694479999999997E-2</v>
      </c>
      <c r="W6100">
        <v>0.20371069999999999</v>
      </c>
      <c r="X6100">
        <v>0.97453749999999995</v>
      </c>
      <c r="Y6100">
        <v>-0.24306849999999999</v>
      </c>
      <c r="Z6100">
        <v>4.9316690000000003E-2</v>
      </c>
      <c r="AA6100">
        <v>0.96875460000000002</v>
      </c>
      <c r="AB6100">
        <v>23</v>
      </c>
      <c r="AC6100">
        <v>13.4537</v>
      </c>
      <c r="AD6100">
        <v>-1.1179196777060001</v>
      </c>
      <c r="AE6100">
        <v>-4.1658900000000001</v>
      </c>
      <c r="AF6100">
        <v>-3.4545349943252801</v>
      </c>
      <c r="AG6100">
        <v>-1.1179196777060001</v>
      </c>
      <c r="AH6100">
        <v>13.5626991215864</v>
      </c>
      <c r="AI6100">
        <v>94.566846594878299</v>
      </c>
      <c r="AJ6100">
        <v>104.28986972700901</v>
      </c>
      <c r="AK6100">
        <v>14.0403121010718</v>
      </c>
      <c r="AL6100">
        <v>78.245965200594398</v>
      </c>
      <c r="AM6100">
        <v>95.491680914759101</v>
      </c>
      <c r="AN6100">
        <v>1.0000000218916001</v>
      </c>
    </row>
    <row r="6101" spans="1:40" x14ac:dyDescent="0.25">
      <c r="A6101" t="str">
        <f>"20190312173048302"</f>
        <v>20190312173048302</v>
      </c>
      <c r="B6101" t="str">
        <f>"1552383048294131"</f>
        <v>1552383048294131</v>
      </c>
      <c r="C6101" t="s">
        <v>40</v>
      </c>
      <c r="D6101">
        <v>3.0504030000000002</v>
      </c>
      <c r="E6101">
        <v>0.4423221</v>
      </c>
      <c r="F6101" t="s">
        <v>41</v>
      </c>
      <c r="G6101">
        <v>-276.3836</v>
      </c>
      <c r="H6101" s="1">
        <v>-2.6015340000000001E-6</v>
      </c>
      <c r="I6101">
        <v>-63.570839999999997</v>
      </c>
      <c r="J6101">
        <v>-289.89850000000001</v>
      </c>
      <c r="K6101">
        <v>1.1178809999999999</v>
      </c>
      <c r="L6101">
        <v>-59.467930000000003</v>
      </c>
      <c r="M6101">
        <v>0.85625180000000001</v>
      </c>
      <c r="N6101">
        <v>0</v>
      </c>
      <c r="O6101">
        <v>-0.51633850000000003</v>
      </c>
      <c r="P6101">
        <v>0.883499699999999</v>
      </c>
      <c r="Q6101">
        <v>0.1908379</v>
      </c>
      <c r="R6101">
        <v>-0.42779539999999999</v>
      </c>
      <c r="S6101">
        <v>3.0076290000000001</v>
      </c>
      <c r="T6101">
        <v>-0.2466671</v>
      </c>
      <c r="U6101">
        <v>-0.91903690000000005</v>
      </c>
      <c r="V6101">
        <v>-9.3674540000000001E-2</v>
      </c>
      <c r="W6101">
        <v>0.20384840000000001</v>
      </c>
      <c r="X6101">
        <v>0.9745106</v>
      </c>
      <c r="Y6101">
        <v>-0.24148410000000001</v>
      </c>
      <c r="Z6101">
        <v>4.8646809999999999E-2</v>
      </c>
      <c r="AA6101">
        <v>0.96918459999999995</v>
      </c>
      <c r="AB6101">
        <v>23</v>
      </c>
      <c r="AC6101">
        <v>13.514900000000001</v>
      </c>
      <c r="AD6101">
        <v>-1.1178836015339999</v>
      </c>
      <c r="AE6101">
        <v>-4.1029099999999996</v>
      </c>
      <c r="AF6101">
        <v>-3.4439588327724802</v>
      </c>
      <c r="AG6101">
        <v>-1.1178836015339999</v>
      </c>
      <c r="AH6101">
        <v>13.606965242464501</v>
      </c>
      <c r="AI6101">
        <v>94.553642602232699</v>
      </c>
      <c r="AJ6101">
        <v>104.203432195286</v>
      </c>
      <c r="AK6101">
        <v>14.0804836315394</v>
      </c>
      <c r="AL6101">
        <v>78.237906207753596</v>
      </c>
      <c r="AM6101">
        <v>95.490669953201703</v>
      </c>
      <c r="AN6101">
        <v>0.99999999956956498</v>
      </c>
    </row>
    <row r="6102" spans="1:40" x14ac:dyDescent="0.25">
      <c r="A6102" t="str">
        <f>"20190312173048313"</f>
        <v>20190312173048313</v>
      </c>
      <c r="B6102" t="str">
        <f>"1552383048303891"</f>
        <v>1552383048303891</v>
      </c>
      <c r="C6102" t="s">
        <v>40</v>
      </c>
      <c r="D6102">
        <v>3.1524169999999998</v>
      </c>
      <c r="E6102">
        <v>0.44248090000000001</v>
      </c>
      <c r="F6102" t="s">
        <v>41</v>
      </c>
      <c r="G6102">
        <v>-276.17689999999999</v>
      </c>
      <c r="H6102" s="1">
        <v>-2.5100979999999998E-6</v>
      </c>
      <c r="I6102">
        <v>-63.558419999999998</v>
      </c>
      <c r="J6102">
        <v>-289.8023</v>
      </c>
      <c r="K6102">
        <v>1.1178429999999999</v>
      </c>
      <c r="L6102">
        <v>-59.518279999999997</v>
      </c>
      <c r="M6102">
        <v>0.85921970000000003</v>
      </c>
      <c r="N6102">
        <v>0</v>
      </c>
      <c r="O6102">
        <v>-0.51138539999999999</v>
      </c>
      <c r="P6102">
        <v>0.8858258</v>
      </c>
      <c r="Q6102">
        <v>0.19085369999999999</v>
      </c>
      <c r="R6102">
        <v>-0.42295149999999998</v>
      </c>
      <c r="S6102">
        <v>3.013611</v>
      </c>
      <c r="T6102">
        <v>-0.2455155</v>
      </c>
      <c r="U6102">
        <v>-0.89837649999999902</v>
      </c>
      <c r="V6102">
        <v>-9.3360890000000002E-2</v>
      </c>
      <c r="W6102">
        <v>0.20387040000000001</v>
      </c>
      <c r="X6102">
        <v>0.97453610000000002</v>
      </c>
      <c r="Y6102">
        <v>-0.2425406</v>
      </c>
      <c r="Z6102">
        <v>4.810391E-2</v>
      </c>
      <c r="AA6102">
        <v>0.96894789999999997</v>
      </c>
      <c r="AB6102">
        <v>23</v>
      </c>
      <c r="AC6102">
        <v>13.625400000000001</v>
      </c>
      <c r="AD6102">
        <v>-1.11784551009799</v>
      </c>
      <c r="AE6102">
        <v>-4.0401399999999903</v>
      </c>
      <c r="AF6102">
        <v>-3.4753573427340299</v>
      </c>
      <c r="AG6102">
        <v>-1.11784551009799</v>
      </c>
      <c r="AH6102">
        <v>13.690142200056201</v>
      </c>
      <c r="AI6102">
        <v>94.525126621223393</v>
      </c>
      <c r="AJ6102">
        <v>104.24411875799601</v>
      </c>
      <c r="AK6102">
        <v>14.1685454688158</v>
      </c>
      <c r="AL6102">
        <v>78.236618703194395</v>
      </c>
      <c r="AM6102">
        <v>95.472255035464201</v>
      </c>
      <c r="AN6102">
        <v>1.0000000029904801</v>
      </c>
    </row>
    <row r="6103" spans="1:40" x14ac:dyDescent="0.25">
      <c r="A6103" t="str">
        <f>"20190312173048324"</f>
        <v>20190312173048324</v>
      </c>
      <c r="B6103" t="str">
        <f>"1552383048313651"</f>
        <v>1552383048313651</v>
      </c>
      <c r="C6103" t="s">
        <v>40</v>
      </c>
      <c r="D6103">
        <v>3.0222660000000001</v>
      </c>
      <c r="E6103">
        <v>0.44261210000000001</v>
      </c>
      <c r="F6103" t="s">
        <v>41</v>
      </c>
      <c r="G6103">
        <v>-276.03320000000002</v>
      </c>
      <c r="H6103" s="1">
        <v>-2.4459589999999999E-6</v>
      </c>
      <c r="I6103">
        <v>-63.5471199999999</v>
      </c>
      <c r="J6103">
        <v>-289.70389999999998</v>
      </c>
      <c r="K6103">
        <v>1.117802</v>
      </c>
      <c r="L6103">
        <v>-59.56964</v>
      </c>
      <c r="M6103">
        <v>0.86222140000000003</v>
      </c>
      <c r="N6103">
        <v>0</v>
      </c>
      <c r="O6103">
        <v>-0.506308599999999</v>
      </c>
      <c r="P6103">
        <v>0.88812179999999996</v>
      </c>
      <c r="Q6103">
        <v>0.19137370000000001</v>
      </c>
      <c r="R6103">
        <v>-0.4178714</v>
      </c>
      <c r="S6103">
        <v>3.0178530000000001</v>
      </c>
      <c r="T6103">
        <v>-0.24500520000000001</v>
      </c>
      <c r="U6103">
        <v>-0.88302610000000004</v>
      </c>
      <c r="V6103">
        <v>-9.3126050000000002E-2</v>
      </c>
      <c r="W6103">
        <v>0.2043941</v>
      </c>
      <c r="X6103">
        <v>0.97444889999999995</v>
      </c>
      <c r="Y6103">
        <v>-0.24175089999999999</v>
      </c>
      <c r="Z6103">
        <v>4.7615009999999999E-2</v>
      </c>
      <c r="AA6103">
        <v>0.96916939999999996</v>
      </c>
      <c r="AB6103">
        <v>23</v>
      </c>
      <c r="AC6103">
        <v>13.670699999999901</v>
      </c>
      <c r="AD6103">
        <v>-1.117804445959</v>
      </c>
      <c r="AE6103">
        <v>-3.9774799999999901</v>
      </c>
      <c r="AF6103">
        <v>-3.4711231633976101</v>
      </c>
      <c r="AG6103">
        <v>-1.117804445959</v>
      </c>
      <c r="AH6103">
        <v>13.7180039725651</v>
      </c>
      <c r="AI6103">
        <v>94.516691619117694</v>
      </c>
      <c r="AJ6103">
        <v>104.19974294741399</v>
      </c>
      <c r="AK6103">
        <v>14.1944290405142</v>
      </c>
      <c r="AL6103">
        <v>78.205967861453601</v>
      </c>
      <c r="AM6103">
        <v>95.459058885118196</v>
      </c>
      <c r="AN6103">
        <v>1.0000000340073101</v>
      </c>
    </row>
    <row r="6104" spans="1:40" x14ac:dyDescent="0.25">
      <c r="A6104" t="str">
        <f>"20190312173048336"</f>
        <v>20190312173048336</v>
      </c>
      <c r="B6104" t="str">
        <f>"1552383048324387"</f>
        <v>1552383048324387</v>
      </c>
      <c r="C6104" t="s">
        <v>40</v>
      </c>
      <c r="D6104">
        <v>3.0080089999999999</v>
      </c>
      <c r="E6104">
        <v>0.4427277</v>
      </c>
      <c r="F6104" t="s">
        <v>41</v>
      </c>
      <c r="G6104">
        <v>-275.80410000000001</v>
      </c>
      <c r="H6104" s="1">
        <v>-2.3497339999999998E-6</v>
      </c>
      <c r="I6104">
        <v>-63.556399999999996</v>
      </c>
      <c r="J6104">
        <v>-289.59949999999998</v>
      </c>
      <c r="K6104">
        <v>1.1177520000000001</v>
      </c>
      <c r="L6104">
        <v>-59.622889999999998</v>
      </c>
      <c r="M6104">
        <v>0.86533179999999998</v>
      </c>
      <c r="N6104">
        <v>0</v>
      </c>
      <c r="O6104">
        <v>-0.50097389999999997</v>
      </c>
      <c r="P6104">
        <v>0.89066239999999997</v>
      </c>
      <c r="Q6104">
        <v>0.19138289999999999</v>
      </c>
      <c r="R6104">
        <v>-0.41242319999999999</v>
      </c>
      <c r="S6104">
        <v>3.0223689999999999</v>
      </c>
      <c r="T6104">
        <v>-0.24305579999999999</v>
      </c>
      <c r="U6104">
        <v>-0.86688229999999999</v>
      </c>
      <c r="V6104">
        <v>-9.304962E-2</v>
      </c>
      <c r="W6104">
        <v>0.2044057</v>
      </c>
      <c r="X6104">
        <v>0.97445369999999998</v>
      </c>
      <c r="Y6104">
        <v>-0.24097579999999999</v>
      </c>
      <c r="Z6104">
        <v>4.6830770000000001E-2</v>
      </c>
      <c r="AA6104">
        <v>0.96940059999999995</v>
      </c>
      <c r="AB6104">
        <v>23</v>
      </c>
      <c r="AC6104">
        <v>13.7953999999999</v>
      </c>
      <c r="AD6104">
        <v>-1.1177543497339999</v>
      </c>
      <c r="AE6104">
        <v>-3.9335099999999898</v>
      </c>
      <c r="AF6104">
        <v>-3.4865726560675401</v>
      </c>
      <c r="AG6104">
        <v>-1.1177543497339999</v>
      </c>
      <c r="AH6104">
        <v>13.825816308144701</v>
      </c>
      <c r="AI6104">
        <v>94.482321874313001</v>
      </c>
      <c r="AJ6104">
        <v>104.153655939866</v>
      </c>
      <c r="AK6104">
        <v>14.3024040027873</v>
      </c>
      <c r="AL6104">
        <v>78.205288102547996</v>
      </c>
      <c r="AM6104">
        <v>95.454578876732796</v>
      </c>
      <c r="AN6104">
        <v>0.999999967709161</v>
      </c>
    </row>
    <row r="6105" spans="1:40" x14ac:dyDescent="0.25">
      <c r="A6105" t="str">
        <f>"20190312173048350"</f>
        <v>20190312173048350</v>
      </c>
      <c r="B6105" t="str">
        <f>"1552383048343907"</f>
        <v>1552383048343907</v>
      </c>
      <c r="C6105" t="s">
        <v>40</v>
      </c>
      <c r="D6105">
        <v>3.0849470000000001</v>
      </c>
      <c r="E6105">
        <v>0.44317250000000002</v>
      </c>
      <c r="F6105" t="s">
        <v>41</v>
      </c>
      <c r="G6105">
        <v>-275.66129999999998</v>
      </c>
      <c r="H6105" s="1">
        <v>-2.2833039999999999E-6</v>
      </c>
      <c r="I6105">
        <v>-63.533209999999997</v>
      </c>
      <c r="J6105">
        <v>-289.47570000000002</v>
      </c>
      <c r="K6105">
        <v>1.117688</v>
      </c>
      <c r="L6105">
        <v>-59.685299999999998</v>
      </c>
      <c r="M6105">
        <v>0.86895309999999903</v>
      </c>
      <c r="N6105">
        <v>0</v>
      </c>
      <c r="O6105">
        <v>-0.49466650000000001</v>
      </c>
      <c r="P6105">
        <v>0.89342860000000002</v>
      </c>
      <c r="Q6105">
        <v>0.1914555</v>
      </c>
      <c r="R6105">
        <v>-0.40636280000000002</v>
      </c>
      <c r="S6105">
        <v>3.0272220000000001</v>
      </c>
      <c r="T6105">
        <v>-0.2427628</v>
      </c>
      <c r="U6105">
        <v>-0.84927369999999902</v>
      </c>
      <c r="V6105">
        <v>-9.2542899999999997E-2</v>
      </c>
      <c r="W6105">
        <v>0.20448839999999999</v>
      </c>
      <c r="X6105">
        <v>0.97448460000000003</v>
      </c>
      <c r="Y6105">
        <v>-0.2395748</v>
      </c>
      <c r="Z6105">
        <v>4.6275740000000003E-2</v>
      </c>
      <c r="AA6105">
        <v>0.96977440000000004</v>
      </c>
      <c r="AB6105">
        <v>23</v>
      </c>
      <c r="AC6105">
        <v>13.814399999999999</v>
      </c>
      <c r="AD6105">
        <v>-1.1176902833040001</v>
      </c>
      <c r="AE6105">
        <v>-3.8479099999999899</v>
      </c>
      <c r="AF6105">
        <v>-3.46918687097976</v>
      </c>
      <c r="AG6105">
        <v>-1.1176902833040001</v>
      </c>
      <c r="AH6105">
        <v>13.825083047081099</v>
      </c>
      <c r="AI6105">
        <v>94.483616958957498</v>
      </c>
      <c r="AJ6105">
        <v>104.086612323526</v>
      </c>
      <c r="AK6105">
        <v>14.297461675900999</v>
      </c>
      <c r="AL6105">
        <v>78.200447462169095</v>
      </c>
      <c r="AM6105">
        <v>95.424881596256299</v>
      </c>
      <c r="AN6105">
        <v>0.99999996485606402</v>
      </c>
    </row>
    <row r="6106" spans="1:40" x14ac:dyDescent="0.25">
      <c r="A6106" t="str">
        <f>"20190312173048365"</f>
        <v>20190312173048365</v>
      </c>
      <c r="B6106" t="str">
        <f>"1552383048353667"</f>
        <v>1552383048353667</v>
      </c>
      <c r="C6106" t="s">
        <v>40</v>
      </c>
      <c r="D6106">
        <v>3.0624009999999999</v>
      </c>
      <c r="E6106">
        <v>0.44344450000000002</v>
      </c>
      <c r="F6106" t="s">
        <v>41</v>
      </c>
      <c r="G6106">
        <v>-275.49590000000001</v>
      </c>
      <c r="H6106" s="1">
        <v>-2.2100910000000002E-6</v>
      </c>
      <c r="I6106">
        <v>-63.52308</v>
      </c>
      <c r="J6106">
        <v>-289.34230000000002</v>
      </c>
      <c r="K6106">
        <v>1.117613</v>
      </c>
      <c r="L6106">
        <v>-59.751559999999998</v>
      </c>
      <c r="M6106">
        <v>0.87277079999999996</v>
      </c>
      <c r="N6106">
        <v>0</v>
      </c>
      <c r="O6106">
        <v>-0.48789949999999999</v>
      </c>
      <c r="P6106">
        <v>0.896470199999999</v>
      </c>
      <c r="Q6106">
        <v>0.19168540000000001</v>
      </c>
      <c r="R6106">
        <v>-0.3994972</v>
      </c>
      <c r="S6106">
        <v>3.0312809999999999</v>
      </c>
      <c r="T6106">
        <v>-0.24235110000000001</v>
      </c>
      <c r="U6106">
        <v>-0.83215329999999998</v>
      </c>
      <c r="V6106">
        <v>-9.2389139999999995E-2</v>
      </c>
      <c r="W6106">
        <v>0.20472170000000001</v>
      </c>
      <c r="X6106">
        <v>0.97445020000000004</v>
      </c>
      <c r="Y6106">
        <v>-0.23748549999999999</v>
      </c>
      <c r="Z6106">
        <v>4.5649160000000001E-2</v>
      </c>
      <c r="AA6106">
        <v>0.97031789999999996</v>
      </c>
      <c r="AB6106">
        <v>23</v>
      </c>
      <c r="AC6106">
        <v>13.846399999999999</v>
      </c>
      <c r="AD6106">
        <v>-1.117615210091</v>
      </c>
      <c r="AE6106">
        <v>-3.7715200000000002</v>
      </c>
      <c r="AF6106">
        <v>-3.4434845959280298</v>
      </c>
      <c r="AG6106">
        <v>-1.117615210091</v>
      </c>
      <c r="AH6106">
        <v>13.842470393844399</v>
      </c>
      <c r="AI6106">
        <v>94.479986891037299</v>
      </c>
      <c r="AJ6106">
        <v>103.969479849032</v>
      </c>
      <c r="AK6106">
        <v>14.308061941600601</v>
      </c>
      <c r="AL6106">
        <v>78.186791399547204</v>
      </c>
      <c r="AM6106">
        <v>95.416111851852406</v>
      </c>
      <c r="AN6106">
        <v>0.999999959960434</v>
      </c>
    </row>
    <row r="6107" spans="1:40" x14ac:dyDescent="0.25">
      <c r="A6107" t="str">
        <f>"20190312173048379"</f>
        <v>20190312173048379</v>
      </c>
      <c r="B6107" t="str">
        <f>"1552383048374163"</f>
        <v>1552383048374163</v>
      </c>
      <c r="C6107" t="s">
        <v>40</v>
      </c>
      <c r="D6107">
        <v>3.0873179999999998</v>
      </c>
      <c r="E6107">
        <v>0.45784970000000003</v>
      </c>
      <c r="F6107" t="s">
        <v>41</v>
      </c>
      <c r="G6107">
        <v>-275.31130000000002</v>
      </c>
      <c r="H6107" s="1">
        <v>-2.1260929999999999E-6</v>
      </c>
      <c r="I6107">
        <v>-63.501370000000001</v>
      </c>
      <c r="J6107">
        <v>-289.21769999999998</v>
      </c>
      <c r="K6107">
        <v>1.117537</v>
      </c>
      <c r="L6107">
        <v>-59.812040000000003</v>
      </c>
      <c r="M6107">
        <v>0.87623890000000004</v>
      </c>
      <c r="N6107">
        <v>0</v>
      </c>
      <c r="O6107">
        <v>-0.48164370000000001</v>
      </c>
      <c r="P6107">
        <v>0.89907179999999998</v>
      </c>
      <c r="Q6107">
        <v>0.1915461</v>
      </c>
      <c r="R6107">
        <v>-0.39367489999999999</v>
      </c>
      <c r="S6107">
        <v>3.03653</v>
      </c>
      <c r="T6107">
        <v>-0.241871</v>
      </c>
      <c r="U6107">
        <v>-0.81152340000000001</v>
      </c>
      <c r="V6107">
        <v>-9.1711790000000001E-2</v>
      </c>
      <c r="W6107">
        <v>0.20459620000000001</v>
      </c>
      <c r="X6107">
        <v>0.97454059999999998</v>
      </c>
      <c r="Y6107">
        <v>-0.2371345</v>
      </c>
      <c r="Z6107">
        <v>4.5103270000000001E-2</v>
      </c>
      <c r="AA6107">
        <v>0.97042919999999999</v>
      </c>
      <c r="AB6107">
        <v>23</v>
      </c>
      <c r="AC6107">
        <v>13.9063999999999</v>
      </c>
      <c r="AD6107">
        <v>-1.1175391260930001</v>
      </c>
      <c r="AE6107">
        <v>-3.6893299999999898</v>
      </c>
      <c r="AF6107">
        <v>-3.4448013137263902</v>
      </c>
      <c r="AG6107">
        <v>-1.1175391260930001</v>
      </c>
      <c r="AH6107">
        <v>13.880097182542899</v>
      </c>
      <c r="AI6107">
        <v>94.468192111768403</v>
      </c>
      <c r="AJ6107">
        <v>103.938208067803</v>
      </c>
      <c r="AK6107">
        <v>14.3447777112869</v>
      </c>
      <c r="AL6107">
        <v>78.194138223047702</v>
      </c>
      <c r="AM6107">
        <v>95.376141414971102</v>
      </c>
      <c r="AN6107">
        <v>1.0000000192639</v>
      </c>
    </row>
    <row r="6108" spans="1:40" x14ac:dyDescent="0.25">
      <c r="A6108" t="str">
        <f>"20190312173048393"</f>
        <v>20190312173048393</v>
      </c>
      <c r="B6108" t="str">
        <f>"1552383048383922"</f>
        <v>1552383048383922</v>
      </c>
      <c r="C6108" t="s">
        <v>40</v>
      </c>
      <c r="D6108">
        <v>3.0839029999999998</v>
      </c>
      <c r="E6108">
        <v>0.45841539999999997</v>
      </c>
      <c r="F6108" t="s">
        <v>41</v>
      </c>
      <c r="G6108">
        <v>-275.58179999999999</v>
      </c>
      <c r="H6108" s="1">
        <v>-2.3301419999999998E-6</v>
      </c>
      <c r="I6108">
        <v>-63.897329999999997</v>
      </c>
      <c r="J6108">
        <v>-289.09399999999999</v>
      </c>
      <c r="K6108">
        <v>1.117462</v>
      </c>
      <c r="L6108">
        <v>-59.871090000000002</v>
      </c>
      <c r="M6108">
        <v>0.87960039999999995</v>
      </c>
      <c r="N6108">
        <v>0</v>
      </c>
      <c r="O6108">
        <v>-0.4754775</v>
      </c>
      <c r="P6108">
        <v>0.90166679999999999</v>
      </c>
      <c r="Q6108">
        <v>0.1919584</v>
      </c>
      <c r="R6108">
        <v>-0.38749070000000002</v>
      </c>
      <c r="S6108">
        <v>2.9960629999999999</v>
      </c>
      <c r="T6108">
        <v>-0.24554419999999999</v>
      </c>
      <c r="U6108">
        <v>-0.89761349999999995</v>
      </c>
      <c r="V6108">
        <v>-9.1488970000000003E-2</v>
      </c>
      <c r="W6108">
        <v>0.2050111</v>
      </c>
      <c r="X6108">
        <v>0.97447430000000002</v>
      </c>
      <c r="Y6108">
        <v>-0.20113809999999999</v>
      </c>
      <c r="Z6108">
        <v>4.4271449999999997E-2</v>
      </c>
      <c r="AA6108">
        <v>0.97856189999999998</v>
      </c>
      <c r="AB6108">
        <v>23</v>
      </c>
      <c r="AC6108">
        <v>13.5122</v>
      </c>
      <c r="AD6108">
        <v>-1.117464330142</v>
      </c>
      <c r="AE6108">
        <v>-4.0262399999999996</v>
      </c>
      <c r="AF6108">
        <v>-2.8655875840449099</v>
      </c>
      <c r="AG6108">
        <v>-1.117464330142</v>
      </c>
      <c r="AH6108">
        <v>13.7151175233752</v>
      </c>
      <c r="AI6108">
        <v>94.559950377810793</v>
      </c>
      <c r="AJ6108">
        <v>101.801402009321</v>
      </c>
      <c r="AK6108">
        <v>14.0557734547397</v>
      </c>
      <c r="AL6108">
        <v>78.169850831940906</v>
      </c>
      <c r="AM6108">
        <v>95.3635187337334</v>
      </c>
      <c r="AN6108">
        <v>0.99999997205767999</v>
      </c>
    </row>
    <row r="6109" spans="1:40" x14ac:dyDescent="0.25">
      <c r="A6109" t="str">
        <f>"20190312173048407"</f>
        <v>20190312173048407</v>
      </c>
      <c r="B6109" t="str">
        <f>"1552383048403443"</f>
        <v>1552383048403443</v>
      </c>
      <c r="C6109" t="s">
        <v>40</v>
      </c>
      <c r="D6109">
        <v>3.0942129999999999</v>
      </c>
      <c r="E6109">
        <v>0.45909299999999997</v>
      </c>
      <c r="F6109" t="s">
        <v>41</v>
      </c>
      <c r="G6109">
        <v>-275.02510000000001</v>
      </c>
      <c r="H6109" s="1">
        <v>-2.1151759999999999E-6</v>
      </c>
      <c r="I6109">
        <v>-64.004519999999999</v>
      </c>
      <c r="J6109">
        <v>-288.96440000000001</v>
      </c>
      <c r="K6109">
        <v>1.1173900000000001</v>
      </c>
      <c r="L6109">
        <v>-59.932070000000003</v>
      </c>
      <c r="M6109">
        <v>0.88304269999999996</v>
      </c>
      <c r="N6109">
        <v>0</v>
      </c>
      <c r="O6109">
        <v>-0.46905409999999997</v>
      </c>
      <c r="P6109">
        <v>0.90429380000000004</v>
      </c>
      <c r="Q6109">
        <v>0.19184870000000001</v>
      </c>
      <c r="R6109">
        <v>-0.38137500000000002</v>
      </c>
      <c r="S6109">
        <v>2.9992070000000002</v>
      </c>
      <c r="T6109">
        <v>-0.2382213</v>
      </c>
      <c r="U6109">
        <v>-0.88116459999999996</v>
      </c>
      <c r="V6109">
        <v>-9.0955620000000001E-2</v>
      </c>
      <c r="W6109">
        <v>0.2049108</v>
      </c>
      <c r="X6109">
        <v>0.97454540000000001</v>
      </c>
      <c r="Y6109">
        <v>-0.19934740000000001</v>
      </c>
      <c r="Z6109">
        <v>4.2454560000000002E-2</v>
      </c>
      <c r="AA6109">
        <v>0.97900880000000001</v>
      </c>
      <c r="AB6109">
        <v>23</v>
      </c>
      <c r="AC6109">
        <v>13.939299999999999</v>
      </c>
      <c r="AD6109">
        <v>-1.11739211517599</v>
      </c>
      <c r="AE6109">
        <v>-4.0724499999999999</v>
      </c>
      <c r="AF6109">
        <v>-2.9251496042839702</v>
      </c>
      <c r="AG6109">
        <v>-1.11739211517599</v>
      </c>
      <c r="AH6109">
        <v>14.1370897137227</v>
      </c>
      <c r="AI6109">
        <v>94.425883509855794</v>
      </c>
      <c r="AJ6109">
        <v>101.690280522831</v>
      </c>
      <c r="AK6109">
        <v>14.479722750120001</v>
      </c>
      <c r="AL6109">
        <v>78.175723167565707</v>
      </c>
      <c r="AM6109">
        <v>95.332045187830005</v>
      </c>
      <c r="AN6109">
        <v>1.00000004871369</v>
      </c>
    </row>
    <row r="6110" spans="1:40" x14ac:dyDescent="0.25">
      <c r="A6110" t="str">
        <f>"20190312173048419"</f>
        <v>20190312173048419</v>
      </c>
      <c r="B6110" t="str">
        <f>"1552383048414179"</f>
        <v>1552383048414179</v>
      </c>
      <c r="C6110" t="s">
        <v>40</v>
      </c>
      <c r="D6110">
        <v>3.2539060000000002</v>
      </c>
      <c r="E6110">
        <v>0.4598758</v>
      </c>
      <c r="F6110" t="s">
        <v>41</v>
      </c>
      <c r="G6110">
        <v>-274.83839999999998</v>
      </c>
      <c r="H6110" s="1">
        <v>-2.0354980000000002E-6</v>
      </c>
      <c r="I6110">
        <v>-64.006280000000004</v>
      </c>
      <c r="J6110">
        <v>-288.8476</v>
      </c>
      <c r="K6110">
        <v>1.1173169999999999</v>
      </c>
      <c r="L6110">
        <v>-59.985990000000001</v>
      </c>
      <c r="M6110">
        <v>0.88606289999999999</v>
      </c>
      <c r="N6110">
        <v>0</v>
      </c>
      <c r="O6110">
        <v>-0.46332430000000002</v>
      </c>
      <c r="P6110">
        <v>0.90662030000000005</v>
      </c>
      <c r="Q6110">
        <v>0.19176000000000001</v>
      </c>
      <c r="R6110">
        <v>-0.37585610000000003</v>
      </c>
      <c r="S6110">
        <v>3.0026549999999999</v>
      </c>
      <c r="T6110">
        <v>-0.23751630000000001</v>
      </c>
      <c r="U6110">
        <v>-0.86602780000000001</v>
      </c>
      <c r="V6110">
        <v>-9.0551960000000001E-2</v>
      </c>
      <c r="W6110">
        <v>0.2048296</v>
      </c>
      <c r="X6110">
        <v>0.97460000000000002</v>
      </c>
      <c r="Y6110">
        <v>-0.19788339999999999</v>
      </c>
      <c r="Z6110">
        <v>4.1879529999999998E-2</v>
      </c>
      <c r="AA6110">
        <v>0.97933049999999999</v>
      </c>
      <c r="AB6110">
        <v>23</v>
      </c>
      <c r="AC6110">
        <v>14.0092</v>
      </c>
      <c r="AD6110">
        <v>-1.117319035498</v>
      </c>
      <c r="AE6110">
        <v>-4.0202900000000001</v>
      </c>
      <c r="AF6110">
        <v>-2.9117870794763099</v>
      </c>
      <c r="AG6110">
        <v>-1.117319035498</v>
      </c>
      <c r="AH6110">
        <v>14.1939053171374</v>
      </c>
      <c r="AI6110">
        <v>94.409486195160497</v>
      </c>
      <c r="AJ6110">
        <v>101.593015053017</v>
      </c>
      <c r="AK6110">
        <v>14.5325102434216</v>
      </c>
      <c r="AL6110">
        <v>78.180475715808498</v>
      </c>
      <c r="AM6110">
        <v>95.308221420743806</v>
      </c>
      <c r="AN6110">
        <v>0.99999999124799999</v>
      </c>
    </row>
    <row r="6111" spans="1:40" x14ac:dyDescent="0.25">
      <c r="A6111" t="str">
        <f>"20190312173048432"</f>
        <v>20190312173048432</v>
      </c>
      <c r="B6111" t="str">
        <f>"1552383048423940"</f>
        <v>1552383048423940</v>
      </c>
      <c r="C6111" t="s">
        <v>40</v>
      </c>
      <c r="D6111">
        <v>3.1045850000000002</v>
      </c>
      <c r="E6111">
        <v>0.46045829999999999</v>
      </c>
      <c r="F6111" t="s">
        <v>41</v>
      </c>
      <c r="G6111">
        <v>-274.74630000000002</v>
      </c>
      <c r="H6111" s="1">
        <v>-1.9924970000000001E-6</v>
      </c>
      <c r="I6111">
        <v>-63.990699999999997</v>
      </c>
      <c r="J6111">
        <v>-288.72660000000002</v>
      </c>
      <c r="K6111">
        <v>1.1172310000000001</v>
      </c>
      <c r="L6111">
        <v>-60.040889999999997</v>
      </c>
      <c r="M6111">
        <v>0.88911489999999904</v>
      </c>
      <c r="N6111">
        <v>0</v>
      </c>
      <c r="O6111">
        <v>-0.45744099999999999</v>
      </c>
      <c r="P6111">
        <v>0.90884739999999997</v>
      </c>
      <c r="Q6111">
        <v>0.19142380000000001</v>
      </c>
      <c r="R6111">
        <v>-0.37061280000000002</v>
      </c>
      <c r="S6111">
        <v>3.005493</v>
      </c>
      <c r="T6111">
        <v>-0.23814060000000001</v>
      </c>
      <c r="U6111">
        <v>-0.85354609999999997</v>
      </c>
      <c r="V6111">
        <v>-8.9708099999999999E-2</v>
      </c>
      <c r="W6111">
        <v>0.20450850000000001</v>
      </c>
      <c r="X6111">
        <v>0.97474550000000004</v>
      </c>
      <c r="Y6111">
        <v>-0.1954041</v>
      </c>
      <c r="Z6111">
        <v>4.148802E-2</v>
      </c>
      <c r="AA6111">
        <v>0.97984490000000002</v>
      </c>
      <c r="AB6111">
        <v>23</v>
      </c>
      <c r="AC6111">
        <v>13.9803</v>
      </c>
      <c r="AD6111">
        <v>-1.1172329924969999</v>
      </c>
      <c r="AE6111">
        <v>-3.9498099999999901</v>
      </c>
      <c r="AF6111">
        <v>-2.8666937492959299</v>
      </c>
      <c r="AG6111">
        <v>-1.1172329924969999</v>
      </c>
      <c r="AH6111">
        <v>14.1547662789478</v>
      </c>
      <c r="AI6111">
        <v>94.423548598459803</v>
      </c>
      <c r="AJ6111">
        <v>101.448971095212</v>
      </c>
      <c r="AK6111">
        <v>14.485287398716499</v>
      </c>
      <c r="AL6111">
        <v>78.1992717307715</v>
      </c>
      <c r="AM6111">
        <v>95.258251789546406</v>
      </c>
      <c r="AN6111">
        <v>1.0000000297740499</v>
      </c>
    </row>
    <row r="6112" spans="1:40" x14ac:dyDescent="0.25">
      <c r="A6112" t="str">
        <f>"20190312173048444"</f>
        <v>20190312173048444</v>
      </c>
      <c r="B6112" t="str">
        <f>"1552383048433700"</f>
        <v>1552383048433700</v>
      </c>
      <c r="C6112" t="s">
        <v>40</v>
      </c>
      <c r="D6112">
        <v>3.1363880000000002</v>
      </c>
      <c r="E6112">
        <v>0.4612058</v>
      </c>
      <c r="F6112" t="s">
        <v>41</v>
      </c>
      <c r="G6112">
        <v>-274.67779999999999</v>
      </c>
      <c r="H6112" s="1">
        <v>-1.9575220000000001E-6</v>
      </c>
      <c r="I6112">
        <v>-63.965479999999999</v>
      </c>
      <c r="J6112">
        <v>-288.61959999999999</v>
      </c>
      <c r="K6112">
        <v>1.117159</v>
      </c>
      <c r="L6112">
        <v>-60.088990000000003</v>
      </c>
      <c r="M6112">
        <v>0.89175859999999996</v>
      </c>
      <c r="N6112">
        <v>0</v>
      </c>
      <c r="O6112">
        <v>-0.452266</v>
      </c>
      <c r="P6112">
        <v>0.91079860000000001</v>
      </c>
      <c r="Q6112">
        <v>0.19127739999999999</v>
      </c>
      <c r="R6112">
        <v>-0.36586790000000002</v>
      </c>
      <c r="S6112">
        <v>3.0085449999999998</v>
      </c>
      <c r="T6112">
        <v>-0.239256</v>
      </c>
      <c r="U6112">
        <v>-0.84045409999999898</v>
      </c>
      <c r="V6112">
        <v>-8.9101340000000001E-2</v>
      </c>
      <c r="W6112">
        <v>0.2043722</v>
      </c>
      <c r="X6112">
        <v>0.97482970000000002</v>
      </c>
      <c r="Y6112">
        <v>-0.1939178</v>
      </c>
      <c r="Z6112">
        <v>4.126208E-2</v>
      </c>
      <c r="AA6112">
        <v>0.98014959999999995</v>
      </c>
      <c r="AB6112">
        <v>23</v>
      </c>
      <c r="AC6112">
        <v>13.941800000000001</v>
      </c>
      <c r="AD6112">
        <v>-1.1171609575220001</v>
      </c>
      <c r="AE6112">
        <v>-3.87649</v>
      </c>
      <c r="AF6112">
        <v>-2.8319464962748802</v>
      </c>
      <c r="AG6112">
        <v>-1.1171609575220001</v>
      </c>
      <c r="AH6112">
        <v>14.1034422470011</v>
      </c>
      <c r="AI6112">
        <v>94.440776780723695</v>
      </c>
      <c r="AJ6112">
        <v>101.35390287973399</v>
      </c>
      <c r="AK6112">
        <v>14.428272688623199</v>
      </c>
      <c r="AL6112">
        <v>78.207249224251299</v>
      </c>
      <c r="AM6112">
        <v>95.222435204061597</v>
      </c>
      <c r="AN6112">
        <v>0.99999999446236199</v>
      </c>
    </row>
    <row r="6113" spans="1:40" x14ac:dyDescent="0.25">
      <c r="A6113" t="str">
        <f>"20190312173048455"</f>
        <v>20190312173048455</v>
      </c>
      <c r="B6113" t="str">
        <f>"1552383048443460"</f>
        <v>1552383048443460</v>
      </c>
      <c r="C6113" t="s">
        <v>40</v>
      </c>
      <c r="D6113">
        <v>3.1308609999999999</v>
      </c>
      <c r="E6113">
        <v>0.46181739999999999</v>
      </c>
      <c r="F6113" t="s">
        <v>41</v>
      </c>
      <c r="G6113">
        <v>-274.73669999999998</v>
      </c>
      <c r="H6113" s="1">
        <v>-1.9720910000000001E-6</v>
      </c>
      <c r="I6113">
        <v>-63.917490000000001</v>
      </c>
      <c r="J6113">
        <v>-288.52170000000001</v>
      </c>
      <c r="K6113">
        <v>1.117092</v>
      </c>
      <c r="L6113">
        <v>-60.131990000000002</v>
      </c>
      <c r="M6113">
        <v>0.89410940000000005</v>
      </c>
      <c r="N6113">
        <v>0</v>
      </c>
      <c r="O6113">
        <v>-0.44760080000000002</v>
      </c>
      <c r="P6113">
        <v>0.91256919999999997</v>
      </c>
      <c r="Q6113">
        <v>0.1909737</v>
      </c>
      <c r="R6113">
        <v>-0.36158889999999999</v>
      </c>
      <c r="S6113">
        <v>3.011139</v>
      </c>
      <c r="T6113">
        <v>-0.24230660000000001</v>
      </c>
      <c r="U6113">
        <v>-0.83038330000000005</v>
      </c>
      <c r="V6113">
        <v>-8.8571880000000006E-2</v>
      </c>
      <c r="W6113">
        <v>0.2040767</v>
      </c>
      <c r="X6113">
        <v>0.97493989999999997</v>
      </c>
      <c r="Y6113">
        <v>-0.19202820000000001</v>
      </c>
      <c r="Z6113">
        <v>4.1378360000000003E-2</v>
      </c>
      <c r="AA6113">
        <v>0.98051670000000002</v>
      </c>
      <c r="AB6113">
        <v>23</v>
      </c>
      <c r="AC6113">
        <v>13.785</v>
      </c>
      <c r="AD6113">
        <v>-1.117093972091</v>
      </c>
      <c r="AE6113">
        <v>-3.7854999999999901</v>
      </c>
      <c r="AF6113">
        <v>-2.76892658876349</v>
      </c>
      <c r="AG6113">
        <v>-1.117093972091</v>
      </c>
      <c r="AH6113">
        <v>13.9361457738309</v>
      </c>
      <c r="AI6113">
        <v>94.495416110154807</v>
      </c>
      <c r="AJ6113">
        <v>101.237560892548</v>
      </c>
      <c r="AK6113">
        <v>14.252403742032699</v>
      </c>
      <c r="AL6113">
        <v>78.224545223844601</v>
      </c>
      <c r="AM6113">
        <v>95.190988801117101</v>
      </c>
      <c r="AN6113">
        <v>1.00000004301081</v>
      </c>
    </row>
    <row r="6114" spans="1:40" x14ac:dyDescent="0.25">
      <c r="A6114" t="str">
        <f>"20190312173048465"</f>
        <v>20190312173048465</v>
      </c>
      <c r="B6114" t="str">
        <f>"1552383048454196"</f>
        <v>1552383048454196</v>
      </c>
      <c r="C6114" t="s">
        <v>40</v>
      </c>
      <c r="D6114">
        <v>3.1114419999999998</v>
      </c>
      <c r="E6114">
        <v>0.46236169999999999</v>
      </c>
      <c r="F6114" t="s">
        <v>41</v>
      </c>
      <c r="G6114">
        <v>-274.7122</v>
      </c>
      <c r="H6114" s="1">
        <v>-1.9563600000000002E-6</v>
      </c>
      <c r="I6114">
        <v>-63.893819999999998</v>
      </c>
      <c r="J6114">
        <v>-288.42259999999999</v>
      </c>
      <c r="K6114">
        <v>1.1170260000000001</v>
      </c>
      <c r="L6114">
        <v>-60.175289999999997</v>
      </c>
      <c r="M6114">
        <v>0.89645269999999999</v>
      </c>
      <c r="N6114">
        <v>0</v>
      </c>
      <c r="O6114">
        <v>-0.44288949999999999</v>
      </c>
      <c r="P6114">
        <v>0.91429179999999999</v>
      </c>
      <c r="Q6114">
        <v>0.19064149999999999</v>
      </c>
      <c r="R6114">
        <v>-0.35738829999999999</v>
      </c>
      <c r="S6114">
        <v>3.0132140000000001</v>
      </c>
      <c r="T6114">
        <v>-0.24374950000000001</v>
      </c>
      <c r="U6114">
        <v>-0.82083130000000004</v>
      </c>
      <c r="V6114">
        <v>-8.7913980000000003E-2</v>
      </c>
      <c r="W6114">
        <v>0.20375550000000001</v>
      </c>
      <c r="X6114">
        <v>0.97506649999999995</v>
      </c>
      <c r="Y6114">
        <v>-0.18992539999999999</v>
      </c>
      <c r="Z6114">
        <v>4.1206109999999997E-2</v>
      </c>
      <c r="AA6114">
        <v>0.98093339999999996</v>
      </c>
      <c r="AB6114">
        <v>23</v>
      </c>
      <c r="AC6114">
        <v>13.7103999999999</v>
      </c>
      <c r="AD6114">
        <v>-1.1170279563600001</v>
      </c>
      <c r="AE6114">
        <v>-3.7185299999999901</v>
      </c>
      <c r="AF6114">
        <v>-2.7221779200852598</v>
      </c>
      <c r="AG6114">
        <v>-1.1170279563600001</v>
      </c>
      <c r="AH6114">
        <v>13.853509782732999</v>
      </c>
      <c r="AI6114">
        <v>94.523729386702399</v>
      </c>
      <c r="AJ6114">
        <v>101.11683464670899</v>
      </c>
      <c r="AK6114">
        <v>14.16254699495</v>
      </c>
      <c r="AL6114">
        <v>78.243342211549901</v>
      </c>
      <c r="AM6114">
        <v>95.151973756486598</v>
      </c>
      <c r="AN6114">
        <v>0.99999992554096695</v>
      </c>
    </row>
    <row r="6115" spans="1:40" x14ac:dyDescent="0.25">
      <c r="A6115" t="str">
        <f>"20190312173048476"</f>
        <v>20190312173048476</v>
      </c>
      <c r="B6115" t="str">
        <f>"1552383048473715"</f>
        <v>1552383048473715</v>
      </c>
      <c r="C6115" t="s">
        <v>40</v>
      </c>
      <c r="D6115">
        <v>3.2010160000000001</v>
      </c>
      <c r="E6115">
        <v>0.46842850000000003</v>
      </c>
      <c r="F6115" t="s">
        <v>41</v>
      </c>
      <c r="G6115">
        <v>-274.65129999999999</v>
      </c>
      <c r="H6115" s="1">
        <v>-1.927239E-6</v>
      </c>
      <c r="I6115">
        <v>-63.88044</v>
      </c>
      <c r="J6115">
        <v>-288.32089999999999</v>
      </c>
      <c r="K6115">
        <v>1.116951</v>
      </c>
      <c r="L6115">
        <v>-60.218899999999998</v>
      </c>
      <c r="M6115">
        <v>0.89879540000000002</v>
      </c>
      <c r="N6115">
        <v>0</v>
      </c>
      <c r="O6115">
        <v>-0.43811640000000002</v>
      </c>
      <c r="P6115">
        <v>0.91607470000000002</v>
      </c>
      <c r="Q6115">
        <v>0.1902015</v>
      </c>
      <c r="R6115">
        <v>-0.35303069999999998</v>
      </c>
      <c r="S6115">
        <v>3.0151370000000002</v>
      </c>
      <c r="T6115">
        <v>-0.24456620000000001</v>
      </c>
      <c r="U6115">
        <v>-0.81121829999999995</v>
      </c>
      <c r="V6115">
        <v>-8.7366840000000001E-2</v>
      </c>
      <c r="W6115">
        <v>0.20332420000000001</v>
      </c>
      <c r="X6115">
        <v>0.97520580000000001</v>
      </c>
      <c r="Y6115">
        <v>-0.18778429999999999</v>
      </c>
      <c r="Z6115">
        <v>4.0919520000000001E-2</v>
      </c>
      <c r="AA6115">
        <v>0.98135760000000005</v>
      </c>
      <c r="AB6115">
        <v>23</v>
      </c>
      <c r="AC6115">
        <v>13.669600000000001</v>
      </c>
      <c r="AD6115">
        <v>-1.116952927239</v>
      </c>
      <c r="AE6115">
        <v>-3.66154</v>
      </c>
      <c r="AF6115">
        <v>-2.6814937751346499</v>
      </c>
      <c r="AG6115">
        <v>-1.116952927239</v>
      </c>
      <c r="AH6115">
        <v>13.8058823230085</v>
      </c>
      <c r="AI6115">
        <v>94.540896951999002</v>
      </c>
      <c r="AJ6115">
        <v>100.991610260114</v>
      </c>
      <c r="AK6115">
        <v>14.1081671178262</v>
      </c>
      <c r="AL6115">
        <v>78.2685834093229</v>
      </c>
      <c r="AM6115">
        <v>95.119353498902001</v>
      </c>
      <c r="AN6115">
        <v>1.0000000236954301</v>
      </c>
    </row>
    <row r="6116" spans="1:40" x14ac:dyDescent="0.25">
      <c r="A6116" t="str">
        <f>"20190312173048488"</f>
        <v>20190312173048488</v>
      </c>
      <c r="B6116" t="str">
        <f>"1552383048483475"</f>
        <v>1552383048483475</v>
      </c>
      <c r="C6116" t="s">
        <v>40</v>
      </c>
      <c r="D6116">
        <v>3.105667</v>
      </c>
      <c r="E6116">
        <v>0.46908090000000002</v>
      </c>
      <c r="F6116" t="s">
        <v>41</v>
      </c>
      <c r="G6116">
        <v>-274.81810000000002</v>
      </c>
      <c r="H6116" s="1">
        <v>-2.0269250000000001E-6</v>
      </c>
      <c r="I6116">
        <v>-64.006879999999995</v>
      </c>
      <c r="J6116">
        <v>-288.21249999999998</v>
      </c>
      <c r="K6116">
        <v>1.116873</v>
      </c>
      <c r="L6116">
        <v>-60.264830000000003</v>
      </c>
      <c r="M6116">
        <v>0.90124070000000001</v>
      </c>
      <c r="N6116">
        <v>0</v>
      </c>
      <c r="O6116">
        <v>-0.43306480000000003</v>
      </c>
      <c r="P6116">
        <v>0.91789449999999995</v>
      </c>
      <c r="Q6116">
        <v>0.19001290000000001</v>
      </c>
      <c r="R6116">
        <v>-0.34837449999999998</v>
      </c>
      <c r="S6116">
        <v>3.0018919999999998</v>
      </c>
      <c r="T6116">
        <v>-0.24831800000000001</v>
      </c>
      <c r="U6116">
        <v>-0.84213259999999901</v>
      </c>
      <c r="V6116">
        <v>-8.6818649999999997E-2</v>
      </c>
      <c r="W6116">
        <v>0.2031435</v>
      </c>
      <c r="X6116">
        <v>0.97529239999999995</v>
      </c>
      <c r="Y6116">
        <v>-0.17176649999999999</v>
      </c>
      <c r="Z6116">
        <v>4.0634169999999997E-2</v>
      </c>
      <c r="AA6116">
        <v>0.98429929999999999</v>
      </c>
      <c r="AB6116">
        <v>23</v>
      </c>
      <c r="AC6116">
        <v>13.3943999999999</v>
      </c>
      <c r="AD6116">
        <v>-1.1168750269249901</v>
      </c>
      <c r="AE6116">
        <v>-3.7420499999999999</v>
      </c>
      <c r="AF6116">
        <v>-2.4128609691919598</v>
      </c>
      <c r="AG6116">
        <v>-1.1168750269249901</v>
      </c>
      <c r="AH6116">
        <v>13.6058848058032</v>
      </c>
      <c r="AI6116">
        <v>94.620972762305499</v>
      </c>
      <c r="AJ6116">
        <v>100.056254671074</v>
      </c>
      <c r="AK6116">
        <v>13.8632394926729</v>
      </c>
      <c r="AL6116">
        <v>78.279157301311699</v>
      </c>
      <c r="AM6116">
        <v>95.086951453044904</v>
      </c>
      <c r="AN6116">
        <v>1.0000000125389099</v>
      </c>
    </row>
    <row r="6117" spans="1:40" x14ac:dyDescent="0.25">
      <c r="A6117" t="str">
        <f>"20190312173048499"</f>
        <v>20190312173048499</v>
      </c>
      <c r="B6117" t="str">
        <f>"1552383048494211"</f>
        <v>1552383048494211</v>
      </c>
      <c r="C6117" t="s">
        <v>40</v>
      </c>
      <c r="D6117">
        <v>3.2685300000000002</v>
      </c>
      <c r="E6117">
        <v>0.469858</v>
      </c>
      <c r="F6117" t="s">
        <v>41</v>
      </c>
      <c r="G6117">
        <v>-274.73759999999999</v>
      </c>
      <c r="H6117" s="1">
        <v>-1.9900220000000002E-6</v>
      </c>
      <c r="I6117">
        <v>-63.996299999999998</v>
      </c>
      <c r="J6117">
        <v>-288.10789999999997</v>
      </c>
      <c r="K6117">
        <v>1.116792</v>
      </c>
      <c r="L6117">
        <v>-60.308619999999998</v>
      </c>
      <c r="M6117">
        <v>0.90354599999999996</v>
      </c>
      <c r="N6117">
        <v>0</v>
      </c>
      <c r="O6117">
        <v>-0.42823470000000002</v>
      </c>
      <c r="P6117">
        <v>0.91961729999999997</v>
      </c>
      <c r="Q6117">
        <v>0.1896641</v>
      </c>
      <c r="R6117">
        <v>-0.34399380000000002</v>
      </c>
      <c r="S6117">
        <v>3.0041500000000001</v>
      </c>
      <c r="T6117">
        <v>-0.2490011</v>
      </c>
      <c r="U6117">
        <v>-0.83190919999999902</v>
      </c>
      <c r="V6117">
        <v>-8.6233760000000007E-2</v>
      </c>
      <c r="W6117">
        <v>0.20280309999999999</v>
      </c>
      <c r="X6117">
        <v>0.97541509999999998</v>
      </c>
      <c r="Y6117">
        <v>-0.16980399999999901</v>
      </c>
      <c r="Z6117">
        <v>4.0311600000000003E-2</v>
      </c>
      <c r="AA6117">
        <v>0.98465309999999995</v>
      </c>
      <c r="AB6117">
        <v>23</v>
      </c>
      <c r="AC6117">
        <v>13.370299999999901</v>
      </c>
      <c r="AD6117">
        <v>-1.1167939900220001</v>
      </c>
      <c r="AE6117">
        <v>-3.6876799999999998</v>
      </c>
      <c r="AF6117">
        <v>-2.37847950708051</v>
      </c>
      <c r="AG6117">
        <v>-1.1167939900220001</v>
      </c>
      <c r="AH6117">
        <v>13.5733686087063</v>
      </c>
      <c r="AI6117">
        <v>94.633322439171195</v>
      </c>
      <c r="AJ6117">
        <v>99.9391056845066</v>
      </c>
      <c r="AK6117">
        <v>13.825365419024701</v>
      </c>
      <c r="AL6117">
        <v>78.299075103164</v>
      </c>
      <c r="AM6117">
        <v>95.052226771021907</v>
      </c>
      <c r="AN6117">
        <v>0.99999998802067802</v>
      </c>
    </row>
    <row r="6118" spans="1:40" x14ac:dyDescent="0.25">
      <c r="A6118" t="str">
        <f>"20190312173048511"</f>
        <v>20190312173048511</v>
      </c>
      <c r="B6118" t="str">
        <f>"1552383048503972"</f>
        <v>1552383048503972</v>
      </c>
      <c r="C6118" t="s">
        <v>40</v>
      </c>
      <c r="D6118">
        <v>3.108968</v>
      </c>
      <c r="E6118">
        <v>0.4696726</v>
      </c>
      <c r="F6118" t="s">
        <v>41</v>
      </c>
      <c r="G6118">
        <v>-274.64609999999999</v>
      </c>
      <c r="H6118" s="1">
        <v>-1.9509140000000002E-6</v>
      </c>
      <c r="I6118">
        <v>-63.996920000000003</v>
      </c>
      <c r="J6118">
        <v>-288.00599999999997</v>
      </c>
      <c r="K6118">
        <v>1.116711</v>
      </c>
      <c r="L6118">
        <v>-60.350520000000003</v>
      </c>
      <c r="M6118">
        <v>0.90573269999999995</v>
      </c>
      <c r="N6118">
        <v>0</v>
      </c>
      <c r="O6118">
        <v>-0.4235912</v>
      </c>
      <c r="P6118">
        <v>0.92121120000000001</v>
      </c>
      <c r="Q6118">
        <v>0.1894689</v>
      </c>
      <c r="R6118">
        <v>-0.33981139999999999</v>
      </c>
      <c r="S6118">
        <v>3.0056150000000001</v>
      </c>
      <c r="T6118">
        <v>-0.24934690000000001</v>
      </c>
      <c r="U6118">
        <v>-0.8234863</v>
      </c>
      <c r="V6118">
        <v>-8.5632470000000002E-2</v>
      </c>
      <c r="W6118">
        <v>0.20261589999999999</v>
      </c>
      <c r="X6118">
        <v>0.97550700000000001</v>
      </c>
      <c r="Y6118">
        <v>-0.1674486</v>
      </c>
      <c r="Z6118">
        <v>3.9935150000000003E-2</v>
      </c>
      <c r="AA6118">
        <v>0.98507169999999999</v>
      </c>
      <c r="AB6118">
        <v>23</v>
      </c>
      <c r="AC6118">
        <v>13.3598999999999</v>
      </c>
      <c r="AD6118">
        <v>-1.1167129509139999</v>
      </c>
      <c r="AE6118">
        <v>-3.6463999999999999</v>
      </c>
      <c r="AF6118">
        <v>-2.3415047982818602</v>
      </c>
      <c r="AG6118">
        <v>-1.1167129509139999</v>
      </c>
      <c r="AH6118">
        <v>13.5584120666019</v>
      </c>
      <c r="AI6118">
        <v>94.640052241209006</v>
      </c>
      <c r="AJ6118">
        <v>99.798196046065001</v>
      </c>
      <c r="AK6118">
        <v>13.8043554830674</v>
      </c>
      <c r="AL6118">
        <v>78.310028592141506</v>
      </c>
      <c r="AM6118">
        <v>95.016708838342296</v>
      </c>
      <c r="AN6118">
        <v>1.0000000149500501</v>
      </c>
    </row>
    <row r="6119" spans="1:40" x14ac:dyDescent="0.25">
      <c r="A6119" t="str">
        <f>"20190312173048521"</f>
        <v>20190312173048521</v>
      </c>
      <c r="B6119" t="str">
        <f>"1552383048513732"</f>
        <v>1552383048513732</v>
      </c>
      <c r="C6119" t="s">
        <v>40</v>
      </c>
      <c r="D6119">
        <v>3.0943529999999999</v>
      </c>
      <c r="E6119">
        <v>0.4696726</v>
      </c>
      <c r="F6119" t="s">
        <v>41</v>
      </c>
      <c r="G6119">
        <v>-274.56400000000002</v>
      </c>
      <c r="H6119" s="1">
        <v>-1.9076409999999998E-6</v>
      </c>
      <c r="I6119">
        <v>-63.960790000000003</v>
      </c>
      <c r="J6119">
        <v>-287.90429999999998</v>
      </c>
      <c r="K6119">
        <v>1.116628</v>
      </c>
      <c r="L6119">
        <v>-60.392119999999998</v>
      </c>
      <c r="M6119">
        <v>0.90787569999999995</v>
      </c>
      <c r="N6119">
        <v>0</v>
      </c>
      <c r="O6119">
        <v>-0.41897889999999999</v>
      </c>
      <c r="P6119">
        <v>0.9226936</v>
      </c>
      <c r="Q6119">
        <v>0.1895454</v>
      </c>
      <c r="R6119">
        <v>-0.33572170000000001</v>
      </c>
      <c r="S6119">
        <v>3.009827</v>
      </c>
      <c r="T6119">
        <v>-0.25004520000000002</v>
      </c>
      <c r="U6119">
        <v>-0.80838009999999905</v>
      </c>
      <c r="V6119">
        <v>-8.4950390000000001E-2</v>
      </c>
      <c r="W6119">
        <v>0.2027013</v>
      </c>
      <c r="X6119">
        <v>0.97554890000000005</v>
      </c>
      <c r="Y6119">
        <v>-0.16739589999999999</v>
      </c>
      <c r="Z6119">
        <v>3.9688510000000003E-2</v>
      </c>
      <c r="AA6119">
        <v>0.98509060000000004</v>
      </c>
      <c r="AB6119">
        <v>23</v>
      </c>
      <c r="AC6119">
        <v>13.3402999999999</v>
      </c>
      <c r="AD6119">
        <v>-1.116629907641</v>
      </c>
      <c r="AE6119">
        <v>-3.56867</v>
      </c>
      <c r="AF6119">
        <v>-2.3343889162790399</v>
      </c>
      <c r="AG6119">
        <v>-1.116629907641</v>
      </c>
      <c r="AH6119">
        <v>13.519621268128301</v>
      </c>
      <c r="AI6119">
        <v>94.652986628922804</v>
      </c>
      <c r="AJ6119">
        <v>99.796480783882402</v>
      </c>
      <c r="AK6119">
        <v>13.765042433523901</v>
      </c>
      <c r="AL6119">
        <v>78.305031919654297</v>
      </c>
      <c r="AM6119">
        <v>94.976738547790802</v>
      </c>
      <c r="AN6119">
        <v>1.0000000210370199</v>
      </c>
    </row>
    <row r="6120" spans="1:40" x14ac:dyDescent="0.25">
      <c r="A6120" t="str">
        <f>"20190312173048534"</f>
        <v>20190312173048534</v>
      </c>
      <c r="B6120" t="str">
        <f>"1552383048523491"</f>
        <v>1552383048523491</v>
      </c>
      <c r="C6120" t="s">
        <v>40</v>
      </c>
      <c r="D6120">
        <v>3.0120450000000001</v>
      </c>
      <c r="E6120">
        <v>0.45112780000000002</v>
      </c>
      <c r="F6120" t="s">
        <v>41</v>
      </c>
      <c r="G6120">
        <v>-274.43740000000003</v>
      </c>
      <c r="H6120" s="1">
        <v>-1.8500150000000001E-6</v>
      </c>
      <c r="I6120">
        <v>-63.945900000000002</v>
      </c>
      <c r="J6120">
        <v>-287.7921</v>
      </c>
      <c r="K6120">
        <v>1.116536</v>
      </c>
      <c r="L6120">
        <v>-60.436979999999998</v>
      </c>
      <c r="M6120">
        <v>0.91016050000000004</v>
      </c>
      <c r="N6120">
        <v>0</v>
      </c>
      <c r="O6120">
        <v>-0.4139931</v>
      </c>
      <c r="P6120">
        <v>0.92435690000000004</v>
      </c>
      <c r="Q6120">
        <v>0.18933820000000001</v>
      </c>
      <c r="R6120">
        <v>-0.33123380000000002</v>
      </c>
      <c r="S6120">
        <v>3.0133670000000001</v>
      </c>
      <c r="T6120">
        <v>-0.24985779999999999</v>
      </c>
      <c r="U6120">
        <v>-0.79519649999999997</v>
      </c>
      <c r="V6120">
        <v>-8.4306850000000003E-2</v>
      </c>
      <c r="W6120">
        <v>0.20250280000000001</v>
      </c>
      <c r="X6120">
        <v>0.97564589999999995</v>
      </c>
      <c r="Y6120">
        <v>-0.16632459999999999</v>
      </c>
      <c r="Z6120">
        <v>3.9235199999999998E-2</v>
      </c>
      <c r="AA6120">
        <v>0.9852902</v>
      </c>
      <c r="AB6120">
        <v>23</v>
      </c>
      <c r="AC6120">
        <v>13.3546999999999</v>
      </c>
      <c r="AD6120">
        <v>-1.1165378500150001</v>
      </c>
      <c r="AE6120">
        <v>-3.50891999999999</v>
      </c>
      <c r="AF6120">
        <v>-2.3201567187617198</v>
      </c>
      <c r="AG6120">
        <v>-1.1165378500150001</v>
      </c>
      <c r="AH6120">
        <v>13.5206632120414</v>
      </c>
      <c r="AI6120">
        <v>94.6530732161701</v>
      </c>
      <c r="AJ6120">
        <v>99.737164919445803</v>
      </c>
      <c r="AK6120">
        <v>13.763652046734601</v>
      </c>
      <c r="AL6120">
        <v>78.316645455527095</v>
      </c>
      <c r="AM6120">
        <v>94.938735939166605</v>
      </c>
      <c r="AN6120">
        <v>0.99999997557578502</v>
      </c>
    </row>
    <row r="6121" spans="1:40" x14ac:dyDescent="0.25">
      <c r="A6121" t="str">
        <f>"20190312173048544"</f>
        <v>20190312173048544</v>
      </c>
      <c r="B6121" t="str">
        <f>"1552383048534228"</f>
        <v>1552383048534228</v>
      </c>
      <c r="C6121" t="s">
        <v>40</v>
      </c>
      <c r="D6121">
        <v>3.0668790000000001</v>
      </c>
      <c r="E6121">
        <v>0.44889469999999998</v>
      </c>
      <c r="F6121" t="s">
        <v>41</v>
      </c>
      <c r="G6121">
        <v>-270.10199999999998</v>
      </c>
      <c r="H6121" s="1">
        <v>-3.4153290000000001E-8</v>
      </c>
      <c r="I6121">
        <v>-64.143739999999994</v>
      </c>
      <c r="J6121">
        <v>-287.69529999999997</v>
      </c>
      <c r="K6121">
        <v>1.1164529999999999</v>
      </c>
      <c r="L6121">
        <v>-60.475520000000003</v>
      </c>
      <c r="M6121">
        <v>0.91209890000000005</v>
      </c>
      <c r="N6121">
        <v>0</v>
      </c>
      <c r="O6121">
        <v>-0.40970499999999999</v>
      </c>
      <c r="P6121">
        <v>0.92580830000000003</v>
      </c>
      <c r="Q6121">
        <v>0.1892558</v>
      </c>
      <c r="R6121">
        <v>-0.3272024</v>
      </c>
      <c r="S6121">
        <v>3.0555729999999999</v>
      </c>
      <c r="T6121">
        <v>-0.19285659999999999</v>
      </c>
      <c r="U6121">
        <v>-0.64025880000000002</v>
      </c>
      <c r="V6121">
        <v>-8.3929530000000002E-2</v>
      </c>
      <c r="W6121">
        <v>0.20242489999999999</v>
      </c>
      <c r="X6121">
        <v>0.97569470000000003</v>
      </c>
      <c r="Y6121">
        <v>-0.2128361</v>
      </c>
      <c r="Z6121">
        <v>3.1345659999999997E-2</v>
      </c>
      <c r="AA6121">
        <v>0.97658500000000004</v>
      </c>
      <c r="AB6121">
        <v>23</v>
      </c>
      <c r="AC6121">
        <v>17.5932999999999</v>
      </c>
      <c r="AD6121">
        <v>-1.1164530341532899</v>
      </c>
      <c r="AE6121">
        <v>-3.66822000000001</v>
      </c>
      <c r="AF6121">
        <v>-3.84785355872553</v>
      </c>
      <c r="AG6121">
        <v>-1.1164530341532899</v>
      </c>
      <c r="AH6121">
        <v>17.484149637768802</v>
      </c>
      <c r="AI6121">
        <v>93.568502622106607</v>
      </c>
      <c r="AJ6121">
        <v>102.411608930254</v>
      </c>
      <c r="AK6121">
        <v>17.937333495889501</v>
      </c>
      <c r="AL6121">
        <v>78.321204388456906</v>
      </c>
      <c r="AM6121">
        <v>94.9164962377086</v>
      </c>
      <c r="AN6121">
        <v>1.0000000768770501</v>
      </c>
    </row>
    <row r="6122" spans="1:40" x14ac:dyDescent="0.25">
      <c r="A6122" t="str">
        <f>"20190312173048555"</f>
        <v>20190312173048555</v>
      </c>
      <c r="B6122" t="str">
        <f>"1552383048543987"</f>
        <v>1552383048543987</v>
      </c>
      <c r="C6122" t="s">
        <v>40</v>
      </c>
      <c r="D6122">
        <v>3.1130399999999998</v>
      </c>
      <c r="E6122">
        <v>0.44833040000000002</v>
      </c>
      <c r="F6122" t="s">
        <v>41</v>
      </c>
      <c r="G6122">
        <v>-268.8091</v>
      </c>
      <c r="H6122" s="1">
        <v>-3.5697709999999999E-6</v>
      </c>
      <c r="I6122">
        <v>-64.237229999999997</v>
      </c>
      <c r="J6122">
        <v>-287.58949999999999</v>
      </c>
      <c r="K6122">
        <v>1.116358</v>
      </c>
      <c r="L6122">
        <v>-60.516779999999997</v>
      </c>
      <c r="M6122">
        <v>0.91414450000000003</v>
      </c>
      <c r="N6122">
        <v>0</v>
      </c>
      <c r="O6122">
        <v>-0.40512160000000003</v>
      </c>
      <c r="P6122">
        <v>0.92711399999999999</v>
      </c>
      <c r="Q6122">
        <v>0.1896815</v>
      </c>
      <c r="R6122">
        <v>-0.32323550000000001</v>
      </c>
      <c r="S6122">
        <v>3.0618590000000001</v>
      </c>
      <c r="T6122">
        <v>-0.1810013</v>
      </c>
      <c r="U6122">
        <v>-0.6098633</v>
      </c>
      <c r="V6122">
        <v>-8.3130969999999998E-2</v>
      </c>
      <c r="W6122">
        <v>0.2028596</v>
      </c>
      <c r="X6122">
        <v>0.97567269999999995</v>
      </c>
      <c r="Y6122">
        <v>-0.2177731</v>
      </c>
      <c r="Z6122">
        <v>2.930458E-2</v>
      </c>
      <c r="AA6122">
        <v>0.97555939999999997</v>
      </c>
      <c r="AB6122">
        <v>23</v>
      </c>
      <c r="AC6122">
        <v>18.780399999999901</v>
      </c>
      <c r="AD6122">
        <v>-1.1163615697710001</v>
      </c>
      <c r="AE6122">
        <v>-3.72045</v>
      </c>
      <c r="AF6122">
        <v>-4.1935138771006297</v>
      </c>
      <c r="AG6122">
        <v>-1.1163615697710001</v>
      </c>
      <c r="AH6122">
        <v>18.613966316015102</v>
      </c>
      <c r="AI6122">
        <v>93.348444020592893</v>
      </c>
      <c r="AJ6122">
        <v>102.696119738352</v>
      </c>
      <c r="AK6122">
        <v>19.113125432687401</v>
      </c>
      <c r="AL6122">
        <v>78.295769274199998</v>
      </c>
      <c r="AM6122">
        <v>94.8700528309476</v>
      </c>
      <c r="AN6122">
        <v>0.99999999650529503</v>
      </c>
    </row>
    <row r="6123" spans="1:40" x14ac:dyDescent="0.25">
      <c r="A6123" t="str">
        <f>"20190312173048568"</f>
        <v>20190312173048568</v>
      </c>
      <c r="B6123" t="str">
        <f>"1552383048563507"</f>
        <v>1552383048563507</v>
      </c>
      <c r="C6123" t="s">
        <v>40</v>
      </c>
      <c r="D6123">
        <v>3.046252</v>
      </c>
      <c r="E6123">
        <v>0.44830920000000002</v>
      </c>
      <c r="F6123" t="s">
        <v>41</v>
      </c>
      <c r="G6123">
        <v>-268.24040000000002</v>
      </c>
      <c r="H6123" s="1">
        <v>-3.3796659999999999E-6</v>
      </c>
      <c r="I6123">
        <v>-64.256600000000006</v>
      </c>
      <c r="J6123">
        <v>-287.47800000000001</v>
      </c>
      <c r="K6123">
        <v>1.1162620000000001</v>
      </c>
      <c r="L6123">
        <v>-60.55988</v>
      </c>
      <c r="M6123">
        <v>0.91625190000000001</v>
      </c>
      <c r="N6123">
        <v>0</v>
      </c>
      <c r="O6123">
        <v>-0.4003331</v>
      </c>
      <c r="P6123">
        <v>0.92852029999999997</v>
      </c>
      <c r="Q6123">
        <v>0.18982080000000001</v>
      </c>
      <c r="R6123">
        <v>-0.31908930000000002</v>
      </c>
      <c r="S6123">
        <v>3.0654300000000001</v>
      </c>
      <c r="T6123">
        <v>-0.17686199999999999</v>
      </c>
      <c r="U6123">
        <v>-0.59249879999999999</v>
      </c>
      <c r="V6123">
        <v>-8.2323480000000004E-2</v>
      </c>
      <c r="W6123">
        <v>0.20300799999999999</v>
      </c>
      <c r="X6123">
        <v>0.97571030000000003</v>
      </c>
      <c r="Y6123">
        <v>-0.2182579</v>
      </c>
      <c r="Z6123">
        <v>2.8389339999999999E-2</v>
      </c>
      <c r="AA6123">
        <v>0.97547810000000001</v>
      </c>
      <c r="AB6123">
        <v>23</v>
      </c>
      <c r="AC6123">
        <v>19.237599999999901</v>
      </c>
      <c r="AD6123">
        <v>-1.116265379666</v>
      </c>
      <c r="AE6123">
        <v>-3.6967199999999898</v>
      </c>
      <c r="AF6123">
        <v>-4.3008221815786198</v>
      </c>
      <c r="AG6123">
        <v>-1.116265379666</v>
      </c>
      <c r="AH6123">
        <v>19.046624629914</v>
      </c>
      <c r="AI6123">
        <v>93.271905624584704</v>
      </c>
      <c r="AJ6123">
        <v>102.724273993222</v>
      </c>
      <c r="AK6123">
        <v>19.558042581716801</v>
      </c>
      <c r="AL6123">
        <v>78.287085900473997</v>
      </c>
      <c r="AM6123">
        <v>94.822786978259202</v>
      </c>
      <c r="AN6123">
        <v>0.99999999647469995</v>
      </c>
    </row>
    <row r="6124" spans="1:40" x14ac:dyDescent="0.25">
      <c r="A6124" t="str">
        <f>"20190312173048581"</f>
        <v>20190312173048581</v>
      </c>
      <c r="B6124" t="str">
        <f>"1552383048574245"</f>
        <v>1552383048574245</v>
      </c>
      <c r="C6124" t="s">
        <v>40</v>
      </c>
      <c r="D6124">
        <v>3.0323639999999998</v>
      </c>
      <c r="E6124">
        <v>0.448548</v>
      </c>
      <c r="F6124" t="s">
        <v>41</v>
      </c>
      <c r="G6124">
        <v>-267.74020000000002</v>
      </c>
      <c r="H6124" s="1">
        <v>-3.2141950000000001E-6</v>
      </c>
      <c r="I6124">
        <v>-64.283240000000006</v>
      </c>
      <c r="J6124">
        <v>-287.35719999999998</v>
      </c>
      <c r="K6124">
        <v>1.116152</v>
      </c>
      <c r="L6124">
        <v>-60.605899999999998</v>
      </c>
      <c r="M6124">
        <v>0.91847069999999997</v>
      </c>
      <c r="N6124">
        <v>0</v>
      </c>
      <c r="O6124">
        <v>-0.39521679999999998</v>
      </c>
      <c r="P6124">
        <v>0.93014129999999995</v>
      </c>
      <c r="Q6124">
        <v>0.18974540000000001</v>
      </c>
      <c r="R6124">
        <v>-0.3143783</v>
      </c>
      <c r="S6124">
        <v>3.0675349999999999</v>
      </c>
      <c r="T6124">
        <v>-0.17348339999999901</v>
      </c>
      <c r="U6124">
        <v>-0.57867429999999997</v>
      </c>
      <c r="V6124">
        <v>-8.1775680000000003E-2</v>
      </c>
      <c r="W6124">
        <v>0.2029376</v>
      </c>
      <c r="X6124">
        <v>0.97577100000000005</v>
      </c>
      <c r="Y6124">
        <v>-0.21722649999999999</v>
      </c>
      <c r="Z6124">
        <v>2.7554869999999999E-2</v>
      </c>
      <c r="AA6124">
        <v>0.97573220000000005</v>
      </c>
      <c r="AB6124">
        <v>23</v>
      </c>
      <c r="AC6124">
        <v>19.616999999999901</v>
      </c>
      <c r="AD6124">
        <v>-1.116155214195</v>
      </c>
      <c r="AE6124">
        <v>-3.6773400000000001</v>
      </c>
      <c r="AF6124">
        <v>-4.3622673130403697</v>
      </c>
      <c r="AG6124">
        <v>-1.116155214195</v>
      </c>
      <c r="AH6124">
        <v>19.412371758712201</v>
      </c>
      <c r="AI6124">
        <v>93.210821918983697</v>
      </c>
      <c r="AJ6124">
        <v>102.664885580527</v>
      </c>
      <c r="AK6124">
        <v>19.9277534075229</v>
      </c>
      <c r="AL6124">
        <v>78.291205168653406</v>
      </c>
      <c r="AM6124">
        <v>94.790548240670503</v>
      </c>
      <c r="AN6124">
        <v>0.99999998788711097</v>
      </c>
    </row>
    <row r="6125" spans="1:40" x14ac:dyDescent="0.25">
      <c r="A6125" t="str">
        <f>"20190312173048592"</f>
        <v>20190312173048592</v>
      </c>
      <c r="B6125" t="str">
        <f>"1552383048584003"</f>
        <v>1552383048584003</v>
      </c>
      <c r="C6125" t="s">
        <v>40</v>
      </c>
      <c r="D6125">
        <v>3.0284119999999999</v>
      </c>
      <c r="E6125">
        <v>0.44895180000000001</v>
      </c>
      <c r="F6125" t="s">
        <v>41</v>
      </c>
      <c r="G6125">
        <v>-267.54399999999998</v>
      </c>
      <c r="H6125" s="1">
        <v>-3.1415319999999999E-6</v>
      </c>
      <c r="I6125">
        <v>-64.249949999999998</v>
      </c>
      <c r="J6125">
        <v>-287.25110000000001</v>
      </c>
      <c r="K6125">
        <v>1.116055</v>
      </c>
      <c r="L6125">
        <v>-60.645629999999997</v>
      </c>
      <c r="M6125">
        <v>0.92035449999999996</v>
      </c>
      <c r="N6125">
        <v>0</v>
      </c>
      <c r="O6125">
        <v>-0.39081100000000002</v>
      </c>
      <c r="P6125">
        <v>0.93134779999999995</v>
      </c>
      <c r="Q6125">
        <v>0.19005920000000001</v>
      </c>
      <c r="R6125">
        <v>-0.3105946</v>
      </c>
      <c r="S6125">
        <v>3.069763</v>
      </c>
      <c r="T6125">
        <v>-0.17293229999999901</v>
      </c>
      <c r="U6125">
        <v>-0.56460569999999999</v>
      </c>
      <c r="V6125">
        <v>-8.0995440000000002E-2</v>
      </c>
      <c r="W6125">
        <v>0.2032592</v>
      </c>
      <c r="X6125">
        <v>0.9757692</v>
      </c>
      <c r="Y6125">
        <v>-0.21701239999999999</v>
      </c>
      <c r="Z6125">
        <v>2.7232820000000001E-2</v>
      </c>
      <c r="AA6125">
        <v>0.97578889999999996</v>
      </c>
      <c r="AB6125">
        <v>23</v>
      </c>
      <c r="AC6125">
        <v>19.707099999999901</v>
      </c>
      <c r="AD6125">
        <v>-1.1160581415319999</v>
      </c>
      <c r="AE6125">
        <v>-3.6043199999999902</v>
      </c>
      <c r="AF6125">
        <v>-4.3714030878398198</v>
      </c>
      <c r="AG6125">
        <v>-1.1160581415319999</v>
      </c>
      <c r="AH6125">
        <v>19.4877429539596</v>
      </c>
      <c r="AI6125">
        <v>93.198425012012294</v>
      </c>
      <c r="AJ6125">
        <v>102.6430496453</v>
      </c>
      <c r="AK6125">
        <v>20.003171652796901</v>
      </c>
      <c r="AL6125">
        <v>78.272387347186694</v>
      </c>
      <c r="AM6125">
        <v>94.745058970387603</v>
      </c>
      <c r="AN6125">
        <v>1.0000000476770301</v>
      </c>
    </row>
    <row r="6126" spans="1:40" x14ac:dyDescent="0.25">
      <c r="A6126" t="str">
        <f>"20190312173048604"</f>
        <v>20190312173048604</v>
      </c>
      <c r="B6126" t="str">
        <f>"1552383048593763"</f>
        <v>1552383048593763</v>
      </c>
      <c r="C6126" t="s">
        <v>40</v>
      </c>
      <c r="D6126">
        <v>3.0207470000000001</v>
      </c>
      <c r="E6126">
        <v>0.4494204</v>
      </c>
      <c r="F6126" t="s">
        <v>41</v>
      </c>
      <c r="G6126">
        <v>-267.26130000000001</v>
      </c>
      <c r="H6126" s="1">
        <v>-3.0472740000000002E-6</v>
      </c>
      <c r="I6126">
        <v>-64.261039999999994</v>
      </c>
      <c r="J6126">
        <v>-287.13920000000002</v>
      </c>
      <c r="K6126">
        <v>1.115961</v>
      </c>
      <c r="L6126">
        <v>-60.687260000000002</v>
      </c>
      <c r="M6126">
        <v>0.92230230000000002</v>
      </c>
      <c r="N6126">
        <v>0</v>
      </c>
      <c r="O6126">
        <v>-0.38619239999999999</v>
      </c>
      <c r="P6126">
        <v>0.9327744</v>
      </c>
      <c r="Q6126">
        <v>0.18967890000000001</v>
      </c>
      <c r="R6126">
        <v>-0.30651899999999999</v>
      </c>
      <c r="S6126">
        <v>3.0708920000000002</v>
      </c>
      <c r="T6126">
        <v>-0.17145189999999999</v>
      </c>
      <c r="U6126">
        <v>-0.55541989999999997</v>
      </c>
      <c r="V6126">
        <v>-8.0342930000000007E-2</v>
      </c>
      <c r="W6126">
        <v>0.20288619999999999</v>
      </c>
      <c r="X6126">
        <v>0.97590069999999995</v>
      </c>
      <c r="Y6126">
        <v>-0.215032</v>
      </c>
      <c r="Z6126">
        <v>2.6710970000000001E-2</v>
      </c>
      <c r="AA6126">
        <v>0.97624160000000004</v>
      </c>
      <c r="AB6126">
        <v>23</v>
      </c>
      <c r="AC6126">
        <v>19.8779</v>
      </c>
      <c r="AD6126">
        <v>-1.115964047274</v>
      </c>
      <c r="AE6126">
        <v>-3.5737800000000099</v>
      </c>
      <c r="AF6126">
        <v>-4.3677217944587596</v>
      </c>
      <c r="AG6126">
        <v>-1.115964047274</v>
      </c>
      <c r="AH6126">
        <v>19.6556970697251</v>
      </c>
      <c r="AI6126">
        <v>93.172300519567202</v>
      </c>
      <c r="AJ6126">
        <v>102.528221904902</v>
      </c>
      <c r="AK6126">
        <v>20.166030762780199</v>
      </c>
      <c r="AL6126">
        <v>78.294212720650705</v>
      </c>
      <c r="AM6126">
        <v>94.706373196962403</v>
      </c>
      <c r="AN6126">
        <v>0.999999986405957</v>
      </c>
    </row>
    <row r="6127" spans="1:40" x14ac:dyDescent="0.25">
      <c r="A6127" t="str">
        <f>"20190312173048613"</f>
        <v>20190312173048613</v>
      </c>
      <c r="B6127" t="str">
        <f>"1552383048603523"</f>
        <v>1552383048603523</v>
      </c>
      <c r="C6127" t="s">
        <v>40</v>
      </c>
      <c r="D6127">
        <v>3.0566810000000002</v>
      </c>
      <c r="E6127">
        <v>0.44985000000000003</v>
      </c>
      <c r="F6127" t="s">
        <v>41</v>
      </c>
      <c r="G6127">
        <v>-267.31259999999997</v>
      </c>
      <c r="H6127" s="1">
        <v>-3.0555560000000001E-6</v>
      </c>
      <c r="I6127">
        <v>-64.209369999999893</v>
      </c>
      <c r="J6127">
        <v>-287.04430000000002</v>
      </c>
      <c r="K6127">
        <v>1.115874</v>
      </c>
      <c r="L6127">
        <v>-60.721829999999997</v>
      </c>
      <c r="M6127">
        <v>0.9238904</v>
      </c>
      <c r="N6127">
        <v>0</v>
      </c>
      <c r="O6127">
        <v>-0.38237840000000001</v>
      </c>
      <c r="P6127">
        <v>0.93388970000000004</v>
      </c>
      <c r="Q6127">
        <v>0.18951480000000001</v>
      </c>
      <c r="R6127">
        <v>-0.3032067</v>
      </c>
      <c r="S6127">
        <v>3.0720519999999998</v>
      </c>
      <c r="T6127">
        <v>-0.1729136</v>
      </c>
      <c r="U6127">
        <v>-0.54574579999999995</v>
      </c>
      <c r="V6127">
        <v>-7.9739240000000003E-2</v>
      </c>
      <c r="W6127">
        <v>0.2027275</v>
      </c>
      <c r="X6127">
        <v>0.97598320000000005</v>
      </c>
      <c r="Y6127">
        <v>-0.2140319</v>
      </c>
      <c r="Z6127">
        <v>2.671507E-2</v>
      </c>
      <c r="AA6127">
        <v>0.97646129999999998</v>
      </c>
      <c r="AB6127">
        <v>23</v>
      </c>
      <c r="AC6127">
        <v>19.7317</v>
      </c>
      <c r="AD6127">
        <v>-1.115877055556</v>
      </c>
      <c r="AE6127">
        <v>-3.4875399999999801</v>
      </c>
      <c r="AF6127">
        <v>-4.3099657285751398</v>
      </c>
      <c r="AG6127">
        <v>-1.115877055556</v>
      </c>
      <c r="AH6127">
        <v>19.505083688223099</v>
      </c>
      <c r="AI6127">
        <v>93.197336027110893</v>
      </c>
      <c r="AJ6127">
        <v>102.460215517734</v>
      </c>
      <c r="AK6127">
        <v>20.006730764150198</v>
      </c>
      <c r="AL6127">
        <v>78.303498647443305</v>
      </c>
      <c r="AM6127">
        <v>94.670773877623503</v>
      </c>
      <c r="AN6127">
        <v>0.99999999616713298</v>
      </c>
    </row>
    <row r="6128" spans="1:40" x14ac:dyDescent="0.25">
      <c r="A6128" t="str">
        <f>"20190312173048623"</f>
        <v>20190312173048623</v>
      </c>
      <c r="B6128" t="str">
        <f>"1552383048614260"</f>
        <v>1552383048614260</v>
      </c>
      <c r="C6128" t="s">
        <v>40</v>
      </c>
      <c r="D6128">
        <v>3.032054</v>
      </c>
      <c r="E6128">
        <v>0.45026860000000002</v>
      </c>
      <c r="F6128" t="s">
        <v>41</v>
      </c>
      <c r="G6128">
        <v>-267.31760000000003</v>
      </c>
      <c r="H6128" s="1">
        <v>-3.051417E-6</v>
      </c>
      <c r="I6128">
        <v>-64.176410000000004</v>
      </c>
      <c r="J6128">
        <v>-286.9579</v>
      </c>
      <c r="K6128">
        <v>1.115794</v>
      </c>
      <c r="L6128">
        <v>-60.753329999999998</v>
      </c>
      <c r="M6128">
        <v>0.92532110000000001</v>
      </c>
      <c r="N6128">
        <v>0</v>
      </c>
      <c r="O6128">
        <v>-0.37890370000000001</v>
      </c>
      <c r="P6128">
        <v>0.93475759999999997</v>
      </c>
      <c r="Q6128">
        <v>0.18962190000000001</v>
      </c>
      <c r="R6128">
        <v>-0.30045300000000003</v>
      </c>
      <c r="S6128">
        <v>3.072937</v>
      </c>
      <c r="T6128">
        <v>-0.17382600000000001</v>
      </c>
      <c r="U6128">
        <v>-0.53814700000000004</v>
      </c>
      <c r="V6128">
        <v>-7.8899590000000006E-2</v>
      </c>
      <c r="W6128">
        <v>0.20284369999999999</v>
      </c>
      <c r="X6128">
        <v>0.97602730000000004</v>
      </c>
      <c r="Y6128">
        <v>-0.21274889999999999</v>
      </c>
      <c r="Z6128">
        <v>2.6640629999999998E-2</v>
      </c>
      <c r="AA6128">
        <v>0.97674360000000005</v>
      </c>
      <c r="AB6128">
        <v>23</v>
      </c>
      <c r="AC6128">
        <v>19.6402999999999</v>
      </c>
      <c r="AD6128">
        <v>-1.1157970514169999</v>
      </c>
      <c r="AE6128">
        <v>-3.4230799999999899</v>
      </c>
      <c r="AF6128">
        <v>-4.2614405846960404</v>
      </c>
      <c r="AG6128">
        <v>-1.1157970514169999</v>
      </c>
      <c r="AH6128">
        <v>19.4118682690948</v>
      </c>
      <c r="AI6128">
        <v>93.213396567935106</v>
      </c>
      <c r="AJ6128">
        <v>102.381598230976</v>
      </c>
      <c r="AK6128">
        <v>19.905414052803099</v>
      </c>
      <c r="AL6128">
        <v>78.296699674449698</v>
      </c>
      <c r="AM6128">
        <v>94.621597154271797</v>
      </c>
      <c r="AN6128">
        <v>1.0000000011385699</v>
      </c>
    </row>
    <row r="6129" spans="1:40" x14ac:dyDescent="0.25">
      <c r="A6129" t="str">
        <f>"20190312173048633"</f>
        <v>20190312173048633</v>
      </c>
      <c r="B6129" t="str">
        <f>"1552383048624020"</f>
        <v>1552383048624020</v>
      </c>
      <c r="C6129" t="s">
        <v>40</v>
      </c>
      <c r="D6129">
        <v>3.0393490000000001</v>
      </c>
      <c r="E6129">
        <v>0.45068320000000001</v>
      </c>
      <c r="F6129" t="s">
        <v>41</v>
      </c>
      <c r="G6129">
        <v>-267.27319999999997</v>
      </c>
      <c r="H6129" s="1">
        <v>-3.0342129999999998E-6</v>
      </c>
      <c r="I6129">
        <v>-64.164509999999893</v>
      </c>
      <c r="J6129">
        <v>-286.8578</v>
      </c>
      <c r="K6129">
        <v>1.115704</v>
      </c>
      <c r="L6129">
        <v>-60.789059999999999</v>
      </c>
      <c r="M6129">
        <v>0.92691789999999996</v>
      </c>
      <c r="N6129">
        <v>0</v>
      </c>
      <c r="O6129">
        <v>-0.37498150000000002</v>
      </c>
      <c r="P6129">
        <v>0.93590790000000001</v>
      </c>
      <c r="Q6129">
        <v>0.18933179999999999</v>
      </c>
      <c r="R6129">
        <v>-0.29703469999999998</v>
      </c>
      <c r="S6129">
        <v>3.0735169999999998</v>
      </c>
      <c r="T6129">
        <v>-0.17421719999999999</v>
      </c>
      <c r="U6129">
        <v>-0.53262330000000002</v>
      </c>
      <c r="V6129">
        <v>-7.8305310000000003E-2</v>
      </c>
      <c r="W6129">
        <v>0.2025584</v>
      </c>
      <c r="X6129">
        <v>0.97613439999999996</v>
      </c>
      <c r="Y6129">
        <v>-0.2103505</v>
      </c>
      <c r="Z6129">
        <v>2.6430220000000001E-2</v>
      </c>
      <c r="AA6129">
        <v>0.97726869999999999</v>
      </c>
      <c r="AB6129">
        <v>23</v>
      </c>
      <c r="AC6129">
        <v>19.584599999999998</v>
      </c>
      <c r="AD6129">
        <v>-1.115707034213</v>
      </c>
      <c r="AE6129">
        <v>-3.3754499999999901</v>
      </c>
      <c r="AF6129">
        <v>-4.2022999137120403</v>
      </c>
      <c r="AG6129">
        <v>-1.115707034213</v>
      </c>
      <c r="AH6129">
        <v>19.360088112955602</v>
      </c>
      <c r="AI6129">
        <v>93.223367022111503</v>
      </c>
      <c r="AJ6129">
        <v>102.24664444960899</v>
      </c>
      <c r="AK6129">
        <v>19.8423067835467</v>
      </c>
      <c r="AL6129">
        <v>78.313392646440207</v>
      </c>
      <c r="AM6129">
        <v>94.586434780229794</v>
      </c>
      <c r="AN6129">
        <v>0.99999999692405706</v>
      </c>
    </row>
    <row r="6130" spans="1:40" x14ac:dyDescent="0.25">
      <c r="A6130" t="str">
        <f>"20190312173048644"</f>
        <v>20190312173048644</v>
      </c>
      <c r="B6130" t="str">
        <f>"1552383048633780"</f>
        <v>1552383048633780</v>
      </c>
      <c r="C6130" t="s">
        <v>40</v>
      </c>
      <c r="D6130">
        <v>3.041064</v>
      </c>
      <c r="E6130">
        <v>0.45109159999999998</v>
      </c>
      <c r="F6130" t="s">
        <v>58</v>
      </c>
      <c r="G6130">
        <v>-267.31279999999998</v>
      </c>
      <c r="H6130" s="1">
        <v>-3.0404839999999999E-6</v>
      </c>
      <c r="I6130">
        <v>-64.123959999999997</v>
      </c>
      <c r="J6130">
        <v>-286.75920000000002</v>
      </c>
      <c r="K6130">
        <v>1.115618</v>
      </c>
      <c r="L6130">
        <v>-60.824129999999997</v>
      </c>
      <c r="M6130">
        <v>0.92846609999999996</v>
      </c>
      <c r="N6130">
        <v>0</v>
      </c>
      <c r="O6130">
        <v>-0.37113249999999998</v>
      </c>
      <c r="P6130">
        <v>0.93694069999999996</v>
      </c>
      <c r="Q6130">
        <v>0.18913099999999999</v>
      </c>
      <c r="R6130">
        <v>-0.29389120000000002</v>
      </c>
      <c r="S6130">
        <v>3.0744630000000002</v>
      </c>
      <c r="T6130">
        <v>-0.1755031</v>
      </c>
      <c r="U6130">
        <v>-0.52459719999999999</v>
      </c>
      <c r="V6130">
        <v>-7.7499470000000001E-2</v>
      </c>
      <c r="W6130">
        <v>0.20236560000000001</v>
      </c>
      <c r="X6130">
        <v>0.97623870000000001</v>
      </c>
      <c r="Y6130">
        <v>-0.2088179</v>
      </c>
      <c r="Z6130">
        <v>2.6380109999999998E-2</v>
      </c>
      <c r="AA6130">
        <v>0.97759870000000004</v>
      </c>
      <c r="AB6130">
        <v>23</v>
      </c>
      <c r="AC6130">
        <v>19.446400000000001</v>
      </c>
      <c r="AD6130">
        <v>-1.1156210404839999</v>
      </c>
      <c r="AE6130">
        <v>-3.2998299999999898</v>
      </c>
      <c r="AF6130">
        <v>-4.1406036133104402</v>
      </c>
      <c r="AG6130">
        <v>-1.1156210404839999</v>
      </c>
      <c r="AH6130">
        <v>19.220546979949699</v>
      </c>
      <c r="AI6130">
        <v>93.247562814229795</v>
      </c>
      <c r="AJ6130">
        <v>102.15720219116</v>
      </c>
      <c r="AK6130">
        <v>19.693111353896899</v>
      </c>
      <c r="AL6130">
        <v>78.324672941082099</v>
      </c>
      <c r="AM6130">
        <v>94.538951102166905</v>
      </c>
      <c r="AN6130">
        <v>1.0000000016456601</v>
      </c>
    </row>
    <row r="6131" spans="1:40" x14ac:dyDescent="0.25">
      <c r="A6131" t="str">
        <f>"20190312173048655"</f>
        <v>20190312173048655</v>
      </c>
      <c r="B6131" t="str">
        <f>"1552383048643540"</f>
        <v>1552383048643540</v>
      </c>
      <c r="C6131" t="s">
        <v>40</v>
      </c>
      <c r="D6131">
        <v>3.2359529999999999</v>
      </c>
      <c r="E6131">
        <v>0.45159310000000003</v>
      </c>
      <c r="F6131" t="s">
        <v>41</v>
      </c>
      <c r="G6131">
        <v>-267.35289999999998</v>
      </c>
      <c r="H6131" s="1">
        <v>-3.04796E-6</v>
      </c>
      <c r="I6131">
        <v>-64.089159999999893</v>
      </c>
      <c r="J6131">
        <v>-286.65460000000002</v>
      </c>
      <c r="K6131">
        <v>1.1155269999999999</v>
      </c>
      <c r="L6131">
        <v>-60.860660000000003</v>
      </c>
      <c r="M6131">
        <v>0.93004980000000004</v>
      </c>
      <c r="N6131">
        <v>0</v>
      </c>
      <c r="O6131">
        <v>-0.36714639999999998</v>
      </c>
      <c r="P6131">
        <v>0.93794460000000002</v>
      </c>
      <c r="Q6131">
        <v>0.18935569999999999</v>
      </c>
      <c r="R6131">
        <v>-0.29052450000000002</v>
      </c>
      <c r="S6131">
        <v>3.075348</v>
      </c>
      <c r="T6131">
        <v>-0.1767938</v>
      </c>
      <c r="U6131">
        <v>-0.51742549999999998</v>
      </c>
      <c r="V6131">
        <v>-7.675746E-2</v>
      </c>
      <c r="W6131">
        <v>0.20259440000000001</v>
      </c>
      <c r="X6131">
        <v>0.9762499</v>
      </c>
      <c r="Y6131">
        <v>-0.2068816</v>
      </c>
      <c r="Z6131">
        <v>2.6307529999999999E-2</v>
      </c>
      <c r="AA6131">
        <v>0.97801229999999995</v>
      </c>
      <c r="AB6131">
        <v>23</v>
      </c>
      <c r="AC6131">
        <v>19.3017</v>
      </c>
      <c r="AD6131">
        <v>-1.1155300479600001</v>
      </c>
      <c r="AE6131">
        <v>-3.2284999999999902</v>
      </c>
      <c r="AF6131">
        <v>-4.0710864646761102</v>
      </c>
      <c r="AG6131">
        <v>-1.1155300479600001</v>
      </c>
      <c r="AH6131">
        <v>19.076906288016001</v>
      </c>
      <c r="AI6131">
        <v>93.273049722202501</v>
      </c>
      <c r="AJ6131">
        <v>102.046443015181</v>
      </c>
      <c r="AK6131">
        <v>19.5383342640183</v>
      </c>
      <c r="AL6131">
        <v>78.311286753518601</v>
      </c>
      <c r="AM6131">
        <v>94.495621062753102</v>
      </c>
      <c r="AN6131">
        <v>1.0000000329135099</v>
      </c>
    </row>
    <row r="6132" spans="1:40" x14ac:dyDescent="0.25">
      <c r="A6132" t="str">
        <f>"20190312173048666"</f>
        <v>20190312173048666</v>
      </c>
      <c r="B6132" t="str">
        <f>"1552383048664035"</f>
        <v>1552383048664035</v>
      </c>
      <c r="C6132" t="s">
        <v>40</v>
      </c>
      <c r="D6132">
        <v>3.0613920000000001</v>
      </c>
      <c r="E6132">
        <v>0.45245010000000002</v>
      </c>
      <c r="F6132" t="s">
        <v>58</v>
      </c>
      <c r="G6132">
        <v>-267.25069999999999</v>
      </c>
      <c r="H6132" s="1">
        <v>-3.0116570000000002E-6</v>
      </c>
      <c r="I6132">
        <v>-64.080590000000001</v>
      </c>
      <c r="J6132">
        <v>-286.54950000000002</v>
      </c>
      <c r="K6132">
        <v>1.1154309999999901</v>
      </c>
      <c r="L6132">
        <v>-60.897060000000003</v>
      </c>
      <c r="M6132">
        <v>0.9316082</v>
      </c>
      <c r="N6132">
        <v>0</v>
      </c>
      <c r="O6132">
        <v>-0.36317490000000002</v>
      </c>
      <c r="P6132">
        <v>0.93897560000000002</v>
      </c>
      <c r="Q6132">
        <v>0.1892559</v>
      </c>
      <c r="R6132">
        <v>-0.28724100000000002</v>
      </c>
      <c r="S6132">
        <v>3.076111</v>
      </c>
      <c r="T6132">
        <v>-0.17684530000000001</v>
      </c>
      <c r="U6132">
        <v>-0.51046749999999996</v>
      </c>
      <c r="V6132">
        <v>-7.5966629999999993E-2</v>
      </c>
      <c r="W6132">
        <v>0.2025005</v>
      </c>
      <c r="X6132">
        <v>0.97633119999999995</v>
      </c>
      <c r="Y6132">
        <v>-0.20490710000000001</v>
      </c>
      <c r="Z6132">
        <v>2.6048849999999998E-2</v>
      </c>
      <c r="AA6132">
        <v>0.97843469999999999</v>
      </c>
      <c r="AB6132">
        <v>23</v>
      </c>
      <c r="AC6132">
        <v>19.2988</v>
      </c>
      <c r="AD6132">
        <v>-1.1154340116569901</v>
      </c>
      <c r="AE6132">
        <v>-3.1835300000000002</v>
      </c>
      <c r="AF6132">
        <v>-4.0303547884565498</v>
      </c>
      <c r="AG6132">
        <v>-1.1154340116569901</v>
      </c>
      <c r="AH6132">
        <v>19.075074974958699</v>
      </c>
      <c r="AI6132">
        <v>93.274485776315203</v>
      </c>
      <c r="AJ6132">
        <v>101.93049926172201</v>
      </c>
      <c r="AK6132">
        <v>19.528093559164802</v>
      </c>
      <c r="AL6132">
        <v>78.3167802744954</v>
      </c>
      <c r="AM6132">
        <v>94.449120738701595</v>
      </c>
      <c r="AN6132">
        <v>0.99999999673362305</v>
      </c>
    </row>
    <row r="6133" spans="1:40" x14ac:dyDescent="0.25">
      <c r="A6133" t="str">
        <f>"20190312173048678"</f>
        <v>20190312173048678</v>
      </c>
      <c r="B6133" t="str">
        <f>"1552383048673795"</f>
        <v>1552383048673795</v>
      </c>
      <c r="C6133" t="s">
        <v>40</v>
      </c>
      <c r="D6133">
        <v>3.0716039999999998</v>
      </c>
      <c r="E6133">
        <v>0.45245010000000002</v>
      </c>
      <c r="F6133" t="s">
        <v>41</v>
      </c>
      <c r="G6133">
        <v>-267.36610000000002</v>
      </c>
      <c r="H6133" s="1">
        <v>-3.0460390000000002E-6</v>
      </c>
      <c r="I6133">
        <v>-64.052890000000005</v>
      </c>
      <c r="J6133">
        <v>-286.44139999999999</v>
      </c>
      <c r="K6133">
        <v>1.115337</v>
      </c>
      <c r="L6133">
        <v>-60.934019999999997</v>
      </c>
      <c r="M6133">
        <v>0.9331604</v>
      </c>
      <c r="N6133">
        <v>0</v>
      </c>
      <c r="O6133">
        <v>-0.35916890000000001</v>
      </c>
      <c r="P6133">
        <v>0.94001190000000001</v>
      </c>
      <c r="Q6133">
        <v>0.18927050000000001</v>
      </c>
      <c r="R6133">
        <v>-0.28382160000000001</v>
      </c>
      <c r="S6133">
        <v>3.0762019999999999</v>
      </c>
      <c r="T6133">
        <v>-0.17886869999999999</v>
      </c>
      <c r="U6133">
        <v>-0.506073</v>
      </c>
      <c r="V6133">
        <v>-7.5276850000000006E-2</v>
      </c>
      <c r="W6133">
        <v>0.2025187</v>
      </c>
      <c r="X6133">
        <v>0.97638080000000005</v>
      </c>
      <c r="Y6133">
        <v>-0.20205670000000001</v>
      </c>
      <c r="Z6133">
        <v>2.6052510000000001E-2</v>
      </c>
      <c r="AA6133">
        <v>0.97902730000000004</v>
      </c>
      <c r="AB6133">
        <v>23</v>
      </c>
      <c r="AC6133">
        <v>19.075299999999899</v>
      </c>
      <c r="AD6133">
        <v>-1.1153400460389999</v>
      </c>
      <c r="AE6133">
        <v>-3.1188699999999998</v>
      </c>
      <c r="AF6133">
        <v>-3.9281812130798901</v>
      </c>
      <c r="AG6133">
        <v>-1.1153400460389999</v>
      </c>
      <c r="AH6133">
        <v>18.859698228802099</v>
      </c>
      <c r="AI6133">
        <v>93.313514613675395</v>
      </c>
      <c r="AJ6133">
        <v>101.765602682561</v>
      </c>
      <c r="AK6133">
        <v>19.296704598002499</v>
      </c>
      <c r="AL6133">
        <v>78.315714842266701</v>
      </c>
      <c r="AM6133">
        <v>94.408659466802703</v>
      </c>
      <c r="AN6133">
        <v>0.99999994730212405</v>
      </c>
    </row>
    <row r="6134" spans="1:40" x14ac:dyDescent="0.25">
      <c r="A6134" t="str">
        <f>"20190312173048690"</f>
        <v>20190312173048690</v>
      </c>
      <c r="B6134" t="str">
        <f>"1552383048683555"</f>
        <v>1552383048683555</v>
      </c>
      <c r="C6134" t="s">
        <v>40</v>
      </c>
      <c r="D6134">
        <v>3.0657619999999999</v>
      </c>
      <c r="E6134">
        <v>0.46084330000000001</v>
      </c>
      <c r="F6134" t="s">
        <v>41</v>
      </c>
      <c r="G6134">
        <v>-267.25150000000002</v>
      </c>
      <c r="H6134" s="1">
        <v>-3.001178E-6</v>
      </c>
      <c r="I6134">
        <v>-64.020030000000006</v>
      </c>
      <c r="J6134">
        <v>-286.33089999999999</v>
      </c>
      <c r="K6134">
        <v>1.1152439999999999</v>
      </c>
      <c r="L6134">
        <v>-60.971339999999998</v>
      </c>
      <c r="M6134">
        <v>0.93469979999999997</v>
      </c>
      <c r="N6134">
        <v>0</v>
      </c>
      <c r="O6134">
        <v>-0.35514420000000002</v>
      </c>
      <c r="P6134">
        <v>0.94108670000000005</v>
      </c>
      <c r="Q6134">
        <v>0.1891149</v>
      </c>
      <c r="R6134">
        <v>-0.28034219999999999</v>
      </c>
      <c r="S6134">
        <v>3.0780029999999998</v>
      </c>
      <c r="T6134">
        <v>-0.17889679999999999</v>
      </c>
      <c r="U6134">
        <v>-0.49499510000000002</v>
      </c>
      <c r="V6134">
        <v>-7.4642319999999998E-2</v>
      </c>
      <c r="W6134">
        <v>0.20236599999999999</v>
      </c>
      <c r="X6134">
        <v>0.97646120000000003</v>
      </c>
      <c r="Y6134">
        <v>-0.2013682</v>
      </c>
      <c r="Z6134">
        <v>2.581586E-2</v>
      </c>
      <c r="AA6134">
        <v>0.97917529999999997</v>
      </c>
      <c r="AB6134">
        <v>23</v>
      </c>
      <c r="AC6134">
        <v>19.0793999999999</v>
      </c>
      <c r="AD6134">
        <v>-1.115247001178</v>
      </c>
      <c r="AE6134">
        <v>-3.0486900000000001</v>
      </c>
      <c r="AF6134">
        <v>-3.9136992578382999</v>
      </c>
      <c r="AG6134">
        <v>-1.115247001178</v>
      </c>
      <c r="AH6134">
        <v>18.855391749834101</v>
      </c>
      <c r="AI6134">
        <v>93.314468702686298</v>
      </c>
      <c r="AJ6134">
        <v>101.726032773013</v>
      </c>
      <c r="AK6134">
        <v>19.289546801160299</v>
      </c>
      <c r="AL6134">
        <v>78.324649217155297</v>
      </c>
      <c r="AM6134">
        <v>94.371283732118002</v>
      </c>
      <c r="AN6134">
        <v>0.99999997449821099</v>
      </c>
    </row>
    <row r="6135" spans="1:40" x14ac:dyDescent="0.25">
      <c r="A6135" t="str">
        <f>"20190312173048701"</f>
        <v>20190312173048701</v>
      </c>
      <c r="B6135" t="str">
        <f>"1552383048694291"</f>
        <v>1552383048694291</v>
      </c>
      <c r="C6135" t="s">
        <v>40</v>
      </c>
      <c r="D6135">
        <v>3.0824280000000002</v>
      </c>
      <c r="E6135">
        <v>0.46136349999999998</v>
      </c>
      <c r="F6135" t="s">
        <v>58</v>
      </c>
      <c r="G6135">
        <v>-268.5838</v>
      </c>
      <c r="H6135" s="1">
        <v>-3.4772770000000001E-6</v>
      </c>
      <c r="I6135">
        <v>-64.148060000000001</v>
      </c>
      <c r="J6135">
        <v>-286.2253</v>
      </c>
      <c r="K6135">
        <v>1.115157</v>
      </c>
      <c r="L6135">
        <v>-61.006680000000003</v>
      </c>
      <c r="M6135">
        <v>0.93613650000000004</v>
      </c>
      <c r="N6135">
        <v>0</v>
      </c>
      <c r="O6135">
        <v>-0.3513406</v>
      </c>
      <c r="P6135">
        <v>0.94209140000000002</v>
      </c>
      <c r="Q6135">
        <v>0.18874099999999999</v>
      </c>
      <c r="R6135">
        <v>-0.27720299999999998</v>
      </c>
      <c r="S6135">
        <v>3.0631409999999999</v>
      </c>
      <c r="T6135">
        <v>-0.19249060000000001</v>
      </c>
      <c r="U6135">
        <v>-0.5483093</v>
      </c>
      <c r="V6135">
        <v>-7.3902590000000004E-2</v>
      </c>
      <c r="W6135">
        <v>0.20199810000000001</v>
      </c>
      <c r="X6135">
        <v>0.97659370000000001</v>
      </c>
      <c r="Y6135">
        <v>-0.1799357</v>
      </c>
      <c r="Z6135">
        <v>2.6961010000000001E-2</v>
      </c>
      <c r="AA6135">
        <v>0.98330890000000004</v>
      </c>
      <c r="AB6135">
        <v>23</v>
      </c>
      <c r="AC6135">
        <v>17.641500000000001</v>
      </c>
      <c r="AD6135">
        <v>-1.1151604772770001</v>
      </c>
      <c r="AE6135">
        <v>-3.1413799999999901</v>
      </c>
      <c r="AF6135">
        <v>-3.2451853400538901</v>
      </c>
      <c r="AG6135">
        <v>-1.1151604772770001</v>
      </c>
      <c r="AH6135">
        <v>17.5524007416779</v>
      </c>
      <c r="AI6135">
        <v>93.574874308063201</v>
      </c>
      <c r="AJ6135">
        <v>100.47487775301001</v>
      </c>
      <c r="AK6135">
        <v>17.884674516966601</v>
      </c>
      <c r="AL6135">
        <v>78.346173616582405</v>
      </c>
      <c r="AM6135">
        <v>94.327543310581405</v>
      </c>
      <c r="AN6135">
        <v>1.0000000400460001</v>
      </c>
    </row>
    <row r="6136" spans="1:40" x14ac:dyDescent="0.25">
      <c r="A6136" t="str">
        <f>"20190312173048711"</f>
        <v>20190312173048711</v>
      </c>
      <c r="B6136" t="str">
        <f>"1552383048704051"</f>
        <v>1552383048704051</v>
      </c>
      <c r="C6136" t="s">
        <v>40</v>
      </c>
      <c r="D6136">
        <v>3.0640990000000001</v>
      </c>
      <c r="E6136">
        <v>0.4618256</v>
      </c>
      <c r="F6136" t="s">
        <v>41</v>
      </c>
      <c r="G6136">
        <v>-268.23020000000002</v>
      </c>
      <c r="H6136" s="1">
        <v>-3.364841E-6</v>
      </c>
      <c r="I6136">
        <v>-64.192539999999994</v>
      </c>
      <c r="J6136">
        <v>-286.12509999999997</v>
      </c>
      <c r="K6136">
        <v>1.1150690000000001</v>
      </c>
      <c r="L6136">
        <v>-61.039670000000001</v>
      </c>
      <c r="M6136">
        <v>0.93744919999999998</v>
      </c>
      <c r="N6136">
        <v>0</v>
      </c>
      <c r="O6136">
        <v>-0.34782370000000001</v>
      </c>
      <c r="P6136">
        <v>0.9429883</v>
      </c>
      <c r="Q6136">
        <v>0.1884757</v>
      </c>
      <c r="R6136">
        <v>-0.27431749999999999</v>
      </c>
      <c r="S6136">
        <v>3.062897</v>
      </c>
      <c r="T6136">
        <v>-0.1898079</v>
      </c>
      <c r="U6136">
        <v>-0.54226680000000005</v>
      </c>
      <c r="V6136">
        <v>-7.3195960000000004E-2</v>
      </c>
      <c r="W6136">
        <v>0.201737</v>
      </c>
      <c r="X6136">
        <v>0.97670080000000004</v>
      </c>
      <c r="Y6136">
        <v>-0.1781451</v>
      </c>
      <c r="Z6136">
        <v>2.6337530000000001E-2</v>
      </c>
      <c r="AA6136">
        <v>0.98365170000000002</v>
      </c>
      <c r="AB6136">
        <v>23</v>
      </c>
      <c r="AC6136">
        <v>17.8948999999999</v>
      </c>
      <c r="AD6136">
        <v>-1.1150723648409999</v>
      </c>
      <c r="AE6136">
        <v>-3.1528700000000098</v>
      </c>
      <c r="AF6136">
        <v>-3.2566898879797201</v>
      </c>
      <c r="AG6136">
        <v>-1.1150723648409999</v>
      </c>
      <c r="AH6136">
        <v>17.806998925655598</v>
      </c>
      <c r="AI6136">
        <v>93.524862928169895</v>
      </c>
      <c r="AJ6136">
        <v>100.364180669134</v>
      </c>
      <c r="AK6136">
        <v>18.1366652431918</v>
      </c>
      <c r="AL6136">
        <v>78.361447046574398</v>
      </c>
      <c r="AM6136">
        <v>94.285851585290899</v>
      </c>
      <c r="AN6136">
        <v>0.99999995922497997</v>
      </c>
    </row>
    <row r="6137" spans="1:40" x14ac:dyDescent="0.25">
      <c r="A6137" t="str">
        <f>"20190312173048722"</f>
        <v>20190312173048722</v>
      </c>
      <c r="B6137" t="str">
        <f>"1552383048713811"</f>
        <v>1552383048713811</v>
      </c>
      <c r="C6137" t="s">
        <v>40</v>
      </c>
      <c r="D6137">
        <v>3.0882960000000002</v>
      </c>
      <c r="E6137">
        <v>0.46230569999999999</v>
      </c>
      <c r="F6137" t="s">
        <v>41</v>
      </c>
      <c r="G6137">
        <v>-268.17759999999998</v>
      </c>
      <c r="H6137" s="1">
        <v>-3.3452979999999999E-6</v>
      </c>
      <c r="I6137">
        <v>-64.183250000000001</v>
      </c>
      <c r="J6137">
        <v>-286.02089999999998</v>
      </c>
      <c r="K6137">
        <v>1.114978</v>
      </c>
      <c r="L6137">
        <v>-61.073880000000003</v>
      </c>
      <c r="M6137">
        <v>0.93879259999999998</v>
      </c>
      <c r="N6137">
        <v>0</v>
      </c>
      <c r="O6137">
        <v>-0.3441823</v>
      </c>
      <c r="P6137">
        <v>0.94391659999999999</v>
      </c>
      <c r="Q6137">
        <v>0.188419</v>
      </c>
      <c r="R6137">
        <v>-0.2711461</v>
      </c>
      <c r="S6137">
        <v>3.0632929999999998</v>
      </c>
      <c r="T6137">
        <v>-0.1903213</v>
      </c>
      <c r="U6137">
        <v>-0.53656009999999998</v>
      </c>
      <c r="V6137">
        <v>-7.2645370000000001E-2</v>
      </c>
      <c r="W6137">
        <v>0.20168230000000001</v>
      </c>
      <c r="X6137">
        <v>0.97675319999999999</v>
      </c>
      <c r="Y6137">
        <v>-0.17612929999999999</v>
      </c>
      <c r="Z6137">
        <v>2.613921E-2</v>
      </c>
      <c r="AA6137">
        <v>0.98401989999999995</v>
      </c>
      <c r="AB6137">
        <v>23</v>
      </c>
      <c r="AC6137">
        <v>17.843299999999999</v>
      </c>
      <c r="AD6137">
        <v>-1.114981345298</v>
      </c>
      <c r="AE6137">
        <v>-3.10936999999999</v>
      </c>
      <c r="AF6137">
        <v>-3.21046168513814</v>
      </c>
      <c r="AG6137">
        <v>-1.114981345298</v>
      </c>
      <c r="AH6137">
        <v>17.7559051606206</v>
      </c>
      <c r="AI6137">
        <v>93.535981893465902</v>
      </c>
      <c r="AJ6137">
        <v>100.248971939258</v>
      </c>
      <c r="AK6137">
        <v>18.078230436219499</v>
      </c>
      <c r="AL6137">
        <v>78.364646869170898</v>
      </c>
      <c r="AM6137">
        <v>94.253504239915401</v>
      </c>
      <c r="AN6137">
        <v>0.99999995681298204</v>
      </c>
    </row>
    <row r="6138" spans="1:40" x14ac:dyDescent="0.25">
      <c r="A6138" t="str">
        <f>"20190312173048734"</f>
        <v>20190312173048734</v>
      </c>
      <c r="B6138" t="str">
        <f>"1552383048723572"</f>
        <v>1552383048723572</v>
      </c>
      <c r="C6138" t="s">
        <v>40</v>
      </c>
      <c r="D6138">
        <v>3.2398509999999998</v>
      </c>
      <c r="E6138">
        <v>0.46304849999999997</v>
      </c>
      <c r="F6138" t="s">
        <v>41</v>
      </c>
      <c r="G6138">
        <v>-268.09230000000002</v>
      </c>
      <c r="H6138" s="1">
        <v>-3.3150960000000001E-6</v>
      </c>
      <c r="I6138">
        <v>-64.176680000000005</v>
      </c>
      <c r="J6138">
        <v>-285.91669999999999</v>
      </c>
      <c r="K6138">
        <v>1.1148849999999999</v>
      </c>
      <c r="L6138">
        <v>-61.107390000000002</v>
      </c>
      <c r="M6138">
        <v>0.94007680000000005</v>
      </c>
      <c r="N6138">
        <v>0</v>
      </c>
      <c r="O6138">
        <v>-0.34065990000000002</v>
      </c>
      <c r="P6138">
        <v>0.94479729999999995</v>
      </c>
      <c r="Q6138">
        <v>0.187914</v>
      </c>
      <c r="R6138">
        <v>-0.2684145</v>
      </c>
      <c r="S6138">
        <v>3.063965</v>
      </c>
      <c r="T6138">
        <v>-0.19054769999999999</v>
      </c>
      <c r="U6138">
        <v>-0.53027340000000001</v>
      </c>
      <c r="V6138">
        <v>-7.1787959999999998E-2</v>
      </c>
      <c r="W6138">
        <v>0.201184</v>
      </c>
      <c r="X6138">
        <v>0.97691939999999999</v>
      </c>
      <c r="Y6138">
        <v>-0.1744416</v>
      </c>
      <c r="Z6138">
        <v>2.5915379999999998E-2</v>
      </c>
      <c r="AA6138">
        <v>0.98432640000000005</v>
      </c>
      <c r="AB6138">
        <v>23</v>
      </c>
      <c r="AC6138">
        <v>17.824399999999901</v>
      </c>
      <c r="AD6138">
        <v>-1.1148883150960001</v>
      </c>
      <c r="AE6138">
        <v>-3.0692900000000001</v>
      </c>
      <c r="AF6138">
        <v>-3.1749552926915698</v>
      </c>
      <c r="AG6138">
        <v>-1.1148883150960001</v>
      </c>
      <c r="AH6138">
        <v>17.736335038328601</v>
      </c>
      <c r="AI6138">
        <v>93.540688080642099</v>
      </c>
      <c r="AJ6138">
        <v>100.148940058402</v>
      </c>
      <c r="AK6138">
        <v>18.052725491115499</v>
      </c>
      <c r="AL6138">
        <v>78.393795492793103</v>
      </c>
      <c r="AM6138">
        <v>94.202769946345896</v>
      </c>
      <c r="AN6138">
        <v>1.00000001357666</v>
      </c>
    </row>
    <row r="6139" spans="1:40" x14ac:dyDescent="0.25">
      <c r="A6139" t="str">
        <f>"20190312173048745"</f>
        <v>20190312173048745</v>
      </c>
      <c r="B6139" t="str">
        <f>"1552383048734308"</f>
        <v>1552383048734308</v>
      </c>
      <c r="C6139" t="s">
        <v>40</v>
      </c>
      <c r="D6139">
        <v>3.034751</v>
      </c>
      <c r="E6139">
        <v>0.46360109999999899</v>
      </c>
      <c r="F6139" t="s">
        <v>41</v>
      </c>
      <c r="G6139">
        <v>-268.15309999999999</v>
      </c>
      <c r="H6139" s="1">
        <v>-3.3336499999999998E-6</v>
      </c>
      <c r="I6139">
        <v>-64.164540000000002</v>
      </c>
      <c r="J6139">
        <v>-285.81310000000002</v>
      </c>
      <c r="K6139">
        <v>1.1147899999999999</v>
      </c>
      <c r="L6139">
        <v>-61.140659999999997</v>
      </c>
      <c r="M6139">
        <v>0.9413319</v>
      </c>
      <c r="N6139">
        <v>0</v>
      </c>
      <c r="O6139">
        <v>-0.337177</v>
      </c>
      <c r="P6139">
        <v>0.94563889999999995</v>
      </c>
      <c r="Q6139">
        <v>0.1878119</v>
      </c>
      <c r="R6139">
        <v>-0.26550620000000003</v>
      </c>
      <c r="S6139">
        <v>3.0637210000000001</v>
      </c>
      <c r="T6139">
        <v>-0.19228680000000001</v>
      </c>
      <c r="U6139">
        <v>-0.52728269999999899</v>
      </c>
      <c r="V6139">
        <v>-7.1133989999999994E-2</v>
      </c>
      <c r="W6139">
        <v>0.2010854</v>
      </c>
      <c r="X6139">
        <v>0.97698750000000001</v>
      </c>
      <c r="Y6139">
        <v>-0.1717091</v>
      </c>
      <c r="Z6139">
        <v>2.5868019999999999E-2</v>
      </c>
      <c r="AA6139">
        <v>0.98480800000000002</v>
      </c>
      <c r="AB6139">
        <v>22</v>
      </c>
      <c r="AC6139">
        <v>17.66</v>
      </c>
      <c r="AD6139">
        <v>-1.11479333365</v>
      </c>
      <c r="AE6139">
        <v>-3.0238800000000001</v>
      </c>
      <c r="AF6139">
        <v>-3.0964040537439499</v>
      </c>
      <c r="AG6139">
        <v>-1.11479333365</v>
      </c>
      <c r="AH6139">
        <v>17.5772740506509</v>
      </c>
      <c r="AI6139">
        <v>93.574090446125098</v>
      </c>
      <c r="AJ6139">
        <v>99.990693925241203</v>
      </c>
      <c r="AK6139">
        <v>17.8827024046277</v>
      </c>
      <c r="AL6139">
        <v>78.399562309982798</v>
      </c>
      <c r="AM6139">
        <v>94.164329839623406</v>
      </c>
      <c r="AN6139">
        <v>0.99999997889136405</v>
      </c>
    </row>
    <row r="6140" spans="1:40" x14ac:dyDescent="0.25">
      <c r="A6140" t="str">
        <f>"20190312173048755"</f>
        <v>20190312173048755</v>
      </c>
      <c r="B6140" t="str">
        <f>"1552383048744068"</f>
        <v>1552383048744068</v>
      </c>
      <c r="C6140" t="s">
        <v>40</v>
      </c>
      <c r="D6140">
        <v>3.0460699999999998</v>
      </c>
      <c r="E6140">
        <v>0.46401700000000001</v>
      </c>
      <c r="F6140" t="s">
        <v>41</v>
      </c>
      <c r="G6140">
        <v>-268.173</v>
      </c>
      <c r="H6140" s="1">
        <v>-3.3372469999999998E-6</v>
      </c>
      <c r="I6140">
        <v>-64.146630000000002</v>
      </c>
      <c r="J6140">
        <v>-285.70800000000003</v>
      </c>
      <c r="K6140">
        <v>1.114692</v>
      </c>
      <c r="L6140">
        <v>-61.173830000000002</v>
      </c>
      <c r="M6140">
        <v>0.94255420000000001</v>
      </c>
      <c r="N6140">
        <v>0</v>
      </c>
      <c r="O6140">
        <v>-0.33374579999999998</v>
      </c>
      <c r="P6140">
        <v>0.94638509999999998</v>
      </c>
      <c r="Q6140">
        <v>0.18781129999999999</v>
      </c>
      <c r="R6140">
        <v>-0.26283590000000001</v>
      </c>
      <c r="S6140">
        <v>3.0643009999999999</v>
      </c>
      <c r="T6140">
        <v>-0.1936533</v>
      </c>
      <c r="U6140">
        <v>-0.52218629999999999</v>
      </c>
      <c r="V6140">
        <v>-7.028276E-2</v>
      </c>
      <c r="W6140">
        <v>0.20109009999999999</v>
      </c>
      <c r="X6140">
        <v>0.97704820000000003</v>
      </c>
      <c r="Y6140">
        <v>-0.16973920000000001</v>
      </c>
      <c r="Z6140">
        <v>2.5787859999999999E-2</v>
      </c>
      <c r="AA6140">
        <v>0.98515149999999996</v>
      </c>
      <c r="AB6140">
        <v>22</v>
      </c>
      <c r="AC6140">
        <v>17.534999999999901</v>
      </c>
      <c r="AD6140">
        <v>-1.1146953372470001</v>
      </c>
      <c r="AE6140">
        <v>-2.9727999999999901</v>
      </c>
      <c r="AF6140">
        <v>-3.0385844749615898</v>
      </c>
      <c r="AG6140">
        <v>-1.1146953372470001</v>
      </c>
      <c r="AH6140">
        <v>17.453086960386202</v>
      </c>
      <c r="AI6140">
        <v>93.600395961656403</v>
      </c>
      <c r="AJ6140">
        <v>99.876210443610205</v>
      </c>
      <c r="AK6140">
        <v>17.750655924589399</v>
      </c>
      <c r="AL6140">
        <v>78.399288121923604</v>
      </c>
      <c r="AM6140">
        <v>94.114414527841106</v>
      </c>
      <c r="AN6140">
        <v>1.00000003989723</v>
      </c>
    </row>
    <row r="6141" spans="1:40" x14ac:dyDescent="0.25">
      <c r="A6141" t="str">
        <f>"20190312173048769"</f>
        <v>20190312173048769</v>
      </c>
      <c r="B6141" t="str">
        <f>"1552383048763587"</f>
        <v>1552383048763587</v>
      </c>
      <c r="C6141" t="s">
        <v>40</v>
      </c>
      <c r="D6141">
        <v>3.0580560000000001</v>
      </c>
      <c r="E6141">
        <v>0.46434530000000002</v>
      </c>
      <c r="F6141" t="s">
        <v>41</v>
      </c>
      <c r="G6141">
        <v>-268.03609999999998</v>
      </c>
      <c r="H6141" s="1">
        <v>-3.2917569999999998E-6</v>
      </c>
      <c r="I6141">
        <v>-64.152829999999994</v>
      </c>
      <c r="J6141">
        <v>-285.59190000000001</v>
      </c>
      <c r="K6141">
        <v>1.1145890000000001</v>
      </c>
      <c r="L6141">
        <v>-61.210209999999996</v>
      </c>
      <c r="M6141">
        <v>0.9438704</v>
      </c>
      <c r="N6141">
        <v>0</v>
      </c>
      <c r="O6141">
        <v>-0.33000649999999998</v>
      </c>
      <c r="P6141">
        <v>0.94726089999999996</v>
      </c>
      <c r="Q6141">
        <v>0.1875938</v>
      </c>
      <c r="R6141">
        <v>-0.25981860000000001</v>
      </c>
      <c r="S6141">
        <v>3.0648499999999999</v>
      </c>
      <c r="T6141">
        <v>-0.19332240000000001</v>
      </c>
      <c r="U6141">
        <v>-0.51666259999999997</v>
      </c>
      <c r="V6141">
        <v>-6.9480299999999995E-2</v>
      </c>
      <c r="W6141">
        <v>0.2008771</v>
      </c>
      <c r="X6141">
        <v>0.97714939999999995</v>
      </c>
      <c r="Y6141">
        <v>-0.1676011</v>
      </c>
      <c r="Z6141">
        <v>2.5457609999999999E-2</v>
      </c>
      <c r="AA6141">
        <v>0.98552609999999996</v>
      </c>
      <c r="AB6141">
        <v>22</v>
      </c>
      <c r="AC6141">
        <v>17.555800000000001</v>
      </c>
      <c r="AD6141">
        <v>-1.1145922917569999</v>
      </c>
      <c r="AE6141">
        <v>-2.94262000000001</v>
      </c>
      <c r="AF6141">
        <v>-3.0046044629041</v>
      </c>
      <c r="AG6141">
        <v>-1.1145922917569999</v>
      </c>
      <c r="AH6141">
        <v>17.474764153009001</v>
      </c>
      <c r="AI6141">
        <v>93.596911710472</v>
      </c>
      <c r="AJ6141">
        <v>99.756021613339598</v>
      </c>
      <c r="AK6141">
        <v>17.766185470118099</v>
      </c>
      <c r="AL6141">
        <v>78.411746287444799</v>
      </c>
      <c r="AM6141">
        <v>94.067176549501397</v>
      </c>
      <c r="AN6141">
        <v>1.00000003565642</v>
      </c>
    </row>
    <row r="6142" spans="1:40" x14ac:dyDescent="0.25">
      <c r="A6142" t="str">
        <f>"20190312173048781"</f>
        <v>20190312173048781</v>
      </c>
      <c r="B6142" t="str">
        <f>"1552383048774325"</f>
        <v>1552383048774325</v>
      </c>
      <c r="C6142" t="s">
        <v>40</v>
      </c>
      <c r="D6142">
        <v>3.1435270000000002</v>
      </c>
      <c r="E6142">
        <v>0.46894350000000001</v>
      </c>
      <c r="F6142" t="s">
        <v>41</v>
      </c>
      <c r="G6142">
        <v>-267.89589999999998</v>
      </c>
      <c r="H6142" s="1">
        <v>-3.2437349999999999E-6</v>
      </c>
      <c r="I6142">
        <v>-64.151019999999903</v>
      </c>
      <c r="J6142">
        <v>-285.47359999999998</v>
      </c>
      <c r="K6142">
        <v>1.1144829999999999</v>
      </c>
      <c r="L6142">
        <v>-61.24689</v>
      </c>
      <c r="M6142">
        <v>0.94517200000000001</v>
      </c>
      <c r="N6142">
        <v>0</v>
      </c>
      <c r="O6142">
        <v>-0.32626060000000001</v>
      </c>
      <c r="P6142">
        <v>0.94811939999999995</v>
      </c>
      <c r="Q6142">
        <v>0.18746660000000001</v>
      </c>
      <c r="R6142">
        <v>-0.25676009999999999</v>
      </c>
      <c r="S6142">
        <v>3.0655519999999998</v>
      </c>
      <c r="T6142">
        <v>-0.19308529999999999</v>
      </c>
      <c r="U6142">
        <v>-0.50946040000000004</v>
      </c>
      <c r="V6142">
        <v>-6.8711389999999997E-2</v>
      </c>
      <c r="W6142">
        <v>0.20075380000000001</v>
      </c>
      <c r="X6142">
        <v>0.97722909999999996</v>
      </c>
      <c r="Y6142">
        <v>-0.16599249999999999</v>
      </c>
      <c r="Z6142">
        <v>2.5156629999999999E-2</v>
      </c>
      <c r="AA6142">
        <v>0.98580610000000002</v>
      </c>
      <c r="AB6142">
        <v>22</v>
      </c>
      <c r="AC6142">
        <v>17.577699999999901</v>
      </c>
      <c r="AD6142">
        <v>-1.1144862437349901</v>
      </c>
      <c r="AE6142">
        <v>-2.9041299999999799</v>
      </c>
      <c r="AF6142">
        <v>-2.97865746926598</v>
      </c>
      <c r="AG6142">
        <v>-1.1144862437349901</v>
      </c>
      <c r="AH6142">
        <v>17.494783638997198</v>
      </c>
      <c r="AI6142">
        <v>93.593466280015207</v>
      </c>
      <c r="AJ6142">
        <v>99.662509186392796</v>
      </c>
      <c r="AK6142">
        <v>17.781505405392799</v>
      </c>
      <c r="AL6142">
        <v>78.418957678325398</v>
      </c>
      <c r="AM6142">
        <v>94.021988362935403</v>
      </c>
      <c r="AN6142">
        <v>1.00000002860849</v>
      </c>
    </row>
    <row r="6143" spans="1:40" x14ac:dyDescent="0.25">
      <c r="A6143" t="str">
        <f>"20190312173048791"</f>
        <v>20190312173048791</v>
      </c>
      <c r="B6143" t="str">
        <f>"1552383048784084"</f>
        <v>1552383048784084</v>
      </c>
      <c r="C6143" t="s">
        <v>40</v>
      </c>
      <c r="D6143">
        <v>3.1027619999999998</v>
      </c>
      <c r="E6143">
        <v>0.46922999999999998</v>
      </c>
      <c r="F6143" t="s">
        <v>41</v>
      </c>
      <c r="G6143">
        <v>-266.71199999999999</v>
      </c>
      <c r="H6143" s="1">
        <v>-2.9085589999999999E-6</v>
      </c>
      <c r="I6143">
        <v>-64.532790000000006</v>
      </c>
      <c r="J6143">
        <v>-285.37279999999998</v>
      </c>
      <c r="K6143">
        <v>1.1143970000000001</v>
      </c>
      <c r="L6143">
        <v>-61.277679999999997</v>
      </c>
      <c r="M6143">
        <v>0.94623820000000003</v>
      </c>
      <c r="N6143">
        <v>0</v>
      </c>
      <c r="O6143">
        <v>-0.323156</v>
      </c>
      <c r="P6143">
        <v>0.94888539999999999</v>
      </c>
      <c r="Q6143">
        <v>0.1871864</v>
      </c>
      <c r="R6143">
        <v>-0.25412119999999999</v>
      </c>
      <c r="S6143">
        <v>3.0551759999999999</v>
      </c>
      <c r="T6143">
        <v>-0.18148539999999999</v>
      </c>
      <c r="U6143">
        <v>-0.53509519999999899</v>
      </c>
      <c r="V6143">
        <v>-6.819393E-2</v>
      </c>
      <c r="W6143">
        <v>0.20047490000000001</v>
      </c>
      <c r="X6143">
        <v>0.97732260000000004</v>
      </c>
      <c r="Y6143">
        <v>-0.1542934</v>
      </c>
      <c r="Z6143">
        <v>2.31868E-2</v>
      </c>
      <c r="AA6143">
        <v>0.98775299999999999</v>
      </c>
      <c r="AB6143">
        <v>22</v>
      </c>
      <c r="AC6143">
        <v>18.660799999999899</v>
      </c>
      <c r="AD6143">
        <v>-1.114399908559</v>
      </c>
      <c r="AE6143">
        <v>-3.2551100000000002</v>
      </c>
      <c r="AF6143">
        <v>-2.9403635882388501</v>
      </c>
      <c r="AG6143">
        <v>-1.114399908559</v>
      </c>
      <c r="AH6143">
        <v>18.646836749095201</v>
      </c>
      <c r="AI6143">
        <v>93.378480473103295</v>
      </c>
      <c r="AJ6143">
        <v>98.961012843660399</v>
      </c>
      <c r="AK6143">
        <v>18.910106978402901</v>
      </c>
      <c r="AL6143">
        <v>78.435269105334996</v>
      </c>
      <c r="AM6143">
        <v>93.991416718973895</v>
      </c>
      <c r="AN6143">
        <v>1.0000000310448001</v>
      </c>
    </row>
    <row r="6144" spans="1:40" x14ac:dyDescent="0.25">
      <c r="A6144" t="str">
        <f>"20190312173048803"</f>
        <v>20190312173048803</v>
      </c>
      <c r="B6144" t="str">
        <f>"1552383048793843"</f>
        <v>1552383048793843</v>
      </c>
      <c r="C6144" t="s">
        <v>40</v>
      </c>
      <c r="D6144">
        <v>3.2364480000000002</v>
      </c>
      <c r="E6144">
        <v>0.46938679999999999</v>
      </c>
      <c r="F6144" t="s">
        <v>41</v>
      </c>
      <c r="G6144">
        <v>-266.6447</v>
      </c>
      <c r="H6144" s="1">
        <v>-2.8833719999999999E-6</v>
      </c>
      <c r="I6144">
        <v>-64.519840000000002</v>
      </c>
      <c r="J6144">
        <v>-285.26029999999997</v>
      </c>
      <c r="K6144">
        <v>1.1143000000000001</v>
      </c>
      <c r="L6144">
        <v>-61.311889999999998</v>
      </c>
      <c r="M6144">
        <v>0.94740659999999999</v>
      </c>
      <c r="N6144">
        <v>0</v>
      </c>
      <c r="O6144">
        <v>-0.31971539999999998</v>
      </c>
      <c r="P6144">
        <v>0.94976170000000004</v>
      </c>
      <c r="Q6144">
        <v>0.1868553</v>
      </c>
      <c r="R6144">
        <v>-0.25107400000000002</v>
      </c>
      <c r="S6144">
        <v>3.0557859999999999</v>
      </c>
      <c r="T6144">
        <v>-0.18183279999999999</v>
      </c>
      <c r="U6144">
        <v>-0.5290222</v>
      </c>
      <c r="V6144">
        <v>-6.7750740000000004E-2</v>
      </c>
      <c r="W6144">
        <v>0.20014409999999999</v>
      </c>
      <c r="X6144">
        <v>0.97742119999999999</v>
      </c>
      <c r="Y6144">
        <v>-0.1526469</v>
      </c>
      <c r="Z6144">
        <v>2.2991649999999999E-2</v>
      </c>
      <c r="AA6144">
        <v>0.98801329999999998</v>
      </c>
      <c r="AB6144">
        <v>22</v>
      </c>
      <c r="AC6144">
        <v>18.615599999999901</v>
      </c>
      <c r="AD6144">
        <v>-1.1143028833719999</v>
      </c>
      <c r="AE6144">
        <v>-3.2079499999999901</v>
      </c>
      <c r="AF6144">
        <v>-2.90265595518945</v>
      </c>
      <c r="AG6144">
        <v>-1.1143028833719999</v>
      </c>
      <c r="AH6144">
        <v>18.599345559196902</v>
      </c>
      <c r="AI6144">
        <v>93.387633377895099</v>
      </c>
      <c r="AJ6144">
        <v>98.870158655070597</v>
      </c>
      <c r="AK6144">
        <v>18.857431896748501</v>
      </c>
      <c r="AL6144">
        <v>78.454614418146093</v>
      </c>
      <c r="AM6144">
        <v>93.965160909586004</v>
      </c>
      <c r="AN6144">
        <v>1.00000001287239</v>
      </c>
    </row>
    <row r="6145" spans="1:40" x14ac:dyDescent="0.25">
      <c r="A6145" t="str">
        <f>"20190312173048813"</f>
        <v>20190312173048813</v>
      </c>
      <c r="B6145" t="str">
        <f>"1552383048803603"</f>
        <v>1552383048803603</v>
      </c>
      <c r="C6145" t="s">
        <v>40</v>
      </c>
      <c r="D6145">
        <v>3.071167</v>
      </c>
      <c r="E6145">
        <v>0.46938679999999999</v>
      </c>
      <c r="F6145" t="s">
        <v>41</v>
      </c>
      <c r="G6145">
        <v>-266.65550000000002</v>
      </c>
      <c r="H6145" s="1">
        <v>-2.8800099999999998E-6</v>
      </c>
      <c r="I6145">
        <v>-64.480260000000001</v>
      </c>
      <c r="J6145">
        <v>-285.16559999999998</v>
      </c>
      <c r="K6145">
        <v>1.1142259999999999</v>
      </c>
      <c r="L6145">
        <v>-61.340240000000001</v>
      </c>
      <c r="M6145">
        <v>0.94834640000000003</v>
      </c>
      <c r="N6145">
        <v>0</v>
      </c>
      <c r="O6145">
        <v>-0.31691780000000003</v>
      </c>
      <c r="P6145">
        <v>0.95040729999999995</v>
      </c>
      <c r="Q6145">
        <v>0.18650539999999999</v>
      </c>
      <c r="R6145">
        <v>-0.24888099999999999</v>
      </c>
      <c r="S6145">
        <v>3.0570979999999999</v>
      </c>
      <c r="T6145">
        <v>-0.1830996</v>
      </c>
      <c r="U6145">
        <v>-0.52062989999999998</v>
      </c>
      <c r="V6145">
        <v>-6.7101679999999997E-2</v>
      </c>
      <c r="W6145">
        <v>0.199797</v>
      </c>
      <c r="X6145">
        <v>0.97753699999999999</v>
      </c>
      <c r="Y6145">
        <v>-0.15243010000000001</v>
      </c>
      <c r="Z6145">
        <v>2.298555E-2</v>
      </c>
      <c r="AA6145">
        <v>0.98804689999999995</v>
      </c>
      <c r="AB6145">
        <v>22</v>
      </c>
      <c r="AC6145">
        <v>18.510099999999898</v>
      </c>
      <c r="AD6145">
        <v>-1.11422888001</v>
      </c>
      <c r="AE6145">
        <v>-3.1400199999999998</v>
      </c>
      <c r="AF6145">
        <v>-2.87850699982884</v>
      </c>
      <c r="AG6145">
        <v>-1.11422888001</v>
      </c>
      <c r="AH6145">
        <v>18.485880290303601</v>
      </c>
      <c r="AI6145">
        <v>93.408332093314897</v>
      </c>
      <c r="AJ6145">
        <v>98.850667885939203</v>
      </c>
      <c r="AK6145">
        <v>18.741800304467699</v>
      </c>
      <c r="AL6145">
        <v>78.474911968291394</v>
      </c>
      <c r="AM6145">
        <v>93.926829871975301</v>
      </c>
      <c r="AN6145">
        <v>1.0000000315184101</v>
      </c>
    </row>
    <row r="6146" spans="1:40" x14ac:dyDescent="0.25">
      <c r="A6146" t="str">
        <f>"20190312173048824"</f>
        <v>20190312173048824</v>
      </c>
      <c r="B6146" t="str">
        <f>"1552383048814340"</f>
        <v>1552383048814340</v>
      </c>
      <c r="C6146" t="s">
        <v>40</v>
      </c>
      <c r="D6146">
        <v>3.0155850000000002</v>
      </c>
      <c r="E6146">
        <v>0.46413569999999998</v>
      </c>
      <c r="F6146" t="s">
        <v>41</v>
      </c>
      <c r="G6146">
        <v>-266.67189999999999</v>
      </c>
      <c r="H6146" s="1">
        <v>-2.8795530000000001E-6</v>
      </c>
      <c r="I6146">
        <v>-64.446299999999994</v>
      </c>
      <c r="J6146">
        <v>-285.0677</v>
      </c>
      <c r="K6146">
        <v>1.1141490000000001</v>
      </c>
      <c r="L6146">
        <v>-61.369450000000001</v>
      </c>
      <c r="M6146">
        <v>0.94930570000000003</v>
      </c>
      <c r="N6146">
        <v>0</v>
      </c>
      <c r="O6146">
        <v>-0.31403340000000002</v>
      </c>
      <c r="P6146">
        <v>0.95106040000000003</v>
      </c>
      <c r="Q6146">
        <v>0.18637480000000001</v>
      </c>
      <c r="R6146">
        <v>-0.246473</v>
      </c>
      <c r="S6146">
        <v>3.0581969999999998</v>
      </c>
      <c r="T6146">
        <v>-0.18425359999999999</v>
      </c>
      <c r="U6146">
        <v>-0.51364140000000003</v>
      </c>
      <c r="V6146">
        <v>-6.6573950000000007E-2</v>
      </c>
      <c r="W6146">
        <v>0.1996676</v>
      </c>
      <c r="X6146">
        <v>0.97759949999999995</v>
      </c>
      <c r="Y6146">
        <v>-0.1516757</v>
      </c>
      <c r="Z6146">
        <v>2.2942270000000001E-2</v>
      </c>
      <c r="AA6146">
        <v>0.98816400000000004</v>
      </c>
      <c r="AB6146">
        <v>22</v>
      </c>
      <c r="AC6146">
        <v>18.395800000000001</v>
      </c>
      <c r="AD6146">
        <v>-1.1141518795530001</v>
      </c>
      <c r="AE6146">
        <v>-3.0768499999999901</v>
      </c>
      <c r="AF6146">
        <v>-2.84615635458439</v>
      </c>
      <c r="AG6146">
        <v>-1.1141518795530001</v>
      </c>
      <c r="AH6146">
        <v>18.3657946843886</v>
      </c>
      <c r="AI6146">
        <v>93.430713933090999</v>
      </c>
      <c r="AJ6146">
        <v>98.8090823149969</v>
      </c>
      <c r="AK6146">
        <v>18.618387545503701</v>
      </c>
      <c r="AL6146">
        <v>78.482478274224803</v>
      </c>
      <c r="AM6146">
        <v>93.895793971939099</v>
      </c>
      <c r="AN6146">
        <v>1.0000000118543</v>
      </c>
    </row>
    <row r="6147" spans="1:40" x14ac:dyDescent="0.25">
      <c r="A6147" t="str">
        <f>"20190312173048834"</f>
        <v>20190312173048834</v>
      </c>
      <c r="B6147" t="str">
        <f>"1552383048824100"</f>
        <v>1552383048824100</v>
      </c>
      <c r="C6147" t="s">
        <v>40</v>
      </c>
      <c r="D6147">
        <v>2.9319329999999999</v>
      </c>
      <c r="E6147">
        <v>0.46120260000000002</v>
      </c>
      <c r="F6147" t="s">
        <v>41</v>
      </c>
      <c r="G6147">
        <v>-266.42880000000002</v>
      </c>
      <c r="H6147" s="1">
        <v>-2.7524530000000001E-6</v>
      </c>
      <c r="I6147">
        <v>-64.19614</v>
      </c>
      <c r="J6147">
        <v>-284.96409999999997</v>
      </c>
      <c r="K6147">
        <v>1.1140699999999999</v>
      </c>
      <c r="L6147">
        <v>-61.399900000000002</v>
      </c>
      <c r="M6147">
        <v>0.95027980000000001</v>
      </c>
      <c r="N6147">
        <v>0</v>
      </c>
      <c r="O6147">
        <v>-0.31107420000000002</v>
      </c>
      <c r="P6147">
        <v>0.95181579999999999</v>
      </c>
      <c r="Q6147">
        <v>0.1860098</v>
      </c>
      <c r="R6147">
        <v>-0.24381800000000001</v>
      </c>
      <c r="S6147">
        <v>3.0697019999999999</v>
      </c>
      <c r="T6147">
        <v>-0.1834925</v>
      </c>
      <c r="U6147">
        <v>-0.46554570000000001</v>
      </c>
      <c r="V6147">
        <v>-6.6236349999999999E-2</v>
      </c>
      <c r="W6147">
        <v>0.19930120000000001</v>
      </c>
      <c r="X6147">
        <v>0.97769720000000004</v>
      </c>
      <c r="Y6147">
        <v>-0.16427939999999999</v>
      </c>
      <c r="Z6147">
        <v>2.3010139999999998E-2</v>
      </c>
      <c r="AA6147">
        <v>0.98614539999999995</v>
      </c>
      <c r="AB6147">
        <v>22</v>
      </c>
      <c r="AC6147">
        <v>18.5352999999999</v>
      </c>
      <c r="AD6147">
        <v>-1.1140727524529901</v>
      </c>
      <c r="AE6147">
        <v>-2.7962399999999898</v>
      </c>
      <c r="AF6147">
        <v>-3.09801288398842</v>
      </c>
      <c r="AG6147">
        <v>-1.1140727524529901</v>
      </c>
      <c r="AH6147">
        <v>18.420352734692202</v>
      </c>
      <c r="AI6147">
        <v>93.413242295522096</v>
      </c>
      <c r="AJ6147">
        <v>99.546901437229707</v>
      </c>
      <c r="AK6147">
        <v>18.712248309532399</v>
      </c>
      <c r="AL6147">
        <v>78.503902123036497</v>
      </c>
      <c r="AM6147">
        <v>93.875712416950705</v>
      </c>
      <c r="AN6147">
        <v>1.0000000186353</v>
      </c>
    </row>
    <row r="6148" spans="1:40" x14ac:dyDescent="0.25">
      <c r="A6148" t="str">
        <f>"20190312173048846"</f>
        <v>20190312173048846</v>
      </c>
      <c r="B6148" t="str">
        <f>"1552383048843620"</f>
        <v>1552383048843620</v>
      </c>
      <c r="C6148" t="s">
        <v>40</v>
      </c>
      <c r="D6148">
        <v>2.9143379999999999</v>
      </c>
      <c r="E6148">
        <v>0.45743679999999898</v>
      </c>
      <c r="F6148" t="s">
        <v>41</v>
      </c>
      <c r="G6148">
        <v>-265.70710000000003</v>
      </c>
      <c r="H6148" s="1">
        <v>-2.4476230000000001E-6</v>
      </c>
      <c r="I6148">
        <v>-64.119579999999999</v>
      </c>
      <c r="J6148">
        <v>-284.8603</v>
      </c>
      <c r="K6148">
        <v>1.1139939999999999</v>
      </c>
      <c r="L6148">
        <v>-61.430300000000003</v>
      </c>
      <c r="M6148">
        <v>0.95123840000000004</v>
      </c>
      <c r="N6148">
        <v>0</v>
      </c>
      <c r="O6148">
        <v>-0.30813160000000001</v>
      </c>
      <c r="P6148">
        <v>0.95243290000000003</v>
      </c>
      <c r="Q6148">
        <v>0.18586569999999999</v>
      </c>
      <c r="R6148">
        <v>-0.2415081</v>
      </c>
      <c r="S6148">
        <v>3.0754389999999998</v>
      </c>
      <c r="T6148">
        <v>-0.17792279999999999</v>
      </c>
      <c r="U6148">
        <v>-0.43435669999999998</v>
      </c>
      <c r="V6148">
        <v>-6.5551090000000006E-2</v>
      </c>
      <c r="W6148">
        <v>0.19915920000000001</v>
      </c>
      <c r="X6148">
        <v>0.97777230000000004</v>
      </c>
      <c r="Y6148">
        <v>-0.171328799999999</v>
      </c>
      <c r="Z6148">
        <v>2.233686E-2</v>
      </c>
      <c r="AA6148">
        <v>0.98496070000000002</v>
      </c>
      <c r="AB6148">
        <v>22</v>
      </c>
      <c r="AC6148">
        <v>19.153199999999899</v>
      </c>
      <c r="AD6148">
        <v>-1.113996447623</v>
      </c>
      <c r="AE6148">
        <v>-2.6892799999999899</v>
      </c>
      <c r="AF6148">
        <v>-3.3328382988954002</v>
      </c>
      <c r="AG6148">
        <v>-1.113996447623</v>
      </c>
      <c r="AH6148">
        <v>18.986832444006499</v>
      </c>
      <c r="AI6148">
        <v>93.307359384063105</v>
      </c>
      <c r="AJ6148">
        <v>99.955940293844606</v>
      </c>
      <c r="AK6148">
        <v>19.3092880621912</v>
      </c>
      <c r="AL6148">
        <v>78.512204365407698</v>
      </c>
      <c r="AM6148">
        <v>93.8354421276415</v>
      </c>
      <c r="AN6148">
        <v>1.00000000149605</v>
      </c>
    </row>
    <row r="6149" spans="1:40" x14ac:dyDescent="0.25">
      <c r="A6149" t="str">
        <f>"20190312173048857"</f>
        <v>20190312173048857</v>
      </c>
      <c r="B6149" t="str">
        <f>"1552383048854356"</f>
        <v>1552383048854356</v>
      </c>
      <c r="C6149" t="s">
        <v>40</v>
      </c>
      <c r="D6149">
        <v>2.8729640000000001</v>
      </c>
      <c r="E6149">
        <v>0.45599319999999999</v>
      </c>
      <c r="F6149" t="s">
        <v>41</v>
      </c>
      <c r="G6149">
        <v>-265.31599999999997</v>
      </c>
      <c r="H6149" s="1">
        <v>-2.2349949999999999E-6</v>
      </c>
      <c r="I6149">
        <v>-63.951009999999997</v>
      </c>
      <c r="J6149">
        <v>-284.7516</v>
      </c>
      <c r="K6149">
        <v>1.1139209999999999</v>
      </c>
      <c r="L6149">
        <v>-61.4617</v>
      </c>
      <c r="M6149">
        <v>0.95220550000000004</v>
      </c>
      <c r="N6149">
        <v>0</v>
      </c>
      <c r="O6149">
        <v>-0.30513040000000002</v>
      </c>
      <c r="P6149">
        <v>0.95310810000000001</v>
      </c>
      <c r="Q6149">
        <v>0.1855096</v>
      </c>
      <c r="R6149">
        <v>-0.23910400000000001</v>
      </c>
      <c r="S6149">
        <v>3.0832820000000001</v>
      </c>
      <c r="T6149">
        <v>-0.17574289999999901</v>
      </c>
      <c r="U6149">
        <v>-0.39767459999999999</v>
      </c>
      <c r="V6149">
        <v>-6.4913849999999995E-2</v>
      </c>
      <c r="W6149">
        <v>0.19880410000000001</v>
      </c>
      <c r="X6149">
        <v>0.97788710000000001</v>
      </c>
      <c r="Y6149">
        <v>-0.18008209999999999</v>
      </c>
      <c r="Z6149">
        <v>2.2119650000000001E-2</v>
      </c>
      <c r="AA6149">
        <v>0.98340280000000002</v>
      </c>
      <c r="AB6149">
        <v>22</v>
      </c>
      <c r="AC6149">
        <v>19.435600000000001</v>
      </c>
      <c r="AD6149">
        <v>-1.1139232349949999</v>
      </c>
      <c r="AE6149">
        <v>-2.4893099999999899</v>
      </c>
      <c r="AF6149">
        <v>-3.5489444371840402</v>
      </c>
      <c r="AG6149">
        <v>-1.1139232349949999</v>
      </c>
      <c r="AH6149">
        <v>19.206106680766901</v>
      </c>
      <c r="AI6149">
        <v>93.264207368620504</v>
      </c>
      <c r="AJ6149">
        <v>100.469145242799</v>
      </c>
      <c r="AK6149">
        <v>19.562984573543002</v>
      </c>
      <c r="AL6149">
        <v>78.532965569943599</v>
      </c>
      <c r="AM6149">
        <v>93.797821828905398</v>
      </c>
      <c r="AN6149">
        <v>1.00000002922252</v>
      </c>
    </row>
    <row r="6150" spans="1:40" x14ac:dyDescent="0.25">
      <c r="A6150" t="str">
        <f>"20190312173048868"</f>
        <v>20190312173048868</v>
      </c>
      <c r="B6150" t="str">
        <f>"1552383048864119"</f>
        <v>1552383048864119</v>
      </c>
      <c r="C6150" t="s">
        <v>40</v>
      </c>
      <c r="D6150">
        <v>2.938939</v>
      </c>
      <c r="E6150">
        <v>0.4551231</v>
      </c>
      <c r="F6150" t="s">
        <v>41</v>
      </c>
      <c r="G6150">
        <v>-264.95479999999998</v>
      </c>
      <c r="H6150" s="1">
        <v>-2.064145E-6</v>
      </c>
      <c r="I6150">
        <v>-63.891260000000003</v>
      </c>
      <c r="J6150">
        <v>-284.64699999999999</v>
      </c>
      <c r="K6150">
        <v>1.1138429999999999</v>
      </c>
      <c r="L6150">
        <v>-61.4916699999999</v>
      </c>
      <c r="M6150">
        <v>0.95311210000000002</v>
      </c>
      <c r="N6150">
        <v>0</v>
      </c>
      <c r="O6150">
        <v>-0.30228719999999998</v>
      </c>
      <c r="P6150">
        <v>0.95373949999999996</v>
      </c>
      <c r="Q6150">
        <v>0.18526899999999999</v>
      </c>
      <c r="R6150">
        <v>-0.23676230000000001</v>
      </c>
      <c r="S6150">
        <v>3.0863649999999998</v>
      </c>
      <c r="T6150">
        <v>-0.1736634</v>
      </c>
      <c r="U6150">
        <v>-0.37878420000000002</v>
      </c>
      <c r="V6150">
        <v>-6.4372869999999999E-2</v>
      </c>
      <c r="W6150">
        <v>0.19856380000000001</v>
      </c>
      <c r="X6150">
        <v>0.9779717</v>
      </c>
      <c r="Y6150">
        <v>-0.18321319999999999</v>
      </c>
      <c r="Z6150">
        <v>2.1784789999999998E-2</v>
      </c>
      <c r="AA6150">
        <v>0.98283180000000003</v>
      </c>
      <c r="AB6150">
        <v>22</v>
      </c>
      <c r="AC6150">
        <v>19.6922</v>
      </c>
      <c r="AD6150">
        <v>-1.113845064145</v>
      </c>
      <c r="AE6150">
        <v>-2.3995899999999999</v>
      </c>
      <c r="AF6150">
        <v>-3.6544671045219199</v>
      </c>
      <c r="AG6150">
        <v>-1.113845064145</v>
      </c>
      <c r="AH6150">
        <v>19.434917699656001</v>
      </c>
      <c r="AI6150">
        <v>93.223746596468501</v>
      </c>
      <c r="AJ6150">
        <v>100.649328246164</v>
      </c>
      <c r="AK6150">
        <v>19.806862614693799</v>
      </c>
      <c r="AL6150">
        <v>78.547014029178399</v>
      </c>
      <c r="AM6150">
        <v>93.765938094810394</v>
      </c>
      <c r="AN6150">
        <v>1.0000000475316799</v>
      </c>
    </row>
    <row r="6151" spans="1:40" x14ac:dyDescent="0.25">
      <c r="A6151" t="str">
        <f>"20190312173048879"</f>
        <v>20190312173048879</v>
      </c>
      <c r="B6151" t="str">
        <f>"1552383048873875"</f>
        <v>1552383048873875</v>
      </c>
      <c r="C6151" t="s">
        <v>40</v>
      </c>
      <c r="D6151">
        <v>2.9245890000000001</v>
      </c>
      <c r="E6151">
        <v>0.454434</v>
      </c>
      <c r="F6151" t="s">
        <v>41</v>
      </c>
      <c r="G6151">
        <v>-265.13889999999998</v>
      </c>
      <c r="H6151" s="1">
        <v>-2.1175270000000002E-6</v>
      </c>
      <c r="I6151">
        <v>-63.795119999999997</v>
      </c>
      <c r="J6151">
        <v>-284.53649999999999</v>
      </c>
      <c r="K6151">
        <v>1.1137680000000001</v>
      </c>
      <c r="L6151">
        <v>-61.523040000000002</v>
      </c>
      <c r="M6151">
        <v>0.95404230000000001</v>
      </c>
      <c r="N6151">
        <v>0</v>
      </c>
      <c r="O6151">
        <v>-0.29933929999999997</v>
      </c>
      <c r="P6151">
        <v>0.95440670000000005</v>
      </c>
      <c r="Q6151">
        <v>0.18502679999999999</v>
      </c>
      <c r="R6151">
        <v>-0.23424990000000001</v>
      </c>
      <c r="S6151">
        <v>3.0892330000000001</v>
      </c>
      <c r="T6151">
        <v>-0.1763844</v>
      </c>
      <c r="U6151">
        <v>-0.36477660000000001</v>
      </c>
      <c r="V6151">
        <v>-6.3898999999999997E-2</v>
      </c>
      <c r="W6151">
        <v>0.19832079999999999</v>
      </c>
      <c r="X6151">
        <v>0.97805200000000003</v>
      </c>
      <c r="Y6151">
        <v>-0.18465709999999999</v>
      </c>
      <c r="Z6151">
        <v>2.1995150000000002E-2</v>
      </c>
      <c r="AA6151">
        <v>0.98255689999999996</v>
      </c>
      <c r="AB6151">
        <v>22</v>
      </c>
      <c r="AC6151">
        <v>19.397600000000001</v>
      </c>
      <c r="AD6151">
        <v>-1.1137701175270001</v>
      </c>
      <c r="AE6151">
        <v>-2.2720799999999901</v>
      </c>
      <c r="AF6151">
        <v>-3.62736926139437</v>
      </c>
      <c r="AG6151">
        <v>-1.1137701175270001</v>
      </c>
      <c r="AH6151">
        <v>19.125964247898199</v>
      </c>
      <c r="AI6151">
        <v>93.274523612373699</v>
      </c>
      <c r="AJ6151">
        <v>100.738987363345</v>
      </c>
      <c r="AK6151">
        <v>19.498738421884799</v>
      </c>
      <c r="AL6151">
        <v>78.561218493022395</v>
      </c>
      <c r="AM6151">
        <v>93.737988625780304</v>
      </c>
      <c r="AN6151">
        <v>0.99999996830881899</v>
      </c>
    </row>
    <row r="6152" spans="1:40" x14ac:dyDescent="0.25">
      <c r="A6152" t="str">
        <f>"20190312173048890"</f>
        <v>20190312173048890</v>
      </c>
      <c r="B6152" t="str">
        <f>"1552383048883635"</f>
        <v>1552383048883635</v>
      </c>
      <c r="C6152" t="s">
        <v>40</v>
      </c>
      <c r="D6152">
        <v>3.012845</v>
      </c>
      <c r="E6152">
        <v>0.45404820000000001</v>
      </c>
      <c r="F6152" t="s">
        <v>41</v>
      </c>
      <c r="G6152">
        <v>-265.24430000000001</v>
      </c>
      <c r="H6152" s="1">
        <v>-2.1417499999999999E-6</v>
      </c>
      <c r="I6152">
        <v>-63.716200000000001</v>
      </c>
      <c r="J6152">
        <v>-284.43599999999998</v>
      </c>
      <c r="K6152">
        <v>1.1136969999999999</v>
      </c>
      <c r="L6152">
        <v>-61.551270000000002</v>
      </c>
      <c r="M6152">
        <v>0.95485940000000002</v>
      </c>
      <c r="N6152">
        <v>0</v>
      </c>
      <c r="O6152">
        <v>-0.29672349999999997</v>
      </c>
      <c r="P6152">
        <v>0.95499650000000003</v>
      </c>
      <c r="Q6152">
        <v>0.18485599999999999</v>
      </c>
      <c r="R6152">
        <v>-0.2319705</v>
      </c>
      <c r="S6152">
        <v>3.0916440000000001</v>
      </c>
      <c r="T6152">
        <v>-0.17848530000000001</v>
      </c>
      <c r="U6152">
        <v>-0.35147089999999998</v>
      </c>
      <c r="V6152">
        <v>-6.3527219999999995E-2</v>
      </c>
      <c r="W6152">
        <v>0.1981493</v>
      </c>
      <c r="X6152">
        <v>0.97811099999999995</v>
      </c>
      <c r="Y6152">
        <v>-0.18620919999999999</v>
      </c>
      <c r="Z6152">
        <v>2.2148580000000001E-2</v>
      </c>
      <c r="AA6152">
        <v>0.98226040000000003</v>
      </c>
      <c r="AB6152">
        <v>22</v>
      </c>
      <c r="AC6152">
        <v>19.191699999999901</v>
      </c>
      <c r="AD6152">
        <v>-1.11369914175</v>
      </c>
      <c r="AE6152">
        <v>-2.16493</v>
      </c>
      <c r="AF6152">
        <v>-3.6157619369706899</v>
      </c>
      <c r="AG6152">
        <v>-1.11369914175</v>
      </c>
      <c r="AH6152">
        <v>18.906776647655398</v>
      </c>
      <c r="AI6152">
        <v>93.311228326838005</v>
      </c>
      <c r="AJ6152">
        <v>100.826610428157</v>
      </c>
      <c r="AK6152">
        <v>19.281604273698498</v>
      </c>
      <c r="AL6152">
        <v>78.5712439317427</v>
      </c>
      <c r="AM6152">
        <v>93.716077678047895</v>
      </c>
      <c r="AN6152">
        <v>0.99999999054620903</v>
      </c>
    </row>
    <row r="6153" spans="1:40" x14ac:dyDescent="0.25">
      <c r="A6153" t="str">
        <f>"20190312173048901"</f>
        <v>20190312173048901</v>
      </c>
      <c r="B6153" t="str">
        <f>"1552383048894372"</f>
        <v>1552383048894372</v>
      </c>
      <c r="C6153" t="s">
        <v>40</v>
      </c>
      <c r="D6153">
        <v>2.9117009999999999</v>
      </c>
      <c r="E6153">
        <v>0.45358850000000001</v>
      </c>
      <c r="F6153" t="s">
        <v>41</v>
      </c>
      <c r="G6153">
        <v>-265.1422</v>
      </c>
      <c r="H6153" s="1">
        <v>-2.088723E-6</v>
      </c>
      <c r="I6153">
        <v>-63.681420000000003</v>
      </c>
      <c r="J6153">
        <v>-284.33049999999997</v>
      </c>
      <c r="K6153">
        <v>1.113623</v>
      </c>
      <c r="L6153">
        <v>-61.580750000000002</v>
      </c>
      <c r="M6153">
        <v>0.95570049999999995</v>
      </c>
      <c r="N6153">
        <v>0</v>
      </c>
      <c r="O6153">
        <v>-0.29400369999999998</v>
      </c>
      <c r="P6153">
        <v>0.95555780000000001</v>
      </c>
      <c r="Q6153">
        <v>0.18475520000000001</v>
      </c>
      <c r="R6153">
        <v>-0.2297276</v>
      </c>
      <c r="S6153">
        <v>3.0929570000000002</v>
      </c>
      <c r="T6153">
        <v>-0.1785351</v>
      </c>
      <c r="U6153">
        <v>-0.34149170000000001</v>
      </c>
      <c r="V6153">
        <v>-6.3006160000000005E-2</v>
      </c>
      <c r="W6153">
        <v>0.19804830000000001</v>
      </c>
      <c r="X6153">
        <v>0.97816510000000001</v>
      </c>
      <c r="Y6153">
        <v>-0.18659229999999999</v>
      </c>
      <c r="Z6153">
        <v>2.2012779999999999E-2</v>
      </c>
      <c r="AA6153">
        <v>0.98219080000000003</v>
      </c>
      <c r="AB6153">
        <v>22</v>
      </c>
      <c r="AC6153">
        <v>19.188299999999899</v>
      </c>
      <c r="AD6153">
        <v>-1.1136250887229999</v>
      </c>
      <c r="AE6153">
        <v>-2.1006699999999898</v>
      </c>
      <c r="AF6153">
        <v>-3.6221245663330901</v>
      </c>
      <c r="AG6153">
        <v>-1.1136250887229999</v>
      </c>
      <c r="AH6153">
        <v>18.894864161566399</v>
      </c>
      <c r="AI6153">
        <v>93.312812255257199</v>
      </c>
      <c r="AJ6153">
        <v>100.851885692637</v>
      </c>
      <c r="AK6153">
        <v>19.2711141062554</v>
      </c>
      <c r="AL6153">
        <v>78.577147154697101</v>
      </c>
      <c r="AM6153">
        <v>93.685478914565707</v>
      </c>
      <c r="AN6153">
        <v>0.99999993409442001</v>
      </c>
    </row>
    <row r="6154" spans="1:40" x14ac:dyDescent="0.25">
      <c r="A6154" t="str">
        <f>"20190312173048913"</f>
        <v>20190312173048913</v>
      </c>
      <c r="B6154" t="str">
        <f>"1552383048904131"</f>
        <v>1552383048904131</v>
      </c>
      <c r="C6154" t="s">
        <v>40</v>
      </c>
      <c r="D6154">
        <v>3.0128750000000002</v>
      </c>
      <c r="E6154">
        <v>0.45331320000000003</v>
      </c>
      <c r="F6154" t="s">
        <v>41</v>
      </c>
      <c r="G6154">
        <v>-264.8365</v>
      </c>
      <c r="H6154" s="1">
        <v>-1.9534190000000001E-6</v>
      </c>
      <c r="I6154">
        <v>-63.665849999999999</v>
      </c>
      <c r="J6154">
        <v>-284.22000000000003</v>
      </c>
      <c r="K6154">
        <v>1.113542</v>
      </c>
      <c r="L6154">
        <v>-61.61121</v>
      </c>
      <c r="M6154">
        <v>0.95654309999999998</v>
      </c>
      <c r="N6154">
        <v>0</v>
      </c>
      <c r="O6154">
        <v>-0.291251599999999</v>
      </c>
      <c r="P6154">
        <v>0.95614129999999997</v>
      </c>
      <c r="Q6154">
        <v>0.18457399999999999</v>
      </c>
      <c r="R6154">
        <v>-0.2274351</v>
      </c>
      <c r="S6154">
        <v>3.094147</v>
      </c>
      <c r="T6154">
        <v>-0.1767582</v>
      </c>
      <c r="U6154">
        <v>-0.33096310000000001</v>
      </c>
      <c r="V6154">
        <v>-6.2505199999999997E-2</v>
      </c>
      <c r="W6154">
        <v>0.19786790000000001</v>
      </c>
      <c r="X6154">
        <v>0.97823380000000004</v>
      </c>
      <c r="Y6154">
        <v>-0.18712780000000001</v>
      </c>
      <c r="Z6154">
        <v>2.1656979999999999E-2</v>
      </c>
      <c r="AA6154">
        <v>0.98209690000000005</v>
      </c>
      <c r="AB6154">
        <v>22</v>
      </c>
      <c r="AC6154">
        <v>19.383500000000002</v>
      </c>
      <c r="AD6154">
        <v>-1.1135439534189999</v>
      </c>
      <c r="AE6154">
        <v>-2.0546399999999898</v>
      </c>
      <c r="AF6154">
        <v>-3.6685151062933601</v>
      </c>
      <c r="AG6154">
        <v>-1.1135439534189999</v>
      </c>
      <c r="AH6154">
        <v>19.079196582448098</v>
      </c>
      <c r="AI6154">
        <v>93.280286318009701</v>
      </c>
      <c r="AJ6154">
        <v>100.88390195513099</v>
      </c>
      <c r="AK6154">
        <v>19.460568477128199</v>
      </c>
      <c r="AL6154">
        <v>78.587692599341906</v>
      </c>
      <c r="AM6154">
        <v>93.655999514397294</v>
      </c>
      <c r="AN6154">
        <v>0.99999998666994405</v>
      </c>
    </row>
    <row r="6155" spans="1:40" x14ac:dyDescent="0.25">
      <c r="A6155" t="str">
        <f>"20190312173048924"</f>
        <v>20190312173048924</v>
      </c>
      <c r="B6155" t="str">
        <f>"1552383048913513"</f>
        <v>1552383048913513</v>
      </c>
      <c r="C6155" t="s">
        <v>40</v>
      </c>
      <c r="D6155">
        <v>3.0271949999999999</v>
      </c>
      <c r="E6155">
        <v>0.4532371</v>
      </c>
      <c r="F6155" t="s">
        <v>41</v>
      </c>
      <c r="G6155">
        <v>-264.73540000000003</v>
      </c>
      <c r="H6155" s="1">
        <v>-1.901949E-6</v>
      </c>
      <c r="I6155">
        <v>-63.635370000000002</v>
      </c>
      <c r="J6155">
        <v>-284.1155</v>
      </c>
      <c r="K6155">
        <v>1.1134660000000001</v>
      </c>
      <c r="L6155">
        <v>-61.639919999999996</v>
      </c>
      <c r="M6155">
        <v>0.95732640000000002</v>
      </c>
      <c r="N6155">
        <v>0</v>
      </c>
      <c r="O6155">
        <v>-0.28866760000000002</v>
      </c>
      <c r="P6155">
        <v>0.95671580000000001</v>
      </c>
      <c r="Q6155">
        <v>0.18412970000000001</v>
      </c>
      <c r="R6155">
        <v>-0.2253705</v>
      </c>
      <c r="S6155">
        <v>3.0952760000000001</v>
      </c>
      <c r="T6155">
        <v>-0.17689479999999999</v>
      </c>
      <c r="U6155">
        <v>-0.32156370000000001</v>
      </c>
      <c r="V6155">
        <v>-6.1958539999999999E-2</v>
      </c>
      <c r="W6155">
        <v>0.1974253</v>
      </c>
      <c r="X6155">
        <v>0.97835799999999995</v>
      </c>
      <c r="Y6155">
        <v>-0.1874652</v>
      </c>
      <c r="Z6155">
        <v>2.1539599999999999E-2</v>
      </c>
      <c r="AA6155">
        <v>0.98203499999999999</v>
      </c>
      <c r="AB6155">
        <v>22</v>
      </c>
      <c r="AC6155">
        <v>19.380099999999899</v>
      </c>
      <c r="AD6155">
        <v>-1.1134679019489999</v>
      </c>
      <c r="AE6155">
        <v>-1.99544999999999</v>
      </c>
      <c r="AF6155">
        <v>-3.6724776445202298</v>
      </c>
      <c r="AG6155">
        <v>-1.1134679019489999</v>
      </c>
      <c r="AH6155">
        <v>19.068704188209701</v>
      </c>
      <c r="AI6155">
        <v>93.281673097994897</v>
      </c>
      <c r="AJ6155">
        <v>100.90122844624</v>
      </c>
      <c r="AK6155">
        <v>19.451025223252799</v>
      </c>
      <c r="AL6155">
        <v>78.613562101990496</v>
      </c>
      <c r="AM6155">
        <v>93.623651501415793</v>
      </c>
      <c r="AN6155">
        <v>0.99999999296150999</v>
      </c>
    </row>
    <row r="6156" spans="1:40" x14ac:dyDescent="0.25">
      <c r="A6156" t="str">
        <f>"20190312173048934"</f>
        <v>20190312173048934</v>
      </c>
      <c r="B6156" t="str">
        <f>"1552383048924249"</f>
        <v>1552383048924249</v>
      </c>
      <c r="C6156" t="s">
        <v>40</v>
      </c>
      <c r="D6156">
        <v>3.0231970000000001</v>
      </c>
      <c r="E6156">
        <v>0.45323459999999899</v>
      </c>
      <c r="F6156" t="s">
        <v>58</v>
      </c>
      <c r="G6156">
        <v>-264.64659999999998</v>
      </c>
      <c r="H6156" s="1">
        <v>-1.85922E-6</v>
      </c>
      <c r="I6156">
        <v>-63.618029999999997</v>
      </c>
      <c r="J6156">
        <v>-284.01510000000002</v>
      </c>
      <c r="K6156">
        <v>1.1133919999999999</v>
      </c>
      <c r="L6156">
        <v>-61.667140000000003</v>
      </c>
      <c r="M6156">
        <v>0.95804509999999998</v>
      </c>
      <c r="N6156">
        <v>0</v>
      </c>
      <c r="O6156">
        <v>-0.28627329999999901</v>
      </c>
      <c r="P6156">
        <v>0.95718919999999996</v>
      </c>
      <c r="Q6156">
        <v>0.1840376</v>
      </c>
      <c r="R6156">
        <v>-0.2234256</v>
      </c>
      <c r="S6156">
        <v>3.0957029999999999</v>
      </c>
      <c r="T6156">
        <v>-0.17705000000000001</v>
      </c>
      <c r="U6156">
        <v>-0.31454470000000001</v>
      </c>
      <c r="V6156">
        <v>-6.1467979999999998E-2</v>
      </c>
      <c r="W6156">
        <v>0.19733410000000001</v>
      </c>
      <c r="X6156">
        <v>0.97840740000000004</v>
      </c>
      <c r="Y6156">
        <v>-0.1872296</v>
      </c>
      <c r="Z6156">
        <v>2.142165E-2</v>
      </c>
      <c r="AA6156">
        <v>0.98208260000000003</v>
      </c>
      <c r="AB6156">
        <v>22</v>
      </c>
      <c r="AC6156">
        <v>19.368500000000001</v>
      </c>
      <c r="AD6156">
        <v>-1.1133938592199999</v>
      </c>
      <c r="AE6156">
        <v>-1.95089</v>
      </c>
      <c r="AF6156">
        <v>-3.66402010225339</v>
      </c>
      <c r="AG6156">
        <v>-1.1133938592199999</v>
      </c>
      <c r="AH6156">
        <v>19.053937700950801</v>
      </c>
      <c r="AI6156">
        <v>93.284172019251997</v>
      </c>
      <c r="AJ6156">
        <v>100.884950904706</v>
      </c>
      <c r="AK6156">
        <v>19.434948703487201</v>
      </c>
      <c r="AL6156">
        <v>78.618892995864698</v>
      </c>
      <c r="AM6156">
        <v>93.594855553723704</v>
      </c>
      <c r="AN6156">
        <v>1.0000000499814199</v>
      </c>
    </row>
    <row r="6157" spans="1:40" x14ac:dyDescent="0.25">
      <c r="A6157" t="str">
        <f>"20190312173048945"</f>
        <v>20190312173048945</v>
      </c>
      <c r="B6157" t="str">
        <f>"1552383048934010"</f>
        <v>1552383048934010</v>
      </c>
      <c r="C6157" t="s">
        <v>40</v>
      </c>
      <c r="D6157">
        <v>3.0082360000000001</v>
      </c>
      <c r="E6157">
        <v>0.45310620000000001</v>
      </c>
      <c r="F6157" t="s">
        <v>58</v>
      </c>
      <c r="G6157">
        <v>-264.52850000000001</v>
      </c>
      <c r="H6157" s="1">
        <v>-1.805735E-6</v>
      </c>
      <c r="I6157">
        <v>-63.607329999999997</v>
      </c>
      <c r="J6157">
        <v>-283.90879999999999</v>
      </c>
      <c r="K6157">
        <v>1.1133139999999999</v>
      </c>
      <c r="L6157">
        <v>-61.695860000000003</v>
      </c>
      <c r="M6157">
        <v>0.95879230000000004</v>
      </c>
      <c r="N6157">
        <v>0</v>
      </c>
      <c r="O6157">
        <v>-0.2837615</v>
      </c>
      <c r="P6157">
        <v>0.95773379999999997</v>
      </c>
      <c r="Q6157">
        <v>0.1838457</v>
      </c>
      <c r="R6157">
        <v>-0.22123979999999999</v>
      </c>
      <c r="S6157">
        <v>3.096222</v>
      </c>
      <c r="T6157">
        <v>-0.1769075</v>
      </c>
      <c r="U6157">
        <v>-0.30828860000000002</v>
      </c>
      <c r="V6157">
        <v>-6.1107420000000003E-2</v>
      </c>
      <c r="W6157">
        <v>0.1971424</v>
      </c>
      <c r="X6157">
        <v>0.97846860000000002</v>
      </c>
      <c r="Y6157">
        <v>-0.18664240000000001</v>
      </c>
      <c r="Z6157">
        <v>2.1250089999999999E-2</v>
      </c>
      <c r="AA6157">
        <v>0.98219809999999996</v>
      </c>
      <c r="AB6157">
        <v>22</v>
      </c>
      <c r="AC6157">
        <v>19.380299999999899</v>
      </c>
      <c r="AD6157">
        <v>-1.1133158057350001</v>
      </c>
      <c r="AE6157">
        <v>-1.91147</v>
      </c>
      <c r="AF6157">
        <v>-3.6550953586889299</v>
      </c>
      <c r="AG6157">
        <v>-1.1133158057350001</v>
      </c>
      <c r="AH6157">
        <v>19.063661224151002</v>
      </c>
      <c r="AI6157">
        <v>93.282614402201403</v>
      </c>
      <c r="AJ6157">
        <v>100.853661535965</v>
      </c>
      <c r="AK6157">
        <v>19.442797469335702</v>
      </c>
      <c r="AL6157">
        <v>78.630096362895003</v>
      </c>
      <c r="AM6157">
        <v>93.573600644713096</v>
      </c>
      <c r="AN6157">
        <v>1.00000002192138</v>
      </c>
    </row>
    <row r="6158" spans="1:40" x14ac:dyDescent="0.25">
      <c r="A6158" t="str">
        <f>"20190312173048957"</f>
        <v>20190312173048957</v>
      </c>
      <c r="B6158" t="str">
        <f>"1552383048953528"</f>
        <v>1552383048953528</v>
      </c>
      <c r="C6158" t="s">
        <v>40</v>
      </c>
      <c r="D6158">
        <v>3.0502570000000002</v>
      </c>
      <c r="E6158">
        <v>0.45288689999999998</v>
      </c>
      <c r="F6158" t="s">
        <v>58</v>
      </c>
      <c r="G6158">
        <v>-264.21370000000002</v>
      </c>
      <c r="H6158" s="1">
        <v>-1.6706510000000001E-6</v>
      </c>
      <c r="I6158">
        <v>-63.607300000000002</v>
      </c>
      <c r="J6158">
        <v>-283.7996</v>
      </c>
      <c r="K6158">
        <v>1.1132359999999999</v>
      </c>
      <c r="L6158">
        <v>-61.725009999999997</v>
      </c>
      <c r="M6158">
        <v>0.95953129999999998</v>
      </c>
      <c r="N6158">
        <v>0</v>
      </c>
      <c r="O6158">
        <v>-0.28125309999999998</v>
      </c>
      <c r="P6158">
        <v>0.95827689999999999</v>
      </c>
      <c r="Q6158">
        <v>0.1837374</v>
      </c>
      <c r="R6158">
        <v>-0.2189661</v>
      </c>
      <c r="S6158">
        <v>3.0965579999999999</v>
      </c>
      <c r="T6158">
        <v>-0.17504110000000001</v>
      </c>
      <c r="U6158">
        <v>-0.300537099999999</v>
      </c>
      <c r="V6158">
        <v>-6.0838160000000002E-2</v>
      </c>
      <c r="W6158">
        <v>0.1970326</v>
      </c>
      <c r="X6158">
        <v>0.97850749999999997</v>
      </c>
      <c r="Y6158">
        <v>-0.1865385</v>
      </c>
      <c r="Z6158">
        <v>2.088914E-2</v>
      </c>
      <c r="AA6158">
        <v>0.98222549999999997</v>
      </c>
      <c r="AB6158">
        <v>22</v>
      </c>
      <c r="AC6158">
        <v>19.585899999999899</v>
      </c>
      <c r="AD6158">
        <v>-1.1132376706510001</v>
      </c>
      <c r="AE6158">
        <v>-1.88229</v>
      </c>
      <c r="AF6158">
        <v>-3.69102725863516</v>
      </c>
      <c r="AG6158">
        <v>-1.1132376706510001</v>
      </c>
      <c r="AH6158">
        <v>19.262919474367699</v>
      </c>
      <c r="AI6158">
        <v>93.248574878220595</v>
      </c>
      <c r="AJ6158">
        <v>100.847142898927</v>
      </c>
      <c r="AK6158">
        <v>19.6449242047741</v>
      </c>
      <c r="AL6158">
        <v>78.636513364502207</v>
      </c>
      <c r="AM6158">
        <v>93.557753607827195</v>
      </c>
      <c r="AN6158">
        <v>1.00000002736559</v>
      </c>
    </row>
    <row r="6159" spans="1:40" x14ac:dyDescent="0.25">
      <c r="A6159" t="str">
        <f>"20190312173048970"</f>
        <v>20190312173048970</v>
      </c>
      <c r="B6159" t="str">
        <f>"1552383048964265"</f>
        <v>1552383048964265</v>
      </c>
      <c r="C6159" t="s">
        <v>40</v>
      </c>
      <c r="D6159">
        <v>3.0429940000000002</v>
      </c>
      <c r="E6159">
        <v>0.45303490000000002</v>
      </c>
      <c r="F6159" t="s">
        <v>41</v>
      </c>
      <c r="G6159">
        <v>-263.86219999999997</v>
      </c>
      <c r="H6159" s="1">
        <v>-1.5186439999999999E-6</v>
      </c>
      <c r="I6159">
        <v>-63.602629999999998</v>
      </c>
      <c r="J6159">
        <v>-283.68849999999998</v>
      </c>
      <c r="K6159">
        <v>1.1131660000000001</v>
      </c>
      <c r="L6159">
        <v>-61.754460000000002</v>
      </c>
      <c r="M6159">
        <v>0.9602619</v>
      </c>
      <c r="N6159">
        <v>0</v>
      </c>
      <c r="O6159">
        <v>-0.27874959999999999</v>
      </c>
      <c r="P6159">
        <v>0.95882270000000003</v>
      </c>
      <c r="Q6159">
        <v>0.1834916</v>
      </c>
      <c r="R6159">
        <v>-0.21677170000000001</v>
      </c>
      <c r="S6159">
        <v>3.097137</v>
      </c>
      <c r="T6159">
        <v>-0.17293439999999999</v>
      </c>
      <c r="U6159">
        <v>-0.29168699999999997</v>
      </c>
      <c r="V6159">
        <v>-6.0500129999999999E-2</v>
      </c>
      <c r="W6159">
        <v>0.19678670000000001</v>
      </c>
      <c r="X6159">
        <v>0.9785779</v>
      </c>
      <c r="Y6159">
        <v>-0.18679580000000001</v>
      </c>
      <c r="Z6159">
        <v>2.0511700000000001E-2</v>
      </c>
      <c r="AA6159">
        <v>0.98218459999999996</v>
      </c>
      <c r="AB6159">
        <v>22</v>
      </c>
      <c r="AC6159">
        <v>19.8263</v>
      </c>
      <c r="AD6159">
        <v>-1.113167518644</v>
      </c>
      <c r="AE6159">
        <v>-1.8481700000000101</v>
      </c>
      <c r="AF6159">
        <v>-3.7405232668855701</v>
      </c>
      <c r="AG6159">
        <v>-1.113167518644</v>
      </c>
      <c r="AH6159">
        <v>19.494606316080802</v>
      </c>
      <c r="AI6159">
        <v>93.209690991829206</v>
      </c>
      <c r="AJ6159">
        <v>100.861605594146</v>
      </c>
      <c r="AK6159">
        <v>19.8814066819643</v>
      </c>
      <c r="AL6159">
        <v>78.650883300144002</v>
      </c>
      <c r="AM6159">
        <v>93.5377824261993</v>
      </c>
      <c r="AN6159">
        <v>0.99999998869765805</v>
      </c>
    </row>
    <row r="6160" spans="1:40" x14ac:dyDescent="0.25">
      <c r="A6160" t="str">
        <f>"20190312173048980"</f>
        <v>20190312173048980</v>
      </c>
      <c r="B6160" t="str">
        <f>"1552383048974024"</f>
        <v>1552383048974024</v>
      </c>
      <c r="C6160" t="s">
        <v>40</v>
      </c>
      <c r="D6160">
        <v>3.0067719999999998</v>
      </c>
      <c r="E6160">
        <v>0.45303260000000001</v>
      </c>
      <c r="F6160" t="s">
        <v>58</v>
      </c>
      <c r="G6160">
        <v>-263.98509999999999</v>
      </c>
      <c r="H6160" s="1">
        <v>-1.563511E-6</v>
      </c>
      <c r="I6160">
        <v>-63.573210000000003</v>
      </c>
      <c r="J6160">
        <v>-283.58100000000002</v>
      </c>
      <c r="K6160">
        <v>1.1130960000000001</v>
      </c>
      <c r="L6160">
        <v>-61.782809999999998</v>
      </c>
      <c r="M6160">
        <v>0.96095030000000004</v>
      </c>
      <c r="N6160">
        <v>0</v>
      </c>
      <c r="O6160">
        <v>-0.27636769999999999</v>
      </c>
      <c r="P6160">
        <v>0.95938970000000001</v>
      </c>
      <c r="Q6160">
        <v>0.1831605</v>
      </c>
      <c r="R6160">
        <v>-0.21453120000000001</v>
      </c>
      <c r="S6160">
        <v>3.0977169999999998</v>
      </c>
      <c r="T6160">
        <v>-0.17500879999999999</v>
      </c>
      <c r="U6160">
        <v>-0.28594969999999997</v>
      </c>
      <c r="V6160">
        <v>-6.0340909999999998E-2</v>
      </c>
      <c r="W6160">
        <v>0.1964543</v>
      </c>
      <c r="X6160">
        <v>0.97865449999999998</v>
      </c>
      <c r="Y6160">
        <v>-0.18616830000000001</v>
      </c>
      <c r="Z6160">
        <v>2.06094E-2</v>
      </c>
      <c r="AA6160">
        <v>0.98230170000000006</v>
      </c>
      <c r="AB6160">
        <v>22</v>
      </c>
      <c r="AC6160">
        <v>19.595899999999901</v>
      </c>
      <c r="AD6160">
        <v>-1.1130975635110001</v>
      </c>
      <c r="AE6160">
        <v>-1.79039999999999</v>
      </c>
      <c r="AF6160">
        <v>-3.6837621166703398</v>
      </c>
      <c r="AG6160">
        <v>-1.1130975635110001</v>
      </c>
      <c r="AH6160">
        <v>19.2657363297497</v>
      </c>
      <c r="AI6160">
        <v>93.247935429258007</v>
      </c>
      <c r="AJ6160">
        <v>100.824751739211</v>
      </c>
      <c r="AK6160">
        <v>19.6463148159024</v>
      </c>
      <c r="AL6160">
        <v>78.6703074160977</v>
      </c>
      <c r="AM6160">
        <v>93.528220011757696</v>
      </c>
      <c r="AN6160">
        <v>0.99999997388918305</v>
      </c>
    </row>
    <row r="6161" spans="1:40" x14ac:dyDescent="0.25">
      <c r="A6161" t="str">
        <f>"20190312173048993"</f>
        <v>20190312173048993</v>
      </c>
      <c r="B6161" t="str">
        <f>"1552383048983784"</f>
        <v>1552383048983784</v>
      </c>
      <c r="C6161" t="s">
        <v>40</v>
      </c>
      <c r="D6161">
        <v>2.3761009999999998</v>
      </c>
      <c r="E6161">
        <v>0.45303260000000001</v>
      </c>
      <c r="F6161" t="s">
        <v>41</v>
      </c>
      <c r="G6161">
        <v>-264.08109999999999</v>
      </c>
      <c r="H6161" s="1">
        <v>-1.5952279999999999E-6</v>
      </c>
      <c r="I6161">
        <v>-63.537640000000003</v>
      </c>
      <c r="J6161">
        <v>-283.46769999999998</v>
      </c>
      <c r="K6161">
        <v>1.1130279999999999</v>
      </c>
      <c r="L6161">
        <v>-61.8123199999999</v>
      </c>
      <c r="M6161">
        <v>0.96164720000000004</v>
      </c>
      <c r="N6161">
        <v>0</v>
      </c>
      <c r="O6161">
        <v>-0.27393400000000001</v>
      </c>
      <c r="P6161">
        <v>0.95993070000000003</v>
      </c>
      <c r="Q6161">
        <v>0.1829414</v>
      </c>
      <c r="R6161">
        <v>-0.21228630000000001</v>
      </c>
      <c r="S6161">
        <v>3.0983890000000001</v>
      </c>
      <c r="T6161">
        <v>-0.17686260000000001</v>
      </c>
      <c r="U6161">
        <v>-0.27883909999999901</v>
      </c>
      <c r="V6161">
        <v>-6.012899E-2</v>
      </c>
      <c r="W6161">
        <v>0.1962303</v>
      </c>
      <c r="X6161">
        <v>0.97871249999999999</v>
      </c>
      <c r="Y6161">
        <v>-0.18592510000000001</v>
      </c>
      <c r="Z6161">
        <v>2.068584E-2</v>
      </c>
      <c r="AA6161">
        <v>0.9823461</v>
      </c>
      <c r="AB6161">
        <v>22</v>
      </c>
      <c r="AC6161">
        <v>19.386599999999898</v>
      </c>
      <c r="AD6161">
        <v>-1.113029595228</v>
      </c>
      <c r="AE6161">
        <v>-1.72532000000001</v>
      </c>
      <c r="AF6161">
        <v>-3.6399518580935601</v>
      </c>
      <c r="AG6161">
        <v>-1.113029595228</v>
      </c>
      <c r="AH6161">
        <v>19.055239976902602</v>
      </c>
      <c r="AI6161">
        <v>93.283648952752699</v>
      </c>
      <c r="AJ6161">
        <v>100.814419760425</v>
      </c>
      <c r="AK6161">
        <v>19.431681733355902</v>
      </c>
      <c r="AL6161">
        <v>78.683396649696704</v>
      </c>
      <c r="AM6161">
        <v>93.515652048161002</v>
      </c>
      <c r="AN6161">
        <v>0.99999999186638</v>
      </c>
    </row>
    <row r="6162" spans="1:40" x14ac:dyDescent="0.25">
      <c r="A6162" t="str">
        <f>"20190312173049171"</f>
        <v>20190312173049171</v>
      </c>
      <c r="B6162" t="str">
        <f>"1552383049164199"</f>
        <v>1552383049164199</v>
      </c>
      <c r="C6162" t="s">
        <v>40</v>
      </c>
      <c r="D6162">
        <v>2.9717150000000001</v>
      </c>
      <c r="E6162">
        <v>0.45154739999999999</v>
      </c>
      <c r="F6162" t="s">
        <v>41</v>
      </c>
      <c r="G6162">
        <v>-264.0539</v>
      </c>
      <c r="H6162" s="1">
        <v>-1.577524E-6</v>
      </c>
      <c r="I6162">
        <v>-63.514899999999997</v>
      </c>
      <c r="J6162">
        <v>-281.77229999999997</v>
      </c>
      <c r="K6162">
        <v>1.1124000000000001</v>
      </c>
      <c r="L6162">
        <v>-62.226869999999998</v>
      </c>
      <c r="M6162">
        <v>0.97027019999999997</v>
      </c>
      <c r="N6162">
        <v>0</v>
      </c>
      <c r="O6162">
        <v>-0.241675</v>
      </c>
      <c r="P6162">
        <v>0.96573980000000004</v>
      </c>
      <c r="Q6162">
        <v>0.18328530000000001</v>
      </c>
      <c r="R6162">
        <v>-0.18372060000000001</v>
      </c>
      <c r="S6162">
        <v>3.0989689999999999</v>
      </c>
      <c r="T6162">
        <v>-0.17766940000000001</v>
      </c>
      <c r="U6162">
        <v>-0.27178960000000002</v>
      </c>
      <c r="V6162">
        <v>-5.6221220000000002E-2</v>
      </c>
      <c r="W6162">
        <v>0.19571920000000001</v>
      </c>
      <c r="X6162">
        <v>0.97904709999999995</v>
      </c>
      <c r="Y6162">
        <v>-0.15535599999999999</v>
      </c>
      <c r="Z6162">
        <v>1.8119909999999999E-2</v>
      </c>
      <c r="AA6162">
        <v>0.98769240000000003</v>
      </c>
      <c r="AB6162">
        <v>22</v>
      </c>
      <c r="AC6162">
        <v>17.7183999999999</v>
      </c>
      <c r="AD6162">
        <v>-1.1124015775239999</v>
      </c>
      <c r="AE6162">
        <v>-1.28802999999999</v>
      </c>
      <c r="AF6162">
        <v>-3.0207692410337499</v>
      </c>
      <c r="AG6162">
        <v>-1.1124015775239999</v>
      </c>
      <c r="AH6162">
        <v>17.436033905543098</v>
      </c>
      <c r="AI6162">
        <v>93.597026514875907</v>
      </c>
      <c r="AJ6162">
        <v>99.828853121728699</v>
      </c>
      <c r="AK6162">
        <v>17.730701126365499</v>
      </c>
      <c r="AL6162">
        <v>78.713260003959107</v>
      </c>
      <c r="AM6162">
        <v>93.286567996827202</v>
      </c>
      <c r="AN6162">
        <v>1.0000000274226599</v>
      </c>
    </row>
    <row r="6163" spans="1:40" x14ac:dyDescent="0.25">
      <c r="A6163" t="str">
        <f>"20190312173049181"</f>
        <v>20190312173049181</v>
      </c>
      <c r="B6163" t="str">
        <f>"1552383049173959"</f>
        <v>1552383049173959</v>
      </c>
      <c r="C6163" t="s">
        <v>40</v>
      </c>
      <c r="D6163">
        <v>3.1507610000000001</v>
      </c>
      <c r="E6163">
        <v>0.45088479999999997</v>
      </c>
      <c r="F6163" t="s">
        <v>41</v>
      </c>
      <c r="G6163">
        <v>-263.80990000000003</v>
      </c>
      <c r="H6163" s="1">
        <v>-1.3855929999999999E-6</v>
      </c>
      <c r="I6163">
        <v>-63.186990000000002</v>
      </c>
      <c r="J6163">
        <v>-281.66930000000002</v>
      </c>
      <c r="K6163">
        <v>1.112393</v>
      </c>
      <c r="L6163">
        <v>-62.250399999999999</v>
      </c>
      <c r="M6163">
        <v>0.97073319999999996</v>
      </c>
      <c r="N6163">
        <v>0</v>
      </c>
      <c r="O6163">
        <v>-0.2398139</v>
      </c>
      <c r="P6163">
        <v>0.96608110000000003</v>
      </c>
      <c r="Q6163">
        <v>0.1830888</v>
      </c>
      <c r="R6163">
        <v>-0.18211579999999999</v>
      </c>
      <c r="S6163">
        <v>3.111389</v>
      </c>
      <c r="T6163">
        <v>-0.192686</v>
      </c>
      <c r="U6163">
        <v>-0.16632079999999999</v>
      </c>
      <c r="V6163">
        <v>-5.5979849999999998E-2</v>
      </c>
      <c r="W6163">
        <v>0.195433</v>
      </c>
      <c r="X6163">
        <v>0.97911800000000004</v>
      </c>
      <c r="Y6163">
        <v>-0.1868648</v>
      </c>
      <c r="Z6163">
        <v>2.0470970000000002E-2</v>
      </c>
      <c r="AA6163">
        <v>0.9821723</v>
      </c>
      <c r="AB6163">
        <v>22</v>
      </c>
      <c r="AC6163">
        <v>17.859399999999901</v>
      </c>
      <c r="AD6163">
        <v>-1.1123943855930001</v>
      </c>
      <c r="AE6163">
        <v>-0.93659000000000203</v>
      </c>
      <c r="AF6163">
        <v>-3.3610304032717302</v>
      </c>
      <c r="AG6163">
        <v>-1.1123943855930001</v>
      </c>
      <c r="AH6163">
        <v>17.495093313290901</v>
      </c>
      <c r="AI6163">
        <v>93.572989285429202</v>
      </c>
      <c r="AJ6163">
        <v>100.874755363608</v>
      </c>
      <c r="AK6163">
        <v>17.849712509773699</v>
      </c>
      <c r="AL6163">
        <v>78.729979844025806</v>
      </c>
      <c r="AM6163">
        <v>93.272252320620296</v>
      </c>
      <c r="AN6163">
        <v>0.999999929509508</v>
      </c>
    </row>
    <row r="6164" spans="1:40" x14ac:dyDescent="0.25">
      <c r="A6164" t="str">
        <f>"20190312173049192"</f>
        <v>20190312173049192</v>
      </c>
      <c r="B6164" t="str">
        <f>"1552383049183719"</f>
        <v>1552383049183719</v>
      </c>
      <c r="C6164" t="s">
        <v>40</v>
      </c>
      <c r="D6164">
        <v>2.924636</v>
      </c>
      <c r="E6164">
        <v>0.44995299999999999</v>
      </c>
      <c r="F6164" t="s">
        <v>41</v>
      </c>
      <c r="G6164">
        <v>-263.79469999999998</v>
      </c>
      <c r="H6164" s="1">
        <v>-1.368434E-6</v>
      </c>
      <c r="I6164">
        <v>-63.146920000000001</v>
      </c>
      <c r="J6164">
        <v>-281.56560000000002</v>
      </c>
      <c r="K6164">
        <v>1.1123879999999999</v>
      </c>
      <c r="L6164">
        <v>-62.273800000000001</v>
      </c>
      <c r="M6164">
        <v>0.97119619999999995</v>
      </c>
      <c r="N6164">
        <v>0</v>
      </c>
      <c r="O6164">
        <v>-0.23793639999999999</v>
      </c>
      <c r="P6164">
        <v>0.9664528</v>
      </c>
      <c r="Q6164">
        <v>0.18280969999999999</v>
      </c>
      <c r="R6164">
        <v>-0.18041599999999999</v>
      </c>
      <c r="S6164">
        <v>3.1125790000000002</v>
      </c>
      <c r="T6164">
        <v>-0.1937065</v>
      </c>
      <c r="U6164">
        <v>-0.15612789999999999</v>
      </c>
      <c r="V6164">
        <v>-5.5823480000000002E-2</v>
      </c>
      <c r="W6164">
        <v>0.19505890000000001</v>
      </c>
      <c r="X6164">
        <v>0.97920160000000001</v>
      </c>
      <c r="Y6164">
        <v>-0.18818570000000001</v>
      </c>
      <c r="Z6164">
        <v>2.050186E-2</v>
      </c>
      <c r="AA6164">
        <v>0.98191949999999995</v>
      </c>
      <c r="AB6164">
        <v>22</v>
      </c>
      <c r="AC6164">
        <v>17.770900000000001</v>
      </c>
      <c r="AD6164">
        <v>-1.1123893684339901</v>
      </c>
      <c r="AE6164">
        <v>-0.87311999999999201</v>
      </c>
      <c r="AF6164">
        <v>-3.36748776019629</v>
      </c>
      <c r="AG6164">
        <v>-1.1123893684339901</v>
      </c>
      <c r="AH6164">
        <v>17.4001973139864</v>
      </c>
      <c r="AI6164">
        <v>93.591463369595701</v>
      </c>
      <c r="AJ6164">
        <v>100.95313469555499</v>
      </c>
      <c r="AK6164">
        <v>17.757934859879899</v>
      </c>
      <c r="AL6164">
        <v>78.751835664294404</v>
      </c>
      <c r="AM6164">
        <v>93.262853641238607</v>
      </c>
      <c r="AN6164">
        <v>1.0000000044155399</v>
      </c>
    </row>
    <row r="6165" spans="1:40" x14ac:dyDescent="0.25">
      <c r="A6165" t="str">
        <f>"20190312173049204"</f>
        <v>20190312173049204</v>
      </c>
      <c r="B6165" t="str">
        <f>"1552383049193479"</f>
        <v>1552383049193479</v>
      </c>
      <c r="C6165" t="s">
        <v>40</v>
      </c>
      <c r="D6165">
        <v>2.9063249999999998</v>
      </c>
      <c r="E6165">
        <v>0.44901249999999998</v>
      </c>
      <c r="F6165" t="s">
        <v>41</v>
      </c>
      <c r="G6165">
        <v>-263.77300000000002</v>
      </c>
      <c r="H6165" s="1">
        <v>-1.3447860000000001E-6</v>
      </c>
      <c r="I6165">
        <v>-63.093060000000001</v>
      </c>
      <c r="J6165">
        <v>-281.45490000000001</v>
      </c>
      <c r="K6165">
        <v>1.1123799999999999</v>
      </c>
      <c r="L6165">
        <v>-62.298650000000002</v>
      </c>
      <c r="M6165">
        <v>0.97168710000000003</v>
      </c>
      <c r="N6165">
        <v>0</v>
      </c>
      <c r="O6165">
        <v>-0.23593040000000001</v>
      </c>
      <c r="P6165">
        <v>0.96691930000000004</v>
      </c>
      <c r="Q6165">
        <v>0.18241689999999999</v>
      </c>
      <c r="R6165">
        <v>-0.17830190000000001</v>
      </c>
      <c r="S6165">
        <v>3.114166</v>
      </c>
      <c r="T6165">
        <v>-0.19469739999999999</v>
      </c>
      <c r="U6165">
        <v>-0.1434021</v>
      </c>
      <c r="V6165">
        <v>-5.5963119999999998E-2</v>
      </c>
      <c r="W6165">
        <v>0.1945617</v>
      </c>
      <c r="X6165">
        <v>0.97929250000000001</v>
      </c>
      <c r="Y6165">
        <v>-0.1901774</v>
      </c>
      <c r="Z6165">
        <v>2.0539890000000002E-2</v>
      </c>
      <c r="AA6165">
        <v>0.98153480000000004</v>
      </c>
      <c r="AB6165">
        <v>22</v>
      </c>
      <c r="AC6165">
        <v>17.681899999999999</v>
      </c>
      <c r="AD6165">
        <v>-1.11238134478599</v>
      </c>
      <c r="AE6165">
        <v>-0.79440999999999196</v>
      </c>
      <c r="AF6165">
        <v>-3.3866768944427301</v>
      </c>
      <c r="AG6165">
        <v>-1.11238134478599</v>
      </c>
      <c r="AH6165">
        <v>17.301759894059799</v>
      </c>
      <c r="AI6165">
        <v>93.610324133436606</v>
      </c>
      <c r="AJ6165">
        <v>101.075146034672</v>
      </c>
      <c r="AK6165">
        <v>17.665159724023901</v>
      </c>
      <c r="AL6165">
        <v>78.780879112200594</v>
      </c>
      <c r="AM6165">
        <v>93.270694864816406</v>
      </c>
      <c r="AN6165">
        <v>0.99999996323163598</v>
      </c>
    </row>
    <row r="6166" spans="1:40" x14ac:dyDescent="0.25">
      <c r="A6166" t="str">
        <f>"20190312173049213"</f>
        <v>20190312173049213</v>
      </c>
      <c r="B6166" t="str">
        <f>"1552383049204216"</f>
        <v>1552383049204216</v>
      </c>
      <c r="C6166" t="s">
        <v>40</v>
      </c>
      <c r="D6166">
        <v>3.0815100000000002</v>
      </c>
      <c r="E6166">
        <v>0.4486096</v>
      </c>
      <c r="F6166" t="s">
        <v>41</v>
      </c>
      <c r="G6166">
        <v>-263.68770000000001</v>
      </c>
      <c r="H6166" s="1">
        <v>-1.292901E-6</v>
      </c>
      <c r="I6166">
        <v>-63.035600000000002</v>
      </c>
      <c r="J6166">
        <v>-281.35160000000002</v>
      </c>
      <c r="K6166">
        <v>1.1123809999999901</v>
      </c>
      <c r="L6166">
        <v>-62.321469999999998</v>
      </c>
      <c r="M6166">
        <v>0.97214259999999997</v>
      </c>
      <c r="N6166">
        <v>0</v>
      </c>
      <c r="O6166">
        <v>-0.2340517</v>
      </c>
      <c r="P6166">
        <v>0.96731820000000002</v>
      </c>
      <c r="Q6166">
        <v>0.18226200000000001</v>
      </c>
      <c r="R6166">
        <v>-0.176285</v>
      </c>
      <c r="S6166">
        <v>3.1156009999999998</v>
      </c>
      <c r="T6166">
        <v>-0.1950635</v>
      </c>
      <c r="U6166">
        <v>-0.12924189999999999</v>
      </c>
      <c r="V6166">
        <v>-5.6123880000000001E-2</v>
      </c>
      <c r="W6166">
        <v>0.19430259999999999</v>
      </c>
      <c r="X6166">
        <v>0.97933479999999995</v>
      </c>
      <c r="Y6166">
        <v>-0.19274820000000001</v>
      </c>
      <c r="Z6166">
        <v>2.053872E-2</v>
      </c>
      <c r="AA6166">
        <v>0.9810333</v>
      </c>
      <c r="AB6166">
        <v>22</v>
      </c>
      <c r="AC6166">
        <v>17.663900000000002</v>
      </c>
      <c r="AD6166">
        <v>-1.1123822929010001</v>
      </c>
      <c r="AE6166">
        <v>-0.71413000000000404</v>
      </c>
      <c r="AF6166">
        <v>-3.4267347011862199</v>
      </c>
      <c r="AG6166">
        <v>-1.1123822929010001</v>
      </c>
      <c r="AH6166">
        <v>17.2719618487729</v>
      </c>
      <c r="AI6166">
        <v>93.614721773886401</v>
      </c>
      <c r="AJ6166">
        <v>101.221686153498</v>
      </c>
      <c r="AK6166">
        <v>17.643711944580801</v>
      </c>
      <c r="AL6166">
        <v>78.796013918619195</v>
      </c>
      <c r="AM6166">
        <v>93.279928432246905</v>
      </c>
      <c r="AN6166">
        <v>1.0000000203820201</v>
      </c>
    </row>
    <row r="6167" spans="1:40" x14ac:dyDescent="0.25">
      <c r="A6167" t="str">
        <f>"20190312173049225"</f>
        <v>20190312173049225</v>
      </c>
      <c r="B6167" t="str">
        <f>"1552383049213976"</f>
        <v>1552383049213976</v>
      </c>
      <c r="C6167" t="s">
        <v>40</v>
      </c>
      <c r="D6167">
        <v>2.9353910000000001</v>
      </c>
      <c r="E6167">
        <v>0.44787549999999998</v>
      </c>
      <c r="F6167" t="s">
        <v>41</v>
      </c>
      <c r="G6167">
        <v>-263.64120000000003</v>
      </c>
      <c r="H6167" s="1">
        <v>-1.2639099999999999E-6</v>
      </c>
      <c r="I6167">
        <v>-63.00159</v>
      </c>
      <c r="J6167">
        <v>-281.24959999999999</v>
      </c>
      <c r="K6167">
        <v>1.1123799999999999</v>
      </c>
      <c r="L6167">
        <v>-62.34393</v>
      </c>
      <c r="M6167">
        <v>0.97258940000000005</v>
      </c>
      <c r="N6167">
        <v>0</v>
      </c>
      <c r="O6167">
        <v>-0.23219300000000001</v>
      </c>
      <c r="P6167">
        <v>0.96756330000000002</v>
      </c>
      <c r="Q6167">
        <v>0.18250640000000001</v>
      </c>
      <c r="R6167">
        <v>-0.17468020000000001</v>
      </c>
      <c r="S6167">
        <v>3.116425</v>
      </c>
      <c r="T6167">
        <v>-0.1957412</v>
      </c>
      <c r="U6167">
        <v>-0.1196899</v>
      </c>
      <c r="V6167">
        <v>-5.5871499999999998E-2</v>
      </c>
      <c r="W6167">
        <v>0.1944457</v>
      </c>
      <c r="X6167">
        <v>0.97932079999999999</v>
      </c>
      <c r="Y6167">
        <v>-0.193881</v>
      </c>
      <c r="Z6167">
        <v>2.052874E-2</v>
      </c>
      <c r="AA6167">
        <v>0.98081019999999997</v>
      </c>
      <c r="AB6167">
        <v>22</v>
      </c>
      <c r="AC6167">
        <v>17.6083999999999</v>
      </c>
      <c r="AD6167">
        <v>-1.1123812639099999</v>
      </c>
      <c r="AE6167">
        <v>-0.65765999999999203</v>
      </c>
      <c r="AF6167">
        <v>-3.4354920866160801</v>
      </c>
      <c r="AG6167">
        <v>-1.1123812639099999</v>
      </c>
      <c r="AH6167">
        <v>17.211205453339399</v>
      </c>
      <c r="AI6167">
        <v>93.626607278483604</v>
      </c>
      <c r="AJ6167">
        <v>101.288327665399</v>
      </c>
      <c r="AK6167">
        <v>17.585948683837302</v>
      </c>
      <c r="AL6167">
        <v>78.787655154102396</v>
      </c>
      <c r="AM6167">
        <v>93.265257687850095</v>
      </c>
      <c r="AN6167">
        <v>0.99999999203668999</v>
      </c>
    </row>
    <row r="6168" spans="1:40" x14ac:dyDescent="0.25">
      <c r="A6168" t="str">
        <f>"20190312173049236"</f>
        <v>20190312173049236</v>
      </c>
      <c r="B6168" t="str">
        <f>"1552383049233495"</f>
        <v>1552383049233495</v>
      </c>
      <c r="C6168" t="s">
        <v>40</v>
      </c>
      <c r="D6168">
        <v>2.9863520000000001</v>
      </c>
      <c r="E6168">
        <v>0.44668229999999998</v>
      </c>
      <c r="F6168" t="s">
        <v>41</v>
      </c>
      <c r="G6168">
        <v>-263.42590000000001</v>
      </c>
      <c r="H6168" s="1">
        <v>-1.1619949999999999E-6</v>
      </c>
      <c r="I6168">
        <v>-62.965690000000002</v>
      </c>
      <c r="J6168">
        <v>-281.13810000000001</v>
      </c>
      <c r="K6168">
        <v>1.112385</v>
      </c>
      <c r="L6168">
        <v>-62.368160000000003</v>
      </c>
      <c r="M6168">
        <v>0.97307549999999998</v>
      </c>
      <c r="N6168">
        <v>0</v>
      </c>
      <c r="O6168">
        <v>-0.23015440000000001</v>
      </c>
      <c r="P6168">
        <v>0.96789539999999996</v>
      </c>
      <c r="Q6168">
        <v>0.18282599999999999</v>
      </c>
      <c r="R6168">
        <v>-0.1724918</v>
      </c>
      <c r="S6168">
        <v>3.1176149999999998</v>
      </c>
      <c r="T6168">
        <v>-0.1945713</v>
      </c>
      <c r="U6168">
        <v>-0.1087646</v>
      </c>
      <c r="V6168">
        <v>-5.6027979999999998E-2</v>
      </c>
      <c r="W6168">
        <v>0.1946483</v>
      </c>
      <c r="X6168">
        <v>0.97927169999999997</v>
      </c>
      <c r="Y6168">
        <v>-0.19528319999999999</v>
      </c>
      <c r="Z6168">
        <v>2.03208E-2</v>
      </c>
      <c r="AA6168">
        <v>0.98053630000000003</v>
      </c>
      <c r="AB6168">
        <v>22</v>
      </c>
      <c r="AC6168">
        <v>17.7121999999999</v>
      </c>
      <c r="AD6168">
        <v>-1.112386161995</v>
      </c>
      <c r="AE6168">
        <v>-0.597530000000006</v>
      </c>
      <c r="AF6168">
        <v>-3.48164946809738</v>
      </c>
      <c r="AG6168">
        <v>-1.112386161995</v>
      </c>
      <c r="AH6168">
        <v>17.305979626054999</v>
      </c>
      <c r="AI6168">
        <v>93.605724302312893</v>
      </c>
      <c r="AJ6168">
        <v>101.375029742675</v>
      </c>
      <c r="AK6168">
        <v>17.687741992960301</v>
      </c>
      <c r="AL6168">
        <v>78.775821901396597</v>
      </c>
      <c r="AM6168">
        <v>93.274546682388305</v>
      </c>
      <c r="AN6168">
        <v>1.0000000788283201</v>
      </c>
    </row>
    <row r="6169" spans="1:40" x14ac:dyDescent="0.25">
      <c r="A6169" t="str">
        <f>"20190312173049248"</f>
        <v>20190312173049248</v>
      </c>
      <c r="B6169" t="str">
        <f>"1552383049244230"</f>
        <v>1552383049244230</v>
      </c>
      <c r="C6169" t="s">
        <v>40</v>
      </c>
      <c r="D6169">
        <v>3.0855649999999999</v>
      </c>
      <c r="E6169">
        <v>0.44630910000000001</v>
      </c>
      <c r="F6169" t="s">
        <v>41</v>
      </c>
      <c r="G6169">
        <v>-263.12459999999999</v>
      </c>
      <c r="H6169" s="1">
        <v>-1.0148049999999999E-6</v>
      </c>
      <c r="I6169">
        <v>-62.898350000000001</v>
      </c>
      <c r="J6169">
        <v>-281.02659999999997</v>
      </c>
      <c r="K6169">
        <v>1.112382</v>
      </c>
      <c r="L6169">
        <v>-62.392180000000003</v>
      </c>
      <c r="M6169">
        <v>0.97355840000000005</v>
      </c>
      <c r="N6169">
        <v>0</v>
      </c>
      <c r="O6169">
        <v>-0.2281089</v>
      </c>
      <c r="P6169">
        <v>0.96814489999999997</v>
      </c>
      <c r="Q6169">
        <v>0.1834336</v>
      </c>
      <c r="R6169">
        <v>-0.1704338</v>
      </c>
      <c r="S6169">
        <v>3.1195369999999998</v>
      </c>
      <c r="T6169">
        <v>-0.19264010000000001</v>
      </c>
      <c r="U6169">
        <v>-9.1827389999999995E-2</v>
      </c>
      <c r="V6169">
        <v>-5.6033619999999999E-2</v>
      </c>
      <c r="W6169">
        <v>0.19513800000000001</v>
      </c>
      <c r="X6169">
        <v>0.97917379999999998</v>
      </c>
      <c r="Y6169">
        <v>-0.19857469999999999</v>
      </c>
      <c r="Z6169">
        <v>2.008923E-2</v>
      </c>
      <c r="AA6169">
        <v>0.97987990000000003</v>
      </c>
      <c r="AB6169">
        <v>22</v>
      </c>
      <c r="AC6169">
        <v>17.901999999999902</v>
      </c>
      <c r="AD6169">
        <v>-1.112383014805</v>
      </c>
      <c r="AE6169">
        <v>-0.50616999999999701</v>
      </c>
      <c r="AF6169">
        <v>-3.5772884199006398</v>
      </c>
      <c r="AG6169">
        <v>-1.112383014805</v>
      </c>
      <c r="AH6169">
        <v>17.477994045951501</v>
      </c>
      <c r="AI6169">
        <v>93.567896936126203</v>
      </c>
      <c r="AJ6169">
        <v>101.567191983646</v>
      </c>
      <c r="AK6169">
        <v>17.874973126723798</v>
      </c>
      <c r="AL6169">
        <v>78.747214357655196</v>
      </c>
      <c r="AM6169">
        <v>93.275202310560005</v>
      </c>
      <c r="AN6169">
        <v>0.99999996811037095</v>
      </c>
    </row>
    <row r="6170" spans="1:40" x14ac:dyDescent="0.25">
      <c r="A6170" t="str">
        <f>"20190312173049258"</f>
        <v>20190312173049258</v>
      </c>
      <c r="B6170" t="str">
        <f>"1552383049253991"</f>
        <v>1552383049253991</v>
      </c>
      <c r="C6170" t="s">
        <v>40</v>
      </c>
      <c r="D6170">
        <v>3.1141000000000001</v>
      </c>
      <c r="E6170">
        <v>0.44594299999999998</v>
      </c>
      <c r="F6170" t="s">
        <v>41</v>
      </c>
      <c r="G6170">
        <v>-262.7688</v>
      </c>
      <c r="H6170" s="1">
        <v>-8.5495209999999996E-7</v>
      </c>
      <c r="I6170">
        <v>-62.871200000000002</v>
      </c>
      <c r="J6170">
        <v>-280.92079999999999</v>
      </c>
      <c r="K6170">
        <v>1.1123799999999999</v>
      </c>
      <c r="L6170">
        <v>-62.414760000000001</v>
      </c>
      <c r="M6170">
        <v>0.97401340000000003</v>
      </c>
      <c r="N6170">
        <v>0</v>
      </c>
      <c r="O6170">
        <v>-0.2261647</v>
      </c>
      <c r="P6170">
        <v>0.96846810000000005</v>
      </c>
      <c r="Q6170">
        <v>0.18379499999999999</v>
      </c>
      <c r="R6170">
        <v>-0.16819300000000001</v>
      </c>
      <c r="S6170">
        <v>3.1202999999999999</v>
      </c>
      <c r="T6170">
        <v>-0.19010930000000001</v>
      </c>
      <c r="U6170">
        <v>-8.1878660000000006E-2</v>
      </c>
      <c r="V6170">
        <v>-5.6336650000000002E-2</v>
      </c>
      <c r="W6170">
        <v>0.19538349999999999</v>
      </c>
      <c r="X6170">
        <v>0.97910750000000002</v>
      </c>
      <c r="Y6170">
        <v>-0.19976910000000001</v>
      </c>
      <c r="Z6170">
        <v>1.974366E-2</v>
      </c>
      <c r="AA6170">
        <v>0.97964410000000002</v>
      </c>
      <c r="AB6170">
        <v>22</v>
      </c>
      <c r="AC6170">
        <v>18.151999999999902</v>
      </c>
      <c r="AD6170">
        <v>-1.1123808549520999</v>
      </c>
      <c r="AE6170">
        <v>-0.45644000000000001</v>
      </c>
      <c r="AF6170">
        <v>-3.6473441928094799</v>
      </c>
      <c r="AG6170">
        <v>-1.1123808549520999</v>
      </c>
      <c r="AH6170">
        <v>17.718335193681501</v>
      </c>
      <c r="AI6170">
        <v>93.518801538952005</v>
      </c>
      <c r="AJ6170">
        <v>101.631932903482</v>
      </c>
      <c r="AK6170">
        <v>18.124014810823098</v>
      </c>
      <c r="AL6170">
        <v>78.732872692597994</v>
      </c>
      <c r="AM6170">
        <v>93.293098228833898</v>
      </c>
      <c r="AN6170">
        <v>1.00000001338086</v>
      </c>
    </row>
    <row r="6171" spans="1:40" x14ac:dyDescent="0.25">
      <c r="A6171" t="str">
        <f>"20190312173049270"</f>
        <v>20190312173049270</v>
      </c>
      <c r="B6171" t="str">
        <f>"1552383049263751"</f>
        <v>1552383049263751</v>
      </c>
      <c r="C6171" t="s">
        <v>40</v>
      </c>
      <c r="D6171">
        <v>3.0790470000000001</v>
      </c>
      <c r="E6171">
        <v>0.44557910000000001</v>
      </c>
      <c r="F6171" t="s">
        <v>41</v>
      </c>
      <c r="G6171">
        <v>-262.53530000000001</v>
      </c>
      <c r="H6171" s="1">
        <v>-7.454465E-7</v>
      </c>
      <c r="I6171">
        <v>-62.8360699999999</v>
      </c>
      <c r="J6171">
        <v>-280.8143</v>
      </c>
      <c r="K6171">
        <v>1.112379</v>
      </c>
      <c r="L6171">
        <v>-62.437260000000002</v>
      </c>
      <c r="M6171">
        <v>0.97446840000000001</v>
      </c>
      <c r="N6171">
        <v>0</v>
      </c>
      <c r="O6171">
        <v>-0.2242026</v>
      </c>
      <c r="P6171">
        <v>0.96876229999999997</v>
      </c>
      <c r="Q6171">
        <v>0.1839239</v>
      </c>
      <c r="R6171">
        <v>-0.16634889999999999</v>
      </c>
      <c r="S6171">
        <v>3.121124</v>
      </c>
      <c r="T6171">
        <v>-0.18883839999999999</v>
      </c>
      <c r="U6171">
        <v>-7.1533200000000005E-2</v>
      </c>
      <c r="V6171">
        <v>-5.6228180000000003E-2</v>
      </c>
      <c r="W6171">
        <v>0.19539699999999999</v>
      </c>
      <c r="X6171">
        <v>0.97911099999999995</v>
      </c>
      <c r="Y6171">
        <v>-0.2010593</v>
      </c>
      <c r="Z6171">
        <v>1.9531699999999999E-2</v>
      </c>
      <c r="AA6171">
        <v>0.97938440000000004</v>
      </c>
      <c r="AB6171">
        <v>22</v>
      </c>
      <c r="AC6171">
        <v>18.279</v>
      </c>
      <c r="AD6171">
        <v>-1.1123797454465001</v>
      </c>
      <c r="AE6171">
        <v>-0.398809999999997</v>
      </c>
      <c r="AF6171">
        <v>-3.6961578281902101</v>
      </c>
      <c r="AG6171">
        <v>-1.1123797454465001</v>
      </c>
      <c r="AH6171">
        <v>17.8369897667035</v>
      </c>
      <c r="AI6171">
        <v>93.494504411732606</v>
      </c>
      <c r="AJ6171">
        <v>101.70706809823599</v>
      </c>
      <c r="AK6171">
        <v>18.249854117950001</v>
      </c>
      <c r="AL6171">
        <v>78.732083537872896</v>
      </c>
      <c r="AM6171">
        <v>93.2867599225509</v>
      </c>
      <c r="AN6171">
        <v>0.99999997307805499</v>
      </c>
    </row>
    <row r="6172" spans="1:40" x14ac:dyDescent="0.25">
      <c r="A6172" t="str">
        <f>"20190312173049281"</f>
        <v>20190312173049281</v>
      </c>
      <c r="B6172" t="str">
        <f>"1552383049273511"</f>
        <v>1552383049273511</v>
      </c>
      <c r="C6172" t="s">
        <v>40</v>
      </c>
      <c r="D6172">
        <v>3.2254860000000001</v>
      </c>
      <c r="E6172">
        <v>0.44523249999999998</v>
      </c>
      <c r="F6172" t="s">
        <v>41</v>
      </c>
      <c r="G6172">
        <v>-262.35309999999998</v>
      </c>
      <c r="H6172" s="1">
        <v>-6.5976109999999899E-7</v>
      </c>
      <c r="I6172">
        <v>-62.80789</v>
      </c>
      <c r="J6172">
        <v>-280.7038</v>
      </c>
      <c r="K6172">
        <v>1.1123730000000001</v>
      </c>
      <c r="L6172">
        <v>-62.460389999999997</v>
      </c>
      <c r="M6172">
        <v>0.97493620000000003</v>
      </c>
      <c r="N6172">
        <v>0</v>
      </c>
      <c r="O6172">
        <v>-0.222166</v>
      </c>
      <c r="P6172">
        <v>0.96912089999999995</v>
      </c>
      <c r="Q6172">
        <v>0.18417269999999999</v>
      </c>
      <c r="R6172">
        <v>-0.16396729999999901</v>
      </c>
      <c r="S6172">
        <v>3.1216740000000001</v>
      </c>
      <c r="T6172">
        <v>-0.1880964</v>
      </c>
      <c r="U6172">
        <v>-6.268311E-2</v>
      </c>
      <c r="V6172">
        <v>-5.6584820000000001E-2</v>
      </c>
      <c r="W6172">
        <v>0.1955219</v>
      </c>
      <c r="X6172">
        <v>0.97906550000000003</v>
      </c>
      <c r="Y6172">
        <v>-0.20180010000000001</v>
      </c>
      <c r="Z6172">
        <v>1.9355549999999999E-2</v>
      </c>
      <c r="AA6172">
        <v>0.97923550000000004</v>
      </c>
      <c r="AB6172">
        <v>22</v>
      </c>
      <c r="AC6172">
        <v>18.3507</v>
      </c>
      <c r="AD6172">
        <v>-1.1123736597611</v>
      </c>
      <c r="AE6172">
        <v>-0.34749999999999598</v>
      </c>
      <c r="AF6172">
        <v>-3.7246946946666299</v>
      </c>
      <c r="AG6172">
        <v>-1.1123736597611</v>
      </c>
      <c r="AH6172">
        <v>17.903474931650202</v>
      </c>
      <c r="AI6172">
        <v>93.480970561604096</v>
      </c>
      <c r="AJ6172">
        <v>101.752351417398</v>
      </c>
      <c r="AK6172">
        <v>18.320620632381299</v>
      </c>
      <c r="AL6172">
        <v>78.724786333972006</v>
      </c>
      <c r="AM6172">
        <v>93.307714175370805</v>
      </c>
      <c r="AN6172">
        <v>0.99999995426214505</v>
      </c>
    </row>
    <row r="6173" spans="1:40" x14ac:dyDescent="0.25">
      <c r="A6173" t="str">
        <f>"20190312173049293"</f>
        <v>20190312173049293</v>
      </c>
      <c r="B6173" t="str">
        <f>"1552383049284247"</f>
        <v>1552383049284247</v>
      </c>
      <c r="C6173" t="s">
        <v>40</v>
      </c>
      <c r="D6173">
        <v>3.1047509999999998</v>
      </c>
      <c r="E6173">
        <v>0.444992</v>
      </c>
      <c r="F6173" t="s">
        <v>58</v>
      </c>
      <c r="G6173">
        <v>-262.16879999999998</v>
      </c>
      <c r="H6173" s="1">
        <v>-5.7069260000000004E-7</v>
      </c>
      <c r="I6173">
        <v>-62.77028</v>
      </c>
      <c r="J6173">
        <v>-280.59989999999999</v>
      </c>
      <c r="K6173">
        <v>1.112366</v>
      </c>
      <c r="L6173">
        <v>-62.481870000000001</v>
      </c>
      <c r="M6173">
        <v>0.97537359999999995</v>
      </c>
      <c r="N6173">
        <v>0</v>
      </c>
      <c r="O6173">
        <v>-0.2202441</v>
      </c>
      <c r="P6173">
        <v>0.96952530000000003</v>
      </c>
      <c r="Q6173">
        <v>0.18395149999999999</v>
      </c>
      <c r="R6173">
        <v>-0.16181010000000001</v>
      </c>
      <c r="S6173">
        <v>3.1223749999999999</v>
      </c>
      <c r="T6173">
        <v>-0.1873879</v>
      </c>
      <c r="U6173">
        <v>-5.2215579999999998E-2</v>
      </c>
      <c r="V6173">
        <v>-5.6845979999999997E-2</v>
      </c>
      <c r="W6173">
        <v>0.19518240000000001</v>
      </c>
      <c r="X6173">
        <v>0.97911820000000005</v>
      </c>
      <c r="Y6173">
        <v>-0.2031626</v>
      </c>
      <c r="Z6173">
        <v>1.920819E-2</v>
      </c>
      <c r="AA6173">
        <v>0.97895659999999896</v>
      </c>
      <c r="AB6173">
        <v>22</v>
      </c>
      <c r="AC6173">
        <v>18.431100000000001</v>
      </c>
      <c r="AD6173">
        <v>-1.1123665706926</v>
      </c>
      <c r="AE6173">
        <v>-0.28841000000001299</v>
      </c>
      <c r="AF6173">
        <v>-3.7645869445617501</v>
      </c>
      <c r="AG6173">
        <v>-1.1123665706926</v>
      </c>
      <c r="AH6173">
        <v>17.976519304480199</v>
      </c>
      <c r="AI6173">
        <v>93.465888628965104</v>
      </c>
      <c r="AJ6173">
        <v>101.827777313349</v>
      </c>
      <c r="AK6173">
        <v>18.400128275506901</v>
      </c>
      <c r="AL6173">
        <v>78.744621393741994</v>
      </c>
      <c r="AM6173">
        <v>93.322767922142106</v>
      </c>
      <c r="AN6173">
        <v>1.00000004214157</v>
      </c>
    </row>
    <row r="6174" spans="1:40" x14ac:dyDescent="0.25">
      <c r="A6174" t="str">
        <f>"20190312173049303"</f>
        <v>20190312173049303</v>
      </c>
      <c r="B6174" t="str">
        <f>"1552383049294007"</f>
        <v>1552383049294007</v>
      </c>
      <c r="C6174" t="s">
        <v>40</v>
      </c>
      <c r="D6174">
        <v>3.1449370000000001</v>
      </c>
      <c r="E6174">
        <v>0.44479419999999997</v>
      </c>
      <c r="F6174" t="s">
        <v>41</v>
      </c>
      <c r="G6174">
        <v>-262.14679999999998</v>
      </c>
      <c r="H6174" s="1">
        <v>-5.5281100000000001E-7</v>
      </c>
      <c r="I6174">
        <v>-62.738610000000001</v>
      </c>
      <c r="J6174">
        <v>-280.49299999999999</v>
      </c>
      <c r="K6174">
        <v>1.112358</v>
      </c>
      <c r="L6174">
        <v>-62.50385</v>
      </c>
      <c r="M6174">
        <v>0.97581960000000001</v>
      </c>
      <c r="N6174">
        <v>0</v>
      </c>
      <c r="O6174">
        <v>-0.2182665</v>
      </c>
      <c r="P6174">
        <v>0.96992310000000004</v>
      </c>
      <c r="Q6174">
        <v>0.18381719999999999</v>
      </c>
      <c r="R6174">
        <v>-0.15956489999999901</v>
      </c>
      <c r="S6174">
        <v>3.1227719999999999</v>
      </c>
      <c r="T6174">
        <v>-0.18824270000000001</v>
      </c>
      <c r="U6174">
        <v>-4.3457030000000001E-2</v>
      </c>
      <c r="V6174">
        <v>-5.7137019999999997E-2</v>
      </c>
      <c r="W6174">
        <v>0.19492519999999999</v>
      </c>
      <c r="X6174">
        <v>0.97915240000000003</v>
      </c>
      <c r="Y6174">
        <v>-0.20392009999999999</v>
      </c>
      <c r="Z6174">
        <v>1.920065E-2</v>
      </c>
      <c r="AA6174">
        <v>0.97879919999999998</v>
      </c>
      <c r="AB6174">
        <v>22</v>
      </c>
      <c r="AC6174">
        <v>18.3462</v>
      </c>
      <c r="AD6174">
        <v>-1.112358552811</v>
      </c>
      <c r="AE6174">
        <v>-0.234759999999994</v>
      </c>
      <c r="AF6174">
        <v>-3.7617074338798799</v>
      </c>
      <c r="AG6174">
        <v>-1.112358552811</v>
      </c>
      <c r="AH6174">
        <v>17.889287802336799</v>
      </c>
      <c r="AI6174">
        <v>93.4821217952979</v>
      </c>
      <c r="AJ6174">
        <v>101.874983958588</v>
      </c>
      <c r="AK6174">
        <v>18.314322330977799</v>
      </c>
      <c r="AL6174">
        <v>78.759645383708701</v>
      </c>
      <c r="AM6174">
        <v>93.339625029578102</v>
      </c>
      <c r="AN6174">
        <v>0.99999994753763799</v>
      </c>
    </row>
    <row r="6175" spans="1:40" x14ac:dyDescent="0.25">
      <c r="A6175" t="str">
        <f>"20190312173049315"</f>
        <v>20190312173049315</v>
      </c>
      <c r="B6175" t="str">
        <f>"1552383049303767"</f>
        <v>1552383049303767</v>
      </c>
      <c r="C6175" t="s">
        <v>40</v>
      </c>
      <c r="D6175">
        <v>3.1470030000000002</v>
      </c>
      <c r="E6175">
        <v>0.44459989999999999</v>
      </c>
      <c r="F6175" t="s">
        <v>41</v>
      </c>
      <c r="G6175">
        <v>-262.03019999999998</v>
      </c>
      <c r="H6175" s="1">
        <v>-4.950903E-7</v>
      </c>
      <c r="I6175">
        <v>-62.709629999999997</v>
      </c>
      <c r="J6175">
        <v>-280.37520000000001</v>
      </c>
      <c r="K6175">
        <v>1.1123479999999999</v>
      </c>
      <c r="L6175">
        <v>-62.527650000000001</v>
      </c>
      <c r="M6175">
        <v>0.97630600000000001</v>
      </c>
      <c r="N6175">
        <v>0</v>
      </c>
      <c r="O6175">
        <v>-0.2160868</v>
      </c>
      <c r="P6175">
        <v>0.97029759999999998</v>
      </c>
      <c r="Q6175">
        <v>0.1838214</v>
      </c>
      <c r="R6175">
        <v>-0.15726509999999999</v>
      </c>
      <c r="S6175">
        <v>3.122986</v>
      </c>
      <c r="T6175">
        <v>-0.18815570000000001</v>
      </c>
      <c r="U6175">
        <v>-3.482056E-2</v>
      </c>
      <c r="V6175">
        <v>-5.7275359999999997E-2</v>
      </c>
      <c r="W6175">
        <v>0.19479279999999999</v>
      </c>
      <c r="X6175">
        <v>0.97917069999999995</v>
      </c>
      <c r="Y6175">
        <v>-0.20444480000000001</v>
      </c>
      <c r="Z6175">
        <v>1.907886E-2</v>
      </c>
      <c r="AA6175">
        <v>0.97869220000000001</v>
      </c>
      <c r="AB6175">
        <v>22</v>
      </c>
      <c r="AC6175">
        <v>18.344999999999999</v>
      </c>
      <c r="AD6175">
        <v>-1.1123484950903</v>
      </c>
      <c r="AE6175">
        <v>-0.181980000000002</v>
      </c>
      <c r="AF6175">
        <v>-3.7728263664616901</v>
      </c>
      <c r="AG6175">
        <v>-1.1123484950903</v>
      </c>
      <c r="AH6175">
        <v>17.885101734005801</v>
      </c>
      <c r="AI6175">
        <v>93.482433335315804</v>
      </c>
      <c r="AJ6175">
        <v>101.911791181176</v>
      </c>
      <c r="AK6175">
        <v>18.312520361810801</v>
      </c>
      <c r="AL6175">
        <v>78.767379978595699</v>
      </c>
      <c r="AM6175">
        <v>93.347630129030307</v>
      </c>
      <c r="AN6175">
        <v>0.99999998076672902</v>
      </c>
    </row>
    <row r="6176" spans="1:40" x14ac:dyDescent="0.25">
      <c r="A6176" t="str">
        <f>"20190312173049327"</f>
        <v>20190312173049327</v>
      </c>
      <c r="B6176" t="str">
        <f>"1552383049324263"</f>
        <v>1552383049324263</v>
      </c>
      <c r="C6176" t="s">
        <v>40</v>
      </c>
      <c r="D6176">
        <v>3.1575479999999998</v>
      </c>
      <c r="E6176">
        <v>0.44437660000000001</v>
      </c>
      <c r="F6176" t="s">
        <v>41</v>
      </c>
      <c r="G6176">
        <v>-261.93239999999997</v>
      </c>
      <c r="H6176" s="1">
        <v>-4.4556350000000002E-7</v>
      </c>
      <c r="I6176">
        <v>-62.681109999999997</v>
      </c>
      <c r="J6176">
        <v>-280.26990000000001</v>
      </c>
      <c r="K6176">
        <v>1.1123400000000001</v>
      </c>
      <c r="L6176">
        <v>-62.548769999999998</v>
      </c>
      <c r="M6176">
        <v>0.97673679999999996</v>
      </c>
      <c r="N6176">
        <v>0</v>
      </c>
      <c r="O6176">
        <v>-0.21413779999999999</v>
      </c>
      <c r="P6176">
        <v>0.97053020000000001</v>
      </c>
      <c r="Q6176">
        <v>0.1842096</v>
      </c>
      <c r="R6176">
        <v>-0.155365</v>
      </c>
      <c r="S6176">
        <v>3.1233520000000001</v>
      </c>
      <c r="T6176">
        <v>-0.18837999999999999</v>
      </c>
      <c r="U6176">
        <v>-2.600098E-2</v>
      </c>
      <c r="V6176">
        <v>-5.7227449999999999E-2</v>
      </c>
      <c r="W6176">
        <v>0.19505890000000001</v>
      </c>
      <c r="X6176">
        <v>0.97912060000000001</v>
      </c>
      <c r="Y6176">
        <v>-0.20525579999999999</v>
      </c>
      <c r="Z6176">
        <v>1.9009720000000001E-2</v>
      </c>
      <c r="AA6176">
        <v>0.9785237</v>
      </c>
      <c r="AB6176">
        <v>22</v>
      </c>
      <c r="AC6176">
        <v>18.337499999999999</v>
      </c>
      <c r="AD6176">
        <v>-1.1123404455635</v>
      </c>
      <c r="AE6176">
        <v>-0.13233999999999899</v>
      </c>
      <c r="AF6176">
        <v>-3.7838158195434</v>
      </c>
      <c r="AG6176">
        <v>-1.1123404455635</v>
      </c>
      <c r="AH6176">
        <v>17.874650938730799</v>
      </c>
      <c r="AI6176">
        <v>93.483920289347594</v>
      </c>
      <c r="AJ6176">
        <v>101.95227575595101</v>
      </c>
      <c r="AK6176">
        <v>18.304581656091798</v>
      </c>
      <c r="AL6176">
        <v>78.751836211342194</v>
      </c>
      <c r="AM6176">
        <v>93.345007007165094</v>
      </c>
      <c r="AN6176">
        <v>1.00000005242353</v>
      </c>
    </row>
    <row r="6177" spans="1:40" x14ac:dyDescent="0.25">
      <c r="A6177" t="str">
        <f>"20190312173049337"</f>
        <v>20190312173049337</v>
      </c>
      <c r="B6177" t="str">
        <f>"1552383049334023"</f>
        <v>1552383049334023</v>
      </c>
      <c r="C6177" t="s">
        <v>40</v>
      </c>
      <c r="D6177">
        <v>3.1183619999999999</v>
      </c>
      <c r="E6177">
        <v>0.44433319999999998</v>
      </c>
      <c r="F6177" t="s">
        <v>41</v>
      </c>
      <c r="G6177">
        <v>-261.721</v>
      </c>
      <c r="H6177" s="1">
        <v>-3.4786759999999998E-7</v>
      </c>
      <c r="I6177">
        <v>-62.654710000000001</v>
      </c>
      <c r="J6177">
        <v>-280.16410000000002</v>
      </c>
      <c r="K6177">
        <v>1.112331</v>
      </c>
      <c r="L6177">
        <v>-62.56973</v>
      </c>
      <c r="M6177">
        <v>0.97716559999999997</v>
      </c>
      <c r="N6177">
        <v>0</v>
      </c>
      <c r="O6177">
        <v>-0.21217939999999999</v>
      </c>
      <c r="P6177">
        <v>0.97081450000000002</v>
      </c>
      <c r="Q6177">
        <v>0.18426509999999999</v>
      </c>
      <c r="R6177">
        <v>-0.1535097</v>
      </c>
      <c r="S6177">
        <v>3.1237789999999999</v>
      </c>
      <c r="T6177">
        <v>-0.18732689999999999</v>
      </c>
      <c r="U6177">
        <v>-1.7852779999999999E-2</v>
      </c>
      <c r="V6177">
        <v>-5.7135760000000001E-2</v>
      </c>
      <c r="W6177">
        <v>0.19499440000000001</v>
      </c>
      <c r="X6177">
        <v>0.97913870000000003</v>
      </c>
      <c r="Y6177">
        <v>-0.20585819999999999</v>
      </c>
      <c r="Z6177">
        <v>1.8804939999999999E-2</v>
      </c>
      <c r="AA6177">
        <v>0.97840110000000002</v>
      </c>
      <c r="AB6177">
        <v>22</v>
      </c>
      <c r="AC6177">
        <v>18.443100000000001</v>
      </c>
      <c r="AD6177">
        <v>-1.1123313478676</v>
      </c>
      <c r="AE6177">
        <v>-8.4979999999987399E-2</v>
      </c>
      <c r="AF6177">
        <v>-3.8165677698787999</v>
      </c>
      <c r="AG6177">
        <v>-1.1123313478676</v>
      </c>
      <c r="AH6177">
        <v>17.975757116034</v>
      </c>
      <c r="AI6177">
        <v>93.463901630345902</v>
      </c>
      <c r="AJ6177">
        <v>101.986894105079</v>
      </c>
      <c r="AK6177">
        <v>18.4100873019161</v>
      </c>
      <c r="AL6177">
        <v>78.755603002343904</v>
      </c>
      <c r="AM6177">
        <v>93.339598170884997</v>
      </c>
      <c r="AN6177">
        <v>0.99999995246991202</v>
      </c>
    </row>
    <row r="6178" spans="1:40" x14ac:dyDescent="0.25">
      <c r="A6178" t="str">
        <f>"20190312173049349"</f>
        <v>20190312173049349</v>
      </c>
      <c r="B6178" t="str">
        <f>"1552383049343783"</f>
        <v>1552383049343783</v>
      </c>
      <c r="C6178" t="s">
        <v>40</v>
      </c>
      <c r="D6178">
        <v>3.1311059999999999</v>
      </c>
      <c r="E6178">
        <v>0.44430770000000003</v>
      </c>
      <c r="F6178" t="s">
        <v>58</v>
      </c>
      <c r="G6178">
        <v>-261.58890000000002</v>
      </c>
      <c r="H6178" s="1">
        <v>-2.8611989999999998E-7</v>
      </c>
      <c r="I6178">
        <v>-62.635710000000003</v>
      </c>
      <c r="J6178">
        <v>-280.0471</v>
      </c>
      <c r="K6178">
        <v>1.112323</v>
      </c>
      <c r="L6178">
        <v>-62.592680000000001</v>
      </c>
      <c r="M6178">
        <v>0.97763480000000003</v>
      </c>
      <c r="N6178">
        <v>0</v>
      </c>
      <c r="O6178">
        <v>-0.2100149</v>
      </c>
      <c r="P6178">
        <v>0.97118040000000005</v>
      </c>
      <c r="Q6178">
        <v>0.1841487</v>
      </c>
      <c r="R6178">
        <v>-0.15132190000000001</v>
      </c>
      <c r="S6178">
        <v>3.1239319999999999</v>
      </c>
      <c r="T6178">
        <v>-0.1870687</v>
      </c>
      <c r="U6178">
        <v>-1.1108399999999999E-2</v>
      </c>
      <c r="V6178">
        <v>-5.718111E-2</v>
      </c>
      <c r="W6178">
        <v>0.194746</v>
      </c>
      <c r="X6178">
        <v>0.97918550000000004</v>
      </c>
      <c r="Y6178">
        <v>-0.20580950000000001</v>
      </c>
      <c r="Z6178">
        <v>1.8650259999999998E-2</v>
      </c>
      <c r="AA6178">
        <v>0.97841440000000002</v>
      </c>
      <c r="AB6178">
        <v>22</v>
      </c>
      <c r="AC6178">
        <v>18.458199999999898</v>
      </c>
      <c r="AD6178">
        <v>-1.1123232861198999</v>
      </c>
      <c r="AE6178">
        <v>-4.3029999999994503E-2</v>
      </c>
      <c r="AF6178">
        <v>-3.8207919977102298</v>
      </c>
      <c r="AG6178">
        <v>-1.1123232861198999</v>
      </c>
      <c r="AH6178">
        <v>17.990203872692401</v>
      </c>
      <c r="AI6178">
        <v>93.461056623171999</v>
      </c>
      <c r="AJ6178">
        <v>101.990419748844</v>
      </c>
      <c r="AK6178">
        <v>18.4250685199173</v>
      </c>
      <c r="AL6178">
        <v>78.770113581009994</v>
      </c>
      <c r="AM6178">
        <v>93.342083502192295</v>
      </c>
      <c r="AN6178">
        <v>0.99999996363354005</v>
      </c>
    </row>
    <row r="6179" spans="1:40" x14ac:dyDescent="0.25">
      <c r="A6179" t="str">
        <f>"20190312173049360"</f>
        <v>20190312173049360</v>
      </c>
      <c r="B6179" t="str">
        <f>"1552383049353544"</f>
        <v>1552383049353544</v>
      </c>
      <c r="C6179" t="s">
        <v>40</v>
      </c>
      <c r="D6179">
        <v>3.152396</v>
      </c>
      <c r="E6179">
        <v>0.44427460000000002</v>
      </c>
      <c r="F6179" t="s">
        <v>41</v>
      </c>
      <c r="G6179">
        <v>-261.512</v>
      </c>
      <c r="H6179" s="1">
        <v>-2.4744720000000002E-7</v>
      </c>
      <c r="I6179">
        <v>-62.614339999999999</v>
      </c>
      <c r="J6179">
        <v>-279.93790000000001</v>
      </c>
      <c r="K6179">
        <v>1.1123149999999999</v>
      </c>
      <c r="L6179">
        <v>-62.613889999999998</v>
      </c>
      <c r="M6179">
        <v>0.9780681</v>
      </c>
      <c r="N6179">
        <v>0</v>
      </c>
      <c r="O6179">
        <v>-0.2079936</v>
      </c>
      <c r="P6179">
        <v>0.97146949999999999</v>
      </c>
      <c r="Q6179">
        <v>0.18411440000000001</v>
      </c>
      <c r="R6179">
        <v>-0.14949749999999901</v>
      </c>
      <c r="S6179">
        <v>3.123993</v>
      </c>
      <c r="T6179">
        <v>-0.1874757</v>
      </c>
      <c r="U6179">
        <v>-3.6621090000000002E-3</v>
      </c>
      <c r="V6179">
        <v>-5.6999870000000001E-2</v>
      </c>
      <c r="W6179">
        <v>0.19459170000000001</v>
      </c>
      <c r="X6179">
        <v>0.97922679999999995</v>
      </c>
      <c r="Y6179">
        <v>-0.20611860000000001</v>
      </c>
      <c r="Z6179">
        <v>1.858135E-2</v>
      </c>
      <c r="AA6179">
        <v>0.97835059999999996</v>
      </c>
      <c r="AB6179">
        <v>22</v>
      </c>
      <c r="AC6179">
        <v>18.425899999999999</v>
      </c>
      <c r="AD6179">
        <v>-1.1123152474472</v>
      </c>
      <c r="AE6179">
        <v>-4.50000000000727E-4</v>
      </c>
      <c r="AF6179">
        <v>-3.81834717500722</v>
      </c>
      <c r="AG6179">
        <v>-1.1123152474472</v>
      </c>
      <c r="AH6179">
        <v>17.957532854134399</v>
      </c>
      <c r="AI6179">
        <v>93.467137156686306</v>
      </c>
      <c r="AJ6179">
        <v>102.004138596023</v>
      </c>
      <c r="AK6179">
        <v>18.392661758590201</v>
      </c>
      <c r="AL6179">
        <v>78.779127395710901</v>
      </c>
      <c r="AM6179">
        <v>93.331374211120007</v>
      </c>
      <c r="AN6179">
        <v>1.0000000203635699</v>
      </c>
    </row>
    <row r="6180" spans="1:40" x14ac:dyDescent="0.25">
      <c r="A6180" t="str">
        <f>"20190312173049373"</f>
        <v>20190312173049373</v>
      </c>
      <c r="B6180" t="str">
        <f>"1552383049364279"</f>
        <v>1552383049364279</v>
      </c>
      <c r="C6180" t="s">
        <v>40</v>
      </c>
      <c r="D6180">
        <v>3.0894270000000001</v>
      </c>
      <c r="E6180">
        <v>0.44416820000000001</v>
      </c>
      <c r="F6180" t="s">
        <v>41</v>
      </c>
      <c r="G6180">
        <v>-261.38260000000002</v>
      </c>
      <c r="H6180" s="1">
        <v>-1.8775730000000001E-7</v>
      </c>
      <c r="I6180">
        <v>-62.598599999999998</v>
      </c>
      <c r="J6180">
        <v>-279.82679999999999</v>
      </c>
      <c r="K6180">
        <v>1.112301</v>
      </c>
      <c r="L6180">
        <v>-62.635159999999999</v>
      </c>
      <c r="M6180">
        <v>0.97850389999999998</v>
      </c>
      <c r="N6180">
        <v>0</v>
      </c>
      <c r="O6180">
        <v>-0.20594019999999999</v>
      </c>
      <c r="P6180">
        <v>0.97183200000000003</v>
      </c>
      <c r="Q6180">
        <v>0.18376919999999999</v>
      </c>
      <c r="R6180">
        <v>-0.14755279999999901</v>
      </c>
      <c r="S6180">
        <v>3.123993</v>
      </c>
      <c r="T6180">
        <v>-0.18727099999999999</v>
      </c>
      <c r="U6180">
        <v>2.5634770000000002E-3</v>
      </c>
      <c r="V6180">
        <v>-5.69179E-2</v>
      </c>
      <c r="W6180">
        <v>0.1941263</v>
      </c>
      <c r="X6180">
        <v>0.97932390000000002</v>
      </c>
      <c r="Y6180">
        <v>-0.2060197</v>
      </c>
      <c r="Z6180">
        <v>1.8437829999999999E-2</v>
      </c>
      <c r="AA6180">
        <v>0.97837410000000002</v>
      </c>
      <c r="AB6180">
        <v>22</v>
      </c>
      <c r="AC6180">
        <v>18.444199999999899</v>
      </c>
      <c r="AD6180">
        <v>-1.1123011877572999</v>
      </c>
      <c r="AE6180">
        <v>3.6560000000001397E-2</v>
      </c>
      <c r="AF6180">
        <v>-3.8205094594155899</v>
      </c>
      <c r="AG6180">
        <v>-1.1123011877572999</v>
      </c>
      <c r="AH6180">
        <v>17.975888388162399</v>
      </c>
      <c r="AI6180">
        <v>93.463629795244699</v>
      </c>
      <c r="AJ6180">
        <v>101.99883026678199</v>
      </c>
      <c r="AK6180">
        <v>18.411031198861199</v>
      </c>
      <c r="AL6180">
        <v>78.806310826599301</v>
      </c>
      <c r="AM6180">
        <v>93.326265125777894</v>
      </c>
      <c r="AN6180">
        <v>0.99999998440165405</v>
      </c>
    </row>
    <row r="6181" spans="1:40" x14ac:dyDescent="0.25">
      <c r="A6181" t="str">
        <f>"20190312173049383"</f>
        <v>20190312173049383</v>
      </c>
      <c r="B6181" t="str">
        <f>"1552383049374040"</f>
        <v>1552383049374040</v>
      </c>
      <c r="C6181" t="s">
        <v>40</v>
      </c>
      <c r="D6181">
        <v>3.0975999999999999</v>
      </c>
      <c r="E6181">
        <v>0.44405739999999999</v>
      </c>
      <c r="F6181" t="s">
        <v>41</v>
      </c>
      <c r="G6181">
        <v>-261.37180000000001</v>
      </c>
      <c r="H6181" s="1">
        <v>-1.7764339999999999E-7</v>
      </c>
      <c r="I6181">
        <v>-62.578130000000002</v>
      </c>
      <c r="J6181">
        <v>-279.71280000000002</v>
      </c>
      <c r="K6181">
        <v>1.1122939999999999</v>
      </c>
      <c r="L6181">
        <v>-62.656889999999997</v>
      </c>
      <c r="M6181">
        <v>0.9789466</v>
      </c>
      <c r="N6181">
        <v>0</v>
      </c>
      <c r="O6181">
        <v>-0.20383219999999999</v>
      </c>
      <c r="P6181">
        <v>0.97217560000000003</v>
      </c>
      <c r="Q6181">
        <v>0.18371309999999999</v>
      </c>
      <c r="R6181">
        <v>-0.1453422</v>
      </c>
      <c r="S6181">
        <v>3.123993</v>
      </c>
      <c r="T6181">
        <v>-0.18828520000000001</v>
      </c>
      <c r="U6181">
        <v>9.6435549999999998E-3</v>
      </c>
      <c r="V6181">
        <v>-5.7040449999999999E-2</v>
      </c>
      <c r="W6181">
        <v>0.19394620000000001</v>
      </c>
      <c r="X6181">
        <v>0.97935249999999996</v>
      </c>
      <c r="Y6181">
        <v>-0.20612510000000001</v>
      </c>
      <c r="Z6181">
        <v>1.8416459999999999E-2</v>
      </c>
      <c r="AA6181">
        <v>0.97835229999999995</v>
      </c>
      <c r="AB6181">
        <v>22</v>
      </c>
      <c r="AC6181">
        <v>18.341000000000001</v>
      </c>
      <c r="AD6181">
        <v>-1.1122941776433899</v>
      </c>
      <c r="AE6181">
        <v>7.8760000000002606E-2</v>
      </c>
      <c r="AF6181">
        <v>-3.8018272462682101</v>
      </c>
      <c r="AG6181">
        <v>-1.1122941776433899</v>
      </c>
      <c r="AH6181">
        <v>17.8741092319727</v>
      </c>
      <c r="AI6181">
        <v>93.483165517159904</v>
      </c>
      <c r="AJ6181">
        <v>102.007875841206</v>
      </c>
      <c r="AK6181">
        <v>18.307781667492598</v>
      </c>
      <c r="AL6181">
        <v>78.816830235280705</v>
      </c>
      <c r="AM6181">
        <v>93.333313652735796</v>
      </c>
      <c r="AN6181">
        <v>1.00000003034344</v>
      </c>
    </row>
    <row r="6182" spans="1:40" x14ac:dyDescent="0.25">
      <c r="A6182" t="str">
        <f>"20190312173049395"</f>
        <v>20190312173049395</v>
      </c>
      <c r="B6182" t="str">
        <f>"1552383049383800"</f>
        <v>1552383049383800</v>
      </c>
      <c r="C6182" t="s">
        <v>40</v>
      </c>
      <c r="D6182">
        <v>3.1259220000000001</v>
      </c>
      <c r="E6182">
        <v>0.44398149999999997</v>
      </c>
      <c r="F6182" t="s">
        <v>41</v>
      </c>
      <c r="G6182">
        <v>-261.30200000000002</v>
      </c>
      <c r="H6182" s="1">
        <v>-1.4133089999999999E-7</v>
      </c>
      <c r="I6182">
        <v>-62.554130000000001</v>
      </c>
      <c r="J6182">
        <v>-279.59440000000001</v>
      </c>
      <c r="K6182">
        <v>1.1122879999999999</v>
      </c>
      <c r="L6182">
        <v>-62.679020000000001</v>
      </c>
      <c r="M6182">
        <v>0.97940090000000002</v>
      </c>
      <c r="N6182">
        <v>0</v>
      </c>
      <c r="O6182">
        <v>-0.20164480000000001</v>
      </c>
      <c r="P6182">
        <v>0.9725142</v>
      </c>
      <c r="Q6182">
        <v>0.18354429999999999</v>
      </c>
      <c r="R6182">
        <v>-0.14327690000000001</v>
      </c>
      <c r="S6182">
        <v>3.1241460000000001</v>
      </c>
      <c r="T6182">
        <v>-0.1887461</v>
      </c>
      <c r="U6182">
        <v>1.742554E-2</v>
      </c>
      <c r="V6182">
        <v>-5.694105E-2</v>
      </c>
      <c r="W6182">
        <v>0.1936552</v>
      </c>
      <c r="X6182">
        <v>0.97941579999999995</v>
      </c>
      <c r="Y6182">
        <v>-0.2063758</v>
      </c>
      <c r="Z6182">
        <v>1.8338810000000001E-2</v>
      </c>
      <c r="AA6182">
        <v>0.97830090000000003</v>
      </c>
      <c r="AB6182">
        <v>23</v>
      </c>
      <c r="AC6182">
        <v>18.292399999999901</v>
      </c>
      <c r="AD6182">
        <v>-1.11228814133089</v>
      </c>
      <c r="AE6182">
        <v>0.124889999999986</v>
      </c>
      <c r="AF6182">
        <v>-3.7970620315998298</v>
      </c>
      <c r="AG6182">
        <v>-1.11228814133089</v>
      </c>
      <c r="AH6182">
        <v>17.825518236749701</v>
      </c>
      <c r="AI6182">
        <v>93.492396301029402</v>
      </c>
      <c r="AJ6182">
        <v>102.02500355303501</v>
      </c>
      <c r="AK6182">
        <v>18.259352819578801</v>
      </c>
      <c r="AL6182">
        <v>78.833824776694499</v>
      </c>
      <c r="AM6182">
        <v>93.327303431971501</v>
      </c>
      <c r="AN6182">
        <v>0.99999996447589001</v>
      </c>
    </row>
    <row r="6183" spans="1:40" x14ac:dyDescent="0.25">
      <c r="A6183" t="str">
        <f>"20190312173049407"</f>
        <v>20190312173049407</v>
      </c>
      <c r="B6183" t="str">
        <f>"1552383049404296"</f>
        <v>1552383049404296</v>
      </c>
      <c r="C6183" t="s">
        <v>40</v>
      </c>
      <c r="D6183">
        <v>3.1007129999999998</v>
      </c>
      <c r="E6183">
        <v>0.4439418</v>
      </c>
      <c r="F6183" t="s">
        <v>41</v>
      </c>
      <c r="G6183">
        <v>-261.21890000000002</v>
      </c>
      <c r="H6183" s="1">
        <v>-1.006052E-7</v>
      </c>
      <c r="I6183">
        <v>-62.534990000000001</v>
      </c>
      <c r="J6183">
        <v>-279.48180000000002</v>
      </c>
      <c r="K6183">
        <v>1.112285</v>
      </c>
      <c r="L6183">
        <v>-62.699919999999999</v>
      </c>
      <c r="M6183">
        <v>0.97982800000000003</v>
      </c>
      <c r="N6183">
        <v>0</v>
      </c>
      <c r="O6183">
        <v>-0.1995651</v>
      </c>
      <c r="P6183">
        <v>0.97289740000000002</v>
      </c>
      <c r="Q6183">
        <v>0.1834383</v>
      </c>
      <c r="R6183">
        <v>-0.14078829999999901</v>
      </c>
      <c r="S6183">
        <v>3.1240540000000001</v>
      </c>
      <c r="T6183">
        <v>-0.18910250000000001</v>
      </c>
      <c r="U6183">
        <v>2.44751E-2</v>
      </c>
      <c r="V6183">
        <v>-5.7374219999999997E-2</v>
      </c>
      <c r="W6183">
        <v>0.19343070000000001</v>
      </c>
      <c r="X6183">
        <v>0.9794349</v>
      </c>
      <c r="Y6183">
        <v>-0.20650679999999999</v>
      </c>
      <c r="Z6183">
        <v>1.825456E-2</v>
      </c>
      <c r="AA6183">
        <v>0.97827489999999995</v>
      </c>
      <c r="AB6183">
        <v>23</v>
      </c>
      <c r="AC6183">
        <v>18.262899999999998</v>
      </c>
      <c r="AD6183">
        <v>-1.1122851006051999</v>
      </c>
      <c r="AE6183">
        <v>0.16492999999999799</v>
      </c>
      <c r="AF6183">
        <v>-3.79238552243313</v>
      </c>
      <c r="AG6183">
        <v>-1.1122851006051999</v>
      </c>
      <c r="AH6183">
        <v>17.7965691190056</v>
      </c>
      <c r="AI6183">
        <v>93.497994097546197</v>
      </c>
      <c r="AJ6183">
        <v>102.02959235649099</v>
      </c>
      <c r="AK6183">
        <v>18.230118993120499</v>
      </c>
      <c r="AL6183">
        <v>78.846935757646904</v>
      </c>
      <c r="AM6183">
        <v>93.352492616988002</v>
      </c>
      <c r="AN6183">
        <v>0.99999998008055402</v>
      </c>
    </row>
    <row r="6184" spans="1:40" x14ac:dyDescent="0.25">
      <c r="A6184" t="str">
        <f>"20190312173049418"</f>
        <v>20190312173049418</v>
      </c>
      <c r="B6184" t="str">
        <f>"1552383049414055"</f>
        <v>1552383049414055</v>
      </c>
      <c r="C6184" t="s">
        <v>40</v>
      </c>
      <c r="D6184">
        <v>3.1278380000000001</v>
      </c>
      <c r="E6184">
        <v>0.44386989999999998</v>
      </c>
      <c r="F6184" t="s">
        <v>41</v>
      </c>
      <c r="G6184">
        <v>-261.07319999999999</v>
      </c>
      <c r="H6184" s="1">
        <v>-3.0872679999999998E-8</v>
      </c>
      <c r="I6184">
        <v>-62.50779</v>
      </c>
      <c r="J6184">
        <v>-279.36579999999998</v>
      </c>
      <c r="K6184">
        <v>1.1122799999999999</v>
      </c>
      <c r="L6184">
        <v>-62.721159999999998</v>
      </c>
      <c r="M6184">
        <v>0.98026279999999999</v>
      </c>
      <c r="N6184">
        <v>0</v>
      </c>
      <c r="O6184">
        <v>-0.19742390000000001</v>
      </c>
      <c r="P6184">
        <v>0.97328199999999998</v>
      </c>
      <c r="Q6184">
        <v>0.18314359999999999</v>
      </c>
      <c r="R6184">
        <v>-0.138493</v>
      </c>
      <c r="S6184">
        <v>3.1238709999999998</v>
      </c>
      <c r="T6184">
        <v>-0.18875130000000001</v>
      </c>
      <c r="U6184">
        <v>3.259277E-2</v>
      </c>
      <c r="V6184">
        <v>-5.755739E-2</v>
      </c>
      <c r="W6184">
        <v>0.19301889999999999</v>
      </c>
      <c r="X6184">
        <v>0.97950539999999997</v>
      </c>
      <c r="Y6184">
        <v>-0.2069172</v>
      </c>
      <c r="Z6184">
        <v>1.8107370000000001E-2</v>
      </c>
      <c r="AA6184">
        <v>0.97819089999999997</v>
      </c>
      <c r="AB6184">
        <v>23</v>
      </c>
      <c r="AC6184">
        <v>18.2926</v>
      </c>
      <c r="AD6184">
        <v>-1.1122800308726799</v>
      </c>
      <c r="AE6184">
        <v>0.21336999999999701</v>
      </c>
      <c r="AF6184">
        <v>-3.8066903434658399</v>
      </c>
      <c r="AG6184">
        <v>-1.1122800308726799</v>
      </c>
      <c r="AH6184">
        <v>17.824510358753201</v>
      </c>
      <c r="AI6184">
        <v>93.492175418619794</v>
      </c>
      <c r="AJ6184">
        <v>102.05526654443</v>
      </c>
      <c r="AK6184">
        <v>18.260373155207201</v>
      </c>
      <c r="AL6184">
        <v>78.870983446805099</v>
      </c>
      <c r="AM6184">
        <v>93.362929575513604</v>
      </c>
      <c r="AN6184">
        <v>0.99999998876499097</v>
      </c>
    </row>
    <row r="6185" spans="1:40" x14ac:dyDescent="0.25">
      <c r="A6185" t="str">
        <f>"20190312173049428"</f>
        <v>20190312173049428</v>
      </c>
      <c r="B6185" t="str">
        <f>"1552383049423815"</f>
        <v>1552383049423815</v>
      </c>
      <c r="C6185" t="s">
        <v>40</v>
      </c>
      <c r="D6185">
        <v>3.1289370000000001</v>
      </c>
      <c r="E6185">
        <v>0.44380930000000002</v>
      </c>
      <c r="F6185" t="s">
        <v>41</v>
      </c>
      <c r="G6185">
        <v>-261.06560000000002</v>
      </c>
      <c r="H6185" s="1">
        <v>-2.131469E-8</v>
      </c>
      <c r="I6185">
        <v>-62.484209999999997</v>
      </c>
      <c r="J6185">
        <v>-279.27109999999999</v>
      </c>
      <c r="K6185">
        <v>1.1122749999999999</v>
      </c>
      <c r="L6185">
        <v>-62.738280000000003</v>
      </c>
      <c r="M6185">
        <v>0.98061399999999999</v>
      </c>
      <c r="N6185">
        <v>0</v>
      </c>
      <c r="O6185">
        <v>-0.1956774</v>
      </c>
      <c r="P6185">
        <v>0.97359470000000004</v>
      </c>
      <c r="Q6185">
        <v>0.18281230000000001</v>
      </c>
      <c r="R6185">
        <v>-0.1367244</v>
      </c>
      <c r="S6185">
        <v>3.1238709999999998</v>
      </c>
      <c r="T6185">
        <v>-0.18986800000000001</v>
      </c>
      <c r="U6185">
        <v>4.0435789999999999E-2</v>
      </c>
      <c r="V6185">
        <v>-5.7604759999999998E-2</v>
      </c>
      <c r="W6185">
        <v>0.1925964</v>
      </c>
      <c r="X6185">
        <v>0.97958579999999995</v>
      </c>
      <c r="Y6185">
        <v>-0.2076231</v>
      </c>
      <c r="Z6185">
        <v>1.8131660000000001E-2</v>
      </c>
      <c r="AA6185">
        <v>0.97804080000000004</v>
      </c>
      <c r="AB6185">
        <v>23</v>
      </c>
      <c r="AC6185">
        <v>18.205499999999901</v>
      </c>
      <c r="AD6185">
        <v>-1.1122750213146899</v>
      </c>
      <c r="AE6185">
        <v>0.25407000000000501</v>
      </c>
      <c r="AF6185">
        <v>-3.7975802197265001</v>
      </c>
      <c r="AG6185">
        <v>-1.1122750213146899</v>
      </c>
      <c r="AH6185">
        <v>17.737605171288401</v>
      </c>
      <c r="AI6185">
        <v>93.508845558223896</v>
      </c>
      <c r="AJ6185">
        <v>102.084456415945</v>
      </c>
      <c r="AK6185">
        <v>18.173645987000398</v>
      </c>
      <c r="AL6185">
        <v>78.895654060526098</v>
      </c>
      <c r="AM6185">
        <v>93.365415316430997</v>
      </c>
      <c r="AN6185">
        <v>1.0000000106146201</v>
      </c>
    </row>
    <row r="6186" spans="1:40" x14ac:dyDescent="0.25">
      <c r="A6186" t="str">
        <f>"20190312173049437"</f>
        <v>20190312173049437</v>
      </c>
      <c r="B6186" t="str">
        <f>"1552383049433575"</f>
        <v>1552383049433575</v>
      </c>
      <c r="C6186" t="s">
        <v>40</v>
      </c>
      <c r="D6186">
        <v>3.1002399999999999</v>
      </c>
      <c r="E6186">
        <v>0.4438436</v>
      </c>
      <c r="F6186" t="s">
        <v>41</v>
      </c>
      <c r="G6186">
        <v>-261.06310000000002</v>
      </c>
      <c r="H6186" s="1">
        <v>-1.488775E-8</v>
      </c>
      <c r="I6186">
        <v>-62.464100000000002</v>
      </c>
      <c r="J6186">
        <v>-279.17579999999998</v>
      </c>
      <c r="K6186">
        <v>1.112269</v>
      </c>
      <c r="L6186">
        <v>-62.7553699999999</v>
      </c>
      <c r="M6186">
        <v>0.98096410000000001</v>
      </c>
      <c r="N6186">
        <v>0</v>
      </c>
      <c r="O6186">
        <v>-0.19391929999999999</v>
      </c>
      <c r="P6186">
        <v>0.973943</v>
      </c>
      <c r="Q6186">
        <v>0.18247169999999999</v>
      </c>
      <c r="R6186">
        <v>-0.13468260000000001</v>
      </c>
      <c r="S6186">
        <v>3.1238100000000002</v>
      </c>
      <c r="T6186">
        <v>-0.19082440000000001</v>
      </c>
      <c r="U6186">
        <v>4.7027590000000001E-2</v>
      </c>
      <c r="V6186">
        <v>-5.7916179999999998E-2</v>
      </c>
      <c r="W6186">
        <v>0.19216359999999999</v>
      </c>
      <c r="X6186">
        <v>0.97965239999999998</v>
      </c>
      <c r="Y6186">
        <v>-0.20792859999999999</v>
      </c>
      <c r="Z6186">
        <v>1.8127040000000001E-2</v>
      </c>
      <c r="AA6186">
        <v>0.97797599999999996</v>
      </c>
      <c r="AB6186">
        <v>23</v>
      </c>
      <c r="AC6186">
        <v>18.112699999999901</v>
      </c>
      <c r="AD6186">
        <v>-1.1122690148877501</v>
      </c>
      <c r="AE6186">
        <v>0.29126999999998998</v>
      </c>
      <c r="AF6186">
        <v>-3.7840605446717399</v>
      </c>
      <c r="AG6186">
        <v>-1.1122690148877501</v>
      </c>
      <c r="AH6186">
        <v>17.645828476993302</v>
      </c>
      <c r="AI6186">
        <v>93.526779911761395</v>
      </c>
      <c r="AJ6186">
        <v>102.103485180268</v>
      </c>
      <c r="AK6186">
        <v>18.081247722618201</v>
      </c>
      <c r="AL6186">
        <v>78.920923342615097</v>
      </c>
      <c r="AM6186">
        <v>93.383337609098703</v>
      </c>
      <c r="AN6186">
        <v>0.99999997894825599</v>
      </c>
    </row>
    <row r="6187" spans="1:40" x14ac:dyDescent="0.25">
      <c r="A6187" t="str">
        <f>"20190312173049449"</f>
        <v>20190312173049449</v>
      </c>
      <c r="B6187" t="str">
        <f>"1552383049443335"</f>
        <v>1552383049443335</v>
      </c>
      <c r="C6187" t="s">
        <v>40</v>
      </c>
      <c r="D6187">
        <v>3.1064280000000002</v>
      </c>
      <c r="E6187">
        <v>0.44386160000000002</v>
      </c>
      <c r="F6187" t="s">
        <v>41</v>
      </c>
      <c r="G6187">
        <v>-261.05540000000002</v>
      </c>
      <c r="H6187" s="1">
        <v>-6.7152539999999901E-9</v>
      </c>
      <c r="I6187">
        <v>-62.445839999999997</v>
      </c>
      <c r="J6187">
        <v>-279.06119999999999</v>
      </c>
      <c r="K6187">
        <v>1.1122669999999999</v>
      </c>
      <c r="L6187">
        <v>-62.77563</v>
      </c>
      <c r="M6187">
        <v>0.98138020000000004</v>
      </c>
      <c r="N6187">
        <v>0</v>
      </c>
      <c r="O6187">
        <v>-0.1918079</v>
      </c>
      <c r="P6187">
        <v>0.97433479999999995</v>
      </c>
      <c r="Q6187">
        <v>0.1821266</v>
      </c>
      <c r="R6187">
        <v>-0.13229360000000001</v>
      </c>
      <c r="S6187">
        <v>3.1235659999999998</v>
      </c>
      <c r="T6187">
        <v>-0.19173119999999999</v>
      </c>
      <c r="U6187">
        <v>5.334473E-2</v>
      </c>
      <c r="V6187">
        <v>-5.8224129999999999E-2</v>
      </c>
      <c r="W6187">
        <v>0.19171199999999999</v>
      </c>
      <c r="X6187">
        <v>0.9797226</v>
      </c>
      <c r="Y6187">
        <v>-0.20779919999999999</v>
      </c>
      <c r="Z6187">
        <v>1.808303E-2</v>
      </c>
      <c r="AA6187">
        <v>0.97800430000000005</v>
      </c>
      <c r="AB6187">
        <v>23</v>
      </c>
      <c r="AC6187">
        <v>18.005799999999901</v>
      </c>
      <c r="AD6187">
        <v>-1.11226700671525</v>
      </c>
      <c r="AE6187">
        <v>0.32979000000000203</v>
      </c>
      <c r="AF6187">
        <v>-3.7631430749509098</v>
      </c>
      <c r="AG6187">
        <v>-1.11226700671525</v>
      </c>
      <c r="AH6187">
        <v>17.541270174674398</v>
      </c>
      <c r="AI6187">
        <v>93.547679839480196</v>
      </c>
      <c r="AJ6187">
        <v>102.108183382268</v>
      </c>
      <c r="AK6187">
        <v>17.974830820836601</v>
      </c>
      <c r="AL6187">
        <v>78.947288068966103</v>
      </c>
      <c r="AM6187">
        <v>93.401042116753601</v>
      </c>
      <c r="AN6187">
        <v>0.99999995660450702</v>
      </c>
    </row>
    <row r="6188" spans="1:40" x14ac:dyDescent="0.25">
      <c r="A6188" t="str">
        <f>"20190312173049459"</f>
        <v>20190312173049459</v>
      </c>
      <c r="B6188" t="str">
        <f>"1552383049454071"</f>
        <v>1552383049454071</v>
      </c>
      <c r="C6188" t="s">
        <v>40</v>
      </c>
      <c r="D6188">
        <v>3.1399439999999998</v>
      </c>
      <c r="E6188">
        <v>0.4438841</v>
      </c>
      <c r="F6188" t="s">
        <v>41</v>
      </c>
      <c r="G6188">
        <v>-261.00889999999998</v>
      </c>
      <c r="H6188" s="1">
        <v>1.9981370000000001E-8</v>
      </c>
      <c r="I6188">
        <v>-62.42033</v>
      </c>
      <c r="J6188">
        <v>-278.95420000000001</v>
      </c>
      <c r="K6188">
        <v>1.112263</v>
      </c>
      <c r="L6188">
        <v>-62.794429999999998</v>
      </c>
      <c r="M6188">
        <v>0.98176490000000005</v>
      </c>
      <c r="N6188">
        <v>0</v>
      </c>
      <c r="O6188">
        <v>-0.18983420000000001</v>
      </c>
      <c r="P6188">
        <v>0.97466010000000003</v>
      </c>
      <c r="Q6188">
        <v>0.18169089999999999</v>
      </c>
      <c r="R6188">
        <v>-0.13048570000000001</v>
      </c>
      <c r="S6188">
        <v>3.1233520000000001</v>
      </c>
      <c r="T6188">
        <v>-0.19244120000000001</v>
      </c>
      <c r="U6188">
        <v>6.14624E-2</v>
      </c>
      <c r="V6188">
        <v>-5.808729E-2</v>
      </c>
      <c r="W6188">
        <v>0.19118270000000001</v>
      </c>
      <c r="X6188">
        <v>0.97983419999999999</v>
      </c>
      <c r="Y6188">
        <v>-0.20837149999999999</v>
      </c>
      <c r="Z6188">
        <v>1.804913E-2</v>
      </c>
      <c r="AA6188">
        <v>0.97788319999999995</v>
      </c>
      <c r="AB6188">
        <v>23</v>
      </c>
      <c r="AC6188">
        <v>17.9453</v>
      </c>
      <c r="AD6188">
        <v>-1.1122629800186199</v>
      </c>
      <c r="AE6188">
        <v>0.37409999999999799</v>
      </c>
      <c r="AF6188">
        <v>-3.7596629761001399</v>
      </c>
      <c r="AG6188">
        <v>-1.1122629800186199</v>
      </c>
      <c r="AH6188">
        <v>17.4808065669157</v>
      </c>
      <c r="AI6188">
        <v>93.559510572467801</v>
      </c>
      <c r="AJ6188">
        <v>102.137920087792</v>
      </c>
      <c r="AK6188">
        <v>17.9150995771863</v>
      </c>
      <c r="AL6188">
        <v>78.978186836232197</v>
      </c>
      <c r="AM6188">
        <v>93.392682031506098</v>
      </c>
      <c r="AN6188">
        <v>1.00000000876423</v>
      </c>
    </row>
    <row r="6189" spans="1:40" x14ac:dyDescent="0.25">
      <c r="A6189" t="str">
        <f>"20190312173049472"</f>
        <v>20190312173049472</v>
      </c>
      <c r="B6189" t="str">
        <f>"1552383049463831"</f>
        <v>1552383049463831</v>
      </c>
      <c r="C6189" t="s">
        <v>40</v>
      </c>
      <c r="D6189">
        <v>3.1654040000000001</v>
      </c>
      <c r="E6189">
        <v>0.44389030000000002</v>
      </c>
      <c r="F6189" t="s">
        <v>41</v>
      </c>
      <c r="G6189">
        <v>-261.04919999999998</v>
      </c>
      <c r="H6189" s="1">
        <v>5.7018499999999997E-9</v>
      </c>
      <c r="I6189">
        <v>-62.409109999999998</v>
      </c>
      <c r="J6189">
        <v>-278.83539999999999</v>
      </c>
      <c r="K6189">
        <v>1.11226</v>
      </c>
      <c r="L6189">
        <v>-62.81485</v>
      </c>
      <c r="M6189">
        <v>0.98218620000000001</v>
      </c>
      <c r="N6189">
        <v>0</v>
      </c>
      <c r="O6189">
        <v>-0.18764729999999999</v>
      </c>
      <c r="P6189">
        <v>0.97501119999999997</v>
      </c>
      <c r="Q6189">
        <v>0.1815022</v>
      </c>
      <c r="R6189">
        <v>-0.12810289999999999</v>
      </c>
      <c r="S6189">
        <v>3.1231689999999999</v>
      </c>
      <c r="T6189">
        <v>-0.1940124</v>
      </c>
      <c r="U6189">
        <v>6.7199709999999996E-2</v>
      </c>
      <c r="V6189">
        <v>-5.8308819999999997E-2</v>
      </c>
      <c r="W6189">
        <v>0.19089339999999999</v>
      </c>
      <c r="X6189">
        <v>0.97987740000000001</v>
      </c>
      <c r="Y6189">
        <v>-0.2079828</v>
      </c>
      <c r="Z6189">
        <v>1.805139E-2</v>
      </c>
      <c r="AA6189">
        <v>0.97796590000000005</v>
      </c>
      <c r="AB6189">
        <v>23</v>
      </c>
      <c r="AC6189">
        <v>17.786200000000001</v>
      </c>
      <c r="AD6189">
        <v>-1.1122599942981499</v>
      </c>
      <c r="AE6189">
        <v>0.40574000000000099</v>
      </c>
      <c r="AF6189">
        <v>-3.7216825952663699</v>
      </c>
      <c r="AG6189">
        <v>-1.1122599942981499</v>
      </c>
      <c r="AH6189">
        <v>17.326361431245299</v>
      </c>
      <c r="AI6189">
        <v>93.591349649628299</v>
      </c>
      <c r="AJ6189">
        <v>102.12286414566</v>
      </c>
      <c r="AK6189">
        <v>17.7564310626029</v>
      </c>
      <c r="AL6189">
        <v>78.995073012771499</v>
      </c>
      <c r="AM6189">
        <v>93.405440663915897</v>
      </c>
      <c r="AN6189">
        <v>0.99999996384205503</v>
      </c>
    </row>
    <row r="6190" spans="1:40" x14ac:dyDescent="0.25">
      <c r="A6190" t="str">
        <f>"20190312173049483"</f>
        <v>20190312173049483</v>
      </c>
      <c r="B6190" t="str">
        <f>"1552383049473592"</f>
        <v>1552383049473592</v>
      </c>
      <c r="C6190" t="s">
        <v>40</v>
      </c>
      <c r="D6190">
        <v>3.14398</v>
      </c>
      <c r="E6190">
        <v>0.44390960000000002</v>
      </c>
      <c r="F6190" t="s">
        <v>41</v>
      </c>
      <c r="G6190">
        <v>-260.99889999999999</v>
      </c>
      <c r="H6190" s="1">
        <v>3.3364360000000002E-8</v>
      </c>
      <c r="I6190">
        <v>-62.386200000000002</v>
      </c>
      <c r="J6190">
        <v>-278.72329999999999</v>
      </c>
      <c r="K6190">
        <v>1.1122570000000001</v>
      </c>
      <c r="L6190">
        <v>-62.834110000000003</v>
      </c>
      <c r="M6190">
        <v>0.9825798</v>
      </c>
      <c r="N6190">
        <v>0</v>
      </c>
      <c r="O6190">
        <v>-0.18558089999999999</v>
      </c>
      <c r="P6190">
        <v>0.97533579999999998</v>
      </c>
      <c r="Q6190">
        <v>0.1811392</v>
      </c>
      <c r="R6190">
        <v>-0.12612979999999999</v>
      </c>
      <c r="S6190">
        <v>3.1230470000000001</v>
      </c>
      <c r="T6190">
        <v>-0.19474910000000001</v>
      </c>
      <c r="U6190">
        <v>7.5042719999999993E-2</v>
      </c>
      <c r="V6190">
        <v>-5.8243030000000001E-2</v>
      </c>
      <c r="W6190">
        <v>0.19043889999999999</v>
      </c>
      <c r="X6190">
        <v>0.9799698</v>
      </c>
      <c r="Y6190">
        <v>-0.20837829999999999</v>
      </c>
      <c r="Z6190">
        <v>1.8005859999999999E-2</v>
      </c>
      <c r="AA6190">
        <v>0.97788260000000005</v>
      </c>
      <c r="AB6190">
        <v>23</v>
      </c>
      <c r="AC6190">
        <v>17.724399999999999</v>
      </c>
      <c r="AD6190">
        <v>-1.1122569666356299</v>
      </c>
      <c r="AE6190">
        <v>0.44790999999999298</v>
      </c>
      <c r="AF6190">
        <v>-3.7149777309899998</v>
      </c>
      <c r="AG6190">
        <v>-1.1122569666356299</v>
      </c>
      <c r="AH6190">
        <v>17.265405221764599</v>
      </c>
      <c r="AI6190">
        <v>93.603712620025206</v>
      </c>
      <c r="AJ6190">
        <v>102.14312789480699</v>
      </c>
      <c r="AK6190">
        <v>17.695547252722001</v>
      </c>
      <c r="AL6190">
        <v>79.021601187258895</v>
      </c>
      <c r="AM6190">
        <v>93.401287343655895</v>
      </c>
      <c r="AN6190">
        <v>1.0000000170444101</v>
      </c>
    </row>
    <row r="6191" spans="1:40" x14ac:dyDescent="0.25">
      <c r="A6191" t="str">
        <f>"20190312173049494"</f>
        <v>20190312173049494</v>
      </c>
      <c r="B6191" t="str">
        <f>"1552383049483351"</f>
        <v>1552383049483351</v>
      </c>
      <c r="C6191" t="s">
        <v>40</v>
      </c>
      <c r="D6191">
        <v>3.167151</v>
      </c>
      <c r="E6191">
        <v>0.44394050000000002</v>
      </c>
      <c r="F6191" t="s">
        <v>41</v>
      </c>
      <c r="G6191">
        <v>-260.99669999999998</v>
      </c>
      <c r="H6191" s="1">
        <v>3.8241519999999998E-8</v>
      </c>
      <c r="I6191">
        <v>-62.371510000000001</v>
      </c>
      <c r="J6191">
        <v>-278.61689999999999</v>
      </c>
      <c r="K6191">
        <v>1.1122529999999999</v>
      </c>
      <c r="L6191">
        <v>-62.851959999999998</v>
      </c>
      <c r="M6191">
        <v>0.98294879999999996</v>
      </c>
      <c r="N6191">
        <v>0</v>
      </c>
      <c r="O6191">
        <v>-0.18362039999999999</v>
      </c>
      <c r="P6191">
        <v>0.97560610000000003</v>
      </c>
      <c r="Q6191">
        <v>0.1810156</v>
      </c>
      <c r="R6191">
        <v>-0.1242029</v>
      </c>
      <c r="S6191">
        <v>3.1228030000000002</v>
      </c>
      <c r="T6191">
        <v>-0.19594049999999999</v>
      </c>
      <c r="U6191">
        <v>8.1481929999999994E-2</v>
      </c>
      <c r="V6191">
        <v>-5.822952E-2</v>
      </c>
      <c r="W6191">
        <v>0.1902325</v>
      </c>
      <c r="X6191">
        <v>0.98001070000000001</v>
      </c>
      <c r="Y6191">
        <v>-0.2084385</v>
      </c>
      <c r="Z6191">
        <v>1.799777E-2</v>
      </c>
      <c r="AA6191">
        <v>0.97786989999999996</v>
      </c>
      <c r="AB6191">
        <v>23</v>
      </c>
      <c r="AC6191">
        <v>17.620200000000001</v>
      </c>
      <c r="AD6191">
        <v>-1.11225296175848</v>
      </c>
      <c r="AE6191">
        <v>0.48044999999999699</v>
      </c>
      <c r="AF6191">
        <v>-3.6931575832700201</v>
      </c>
      <c r="AG6191">
        <v>-1.11225296175848</v>
      </c>
      <c r="AH6191">
        <v>17.164013315905201</v>
      </c>
      <c r="AI6191">
        <v>93.624931157180001</v>
      </c>
      <c r="AJ6191">
        <v>102.143115879943</v>
      </c>
      <c r="AK6191">
        <v>17.5920400378801</v>
      </c>
      <c r="AL6191">
        <v>79.033647355172604</v>
      </c>
      <c r="AM6191">
        <v>93.400358651475003</v>
      </c>
      <c r="AN6191">
        <v>1.0000000265850799</v>
      </c>
    </row>
    <row r="6192" spans="1:40" x14ac:dyDescent="0.25">
      <c r="A6192" t="str">
        <f>"20190312173049505"</f>
        <v>20190312173049505</v>
      </c>
      <c r="B6192" t="str">
        <f>"1552383049494088"</f>
        <v>1552383049494088</v>
      </c>
      <c r="C6192" t="s">
        <v>40</v>
      </c>
      <c r="D6192">
        <v>3.1457549999999999</v>
      </c>
      <c r="E6192">
        <v>0.44395800000000002</v>
      </c>
      <c r="F6192" t="s">
        <v>41</v>
      </c>
      <c r="G6192">
        <v>-260.93869999999998</v>
      </c>
      <c r="H6192" s="1">
        <v>6.7133670000000005E-8</v>
      </c>
      <c r="I6192">
        <v>-62.356389999999998</v>
      </c>
      <c r="J6192">
        <v>-278.50779999999997</v>
      </c>
      <c r="K6192">
        <v>1.1122529999999999</v>
      </c>
      <c r="L6192">
        <v>-62.870179999999998</v>
      </c>
      <c r="M6192">
        <v>0.9833229</v>
      </c>
      <c r="N6192">
        <v>0</v>
      </c>
      <c r="O6192">
        <v>-0.18161160000000001</v>
      </c>
      <c r="P6192">
        <v>0.97588079999999999</v>
      </c>
      <c r="Q6192">
        <v>0.18066560000000001</v>
      </c>
      <c r="R6192">
        <v>-0.1225431</v>
      </c>
      <c r="S6192">
        <v>3.12262</v>
      </c>
      <c r="T6192">
        <v>-0.19646530000000001</v>
      </c>
      <c r="U6192">
        <v>8.7524409999999997E-2</v>
      </c>
      <c r="V6192">
        <v>-5.7906390000000002E-2</v>
      </c>
      <c r="W6192">
        <v>0.18980079999999999</v>
      </c>
      <c r="X6192">
        <v>0.98011349999999997</v>
      </c>
      <c r="Y6192">
        <v>-0.20833260000000001</v>
      </c>
      <c r="Z6192">
        <v>1.7918860000000002E-2</v>
      </c>
      <c r="AA6192">
        <v>0.97789389999999998</v>
      </c>
      <c r="AB6192">
        <v>23</v>
      </c>
      <c r="AC6192">
        <v>17.569099999999899</v>
      </c>
      <c r="AD6192">
        <v>-1.11225293286633</v>
      </c>
      <c r="AE6192">
        <v>0.51378999999999997</v>
      </c>
      <c r="AF6192">
        <v>-3.6814044704714499</v>
      </c>
      <c r="AG6192">
        <v>-1.11225293286633</v>
      </c>
      <c r="AH6192">
        <v>17.1150543545644</v>
      </c>
      <c r="AI6192">
        <v>93.635325778977503</v>
      </c>
      <c r="AJ6192">
        <v>102.139216595802</v>
      </c>
      <c r="AK6192">
        <v>17.541805238388999</v>
      </c>
      <c r="AL6192">
        <v>79.058840468503405</v>
      </c>
      <c r="AM6192">
        <v>93.381179277754995</v>
      </c>
      <c r="AN6192">
        <v>0.99999998328285999</v>
      </c>
    </row>
    <row r="6193" spans="1:40" x14ac:dyDescent="0.25">
      <c r="A6193" t="str">
        <f>"20190312173049516"</f>
        <v>20190312173049516</v>
      </c>
      <c r="B6193" t="str">
        <f>"1552383049503848"</f>
        <v>1552383049503848</v>
      </c>
      <c r="C6193" t="s">
        <v>40</v>
      </c>
      <c r="D6193">
        <v>3.1159110000000001</v>
      </c>
      <c r="E6193">
        <v>0.4439881</v>
      </c>
      <c r="F6193" t="s">
        <v>41</v>
      </c>
      <c r="G6193">
        <v>-260.94240000000002</v>
      </c>
      <c r="H6193" s="1">
        <v>6.7454660000000002E-8</v>
      </c>
      <c r="I6193">
        <v>-62.349220000000003</v>
      </c>
      <c r="J6193">
        <v>-278.39249999999998</v>
      </c>
      <c r="K6193">
        <v>1.1122529999999999</v>
      </c>
      <c r="L6193">
        <v>-62.889069999999997</v>
      </c>
      <c r="M6193">
        <v>0.98371370000000002</v>
      </c>
      <c r="N6193">
        <v>0</v>
      </c>
      <c r="O6193">
        <v>-0.17948749999999999</v>
      </c>
      <c r="P6193">
        <v>0.97614069999999997</v>
      </c>
      <c r="Q6193">
        <v>0.18048710000000001</v>
      </c>
      <c r="R6193">
        <v>-0.12072280000000001</v>
      </c>
      <c r="S6193">
        <v>3.1223450000000001</v>
      </c>
      <c r="T6193">
        <v>-0.19770840000000001</v>
      </c>
      <c r="U6193">
        <v>9.2590329999999998E-2</v>
      </c>
      <c r="V6193">
        <v>-5.7624729999999999E-2</v>
      </c>
      <c r="W6193">
        <v>0.18954009999999999</v>
      </c>
      <c r="X6193">
        <v>0.98018059999999996</v>
      </c>
      <c r="Y6193">
        <v>-0.2078035</v>
      </c>
      <c r="Z6193">
        <v>1.788402E-2</v>
      </c>
      <c r="AA6193">
        <v>0.97800710000000002</v>
      </c>
      <c r="AB6193">
        <v>23</v>
      </c>
      <c r="AC6193">
        <v>17.4500999999999</v>
      </c>
      <c r="AD6193">
        <v>-1.1122529325453401</v>
      </c>
      <c r="AE6193">
        <v>0.53985000000000105</v>
      </c>
      <c r="AF6193">
        <v>-3.6484919993935598</v>
      </c>
      <c r="AG6193">
        <v>-1.1122529325453401</v>
      </c>
      <c r="AH6193">
        <v>17.000785373760799</v>
      </c>
      <c r="AI6193">
        <v>93.660061489783601</v>
      </c>
      <c r="AJ6193">
        <v>102.112370409184</v>
      </c>
      <c r="AK6193">
        <v>17.423412518225899</v>
      </c>
      <c r="AL6193">
        <v>79.074054189667706</v>
      </c>
      <c r="AM6193">
        <v>93.3645410947248</v>
      </c>
      <c r="AN6193">
        <v>1.00000003381597</v>
      </c>
    </row>
    <row r="6194" spans="1:40" x14ac:dyDescent="0.25">
      <c r="A6194" t="str">
        <f>"20190312173049527"</f>
        <v>20190312173049527</v>
      </c>
      <c r="B6194" t="str">
        <f>"1552383049523367"</f>
        <v>1552383049523367</v>
      </c>
      <c r="C6194" t="s">
        <v>40</v>
      </c>
      <c r="D6194">
        <v>3.155805</v>
      </c>
      <c r="E6194">
        <v>0.4441524</v>
      </c>
      <c r="F6194" t="s">
        <v>41</v>
      </c>
      <c r="G6194">
        <v>-260.83710000000002</v>
      </c>
      <c r="H6194" s="1">
        <v>1.1579539999999999E-7</v>
      </c>
      <c r="I6194">
        <v>-62.337299999999999</v>
      </c>
      <c r="J6194">
        <v>-278.28649999999999</v>
      </c>
      <c r="K6194">
        <v>1.112252</v>
      </c>
      <c r="L6194">
        <v>-62.906309999999998</v>
      </c>
      <c r="M6194">
        <v>0.98406879999999997</v>
      </c>
      <c r="N6194">
        <v>0</v>
      </c>
      <c r="O6194">
        <v>-0.17753429999999901</v>
      </c>
      <c r="P6194">
        <v>0.97630859999999997</v>
      </c>
      <c r="Q6194">
        <v>0.180622</v>
      </c>
      <c r="R6194">
        <v>-0.1191531</v>
      </c>
      <c r="S6194">
        <v>3.1220089999999998</v>
      </c>
      <c r="T6194">
        <v>-0.19780020000000001</v>
      </c>
      <c r="U6194">
        <v>9.8114010000000001E-2</v>
      </c>
      <c r="V6194">
        <v>-5.7253390000000001E-2</v>
      </c>
      <c r="W6194">
        <v>0.18960189999999999</v>
      </c>
      <c r="X6194">
        <v>0.98019040000000002</v>
      </c>
      <c r="Y6194">
        <v>-0.20759710000000001</v>
      </c>
      <c r="Z6194">
        <v>1.7765400000000001E-2</v>
      </c>
      <c r="AA6194">
        <v>0.97805310000000001</v>
      </c>
      <c r="AB6194">
        <v>23</v>
      </c>
      <c r="AC6194">
        <v>17.449399999999901</v>
      </c>
      <c r="AD6194">
        <v>-1.1122518842046001</v>
      </c>
      <c r="AE6194">
        <v>0.56900999999999802</v>
      </c>
      <c r="AF6194">
        <v>-3.6431904168556102</v>
      </c>
      <c r="AG6194">
        <v>-1.1122518842046001</v>
      </c>
      <c r="AH6194">
        <v>17.0021548548924</v>
      </c>
      <c r="AI6194">
        <v>93.660010308357997</v>
      </c>
      <c r="AJ6194">
        <v>102.094343116251</v>
      </c>
      <c r="AK6194">
        <v>17.423639412508699</v>
      </c>
      <c r="AL6194">
        <v>79.070447828368302</v>
      </c>
      <c r="AM6194">
        <v>93.342875610264201</v>
      </c>
      <c r="AN6194">
        <v>1.0000000257011299</v>
      </c>
    </row>
    <row r="6195" spans="1:40" x14ac:dyDescent="0.25">
      <c r="A6195" t="str">
        <f>"20190312173049538"</f>
        <v>20190312173049538</v>
      </c>
      <c r="B6195" t="str">
        <f>"1552383049534106"</f>
        <v>1552383049534106</v>
      </c>
      <c r="C6195" t="s">
        <v>40</v>
      </c>
      <c r="D6195">
        <v>3.2176879999999999</v>
      </c>
      <c r="E6195">
        <v>0.44425389999999998</v>
      </c>
      <c r="F6195" t="s">
        <v>41</v>
      </c>
      <c r="G6195">
        <v>-260.73579999999998</v>
      </c>
      <c r="H6195" s="1">
        <v>1.6019710000000001E-7</v>
      </c>
      <c r="I6195">
        <v>-62.333730000000003</v>
      </c>
      <c r="J6195">
        <v>-278.1694</v>
      </c>
      <c r="K6195">
        <v>1.1122510000000001</v>
      </c>
      <c r="L6195">
        <v>-62.925049999999999</v>
      </c>
      <c r="M6195">
        <v>0.98445590000000005</v>
      </c>
      <c r="N6195">
        <v>0</v>
      </c>
      <c r="O6195">
        <v>-0.17537839999999999</v>
      </c>
      <c r="P6195">
        <v>0.9765085</v>
      </c>
      <c r="Q6195">
        <v>0.18061869999999999</v>
      </c>
      <c r="R6195">
        <v>-0.1175076</v>
      </c>
      <c r="S6195">
        <v>3.121826</v>
      </c>
      <c r="T6195">
        <v>-0.19784199999999999</v>
      </c>
      <c r="U6195">
        <v>0.1018372</v>
      </c>
      <c r="V6195">
        <v>-5.676022E-2</v>
      </c>
      <c r="W6195">
        <v>0.1895241</v>
      </c>
      <c r="X6195">
        <v>0.9802341</v>
      </c>
      <c r="Y6195">
        <v>-0.20662739999999999</v>
      </c>
      <c r="Z6195">
        <v>1.7604439999999999E-2</v>
      </c>
      <c r="AA6195">
        <v>0.9782613</v>
      </c>
      <c r="AB6195">
        <v>23</v>
      </c>
      <c r="AC6195">
        <v>17.433599999999998</v>
      </c>
      <c r="AD6195">
        <v>-1.1122508398028901</v>
      </c>
      <c r="AE6195">
        <v>0.59131999999999596</v>
      </c>
      <c r="AF6195">
        <v>-3.6250291389367399</v>
      </c>
      <c r="AG6195">
        <v>-1.1122508398028901</v>
      </c>
      <c r="AH6195">
        <v>16.990586680297501</v>
      </c>
      <c r="AI6195">
        <v>93.6631814379611</v>
      </c>
      <c r="AJ6195">
        <v>102.04377062841699</v>
      </c>
      <c r="AK6195">
        <v>17.4085603634961</v>
      </c>
      <c r="AL6195">
        <v>79.074987459227501</v>
      </c>
      <c r="AM6195">
        <v>93.313997747920993</v>
      </c>
      <c r="AN6195">
        <v>0.99999999892903402</v>
      </c>
    </row>
    <row r="6196" spans="1:40" x14ac:dyDescent="0.25">
      <c r="A6196" t="str">
        <f>"20190312173049549"</f>
        <v>20190312173049549</v>
      </c>
      <c r="B6196" t="str">
        <f>"1552383049543863"</f>
        <v>1552383049543863</v>
      </c>
      <c r="C6196" t="s">
        <v>40</v>
      </c>
      <c r="D6196">
        <v>3.1904319999999999</v>
      </c>
      <c r="E6196">
        <v>0.44436799999999999</v>
      </c>
      <c r="F6196" t="s">
        <v>58</v>
      </c>
      <c r="G6196">
        <v>-260.6182</v>
      </c>
      <c r="H6196" s="1">
        <v>2.1205989999999999E-7</v>
      </c>
      <c r="I6196">
        <v>-62.328530000000001</v>
      </c>
      <c r="J6196">
        <v>-278.05650000000003</v>
      </c>
      <c r="K6196">
        <v>1.112252</v>
      </c>
      <c r="L6196">
        <v>-62.9428699999999</v>
      </c>
      <c r="M6196">
        <v>0.98482499999999995</v>
      </c>
      <c r="N6196">
        <v>0</v>
      </c>
      <c r="O6196">
        <v>-0.17329900000000001</v>
      </c>
      <c r="P6196">
        <v>0.97669709999999998</v>
      </c>
      <c r="Q6196">
        <v>0.18069470000000001</v>
      </c>
      <c r="R6196">
        <v>-0.11581320000000001</v>
      </c>
      <c r="S6196">
        <v>3.1214900000000001</v>
      </c>
      <c r="T6196">
        <v>-0.19781409999999999</v>
      </c>
      <c r="U6196">
        <v>0.1060791</v>
      </c>
      <c r="V6196">
        <v>-5.6390889999999999E-2</v>
      </c>
      <c r="W6196">
        <v>0.18953120000000001</v>
      </c>
      <c r="X6196">
        <v>0.98025410000000002</v>
      </c>
      <c r="Y6196">
        <v>-0.2058982</v>
      </c>
      <c r="Z6196">
        <v>1.7450440000000001E-2</v>
      </c>
      <c r="AA6196">
        <v>0.9784178</v>
      </c>
      <c r="AB6196">
        <v>23</v>
      </c>
      <c r="AC6196">
        <v>17.438300000000002</v>
      </c>
      <c r="AD6196">
        <v>-1.1122517879400999</v>
      </c>
      <c r="AE6196">
        <v>0.61433999999998401</v>
      </c>
      <c r="AF6196">
        <v>-3.6125372891749601</v>
      </c>
      <c r="AG6196">
        <v>-1.1122517879400999</v>
      </c>
      <c r="AH6196">
        <v>16.998884816169699</v>
      </c>
      <c r="AI6196">
        <v>93.662025314876104</v>
      </c>
      <c r="AJ6196">
        <v>101.99778379423</v>
      </c>
      <c r="AK6196">
        <v>17.414063704341402</v>
      </c>
      <c r="AL6196">
        <v>79.074573763578798</v>
      </c>
      <c r="AM6196">
        <v>93.292414642198594</v>
      </c>
      <c r="AN6196">
        <v>1.00000005440761</v>
      </c>
    </row>
    <row r="6197" spans="1:40" x14ac:dyDescent="0.25">
      <c r="A6197" t="str">
        <f>"20190312173049560"</f>
        <v>20190312173049560</v>
      </c>
      <c r="B6197" t="str">
        <f>"1552383049553623"</f>
        <v>1552383049553623</v>
      </c>
      <c r="C6197" t="s">
        <v>40</v>
      </c>
      <c r="D6197">
        <v>3.1939120000000001</v>
      </c>
      <c r="E6197">
        <v>0.44448330000000003</v>
      </c>
      <c r="F6197" t="s">
        <v>41</v>
      </c>
      <c r="G6197">
        <v>-260.44200000000001</v>
      </c>
      <c r="H6197" s="1">
        <v>2.9040239999999998E-7</v>
      </c>
      <c r="I6197">
        <v>-62.318129999999996</v>
      </c>
      <c r="J6197">
        <v>-277.94810000000001</v>
      </c>
      <c r="K6197">
        <v>1.1122510000000001</v>
      </c>
      <c r="L6197">
        <v>-62.959809999999997</v>
      </c>
      <c r="M6197">
        <v>0.98517449999999995</v>
      </c>
      <c r="N6197">
        <v>0</v>
      </c>
      <c r="O6197">
        <v>-0.1713035</v>
      </c>
      <c r="P6197">
        <v>0.97686949999999995</v>
      </c>
      <c r="Q6197">
        <v>0.18092559999999999</v>
      </c>
      <c r="R6197">
        <v>-0.113982</v>
      </c>
      <c r="S6197">
        <v>3.1211549999999999</v>
      </c>
      <c r="T6197">
        <v>-0.1970826</v>
      </c>
      <c r="U6197">
        <v>0.1106873</v>
      </c>
      <c r="V6197">
        <v>-5.6239949999999997E-2</v>
      </c>
      <c r="W6197">
        <v>0.18969639999999999</v>
      </c>
      <c r="X6197">
        <v>0.98023070000000001</v>
      </c>
      <c r="Y6197">
        <v>-0.20537279999999999</v>
      </c>
      <c r="Z6197">
        <v>1.7246640000000001E-2</v>
      </c>
      <c r="AA6197">
        <v>0.97853179999999995</v>
      </c>
      <c r="AB6197">
        <v>23</v>
      </c>
      <c r="AC6197">
        <v>17.5061</v>
      </c>
      <c r="AD6197">
        <v>-1.1122507095976</v>
      </c>
      <c r="AE6197">
        <v>0.64167999999999303</v>
      </c>
      <c r="AF6197">
        <v>-3.6166001467468698</v>
      </c>
      <c r="AG6197">
        <v>-1.1122507095976</v>
      </c>
      <c r="AH6197">
        <v>17.068572636307199</v>
      </c>
      <c r="AI6197">
        <v>93.647575914789797</v>
      </c>
      <c r="AJ6197">
        <v>101.963262960945</v>
      </c>
      <c r="AK6197">
        <v>17.482936541192</v>
      </c>
      <c r="AL6197">
        <v>79.064932358147104</v>
      </c>
      <c r="AM6197">
        <v>93.283699447736097</v>
      </c>
      <c r="AN6197">
        <v>0.99999994068572395</v>
      </c>
    </row>
    <row r="6198" spans="1:40" x14ac:dyDescent="0.25">
      <c r="A6198" t="str">
        <f>"20190312173049573"</f>
        <v>20190312173049573</v>
      </c>
      <c r="B6198" t="str">
        <f>"1552383049563384"</f>
        <v>1552383049563384</v>
      </c>
      <c r="C6198" t="s">
        <v>40</v>
      </c>
      <c r="D6198">
        <v>3.1663350000000001</v>
      </c>
      <c r="E6198">
        <v>0.44462160000000001</v>
      </c>
      <c r="F6198" t="s">
        <v>41</v>
      </c>
      <c r="G6198">
        <v>-260.24799999999999</v>
      </c>
      <c r="H6198" s="1">
        <v>3.7718969999999998E-7</v>
      </c>
      <c r="I6198">
        <v>-62.304789999999997</v>
      </c>
      <c r="J6198">
        <v>-277.8304</v>
      </c>
      <c r="K6198">
        <v>1.1122479999999999</v>
      </c>
      <c r="L6198">
        <v>-62.97784</v>
      </c>
      <c r="M6198">
        <v>0.98554940000000002</v>
      </c>
      <c r="N6198">
        <v>0</v>
      </c>
      <c r="O6198">
        <v>-0.16913629999999999</v>
      </c>
      <c r="P6198">
        <v>0.97711550000000003</v>
      </c>
      <c r="Q6198">
        <v>0.180644</v>
      </c>
      <c r="R6198">
        <v>-0.1123079</v>
      </c>
      <c r="S6198">
        <v>3.120819</v>
      </c>
      <c r="T6198">
        <v>-0.19610739999999999</v>
      </c>
      <c r="U6198">
        <v>0.1154785</v>
      </c>
      <c r="V6198">
        <v>-5.5773049999999998E-2</v>
      </c>
      <c r="W6198">
        <v>0.1893505</v>
      </c>
      <c r="X6198">
        <v>0.98032430000000004</v>
      </c>
      <c r="Y6198">
        <v>-0.20473730000000001</v>
      </c>
      <c r="Z6198">
        <v>1.7008539999999999E-2</v>
      </c>
      <c r="AA6198">
        <v>0.97866920000000002</v>
      </c>
      <c r="AB6198">
        <v>23</v>
      </c>
      <c r="AC6198">
        <v>17.5824</v>
      </c>
      <c r="AD6198">
        <v>-1.1122476228103</v>
      </c>
      <c r="AE6198">
        <v>0.67304999999999604</v>
      </c>
      <c r="AF6198">
        <v>-3.6228249078606698</v>
      </c>
      <c r="AG6198">
        <v>-1.1122476228103</v>
      </c>
      <c r="AH6198">
        <v>17.146704854626101</v>
      </c>
      <c r="AI6198">
        <v>93.631431423909802</v>
      </c>
      <c r="AJ6198">
        <v>101.930223028917</v>
      </c>
      <c r="AK6198">
        <v>17.5605080353366</v>
      </c>
      <c r="AL6198">
        <v>79.085117322813801</v>
      </c>
      <c r="AM6198">
        <v>93.256187071668705</v>
      </c>
      <c r="AN6198">
        <v>0.99999998906352106</v>
      </c>
    </row>
    <row r="6199" spans="1:40" x14ac:dyDescent="0.25">
      <c r="A6199" t="str">
        <f>"20190312173049584"</f>
        <v>20190312173049584</v>
      </c>
      <c r="B6199" t="str">
        <f>"1552383049574119"</f>
        <v>1552383049574119</v>
      </c>
      <c r="C6199" t="s">
        <v>40</v>
      </c>
      <c r="D6199">
        <v>3.2449400000000002</v>
      </c>
      <c r="E6199">
        <v>0.4447082</v>
      </c>
      <c r="F6199" t="s">
        <v>41</v>
      </c>
      <c r="G6199">
        <v>-260.19529999999997</v>
      </c>
      <c r="H6199" s="1">
        <v>4.0073119999999997E-7</v>
      </c>
      <c r="I6199">
        <v>-62.301180000000002</v>
      </c>
      <c r="J6199">
        <v>-277.70850000000002</v>
      </c>
      <c r="K6199">
        <v>1.1122479999999999</v>
      </c>
      <c r="L6199">
        <v>-62.996369999999999</v>
      </c>
      <c r="M6199">
        <v>0.98593280000000005</v>
      </c>
      <c r="N6199">
        <v>0</v>
      </c>
      <c r="O6199">
        <v>-0.1668917</v>
      </c>
      <c r="P6199">
        <v>0.97732649999999999</v>
      </c>
      <c r="Q6199">
        <v>0.18064179999999999</v>
      </c>
      <c r="R6199">
        <v>-0.11046060000000001</v>
      </c>
      <c r="S6199">
        <v>3.120422</v>
      </c>
      <c r="T6199">
        <v>-0.19680610000000001</v>
      </c>
      <c r="U6199">
        <v>0.11972049999999999</v>
      </c>
      <c r="V6199">
        <v>-5.5396550000000003E-2</v>
      </c>
      <c r="W6199">
        <v>0.18928249999999999</v>
      </c>
      <c r="X6199">
        <v>0.98035879999999997</v>
      </c>
      <c r="Y6199">
        <v>-0.20384240000000001</v>
      </c>
      <c r="Z6199">
        <v>1.6902779999999999E-2</v>
      </c>
      <c r="AA6199">
        <v>0.9788578</v>
      </c>
      <c r="AB6199">
        <v>23</v>
      </c>
      <c r="AC6199">
        <v>17.513200000000001</v>
      </c>
      <c r="AD6199">
        <v>-1.1122475992687999</v>
      </c>
      <c r="AE6199">
        <v>0.69518999999999598</v>
      </c>
      <c r="AF6199">
        <v>-3.59389647222639</v>
      </c>
      <c r="AG6199">
        <v>-1.1122475992687999</v>
      </c>
      <c r="AH6199">
        <v>17.0827412260996</v>
      </c>
      <c r="AI6199">
        <v>93.645654250499007</v>
      </c>
      <c r="AJ6199">
        <v>101.880724656805</v>
      </c>
      <c r="AK6199">
        <v>17.492090623280099</v>
      </c>
      <c r="AL6199">
        <v>79.089085417661494</v>
      </c>
      <c r="AM6199">
        <v>93.234139192491</v>
      </c>
      <c r="AN6199">
        <v>1.0000000096477899</v>
      </c>
    </row>
    <row r="6200" spans="1:40" x14ac:dyDescent="0.25">
      <c r="A6200" t="str">
        <f>"20190312173049594"</f>
        <v>20190312173049594</v>
      </c>
      <c r="B6200" t="str">
        <f>"1552383049583881"</f>
        <v>1552383049583881</v>
      </c>
      <c r="C6200" t="s">
        <v>40</v>
      </c>
      <c r="D6200">
        <v>3.2403499999999998</v>
      </c>
      <c r="E6200">
        <v>0.44485200000000003</v>
      </c>
      <c r="F6200" t="s">
        <v>41</v>
      </c>
      <c r="G6200">
        <v>-260.04480000000001</v>
      </c>
      <c r="H6200" s="1">
        <v>4.6840749999999998E-7</v>
      </c>
      <c r="I6200">
        <v>-62.289490000000001</v>
      </c>
      <c r="J6200">
        <v>-277.6037</v>
      </c>
      <c r="K6200">
        <v>1.112249</v>
      </c>
      <c r="L6200">
        <v>-63.011960000000002</v>
      </c>
      <c r="M6200">
        <v>0.98625779999999996</v>
      </c>
      <c r="N6200">
        <v>0</v>
      </c>
      <c r="O6200">
        <v>-0.164963</v>
      </c>
      <c r="P6200">
        <v>0.97752340000000004</v>
      </c>
      <c r="Q6200">
        <v>0.18062349999999999</v>
      </c>
      <c r="R6200">
        <v>-0.108734</v>
      </c>
      <c r="S6200">
        <v>3.1200260000000002</v>
      </c>
      <c r="T6200">
        <v>-0.19646179999999999</v>
      </c>
      <c r="U6200">
        <v>0.1248474</v>
      </c>
      <c r="V6200">
        <v>-5.5214069999999997E-2</v>
      </c>
      <c r="W6200">
        <v>0.18921180000000001</v>
      </c>
      <c r="X6200">
        <v>0.98038270000000005</v>
      </c>
      <c r="Y6200">
        <v>-0.20354530000000001</v>
      </c>
      <c r="Z6200">
        <v>1.6745679999999999E-2</v>
      </c>
      <c r="AA6200">
        <v>0.97892230000000002</v>
      </c>
      <c r="AB6200">
        <v>23</v>
      </c>
      <c r="AC6200">
        <v>17.558899999999898</v>
      </c>
      <c r="AD6200">
        <v>-1.1122485315924999</v>
      </c>
      <c r="AE6200">
        <v>0.72246999999999395</v>
      </c>
      <c r="AF6200">
        <v>-3.5948600494237302</v>
      </c>
      <c r="AG6200">
        <v>-1.1122485315924999</v>
      </c>
      <c r="AH6200">
        <v>17.1305139129297</v>
      </c>
      <c r="AI6200">
        <v>93.6359048331677</v>
      </c>
      <c r="AJ6200">
        <v>101.85161704203</v>
      </c>
      <c r="AK6200">
        <v>17.538945877448</v>
      </c>
      <c r="AL6200">
        <v>79.0932103236469</v>
      </c>
      <c r="AM6200">
        <v>93.223429804098998</v>
      </c>
      <c r="AN6200">
        <v>0.99999996862224605</v>
      </c>
    </row>
    <row r="6201" spans="1:40" x14ac:dyDescent="0.25">
      <c r="A6201" t="str">
        <f>"20190312173049607"</f>
        <v>20190312173049607</v>
      </c>
      <c r="B6201" t="str">
        <f>"1552383049593640"</f>
        <v>1552383049593640</v>
      </c>
      <c r="C6201" t="s">
        <v>40</v>
      </c>
      <c r="D6201">
        <v>3.2409650000000001</v>
      </c>
      <c r="E6201">
        <v>0.44493840000000001</v>
      </c>
      <c r="F6201" t="s">
        <v>41</v>
      </c>
      <c r="G6201">
        <v>-259.99849999999998</v>
      </c>
      <c r="H6201" s="1">
        <v>4.8951489999999998E-7</v>
      </c>
      <c r="I6201">
        <v>-62.284799999999997</v>
      </c>
      <c r="J6201">
        <v>-277.48320000000001</v>
      </c>
      <c r="K6201">
        <v>1.112255</v>
      </c>
      <c r="L6201">
        <v>-63.029719999999998</v>
      </c>
      <c r="M6201">
        <v>0.98662700000000003</v>
      </c>
      <c r="N6201">
        <v>0</v>
      </c>
      <c r="O6201">
        <v>-0.16274439999999901</v>
      </c>
      <c r="P6201">
        <v>0.97774079999999997</v>
      </c>
      <c r="Q6201">
        <v>0.1805687</v>
      </c>
      <c r="R6201">
        <v>-0.10685500000000001</v>
      </c>
      <c r="S6201">
        <v>3.11972</v>
      </c>
      <c r="T6201">
        <v>-0.19709560000000001</v>
      </c>
      <c r="U6201">
        <v>0.12884519999999999</v>
      </c>
      <c r="V6201">
        <v>-5.4896929999999997E-2</v>
      </c>
      <c r="W6201">
        <v>0.1890985</v>
      </c>
      <c r="X6201">
        <v>0.98042240000000003</v>
      </c>
      <c r="Y6201">
        <v>-0.20260110000000001</v>
      </c>
      <c r="Z6201">
        <v>1.663253E-2</v>
      </c>
      <c r="AA6201">
        <v>0.97912010000000005</v>
      </c>
      <c r="AB6201">
        <v>23</v>
      </c>
      <c r="AC6201">
        <v>17.4847</v>
      </c>
      <c r="AD6201">
        <v>-1.1122545104851</v>
      </c>
      <c r="AE6201">
        <v>0.74492000000000003</v>
      </c>
      <c r="AF6201">
        <v>-3.56623593179738</v>
      </c>
      <c r="AG6201">
        <v>-1.1122545104851</v>
      </c>
      <c r="AH6201">
        <v>17.061427014418999</v>
      </c>
      <c r="AI6201">
        <v>93.651212396838204</v>
      </c>
      <c r="AJ6201">
        <v>101.80617194953901</v>
      </c>
      <c r="AK6201">
        <v>17.465607363778801</v>
      </c>
      <c r="AL6201">
        <v>79.099821617339899</v>
      </c>
      <c r="AM6201">
        <v>93.204824186162696</v>
      </c>
      <c r="AN6201">
        <v>0.99999999902371695</v>
      </c>
    </row>
    <row r="6202" spans="1:40" x14ac:dyDescent="0.25">
      <c r="A6202" t="str">
        <f>"20190312173049616"</f>
        <v>20190312173049616</v>
      </c>
      <c r="B6202" t="str">
        <f>"1552383049603400"</f>
        <v>1552383049603400</v>
      </c>
      <c r="C6202" t="s">
        <v>40</v>
      </c>
      <c r="D6202">
        <v>3.2625419999999998</v>
      </c>
      <c r="E6202">
        <v>0.44501950000000001</v>
      </c>
      <c r="F6202" t="s">
        <v>59</v>
      </c>
      <c r="G6202">
        <v>-259.88299999999998</v>
      </c>
      <c r="H6202" s="1">
        <v>-3.6389680000000002E-6</v>
      </c>
      <c r="I6202">
        <v>-62.273819999999901</v>
      </c>
      <c r="J6202">
        <v>-277.38319999999999</v>
      </c>
      <c r="K6202">
        <v>1.112258</v>
      </c>
      <c r="L6202">
        <v>-63.04419</v>
      </c>
      <c r="M6202">
        <v>0.98692899999999995</v>
      </c>
      <c r="N6202">
        <v>0</v>
      </c>
      <c r="O6202">
        <v>-0.1609043</v>
      </c>
      <c r="P6202">
        <v>0.97786550000000005</v>
      </c>
      <c r="Q6202">
        <v>0.18064659999999999</v>
      </c>
      <c r="R6202">
        <v>-0.1055743</v>
      </c>
      <c r="S6202">
        <v>3.119354</v>
      </c>
      <c r="T6202">
        <v>-0.19713040000000001</v>
      </c>
      <c r="U6202">
        <v>0.13397220000000001</v>
      </c>
      <c r="V6202">
        <v>-5.4353319999999997E-2</v>
      </c>
      <c r="W6202">
        <v>0.18913269999999999</v>
      </c>
      <c r="X6202">
        <v>0.98044609999999999</v>
      </c>
      <c r="Y6202">
        <v>-0.20238999999999999</v>
      </c>
      <c r="Z6202">
        <v>1.651536E-2</v>
      </c>
      <c r="AA6202">
        <v>0.97916570000000003</v>
      </c>
      <c r="AB6202">
        <v>23</v>
      </c>
      <c r="AC6202">
        <v>17.5002</v>
      </c>
      <c r="AD6202">
        <v>-1.112261638968</v>
      </c>
      <c r="AE6202">
        <v>0.77037000000000599</v>
      </c>
      <c r="AF6202">
        <v>-3.56194204176651</v>
      </c>
      <c r="AG6202">
        <v>-1.112261638968</v>
      </c>
      <c r="AH6202">
        <v>17.079334590480599</v>
      </c>
      <c r="AI6202">
        <v>93.647760251313002</v>
      </c>
      <c r="AJ6202">
        <v>101.780336606734</v>
      </c>
      <c r="AK6202">
        <v>17.482226034347299</v>
      </c>
      <c r="AL6202">
        <v>79.097826194510404</v>
      </c>
      <c r="AM6202">
        <v>93.173077442822603</v>
      </c>
      <c r="AN6202">
        <v>1.00000000830476</v>
      </c>
    </row>
    <row r="6203" spans="1:40" x14ac:dyDescent="0.25">
      <c r="A6203" t="str">
        <f>"20190312173049628"</f>
        <v>20190312173049628</v>
      </c>
      <c r="B6203" t="str">
        <f>"1552383049623899"</f>
        <v>1552383049623899</v>
      </c>
      <c r="C6203" t="s">
        <v>40</v>
      </c>
      <c r="D6203">
        <v>3.22166</v>
      </c>
      <c r="E6203">
        <v>0.44525559999999997</v>
      </c>
      <c r="F6203" t="s">
        <v>59</v>
      </c>
      <c r="G6203">
        <v>-259.74959999999999</v>
      </c>
      <c r="H6203" s="1">
        <v>-3.59284E-6</v>
      </c>
      <c r="I6203">
        <v>-62.268329999999999</v>
      </c>
      <c r="J6203">
        <v>-277.26240000000001</v>
      </c>
      <c r="K6203">
        <v>1.11226</v>
      </c>
      <c r="L6203">
        <v>-63.061489999999999</v>
      </c>
      <c r="M6203">
        <v>0.98728930000000004</v>
      </c>
      <c r="N6203">
        <v>0</v>
      </c>
      <c r="O6203">
        <v>-0.158681399999999</v>
      </c>
      <c r="P6203">
        <v>0.97801959999999999</v>
      </c>
      <c r="Q6203">
        <v>0.18084729999999999</v>
      </c>
      <c r="R6203">
        <v>-0.1037875</v>
      </c>
      <c r="S6203">
        <v>3.11911</v>
      </c>
      <c r="T6203">
        <v>-0.1967421</v>
      </c>
      <c r="U6203">
        <v>0.13723750000000001</v>
      </c>
      <c r="V6203">
        <v>-5.3934740000000002E-2</v>
      </c>
      <c r="W6203">
        <v>0.18927930000000001</v>
      </c>
      <c r="X6203">
        <v>0.98044089999999995</v>
      </c>
      <c r="Y6203">
        <v>-0.2012206</v>
      </c>
      <c r="Z6203">
        <v>1.630829E-2</v>
      </c>
      <c r="AA6203">
        <v>0.97941020000000001</v>
      </c>
      <c r="AB6203">
        <v>23</v>
      </c>
      <c r="AC6203">
        <v>17.512799999999999</v>
      </c>
      <c r="AD6203">
        <v>-1.11226359284</v>
      </c>
      <c r="AE6203">
        <v>0.79315999999999298</v>
      </c>
      <c r="AF6203">
        <v>-3.5478947146269499</v>
      </c>
      <c r="AG6203">
        <v>-1.11226359284</v>
      </c>
      <c r="AH6203">
        <v>17.096207455153799</v>
      </c>
      <c r="AI6203">
        <v>93.644920956203904</v>
      </c>
      <c r="AJ6203">
        <v>101.723907925444</v>
      </c>
      <c r="AK6203">
        <v>17.495856553929801</v>
      </c>
      <c r="AL6203">
        <v>79.089271856150802</v>
      </c>
      <c r="AM6203">
        <v>93.148707302437103</v>
      </c>
      <c r="AN6203">
        <v>0.99999998399008305</v>
      </c>
    </row>
    <row r="6204" spans="1:40" x14ac:dyDescent="0.25">
      <c r="A6204" t="str">
        <f>"20190312173049638"</f>
        <v>20190312173049638</v>
      </c>
      <c r="B6204" t="str">
        <f>"1552383049633655"</f>
        <v>1552383049633655</v>
      </c>
      <c r="C6204" t="s">
        <v>40</v>
      </c>
      <c r="D6204">
        <v>3.2717930000000002</v>
      </c>
      <c r="E6204">
        <v>0.44536219999999999</v>
      </c>
      <c r="F6204" t="s">
        <v>59</v>
      </c>
      <c r="G6204">
        <v>-259.58109999999999</v>
      </c>
      <c r="H6204" s="1">
        <v>-3.534699E-6</v>
      </c>
      <c r="I6204">
        <v>-62.262320000000003</v>
      </c>
      <c r="J6204">
        <v>-277.1481</v>
      </c>
      <c r="K6204">
        <v>1.112263</v>
      </c>
      <c r="L6204">
        <v>-63.077579999999998</v>
      </c>
      <c r="M6204">
        <v>0.9876258</v>
      </c>
      <c r="N6204">
        <v>0</v>
      </c>
      <c r="O6204">
        <v>-0.1565772</v>
      </c>
      <c r="P6204">
        <v>0.97815629999999998</v>
      </c>
      <c r="Q6204">
        <v>0.1809974</v>
      </c>
      <c r="R6204">
        <v>-0.1022276</v>
      </c>
      <c r="S6204">
        <v>3.1186829999999999</v>
      </c>
      <c r="T6204">
        <v>-0.19618479999999999</v>
      </c>
      <c r="U6204">
        <v>0.14096069999999999</v>
      </c>
      <c r="V6204">
        <v>-5.3408629999999999E-2</v>
      </c>
      <c r="W6204">
        <v>0.18938269999999999</v>
      </c>
      <c r="X6204">
        <v>0.98044969999999998</v>
      </c>
      <c r="Y6204">
        <v>-0.20031599999999999</v>
      </c>
      <c r="Z6204">
        <v>1.610464E-2</v>
      </c>
      <c r="AA6204">
        <v>0.979599</v>
      </c>
      <c r="AB6204">
        <v>23</v>
      </c>
      <c r="AC6204">
        <v>17.567</v>
      </c>
      <c r="AD6204">
        <v>-1.1122665346989999</v>
      </c>
      <c r="AE6204">
        <v>0.81526000000000898</v>
      </c>
      <c r="AF6204">
        <v>-3.5417358306234799</v>
      </c>
      <c r="AG6204">
        <v>-1.1122665346989999</v>
      </c>
      <c r="AH6204">
        <v>17.1540298267781</v>
      </c>
      <c r="AI6204">
        <v>93.633438596365295</v>
      </c>
      <c r="AJ6204">
        <v>101.665749138146</v>
      </c>
      <c r="AK6204">
        <v>17.551118734602799</v>
      </c>
      <c r="AL6204">
        <v>79.083237987521997</v>
      </c>
      <c r="AM6204">
        <v>93.118026000634003</v>
      </c>
      <c r="AN6204">
        <v>0.99999995152392696</v>
      </c>
    </row>
    <row r="6205" spans="1:40" x14ac:dyDescent="0.25">
      <c r="A6205" t="str">
        <f>"20190312173049650"</f>
        <v>20190312173049650</v>
      </c>
      <c r="B6205" t="str">
        <f>"1552383049643415"</f>
        <v>1552383049643415</v>
      </c>
      <c r="C6205" t="s">
        <v>40</v>
      </c>
      <c r="D6205">
        <v>3.2716940000000001</v>
      </c>
      <c r="E6205">
        <v>0.44547579999999998</v>
      </c>
      <c r="F6205" t="s">
        <v>59</v>
      </c>
      <c r="G6205">
        <v>-259.41629999999998</v>
      </c>
      <c r="H6205" s="1">
        <v>-3.4771239999999999E-6</v>
      </c>
      <c r="I6205">
        <v>-62.25123</v>
      </c>
      <c r="J6205">
        <v>-277.03230000000002</v>
      </c>
      <c r="K6205">
        <v>1.112268</v>
      </c>
      <c r="L6205">
        <v>-63.093600000000002</v>
      </c>
      <c r="M6205">
        <v>0.98796139999999999</v>
      </c>
      <c r="N6205">
        <v>0</v>
      </c>
      <c r="O6205">
        <v>-0.1544479</v>
      </c>
      <c r="P6205">
        <v>0.9783809</v>
      </c>
      <c r="Q6205">
        <v>0.18088099999999999</v>
      </c>
      <c r="R6205">
        <v>-0.1002648</v>
      </c>
      <c r="S6205">
        <v>3.1183779999999999</v>
      </c>
      <c r="T6205">
        <v>-0.19560720000000001</v>
      </c>
      <c r="U6205">
        <v>0.1453247</v>
      </c>
      <c r="V6205">
        <v>-5.3268219999999998E-2</v>
      </c>
      <c r="W6205">
        <v>0.1892189</v>
      </c>
      <c r="X6205">
        <v>0.98048900000000005</v>
      </c>
      <c r="Y6205">
        <v>-0.19958629999999999</v>
      </c>
      <c r="Z6205">
        <v>1.5903420000000001E-2</v>
      </c>
      <c r="AA6205">
        <v>0.97975120000000004</v>
      </c>
      <c r="AB6205">
        <v>23</v>
      </c>
      <c r="AC6205">
        <v>17.616</v>
      </c>
      <c r="AD6205">
        <v>-1.1122714771240001</v>
      </c>
      <c r="AE6205">
        <v>0.84236999999999496</v>
      </c>
      <c r="AF6205">
        <v>-3.5390453245025801</v>
      </c>
      <c r="AG6205">
        <v>-1.1122714771240001</v>
      </c>
      <c r="AH6205">
        <v>17.206062601866801</v>
      </c>
      <c r="AI6205">
        <v>93.623053732102505</v>
      </c>
      <c r="AJ6205">
        <v>101.622838089929</v>
      </c>
      <c r="AK6205">
        <v>17.601436870524701</v>
      </c>
      <c r="AL6205">
        <v>79.092796245484493</v>
      </c>
      <c r="AM6205">
        <v>93.109720492175896</v>
      </c>
      <c r="AN6205">
        <v>0.99999998725008898</v>
      </c>
    </row>
    <row r="6206" spans="1:40" x14ac:dyDescent="0.25">
      <c r="A6206" t="str">
        <f>"20190312173049660"</f>
        <v>20190312173049660</v>
      </c>
      <c r="B6206" t="str">
        <f>"1552383049654152"</f>
        <v>1552383049654152</v>
      </c>
      <c r="C6206" t="s">
        <v>40</v>
      </c>
      <c r="D6206">
        <v>3.2312129999999999</v>
      </c>
      <c r="E6206">
        <v>0.44563639999999999</v>
      </c>
      <c r="F6206" t="s">
        <v>59</v>
      </c>
      <c r="G6206">
        <v>-259.32190000000003</v>
      </c>
      <c r="H6206" s="1">
        <v>-3.4432590000000001E-6</v>
      </c>
      <c r="I6206">
        <v>-62.238129999999998</v>
      </c>
      <c r="J6206">
        <v>-276.9237</v>
      </c>
      <c r="K6206">
        <v>1.1122700000000001</v>
      </c>
      <c r="L6206">
        <v>-63.108460000000001</v>
      </c>
      <c r="M6206">
        <v>0.98827209999999999</v>
      </c>
      <c r="N6206">
        <v>0</v>
      </c>
      <c r="O6206">
        <v>-0.15244959999999999</v>
      </c>
      <c r="P6206">
        <v>0.97853349999999995</v>
      </c>
      <c r="Q6206">
        <v>0.18094479999999999</v>
      </c>
      <c r="R6206">
        <v>-9.8645999999999998E-2</v>
      </c>
      <c r="S6206">
        <v>3.1178889999999999</v>
      </c>
      <c r="T6206">
        <v>-0.1958133</v>
      </c>
      <c r="U6206">
        <v>0.15060419999999999</v>
      </c>
      <c r="V6206">
        <v>-5.2908440000000001E-2</v>
      </c>
      <c r="W6206">
        <v>0.18924179999999999</v>
      </c>
      <c r="X6206">
        <v>0.98050409999999999</v>
      </c>
      <c r="Y6206">
        <v>-0.19927010000000001</v>
      </c>
      <c r="Z6206">
        <v>1.5787989999999998E-2</v>
      </c>
      <c r="AA6206">
        <v>0.97981739999999995</v>
      </c>
      <c r="AB6206">
        <v>23</v>
      </c>
      <c r="AC6206">
        <v>17.601799999999901</v>
      </c>
      <c r="AD6206">
        <v>-1.112273443259</v>
      </c>
      <c r="AE6206">
        <v>0.87032999999999505</v>
      </c>
      <c r="AF6206">
        <v>-3.5295877413282102</v>
      </c>
      <c r="AG6206">
        <v>-1.112273443259</v>
      </c>
      <c r="AH6206">
        <v>17.194861133499799</v>
      </c>
      <c r="AI6206">
        <v>93.625710626308006</v>
      </c>
      <c r="AJ6206">
        <v>101.599966907297</v>
      </c>
      <c r="AK6206">
        <v>17.5885869596354</v>
      </c>
      <c r="AL6206">
        <v>79.091460458276501</v>
      </c>
      <c r="AM6206">
        <v>93.088710395735703</v>
      </c>
      <c r="AN6206">
        <v>1.0000000260036399</v>
      </c>
    </row>
    <row r="6207" spans="1:40" x14ac:dyDescent="0.25">
      <c r="A6207" t="str">
        <f>"20190312173049672"</f>
        <v>20190312173049672</v>
      </c>
      <c r="B6207" t="str">
        <f>"1552383049663912"</f>
        <v>1552383049663912</v>
      </c>
      <c r="C6207" t="s">
        <v>40</v>
      </c>
      <c r="D6207">
        <v>3.2175600000000002</v>
      </c>
      <c r="E6207">
        <v>0.44579590000000002</v>
      </c>
      <c r="F6207" t="s">
        <v>59</v>
      </c>
      <c r="G6207">
        <v>-259.21820000000002</v>
      </c>
      <c r="H6207" s="1">
        <v>-3.4069980000000001E-6</v>
      </c>
      <c r="I6207">
        <v>-62.230960000000003</v>
      </c>
      <c r="J6207">
        <v>-276.80540000000002</v>
      </c>
      <c r="K6207">
        <v>1.1122730000000001</v>
      </c>
      <c r="L6207">
        <v>-63.124299999999998</v>
      </c>
      <c r="M6207">
        <v>0.98860590000000004</v>
      </c>
      <c r="N6207">
        <v>0</v>
      </c>
      <c r="O6207">
        <v>-0.15027279999999901</v>
      </c>
      <c r="P6207">
        <v>0.97875760000000001</v>
      </c>
      <c r="Q6207">
        <v>0.1808324</v>
      </c>
      <c r="R6207">
        <v>-9.6610719999999997E-2</v>
      </c>
      <c r="S6207">
        <v>3.1176149999999998</v>
      </c>
      <c r="T6207">
        <v>-0.19585050000000001</v>
      </c>
      <c r="U6207">
        <v>0.1545105</v>
      </c>
      <c r="V6207">
        <v>-5.279412E-2</v>
      </c>
      <c r="W6207">
        <v>0.1890849</v>
      </c>
      <c r="X6207">
        <v>0.98054050000000004</v>
      </c>
      <c r="Y6207">
        <v>-0.19834679999999999</v>
      </c>
      <c r="Z6207">
        <v>1.5627559999999999E-2</v>
      </c>
      <c r="AA6207">
        <v>0.98000730000000003</v>
      </c>
      <c r="AB6207">
        <v>23</v>
      </c>
      <c r="AC6207">
        <v>17.5871999999999</v>
      </c>
      <c r="AD6207">
        <v>-1.112276406998</v>
      </c>
      <c r="AE6207">
        <v>0.89334000000000202</v>
      </c>
      <c r="AF6207">
        <v>-3.5121621979598698</v>
      </c>
      <c r="AG6207">
        <v>-1.112276406998</v>
      </c>
      <c r="AH6207">
        <v>17.1846672256627</v>
      </c>
      <c r="AI6207">
        <v>93.628499957317601</v>
      </c>
      <c r="AJ6207">
        <v>101.5509030451</v>
      </c>
      <c r="AK6207">
        <v>17.575131002843399</v>
      </c>
      <c r="AL6207">
        <v>79.1006151150454</v>
      </c>
      <c r="AM6207">
        <v>93.081935264446301</v>
      </c>
      <c r="AN6207">
        <v>0.99999999532741701</v>
      </c>
    </row>
    <row r="6208" spans="1:40" x14ac:dyDescent="0.25">
      <c r="A6208" t="str">
        <f>"20190312173049683"</f>
        <v>20190312173049683</v>
      </c>
      <c r="B6208" t="str">
        <f>"1552383049673672"</f>
        <v>1552383049673672</v>
      </c>
      <c r="C6208" t="s">
        <v>40</v>
      </c>
      <c r="D6208">
        <v>3.2102439999999999</v>
      </c>
      <c r="E6208">
        <v>0.44597130000000001</v>
      </c>
      <c r="F6208" t="s">
        <v>59</v>
      </c>
      <c r="G6208">
        <v>-259.16989999999998</v>
      </c>
      <c r="H6208" s="1">
        <v>-3.389267E-6</v>
      </c>
      <c r="I6208">
        <v>-62.221319999999999</v>
      </c>
      <c r="J6208">
        <v>-276.68830000000003</v>
      </c>
      <c r="K6208">
        <v>1.112276</v>
      </c>
      <c r="L6208">
        <v>-63.139859999999999</v>
      </c>
      <c r="M6208">
        <v>0.98893120000000001</v>
      </c>
      <c r="N6208">
        <v>0</v>
      </c>
      <c r="O6208">
        <v>-0.14811930000000001</v>
      </c>
      <c r="P6208">
        <v>0.97899460000000005</v>
      </c>
      <c r="Q6208">
        <v>0.18053620000000001</v>
      </c>
      <c r="R6208">
        <v>-9.4745360000000001E-2</v>
      </c>
      <c r="S6208">
        <v>3.1171880000000001</v>
      </c>
      <c r="T6208">
        <v>-0.19660169999999999</v>
      </c>
      <c r="U6208">
        <v>0.1596069</v>
      </c>
      <c r="V6208">
        <v>-5.2536220000000002E-2</v>
      </c>
      <c r="W6208">
        <v>0.18874730000000001</v>
      </c>
      <c r="X6208">
        <v>0.98061940000000003</v>
      </c>
      <c r="Y6208">
        <v>-0.19781699999999999</v>
      </c>
      <c r="Z6208">
        <v>1.5537779999999999E-2</v>
      </c>
      <c r="AA6208">
        <v>0.98011579999999998</v>
      </c>
      <c r="AB6208">
        <v>23</v>
      </c>
      <c r="AC6208">
        <v>17.5184</v>
      </c>
      <c r="AD6208">
        <v>-1.112279389267</v>
      </c>
      <c r="AE6208">
        <v>0.91854000000000002</v>
      </c>
      <c r="AF6208">
        <v>-3.4892910953246501</v>
      </c>
      <c r="AG6208">
        <v>-1.112279389267</v>
      </c>
      <c r="AH6208">
        <v>17.120263210724001</v>
      </c>
      <c r="AI6208">
        <v>93.642526528203902</v>
      </c>
      <c r="AJ6208">
        <v>101.519711677807</v>
      </c>
      <c r="AK6208">
        <v>17.507590644979398</v>
      </c>
      <c r="AL6208">
        <v>79.120312943974497</v>
      </c>
      <c r="AM6208">
        <v>93.066662489537194</v>
      </c>
      <c r="AN6208">
        <v>1.00000000266276</v>
      </c>
    </row>
    <row r="6209" spans="1:40" x14ac:dyDescent="0.25">
      <c r="A6209" t="str">
        <f>"20190312173049694"</f>
        <v>20190312173049694</v>
      </c>
      <c r="B6209" t="str">
        <f>"1552383049683432"</f>
        <v>1552383049683432</v>
      </c>
      <c r="C6209" t="s">
        <v>40</v>
      </c>
      <c r="D6209">
        <v>3.206696</v>
      </c>
      <c r="E6209">
        <v>0.4461389</v>
      </c>
      <c r="F6209" t="s">
        <v>59</v>
      </c>
      <c r="G6209">
        <v>-259.16500000000002</v>
      </c>
      <c r="H6209" s="1">
        <v>-3.3870630000000002E-6</v>
      </c>
      <c r="I6209">
        <v>-62.2172699999999</v>
      </c>
      <c r="J6209">
        <v>-276.57839999999999</v>
      </c>
      <c r="K6209">
        <v>1.112276</v>
      </c>
      <c r="L6209">
        <v>-63.154049999999998</v>
      </c>
      <c r="M6209">
        <v>0.98923209999999995</v>
      </c>
      <c r="N6209">
        <v>0</v>
      </c>
      <c r="O6209">
        <v>-0.14609849999999999</v>
      </c>
      <c r="P6209">
        <v>0.97919199999999995</v>
      </c>
      <c r="Q6209">
        <v>0.1803778</v>
      </c>
      <c r="R6209">
        <v>-9.2989950000000002E-2</v>
      </c>
      <c r="S6209">
        <v>3.11673</v>
      </c>
      <c r="T6209">
        <v>-0.1978319</v>
      </c>
      <c r="U6209">
        <v>0.16409299999999999</v>
      </c>
      <c r="V6209">
        <v>-5.2297410000000003E-2</v>
      </c>
      <c r="W6209">
        <v>0.1885521</v>
      </c>
      <c r="X6209">
        <v>0.98066969999999998</v>
      </c>
      <c r="Y6209">
        <v>-0.19722529999999999</v>
      </c>
      <c r="Z6209">
        <v>1.5490779999999999E-2</v>
      </c>
      <c r="AA6209">
        <v>0.98023579999999999</v>
      </c>
      <c r="AB6209">
        <v>23</v>
      </c>
      <c r="AC6209">
        <v>17.4133999999999</v>
      </c>
      <c r="AD6209">
        <v>-1.1122793870629999</v>
      </c>
      <c r="AE6209">
        <v>0.93678000000000605</v>
      </c>
      <c r="AF6209">
        <v>-3.4568315793683602</v>
      </c>
      <c r="AG6209">
        <v>-1.1122793870629999</v>
      </c>
      <c r="AH6209">
        <v>17.020430623961399</v>
      </c>
      <c r="AI6209">
        <v>93.6643416165236</v>
      </c>
      <c r="AJ6209">
        <v>101.48055790589</v>
      </c>
      <c r="AK6209">
        <v>17.403502768928099</v>
      </c>
      <c r="AL6209">
        <v>79.131701396948898</v>
      </c>
      <c r="AM6209">
        <v>93.0525927322619</v>
      </c>
      <c r="AN6209">
        <v>0.99999998700260395</v>
      </c>
    </row>
    <row r="6210" spans="1:40" x14ac:dyDescent="0.25">
      <c r="A6210" t="str">
        <f>"20190312173049705"</f>
        <v>20190312173049705</v>
      </c>
      <c r="B6210" t="str">
        <f>"1552383049694167"</f>
        <v>1552383049694167</v>
      </c>
      <c r="C6210" t="s">
        <v>40</v>
      </c>
      <c r="D6210">
        <v>3.3006549999999999</v>
      </c>
      <c r="E6210">
        <v>0.44627030000000001</v>
      </c>
      <c r="F6210" t="s">
        <v>59</v>
      </c>
      <c r="G6210">
        <v>-259.13060000000002</v>
      </c>
      <c r="H6210" s="1">
        <v>-3.3746799999999999E-6</v>
      </c>
      <c r="I6210">
        <v>-62.2121</v>
      </c>
      <c r="J6210">
        <v>-276.46350000000001</v>
      </c>
      <c r="K6210">
        <v>1.112274</v>
      </c>
      <c r="L6210">
        <v>-63.168819999999997</v>
      </c>
      <c r="M6210">
        <v>0.98954240000000004</v>
      </c>
      <c r="N6210">
        <v>0</v>
      </c>
      <c r="O6210">
        <v>-0.14398459999999999</v>
      </c>
      <c r="P6210">
        <v>0.97939909999999997</v>
      </c>
      <c r="Q6210">
        <v>0.18015100000000001</v>
      </c>
      <c r="R6210">
        <v>-9.1231019999999996E-2</v>
      </c>
      <c r="S6210">
        <v>3.1163639999999999</v>
      </c>
      <c r="T6210">
        <v>-0.19866510000000001</v>
      </c>
      <c r="U6210">
        <v>0.16824339999999999</v>
      </c>
      <c r="V6210">
        <v>-5.1970420000000003E-2</v>
      </c>
      <c r="W6210">
        <v>0.18828800000000001</v>
      </c>
      <c r="X6210">
        <v>0.98073790000000005</v>
      </c>
      <c r="Y6210">
        <v>-0.19643849999999999</v>
      </c>
      <c r="Z6210">
        <v>1.539864E-2</v>
      </c>
      <c r="AA6210">
        <v>0.98039520000000002</v>
      </c>
      <c r="AB6210">
        <v>23</v>
      </c>
      <c r="AC6210">
        <v>17.332899999999899</v>
      </c>
      <c r="AD6210">
        <v>-1.1122773746800001</v>
      </c>
      <c r="AE6210">
        <v>0.95671999999999702</v>
      </c>
      <c r="AF6210">
        <v>-3.42843818366133</v>
      </c>
      <c r="AG6210">
        <v>-1.1122773746800001</v>
      </c>
      <c r="AH6210">
        <v>16.944951450552299</v>
      </c>
      <c r="AI6210">
        <v>93.681163589374506</v>
      </c>
      <c r="AJ6210">
        <v>101.438129417322</v>
      </c>
      <c r="AK6210">
        <v>17.324050594447801</v>
      </c>
      <c r="AL6210">
        <v>79.1471100125314</v>
      </c>
      <c r="AM6210">
        <v>93.033331573791898</v>
      </c>
      <c r="AN6210">
        <v>1.0000000619976901</v>
      </c>
    </row>
    <row r="6211" spans="1:40" x14ac:dyDescent="0.25">
      <c r="A6211" t="str">
        <f>"20190312173049716"</f>
        <v>20190312173049716</v>
      </c>
      <c r="B6211" t="str">
        <f>"1552383049713688"</f>
        <v>1552383049713688</v>
      </c>
      <c r="C6211" t="s">
        <v>40</v>
      </c>
      <c r="D6211">
        <v>3.2666710000000001</v>
      </c>
      <c r="E6211">
        <v>0.4465191</v>
      </c>
      <c r="F6211" t="s">
        <v>59</v>
      </c>
      <c r="G6211">
        <v>-259.0514</v>
      </c>
      <c r="H6211" s="1">
        <v>-3.346574E-6</v>
      </c>
      <c r="I6211">
        <v>-62.203560000000003</v>
      </c>
      <c r="J6211">
        <v>-276.34440000000001</v>
      </c>
      <c r="K6211">
        <v>1.112274</v>
      </c>
      <c r="L6211">
        <v>-63.183720000000001</v>
      </c>
      <c r="M6211">
        <v>0.98985869999999998</v>
      </c>
      <c r="N6211">
        <v>0</v>
      </c>
      <c r="O6211">
        <v>-0.14179530000000001</v>
      </c>
      <c r="P6211">
        <v>0.97963230000000001</v>
      </c>
      <c r="Q6211">
        <v>0.1799145</v>
      </c>
      <c r="R6211">
        <v>-8.9172280000000007E-2</v>
      </c>
      <c r="S6211">
        <v>3.1158139999999999</v>
      </c>
      <c r="T6211">
        <v>-0.19903680000000001</v>
      </c>
      <c r="U6211">
        <v>0.17272950000000001</v>
      </c>
      <c r="V6211">
        <v>-5.1870329999999999E-2</v>
      </c>
      <c r="W6211">
        <v>0.1880116</v>
      </c>
      <c r="X6211">
        <v>0.98079620000000001</v>
      </c>
      <c r="Y6211">
        <v>-0.19568959999999999</v>
      </c>
      <c r="Z6211">
        <v>1.5267060000000001E-2</v>
      </c>
      <c r="AA6211">
        <v>0.9805471</v>
      </c>
      <c r="AB6211">
        <v>24</v>
      </c>
      <c r="AC6211">
        <v>17.292999999999999</v>
      </c>
      <c r="AD6211">
        <v>-1.1122773465739999</v>
      </c>
      <c r="AE6211">
        <v>0.98015999999999803</v>
      </c>
      <c r="AF6211">
        <v>-3.4083571763943699</v>
      </c>
      <c r="AG6211">
        <v>-1.1122773465739999</v>
      </c>
      <c r="AH6211">
        <v>16.909540611874199</v>
      </c>
      <c r="AI6211">
        <v>93.689396347045701</v>
      </c>
      <c r="AJ6211">
        <v>101.396078785112</v>
      </c>
      <c r="AK6211">
        <v>17.285445416367001</v>
      </c>
      <c r="AL6211">
        <v>79.163234295798205</v>
      </c>
      <c r="AM6211">
        <v>93.027320924579797</v>
      </c>
      <c r="AN6211">
        <v>1.0000000394016499</v>
      </c>
    </row>
    <row r="6212" spans="1:40" x14ac:dyDescent="0.25">
      <c r="A6212" t="str">
        <f>"20190312173049728"</f>
        <v>20190312173049728</v>
      </c>
      <c r="B6212" t="str">
        <f>"1552383049723447"</f>
        <v>1552383049723447</v>
      </c>
      <c r="C6212" t="s">
        <v>40</v>
      </c>
      <c r="D6212">
        <v>3.2691469999999998</v>
      </c>
      <c r="E6212">
        <v>0.44667180000000001</v>
      </c>
      <c r="F6212" t="s">
        <v>59</v>
      </c>
      <c r="G6212">
        <v>-258.92200000000003</v>
      </c>
      <c r="H6212" s="1">
        <v>-3.30087E-6</v>
      </c>
      <c r="I6212">
        <v>-62.191020000000002</v>
      </c>
      <c r="J6212">
        <v>-276.2276</v>
      </c>
      <c r="K6212">
        <v>1.1122730000000001</v>
      </c>
      <c r="L6212">
        <v>-63.198180000000001</v>
      </c>
      <c r="M6212">
        <v>0.9901645</v>
      </c>
      <c r="N6212">
        <v>0</v>
      </c>
      <c r="O6212">
        <v>-0.1396472</v>
      </c>
      <c r="P6212">
        <v>0.97976779999999997</v>
      </c>
      <c r="Q6212">
        <v>0.1801122</v>
      </c>
      <c r="R6212">
        <v>-8.7263359999999998E-2</v>
      </c>
      <c r="S6212">
        <v>3.1150509999999998</v>
      </c>
      <c r="T6212">
        <v>-0.19887050000000001</v>
      </c>
      <c r="U6212">
        <v>0.17749019999999999</v>
      </c>
      <c r="V6212">
        <v>-5.1652190000000001E-2</v>
      </c>
      <c r="W6212">
        <v>0.18817130000000001</v>
      </c>
      <c r="X6212">
        <v>0.98077700000000001</v>
      </c>
      <c r="Y6212">
        <v>-0.19507550000000001</v>
      </c>
      <c r="Z6212">
        <v>1.5101949999999999E-2</v>
      </c>
      <c r="AA6212">
        <v>0.98067190000000004</v>
      </c>
      <c r="AB6212">
        <v>24</v>
      </c>
      <c r="AC6212">
        <v>17.305599999999899</v>
      </c>
      <c r="AD6212">
        <v>-1.1122763008700001</v>
      </c>
      <c r="AE6212">
        <v>1.00716000000001</v>
      </c>
      <c r="AF6212">
        <v>-3.4000590158083601</v>
      </c>
      <c r="AG6212">
        <v>-1.1122763008700001</v>
      </c>
      <c r="AH6212">
        <v>16.925679926258098</v>
      </c>
      <c r="AI6212">
        <v>93.686369776700701</v>
      </c>
      <c r="AJ6212">
        <v>101.35849781736501</v>
      </c>
      <c r="AK6212">
        <v>17.2996011759403</v>
      </c>
      <c r="AL6212">
        <v>79.153916953032706</v>
      </c>
      <c r="AM6212">
        <v>93.014672004697502</v>
      </c>
      <c r="AN6212">
        <v>0.99999995530224195</v>
      </c>
    </row>
    <row r="6213" spans="1:40" x14ac:dyDescent="0.25">
      <c r="A6213" t="str">
        <f>"20190312173049739"</f>
        <v>20190312173049739</v>
      </c>
      <c r="B6213" t="str">
        <f>"1552383049734183"</f>
        <v>1552383049734183</v>
      </c>
      <c r="C6213" t="s">
        <v>40</v>
      </c>
      <c r="D6213">
        <v>3.2470690000000002</v>
      </c>
      <c r="E6213">
        <v>0.44679750000000001</v>
      </c>
      <c r="F6213" t="s">
        <v>59</v>
      </c>
      <c r="G6213">
        <v>-258.71109999999999</v>
      </c>
      <c r="H6213" s="1">
        <v>-3.2263829999999999E-6</v>
      </c>
      <c r="I6213">
        <v>-62.1706</v>
      </c>
      <c r="J6213">
        <v>-276.10930000000002</v>
      </c>
      <c r="K6213">
        <v>1.112277</v>
      </c>
      <c r="L6213">
        <v>-63.21255</v>
      </c>
      <c r="M6213">
        <v>0.99046920000000005</v>
      </c>
      <c r="N6213">
        <v>0</v>
      </c>
      <c r="O6213">
        <v>-0.13747239999999999</v>
      </c>
      <c r="P6213">
        <v>0.97999559999999997</v>
      </c>
      <c r="Q6213">
        <v>0.1797647</v>
      </c>
      <c r="R6213">
        <v>-8.5401560000000001E-2</v>
      </c>
      <c r="S6213">
        <v>3.1145320000000001</v>
      </c>
      <c r="T6213">
        <v>-0.19776940000000001</v>
      </c>
      <c r="U6213">
        <v>0.1827087</v>
      </c>
      <c r="V6213">
        <v>-5.1371670000000001E-2</v>
      </c>
      <c r="W6213">
        <v>0.18778819999999999</v>
      </c>
      <c r="X6213">
        <v>0.98086519999999999</v>
      </c>
      <c r="Y6213">
        <v>-0.19458139999999999</v>
      </c>
      <c r="Z6213">
        <v>1.4867750000000001E-2</v>
      </c>
      <c r="AA6213">
        <v>0.98077369999999997</v>
      </c>
      <c r="AB6213">
        <v>24</v>
      </c>
      <c r="AC6213">
        <v>17.398199999999999</v>
      </c>
      <c r="AD6213">
        <v>-1.1122802263830001</v>
      </c>
      <c r="AE6213">
        <v>1.0419499999999999</v>
      </c>
      <c r="AF6213">
        <v>-3.4100276717704201</v>
      </c>
      <c r="AG6213">
        <v>-1.1122802263830001</v>
      </c>
      <c r="AH6213">
        <v>17.020441630017402</v>
      </c>
      <c r="AI6213">
        <v>93.666290474318501</v>
      </c>
      <c r="AJ6213">
        <v>101.32915577289999</v>
      </c>
      <c r="AK6213">
        <v>17.394277487296499</v>
      </c>
      <c r="AL6213">
        <v>79.176265848592905</v>
      </c>
      <c r="AM6213">
        <v>92.998060334705698</v>
      </c>
      <c r="AN6213">
        <v>0.999999998554434</v>
      </c>
    </row>
    <row r="6214" spans="1:40" x14ac:dyDescent="0.25">
      <c r="A6214" t="str">
        <f>"20190312173049750"</f>
        <v>20190312173049750</v>
      </c>
      <c r="B6214" t="str">
        <f>"1552383049743943"</f>
        <v>1552383049743943</v>
      </c>
      <c r="C6214" t="s">
        <v>40</v>
      </c>
      <c r="D6214">
        <v>3.2531110000000001</v>
      </c>
      <c r="E6214">
        <v>0.44694869999999998</v>
      </c>
      <c r="F6214" t="s">
        <v>59</v>
      </c>
      <c r="G6214">
        <v>-258.65660000000003</v>
      </c>
      <c r="H6214" s="1">
        <v>-3.206372E-6</v>
      </c>
      <c r="I6214">
        <v>-62.159820000000003</v>
      </c>
      <c r="J6214">
        <v>-275.99239999999998</v>
      </c>
      <c r="K6214">
        <v>1.112276</v>
      </c>
      <c r="L6214">
        <v>-63.226410000000001</v>
      </c>
      <c r="M6214">
        <v>0.99076500000000001</v>
      </c>
      <c r="N6214">
        <v>0</v>
      </c>
      <c r="O6214">
        <v>-0.135325</v>
      </c>
      <c r="P6214">
        <v>0.98012759999999999</v>
      </c>
      <c r="Q6214">
        <v>0.1799116</v>
      </c>
      <c r="R6214">
        <v>-8.3557759999999995E-2</v>
      </c>
      <c r="S6214">
        <v>3.1140439999999998</v>
      </c>
      <c r="T6214">
        <v>-0.19846130000000001</v>
      </c>
      <c r="U6214">
        <v>0.18783569999999999</v>
      </c>
      <c r="V6214">
        <v>-5.1091339999999999E-2</v>
      </c>
      <c r="W6214">
        <v>0.1878997</v>
      </c>
      <c r="X6214">
        <v>0.98085849999999997</v>
      </c>
      <c r="Y6214">
        <v>-0.194074</v>
      </c>
      <c r="Z6214">
        <v>1.476946E-2</v>
      </c>
      <c r="AA6214">
        <v>0.98087570000000002</v>
      </c>
      <c r="AB6214">
        <v>24</v>
      </c>
      <c r="AC6214">
        <v>17.3357999999999</v>
      </c>
      <c r="AD6214">
        <v>-1.112279206372</v>
      </c>
      <c r="AE6214">
        <v>1.0665899999999899</v>
      </c>
      <c r="AF6214">
        <v>-3.3889311386602299</v>
      </c>
      <c r="AG6214">
        <v>-1.112279206372</v>
      </c>
      <c r="AH6214">
        <v>16.962415214177799</v>
      </c>
      <c r="AI6214">
        <v>93.679188748093694</v>
      </c>
      <c r="AJ6214">
        <v>101.29839580782</v>
      </c>
      <c r="AK6214">
        <v>17.333365201070499</v>
      </c>
      <c r="AL6214">
        <v>79.169761707689503</v>
      </c>
      <c r="AM6214">
        <v>92.981750156935306</v>
      </c>
      <c r="AN6214">
        <v>1.00000000965266</v>
      </c>
    </row>
    <row r="6215" spans="1:40" x14ac:dyDescent="0.25">
      <c r="A6215" t="str">
        <f>"20190312173049761"</f>
        <v>20190312173049761</v>
      </c>
      <c r="B6215" t="str">
        <f>"1552383049753704"</f>
        <v>1552383049753704</v>
      </c>
      <c r="C6215" t="s">
        <v>40</v>
      </c>
      <c r="D6215">
        <v>3.2380819999999999</v>
      </c>
      <c r="E6215">
        <v>0.44710319999999998</v>
      </c>
      <c r="F6215" t="s">
        <v>59</v>
      </c>
      <c r="G6215">
        <v>-258.47050000000002</v>
      </c>
      <c r="H6215" s="1">
        <v>-3.1406710000000001E-6</v>
      </c>
      <c r="I6215">
        <v>-62.142020000000002</v>
      </c>
      <c r="J6215">
        <v>-275.87720000000002</v>
      </c>
      <c r="K6215">
        <v>1.1122780000000001</v>
      </c>
      <c r="L6215">
        <v>-63.239960000000004</v>
      </c>
      <c r="M6215">
        <v>0.99105240000000006</v>
      </c>
      <c r="N6215">
        <v>0</v>
      </c>
      <c r="O6215">
        <v>-0.13320609999999999</v>
      </c>
      <c r="P6215">
        <v>0.98034330000000003</v>
      </c>
      <c r="Q6215">
        <v>0.17957999999999999</v>
      </c>
      <c r="R6215">
        <v>-8.1720050000000002E-2</v>
      </c>
      <c r="S6215">
        <v>3.1135250000000001</v>
      </c>
      <c r="T6215">
        <v>-0.19764409999999999</v>
      </c>
      <c r="U6215">
        <v>0.192688</v>
      </c>
      <c r="V6215">
        <v>-5.0841459999999998E-2</v>
      </c>
      <c r="W6215">
        <v>0.1875339</v>
      </c>
      <c r="X6215">
        <v>0.98094150000000002</v>
      </c>
      <c r="Y6215">
        <v>-0.19351989999999999</v>
      </c>
      <c r="Z6215">
        <v>1.4559580000000001E-2</v>
      </c>
      <c r="AA6215">
        <v>0.98098830000000004</v>
      </c>
      <c r="AB6215">
        <v>24</v>
      </c>
      <c r="AC6215">
        <v>17.406700000000001</v>
      </c>
      <c r="AD6215">
        <v>-1.112281140671</v>
      </c>
      <c r="AE6215">
        <v>1.0979399999999999</v>
      </c>
      <c r="AF6215">
        <v>-3.3931163799427302</v>
      </c>
      <c r="AG6215">
        <v>-1.112281140671</v>
      </c>
      <c r="AH6215">
        <v>17.0360239750046</v>
      </c>
      <c r="AI6215">
        <v>93.663774431462002</v>
      </c>
      <c r="AJ6215">
        <v>101.26436529217099</v>
      </c>
      <c r="AK6215">
        <v>17.406220755254701</v>
      </c>
      <c r="AL6215">
        <v>79.191099963130696</v>
      </c>
      <c r="AM6215">
        <v>92.966942379616995</v>
      </c>
      <c r="AN6215">
        <v>1.0000000220631899</v>
      </c>
    </row>
    <row r="6216" spans="1:40" x14ac:dyDescent="0.25">
      <c r="A6216" t="str">
        <f>"20190312173049775"</f>
        <v>20190312173049775</v>
      </c>
      <c r="B6216" t="str">
        <f>"1552383049763464"</f>
        <v>1552383049763464</v>
      </c>
      <c r="C6216" t="s">
        <v>40</v>
      </c>
      <c r="D6216">
        <v>3.2450679999999998</v>
      </c>
      <c r="E6216">
        <v>0.44728030000000002</v>
      </c>
      <c r="F6216" t="s">
        <v>59</v>
      </c>
      <c r="G6216">
        <v>-258.42469999999997</v>
      </c>
      <c r="H6216" s="1">
        <v>-3.123927E-6</v>
      </c>
      <c r="I6216">
        <v>-62.133319999999998</v>
      </c>
      <c r="J6216">
        <v>-275.74950000000001</v>
      </c>
      <c r="K6216">
        <v>1.112276</v>
      </c>
      <c r="L6216">
        <v>-63.2545199999999</v>
      </c>
      <c r="M6216">
        <v>0.99136539999999995</v>
      </c>
      <c r="N6216">
        <v>0</v>
      </c>
      <c r="O6216">
        <v>-0.13086039999999999</v>
      </c>
      <c r="P6216">
        <v>0.98055199999999998</v>
      </c>
      <c r="Q6216">
        <v>0.17943290000000001</v>
      </c>
      <c r="R6216">
        <v>-7.9511750000000006E-2</v>
      </c>
      <c r="S6216">
        <v>3.112946</v>
      </c>
      <c r="T6216">
        <v>-0.1983943</v>
      </c>
      <c r="U6216">
        <v>0.1973877</v>
      </c>
      <c r="V6216">
        <v>-5.0735719999999998E-2</v>
      </c>
      <c r="W6216">
        <v>0.18734700000000001</v>
      </c>
      <c r="X6216">
        <v>0.98098269999999999</v>
      </c>
      <c r="Y6216">
        <v>-0.1926861</v>
      </c>
      <c r="Z6216">
        <v>1.444193E-2</v>
      </c>
      <c r="AA6216">
        <v>0.98115419999999998</v>
      </c>
      <c r="AB6216">
        <v>24</v>
      </c>
      <c r="AC6216">
        <v>17.3248</v>
      </c>
      <c r="AD6216">
        <v>-1.112279123927</v>
      </c>
      <c r="AE6216">
        <v>1.12119999999999</v>
      </c>
      <c r="AF6216">
        <v>-3.3649557789757201</v>
      </c>
      <c r="AG6216">
        <v>-1.112279123927</v>
      </c>
      <c r="AH6216">
        <v>16.959471655024998</v>
      </c>
      <c r="AI6216">
        <v>93.680794570778005</v>
      </c>
      <c r="AJ6216">
        <v>101.22239710512901</v>
      </c>
      <c r="AK6216">
        <v>17.3258122771079</v>
      </c>
      <c r="AL6216">
        <v>79.2020019060799</v>
      </c>
      <c r="AM6216">
        <v>92.960658599778199</v>
      </c>
      <c r="AN6216">
        <v>1.0000000346961</v>
      </c>
    </row>
    <row r="6217" spans="1:40" x14ac:dyDescent="0.25">
      <c r="A6217" t="str">
        <f>"20190312173049785"</f>
        <v>20190312173049785</v>
      </c>
      <c r="B6217" t="str">
        <f>"1552383049774200"</f>
        <v>1552383049774200</v>
      </c>
      <c r="C6217" t="s">
        <v>40</v>
      </c>
      <c r="D6217">
        <v>3.2598929999999999</v>
      </c>
      <c r="E6217">
        <v>0.44745810000000003</v>
      </c>
      <c r="F6217" t="s">
        <v>59</v>
      </c>
      <c r="G6217">
        <v>-258.33249999999998</v>
      </c>
      <c r="H6217" s="1">
        <v>-3.0906239999999999E-6</v>
      </c>
      <c r="I6217">
        <v>-62.118830000000003</v>
      </c>
      <c r="J6217">
        <v>-275.62799999999999</v>
      </c>
      <c r="K6217">
        <v>1.1122749999999999</v>
      </c>
      <c r="L6217">
        <v>-63.268279999999997</v>
      </c>
      <c r="M6217">
        <v>0.99165789999999998</v>
      </c>
      <c r="N6217">
        <v>0</v>
      </c>
      <c r="O6217">
        <v>-0.1286264</v>
      </c>
      <c r="P6217">
        <v>0.98071649999999999</v>
      </c>
      <c r="Q6217">
        <v>0.17942269999999999</v>
      </c>
      <c r="R6217">
        <v>-7.7478160000000004E-2</v>
      </c>
      <c r="S6217">
        <v>3.1123349999999999</v>
      </c>
      <c r="T6217">
        <v>-0.1987592</v>
      </c>
      <c r="U6217">
        <v>0.20294190000000001</v>
      </c>
      <c r="V6217">
        <v>-5.0563579999999997E-2</v>
      </c>
      <c r="W6217">
        <v>0.18729879999999999</v>
      </c>
      <c r="X6217">
        <v>0.98100080000000001</v>
      </c>
      <c r="Y6217">
        <v>-0.19223409999999999</v>
      </c>
      <c r="Z6217">
        <v>1.4314510000000001E-2</v>
      </c>
      <c r="AA6217">
        <v>0.98124469999999997</v>
      </c>
      <c r="AB6217">
        <v>24</v>
      </c>
      <c r="AC6217">
        <v>17.295500000000001</v>
      </c>
      <c r="AD6217">
        <v>-1.112278090624</v>
      </c>
      <c r="AE6217">
        <v>1.1494500000000001</v>
      </c>
      <c r="AF6217">
        <v>-3.3508391103332298</v>
      </c>
      <c r="AG6217">
        <v>-1.112278090624</v>
      </c>
      <c r="AH6217">
        <v>16.9342347550364</v>
      </c>
      <c r="AI6217">
        <v>93.686638527365702</v>
      </c>
      <c r="AJ6217">
        <v>101.19274051513899</v>
      </c>
      <c r="AK6217">
        <v>17.298369635110198</v>
      </c>
      <c r="AL6217">
        <v>79.204813418368204</v>
      </c>
      <c r="AM6217">
        <v>92.950576889093</v>
      </c>
      <c r="AN6217">
        <v>1.00000004285224</v>
      </c>
    </row>
    <row r="6218" spans="1:40" x14ac:dyDescent="0.25">
      <c r="A6218" t="str">
        <f>"20190312173049796"</f>
        <v>20190312173049796</v>
      </c>
      <c r="B6218" t="str">
        <f>"1552383049783959"</f>
        <v>1552383049783959</v>
      </c>
      <c r="C6218" t="s">
        <v>40</v>
      </c>
      <c r="D6218">
        <v>3.2736640000000001</v>
      </c>
      <c r="E6218">
        <v>0.44763340000000001</v>
      </c>
      <c r="F6218" t="s">
        <v>59</v>
      </c>
      <c r="G6218">
        <v>-258.20170000000002</v>
      </c>
      <c r="H6218" s="1">
        <v>-3.036988E-6</v>
      </c>
      <c r="I6218">
        <v>-62.103070000000002</v>
      </c>
      <c r="J6218">
        <v>-275.51659999999998</v>
      </c>
      <c r="K6218">
        <v>1.1122749999999999</v>
      </c>
      <c r="L6218">
        <v>-63.280459999999998</v>
      </c>
      <c r="M6218">
        <v>0.99192150000000001</v>
      </c>
      <c r="N6218">
        <v>0</v>
      </c>
      <c r="O6218">
        <v>-0.1265801</v>
      </c>
      <c r="P6218">
        <v>0.98086549999999995</v>
      </c>
      <c r="Q6218">
        <v>0.1793005</v>
      </c>
      <c r="R6218">
        <v>-7.5858490000000001E-2</v>
      </c>
      <c r="S6218">
        <v>3.111755</v>
      </c>
      <c r="T6218">
        <v>-0.19861590000000001</v>
      </c>
      <c r="U6218">
        <v>0.2080688</v>
      </c>
      <c r="V6218">
        <v>-5.0164189999999997E-2</v>
      </c>
      <c r="W6218">
        <v>0.18714520000000001</v>
      </c>
      <c r="X6218">
        <v>0.98105059999999999</v>
      </c>
      <c r="Y6218">
        <v>-0.1918368</v>
      </c>
      <c r="Z6218">
        <v>1.416385E-2</v>
      </c>
      <c r="AA6218">
        <v>0.98132459999999999</v>
      </c>
      <c r="AB6218">
        <v>24</v>
      </c>
      <c r="AC6218">
        <v>17.314899999999898</v>
      </c>
      <c r="AD6218">
        <v>-1.1122780369880001</v>
      </c>
      <c r="AE6218">
        <v>1.1773899999999999</v>
      </c>
      <c r="AF6218">
        <v>-3.3459727400666499</v>
      </c>
      <c r="AG6218">
        <v>-1.1122780369880001</v>
      </c>
      <c r="AH6218">
        <v>16.9569252180052</v>
      </c>
      <c r="AI6218">
        <v>93.682104030889803</v>
      </c>
      <c r="AJ6218">
        <v>101.16231475623</v>
      </c>
      <c r="AK6218">
        <v>17.319642284350401</v>
      </c>
      <c r="AL6218">
        <v>79.213772280824401</v>
      </c>
      <c r="AM6218">
        <v>92.927163325491904</v>
      </c>
      <c r="AN6218">
        <v>1.0000000258008701</v>
      </c>
    </row>
    <row r="6219" spans="1:40" x14ac:dyDescent="0.25">
      <c r="A6219" t="str">
        <f>"20190312173049807"</f>
        <v>20190312173049807</v>
      </c>
      <c r="B6219" t="str">
        <f>"1552383049803480"</f>
        <v>1552383049803480</v>
      </c>
      <c r="C6219" t="s">
        <v>40</v>
      </c>
      <c r="D6219">
        <v>3.2745730000000002</v>
      </c>
      <c r="E6219">
        <v>0.44799250000000002</v>
      </c>
      <c r="F6219" t="s">
        <v>59</v>
      </c>
      <c r="G6219">
        <v>-258.12419999999997</v>
      </c>
      <c r="H6219" s="1">
        <v>-3.0024499999999999E-6</v>
      </c>
      <c r="I6219">
        <v>-62.097189999999998</v>
      </c>
      <c r="J6219">
        <v>-275.4076</v>
      </c>
      <c r="K6219">
        <v>1.112279</v>
      </c>
      <c r="L6219">
        <v>-63.292299999999997</v>
      </c>
      <c r="M6219">
        <v>0.99217520000000003</v>
      </c>
      <c r="N6219">
        <v>0</v>
      </c>
      <c r="O6219">
        <v>-0.1245781</v>
      </c>
      <c r="P6219">
        <v>0.98106070000000001</v>
      </c>
      <c r="Q6219">
        <v>0.17905660000000001</v>
      </c>
      <c r="R6219">
        <v>-7.3883569999999996E-2</v>
      </c>
      <c r="S6219">
        <v>3.1112669999999998</v>
      </c>
      <c r="T6219">
        <v>-0.1989717</v>
      </c>
      <c r="U6219">
        <v>0.21166989999999999</v>
      </c>
      <c r="V6219">
        <v>-5.0166879999999997E-2</v>
      </c>
      <c r="W6219">
        <v>0.1868678</v>
      </c>
      <c r="X6219">
        <v>0.98110330000000001</v>
      </c>
      <c r="Y6219">
        <v>-0.19100059999999999</v>
      </c>
      <c r="Z6219">
        <v>1.4037040000000001E-2</v>
      </c>
      <c r="AA6219">
        <v>0.98148950000000001</v>
      </c>
      <c r="AB6219">
        <v>24</v>
      </c>
      <c r="AC6219">
        <v>17.2834</v>
      </c>
      <c r="AD6219">
        <v>-1.11228200245</v>
      </c>
      <c r="AE6219">
        <v>1.1951099999999899</v>
      </c>
      <c r="AF6219">
        <v>-3.3252996540813902</v>
      </c>
      <c r="AG6219">
        <v>-1.11228200245</v>
      </c>
      <c r="AH6219">
        <v>16.930075549205601</v>
      </c>
      <c r="AI6219">
        <v>93.688573597618401</v>
      </c>
      <c r="AJ6219">
        <v>101.11222296715999</v>
      </c>
      <c r="AK6219">
        <v>17.289368037734</v>
      </c>
      <c r="AL6219">
        <v>79.229951140391606</v>
      </c>
      <c r="AM6219">
        <v>92.927163050795002</v>
      </c>
      <c r="AN6219">
        <v>0.999999987898332</v>
      </c>
    </row>
    <row r="6220" spans="1:40" x14ac:dyDescent="0.25">
      <c r="A6220" t="str">
        <f>"20190312173049817"</f>
        <v>20190312173049817</v>
      </c>
      <c r="B6220" t="str">
        <f>"1552383049814216"</f>
        <v>1552383049814216</v>
      </c>
      <c r="C6220" t="s">
        <v>40</v>
      </c>
      <c r="D6220">
        <v>3.3639960000000002</v>
      </c>
      <c r="E6220">
        <v>0.44816840000000002</v>
      </c>
      <c r="F6220" t="s">
        <v>59</v>
      </c>
      <c r="G6220">
        <v>-258.0437</v>
      </c>
      <c r="H6220" s="1">
        <v>-2.966382E-6</v>
      </c>
      <c r="I6220">
        <v>-62.090240000000001</v>
      </c>
      <c r="J6220">
        <v>-275.29230000000001</v>
      </c>
      <c r="K6220">
        <v>1.112282</v>
      </c>
      <c r="L6220">
        <v>-63.304499999999997</v>
      </c>
      <c r="M6220">
        <v>0.99243919999999997</v>
      </c>
      <c r="N6220">
        <v>0</v>
      </c>
      <c r="O6220">
        <v>-0.1224605</v>
      </c>
      <c r="P6220">
        <v>0.98118439999999996</v>
      </c>
      <c r="Q6220">
        <v>0.179062</v>
      </c>
      <c r="R6220">
        <v>-7.2210360000000001E-2</v>
      </c>
      <c r="S6220">
        <v>3.1105040000000002</v>
      </c>
      <c r="T6220">
        <v>-0.1992507</v>
      </c>
      <c r="U6220">
        <v>0.215332</v>
      </c>
      <c r="V6220">
        <v>-4.974891E-2</v>
      </c>
      <c r="W6220">
        <v>0.1868407</v>
      </c>
      <c r="X6220">
        <v>0.98112980000000005</v>
      </c>
      <c r="Y6220">
        <v>-0.19007650000000001</v>
      </c>
      <c r="Z6220">
        <v>1.3895309999999999E-2</v>
      </c>
      <c r="AA6220">
        <v>0.98167090000000001</v>
      </c>
      <c r="AB6220">
        <v>24</v>
      </c>
      <c r="AC6220">
        <v>17.2486</v>
      </c>
      <c r="AD6220">
        <v>-1.112284966382</v>
      </c>
      <c r="AE6220">
        <v>1.2142599999999899</v>
      </c>
      <c r="AF6220">
        <v>-3.3037932805317101</v>
      </c>
      <c r="AG6220">
        <v>-1.112284966382</v>
      </c>
      <c r="AH6220">
        <v>16.900133051062902</v>
      </c>
      <c r="AI6220">
        <v>93.695743444901296</v>
      </c>
      <c r="AJ6220">
        <v>101.06120816749301</v>
      </c>
      <c r="AK6220">
        <v>17.255918550762701</v>
      </c>
      <c r="AL6220">
        <v>79.231532291944404</v>
      </c>
      <c r="AM6220">
        <v>92.902738737219494</v>
      </c>
      <c r="AN6220">
        <v>1.0000000428353499</v>
      </c>
    </row>
    <row r="6221" spans="1:40" x14ac:dyDescent="0.25">
      <c r="A6221" t="str">
        <f>"20190312173049829"</f>
        <v>20190312173049829</v>
      </c>
      <c r="B6221" t="str">
        <f>"1552383049823975"</f>
        <v>1552383049823975</v>
      </c>
      <c r="C6221" t="s">
        <v>40</v>
      </c>
      <c r="D6221">
        <v>3.2550789999999998</v>
      </c>
      <c r="E6221">
        <v>0.448326</v>
      </c>
      <c r="F6221" t="s">
        <v>59</v>
      </c>
      <c r="G6221">
        <v>-257.88130000000001</v>
      </c>
      <c r="H6221" s="1">
        <v>-2.8936799999999998E-6</v>
      </c>
      <c r="I6221">
        <v>-62.076590000000003</v>
      </c>
      <c r="J6221">
        <v>-275.16809999999998</v>
      </c>
      <c r="K6221">
        <v>1.112282</v>
      </c>
      <c r="L6221">
        <v>-63.317410000000002</v>
      </c>
      <c r="M6221">
        <v>0.9927182</v>
      </c>
      <c r="N6221">
        <v>0</v>
      </c>
      <c r="O6221">
        <v>-0.1201793</v>
      </c>
      <c r="P6221">
        <v>0.98131880000000005</v>
      </c>
      <c r="Q6221">
        <v>0.17908279999999999</v>
      </c>
      <c r="R6221">
        <v>-7.0304729999999996E-2</v>
      </c>
      <c r="S6221">
        <v>3.1099549999999998</v>
      </c>
      <c r="T6221">
        <v>-0.19867689999999999</v>
      </c>
      <c r="U6221">
        <v>0.21932979999999999</v>
      </c>
      <c r="V6221">
        <v>-4.940191E-2</v>
      </c>
      <c r="W6221">
        <v>0.1868262</v>
      </c>
      <c r="X6221">
        <v>0.98114999999999997</v>
      </c>
      <c r="Y6221">
        <v>-0.18909819999999999</v>
      </c>
      <c r="Z6221">
        <v>1.3681260000000001E-2</v>
      </c>
      <c r="AA6221">
        <v>0.98186289999999998</v>
      </c>
      <c r="AB6221">
        <v>24</v>
      </c>
      <c r="AC6221">
        <v>17.2867999999999</v>
      </c>
      <c r="AD6221">
        <v>-1.1122848936799901</v>
      </c>
      <c r="AE6221">
        <v>1.24081999999999</v>
      </c>
      <c r="AF6221">
        <v>-3.2958369290971898</v>
      </c>
      <c r="AG6221">
        <v>-1.1122848936799901</v>
      </c>
      <c r="AH6221">
        <v>16.942591172311001</v>
      </c>
      <c r="AI6221">
        <v>93.687169991480999</v>
      </c>
      <c r="AJ6221">
        <v>101.008246790464</v>
      </c>
      <c r="AK6221">
        <v>17.2959854989527</v>
      </c>
      <c r="AL6221">
        <v>79.232376961411802</v>
      </c>
      <c r="AM6221">
        <v>92.882467075911194</v>
      </c>
      <c r="AN6221">
        <v>0.99999995010904197</v>
      </c>
    </row>
    <row r="6222" spans="1:40" x14ac:dyDescent="0.25">
      <c r="A6222" t="str">
        <f>"20190312173049839"</f>
        <v>20190312173049839</v>
      </c>
      <c r="B6222" t="str">
        <f>"1552383049833735"</f>
        <v>1552383049833735</v>
      </c>
      <c r="C6222" t="s">
        <v>40</v>
      </c>
      <c r="D6222">
        <v>3.3369460000000002</v>
      </c>
      <c r="E6222">
        <v>0.44847399999999998</v>
      </c>
      <c r="F6222" t="s">
        <v>59</v>
      </c>
      <c r="G6222">
        <v>-257.70280000000002</v>
      </c>
      <c r="H6222" s="1">
        <v>-2.8127979999999999E-6</v>
      </c>
      <c r="I6222">
        <v>-62.057310000000001</v>
      </c>
      <c r="J6222">
        <v>-275.0532</v>
      </c>
      <c r="K6222">
        <v>1.1122829999999999</v>
      </c>
      <c r="L6222">
        <v>-63.329099999999997</v>
      </c>
      <c r="M6222">
        <v>0.99297150000000001</v>
      </c>
      <c r="N6222">
        <v>0</v>
      </c>
      <c r="O6222">
        <v>-0.1180701</v>
      </c>
      <c r="P6222">
        <v>0.9814638</v>
      </c>
      <c r="Q6222">
        <v>0.17901069999999999</v>
      </c>
      <c r="R6222">
        <v>-6.844095E-2</v>
      </c>
      <c r="S6222">
        <v>3.1093139999999999</v>
      </c>
      <c r="T6222">
        <v>-0.19801859999999999</v>
      </c>
      <c r="U6222">
        <v>0.2243347</v>
      </c>
      <c r="V6222">
        <v>-4.9185810000000003E-2</v>
      </c>
      <c r="W6222">
        <v>0.18672169999999999</v>
      </c>
      <c r="X6222">
        <v>0.98118079999999996</v>
      </c>
      <c r="Y6222">
        <v>-0.1886082</v>
      </c>
      <c r="Z6222">
        <v>1.3489070000000001E-2</v>
      </c>
      <c r="AA6222">
        <v>0.98195980000000005</v>
      </c>
      <c r="AB6222">
        <v>24</v>
      </c>
      <c r="AC6222">
        <v>17.350399999999901</v>
      </c>
      <c r="AD6222">
        <v>-1.112285812798</v>
      </c>
      <c r="AE6222">
        <v>1.27178999999999</v>
      </c>
      <c r="AF6222">
        <v>-3.2980440597292802</v>
      </c>
      <c r="AG6222">
        <v>-1.112285812798</v>
      </c>
      <c r="AH6222">
        <v>17.009334658884701</v>
      </c>
      <c r="AI6222">
        <v>93.673178812269597</v>
      </c>
      <c r="AJ6222">
        <v>100.97326582878701</v>
      </c>
      <c r="AK6222">
        <v>17.361789651047001</v>
      </c>
      <c r="AL6222">
        <v>79.238472159160395</v>
      </c>
      <c r="AM6222">
        <v>92.869789416730598</v>
      </c>
      <c r="AN6222">
        <v>0.99999999972244302</v>
      </c>
    </row>
    <row r="6223" spans="1:40" x14ac:dyDescent="0.25">
      <c r="A6223" t="str">
        <f>"20190312173049851"</f>
        <v>20190312173049851</v>
      </c>
      <c r="B6223" t="str">
        <f>"1552383049843495"</f>
        <v>1552383049843495</v>
      </c>
      <c r="C6223" t="s">
        <v>40</v>
      </c>
      <c r="D6223">
        <v>3.2624529999999998</v>
      </c>
      <c r="E6223">
        <v>0.44864870000000001</v>
      </c>
      <c r="F6223" t="s">
        <v>59</v>
      </c>
      <c r="G6223">
        <v>-257.6026</v>
      </c>
      <c r="H6223" s="1">
        <v>-2.7666930000000001E-6</v>
      </c>
      <c r="I6223">
        <v>-62.043289999999999</v>
      </c>
      <c r="J6223">
        <v>-274.93860000000001</v>
      </c>
      <c r="K6223">
        <v>1.112282</v>
      </c>
      <c r="L6223">
        <v>-63.340479999999999</v>
      </c>
      <c r="M6223">
        <v>0.99321950000000003</v>
      </c>
      <c r="N6223">
        <v>0</v>
      </c>
      <c r="O6223">
        <v>-0.1159675</v>
      </c>
      <c r="P6223">
        <v>0.98158020000000001</v>
      </c>
      <c r="Q6223">
        <v>0.17903369999999999</v>
      </c>
      <c r="R6223">
        <v>-6.6688189999999994E-2</v>
      </c>
      <c r="S6223">
        <v>3.1087950000000002</v>
      </c>
      <c r="T6223">
        <v>-0.19815179999999999</v>
      </c>
      <c r="U6223">
        <v>0.22906489999999999</v>
      </c>
      <c r="V6223">
        <v>-4.8863499999999997E-2</v>
      </c>
      <c r="W6223">
        <v>0.18671560000000001</v>
      </c>
      <c r="X6223">
        <v>0.98119809999999996</v>
      </c>
      <c r="Y6223">
        <v>-0.18803149999999999</v>
      </c>
      <c r="Z6223">
        <v>1.334816E-2</v>
      </c>
      <c r="AA6223">
        <v>0.98207230000000001</v>
      </c>
      <c r="AB6223">
        <v>24</v>
      </c>
      <c r="AC6223">
        <v>17.335999999999999</v>
      </c>
      <c r="AD6223">
        <v>-1.112284766693</v>
      </c>
      <c r="AE6223">
        <v>1.2971900000000001</v>
      </c>
      <c r="AF6223">
        <v>-3.2854672680136199</v>
      </c>
      <c r="AG6223">
        <v>-1.112284766693</v>
      </c>
      <c r="AH6223">
        <v>16.999001708377499</v>
      </c>
      <c r="AI6223">
        <v>93.675827431814795</v>
      </c>
      <c r="AJ6223">
        <v>100.938915499022</v>
      </c>
      <c r="AK6223">
        <v>17.349280436168801</v>
      </c>
      <c r="AL6223">
        <v>79.238828295251196</v>
      </c>
      <c r="AM6223">
        <v>92.850964899529501</v>
      </c>
      <c r="AN6223">
        <v>1.0000000341796</v>
      </c>
    </row>
    <row r="6224" spans="1:40" x14ac:dyDescent="0.25">
      <c r="A6224" t="str">
        <f>"20190312173049863"</f>
        <v>20190312173049863</v>
      </c>
      <c r="B6224" t="str">
        <f>"1552383049854232"</f>
        <v>1552383049854232</v>
      </c>
      <c r="C6224" t="s">
        <v>40</v>
      </c>
      <c r="D6224">
        <v>3.2233480000000001</v>
      </c>
      <c r="E6224">
        <v>0.44882080000000002</v>
      </c>
      <c r="F6224" t="s">
        <v>59</v>
      </c>
      <c r="G6224">
        <v>-257.44510000000002</v>
      </c>
      <c r="H6224" s="1">
        <v>-2.6958830000000001E-6</v>
      </c>
      <c r="I6224">
        <v>-62.028759999999998</v>
      </c>
      <c r="J6224">
        <v>-274.80680000000001</v>
      </c>
      <c r="K6224">
        <v>1.1122840000000001</v>
      </c>
      <c r="L6224">
        <v>-63.353389999999997</v>
      </c>
      <c r="M6224">
        <v>0.99349940000000003</v>
      </c>
      <c r="N6224">
        <v>0</v>
      </c>
      <c r="O6224">
        <v>-0.11354789999999999</v>
      </c>
      <c r="P6224">
        <v>0.98174320000000004</v>
      </c>
      <c r="Q6224">
        <v>0.1789039</v>
      </c>
      <c r="R6224">
        <v>-6.4604510000000004E-2</v>
      </c>
      <c r="S6224">
        <v>3.1081850000000002</v>
      </c>
      <c r="T6224">
        <v>-0.1976262</v>
      </c>
      <c r="U6224">
        <v>0.23306270000000001</v>
      </c>
      <c r="V6224">
        <v>-4.8561399999999998E-2</v>
      </c>
      <c r="W6224">
        <v>0.18655260000000001</v>
      </c>
      <c r="X6224">
        <v>0.98124409999999895</v>
      </c>
      <c r="Y6224">
        <v>-0.1869199</v>
      </c>
      <c r="Z6224">
        <v>1.312663E-2</v>
      </c>
      <c r="AA6224">
        <v>0.98228749999999998</v>
      </c>
      <c r="AB6224">
        <v>24</v>
      </c>
      <c r="AC6224">
        <v>17.3616999999999</v>
      </c>
      <c r="AD6224">
        <v>-1.112286695883</v>
      </c>
      <c r="AE6224">
        <v>1.32463</v>
      </c>
      <c r="AF6224">
        <v>-3.2741512423280899</v>
      </c>
      <c r="AG6224">
        <v>-1.112286695883</v>
      </c>
      <c r="AH6224">
        <v>17.029501028325701</v>
      </c>
      <c r="AI6224">
        <v>93.669955901966006</v>
      </c>
      <c r="AJ6224">
        <v>100.88308456086</v>
      </c>
      <c r="AK6224">
        <v>17.377029473567202</v>
      </c>
      <c r="AL6224">
        <v>79.248334523190493</v>
      </c>
      <c r="AM6224">
        <v>92.8332349280643</v>
      </c>
      <c r="AN6224">
        <v>1.0000000329607599</v>
      </c>
    </row>
    <row r="6225" spans="1:40" x14ac:dyDescent="0.25">
      <c r="A6225" t="str">
        <f>"20190312173049873"</f>
        <v>20190312173049873</v>
      </c>
      <c r="B6225" t="str">
        <f>"1552383049863992"</f>
        <v>1552383049863992</v>
      </c>
      <c r="C6225" t="s">
        <v>40</v>
      </c>
      <c r="D6225">
        <v>3.2159089999999999</v>
      </c>
      <c r="E6225">
        <v>0.44898759999999999</v>
      </c>
      <c r="F6225" t="s">
        <v>59</v>
      </c>
      <c r="G6225">
        <v>-257.29939999999999</v>
      </c>
      <c r="H6225" s="1">
        <v>-2.629233E-6</v>
      </c>
      <c r="I6225">
        <v>-62.01003</v>
      </c>
      <c r="J6225">
        <v>-274.69760000000002</v>
      </c>
      <c r="K6225">
        <v>1.11229</v>
      </c>
      <c r="L6225">
        <v>-63.36365</v>
      </c>
      <c r="M6225">
        <v>0.99372640000000001</v>
      </c>
      <c r="N6225">
        <v>0</v>
      </c>
      <c r="O6225">
        <v>-0.1115449</v>
      </c>
      <c r="P6225">
        <v>0.98185149999999999</v>
      </c>
      <c r="Q6225">
        <v>0.178901</v>
      </c>
      <c r="R6225">
        <v>-6.2945769999999998E-2</v>
      </c>
      <c r="S6225">
        <v>3.1073909999999998</v>
      </c>
      <c r="T6225">
        <v>-0.19742019999999999</v>
      </c>
      <c r="U6225">
        <v>0.2384338</v>
      </c>
      <c r="V6225">
        <v>-4.8244420000000003E-2</v>
      </c>
      <c r="W6225">
        <v>0.18652489999999999</v>
      </c>
      <c r="X6225">
        <v>0.9812649</v>
      </c>
      <c r="Y6225">
        <v>-0.18665219999999999</v>
      </c>
      <c r="Z6225">
        <v>1.298054E-2</v>
      </c>
      <c r="AA6225">
        <v>0.98234030000000006</v>
      </c>
      <c r="AB6225">
        <v>24</v>
      </c>
      <c r="AC6225">
        <v>17.398199999999999</v>
      </c>
      <c r="AD6225">
        <v>-1.112292629233</v>
      </c>
      <c r="AE6225">
        <v>1.3536199999999901</v>
      </c>
      <c r="AF6225">
        <v>-3.2726206655708001</v>
      </c>
      <c r="AG6225">
        <v>-1.112292629233</v>
      </c>
      <c r="AH6225">
        <v>17.069276847881099</v>
      </c>
      <c r="AI6225">
        <v>93.661810300605495</v>
      </c>
      <c r="AJ6225">
        <v>100.853372326825</v>
      </c>
      <c r="AK6225">
        <v>17.415724303725501</v>
      </c>
      <c r="AL6225">
        <v>79.249948885760105</v>
      </c>
      <c r="AM6225">
        <v>92.814711521722103</v>
      </c>
      <c r="AN6225">
        <v>0.99999993317657598</v>
      </c>
    </row>
    <row r="6226" spans="1:40" x14ac:dyDescent="0.25">
      <c r="A6226" t="str">
        <f>"20190312173049884"</f>
        <v>20190312173049884</v>
      </c>
      <c r="B6226" t="str">
        <f>"1552383049873752"</f>
        <v>1552383049873752</v>
      </c>
      <c r="C6226" t="s">
        <v>40</v>
      </c>
      <c r="D6226">
        <v>3.2519770000000001</v>
      </c>
      <c r="E6226">
        <v>0.4491597</v>
      </c>
      <c r="F6226" t="s">
        <v>59</v>
      </c>
      <c r="G6226">
        <v>-257.14</v>
      </c>
      <c r="H6226" s="1">
        <v>-2.5572389999999999E-6</v>
      </c>
      <c r="I6226">
        <v>-61.993789999999997</v>
      </c>
      <c r="J6226">
        <v>-274.5788</v>
      </c>
      <c r="K6226">
        <v>1.1122939999999999</v>
      </c>
      <c r="L6226">
        <v>-63.374760000000002</v>
      </c>
      <c r="M6226">
        <v>0.99396899999999999</v>
      </c>
      <c r="N6226">
        <v>0</v>
      </c>
      <c r="O6226">
        <v>-0.10936559999999999</v>
      </c>
      <c r="P6226">
        <v>0.98196130000000004</v>
      </c>
      <c r="Q6226">
        <v>0.1790185</v>
      </c>
      <c r="R6226">
        <v>-6.086569E-2</v>
      </c>
      <c r="S6226">
        <v>3.1068730000000002</v>
      </c>
      <c r="T6226">
        <v>-0.1968241</v>
      </c>
      <c r="U6226">
        <v>0.24240110000000001</v>
      </c>
      <c r="V6226">
        <v>-4.817341E-2</v>
      </c>
      <c r="W6226">
        <v>0.186614</v>
      </c>
      <c r="X6226">
        <v>0.98125150000000005</v>
      </c>
      <c r="Y6226">
        <v>-0.18576709999999999</v>
      </c>
      <c r="Z6226">
        <v>1.2777719999999999E-2</v>
      </c>
      <c r="AA6226">
        <v>0.98251069999999996</v>
      </c>
      <c r="AB6226">
        <v>24</v>
      </c>
      <c r="AC6226">
        <v>17.438800000000001</v>
      </c>
      <c r="AD6226">
        <v>-1.112296557239</v>
      </c>
      <c r="AE6226">
        <v>1.38096999999999</v>
      </c>
      <c r="AF6226">
        <v>-3.2667453291425699</v>
      </c>
      <c r="AG6226">
        <v>-1.112296557239</v>
      </c>
      <c r="AH6226">
        <v>17.113962617243299</v>
      </c>
      <c r="AI6226">
        <v>93.652855158503002</v>
      </c>
      <c r="AJ6226">
        <v>100.80672659146001</v>
      </c>
      <c r="AK6226">
        <v>17.4584233291876</v>
      </c>
      <c r="AL6226">
        <v>79.244753150611004</v>
      </c>
      <c r="AM6226">
        <v>92.810613571389098</v>
      </c>
      <c r="AN6226">
        <v>0.99999998433963899</v>
      </c>
    </row>
    <row r="6227" spans="1:40" x14ac:dyDescent="0.25">
      <c r="A6227" t="str">
        <f>"20190312173049895"</f>
        <v>20190312173049895</v>
      </c>
      <c r="B6227" t="str">
        <f>"1552383049883512"</f>
        <v>1552383049883512</v>
      </c>
      <c r="C6227" t="s">
        <v>40</v>
      </c>
      <c r="D6227">
        <v>3.2306319999999999</v>
      </c>
      <c r="E6227">
        <v>0.44933010000000001</v>
      </c>
      <c r="F6227" t="s">
        <v>59</v>
      </c>
      <c r="G6227">
        <v>-256.96949999999998</v>
      </c>
      <c r="H6227" s="1">
        <v>-2.4789819999999998E-6</v>
      </c>
      <c r="I6227">
        <v>-61.970829999999999</v>
      </c>
      <c r="J6227">
        <v>-274.46249999999998</v>
      </c>
      <c r="K6227">
        <v>1.1122970000000001</v>
      </c>
      <c r="L6227">
        <v>-63.385280000000002</v>
      </c>
      <c r="M6227">
        <v>0.99420140000000001</v>
      </c>
      <c r="N6227">
        <v>0</v>
      </c>
      <c r="O6227">
        <v>-0.1072336</v>
      </c>
      <c r="P6227">
        <v>0.98205319999999996</v>
      </c>
      <c r="Q6227">
        <v>0.17913699999999999</v>
      </c>
      <c r="R6227">
        <v>-5.9003989999999999E-2</v>
      </c>
      <c r="S6227">
        <v>3.1062319999999999</v>
      </c>
      <c r="T6227">
        <v>-0.19620609999999999</v>
      </c>
      <c r="U6227">
        <v>0.24765010000000001</v>
      </c>
      <c r="V6227">
        <v>-4.7931090000000003E-2</v>
      </c>
      <c r="W6227">
        <v>0.1867086</v>
      </c>
      <c r="X6227">
        <v>0.98124540000000005</v>
      </c>
      <c r="Y6227">
        <v>-0.1853342</v>
      </c>
      <c r="Z6227">
        <v>1.2591949999999999E-2</v>
      </c>
      <c r="AA6227">
        <v>0.98259479999999999</v>
      </c>
      <c r="AB6227">
        <v>24</v>
      </c>
      <c r="AC6227">
        <v>17.492999999999899</v>
      </c>
      <c r="AD6227">
        <v>-1.11229947898199</v>
      </c>
      <c r="AE6227">
        <v>1.41444999999999</v>
      </c>
      <c r="AF6227">
        <v>-3.2690601424787098</v>
      </c>
      <c r="AG6227">
        <v>-1.11229947898199</v>
      </c>
      <c r="AH6227">
        <v>17.171469736328</v>
      </c>
      <c r="AI6227">
        <v>93.641001201420593</v>
      </c>
      <c r="AJ6227">
        <v>100.77883688595099</v>
      </c>
      <c r="AK6227">
        <v>17.5152315785922</v>
      </c>
      <c r="AL6227">
        <v>79.239236312765598</v>
      </c>
      <c r="AM6227">
        <v>92.796515589133193</v>
      </c>
      <c r="AN6227">
        <v>1.00000001286185</v>
      </c>
    </row>
    <row r="6228" spans="1:40" x14ac:dyDescent="0.25">
      <c r="A6228" t="str">
        <f>"20190312173049906"</f>
        <v>20190312173049906</v>
      </c>
      <c r="B6228" t="str">
        <f>"1552383049904008"</f>
        <v>1552383049904008</v>
      </c>
      <c r="C6228" t="s">
        <v>40</v>
      </c>
      <c r="D6228">
        <v>3.2548509999999999</v>
      </c>
      <c r="E6228">
        <v>0.44969189999999998</v>
      </c>
      <c r="F6228" t="s">
        <v>59</v>
      </c>
      <c r="G6228">
        <v>-256.77929999999998</v>
      </c>
      <c r="H6228" s="1">
        <v>-2.3926199999999999E-6</v>
      </c>
      <c r="I6228">
        <v>-61.949460000000002</v>
      </c>
      <c r="J6228">
        <v>-274.34089999999998</v>
      </c>
      <c r="K6228">
        <v>1.1123069999999999</v>
      </c>
      <c r="L6228">
        <v>-63.396090000000001</v>
      </c>
      <c r="M6228">
        <v>0.99443939999999997</v>
      </c>
      <c r="N6228">
        <v>0</v>
      </c>
      <c r="O6228">
        <v>-0.1050045</v>
      </c>
      <c r="P6228">
        <v>0.98216599999999998</v>
      </c>
      <c r="Q6228">
        <v>0.17911669999999999</v>
      </c>
      <c r="R6228">
        <v>-5.7160549999999997E-2</v>
      </c>
      <c r="S6228">
        <v>3.1056210000000002</v>
      </c>
      <c r="T6228">
        <v>-0.19534779999999999</v>
      </c>
      <c r="U6228">
        <v>0.25216670000000002</v>
      </c>
      <c r="V6228">
        <v>-4.7577290000000001E-2</v>
      </c>
      <c r="W6228">
        <v>0.186665</v>
      </c>
      <c r="X6228">
        <v>0.98127089999999995</v>
      </c>
      <c r="Y6228">
        <v>-0.1845773</v>
      </c>
      <c r="Z6228">
        <v>1.2375529999999999E-2</v>
      </c>
      <c r="AA6228">
        <v>0.98274010000000001</v>
      </c>
      <c r="AB6228">
        <v>24</v>
      </c>
      <c r="AC6228">
        <v>17.561599999999999</v>
      </c>
      <c r="AD6228">
        <v>-1.1123093926199901</v>
      </c>
      <c r="AE6228">
        <v>1.4466300000000001</v>
      </c>
      <c r="AF6228">
        <v>-3.2697099688549698</v>
      </c>
      <c r="AG6228">
        <v>-1.1123093926199901</v>
      </c>
      <c r="AH6228">
        <v>17.243890998053899</v>
      </c>
      <c r="AI6228">
        <v>93.626287989591702</v>
      </c>
      <c r="AJ6228">
        <v>100.736706008355</v>
      </c>
      <c r="AK6228">
        <v>17.586358696959</v>
      </c>
      <c r="AL6228">
        <v>79.241778972084006</v>
      </c>
      <c r="AM6228">
        <v>92.7758336870845</v>
      </c>
      <c r="AN6228">
        <v>0.999999999967777</v>
      </c>
    </row>
    <row r="6229" spans="1:40" x14ac:dyDescent="0.25">
      <c r="A6229" t="str">
        <f>"20190312173049918"</f>
        <v>20190312173049918</v>
      </c>
      <c r="B6229" t="str">
        <f>"1552383049913768"</f>
        <v>1552383049913768</v>
      </c>
      <c r="C6229" t="s">
        <v>40</v>
      </c>
      <c r="D6229">
        <v>3.1894719999999999</v>
      </c>
      <c r="E6229">
        <v>0.44985799999999998</v>
      </c>
      <c r="F6229" t="s">
        <v>59</v>
      </c>
      <c r="G6229">
        <v>-256.57029999999997</v>
      </c>
      <c r="H6229" s="1">
        <v>-2.2998040000000001E-6</v>
      </c>
      <c r="I6229">
        <v>-61.935310000000001</v>
      </c>
      <c r="J6229">
        <v>-274.2165</v>
      </c>
      <c r="K6229">
        <v>1.112309</v>
      </c>
      <c r="L6229">
        <v>-63.406799999999997</v>
      </c>
      <c r="M6229">
        <v>0.9946777</v>
      </c>
      <c r="N6229">
        <v>0</v>
      </c>
      <c r="O6229">
        <v>-0.102724499999999</v>
      </c>
      <c r="P6229">
        <v>0.98227929999999997</v>
      </c>
      <c r="Q6229">
        <v>0.1791489</v>
      </c>
      <c r="R6229">
        <v>-5.5075119999999998E-2</v>
      </c>
      <c r="S6229">
        <v>3.104797</v>
      </c>
      <c r="T6229">
        <v>-0.19433639999999999</v>
      </c>
      <c r="U6229">
        <v>0.25521850000000001</v>
      </c>
      <c r="V6229">
        <v>-4.7413919999999998E-2</v>
      </c>
      <c r="W6229">
        <v>0.18667110000000001</v>
      </c>
      <c r="X6229">
        <v>0.98127759999999997</v>
      </c>
      <c r="Y6229">
        <v>-0.18331739999999999</v>
      </c>
      <c r="Z6229">
        <v>1.2133049999999999E-2</v>
      </c>
      <c r="AA6229">
        <v>0.98297889999999999</v>
      </c>
      <c r="AB6229">
        <v>24</v>
      </c>
      <c r="AC6229">
        <v>17.6462</v>
      </c>
      <c r="AD6229">
        <v>-1.1123112998039999</v>
      </c>
      <c r="AE6229">
        <v>1.47148999999999</v>
      </c>
      <c r="AF6229">
        <v>-3.2635825128770799</v>
      </c>
      <c r="AG6229">
        <v>-1.1123112998039999</v>
      </c>
      <c r="AH6229">
        <v>17.3332854002788</v>
      </c>
      <c r="AI6229">
        <v>93.608515610809206</v>
      </c>
      <c r="AJ6229">
        <v>100.66305045413699</v>
      </c>
      <c r="AK6229">
        <v>17.672888558850399</v>
      </c>
      <c r="AL6229">
        <v>79.241422712331001</v>
      </c>
      <c r="AM6229">
        <v>92.766298054384706</v>
      </c>
      <c r="AN6229">
        <v>0.99999995382336704</v>
      </c>
    </row>
    <row r="6230" spans="1:40" x14ac:dyDescent="0.25">
      <c r="A6230" t="str">
        <f>"20190312173049930"</f>
        <v>20190312173049930</v>
      </c>
      <c r="B6230" t="str">
        <f>"1552383049923527"</f>
        <v>1552383049923527</v>
      </c>
      <c r="C6230" t="s">
        <v>40</v>
      </c>
      <c r="D6230">
        <v>3.247687</v>
      </c>
      <c r="E6230">
        <v>0.45002880000000001</v>
      </c>
      <c r="F6230" t="s">
        <v>59</v>
      </c>
      <c r="G6230">
        <v>-256.40120000000002</v>
      </c>
      <c r="H6230" s="1">
        <v>-2.222035E-6</v>
      </c>
      <c r="I6230">
        <v>-61.911709999999999</v>
      </c>
      <c r="J6230">
        <v>-274.09719999999999</v>
      </c>
      <c r="K6230">
        <v>1.112311</v>
      </c>
      <c r="L6230">
        <v>-63.416809999999998</v>
      </c>
      <c r="M6230">
        <v>0.99490120000000004</v>
      </c>
      <c r="N6230">
        <v>0</v>
      </c>
      <c r="O6230">
        <v>-0.1005395</v>
      </c>
      <c r="P6230">
        <v>0.98233630000000005</v>
      </c>
      <c r="Q6230">
        <v>0.17935409999999999</v>
      </c>
      <c r="R6230">
        <v>-5.3363540000000001E-2</v>
      </c>
      <c r="S6230">
        <v>3.1040649999999999</v>
      </c>
      <c r="T6230">
        <v>-0.19380410000000001</v>
      </c>
      <c r="U6230">
        <v>0.26049800000000001</v>
      </c>
      <c r="V6230">
        <v>-4.6969150000000001E-2</v>
      </c>
      <c r="W6230">
        <v>0.1868543</v>
      </c>
      <c r="X6230">
        <v>0.98126420000000003</v>
      </c>
      <c r="Y6230">
        <v>-0.1828457</v>
      </c>
      <c r="Z6230">
        <v>1.195151E-2</v>
      </c>
      <c r="AA6230">
        <v>0.98306899999999997</v>
      </c>
      <c r="AB6230">
        <v>24</v>
      </c>
      <c r="AC6230">
        <v>17.695999999999898</v>
      </c>
      <c r="AD6230">
        <v>-1.112313222035</v>
      </c>
      <c r="AE6230">
        <v>1.5050999999999899</v>
      </c>
      <c r="AF6230">
        <v>-3.26387382012126</v>
      </c>
      <c r="AG6230">
        <v>-1.112313222035</v>
      </c>
      <c r="AH6230">
        <v>17.386801663853401</v>
      </c>
      <c r="AI6230">
        <v>93.597810761869496</v>
      </c>
      <c r="AJ6230">
        <v>100.63190628958</v>
      </c>
      <c r="AK6230">
        <v>17.725433284288499</v>
      </c>
      <c r="AL6230">
        <v>79.230738964263907</v>
      </c>
      <c r="AM6230">
        <v>92.740425686843807</v>
      </c>
      <c r="AN6230">
        <v>1.00000003034092</v>
      </c>
    </row>
    <row r="6231" spans="1:40" x14ac:dyDescent="0.25">
      <c r="A6231" t="str">
        <f>"20190312173049940"</f>
        <v>20190312173049940</v>
      </c>
      <c r="B6231" t="str">
        <f>"1552383049934264"</f>
        <v>1552383049934264</v>
      </c>
      <c r="C6231" t="s">
        <v>40</v>
      </c>
      <c r="D6231">
        <v>3.2545829999999998</v>
      </c>
      <c r="E6231">
        <v>0.450206</v>
      </c>
      <c r="F6231" t="s">
        <v>59</v>
      </c>
      <c r="G6231">
        <v>-256.17140000000001</v>
      </c>
      <c r="H6231" s="1">
        <v>-2.118119E-6</v>
      </c>
      <c r="I6231">
        <v>-61.887680000000003</v>
      </c>
      <c r="J6231">
        <v>-273.9787</v>
      </c>
      <c r="K6231">
        <v>1.1123099999999999</v>
      </c>
      <c r="L6231">
        <v>-63.426540000000003</v>
      </c>
      <c r="M6231">
        <v>0.99511830000000001</v>
      </c>
      <c r="N6231">
        <v>0</v>
      </c>
      <c r="O6231">
        <v>-9.8371399999999998E-2</v>
      </c>
      <c r="P6231">
        <v>0.98243829999999999</v>
      </c>
      <c r="Q6231">
        <v>0.17930599999999999</v>
      </c>
      <c r="R6231">
        <v>-5.1619949999999998E-2</v>
      </c>
      <c r="S6231">
        <v>3.1035159999999999</v>
      </c>
      <c r="T6231">
        <v>-0.1925761</v>
      </c>
      <c r="U6231">
        <v>0.26473999999999998</v>
      </c>
      <c r="V6231">
        <v>-4.6575810000000002E-2</v>
      </c>
      <c r="W6231">
        <v>0.18678400000000001</v>
      </c>
      <c r="X6231">
        <v>0.98129630000000001</v>
      </c>
      <c r="Y6231">
        <v>-0.1820647</v>
      </c>
      <c r="Z6231">
        <v>1.171933E-2</v>
      </c>
      <c r="AA6231">
        <v>0.98321670000000005</v>
      </c>
      <c r="AB6231">
        <v>24</v>
      </c>
      <c r="AC6231">
        <v>17.807299999999898</v>
      </c>
      <c r="AD6231">
        <v>-1.1123121181190001</v>
      </c>
      <c r="AE6231">
        <v>1.5388599999999899</v>
      </c>
      <c r="AF6231">
        <v>-3.27051353340832</v>
      </c>
      <c r="AG6231">
        <v>-1.1123121181190001</v>
      </c>
      <c r="AH6231">
        <v>17.501759597509899</v>
      </c>
      <c r="AI6231">
        <v>93.574787660979496</v>
      </c>
      <c r="AJ6231">
        <v>100.58465344915599</v>
      </c>
      <c r="AK6231">
        <v>17.839425047611599</v>
      </c>
      <c r="AL6231">
        <v>79.234838695912202</v>
      </c>
      <c r="AM6231">
        <v>92.717421960960095</v>
      </c>
      <c r="AN6231">
        <v>0.99999999856342303</v>
      </c>
    </row>
    <row r="6232" spans="1:40" x14ac:dyDescent="0.25">
      <c r="A6232" t="str">
        <f>"20190312173049951"</f>
        <v>20190312173049951</v>
      </c>
      <c r="B6232" t="str">
        <f>"1552383049944023"</f>
        <v>1552383049944023</v>
      </c>
      <c r="C6232" t="s">
        <v>40</v>
      </c>
      <c r="D6232">
        <v>3.1967650000000001</v>
      </c>
      <c r="E6232">
        <v>0.45037450000000001</v>
      </c>
      <c r="F6232" t="s">
        <v>59</v>
      </c>
      <c r="G6232">
        <v>-256.04640000000001</v>
      </c>
      <c r="H6232" s="1">
        <v>-2.0613489999999999E-6</v>
      </c>
      <c r="I6232">
        <v>-61.873440000000002</v>
      </c>
      <c r="J6232">
        <v>-273.85989999999998</v>
      </c>
      <c r="K6232">
        <v>1.1123099999999999</v>
      </c>
      <c r="L6232">
        <v>-63.435969999999998</v>
      </c>
      <c r="M6232">
        <v>0.99533059999999995</v>
      </c>
      <c r="N6232">
        <v>0</v>
      </c>
      <c r="O6232">
        <v>-9.6201200000000001E-2</v>
      </c>
      <c r="P6232">
        <v>0.98252830000000002</v>
      </c>
      <c r="Q6232">
        <v>0.1792656</v>
      </c>
      <c r="R6232">
        <v>-5.0020660000000002E-2</v>
      </c>
      <c r="S6232">
        <v>3.102875</v>
      </c>
      <c r="T6232">
        <v>-0.19246669999999999</v>
      </c>
      <c r="U6232">
        <v>0.26873780000000003</v>
      </c>
      <c r="V6232">
        <v>-4.6034949999999998E-2</v>
      </c>
      <c r="W6232">
        <v>0.18672449999999999</v>
      </c>
      <c r="X6232">
        <v>0.98133309999999996</v>
      </c>
      <c r="Y6232">
        <v>-0.18120159999999999</v>
      </c>
      <c r="Z6232">
        <v>1.1553819999999999E-2</v>
      </c>
      <c r="AA6232">
        <v>0.98337810000000003</v>
      </c>
      <c r="AB6232">
        <v>24</v>
      </c>
      <c r="AC6232">
        <v>17.813499999999902</v>
      </c>
      <c r="AD6232">
        <v>-1.1123120613490001</v>
      </c>
      <c r="AE6232">
        <v>1.56252999999999</v>
      </c>
      <c r="AF6232">
        <v>-3.2564160058973699</v>
      </c>
      <c r="AG6232">
        <v>-1.1123120613490001</v>
      </c>
      <c r="AH6232">
        <v>17.5127909996108</v>
      </c>
      <c r="AI6232">
        <v>93.573133874132495</v>
      </c>
      <c r="AJ6232">
        <v>100.533562284493</v>
      </c>
      <c r="AK6232">
        <v>17.847670209899501</v>
      </c>
      <c r="AL6232">
        <v>79.238308364717</v>
      </c>
      <c r="AM6232">
        <v>92.685811898177903</v>
      </c>
      <c r="AN6232">
        <v>0.99999995433868005</v>
      </c>
    </row>
    <row r="6233" spans="1:40" x14ac:dyDescent="0.25">
      <c r="A6233" t="str">
        <f>"20190312173049963"</f>
        <v>20190312173049963</v>
      </c>
      <c r="B6233" t="str">
        <f>"1552383049953784"</f>
        <v>1552383049953784</v>
      </c>
      <c r="C6233" t="s">
        <v>40</v>
      </c>
      <c r="D6233">
        <v>3.2294360000000002</v>
      </c>
      <c r="E6233">
        <v>0.45055319999999999</v>
      </c>
      <c r="F6233" t="s">
        <v>59</v>
      </c>
      <c r="G6233">
        <v>-255.87450000000001</v>
      </c>
      <c r="H6233" s="1">
        <v>-1.9833990000000001E-6</v>
      </c>
      <c r="I6233">
        <v>-61.854759999999999</v>
      </c>
      <c r="J6233">
        <v>-273.72890000000001</v>
      </c>
      <c r="K6233">
        <v>1.112309</v>
      </c>
      <c r="L6233">
        <v>-63.446199999999997</v>
      </c>
      <c r="M6233">
        <v>0.99555879999999997</v>
      </c>
      <c r="N6233">
        <v>0</v>
      </c>
      <c r="O6233">
        <v>-9.3812000000000006E-2</v>
      </c>
      <c r="P6233">
        <v>0.98262389999999999</v>
      </c>
      <c r="Q6233">
        <v>0.179314</v>
      </c>
      <c r="R6233">
        <v>-4.7928909999999998E-2</v>
      </c>
      <c r="S6233">
        <v>3.1022029999999998</v>
      </c>
      <c r="T6233">
        <v>-0.1918561</v>
      </c>
      <c r="U6233">
        <v>0.27273560000000002</v>
      </c>
      <c r="V6233">
        <v>-4.5770810000000002E-2</v>
      </c>
      <c r="W6233">
        <v>0.18674979999999999</v>
      </c>
      <c r="X6233">
        <v>0.98134069999999995</v>
      </c>
      <c r="Y6233">
        <v>-0.18012700000000001</v>
      </c>
      <c r="Z6233">
        <v>1.1338880000000001E-2</v>
      </c>
      <c r="AA6233">
        <v>0.98357799999999995</v>
      </c>
      <c r="AB6233">
        <v>24</v>
      </c>
      <c r="AC6233">
        <v>17.854399999999998</v>
      </c>
      <c r="AD6233">
        <v>-1.1123109833989999</v>
      </c>
      <c r="AE6233">
        <v>1.59143999999999</v>
      </c>
      <c r="AF6233">
        <v>-3.2469275630930401</v>
      </c>
      <c r="AG6233">
        <v>-1.1123109833989999</v>
      </c>
      <c r="AH6233">
        <v>17.5587439685142</v>
      </c>
      <c r="AI6233">
        <v>93.564457820945805</v>
      </c>
      <c r="AJ6233">
        <v>100.476674498478</v>
      </c>
      <c r="AK6233">
        <v>17.891038652789199</v>
      </c>
      <c r="AL6233">
        <v>79.236833456373105</v>
      </c>
      <c r="AM6233">
        <v>92.670402928799305</v>
      </c>
      <c r="AN6233">
        <v>1.0000000121622901</v>
      </c>
    </row>
    <row r="6234" spans="1:40" x14ac:dyDescent="0.25">
      <c r="A6234" t="str">
        <f>"20190312173049973"</f>
        <v>20190312173049973</v>
      </c>
      <c r="B6234" t="str">
        <f>"1552383049963544"</f>
        <v>1552383049963544</v>
      </c>
      <c r="C6234" t="s">
        <v>40</v>
      </c>
      <c r="D6234">
        <v>3.24146</v>
      </c>
      <c r="E6234">
        <v>0.45074059999999999</v>
      </c>
      <c r="F6234" t="s">
        <v>59</v>
      </c>
      <c r="G6234">
        <v>-255.70599999999999</v>
      </c>
      <c r="H6234" s="1">
        <v>-1.905875E-6</v>
      </c>
      <c r="I6234">
        <v>-61.831020000000002</v>
      </c>
      <c r="J6234">
        <v>-273.61450000000002</v>
      </c>
      <c r="K6234">
        <v>1.1123080000000001</v>
      </c>
      <c r="L6234">
        <v>-63.454709999999999</v>
      </c>
      <c r="M6234">
        <v>0.99575259999999999</v>
      </c>
      <c r="N6234">
        <v>0</v>
      </c>
      <c r="O6234">
        <v>-9.1734179999999999E-2</v>
      </c>
      <c r="P6234">
        <v>0.98273869999999997</v>
      </c>
      <c r="Q6234">
        <v>0.1790677</v>
      </c>
      <c r="R6234">
        <v>-4.6473630000000002E-2</v>
      </c>
      <c r="S6234">
        <v>3.1015320000000002</v>
      </c>
      <c r="T6234">
        <v>-0.19141649999999999</v>
      </c>
      <c r="U6234">
        <v>0.27795409999999998</v>
      </c>
      <c r="V6234">
        <v>-4.517881E-2</v>
      </c>
      <c r="W6234">
        <v>0.1864865</v>
      </c>
      <c r="X6234">
        <v>0.98141820000000002</v>
      </c>
      <c r="Y6234">
        <v>-0.17974189999999901</v>
      </c>
      <c r="Z6234">
        <v>1.11751E-2</v>
      </c>
      <c r="AA6234">
        <v>0.98365029999999998</v>
      </c>
      <c r="AB6234">
        <v>24</v>
      </c>
      <c r="AC6234">
        <v>17.9085</v>
      </c>
      <c r="AD6234">
        <v>-1.1123099058749999</v>
      </c>
      <c r="AE6234">
        <v>1.6236900000000001</v>
      </c>
      <c r="AF6234">
        <v>-3.2472904310342998</v>
      </c>
      <c r="AG6234">
        <v>-1.1123099058749999</v>
      </c>
      <c r="AH6234">
        <v>17.616625942430002</v>
      </c>
      <c r="AI6234">
        <v>93.553144281996197</v>
      </c>
      <c r="AJ6234">
        <v>100.444151783998</v>
      </c>
      <c r="AK6234">
        <v>17.947914588210299</v>
      </c>
      <c r="AL6234">
        <v>79.2521891885239</v>
      </c>
      <c r="AM6234">
        <v>92.635705091938306</v>
      </c>
      <c r="AN6234">
        <v>1.0000000114232499</v>
      </c>
    </row>
    <row r="6235" spans="1:40" x14ac:dyDescent="0.25">
      <c r="A6235" t="str">
        <f>"20190312173049986"</f>
        <v>20190312173049986</v>
      </c>
      <c r="B6235" t="str">
        <f>"1552383049973303"</f>
        <v>1552383049973303</v>
      </c>
      <c r="C6235" t="s">
        <v>40</v>
      </c>
      <c r="D6235">
        <v>3.2314850000000002</v>
      </c>
      <c r="E6235">
        <v>0.45074059999999999</v>
      </c>
      <c r="F6235" t="s">
        <v>59</v>
      </c>
      <c r="G6235">
        <v>-255.66980000000001</v>
      </c>
      <c r="H6235" s="1">
        <v>-1.8899520000000001E-6</v>
      </c>
      <c r="I6235">
        <v>-61.829320000000003</v>
      </c>
      <c r="J6235">
        <v>-273.48500000000001</v>
      </c>
      <c r="K6235">
        <v>1.1123069999999999</v>
      </c>
      <c r="L6235">
        <v>-63.464260000000003</v>
      </c>
      <c r="M6235">
        <v>0.99596609999999997</v>
      </c>
      <c r="N6235">
        <v>0</v>
      </c>
      <c r="O6235">
        <v>-8.938683E-2</v>
      </c>
      <c r="P6235">
        <v>0.98285509999999998</v>
      </c>
      <c r="Q6235">
        <v>0.17894019999999999</v>
      </c>
      <c r="R6235">
        <v>-4.4456170000000003E-2</v>
      </c>
      <c r="S6235">
        <v>3.101013</v>
      </c>
      <c r="T6235">
        <v>-0.19221769999999999</v>
      </c>
      <c r="U6235">
        <v>0.28088380000000002</v>
      </c>
      <c r="V6235">
        <v>-4.4881999999999998E-2</v>
      </c>
      <c r="W6235">
        <v>0.18633710000000001</v>
      </c>
      <c r="X6235">
        <v>0.9814602</v>
      </c>
      <c r="Y6235">
        <v>-0.1783624</v>
      </c>
      <c r="Z6235">
        <v>1.1035700000000001E-2</v>
      </c>
      <c r="AA6235">
        <v>0.98390299999999997</v>
      </c>
      <c r="AB6235">
        <v>24</v>
      </c>
      <c r="AC6235">
        <v>17.815200000000001</v>
      </c>
      <c r="AD6235">
        <v>-1.1123088899519999</v>
      </c>
      <c r="AE6235">
        <v>1.6349400000000001</v>
      </c>
      <c r="AF6235">
        <v>-3.2084851396233298</v>
      </c>
      <c r="AG6235">
        <v>-1.1123088899519999</v>
      </c>
      <c r="AH6235">
        <v>17.5299690666047</v>
      </c>
      <c r="AI6235">
        <v>93.571484448514298</v>
      </c>
      <c r="AJ6235">
        <v>100.371962973067</v>
      </c>
      <c r="AK6235">
        <v>17.8558512380107</v>
      </c>
      <c r="AL6235">
        <v>79.260901951723994</v>
      </c>
      <c r="AM6235">
        <v>92.618301655518707</v>
      </c>
      <c r="AN6235">
        <v>1.00000001647222</v>
      </c>
    </row>
    <row r="6236" spans="1:40" x14ac:dyDescent="0.25">
      <c r="A6236" t="str">
        <f>"20190312173049997"</f>
        <v>20190312173049997</v>
      </c>
      <c r="B6236" t="str">
        <f>"1552383049993800"</f>
        <v>1552383049993800</v>
      </c>
      <c r="C6236" t="s">
        <v>40</v>
      </c>
      <c r="D6236">
        <v>3.2137129999999998</v>
      </c>
      <c r="E6236">
        <v>0.45127489999999998</v>
      </c>
      <c r="F6236" t="s">
        <v>59</v>
      </c>
      <c r="G6236">
        <v>-255.58330000000001</v>
      </c>
      <c r="H6236" s="1">
        <v>-1.8475290000000001E-6</v>
      </c>
      <c r="I6236">
        <v>-61.805439999999997</v>
      </c>
      <c r="J6236">
        <v>-273.36250000000001</v>
      </c>
      <c r="K6236">
        <v>1.112301</v>
      </c>
      <c r="L6236">
        <v>-63.472900000000003</v>
      </c>
      <c r="M6236">
        <v>0.99616249999999995</v>
      </c>
      <c r="N6236">
        <v>0</v>
      </c>
      <c r="O6236">
        <v>-8.7173470000000003E-2</v>
      </c>
      <c r="P6236">
        <v>0.98290710000000003</v>
      </c>
      <c r="Q6236">
        <v>0.17905160000000001</v>
      </c>
      <c r="R6236">
        <v>-4.2827530000000003E-2</v>
      </c>
      <c r="S6236">
        <v>3.100403</v>
      </c>
      <c r="T6236">
        <v>-0.1926407</v>
      </c>
      <c r="U6236">
        <v>0.28729250000000001</v>
      </c>
      <c r="V6236">
        <v>-4.4324759999999998E-2</v>
      </c>
      <c r="W6236">
        <v>0.18642980000000001</v>
      </c>
      <c r="X6236">
        <v>0.98146789999999995</v>
      </c>
      <c r="Y6236">
        <v>-0.1782125</v>
      </c>
      <c r="Z6236">
        <v>1.091956E-2</v>
      </c>
      <c r="AA6236">
        <v>0.98393140000000001</v>
      </c>
      <c r="AB6236">
        <v>25</v>
      </c>
      <c r="AC6236">
        <v>17.779199999999999</v>
      </c>
      <c r="AD6236">
        <v>-1.112302847529</v>
      </c>
      <c r="AE6236">
        <v>1.66745999999999</v>
      </c>
      <c r="AF6236">
        <v>-3.1986234385419601</v>
      </c>
      <c r="AG6236">
        <v>-1.112302847529</v>
      </c>
      <c r="AH6236">
        <v>17.498259198299198</v>
      </c>
      <c r="AI6236">
        <v>93.578066887609396</v>
      </c>
      <c r="AJ6236">
        <v>100.35910609405001</v>
      </c>
      <c r="AK6236">
        <v>17.8229482549065</v>
      </c>
      <c r="AL6236">
        <v>79.255495688360895</v>
      </c>
      <c r="AM6236">
        <v>92.585817833883098</v>
      </c>
      <c r="AN6236">
        <v>0.99999999670375295</v>
      </c>
    </row>
    <row r="6237" spans="1:40" x14ac:dyDescent="0.25">
      <c r="A6237" t="str">
        <f>"20190312173050008"</f>
        <v>20190312173050008</v>
      </c>
      <c r="B6237" t="str">
        <f>"1552383050003560"</f>
        <v>1552383050003560</v>
      </c>
      <c r="C6237" t="s">
        <v>40</v>
      </c>
      <c r="D6237">
        <v>3.1777820000000001</v>
      </c>
      <c r="E6237">
        <v>0.4514611</v>
      </c>
      <c r="F6237" t="s">
        <v>59</v>
      </c>
      <c r="G6237">
        <v>-255.36080000000001</v>
      </c>
      <c r="H6237" s="1">
        <v>-1.75092899999999E-6</v>
      </c>
      <c r="I6237">
        <v>-61.800310000000003</v>
      </c>
      <c r="J6237">
        <v>-273.2466</v>
      </c>
      <c r="K6237">
        <v>1.112298</v>
      </c>
      <c r="L6237">
        <v>-63.480899999999998</v>
      </c>
      <c r="M6237">
        <v>0.99634279999999997</v>
      </c>
      <c r="N6237">
        <v>0</v>
      </c>
      <c r="O6237">
        <v>-8.509005E-2</v>
      </c>
      <c r="P6237">
        <v>0.98301950000000005</v>
      </c>
      <c r="Q6237">
        <v>0.178807299999999</v>
      </c>
      <c r="R6237">
        <v>-4.1239110000000002E-2</v>
      </c>
      <c r="S6237">
        <v>3.0996090000000001</v>
      </c>
      <c r="T6237">
        <v>-0.1915212</v>
      </c>
      <c r="U6237">
        <v>0.28799439999999998</v>
      </c>
      <c r="V6237">
        <v>-4.385849E-2</v>
      </c>
      <c r="W6237">
        <v>0.18616930000000001</v>
      </c>
      <c r="X6237">
        <v>0.98153829999999997</v>
      </c>
      <c r="Y6237">
        <v>-0.1764117</v>
      </c>
      <c r="Z6237">
        <v>1.0675189999999999E-2</v>
      </c>
      <c r="AA6237">
        <v>0.98425859999999998</v>
      </c>
      <c r="AB6237">
        <v>25</v>
      </c>
      <c r="AC6237">
        <v>17.8857999999999</v>
      </c>
      <c r="AD6237">
        <v>-1.112299750929</v>
      </c>
      <c r="AE6237">
        <v>1.68059</v>
      </c>
      <c r="AF6237">
        <v>-3.1842372236894798</v>
      </c>
      <c r="AG6237">
        <v>-1.112299750929</v>
      </c>
      <c r="AH6237">
        <v>17.6104114896347</v>
      </c>
      <c r="AI6237">
        <v>93.556565233999507</v>
      </c>
      <c r="AJ6237">
        <v>100.249231491961</v>
      </c>
      <c r="AK6237">
        <v>17.930509481520701</v>
      </c>
      <c r="AL6237">
        <v>79.270687285741801</v>
      </c>
      <c r="AM6237">
        <v>92.558469642658494</v>
      </c>
      <c r="AN6237">
        <v>1.00000000488723</v>
      </c>
    </row>
    <row r="6238" spans="1:40" x14ac:dyDescent="0.25">
      <c r="A6238" t="str">
        <f>"20190312173050019"</f>
        <v>20190312173050019</v>
      </c>
      <c r="B6238" t="str">
        <f>"1552383050013320"</f>
        <v>1552383050013320</v>
      </c>
      <c r="C6238" t="s">
        <v>40</v>
      </c>
      <c r="D6238">
        <v>3.228084</v>
      </c>
      <c r="E6238">
        <v>0.45164759999999998</v>
      </c>
      <c r="F6238" t="s">
        <v>59</v>
      </c>
      <c r="G6238">
        <v>-255.28380000000001</v>
      </c>
      <c r="H6238" s="1">
        <v>-1.715763E-6</v>
      </c>
      <c r="I6238">
        <v>-61.790680000000002</v>
      </c>
      <c r="J6238">
        <v>-273.1207</v>
      </c>
      <c r="K6238">
        <v>1.11229</v>
      </c>
      <c r="L6238">
        <v>-63.489289999999997</v>
      </c>
      <c r="M6238">
        <v>0.99653309999999995</v>
      </c>
      <c r="N6238">
        <v>0</v>
      </c>
      <c r="O6238">
        <v>-8.2834249999999998E-2</v>
      </c>
      <c r="P6238">
        <v>0.98306380000000004</v>
      </c>
      <c r="Q6238">
        <v>0.1788854</v>
      </c>
      <c r="R6238">
        <v>-3.9824489999999997E-2</v>
      </c>
      <c r="S6238">
        <v>3.098938</v>
      </c>
      <c r="T6238">
        <v>-0.19189310000000001</v>
      </c>
      <c r="U6238">
        <v>0.29159550000000001</v>
      </c>
      <c r="V6238">
        <v>-4.3045449999999999E-2</v>
      </c>
      <c r="W6238">
        <v>0.1862317</v>
      </c>
      <c r="X6238">
        <v>0.98156239999999995</v>
      </c>
      <c r="Y6238">
        <v>-0.1753411</v>
      </c>
      <c r="Z6238">
        <v>1.052548E-2</v>
      </c>
      <c r="AA6238">
        <v>0.98445150000000003</v>
      </c>
      <c r="AB6238">
        <v>25</v>
      </c>
      <c r="AC6238">
        <v>17.836899999999901</v>
      </c>
      <c r="AD6238">
        <v>-1.1122917157629999</v>
      </c>
      <c r="AE6238">
        <v>1.69861</v>
      </c>
      <c r="AF6238">
        <v>-3.1581522872674799</v>
      </c>
      <c r="AG6238">
        <v>-1.1122917157629999</v>
      </c>
      <c r="AH6238">
        <v>17.567190900042299</v>
      </c>
      <c r="AI6238">
        <v>93.565913084565196</v>
      </c>
      <c r="AJ6238">
        <v>100.19151956993301</v>
      </c>
      <c r="AK6238">
        <v>17.8834368858186</v>
      </c>
      <c r="AL6238">
        <v>79.267047805753606</v>
      </c>
      <c r="AM6238">
        <v>92.511040946484101</v>
      </c>
      <c r="AN6238">
        <v>0.99999995097217498</v>
      </c>
    </row>
    <row r="6239" spans="1:40" x14ac:dyDescent="0.25">
      <c r="A6239" t="str">
        <f>"20190312173050030"</f>
        <v>20190312173050030</v>
      </c>
      <c r="B6239" t="str">
        <f>"1552383050024056"</f>
        <v>1552383050024056</v>
      </c>
      <c r="C6239" t="s">
        <v>40</v>
      </c>
      <c r="D6239">
        <v>3.2754020000000001</v>
      </c>
      <c r="E6239">
        <v>0.45183479999999998</v>
      </c>
      <c r="F6239" t="s">
        <v>59</v>
      </c>
      <c r="G6239">
        <v>-255.1206</v>
      </c>
      <c r="H6239" s="1">
        <v>-1.643068E-6</v>
      </c>
      <c r="I6239">
        <v>-61.77861</v>
      </c>
      <c r="J6239">
        <v>-273.00119999999998</v>
      </c>
      <c r="K6239">
        <v>1.112279</v>
      </c>
      <c r="L6239">
        <v>-63.496980000000001</v>
      </c>
      <c r="M6239">
        <v>0.99670740000000002</v>
      </c>
      <c r="N6239">
        <v>0</v>
      </c>
      <c r="O6239">
        <v>-8.0710660000000004E-2</v>
      </c>
      <c r="P6239">
        <v>0.98312869999999997</v>
      </c>
      <c r="Q6239">
        <v>0.17886859999999999</v>
      </c>
      <c r="R6239">
        <v>-3.8266590000000003E-2</v>
      </c>
      <c r="S6239">
        <v>3.0983890000000001</v>
      </c>
      <c r="T6239">
        <v>-0.19146070000000001</v>
      </c>
      <c r="U6239">
        <v>0.29446409999999901</v>
      </c>
      <c r="V6239">
        <v>-4.2505569999999999E-2</v>
      </c>
      <c r="W6239">
        <v>0.18620030000000001</v>
      </c>
      <c r="X6239">
        <v>0.98159189999999996</v>
      </c>
      <c r="Y6239">
        <v>-0.1741714</v>
      </c>
      <c r="Z6239">
        <v>1.033649E-2</v>
      </c>
      <c r="AA6239">
        <v>0.98466109999999896</v>
      </c>
      <c r="AB6239">
        <v>25</v>
      </c>
      <c r="AC6239">
        <v>17.880599999999902</v>
      </c>
      <c r="AD6239">
        <v>-1.1122806430679999</v>
      </c>
      <c r="AE6239">
        <v>1.71837</v>
      </c>
      <c r="AF6239">
        <v>-3.14390774225883</v>
      </c>
      <c r="AG6239">
        <v>-1.1122806430679999</v>
      </c>
      <c r="AH6239">
        <v>17.6160244557197</v>
      </c>
      <c r="AI6239">
        <v>93.556822703840695</v>
      </c>
      <c r="AJ6239">
        <v>100.11896361560601</v>
      </c>
      <c r="AK6239">
        <v>17.928905202083399</v>
      </c>
      <c r="AL6239">
        <v>79.268879092171005</v>
      </c>
      <c r="AM6239">
        <v>92.479512370338398</v>
      </c>
      <c r="AN6239">
        <v>0.999999966673361</v>
      </c>
    </row>
    <row r="6240" spans="1:40" x14ac:dyDescent="0.25">
      <c r="A6240" t="str">
        <f>"20190312173050040"</f>
        <v>20190312173050040</v>
      </c>
      <c r="B6240" t="str">
        <f>"1552383050033816"</f>
        <v>1552383050033816</v>
      </c>
      <c r="C6240" t="s">
        <v>40</v>
      </c>
      <c r="D6240">
        <v>3.156336</v>
      </c>
      <c r="E6240">
        <v>0.45201599999999997</v>
      </c>
      <c r="F6240" t="s">
        <v>59</v>
      </c>
      <c r="G6240">
        <v>-254.97620000000001</v>
      </c>
      <c r="H6240" s="1">
        <v>-1.577718E-6</v>
      </c>
      <c r="I6240">
        <v>-61.763390000000001</v>
      </c>
      <c r="J6240">
        <v>-272.88490000000002</v>
      </c>
      <c r="K6240">
        <v>1.1122700000000001</v>
      </c>
      <c r="L6240">
        <v>-63.504300000000001</v>
      </c>
      <c r="M6240">
        <v>0.99687219999999999</v>
      </c>
      <c r="N6240">
        <v>0</v>
      </c>
      <c r="O6240">
        <v>-7.8649769999999994E-2</v>
      </c>
      <c r="P6240">
        <v>0.98324259999999997</v>
      </c>
      <c r="Q6240">
        <v>0.1785176</v>
      </c>
      <c r="R6240">
        <v>-3.6953659999999999E-2</v>
      </c>
      <c r="S6240">
        <v>3.0978699999999999</v>
      </c>
      <c r="T6240">
        <v>-0.19116150000000001</v>
      </c>
      <c r="U6240">
        <v>0.29794310000000002</v>
      </c>
      <c r="V6240">
        <v>-4.1785799999999998E-2</v>
      </c>
      <c r="W6240">
        <v>0.18583810000000001</v>
      </c>
      <c r="X6240">
        <v>0.98169150000000005</v>
      </c>
      <c r="Y6240">
        <v>-0.17325389999999999</v>
      </c>
      <c r="Z6240">
        <v>1.0166680000000001E-2</v>
      </c>
      <c r="AA6240">
        <v>0.9848247</v>
      </c>
      <c r="AB6240">
        <v>25</v>
      </c>
      <c r="AC6240">
        <v>17.9087</v>
      </c>
      <c r="AD6240">
        <v>-1.1122715777179999</v>
      </c>
      <c r="AE6240">
        <v>1.74090999999999</v>
      </c>
      <c r="AF6240">
        <v>-3.1321056380779102</v>
      </c>
      <c r="AG6240">
        <v>-1.1122715777179999</v>
      </c>
      <c r="AH6240">
        <v>17.648853560898299</v>
      </c>
      <c r="AI6240">
        <v>93.550805972583802</v>
      </c>
      <c r="AJ6240">
        <v>100.063388399369</v>
      </c>
      <c r="AK6240">
        <v>17.959099804965501</v>
      </c>
      <c r="AL6240">
        <v>79.290000923019704</v>
      </c>
      <c r="AM6240">
        <v>92.437329503139196</v>
      </c>
      <c r="AN6240">
        <v>1.00000002683274</v>
      </c>
    </row>
    <row r="6241" spans="1:40" x14ac:dyDescent="0.25">
      <c r="A6241" t="str">
        <f>"20190312173050052"</f>
        <v>20190312173050052</v>
      </c>
      <c r="B6241" t="str">
        <f>"1552383050043575"</f>
        <v>1552383050043575</v>
      </c>
      <c r="C6241" t="s">
        <v>40</v>
      </c>
      <c r="D6241">
        <v>3.2690239999999999</v>
      </c>
      <c r="E6241">
        <v>0.45221080000000002</v>
      </c>
      <c r="F6241" t="s">
        <v>59</v>
      </c>
      <c r="G6241">
        <v>-254.93870000000001</v>
      </c>
      <c r="H6241" s="1">
        <v>-1.5616929999999901E-6</v>
      </c>
      <c r="I6241">
        <v>-61.763500000000001</v>
      </c>
      <c r="J6241">
        <v>-272.762</v>
      </c>
      <c r="K6241">
        <v>1.112255</v>
      </c>
      <c r="L6241">
        <v>-63.511719999999997</v>
      </c>
      <c r="M6241">
        <v>0.99703980000000003</v>
      </c>
      <c r="N6241">
        <v>0</v>
      </c>
      <c r="O6241">
        <v>-7.6499239999999996E-2</v>
      </c>
      <c r="P6241">
        <v>0.98331579999999996</v>
      </c>
      <c r="Q6241">
        <v>0.17840139999999999</v>
      </c>
      <c r="R6241">
        <v>-3.5541900000000001E-2</v>
      </c>
      <c r="S6241">
        <v>3.097321</v>
      </c>
      <c r="T6241">
        <v>-0.191967</v>
      </c>
      <c r="U6241">
        <v>0.30044559999999998</v>
      </c>
      <c r="V6241">
        <v>-4.1071999999999997E-2</v>
      </c>
      <c r="W6241">
        <v>0.18571070000000001</v>
      </c>
      <c r="X6241">
        <v>0.98174570000000005</v>
      </c>
      <c r="Y6241">
        <v>-0.1719369</v>
      </c>
      <c r="Z6241">
        <v>1.00374E-2</v>
      </c>
      <c r="AA6241">
        <v>0.98505679999999995</v>
      </c>
      <c r="AB6241">
        <v>25</v>
      </c>
      <c r="AC6241">
        <v>17.8232999999999</v>
      </c>
      <c r="AD6241">
        <v>-1.112256561693</v>
      </c>
      <c r="AE6241">
        <v>1.7482199999999899</v>
      </c>
      <c r="AF6241">
        <v>-3.0946694042895699</v>
      </c>
      <c r="AG6241">
        <v>-1.112256561693</v>
      </c>
      <c r="AH6241">
        <v>17.569556916722401</v>
      </c>
      <c r="AI6241">
        <v>93.567553656662398</v>
      </c>
      <c r="AJ6241">
        <v>99.989507180359993</v>
      </c>
      <c r="AK6241">
        <v>17.874658699701801</v>
      </c>
      <c r="AL6241">
        <v>79.297429392684506</v>
      </c>
      <c r="AM6241">
        <v>92.395610991461496</v>
      </c>
      <c r="AN6241">
        <v>0.99999999637349002</v>
      </c>
    </row>
    <row r="6242" spans="1:40" x14ac:dyDescent="0.25">
      <c r="A6242" t="str">
        <f>"20190312173050064"</f>
        <v>20190312173050064</v>
      </c>
      <c r="B6242" t="str">
        <f>"1552383050053336"</f>
        <v>1552383050053336</v>
      </c>
      <c r="C6242" t="s">
        <v>40</v>
      </c>
      <c r="D6242">
        <v>3.1556160000000002</v>
      </c>
      <c r="E6242">
        <v>0.45240380000000002</v>
      </c>
      <c r="F6242" t="s">
        <v>59</v>
      </c>
      <c r="G6242">
        <v>-254.80719999999999</v>
      </c>
      <c r="H6242" s="1">
        <v>-1.5025579999999999E-6</v>
      </c>
      <c r="I6242">
        <v>-61.7513199999999</v>
      </c>
      <c r="J6242">
        <v>-272.63420000000002</v>
      </c>
      <c r="K6242">
        <v>1.1122379999999901</v>
      </c>
      <c r="L6242">
        <v>-63.519260000000003</v>
      </c>
      <c r="M6242">
        <v>0.99720850000000005</v>
      </c>
      <c r="N6242">
        <v>0</v>
      </c>
      <c r="O6242">
        <v>-7.4270630000000004E-2</v>
      </c>
      <c r="P6242">
        <v>0.98338110000000001</v>
      </c>
      <c r="Q6242">
        <v>0.17834510000000001</v>
      </c>
      <c r="R6242">
        <v>-3.398466E-2</v>
      </c>
      <c r="S6242">
        <v>3.0966800000000001</v>
      </c>
      <c r="T6242">
        <v>-0.19183239999999999</v>
      </c>
      <c r="U6242">
        <v>0.30361939999999998</v>
      </c>
      <c r="V6242">
        <v>-4.0425549999999998E-2</v>
      </c>
      <c r="W6242">
        <v>0.1856428</v>
      </c>
      <c r="X6242">
        <v>0.98178540000000003</v>
      </c>
      <c r="Y6242">
        <v>-0.17076179999999999</v>
      </c>
      <c r="Z6242">
        <v>9.8581520000000002E-3</v>
      </c>
      <c r="AA6242">
        <v>0.985263</v>
      </c>
      <c r="AB6242">
        <v>25</v>
      </c>
      <c r="AC6242">
        <v>17.827000000000002</v>
      </c>
      <c r="AD6242">
        <v>-1.1122395025580001</v>
      </c>
      <c r="AE6242">
        <v>1.7679400000000001</v>
      </c>
      <c r="AF6242">
        <v>-3.0752643172674898</v>
      </c>
      <c r="AG6242">
        <v>-1.1122395025580001</v>
      </c>
      <c r="AH6242">
        <v>17.5786907725156</v>
      </c>
      <c r="AI6242">
        <v>93.566374263444402</v>
      </c>
      <c r="AJ6242">
        <v>99.923062168741495</v>
      </c>
      <c r="AK6242">
        <v>17.880287934142299</v>
      </c>
      <c r="AL6242">
        <v>79.301388911553204</v>
      </c>
      <c r="AM6242">
        <v>92.357853091214395</v>
      </c>
      <c r="AN6242">
        <v>1.0000000229688999</v>
      </c>
    </row>
    <row r="6243" spans="1:40" x14ac:dyDescent="0.25">
      <c r="A6243" t="str">
        <f>"20190312173050073"</f>
        <v>20190312173050073</v>
      </c>
      <c r="B6243" t="str">
        <f>"1552383050064072"</f>
        <v>1552383050064072</v>
      </c>
      <c r="C6243" t="s">
        <v>40</v>
      </c>
      <c r="D6243">
        <v>3.244726</v>
      </c>
      <c r="E6243">
        <v>0.45257809999999998</v>
      </c>
      <c r="F6243" t="s">
        <v>59</v>
      </c>
      <c r="G6243">
        <v>-254.6901</v>
      </c>
      <c r="H6243" s="1">
        <v>-1.4502009999999999E-6</v>
      </c>
      <c r="I6243">
        <v>-61.741729999999997</v>
      </c>
      <c r="J6243">
        <v>-272.517</v>
      </c>
      <c r="K6243">
        <v>1.112217</v>
      </c>
      <c r="L6243">
        <v>-63.525820000000003</v>
      </c>
      <c r="M6243">
        <v>0.99735620000000003</v>
      </c>
      <c r="N6243">
        <v>0</v>
      </c>
      <c r="O6243">
        <v>-7.2260530000000003E-2</v>
      </c>
      <c r="P6243">
        <v>0.98346310000000003</v>
      </c>
      <c r="Q6243">
        <v>0.1781713</v>
      </c>
      <c r="R6243">
        <v>-3.2487240000000001E-2</v>
      </c>
      <c r="S6243">
        <v>3.09613</v>
      </c>
      <c r="T6243">
        <v>-0.19190979999999999</v>
      </c>
      <c r="U6243">
        <v>0.30670170000000002</v>
      </c>
      <c r="V6243">
        <v>-3.9934459999999998E-2</v>
      </c>
      <c r="W6243">
        <v>0.1854595</v>
      </c>
      <c r="X6243">
        <v>0.98184009999999999</v>
      </c>
      <c r="Y6243">
        <v>-0.16976959999999999</v>
      </c>
      <c r="Z6243">
        <v>9.7086259999999997E-3</v>
      </c>
      <c r="AA6243">
        <v>0.98543599999999998</v>
      </c>
      <c r="AB6243">
        <v>25</v>
      </c>
      <c r="AC6243">
        <v>17.826899999999899</v>
      </c>
      <c r="AD6243">
        <v>-1.112218450201</v>
      </c>
      <c r="AE6243">
        <v>1.78408999999999</v>
      </c>
      <c r="AF6243">
        <v>-3.0558679934200801</v>
      </c>
      <c r="AG6243">
        <v>-1.112218450201</v>
      </c>
      <c r="AH6243">
        <v>17.583605455376102</v>
      </c>
      <c r="AI6243">
        <v>93.566006010811407</v>
      </c>
      <c r="AJ6243">
        <v>99.859005652802693</v>
      </c>
      <c r="AK6243">
        <v>17.8817935309775</v>
      </c>
      <c r="AL6243">
        <v>79.312076412680298</v>
      </c>
      <c r="AM6243">
        <v>92.329111985871407</v>
      </c>
      <c r="AN6243">
        <v>0.999999984601875</v>
      </c>
    </row>
    <row r="6244" spans="1:40" x14ac:dyDescent="0.25">
      <c r="A6244" t="str">
        <f>"20190312173050085"</f>
        <v>20190312173050085</v>
      </c>
      <c r="B6244" t="str">
        <f>"1552383050073832"</f>
        <v>1552383050073832</v>
      </c>
      <c r="C6244" t="s">
        <v>40</v>
      </c>
      <c r="D6244">
        <v>3.2643409999999999</v>
      </c>
      <c r="E6244">
        <v>0.45276270000000002</v>
      </c>
      <c r="F6244" t="s">
        <v>59</v>
      </c>
      <c r="G6244">
        <v>-254.6138</v>
      </c>
      <c r="H6244" s="1">
        <v>-1.415269E-6</v>
      </c>
      <c r="I6244">
        <v>-61.731859999999998</v>
      </c>
      <c r="J6244">
        <v>-272.39609999999999</v>
      </c>
      <c r="K6244">
        <v>1.112198</v>
      </c>
      <c r="L6244">
        <v>-63.532499999999999</v>
      </c>
      <c r="M6244">
        <v>0.99750399999999995</v>
      </c>
      <c r="N6244">
        <v>0</v>
      </c>
      <c r="O6244">
        <v>-7.0192969999999993E-2</v>
      </c>
      <c r="P6244">
        <v>0.98351889999999997</v>
      </c>
      <c r="Q6244">
        <v>0.1780766</v>
      </c>
      <c r="R6244">
        <v>-3.1298720000000002E-2</v>
      </c>
      <c r="S6244">
        <v>3.09552</v>
      </c>
      <c r="T6244">
        <v>-0.19230639999999999</v>
      </c>
      <c r="U6244">
        <v>0.31018069999999998</v>
      </c>
      <c r="V6244">
        <v>-3.9077510000000003E-2</v>
      </c>
      <c r="W6244">
        <v>0.1853573</v>
      </c>
      <c r="X6244">
        <v>0.98189389999999999</v>
      </c>
      <c r="Y6244">
        <v>-0.1688462</v>
      </c>
      <c r="Z6244">
        <v>9.5734930000000006E-3</v>
      </c>
      <c r="AA6244">
        <v>0.98559589999999997</v>
      </c>
      <c r="AB6244">
        <v>25</v>
      </c>
      <c r="AC6244">
        <v>17.7822999999999</v>
      </c>
      <c r="AD6244">
        <v>-1.112199415269</v>
      </c>
      <c r="AE6244">
        <v>1.80064</v>
      </c>
      <c r="AF6244">
        <v>-3.03268424016502</v>
      </c>
      <c r="AG6244">
        <v>-1.112199415269</v>
      </c>
      <c r="AH6244">
        <v>17.544105697332899</v>
      </c>
      <c r="AI6244">
        <v>93.5745109069329</v>
      </c>
      <c r="AJ6244">
        <v>99.807265026222396</v>
      </c>
      <c r="AK6244">
        <v>17.8389967755773</v>
      </c>
      <c r="AL6244">
        <v>79.318035587870796</v>
      </c>
      <c r="AM6244">
        <v>92.279060316573293</v>
      </c>
      <c r="AN6244">
        <v>1.00000000565415</v>
      </c>
    </row>
    <row r="6245" spans="1:40" x14ac:dyDescent="0.25">
      <c r="A6245" t="str">
        <f>"20190312173050097"</f>
        <v>20190312173050097</v>
      </c>
      <c r="B6245" t="str">
        <f>"1552383050093352"</f>
        <v>1552383050093352</v>
      </c>
      <c r="C6245" t="s">
        <v>40</v>
      </c>
      <c r="D6245">
        <v>3.1720030000000001</v>
      </c>
      <c r="E6245">
        <v>0.45294259999999997</v>
      </c>
      <c r="F6245" t="s">
        <v>59</v>
      </c>
      <c r="G6245">
        <v>-254.52019999999999</v>
      </c>
      <c r="H6245" s="1">
        <v>-1.374203E-6</v>
      </c>
      <c r="I6245">
        <v>-61.727820000000001</v>
      </c>
      <c r="J6245">
        <v>-272.26249999999999</v>
      </c>
      <c r="K6245">
        <v>1.1121719999999999</v>
      </c>
      <c r="L6245">
        <v>-63.539490000000001</v>
      </c>
      <c r="M6245">
        <v>0.99765999999999999</v>
      </c>
      <c r="N6245">
        <v>0</v>
      </c>
      <c r="O6245">
        <v>-6.7938129999999999E-2</v>
      </c>
      <c r="P6245">
        <v>0.9836414</v>
      </c>
      <c r="Q6245">
        <v>0.17766670000000001</v>
      </c>
      <c r="R6245">
        <v>-2.9731919999999998E-2</v>
      </c>
      <c r="S6245">
        <v>3.0950929999999999</v>
      </c>
      <c r="T6245">
        <v>-0.19256999999999999</v>
      </c>
      <c r="U6245">
        <v>0.31246950000000001</v>
      </c>
      <c r="V6245">
        <v>-3.8414320000000002E-2</v>
      </c>
      <c r="W6245">
        <v>0.18493989999999999</v>
      </c>
      <c r="X6245">
        <v>0.9819987</v>
      </c>
      <c r="Y6245">
        <v>-0.16735920000000001</v>
      </c>
      <c r="Z6245">
        <v>9.4016849999999999E-3</v>
      </c>
      <c r="AA6245">
        <v>0.98585120000000004</v>
      </c>
      <c r="AB6245">
        <v>25</v>
      </c>
      <c r="AC6245">
        <v>17.7423</v>
      </c>
      <c r="AD6245">
        <v>-1.112173374203</v>
      </c>
      <c r="AE6245">
        <v>1.8116699999999999</v>
      </c>
      <c r="AF6245">
        <v>-3.0012268593589901</v>
      </c>
      <c r="AG6245">
        <v>-1.112173374203</v>
      </c>
      <c r="AH6245">
        <v>17.510125407943001</v>
      </c>
      <c r="AI6245">
        <v>93.582218554368495</v>
      </c>
      <c r="AJ6245">
        <v>99.725960806105505</v>
      </c>
      <c r="AK6245">
        <v>17.800246742040201</v>
      </c>
      <c r="AL6245">
        <v>79.342370859465206</v>
      </c>
      <c r="AM6245">
        <v>92.240182956194403</v>
      </c>
      <c r="AN6245">
        <v>0.99999993669737897</v>
      </c>
    </row>
    <row r="6246" spans="1:40" x14ac:dyDescent="0.25">
      <c r="A6246" t="str">
        <f>"20190312173050108"</f>
        <v>20190312173050108</v>
      </c>
      <c r="B6246" t="str">
        <f>"1552383050104091"</f>
        <v>1552383050104091</v>
      </c>
      <c r="C6246" t="s">
        <v>40</v>
      </c>
      <c r="D6246">
        <v>3.2756259999999999</v>
      </c>
      <c r="E6246">
        <v>0.47238960000000002</v>
      </c>
      <c r="F6246" t="s">
        <v>59</v>
      </c>
      <c r="G6246">
        <v>-254.4914</v>
      </c>
      <c r="H6246" s="1">
        <v>-1.3609340000000001E-6</v>
      </c>
      <c r="I6246">
        <v>-61.723770000000002</v>
      </c>
      <c r="J6246">
        <v>-272.1397</v>
      </c>
      <c r="K6246">
        <v>1.112147</v>
      </c>
      <c r="L6246">
        <v>-63.545749999999998</v>
      </c>
      <c r="M6246">
        <v>0.99779779999999996</v>
      </c>
      <c r="N6246">
        <v>0</v>
      </c>
      <c r="O6246">
        <v>-6.5886440000000004E-2</v>
      </c>
      <c r="P6246">
        <v>0.98367950000000004</v>
      </c>
      <c r="Q6246">
        <v>0.17769989999999999</v>
      </c>
      <c r="R6246">
        <v>-2.8236029999999999E-2</v>
      </c>
      <c r="S6246">
        <v>3.0943909999999999</v>
      </c>
      <c r="T6246">
        <v>-0.1936572</v>
      </c>
      <c r="U6246">
        <v>0.316162099999999</v>
      </c>
      <c r="V6246">
        <v>-3.7878450000000001E-2</v>
      </c>
      <c r="W6246">
        <v>0.18496560000000001</v>
      </c>
      <c r="X6246">
        <v>0.98201470000000002</v>
      </c>
      <c r="Y6246">
        <v>-0.1665191</v>
      </c>
      <c r="Z6246">
        <v>9.3021230000000007E-3</v>
      </c>
      <c r="AA6246">
        <v>0.98599429999999999</v>
      </c>
      <c r="AB6246">
        <v>25</v>
      </c>
      <c r="AC6246">
        <v>17.648299999999999</v>
      </c>
      <c r="AD6246">
        <v>-1.1121483609339999</v>
      </c>
      <c r="AE6246">
        <v>1.8219799999999999</v>
      </c>
      <c r="AF6246">
        <v>-2.9691717534928501</v>
      </c>
      <c r="AG6246">
        <v>-1.1121483609339999</v>
      </c>
      <c r="AH6246">
        <v>17.421448828862001</v>
      </c>
      <c r="AI6246">
        <v>93.600900737100702</v>
      </c>
      <c r="AJ6246">
        <v>99.672098180270098</v>
      </c>
      <c r="AK6246">
        <v>17.7076179701033</v>
      </c>
      <c r="AL6246">
        <v>79.3408727650081</v>
      </c>
      <c r="AM6246">
        <v>92.208928194090504</v>
      </c>
      <c r="AN6246">
        <v>0.99999996058692497</v>
      </c>
    </row>
    <row r="6247" spans="1:40" x14ac:dyDescent="0.25">
      <c r="A6247" t="str">
        <f>"20190312173050118"</f>
        <v>20190312173050118</v>
      </c>
      <c r="B6247" t="str">
        <f>"1552383050113848"</f>
        <v>1552383050113848</v>
      </c>
      <c r="C6247" t="s">
        <v>40</v>
      </c>
      <c r="D6247">
        <v>3.1745359999999998</v>
      </c>
      <c r="E6247">
        <v>0.47275420000000001</v>
      </c>
      <c r="F6247" t="s">
        <v>59</v>
      </c>
      <c r="G6247">
        <v>-252.5719</v>
      </c>
      <c r="H6247" s="1">
        <v>-7.1023340000000003E-7</v>
      </c>
      <c r="I6247">
        <v>-62.500680000000003</v>
      </c>
      <c r="J6247">
        <v>-272.01780000000002</v>
      </c>
      <c r="K6247">
        <v>1.1121219999999901</v>
      </c>
      <c r="L6247">
        <v>-63.551699999999997</v>
      </c>
      <c r="M6247">
        <v>0.99792919999999996</v>
      </c>
      <c r="N6247">
        <v>0</v>
      </c>
      <c r="O6247">
        <v>-6.3867869999999993E-2</v>
      </c>
      <c r="P6247">
        <v>0.98380239999999997</v>
      </c>
      <c r="Q6247">
        <v>0.17722679999999999</v>
      </c>
      <c r="R6247">
        <v>-2.6900919999999998E-2</v>
      </c>
      <c r="S6247">
        <v>3.086182</v>
      </c>
      <c r="T6247">
        <v>-0.1754047</v>
      </c>
      <c r="U6247">
        <v>0.16482539999999901</v>
      </c>
      <c r="V6247">
        <v>-3.7216920000000001E-2</v>
      </c>
      <c r="W6247">
        <v>0.18448719999999999</v>
      </c>
      <c r="X6247">
        <v>0.98213010000000001</v>
      </c>
      <c r="Y6247">
        <v>-0.1167108</v>
      </c>
      <c r="Z6247">
        <v>6.9358859999999996E-3</v>
      </c>
      <c r="AA6247">
        <v>0.99314170000000002</v>
      </c>
      <c r="AB6247">
        <v>25</v>
      </c>
      <c r="AC6247">
        <v>19.445900000000002</v>
      </c>
      <c r="AD6247">
        <v>-1.1121227102333999</v>
      </c>
      <c r="AE6247">
        <v>1.0510199999999901</v>
      </c>
      <c r="AF6247">
        <v>-2.2834316204991301</v>
      </c>
      <c r="AG6247">
        <v>-1.1121227102333999</v>
      </c>
      <c r="AH6247">
        <v>19.276203575884701</v>
      </c>
      <c r="AI6247">
        <v>93.279090417841005</v>
      </c>
      <c r="AJ6247">
        <v>96.755694207228998</v>
      </c>
      <c r="AK6247">
        <v>19.442811041283701</v>
      </c>
      <c r="AL6247">
        <v>79.3687643408837</v>
      </c>
      <c r="AM6247">
        <v>92.170132707134101</v>
      </c>
      <c r="AN6247">
        <v>1.0000000797120601</v>
      </c>
    </row>
    <row r="6248" spans="1:40" x14ac:dyDescent="0.25">
      <c r="A6248" t="str">
        <f>"20190312173050130"</f>
        <v>20190312173050130</v>
      </c>
      <c r="B6248" t="str">
        <f>"1552383050123608"</f>
        <v>1552383050123608</v>
      </c>
      <c r="C6248" t="s">
        <v>40</v>
      </c>
      <c r="D6248">
        <v>3.1640609999999998</v>
      </c>
      <c r="E6248">
        <v>0.47301219999999999</v>
      </c>
      <c r="F6248" t="s">
        <v>59</v>
      </c>
      <c r="G6248">
        <v>-252.24449999999999</v>
      </c>
      <c r="H6248" s="1">
        <v>-5.6699459999999898E-7</v>
      </c>
      <c r="I6248">
        <v>-62.488079999999997</v>
      </c>
      <c r="J6248">
        <v>-271.8931</v>
      </c>
      <c r="K6248">
        <v>1.112096</v>
      </c>
      <c r="L6248">
        <v>-63.557560000000002</v>
      </c>
      <c r="M6248">
        <v>0.99805739999999998</v>
      </c>
      <c r="N6248">
        <v>0</v>
      </c>
      <c r="O6248">
        <v>-6.1831799999999999E-2</v>
      </c>
      <c r="P6248">
        <v>0.98390219999999995</v>
      </c>
      <c r="Q6248">
        <v>0.17689969999999999</v>
      </c>
      <c r="R6248">
        <v>-2.5359039999999999E-2</v>
      </c>
      <c r="S6248">
        <v>3.0852050000000002</v>
      </c>
      <c r="T6248">
        <v>-0.17352329999999999</v>
      </c>
      <c r="U6248">
        <v>0.16595460000000001</v>
      </c>
      <c r="V6248">
        <v>-3.6743900000000003E-2</v>
      </c>
      <c r="W6248">
        <v>0.18415390000000001</v>
      </c>
      <c r="X6248">
        <v>0.98221040000000004</v>
      </c>
      <c r="Y6248">
        <v>-0.1150755</v>
      </c>
      <c r="Z6248">
        <v>6.7035269999999999E-3</v>
      </c>
      <c r="AA6248">
        <v>0.9933341</v>
      </c>
      <c r="AB6248">
        <v>25</v>
      </c>
      <c r="AC6248">
        <v>19.648599999999998</v>
      </c>
      <c r="AD6248">
        <v>-1.1120965669945999</v>
      </c>
      <c r="AE6248">
        <v>1.06947999999999</v>
      </c>
      <c r="AF6248">
        <v>-2.27511047633398</v>
      </c>
      <c r="AG6248">
        <v>-1.1120965669945999</v>
      </c>
      <c r="AH6248">
        <v>19.482644189495801</v>
      </c>
      <c r="AI6248">
        <v>93.244975172453195</v>
      </c>
      <c r="AJ6248">
        <v>96.660620327438394</v>
      </c>
      <c r="AK6248">
        <v>19.6465343271616</v>
      </c>
      <c r="AL6248">
        <v>79.388193300443504</v>
      </c>
      <c r="AM6248">
        <v>92.142401601463206</v>
      </c>
      <c r="AN6248">
        <v>1.00000002147028</v>
      </c>
    </row>
    <row r="6249" spans="1:40" x14ac:dyDescent="0.25">
      <c r="A6249" t="str">
        <f>"20190312173050141"</f>
        <v>20190312173050141</v>
      </c>
      <c r="B6249" t="str">
        <f>"1552383050134344"</f>
        <v>1552383050134344</v>
      </c>
      <c r="C6249" t="s">
        <v>40</v>
      </c>
      <c r="D6249">
        <v>3.13645</v>
      </c>
      <c r="E6249">
        <v>0.47306720000000002</v>
      </c>
      <c r="F6249" t="s">
        <v>59</v>
      </c>
      <c r="G6249">
        <v>-251.94370000000001</v>
      </c>
      <c r="H6249" s="1">
        <v>-4.3292650000000001E-7</v>
      </c>
      <c r="I6249">
        <v>-62.465429999999998</v>
      </c>
      <c r="J6249">
        <v>-271.77210000000002</v>
      </c>
      <c r="K6249">
        <v>1.11207099999999</v>
      </c>
      <c r="L6249">
        <v>-63.563079999999999</v>
      </c>
      <c r="M6249">
        <v>0.99817710000000004</v>
      </c>
      <c r="N6249">
        <v>0</v>
      </c>
      <c r="O6249">
        <v>-5.9872250000000002E-2</v>
      </c>
      <c r="P6249">
        <v>0.98401380000000005</v>
      </c>
      <c r="Q6249">
        <v>0.17645079999999999</v>
      </c>
      <c r="R6249">
        <v>-2.41286E-2</v>
      </c>
      <c r="S6249">
        <v>3.084381</v>
      </c>
      <c r="T6249">
        <v>-0.17194179999999901</v>
      </c>
      <c r="U6249">
        <v>0.168853799999999</v>
      </c>
      <c r="V6249">
        <v>-3.6035089999999999E-2</v>
      </c>
      <c r="W6249">
        <v>0.18370210000000001</v>
      </c>
      <c r="X6249">
        <v>0.98232129999999995</v>
      </c>
      <c r="Y6249">
        <v>-0.1140799</v>
      </c>
      <c r="Z6249">
        <v>6.5074310000000002E-3</v>
      </c>
      <c r="AA6249">
        <v>0.99345030000000001</v>
      </c>
      <c r="AB6249">
        <v>25</v>
      </c>
      <c r="AC6249">
        <v>19.828399999999998</v>
      </c>
      <c r="AD6249">
        <v>-1.11207143292649</v>
      </c>
      <c r="AE6249">
        <v>1.09765</v>
      </c>
      <c r="AF6249">
        <v>-2.2757494754049299</v>
      </c>
      <c r="AG6249">
        <v>-1.11207143292649</v>
      </c>
      <c r="AH6249">
        <v>19.665437363814199</v>
      </c>
      <c r="AI6249">
        <v>93.215191176380003</v>
      </c>
      <c r="AJ6249">
        <v>96.601094638384097</v>
      </c>
      <c r="AK6249">
        <v>19.827888572837001</v>
      </c>
      <c r="AL6249">
        <v>79.414529267773702</v>
      </c>
      <c r="AM6249">
        <v>92.100873909855395</v>
      </c>
      <c r="AN6249">
        <v>1.0000000628447001</v>
      </c>
    </row>
    <row r="6250" spans="1:40" x14ac:dyDescent="0.25">
      <c r="A6250" t="str">
        <f>"20190312173050152"</f>
        <v>20190312173050152</v>
      </c>
      <c r="B6250" t="str">
        <f>"1552383050144104"</f>
        <v>1552383050144104</v>
      </c>
      <c r="C6250" t="s">
        <v>40</v>
      </c>
      <c r="D6250">
        <v>3.2836729999999998</v>
      </c>
      <c r="E6250">
        <v>0.4732382</v>
      </c>
      <c r="F6250" t="s">
        <v>59</v>
      </c>
      <c r="G6250">
        <v>-251.9204</v>
      </c>
      <c r="H6250" s="1">
        <v>-4.2048919999999999E-7</v>
      </c>
      <c r="I6250">
        <v>-62.454540000000001</v>
      </c>
      <c r="J6250">
        <v>-271.64449999999999</v>
      </c>
      <c r="K6250">
        <v>1.112045</v>
      </c>
      <c r="L6250">
        <v>-63.568539999999999</v>
      </c>
      <c r="M6250">
        <v>0.99829659999999998</v>
      </c>
      <c r="N6250">
        <v>0</v>
      </c>
      <c r="O6250">
        <v>-5.7845239999999999E-2</v>
      </c>
      <c r="P6250">
        <v>0.98416300000000001</v>
      </c>
      <c r="Q6250">
        <v>0.1758044</v>
      </c>
      <c r="R6250">
        <v>-2.271302E-2</v>
      </c>
      <c r="S6250">
        <v>3.0839539999999999</v>
      </c>
      <c r="T6250">
        <v>-0.17275940000000001</v>
      </c>
      <c r="U6250">
        <v>0.17221069999999999</v>
      </c>
      <c r="V6250">
        <v>-3.5443639999999998E-2</v>
      </c>
      <c r="W6250">
        <v>0.1830524</v>
      </c>
      <c r="X6250">
        <v>0.982464</v>
      </c>
      <c r="Y6250">
        <v>-0.11315020000000001</v>
      </c>
      <c r="Z6250">
        <v>6.3997389999999998E-3</v>
      </c>
      <c r="AA6250">
        <v>0.99355729999999998</v>
      </c>
      <c r="AB6250">
        <v>25</v>
      </c>
      <c r="AC6250">
        <v>19.7241</v>
      </c>
      <c r="AD6250">
        <v>-1.1120454204891901</v>
      </c>
      <c r="AE6250">
        <v>1.1140000000000001</v>
      </c>
      <c r="AF6250">
        <v>-2.2459961915072002</v>
      </c>
      <c r="AG6250">
        <v>-1.1120454204891901</v>
      </c>
      <c r="AH6250">
        <v>19.564637326518302</v>
      </c>
      <c r="AI6250">
        <v>93.2319850427929</v>
      </c>
      <c r="AJ6250">
        <v>96.548816684974796</v>
      </c>
      <c r="AK6250">
        <v>19.724507031297101</v>
      </c>
      <c r="AL6250">
        <v>79.452395493771803</v>
      </c>
      <c r="AM6250">
        <v>92.066122173906194</v>
      </c>
      <c r="AN6250">
        <v>0.99999997202910396</v>
      </c>
    </row>
    <row r="6251" spans="1:40" x14ac:dyDescent="0.25">
      <c r="A6251" t="str">
        <f>"20190312173050164"</f>
        <v>20190312173050164</v>
      </c>
      <c r="B6251" t="str">
        <f>"1552383050153864"</f>
        <v>1552383050153864</v>
      </c>
      <c r="C6251" t="s">
        <v>40</v>
      </c>
      <c r="D6251">
        <v>3.1352929999999999</v>
      </c>
      <c r="E6251">
        <v>0.4735415</v>
      </c>
      <c r="F6251" t="s">
        <v>59</v>
      </c>
      <c r="G6251">
        <v>-251.87899999999999</v>
      </c>
      <c r="H6251" s="1">
        <v>-4.0060999999999999E-7</v>
      </c>
      <c r="I6251">
        <v>-62.445030000000003</v>
      </c>
      <c r="J6251">
        <v>-271.51929999999999</v>
      </c>
      <c r="K6251">
        <v>1.1120159999999999</v>
      </c>
      <c r="L6251">
        <v>-63.573819999999998</v>
      </c>
      <c r="M6251">
        <v>0.99840930000000006</v>
      </c>
      <c r="N6251">
        <v>0</v>
      </c>
      <c r="O6251">
        <v>-5.5869490000000001E-2</v>
      </c>
      <c r="P6251">
        <v>0.98425850000000004</v>
      </c>
      <c r="Q6251">
        <v>0.1754618</v>
      </c>
      <c r="R6251">
        <v>-2.1180500000000001E-2</v>
      </c>
      <c r="S6251">
        <v>3.083313</v>
      </c>
      <c r="T6251">
        <v>-0.17347309999999999</v>
      </c>
      <c r="U6251">
        <v>0.17526249999999999</v>
      </c>
      <c r="V6251">
        <v>-3.5019160000000001E-2</v>
      </c>
      <c r="W6251">
        <v>0.18270600000000001</v>
      </c>
      <c r="X6251">
        <v>0.98254370000000002</v>
      </c>
      <c r="Y6251">
        <v>-0.112178</v>
      </c>
      <c r="Z6251">
        <v>6.2890669999999997E-3</v>
      </c>
      <c r="AA6251">
        <v>0.9936682</v>
      </c>
      <c r="AB6251">
        <v>25</v>
      </c>
      <c r="AC6251">
        <v>19.6402999999999</v>
      </c>
      <c r="AD6251">
        <v>-1.11201640061</v>
      </c>
      <c r="AE6251">
        <v>1.12878999999999</v>
      </c>
      <c r="AF6251">
        <v>-2.21726734949632</v>
      </c>
      <c r="AG6251">
        <v>-1.11201640061</v>
      </c>
      <c r="AH6251">
        <v>19.484299280763299</v>
      </c>
      <c r="AI6251">
        <v>93.245564078351606</v>
      </c>
      <c r="AJ6251">
        <v>96.492196395564406</v>
      </c>
      <c r="AK6251">
        <v>19.641557306810501</v>
      </c>
      <c r="AL6251">
        <v>79.472583222953901</v>
      </c>
      <c r="AM6251">
        <v>92.041233500836995</v>
      </c>
      <c r="AN6251">
        <v>0.999999973206397</v>
      </c>
    </row>
    <row r="6252" spans="1:40" x14ac:dyDescent="0.25">
      <c r="A6252" t="str">
        <f>"20190312173050174"</f>
        <v>20190312173050174</v>
      </c>
      <c r="B6252" t="str">
        <f>"1552383050163624"</f>
        <v>1552383050163624</v>
      </c>
      <c r="C6252" t="s">
        <v>40</v>
      </c>
      <c r="D6252">
        <v>3.2856010000000002</v>
      </c>
      <c r="E6252">
        <v>0.47386339999999999</v>
      </c>
      <c r="F6252" t="s">
        <v>59</v>
      </c>
      <c r="G6252">
        <v>-251.7518</v>
      </c>
      <c r="H6252" s="1">
        <v>-3.4414190000000002E-7</v>
      </c>
      <c r="I6252">
        <v>-62.4364699999999</v>
      </c>
      <c r="J6252">
        <v>-271.39859999999999</v>
      </c>
      <c r="K6252">
        <v>1.1119870000000001</v>
      </c>
      <c r="L6252">
        <v>-63.57855</v>
      </c>
      <c r="M6252">
        <v>0.99851190000000001</v>
      </c>
      <c r="N6252">
        <v>0</v>
      </c>
      <c r="O6252">
        <v>-5.4005200000000003E-2</v>
      </c>
      <c r="P6252">
        <v>0.98434540000000004</v>
      </c>
      <c r="Q6252">
        <v>0.17512920000000001</v>
      </c>
      <c r="R6252">
        <v>-1.9845749999999999E-2</v>
      </c>
      <c r="S6252">
        <v>3.0827330000000002</v>
      </c>
      <c r="T6252">
        <v>-0.17341779999999901</v>
      </c>
      <c r="U6252">
        <v>0.1773682</v>
      </c>
      <c r="V6252">
        <v>-3.4506439999999999E-2</v>
      </c>
      <c r="W6252">
        <v>0.1823708</v>
      </c>
      <c r="X6252">
        <v>0.9826241</v>
      </c>
      <c r="Y6252">
        <v>-0.1110146</v>
      </c>
      <c r="Z6252">
        <v>6.1507940000000002E-3</v>
      </c>
      <c r="AA6252">
        <v>0.99379969999999995</v>
      </c>
      <c r="AB6252">
        <v>25</v>
      </c>
      <c r="AC6252">
        <v>19.646799999999899</v>
      </c>
      <c r="AD6252">
        <v>-1.1119873441418999</v>
      </c>
      <c r="AE6252">
        <v>1.14208</v>
      </c>
      <c r="AF6252">
        <v>-2.1944668845692301</v>
      </c>
      <c r="AG6252">
        <v>-1.1119873441418999</v>
      </c>
      <c r="AH6252">
        <v>19.494208714758901</v>
      </c>
      <c r="AI6252">
        <v>93.244277250590699</v>
      </c>
      <c r="AJ6252">
        <v>96.422758334531196</v>
      </c>
      <c r="AK6252">
        <v>19.6488262798464</v>
      </c>
      <c r="AL6252">
        <v>79.492116846775403</v>
      </c>
      <c r="AM6252">
        <v>92.011207831019206</v>
      </c>
      <c r="AN6252">
        <v>0.99999996249746104</v>
      </c>
    </row>
    <row r="6253" spans="1:40" x14ac:dyDescent="0.25">
      <c r="A6253" t="str">
        <f>"20190312173050187"</f>
        <v>20190312173050187</v>
      </c>
      <c r="B6253" t="str">
        <f>"1552383050184120"</f>
        <v>1552383050184120</v>
      </c>
      <c r="C6253" t="s">
        <v>40</v>
      </c>
      <c r="D6253">
        <v>3.2688609999999998</v>
      </c>
      <c r="E6253">
        <v>0.47438089999999999</v>
      </c>
      <c r="F6253" t="s">
        <v>59</v>
      </c>
      <c r="G6253">
        <v>-251.65600000000001</v>
      </c>
      <c r="H6253" s="1">
        <v>-3.0197180000000001E-7</v>
      </c>
      <c r="I6253">
        <v>-62.4315199999999</v>
      </c>
      <c r="J6253">
        <v>-271.26729999999998</v>
      </c>
      <c r="K6253">
        <v>1.1119559999999999</v>
      </c>
      <c r="L6253">
        <v>-63.583620000000003</v>
      </c>
      <c r="M6253">
        <v>0.99861880000000003</v>
      </c>
      <c r="N6253">
        <v>0</v>
      </c>
      <c r="O6253">
        <v>-5.199024E-2</v>
      </c>
      <c r="P6253">
        <v>0.98447790000000002</v>
      </c>
      <c r="Q6253">
        <v>0.17455609999999999</v>
      </c>
      <c r="R6253">
        <v>-1.8256270000000002E-2</v>
      </c>
      <c r="S6253">
        <v>3.0822449999999999</v>
      </c>
      <c r="T6253">
        <v>-0.17360529999999999</v>
      </c>
      <c r="U6253">
        <v>0.17907709999999999</v>
      </c>
      <c r="V6253">
        <v>-3.4099209999999998E-2</v>
      </c>
      <c r="W6253">
        <v>0.1817946</v>
      </c>
      <c r="X6253">
        <v>0.98274510000000004</v>
      </c>
      <c r="Y6253">
        <v>-0.10957219999999999</v>
      </c>
      <c r="Z6253">
        <v>6.0044879999999997E-3</v>
      </c>
      <c r="AA6253">
        <v>0.99396070000000003</v>
      </c>
      <c r="AB6253">
        <v>25</v>
      </c>
      <c r="AC6253">
        <v>19.6113</v>
      </c>
      <c r="AD6253">
        <v>-1.1119563019718</v>
      </c>
      <c r="AE6253">
        <v>1.1520999999999999</v>
      </c>
      <c r="AF6253">
        <v>-2.16323672001247</v>
      </c>
      <c r="AG6253">
        <v>-1.1119563019718</v>
      </c>
      <c r="AH6253">
        <v>19.462522159483399</v>
      </c>
      <c r="AI6253">
        <v>93.249966565882104</v>
      </c>
      <c r="AJ6253">
        <v>96.342326960248698</v>
      </c>
      <c r="AK6253">
        <v>19.6139187500277</v>
      </c>
      <c r="AL6253">
        <v>79.525692152352505</v>
      </c>
      <c r="AM6253">
        <v>91.987247067164901</v>
      </c>
      <c r="AN6253">
        <v>0.99999998214289598</v>
      </c>
    </row>
    <row r="6254" spans="1:40" x14ac:dyDescent="0.25">
      <c r="A6254" t="str">
        <f>"20190312173050197"</f>
        <v>20190312173050197</v>
      </c>
      <c r="B6254" t="str">
        <f>"1552383050193880"</f>
        <v>1552383050193880</v>
      </c>
      <c r="C6254" t="s">
        <v>40</v>
      </c>
      <c r="D6254">
        <v>3.2885390000000001</v>
      </c>
      <c r="E6254">
        <v>0.47459849999999998</v>
      </c>
      <c r="F6254" t="s">
        <v>59</v>
      </c>
      <c r="G6254">
        <v>-251.75059999999999</v>
      </c>
      <c r="H6254" s="1">
        <v>-3.4546610000000002E-7</v>
      </c>
      <c r="I6254">
        <v>-62.444710000000001</v>
      </c>
      <c r="J6254">
        <v>-271.14159999999998</v>
      </c>
      <c r="K6254">
        <v>1.1119270000000001</v>
      </c>
      <c r="L6254">
        <v>-63.58813</v>
      </c>
      <c r="M6254">
        <v>0.99871600000000005</v>
      </c>
      <c r="N6254">
        <v>0</v>
      </c>
      <c r="O6254">
        <v>-5.0093180000000001E-2</v>
      </c>
      <c r="P6254">
        <v>0.98454200000000003</v>
      </c>
      <c r="Q6254">
        <v>0.1743219</v>
      </c>
      <c r="R6254">
        <v>-1.7008700000000002E-2</v>
      </c>
      <c r="S6254">
        <v>3.0817869999999998</v>
      </c>
      <c r="T6254">
        <v>-0.17558379999999901</v>
      </c>
      <c r="U6254">
        <v>0.1798401</v>
      </c>
      <c r="V6254">
        <v>-3.346619E-2</v>
      </c>
      <c r="W6254">
        <v>0.18155959999999999</v>
      </c>
      <c r="X6254">
        <v>0.98281030000000003</v>
      </c>
      <c r="Y6254">
        <v>-0.10793750000000001</v>
      </c>
      <c r="Z6254">
        <v>5.9192949999999998E-3</v>
      </c>
      <c r="AA6254">
        <v>0.99414009999999997</v>
      </c>
      <c r="AB6254">
        <v>25</v>
      </c>
      <c r="AC6254">
        <v>19.390999999999899</v>
      </c>
      <c r="AD6254">
        <v>-1.1119273454661001</v>
      </c>
      <c r="AE6254">
        <v>1.1434200000000001</v>
      </c>
      <c r="AF6254">
        <v>-2.1064665693863498</v>
      </c>
      <c r="AG6254">
        <v>-1.1119273454661001</v>
      </c>
      <c r="AH6254">
        <v>19.2463093905181</v>
      </c>
      <c r="AI6254">
        <v>93.286919554048197</v>
      </c>
      <c r="AJ6254">
        <v>96.246037163918103</v>
      </c>
      <c r="AK6254">
        <v>19.393143349779098</v>
      </c>
      <c r="AL6254">
        <v>79.539384503387694</v>
      </c>
      <c r="AM6254">
        <v>91.950255152749605</v>
      </c>
      <c r="AN6254">
        <v>0.99999998000568202</v>
      </c>
    </row>
    <row r="6255" spans="1:40" x14ac:dyDescent="0.25">
      <c r="A6255" t="str">
        <f>"20190312173050209"</f>
        <v>20190312173050209</v>
      </c>
      <c r="B6255" t="str">
        <f>"1552383050203640"</f>
        <v>1552383050203640</v>
      </c>
      <c r="C6255" t="s">
        <v>40</v>
      </c>
      <c r="D6255">
        <v>3.2901090000000002</v>
      </c>
      <c r="E6255">
        <v>0.47482039999999998</v>
      </c>
      <c r="F6255" t="s">
        <v>59</v>
      </c>
      <c r="G6255">
        <v>-251.66569999999999</v>
      </c>
      <c r="H6255" s="1">
        <v>-3.0780689999999998E-7</v>
      </c>
      <c r="I6255">
        <v>-62.439109999999999</v>
      </c>
      <c r="J6255">
        <v>-271.01159999999999</v>
      </c>
      <c r="K6255">
        <v>1.1118969999999999</v>
      </c>
      <c r="L6255">
        <v>-63.592649999999999</v>
      </c>
      <c r="M6255">
        <v>0.99881140000000002</v>
      </c>
      <c r="N6255">
        <v>0</v>
      </c>
      <c r="O6255">
        <v>-4.8152840000000002E-2</v>
      </c>
      <c r="P6255">
        <v>0.98461750000000003</v>
      </c>
      <c r="Q6255">
        <v>0.17402960000000001</v>
      </c>
      <c r="R6255">
        <v>-1.5562060000000001E-2</v>
      </c>
      <c r="S6255">
        <v>3.0813899999999999</v>
      </c>
      <c r="T6255">
        <v>-0.17592430000000001</v>
      </c>
      <c r="U6255">
        <v>0.18179319999999999</v>
      </c>
      <c r="V6255">
        <v>-3.2989520000000001E-2</v>
      </c>
      <c r="W6255">
        <v>0.1812656</v>
      </c>
      <c r="X6255">
        <v>0.98288070000000005</v>
      </c>
      <c r="Y6255">
        <v>-0.106645699999999</v>
      </c>
      <c r="Z6255">
        <v>5.7840269999999997E-3</v>
      </c>
      <c r="AA6255">
        <v>0.99428030000000001</v>
      </c>
      <c r="AB6255">
        <v>25</v>
      </c>
      <c r="AC6255">
        <v>19.3459</v>
      </c>
      <c r="AD6255">
        <v>-1.1118973078069001</v>
      </c>
      <c r="AE6255">
        <v>1.15353999999999</v>
      </c>
      <c r="AF6255">
        <v>-2.07695187035175</v>
      </c>
      <c r="AG6255">
        <v>-1.1118973078069001</v>
      </c>
      <c r="AH6255">
        <v>19.2046946374684</v>
      </c>
      <c r="AI6255">
        <v>93.2943968831691</v>
      </c>
      <c r="AJ6255">
        <v>96.172441851609307</v>
      </c>
      <c r="AK6255">
        <v>19.348652170455601</v>
      </c>
      <c r="AL6255">
        <v>79.556513879517397</v>
      </c>
      <c r="AM6255">
        <v>91.922360421781804</v>
      </c>
      <c r="AN6255">
        <v>0.99999999830284003</v>
      </c>
    </row>
    <row r="6256" spans="1:40" x14ac:dyDescent="0.25">
      <c r="A6256" t="str">
        <f>"20190312173050220"</f>
        <v>20190312173050220</v>
      </c>
      <c r="B6256" t="str">
        <f>"1552383050214376"</f>
        <v>1552383050214376</v>
      </c>
      <c r="C6256" t="s">
        <v>40</v>
      </c>
      <c r="D6256">
        <v>3.1156280000000001</v>
      </c>
      <c r="E6256">
        <v>0.47505269999999999</v>
      </c>
      <c r="F6256" t="s">
        <v>59</v>
      </c>
      <c r="G6256">
        <v>-251.64420000000001</v>
      </c>
      <c r="H6256" s="1">
        <v>-2.9688479999999999E-7</v>
      </c>
      <c r="I6256">
        <v>-62.431489999999997</v>
      </c>
      <c r="J6256">
        <v>-270.88920000000002</v>
      </c>
      <c r="K6256">
        <v>1.1118699999999999</v>
      </c>
      <c r="L6256">
        <v>-63.596710000000002</v>
      </c>
      <c r="M6256">
        <v>0.99889700000000003</v>
      </c>
      <c r="N6256">
        <v>0</v>
      </c>
      <c r="O6256">
        <v>-4.6346859999999997E-2</v>
      </c>
      <c r="P6256">
        <v>0.984676</v>
      </c>
      <c r="Q6256">
        <v>0.17381379999999999</v>
      </c>
      <c r="R6256">
        <v>-1.421614E-2</v>
      </c>
      <c r="S6256">
        <v>3.0810550000000001</v>
      </c>
      <c r="T6256">
        <v>-0.17688570000000001</v>
      </c>
      <c r="U6256">
        <v>0.1847229</v>
      </c>
      <c r="V6256">
        <v>-3.2545599999999897E-2</v>
      </c>
      <c r="W6256">
        <v>0.1810485</v>
      </c>
      <c r="X6256">
        <v>0.98293549999999996</v>
      </c>
      <c r="Y6256">
        <v>-0.105798</v>
      </c>
      <c r="Z6256">
        <v>5.6882829999999997E-3</v>
      </c>
      <c r="AA6256">
        <v>0.99437140000000002</v>
      </c>
      <c r="AB6256">
        <v>25</v>
      </c>
      <c r="AC6256">
        <v>19.245000000000001</v>
      </c>
      <c r="AD6256">
        <v>-1.1118702968848</v>
      </c>
      <c r="AE6256">
        <v>1.1652199999999899</v>
      </c>
      <c r="AF6256">
        <v>-2.04912364965339</v>
      </c>
      <c r="AG6256">
        <v>-1.1118702968848</v>
      </c>
      <c r="AH6256">
        <v>19.106769051474899</v>
      </c>
      <c r="AI6256">
        <v>93.311480856621898</v>
      </c>
      <c r="AJ6256">
        <v>96.121343402263406</v>
      </c>
      <c r="AK6256">
        <v>19.2484749233559</v>
      </c>
      <c r="AL6256">
        <v>79.569161941310099</v>
      </c>
      <c r="AM6256">
        <v>91.896405744560795</v>
      </c>
      <c r="AN6256">
        <v>0.99999998629592901</v>
      </c>
    </row>
    <row r="6257" spans="1:40" x14ac:dyDescent="0.25">
      <c r="A6257" t="str">
        <f>"20190312173050231"</f>
        <v>20190312173050231</v>
      </c>
      <c r="B6257" t="str">
        <f>"1552383050224136"</f>
        <v>1552383050224136</v>
      </c>
      <c r="C6257" t="s">
        <v>40</v>
      </c>
      <c r="D6257">
        <v>3.1386310000000002</v>
      </c>
      <c r="E6257">
        <v>0.47525289999999998</v>
      </c>
      <c r="F6257" t="s">
        <v>59</v>
      </c>
      <c r="G6257">
        <v>-251.61930000000001</v>
      </c>
      <c r="H6257" s="1">
        <v>-2.851167E-7</v>
      </c>
      <c r="I6257">
        <v>-62.426569999999998</v>
      </c>
      <c r="J6257">
        <v>-270.7568</v>
      </c>
      <c r="K6257">
        <v>1.111842</v>
      </c>
      <c r="L6257">
        <v>-63.600830000000002</v>
      </c>
      <c r="M6257">
        <v>0.99898419999999999</v>
      </c>
      <c r="N6257">
        <v>0</v>
      </c>
      <c r="O6257">
        <v>-4.4425480000000003E-2</v>
      </c>
      <c r="P6257">
        <v>0.98474899999999999</v>
      </c>
      <c r="Q6257">
        <v>0.1735061</v>
      </c>
      <c r="R6257">
        <v>-1.2839639999999999E-2</v>
      </c>
      <c r="S6257">
        <v>3.0807190000000002</v>
      </c>
      <c r="T6257">
        <v>-0.177757</v>
      </c>
      <c r="U6257">
        <v>0.18707280000000001</v>
      </c>
      <c r="V6257">
        <v>-3.2017820000000002E-2</v>
      </c>
      <c r="W6257">
        <v>0.1807385</v>
      </c>
      <c r="X6257">
        <v>0.98300989999999999</v>
      </c>
      <c r="Y6257">
        <v>-0.1046501</v>
      </c>
      <c r="Z6257">
        <v>5.573036E-3</v>
      </c>
      <c r="AA6257">
        <v>0.99449350000000003</v>
      </c>
      <c r="AB6257">
        <v>25</v>
      </c>
      <c r="AC6257">
        <v>19.1374999999999</v>
      </c>
      <c r="AD6257">
        <v>-1.1118422851167</v>
      </c>
      <c r="AE6257">
        <v>1.1742600000000001</v>
      </c>
      <c r="AF6257">
        <v>-2.0165364778456398</v>
      </c>
      <c r="AG6257">
        <v>-1.1118422851167</v>
      </c>
      <c r="AH6257">
        <v>19.002536723798801</v>
      </c>
      <c r="AI6257">
        <v>93.329915281437493</v>
      </c>
      <c r="AJ6257">
        <v>96.057519117265599</v>
      </c>
      <c r="AK6257">
        <v>19.1415520419004</v>
      </c>
      <c r="AL6257">
        <v>79.587221763795199</v>
      </c>
      <c r="AM6257">
        <v>91.865533238757607</v>
      </c>
      <c r="AN6257">
        <v>1.0000000048388999</v>
      </c>
    </row>
    <row r="6258" spans="1:40" x14ac:dyDescent="0.25">
      <c r="A6258" t="str">
        <f>"20190312173050241"</f>
        <v>20190312173050241</v>
      </c>
      <c r="B6258" t="str">
        <f>"1552383050233897"</f>
        <v>1552383050233897</v>
      </c>
      <c r="C6258" t="s">
        <v>40</v>
      </c>
      <c r="D6258">
        <v>3.131786</v>
      </c>
      <c r="E6258">
        <v>0.47551670000000001</v>
      </c>
      <c r="F6258" t="s">
        <v>59</v>
      </c>
      <c r="G6258">
        <v>-251.50360000000001</v>
      </c>
      <c r="H6258" s="1">
        <v>-2.331847E-7</v>
      </c>
      <c r="I6258">
        <v>-62.416269999999997</v>
      </c>
      <c r="J6258">
        <v>-270.63650000000001</v>
      </c>
      <c r="K6258">
        <v>1.1118189999999999</v>
      </c>
      <c r="L6258">
        <v>-63.604460000000003</v>
      </c>
      <c r="M6258">
        <v>0.9990599</v>
      </c>
      <c r="N6258">
        <v>0</v>
      </c>
      <c r="O6258">
        <v>-4.2689350000000001E-2</v>
      </c>
      <c r="P6258">
        <v>0.98480259999999997</v>
      </c>
      <c r="Q6258">
        <v>0.17329029999999901</v>
      </c>
      <c r="R6258">
        <v>-1.160074E-2</v>
      </c>
      <c r="S6258">
        <v>3.0802610000000001</v>
      </c>
      <c r="T6258">
        <v>-0.17787999999999901</v>
      </c>
      <c r="U6258">
        <v>0.18951419999999999</v>
      </c>
      <c r="V6258">
        <v>-3.1536300000000003E-2</v>
      </c>
      <c r="W6258">
        <v>0.18052090000000001</v>
      </c>
      <c r="X6258">
        <v>0.98306539999999998</v>
      </c>
      <c r="Y6258">
        <v>-0.1037201</v>
      </c>
      <c r="Z6258">
        <v>5.4507039999999998E-3</v>
      </c>
      <c r="AA6258">
        <v>0.99459160000000002</v>
      </c>
      <c r="AB6258">
        <v>25</v>
      </c>
      <c r="AC6258">
        <v>19.132899999999999</v>
      </c>
      <c r="AD6258">
        <v>-1.1118192331847001</v>
      </c>
      <c r="AE6258">
        <v>1.1881899999999901</v>
      </c>
      <c r="AF6258">
        <v>-1.99718289512046</v>
      </c>
      <c r="AG6258">
        <v>-1.1118192331847001</v>
      </c>
      <c r="AH6258">
        <v>19.000817171468299</v>
      </c>
      <c r="AI6258">
        <v>93.330497245268205</v>
      </c>
      <c r="AJ6258">
        <v>96.000347569932501</v>
      </c>
      <c r="AK6258">
        <v>19.137814261492998</v>
      </c>
      <c r="AL6258">
        <v>79.599897329974098</v>
      </c>
      <c r="AM6258">
        <v>91.837392964239797</v>
      </c>
      <c r="AN6258">
        <v>0.99999995711582901</v>
      </c>
    </row>
    <row r="6259" spans="1:40" x14ac:dyDescent="0.25">
      <c r="A6259" t="str">
        <f>"20190312173050253"</f>
        <v>20190312173050253</v>
      </c>
      <c r="B6259" t="str">
        <f>"1552383050243658"</f>
        <v>1552383050243658</v>
      </c>
      <c r="C6259" t="s">
        <v>40</v>
      </c>
      <c r="D6259">
        <v>3.1250260000000001</v>
      </c>
      <c r="E6259">
        <v>0.47571839999999999</v>
      </c>
      <c r="F6259" t="s">
        <v>59</v>
      </c>
      <c r="G6259">
        <v>-251.42269999999999</v>
      </c>
      <c r="H6259" s="1">
        <v>-1.9770619999999999E-7</v>
      </c>
      <c r="I6259">
        <v>-62.412860000000002</v>
      </c>
      <c r="J6259">
        <v>-270.50720000000001</v>
      </c>
      <c r="K6259">
        <v>1.1117889999999999</v>
      </c>
      <c r="L6259">
        <v>-63.608029999999999</v>
      </c>
      <c r="M6259">
        <v>0.99913629999999998</v>
      </c>
      <c r="N6259">
        <v>0</v>
      </c>
      <c r="O6259">
        <v>-4.0867399999999998E-2</v>
      </c>
      <c r="P6259">
        <v>0.98486629999999997</v>
      </c>
      <c r="Q6259">
        <v>0.17300639999999901</v>
      </c>
      <c r="R6259">
        <v>-1.0364490000000001E-2</v>
      </c>
      <c r="S6259">
        <v>3.0799259999999999</v>
      </c>
      <c r="T6259">
        <v>-0.17822180000000001</v>
      </c>
      <c r="U6259">
        <v>0.1910095</v>
      </c>
      <c r="V6259">
        <v>-3.0966529999999999E-2</v>
      </c>
      <c r="W6259">
        <v>0.18023339999999999</v>
      </c>
      <c r="X6259">
        <v>0.98313629999999996</v>
      </c>
      <c r="Y6259">
        <v>-0.1023983</v>
      </c>
      <c r="Z6259">
        <v>5.31826E-3</v>
      </c>
      <c r="AA6259">
        <v>0.99472930000000004</v>
      </c>
      <c r="AB6259">
        <v>25</v>
      </c>
      <c r="AC6259">
        <v>19.084499999999998</v>
      </c>
      <c r="AD6259">
        <v>-1.1117891977062</v>
      </c>
      <c r="AE6259">
        <v>1.1951700000000101</v>
      </c>
      <c r="AF6259">
        <v>-1.96747631510538</v>
      </c>
      <c r="AG6259">
        <v>-1.1117891977062</v>
      </c>
      <c r="AH6259">
        <v>18.955630761084802</v>
      </c>
      <c r="AI6259">
        <v>93.338781704216601</v>
      </c>
      <c r="AJ6259">
        <v>95.925725986167393</v>
      </c>
      <c r="AK6259">
        <v>19.089865788454901</v>
      </c>
      <c r="AL6259">
        <v>79.616644955126802</v>
      </c>
      <c r="AM6259">
        <v>91.8040886866752</v>
      </c>
      <c r="AN6259">
        <v>0.99999999441674503</v>
      </c>
    </row>
    <row r="6260" spans="1:40" x14ac:dyDescent="0.25">
      <c r="A6260" t="str">
        <f>"20190312173050265"</f>
        <v>20190312173050265</v>
      </c>
      <c r="B6260" t="str">
        <f>"1552383050254392"</f>
        <v>1552383050254392</v>
      </c>
      <c r="C6260" t="s">
        <v>40</v>
      </c>
      <c r="D6260">
        <v>3.1730839999999998</v>
      </c>
      <c r="E6260">
        <v>0.47595419999999999</v>
      </c>
      <c r="F6260" t="s">
        <v>59</v>
      </c>
      <c r="G6260">
        <v>-251.3519</v>
      </c>
      <c r="H6260" s="1">
        <v>-1.6564369999999999E-7</v>
      </c>
      <c r="I6260">
        <v>-62.405299999999997</v>
      </c>
      <c r="J6260">
        <v>-270.38080000000002</v>
      </c>
      <c r="K6260">
        <v>1.111761</v>
      </c>
      <c r="L6260">
        <v>-63.611420000000003</v>
      </c>
      <c r="M6260">
        <v>0.99920730000000002</v>
      </c>
      <c r="N6260">
        <v>0</v>
      </c>
      <c r="O6260">
        <v>-3.9093490000000002E-2</v>
      </c>
      <c r="P6260">
        <v>0.98492089999999999</v>
      </c>
      <c r="Q6260">
        <v>0.17276859999999999</v>
      </c>
      <c r="R6260">
        <v>-9.0551550000000005E-3</v>
      </c>
      <c r="S6260">
        <v>3.0795590000000002</v>
      </c>
      <c r="T6260">
        <v>-0.17873929999999999</v>
      </c>
      <c r="U6260">
        <v>0.19335939999999999</v>
      </c>
      <c r="V6260">
        <v>-3.0517389999999998E-2</v>
      </c>
      <c r="W6260">
        <v>0.17999129999999899</v>
      </c>
      <c r="X6260">
        <v>0.98319469999999998</v>
      </c>
      <c r="Y6260">
        <v>-0.1013988</v>
      </c>
      <c r="Z6260">
        <v>5.2024640000000004E-3</v>
      </c>
      <c r="AA6260">
        <v>0.9948323</v>
      </c>
      <c r="AB6260">
        <v>26</v>
      </c>
      <c r="AC6260">
        <v>19.0289</v>
      </c>
      <c r="AD6260">
        <v>-1.1117611656436901</v>
      </c>
      <c r="AE6260">
        <v>1.2061199999999901</v>
      </c>
      <c r="AF6260">
        <v>-1.94252085806084</v>
      </c>
      <c r="AG6260">
        <v>-1.1117611656436901</v>
      </c>
      <c r="AH6260">
        <v>18.902933563740699</v>
      </c>
      <c r="AI6260">
        <v>93.348336010755403</v>
      </c>
      <c r="AJ6260">
        <v>95.867286799892696</v>
      </c>
      <c r="AK6260">
        <v>19.0349756366703</v>
      </c>
      <c r="AL6260">
        <v>79.630746930065101</v>
      </c>
      <c r="AM6260">
        <v>91.777833479048496</v>
      </c>
      <c r="AN6260">
        <v>0.99999999863809597</v>
      </c>
    </row>
    <row r="6261" spans="1:40" x14ac:dyDescent="0.25">
      <c r="A6261" t="str">
        <f>"20190312173050274"</f>
        <v>20190312173050274</v>
      </c>
      <c r="B6261" t="str">
        <f>"1552383050264152"</f>
        <v>1552383050264152</v>
      </c>
      <c r="C6261" t="s">
        <v>40</v>
      </c>
      <c r="D6261">
        <v>3.1413150000000001</v>
      </c>
      <c r="E6261">
        <v>0.47595419999999999</v>
      </c>
      <c r="F6261" t="s">
        <v>59</v>
      </c>
      <c r="G6261">
        <v>-251.2527</v>
      </c>
      <c r="H6261" s="1">
        <v>-1.212551E-7</v>
      </c>
      <c r="I6261">
        <v>-62.396970000000003</v>
      </c>
      <c r="J6261">
        <v>-270.25869999999998</v>
      </c>
      <c r="K6261">
        <v>1.111734</v>
      </c>
      <c r="L6261">
        <v>-63.614379999999997</v>
      </c>
      <c r="M6261">
        <v>0.99927149999999998</v>
      </c>
      <c r="N6261">
        <v>0</v>
      </c>
      <c r="O6261">
        <v>-3.7416970000000001E-2</v>
      </c>
      <c r="P6261">
        <v>0.98498459999999999</v>
      </c>
      <c r="Q6261">
        <v>0.1724484</v>
      </c>
      <c r="R6261">
        <v>-8.1864180000000009E-3</v>
      </c>
      <c r="S6261">
        <v>3.079132</v>
      </c>
      <c r="T6261">
        <v>-0.17896500000000001</v>
      </c>
      <c r="U6261">
        <v>0.19549559999999999</v>
      </c>
      <c r="V6261">
        <v>-2.972356E-2</v>
      </c>
      <c r="W6261">
        <v>0.17967</v>
      </c>
      <c r="X6261">
        <v>0.98327779999999998</v>
      </c>
      <c r="Y6261">
        <v>-0.1004295</v>
      </c>
      <c r="Z6261">
        <v>5.0842470000000001E-3</v>
      </c>
      <c r="AA6261">
        <v>0.99493120000000002</v>
      </c>
      <c r="AB6261">
        <v>26</v>
      </c>
      <c r="AC6261">
        <v>19.005999999999901</v>
      </c>
      <c r="AD6261">
        <v>-1.1117341212551</v>
      </c>
      <c r="AE6261">
        <v>1.2174100000000001</v>
      </c>
      <c r="AF6261">
        <v>-1.9211779402079101</v>
      </c>
      <c r="AG6261">
        <v>-1.1117341212551</v>
      </c>
      <c r="AH6261">
        <v>18.8827929731696</v>
      </c>
      <c r="AI6261">
        <v>93.352163318903493</v>
      </c>
      <c r="AJ6261">
        <v>95.809411503853397</v>
      </c>
      <c r="AK6261">
        <v>19.012804840472398</v>
      </c>
      <c r="AL6261">
        <v>79.649461327038594</v>
      </c>
      <c r="AM6261">
        <v>91.731470071194394</v>
      </c>
      <c r="AN6261">
        <v>1.0000000154459501</v>
      </c>
    </row>
    <row r="6262" spans="1:40" x14ac:dyDescent="0.25">
      <c r="A6262" t="str">
        <f>"20190312173050286"</f>
        <v>20190312173050286</v>
      </c>
      <c r="B6262" t="str">
        <f>"1552383050283672"</f>
        <v>1552383050283672</v>
      </c>
      <c r="C6262" t="s">
        <v>40</v>
      </c>
      <c r="D6262">
        <v>3.1271089999999999</v>
      </c>
      <c r="E6262">
        <v>0.48099069999999999</v>
      </c>
      <c r="F6262" t="s">
        <v>59</v>
      </c>
      <c r="G6262">
        <v>-251.2406</v>
      </c>
      <c r="H6262" s="1">
        <v>-1.146265E-7</v>
      </c>
      <c r="I6262">
        <v>-62.390430000000002</v>
      </c>
      <c r="J6262">
        <v>-270.13240000000002</v>
      </c>
      <c r="K6262">
        <v>1.1117049999999999</v>
      </c>
      <c r="L6262">
        <v>-63.617370000000001</v>
      </c>
      <c r="M6262">
        <v>0.99933470000000002</v>
      </c>
      <c r="N6262">
        <v>0</v>
      </c>
      <c r="O6262">
        <v>-3.5697180000000002E-2</v>
      </c>
      <c r="P6262">
        <v>0.98498220000000003</v>
      </c>
      <c r="Q6262">
        <v>0.17251720000000001</v>
      </c>
      <c r="R6262">
        <v>-6.9552999999999898E-3</v>
      </c>
      <c r="S6262">
        <v>3.0789179999999998</v>
      </c>
      <c r="T6262">
        <v>-0.1799839</v>
      </c>
      <c r="U6262">
        <v>0.19815060000000001</v>
      </c>
      <c r="V6262">
        <v>-2.9248710000000001E-2</v>
      </c>
      <c r="W6262">
        <v>0.1797348</v>
      </c>
      <c r="X6262">
        <v>0.98328020000000005</v>
      </c>
      <c r="Y6262">
        <v>-9.9577810000000003E-2</v>
      </c>
      <c r="Z6262">
        <v>4.988162E-3</v>
      </c>
      <c r="AA6262">
        <v>0.99501729999999999</v>
      </c>
      <c r="AB6262">
        <v>26</v>
      </c>
      <c r="AC6262">
        <v>18.8918</v>
      </c>
      <c r="AD6262">
        <v>-1.1117051146265</v>
      </c>
      <c r="AE6262">
        <v>1.2269399999999899</v>
      </c>
      <c r="AF6262">
        <v>-1.8940296186188601</v>
      </c>
      <c r="AG6262">
        <v>-1.1117051146265</v>
      </c>
      <c r="AH6262">
        <v>18.771230403986799</v>
      </c>
      <c r="AI6262">
        <v>93.372236493115693</v>
      </c>
      <c r="AJ6262">
        <v>95.761681901393302</v>
      </c>
      <c r="AK6262">
        <v>18.899267904806599</v>
      </c>
      <c r="AL6262">
        <v>79.645687152742596</v>
      </c>
      <c r="AM6262">
        <v>91.703821177712598</v>
      </c>
      <c r="AN6262">
        <v>1.0000000185398701</v>
      </c>
    </row>
    <row r="6263" spans="1:40" x14ac:dyDescent="0.25">
      <c r="A6263" t="str">
        <f>"20190312173050298"</f>
        <v>20190312173050298</v>
      </c>
      <c r="B6263" t="str">
        <f>"1552383050294408"</f>
        <v>1552383050294408</v>
      </c>
      <c r="C6263" t="s">
        <v>40</v>
      </c>
      <c r="D6263">
        <v>3.130042</v>
      </c>
      <c r="E6263">
        <v>0.48071540000000001</v>
      </c>
      <c r="F6263" t="s">
        <v>59</v>
      </c>
      <c r="G6263">
        <v>-251.44290000000001</v>
      </c>
      <c r="H6263" s="1">
        <v>-2.5607809999999999E-7</v>
      </c>
      <c r="I6263">
        <v>-62.636310000000002</v>
      </c>
      <c r="J6263">
        <v>-270</v>
      </c>
      <c r="K6263">
        <v>1.1116820000000001</v>
      </c>
      <c r="L6263">
        <v>-63.620240000000003</v>
      </c>
      <c r="M6263">
        <v>0.99939650000000002</v>
      </c>
      <c r="N6263">
        <v>0</v>
      </c>
      <c r="O6263">
        <v>-3.3919940000000003E-2</v>
      </c>
      <c r="P6263">
        <v>0.98500710000000002</v>
      </c>
      <c r="Q6263">
        <v>0.17241529999999899</v>
      </c>
      <c r="R6263">
        <v>-5.8670199999999997E-3</v>
      </c>
      <c r="S6263">
        <v>3.0789490000000002</v>
      </c>
      <c r="T6263">
        <v>-0.18314449999999999</v>
      </c>
      <c r="U6263">
        <v>0.16162109999999999</v>
      </c>
      <c r="V6263">
        <v>-2.8575509999999998E-2</v>
      </c>
      <c r="W6263">
        <v>0.1796306</v>
      </c>
      <c r="X6263">
        <v>0.98331900000000005</v>
      </c>
      <c r="Y6263">
        <v>-8.6052660000000003E-2</v>
      </c>
      <c r="Z6263">
        <v>4.5700139999999998E-3</v>
      </c>
      <c r="AA6263">
        <v>0.9962801</v>
      </c>
      <c r="AB6263">
        <v>26</v>
      </c>
      <c r="AC6263">
        <v>18.557099999999899</v>
      </c>
      <c r="AD6263">
        <v>-1.1116822560780999</v>
      </c>
      <c r="AE6263">
        <v>0.98393000000000697</v>
      </c>
      <c r="AF6263">
        <v>-1.60708590262072</v>
      </c>
      <c r="AG6263">
        <v>-1.1116822560780999</v>
      </c>
      <c r="AH6263">
        <v>18.4470291273018</v>
      </c>
      <c r="AI6263">
        <v>93.435690571681405</v>
      </c>
      <c r="AJ6263">
        <v>94.978977501407101</v>
      </c>
      <c r="AK6263">
        <v>18.550241134831701</v>
      </c>
      <c r="AL6263">
        <v>79.6517557866419</v>
      </c>
      <c r="AM6263">
        <v>91.664562025949095</v>
      </c>
      <c r="AN6263">
        <v>0.99999998399456003</v>
      </c>
    </row>
    <row r="6264" spans="1:40" x14ac:dyDescent="0.25">
      <c r="A6264" t="str">
        <f>"20190312173050309"</f>
        <v>20190312173050309</v>
      </c>
      <c r="B6264" t="str">
        <f>"1552383050304167"</f>
        <v>1552383050304167</v>
      </c>
      <c r="C6264" t="s">
        <v>40</v>
      </c>
      <c r="D6264">
        <v>3.293606</v>
      </c>
      <c r="E6264">
        <v>0.48081889999999999</v>
      </c>
      <c r="F6264" t="s">
        <v>59</v>
      </c>
      <c r="G6264">
        <v>-251.24590000000001</v>
      </c>
      <c r="H6264" s="1">
        <v>-1.6343559999999999E-7</v>
      </c>
      <c r="I6264">
        <v>-62.599809999999998</v>
      </c>
      <c r="J6264">
        <v>-269.87079999999997</v>
      </c>
      <c r="K6264">
        <v>1.111656</v>
      </c>
      <c r="L6264">
        <v>-63.622860000000003</v>
      </c>
      <c r="M6264">
        <v>0.99945309999999998</v>
      </c>
      <c r="N6264">
        <v>0</v>
      </c>
      <c r="O6264">
        <v>-3.2208630000000002E-2</v>
      </c>
      <c r="P6264">
        <v>0.98504689999999995</v>
      </c>
      <c r="Q6264">
        <v>0.1722225</v>
      </c>
      <c r="R6264">
        <v>-4.6984799999999997E-3</v>
      </c>
      <c r="S6264">
        <v>3.0786129999999998</v>
      </c>
      <c r="T6264">
        <v>-0.18249029999999999</v>
      </c>
      <c r="U6264">
        <v>0.16751099999999999</v>
      </c>
      <c r="V6264">
        <v>-2.8046209999999999E-2</v>
      </c>
      <c r="W6264">
        <v>0.1794355</v>
      </c>
      <c r="X6264">
        <v>0.98336990000000002</v>
      </c>
      <c r="Y6264">
        <v>-8.6257180000000003E-2</v>
      </c>
      <c r="Z6264">
        <v>4.4587680000000001E-3</v>
      </c>
      <c r="AA6264">
        <v>0.99626289999999995</v>
      </c>
      <c r="AB6264">
        <v>26</v>
      </c>
      <c r="AC6264">
        <v>18.624899999999901</v>
      </c>
      <c r="AD6264">
        <v>-1.1116561634355999</v>
      </c>
      <c r="AE6264">
        <v>1.02304999999999</v>
      </c>
      <c r="AF6264">
        <v>-1.61667645957481</v>
      </c>
      <c r="AG6264">
        <v>-1.1116561634355999</v>
      </c>
      <c r="AH6264">
        <v>18.516517901920398</v>
      </c>
      <c r="AI6264">
        <v>93.4226912269243</v>
      </c>
      <c r="AJ6264">
        <v>94.989838729245804</v>
      </c>
      <c r="AK6264">
        <v>18.620173399106299</v>
      </c>
      <c r="AL6264">
        <v>79.663119242823896</v>
      </c>
      <c r="AM6264">
        <v>91.633661935666794</v>
      </c>
      <c r="AN6264">
        <v>1.00000002439081</v>
      </c>
    </row>
    <row r="6265" spans="1:40" x14ac:dyDescent="0.25">
      <c r="A6265" t="str">
        <f>"20190312173050320"</f>
        <v>20190312173050320</v>
      </c>
      <c r="B6265" t="str">
        <f>"1552383050313928"</f>
        <v>1552383050313928</v>
      </c>
      <c r="C6265" t="s">
        <v>40</v>
      </c>
      <c r="D6265">
        <v>3.1461060000000001</v>
      </c>
      <c r="E6265">
        <v>0.48114609999999902</v>
      </c>
      <c r="F6265" t="s">
        <v>59</v>
      </c>
      <c r="G6265">
        <v>-251.0137</v>
      </c>
      <c r="H6265" s="1">
        <v>-5.928376E-8</v>
      </c>
      <c r="I6265">
        <v>-62.579270000000001</v>
      </c>
      <c r="J6265">
        <v>-269.7457</v>
      </c>
      <c r="K6265">
        <v>1.111632</v>
      </c>
      <c r="L6265">
        <v>-63.625239999999998</v>
      </c>
      <c r="M6265">
        <v>0.99950470000000002</v>
      </c>
      <c r="N6265">
        <v>0</v>
      </c>
      <c r="O6265">
        <v>-3.0569550000000001E-2</v>
      </c>
      <c r="P6265">
        <v>0.98511789999999999</v>
      </c>
      <c r="Q6265">
        <v>0.1718392</v>
      </c>
      <c r="R6265">
        <v>-3.762348E-3</v>
      </c>
      <c r="S6265">
        <v>3.0780940000000001</v>
      </c>
      <c r="T6265">
        <v>-0.18145939999999999</v>
      </c>
      <c r="U6265">
        <v>0.1703491</v>
      </c>
      <c r="V6265">
        <v>-2.7357449999999998E-2</v>
      </c>
      <c r="W6265">
        <v>0.1790513</v>
      </c>
      <c r="X6265">
        <v>0.98345930000000004</v>
      </c>
      <c r="Y6265">
        <v>-8.5554640000000001E-2</v>
      </c>
      <c r="Z6265">
        <v>4.3171099999999999E-3</v>
      </c>
      <c r="AA6265">
        <v>0.99632410000000005</v>
      </c>
      <c r="AB6265">
        <v>26</v>
      </c>
      <c r="AC6265">
        <v>18.731999999999999</v>
      </c>
      <c r="AD6265">
        <v>-1.1116320592837601</v>
      </c>
      <c r="AE6265">
        <v>1.0459700000000101</v>
      </c>
      <c r="AF6265">
        <v>-1.61246494802771</v>
      </c>
      <c r="AG6265">
        <v>-1.1116320592837601</v>
      </c>
      <c r="AH6265">
        <v>18.625878146690599</v>
      </c>
      <c r="AI6265">
        <v>93.402785332725102</v>
      </c>
      <c r="AJ6265">
        <v>94.947829369250002</v>
      </c>
      <c r="AK6265">
        <v>18.728563900609501</v>
      </c>
      <c r="AL6265">
        <v>79.685494364560697</v>
      </c>
      <c r="AM6265">
        <v>91.593418558313502</v>
      </c>
      <c r="AN6265">
        <v>0.99999999642934101</v>
      </c>
    </row>
    <row r="6266" spans="1:40" x14ac:dyDescent="0.25">
      <c r="A6266" t="str">
        <f>"20190312173050332"</f>
        <v>20190312173050332</v>
      </c>
      <c r="B6266" t="str">
        <f>"1552383050324216"</f>
        <v>1552383050324216</v>
      </c>
      <c r="C6266" t="s">
        <v>40</v>
      </c>
      <c r="D6266">
        <v>3.14757</v>
      </c>
      <c r="E6266">
        <v>0.48123349999999998</v>
      </c>
      <c r="F6266" t="s">
        <v>59</v>
      </c>
      <c r="G6266">
        <v>-250.9134</v>
      </c>
      <c r="H6266" s="1">
        <v>-1.6634539999999999E-8</v>
      </c>
      <c r="I6266">
        <v>-62.581009999999999</v>
      </c>
      <c r="J6266">
        <v>-269.61149999999998</v>
      </c>
      <c r="K6266">
        <v>1.1116079999999999</v>
      </c>
      <c r="L6266">
        <v>-63.627499999999998</v>
      </c>
      <c r="M6266">
        <v>0.99955609999999995</v>
      </c>
      <c r="N6266">
        <v>0</v>
      </c>
      <c r="O6266">
        <v>-2.8843690000000002E-2</v>
      </c>
      <c r="P6266">
        <v>0.98514950000000001</v>
      </c>
      <c r="Q6266">
        <v>0.1716772</v>
      </c>
      <c r="R6266">
        <v>-2.783392E-3</v>
      </c>
      <c r="S6266">
        <v>3.0776669999999999</v>
      </c>
      <c r="T6266">
        <v>-0.18166840000000001</v>
      </c>
      <c r="U6266">
        <v>0.17065429999999901</v>
      </c>
      <c r="V6266">
        <v>-2.6624809999999999E-2</v>
      </c>
      <c r="W6266">
        <v>0.17888899999999999</v>
      </c>
      <c r="X6266">
        <v>0.98350890000000002</v>
      </c>
      <c r="Y6266">
        <v>-8.3945619999999999E-2</v>
      </c>
      <c r="Z6266">
        <v>4.1735309999999899E-3</v>
      </c>
      <c r="AA6266">
        <v>0.99646159999999995</v>
      </c>
      <c r="AB6266">
        <v>26</v>
      </c>
      <c r="AC6266">
        <v>18.698099999999901</v>
      </c>
      <c r="AD6266">
        <v>-1.1116080166345399</v>
      </c>
      <c r="AE6266">
        <v>1.0464899999999899</v>
      </c>
      <c r="AF6266">
        <v>-1.5798255669188199</v>
      </c>
      <c r="AG6266">
        <v>-1.1116080166345399</v>
      </c>
      <c r="AH6266">
        <v>18.594619953198499</v>
      </c>
      <c r="AI6266">
        <v>93.408884588602007</v>
      </c>
      <c r="AJ6266">
        <v>94.856269065700403</v>
      </c>
      <c r="AK6266">
        <v>18.6946894172764</v>
      </c>
      <c r="AL6266">
        <v>79.694945646821907</v>
      </c>
      <c r="AM6266">
        <v>91.550689327115094</v>
      </c>
      <c r="AN6266">
        <v>0.999999955603872</v>
      </c>
    </row>
    <row r="6267" spans="1:40" x14ac:dyDescent="0.25">
      <c r="A6267" t="str">
        <f>"20190312173050342"</f>
        <v>20190312173050342</v>
      </c>
      <c r="B6267" t="str">
        <f>"1552383050333976"</f>
        <v>1552383050333976</v>
      </c>
      <c r="C6267" t="s">
        <v>40</v>
      </c>
      <c r="D6267">
        <v>3.2220759999999999</v>
      </c>
      <c r="E6267">
        <v>0.48143320000000001</v>
      </c>
      <c r="F6267" t="s">
        <v>59</v>
      </c>
      <c r="G6267">
        <v>-250.7867</v>
      </c>
      <c r="H6267" s="1">
        <v>4.023713E-8</v>
      </c>
      <c r="I6267">
        <v>-62.569780000000002</v>
      </c>
      <c r="J6267">
        <v>-269.48410000000001</v>
      </c>
      <c r="K6267">
        <v>1.1115820000000001</v>
      </c>
      <c r="L6267">
        <v>-63.629579999999997</v>
      </c>
      <c r="M6267">
        <v>0.99960179999999998</v>
      </c>
      <c r="N6267">
        <v>0</v>
      </c>
      <c r="O6267">
        <v>-2.7213560000000001E-2</v>
      </c>
      <c r="P6267">
        <v>0.98520339999999995</v>
      </c>
      <c r="Q6267">
        <v>0.1713809</v>
      </c>
      <c r="R6267">
        <v>-1.6760810000000001E-3</v>
      </c>
      <c r="S6267">
        <v>3.077423</v>
      </c>
      <c r="T6267">
        <v>-0.18172179999999999</v>
      </c>
      <c r="U6267">
        <v>0.1729126</v>
      </c>
      <c r="V6267">
        <v>-2.6115050000000001E-2</v>
      </c>
      <c r="W6267">
        <v>0.17859149999999999</v>
      </c>
      <c r="X6267">
        <v>0.98357669999999997</v>
      </c>
      <c r="Y6267">
        <v>-8.3058119999999999E-2</v>
      </c>
      <c r="Z6267">
        <v>4.0527330000000002E-3</v>
      </c>
      <c r="AA6267">
        <v>0.99653650000000005</v>
      </c>
      <c r="AB6267">
        <v>26</v>
      </c>
      <c r="AC6267">
        <v>18.697399999999998</v>
      </c>
      <c r="AD6267">
        <v>-1.11158195976287</v>
      </c>
      <c r="AE6267">
        <v>1.0598000000000001</v>
      </c>
      <c r="AF6267">
        <v>-1.5627387355053199</v>
      </c>
      <c r="AG6267">
        <v>-1.11158195976287</v>
      </c>
      <c r="AH6267">
        <v>18.5961168020218</v>
      </c>
      <c r="AI6267">
        <v>93.408795239828095</v>
      </c>
      <c r="AJ6267">
        <v>94.803607661811498</v>
      </c>
      <c r="AK6267">
        <v>18.6947406219813</v>
      </c>
      <c r="AL6267">
        <v>79.712270823479003</v>
      </c>
      <c r="AM6267">
        <v>91.520909033765605</v>
      </c>
      <c r="AN6267">
        <v>1.0000000222458201</v>
      </c>
    </row>
    <row r="6268" spans="1:40" x14ac:dyDescent="0.25">
      <c r="A6268" t="str">
        <f>"20190312173050354"</f>
        <v>20190312173050354</v>
      </c>
      <c r="B6268" t="str">
        <f>"1552383050343736"</f>
        <v>1552383050343736</v>
      </c>
      <c r="C6268" t="s">
        <v>40</v>
      </c>
      <c r="D6268">
        <v>3.149187</v>
      </c>
      <c r="E6268">
        <v>0.48171449999999999</v>
      </c>
      <c r="F6268" t="s">
        <v>59</v>
      </c>
      <c r="G6268">
        <v>-251.0042</v>
      </c>
      <c r="H6268" s="1">
        <v>-5.5118160000000002E-8</v>
      </c>
      <c r="I6268">
        <v>-62.578989999999997</v>
      </c>
      <c r="J6268">
        <v>-269.35239999999999</v>
      </c>
      <c r="K6268">
        <v>1.111553</v>
      </c>
      <c r="L6268">
        <v>-63.631410000000002</v>
      </c>
      <c r="M6268">
        <v>0.99964520000000001</v>
      </c>
      <c r="N6268">
        <v>0</v>
      </c>
      <c r="O6268">
        <v>-2.5573060000000002E-2</v>
      </c>
      <c r="P6268">
        <v>0.98523539999999998</v>
      </c>
      <c r="Q6268">
        <v>0.17120450000000001</v>
      </c>
      <c r="R6268">
        <v>-6.7383329999999998E-4</v>
      </c>
      <c r="S6268">
        <v>3.077515</v>
      </c>
      <c r="T6268">
        <v>-0.18511530000000001</v>
      </c>
      <c r="U6268">
        <v>0.17495729999999901</v>
      </c>
      <c r="V6268">
        <v>-2.5490229999999999E-2</v>
      </c>
      <c r="W6268">
        <v>0.17841460000000001</v>
      </c>
      <c r="X6268">
        <v>0.98362519999999998</v>
      </c>
      <c r="Y6268">
        <v>-8.2078520000000002E-2</v>
      </c>
      <c r="Z6268">
        <v>4.0001500000000001E-3</v>
      </c>
      <c r="AA6268">
        <v>0.99661789999999995</v>
      </c>
      <c r="AB6268">
        <v>26</v>
      </c>
      <c r="AC6268">
        <v>18.348199999999899</v>
      </c>
      <c r="AD6268">
        <v>-1.11155305511816</v>
      </c>
      <c r="AE6268">
        <v>1.0524199999999899</v>
      </c>
      <c r="AF6268">
        <v>-1.5157637264780901</v>
      </c>
      <c r="AG6268">
        <v>-1.11155305511816</v>
      </c>
      <c r="AH6268">
        <v>18.248531015742302</v>
      </c>
      <c r="AI6268">
        <v>93.473755976046903</v>
      </c>
      <c r="AJ6268">
        <v>94.748215536556103</v>
      </c>
      <c r="AK6268">
        <v>18.345080378710701</v>
      </c>
      <c r="AL6268">
        <v>79.722571944998506</v>
      </c>
      <c r="AM6268">
        <v>91.484463587387594</v>
      </c>
      <c r="AN6268">
        <v>1.0000000276968199</v>
      </c>
    </row>
    <row r="6269" spans="1:40" x14ac:dyDescent="0.25">
      <c r="A6269" t="str">
        <f>"20190312173050366"</f>
        <v>20190312173050366</v>
      </c>
      <c r="B6269" t="str">
        <f>"1552383050354473"</f>
        <v>1552383050354473</v>
      </c>
      <c r="C6269" t="s">
        <v>40</v>
      </c>
      <c r="D6269">
        <v>3.131008</v>
      </c>
      <c r="E6269">
        <v>0.48191620000000002</v>
      </c>
      <c r="F6269" t="s">
        <v>59</v>
      </c>
      <c r="G6269">
        <v>-250.87469999999999</v>
      </c>
      <c r="H6269" s="1">
        <v>7.120207E-10</v>
      </c>
      <c r="I6269">
        <v>-62.577739999999999</v>
      </c>
      <c r="J6269">
        <v>-269.2244</v>
      </c>
      <c r="K6269">
        <v>1.1115280000000001</v>
      </c>
      <c r="L6269">
        <v>-63.633090000000003</v>
      </c>
      <c r="M6269">
        <v>0.99968449999999998</v>
      </c>
      <c r="N6269">
        <v>0</v>
      </c>
      <c r="O6269">
        <v>-2.3985139999999999E-2</v>
      </c>
      <c r="P6269">
        <v>0.98524789999999995</v>
      </c>
      <c r="Q6269">
        <v>0.1711327</v>
      </c>
      <c r="R6269">
        <v>4.7353750000000001E-4</v>
      </c>
      <c r="S6269">
        <v>3.0772400000000002</v>
      </c>
      <c r="T6269">
        <v>-0.18511530000000001</v>
      </c>
      <c r="U6269">
        <v>0.1754761</v>
      </c>
      <c r="V6269">
        <v>-2.5062339999999999E-2</v>
      </c>
      <c r="W6269">
        <v>0.1783419</v>
      </c>
      <c r="X6269">
        <v>0.98364940000000001</v>
      </c>
      <c r="Y6269">
        <v>-8.0673229999999999E-2</v>
      </c>
      <c r="Z6269">
        <v>3.8629160000000001E-3</v>
      </c>
      <c r="AA6269">
        <v>0.99673310000000004</v>
      </c>
      <c r="AB6269">
        <v>26</v>
      </c>
      <c r="AC6269">
        <v>18.349699999999999</v>
      </c>
      <c r="AD6269">
        <v>-1.1115279992879701</v>
      </c>
      <c r="AE6269">
        <v>1.05534999999999</v>
      </c>
      <c r="AF6269">
        <v>-1.48973049492932</v>
      </c>
      <c r="AG6269">
        <v>-1.1115279992879701</v>
      </c>
      <c r="AH6269">
        <v>18.252354843445101</v>
      </c>
      <c r="AI6269">
        <v>93.473361003638402</v>
      </c>
      <c r="AJ6269">
        <v>94.666054920712497</v>
      </c>
      <c r="AK6269">
        <v>18.346750359988999</v>
      </c>
      <c r="AL6269">
        <v>79.726805454113304</v>
      </c>
      <c r="AM6269">
        <v>91.459519719112507</v>
      </c>
      <c r="AN6269">
        <v>1.00000004815112</v>
      </c>
    </row>
    <row r="6270" spans="1:40" x14ac:dyDescent="0.25">
      <c r="A6270" t="str">
        <f>"20190312173050375"</f>
        <v>20190312173050375</v>
      </c>
      <c r="B6270" t="str">
        <f>"1552383050364232"</f>
        <v>1552383050364232</v>
      </c>
      <c r="C6270" t="s">
        <v>40</v>
      </c>
      <c r="D6270">
        <v>3.1626729999999998</v>
      </c>
      <c r="E6270">
        <v>0.48212500000000003</v>
      </c>
      <c r="F6270" t="s">
        <v>59</v>
      </c>
      <c r="G6270">
        <v>-250.68100000000001</v>
      </c>
      <c r="H6270" s="1">
        <v>8.6813600000000004E-8</v>
      </c>
      <c r="I6270">
        <v>-62.564140000000002</v>
      </c>
      <c r="J6270">
        <v>-269.10039999999998</v>
      </c>
      <c r="K6270">
        <v>1.111502</v>
      </c>
      <c r="L6270">
        <v>-63.63449</v>
      </c>
      <c r="M6270">
        <v>0.99971949999999998</v>
      </c>
      <c r="N6270">
        <v>0</v>
      </c>
      <c r="O6270">
        <v>-2.248006E-2</v>
      </c>
      <c r="P6270">
        <v>0.98522609999999999</v>
      </c>
      <c r="Q6270">
        <v>0.1712545</v>
      </c>
      <c r="R6270">
        <v>1.161959E-3</v>
      </c>
      <c r="S6270">
        <v>3.0768740000000001</v>
      </c>
      <c r="T6270">
        <v>-0.1844345</v>
      </c>
      <c r="U6270">
        <v>0.1773682</v>
      </c>
      <c r="V6270">
        <v>-2.425737E-2</v>
      </c>
      <c r="W6270">
        <v>0.1784644</v>
      </c>
      <c r="X6270">
        <v>0.9836473</v>
      </c>
      <c r="Y6270">
        <v>-7.9795899999999906E-2</v>
      </c>
      <c r="Z6270">
        <v>3.7328019999999999E-3</v>
      </c>
      <c r="AA6270">
        <v>0.99680420000000003</v>
      </c>
      <c r="AB6270">
        <v>26</v>
      </c>
      <c r="AC6270">
        <v>18.4194</v>
      </c>
      <c r="AD6270">
        <v>-1.1115019131863999</v>
      </c>
      <c r="AE6270">
        <v>1.0703499999999899</v>
      </c>
      <c r="AF6270">
        <v>-1.47879345104839</v>
      </c>
      <c r="AG6270">
        <v>-1.1115019131863999</v>
      </c>
      <c r="AH6270">
        <v>18.3241815201131</v>
      </c>
      <c r="AI6270">
        <v>93.459953474370394</v>
      </c>
      <c r="AJ6270">
        <v>94.613870446070194</v>
      </c>
      <c r="AK6270">
        <v>18.417325944771001</v>
      </c>
      <c r="AL6270">
        <v>79.719671646084805</v>
      </c>
      <c r="AM6270">
        <v>91.412664155613598</v>
      </c>
      <c r="AN6270">
        <v>0.99999998643198296</v>
      </c>
    </row>
    <row r="6271" spans="1:40" x14ac:dyDescent="0.25">
      <c r="A6271" t="str">
        <f>"20190312173050389"</f>
        <v>20190312173050389</v>
      </c>
      <c r="B6271" t="str">
        <f>"1552383050383752"</f>
        <v>1552383050383752</v>
      </c>
      <c r="C6271" t="s">
        <v>40</v>
      </c>
      <c r="D6271">
        <v>3.1619609999999998</v>
      </c>
      <c r="E6271">
        <v>0.48233470000000001</v>
      </c>
      <c r="F6271" t="s">
        <v>59</v>
      </c>
      <c r="G6271">
        <v>-250.5078</v>
      </c>
      <c r="H6271" s="1">
        <v>1.620311E-7</v>
      </c>
      <c r="I6271">
        <v>-62.560099999999998</v>
      </c>
      <c r="J6271">
        <v>-268.95740000000001</v>
      </c>
      <c r="K6271">
        <v>1.111472</v>
      </c>
      <c r="L6271">
        <v>-63.635959999999997</v>
      </c>
      <c r="M6271">
        <v>0.9997568</v>
      </c>
      <c r="N6271">
        <v>0</v>
      </c>
      <c r="O6271">
        <v>-2.0761849999999998E-2</v>
      </c>
      <c r="P6271">
        <v>0.98522169999999998</v>
      </c>
      <c r="Q6271">
        <v>0.1712697</v>
      </c>
      <c r="R6271">
        <v>2.2194340000000002E-3</v>
      </c>
      <c r="S6271">
        <v>3.0767820000000001</v>
      </c>
      <c r="T6271">
        <v>-0.18393619999999999</v>
      </c>
      <c r="U6271">
        <v>0.17779539999999999</v>
      </c>
      <c r="V6271">
        <v>-2.3610969999999998E-2</v>
      </c>
      <c r="W6271">
        <v>0.1784799</v>
      </c>
      <c r="X6271">
        <v>0.98366019999999998</v>
      </c>
      <c r="Y6271">
        <v>-7.8229140000000003E-2</v>
      </c>
      <c r="Z6271">
        <v>3.5735210000000001E-3</v>
      </c>
      <c r="AA6271">
        <v>0.99692899999999995</v>
      </c>
      <c r="AB6271">
        <v>26</v>
      </c>
      <c r="AC6271">
        <v>18.4496</v>
      </c>
      <c r="AD6271">
        <v>-1.1114718379688999</v>
      </c>
      <c r="AE6271">
        <v>1.07585999999999</v>
      </c>
      <c r="AF6271">
        <v>-1.4534294450815499</v>
      </c>
      <c r="AG6271">
        <v>-1.1114718379688999</v>
      </c>
      <c r="AH6271">
        <v>18.3568886007488</v>
      </c>
      <c r="AI6271">
        <v>93.454127977063905</v>
      </c>
      <c r="AJ6271">
        <v>94.527020459507597</v>
      </c>
      <c r="AK6271">
        <v>18.4478504411416</v>
      </c>
      <c r="AL6271">
        <v>79.718768908520602</v>
      </c>
      <c r="AM6271">
        <v>91.375016710952295</v>
      </c>
      <c r="AN6271">
        <v>0.99999997083619496</v>
      </c>
    </row>
    <row r="6272" spans="1:40" x14ac:dyDescent="0.25">
      <c r="A6272" t="str">
        <f>"20190312173050400"</f>
        <v>20190312173050400</v>
      </c>
      <c r="B6272" t="str">
        <f>"1552383050394488"</f>
        <v>1552383050394488</v>
      </c>
      <c r="C6272" t="s">
        <v>40</v>
      </c>
      <c r="D6272">
        <v>3.2903910000000001</v>
      </c>
      <c r="E6272">
        <v>0.48258050000000002</v>
      </c>
      <c r="F6272" t="s">
        <v>59</v>
      </c>
      <c r="G6272">
        <v>-250.3349</v>
      </c>
      <c r="H6272" s="1">
        <v>2.3839929999999999E-7</v>
      </c>
      <c r="I6272">
        <v>-62.550139999999999</v>
      </c>
      <c r="J6272">
        <v>-268.82209999999998</v>
      </c>
      <c r="K6272">
        <v>1.1114470000000001</v>
      </c>
      <c r="L6272">
        <v>-63.637120000000003</v>
      </c>
      <c r="M6272">
        <v>0.99978880000000003</v>
      </c>
      <c r="N6272">
        <v>0</v>
      </c>
      <c r="O6272">
        <v>-1.9157239999999999E-2</v>
      </c>
      <c r="P6272">
        <v>0.98521619999999999</v>
      </c>
      <c r="Q6272">
        <v>0.17128679999999999</v>
      </c>
      <c r="R6272">
        <v>3.1466250000000001E-3</v>
      </c>
      <c r="S6272">
        <v>3.076508</v>
      </c>
      <c r="T6272">
        <v>-0.1836199</v>
      </c>
      <c r="U6272">
        <v>0.17938229999999999</v>
      </c>
      <c r="V6272">
        <v>-2.2946709999999999E-2</v>
      </c>
      <c r="W6272">
        <v>0.17849770000000001</v>
      </c>
      <c r="X6272">
        <v>0.98367269999999896</v>
      </c>
      <c r="Y6272">
        <v>-7.7152020000000002E-2</v>
      </c>
      <c r="Z6272">
        <v>3.439943E-3</v>
      </c>
      <c r="AA6272">
        <v>0.99701340000000005</v>
      </c>
      <c r="AB6272">
        <v>26</v>
      </c>
      <c r="AC6272">
        <v>18.487199999999898</v>
      </c>
      <c r="AD6272">
        <v>-1.11144676160069</v>
      </c>
      <c r="AE6272">
        <v>1.0869799999999901</v>
      </c>
      <c r="AF6272">
        <v>-1.4357824402328201</v>
      </c>
      <c r="AG6272">
        <v>-1.11144676160069</v>
      </c>
      <c r="AH6272">
        <v>18.3967191393028</v>
      </c>
      <c r="AI6272">
        <v>93.446893696957602</v>
      </c>
      <c r="AJ6272">
        <v>94.462635665821793</v>
      </c>
      <c r="AK6272">
        <v>18.486104516905201</v>
      </c>
      <c r="AL6272">
        <v>79.717732500414996</v>
      </c>
      <c r="AM6272">
        <v>91.336329888338895</v>
      </c>
      <c r="AN6272">
        <v>0.99999998056520101</v>
      </c>
    </row>
    <row r="6273" spans="1:40" x14ac:dyDescent="0.25">
      <c r="A6273" t="str">
        <f>"20190312173050412"</f>
        <v>20190312173050412</v>
      </c>
      <c r="B6273" t="str">
        <f>"1552383050404248"</f>
        <v>1552383050404248</v>
      </c>
      <c r="C6273" t="s">
        <v>40</v>
      </c>
      <c r="D6273">
        <v>3.284519</v>
      </c>
      <c r="E6273">
        <v>0.48276479999999999</v>
      </c>
      <c r="F6273" t="s">
        <v>59</v>
      </c>
      <c r="G6273">
        <v>-250.13409999999999</v>
      </c>
      <c r="H6273" s="1">
        <v>3.2643139999999999E-7</v>
      </c>
      <c r="I6273">
        <v>-62.541649999999997</v>
      </c>
      <c r="J6273">
        <v>-268.68869999999998</v>
      </c>
      <c r="K6273">
        <v>1.111424</v>
      </c>
      <c r="L6273">
        <v>-63.638060000000003</v>
      </c>
      <c r="M6273">
        <v>0.99981750000000003</v>
      </c>
      <c r="N6273">
        <v>0</v>
      </c>
      <c r="O6273">
        <v>-1.7600190000000002E-2</v>
      </c>
      <c r="P6273">
        <v>0.98523660000000002</v>
      </c>
      <c r="Q6273">
        <v>0.17115639999999999</v>
      </c>
      <c r="R6273">
        <v>3.8317400000000001E-3</v>
      </c>
      <c r="S6273">
        <v>3.0762939999999999</v>
      </c>
      <c r="T6273">
        <v>-0.18295939999999999</v>
      </c>
      <c r="U6273">
        <v>0.1803284</v>
      </c>
      <c r="V6273">
        <v>-2.2088400000000001E-2</v>
      </c>
      <c r="W6273">
        <v>0.1783691</v>
      </c>
      <c r="X6273">
        <v>0.98371569999999997</v>
      </c>
      <c r="Y6273">
        <v>-7.5914980000000007E-2</v>
      </c>
      <c r="Z6273">
        <v>3.2986180000000001E-3</v>
      </c>
      <c r="AA6273">
        <v>0.99710880000000002</v>
      </c>
      <c r="AB6273">
        <v>26</v>
      </c>
      <c r="AC6273">
        <v>18.554599999999901</v>
      </c>
      <c r="AD6273">
        <v>-1.1114236735686001</v>
      </c>
      <c r="AE6273">
        <v>1.0964099999999899</v>
      </c>
      <c r="AF6273">
        <v>-1.4177444511973301</v>
      </c>
      <c r="AG6273">
        <v>-1.1114236735686001</v>
      </c>
      <c r="AH6273">
        <v>18.466400810095202</v>
      </c>
      <c r="AI6273">
        <v>93.434182234225602</v>
      </c>
      <c r="AJ6273">
        <v>94.390229432169406</v>
      </c>
      <c r="AK6273">
        <v>18.554062110226798</v>
      </c>
      <c r="AL6273">
        <v>79.725221174396097</v>
      </c>
      <c r="AM6273">
        <v>91.286306060438505</v>
      </c>
      <c r="AN6273">
        <v>1.0000000058379299</v>
      </c>
    </row>
    <row r="6274" spans="1:40" x14ac:dyDescent="0.25">
      <c r="A6274" t="str">
        <f>"20190312173050422"</f>
        <v>20190312173050422</v>
      </c>
      <c r="B6274" t="str">
        <f>"1552383050414008"</f>
        <v>1552383050414008</v>
      </c>
      <c r="C6274" t="s">
        <v>40</v>
      </c>
      <c r="D6274">
        <v>3.143624</v>
      </c>
      <c r="E6274">
        <v>0.4829908</v>
      </c>
      <c r="F6274" t="s">
        <v>59</v>
      </c>
      <c r="G6274">
        <v>-250.00290000000001</v>
      </c>
      <c r="H6274" s="1">
        <v>3.8375599999999999E-7</v>
      </c>
      <c r="I6274">
        <v>-62.537059999999997</v>
      </c>
      <c r="J6274">
        <v>-268.56279999999998</v>
      </c>
      <c r="K6274">
        <v>1.1113999999999999</v>
      </c>
      <c r="L6274">
        <v>-63.638820000000003</v>
      </c>
      <c r="M6274">
        <v>0.99984229999999996</v>
      </c>
      <c r="N6274">
        <v>0</v>
      </c>
      <c r="O6274">
        <v>-1.6138380000000001E-2</v>
      </c>
      <c r="P6274">
        <v>0.98520719999999995</v>
      </c>
      <c r="Q6274">
        <v>0.1713064</v>
      </c>
      <c r="R6274">
        <v>4.6193060000000001E-3</v>
      </c>
      <c r="S6274">
        <v>3.0760190000000001</v>
      </c>
      <c r="T6274">
        <v>-0.18296000000000001</v>
      </c>
      <c r="U6274">
        <v>0.18124390000000001</v>
      </c>
      <c r="V6274">
        <v>-2.1427809999999999E-2</v>
      </c>
      <c r="W6274">
        <v>0.1785207</v>
      </c>
      <c r="X6274">
        <v>0.98370279999999999</v>
      </c>
      <c r="Y6274">
        <v>-7.4762640000000005E-2</v>
      </c>
      <c r="Z6274">
        <v>3.1778739999999998E-3</v>
      </c>
      <c r="AA6274">
        <v>0.99719630000000004</v>
      </c>
      <c r="AB6274">
        <v>26</v>
      </c>
      <c r="AC6274">
        <v>18.559899999999899</v>
      </c>
      <c r="AD6274">
        <v>-1.1113996162440001</v>
      </c>
      <c r="AE6274">
        <v>1.1017599999999901</v>
      </c>
      <c r="AF6274">
        <v>-1.3961626367033</v>
      </c>
      <c r="AG6274">
        <v>-1.1113996162440001</v>
      </c>
      <c r="AH6274">
        <v>18.4736908347084</v>
      </c>
      <c r="AI6274">
        <v>93.433067030549495</v>
      </c>
      <c r="AJ6274">
        <v>94.321954197921997</v>
      </c>
      <c r="AK6274">
        <v>18.559680284732799</v>
      </c>
      <c r="AL6274">
        <v>79.716393336276596</v>
      </c>
      <c r="AM6274">
        <v>91.247865667747305</v>
      </c>
      <c r="AN6274">
        <v>0.99999999504886306</v>
      </c>
    </row>
    <row r="6275" spans="1:40" x14ac:dyDescent="0.25">
      <c r="A6275" t="str">
        <f>"20190312173050433"</f>
        <v>20190312173050433</v>
      </c>
      <c r="B6275" t="str">
        <f>"1552383050424386"</f>
        <v>1552383050424386</v>
      </c>
      <c r="C6275" t="s">
        <v>40</v>
      </c>
      <c r="D6275">
        <v>3.1404070000000002</v>
      </c>
      <c r="E6275">
        <v>0.48321350000000002</v>
      </c>
      <c r="F6275" t="s">
        <v>60</v>
      </c>
      <c r="G6275">
        <v>-249.77510000000001</v>
      </c>
      <c r="H6275" s="1">
        <v>-3.5807240000000001E-6</v>
      </c>
      <c r="I6275">
        <v>-62.526670000000003</v>
      </c>
      <c r="J6275">
        <v>-268.4341</v>
      </c>
      <c r="K6275">
        <v>1.1113820000000001</v>
      </c>
      <c r="L6275">
        <v>-63.6393699999999</v>
      </c>
      <c r="M6275">
        <v>0.99986459999999999</v>
      </c>
      <c r="N6275">
        <v>0</v>
      </c>
      <c r="O6275">
        <v>-1.467443E-2</v>
      </c>
      <c r="P6275">
        <v>0.98527569999999998</v>
      </c>
      <c r="Q6275">
        <v>0.17089489999999999</v>
      </c>
      <c r="R6275">
        <v>5.1557080000000002E-3</v>
      </c>
      <c r="S6275">
        <v>3.0758670000000001</v>
      </c>
      <c r="T6275">
        <v>-0.1819559</v>
      </c>
      <c r="U6275">
        <v>0.1820679</v>
      </c>
      <c r="V6275">
        <v>-2.0513719999999999E-2</v>
      </c>
      <c r="W6275">
        <v>0.17811250000000001</v>
      </c>
      <c r="X6275">
        <v>0.98379629999999996</v>
      </c>
      <c r="Y6275">
        <v>-7.3578009999999999E-2</v>
      </c>
      <c r="Z6275">
        <v>3.0391540000000001E-3</v>
      </c>
      <c r="AA6275">
        <v>0.99728479999999997</v>
      </c>
      <c r="AB6275">
        <v>26</v>
      </c>
      <c r="AC6275">
        <v>18.658999999999899</v>
      </c>
      <c r="AD6275">
        <v>-1.1113855807239901</v>
      </c>
      <c r="AE6275">
        <v>1.11269999999999</v>
      </c>
      <c r="AF6275">
        <v>-1.3815140670155901</v>
      </c>
      <c r="AG6275">
        <v>-1.1113855807239901</v>
      </c>
      <c r="AH6275">
        <v>18.574996193698301</v>
      </c>
      <c r="AI6275">
        <v>93.414649942411003</v>
      </c>
      <c r="AJ6275">
        <v>94.253538204186697</v>
      </c>
      <c r="AK6275">
        <v>18.6594277142229</v>
      </c>
      <c r="AL6275">
        <v>79.740162651079999</v>
      </c>
      <c r="AM6275">
        <v>91.194535169061396</v>
      </c>
      <c r="AN6275">
        <v>1.00000001762908</v>
      </c>
    </row>
    <row r="6276" spans="1:40" x14ac:dyDescent="0.25">
      <c r="A6276" t="str">
        <f>"20190312173050443"</f>
        <v>20190312173050443</v>
      </c>
      <c r="B6276" t="str">
        <f>"1552383050434147"</f>
        <v>1552383050434147</v>
      </c>
      <c r="C6276" t="s">
        <v>40</v>
      </c>
      <c r="D6276">
        <v>3.1848890000000001</v>
      </c>
      <c r="E6276">
        <v>0.48341250000000002</v>
      </c>
      <c r="F6276" t="s">
        <v>60</v>
      </c>
      <c r="G6276">
        <v>-249.7773</v>
      </c>
      <c r="H6276" s="1">
        <v>-3.5830650000000001E-6</v>
      </c>
      <c r="I6276">
        <v>-62.535809999999998</v>
      </c>
      <c r="J6276">
        <v>-268.30939999999998</v>
      </c>
      <c r="K6276">
        <v>1.111362</v>
      </c>
      <c r="L6276">
        <v>-63.639830000000003</v>
      </c>
      <c r="M6276">
        <v>0.99988449999999995</v>
      </c>
      <c r="N6276">
        <v>0</v>
      </c>
      <c r="O6276">
        <v>-1.3260900000000001E-2</v>
      </c>
      <c r="P6276">
        <v>0.98530569999999895</v>
      </c>
      <c r="Q6276">
        <v>0.17070109999999999</v>
      </c>
      <c r="R6276">
        <v>5.8139690000000004E-3</v>
      </c>
      <c r="S6276">
        <v>3.075653</v>
      </c>
      <c r="T6276">
        <v>-0.1832163</v>
      </c>
      <c r="U6276">
        <v>0.1819153</v>
      </c>
      <c r="V6276">
        <v>-1.9771339999999998E-2</v>
      </c>
      <c r="W6276">
        <v>0.1779211</v>
      </c>
      <c r="X6276">
        <v>0.98384609999999995</v>
      </c>
      <c r="Y6276">
        <v>-7.2125770000000006E-2</v>
      </c>
      <c r="Z6276">
        <v>2.9331370000000002E-3</v>
      </c>
      <c r="AA6276">
        <v>0.99739120000000003</v>
      </c>
      <c r="AB6276">
        <v>26</v>
      </c>
      <c r="AC6276">
        <v>18.5320999999999</v>
      </c>
      <c r="AD6276">
        <v>-1.111365583065</v>
      </c>
      <c r="AE6276">
        <v>1.10402</v>
      </c>
      <c r="AF6276">
        <v>-1.3448624970798999</v>
      </c>
      <c r="AG6276">
        <v>-1.111365583065</v>
      </c>
      <c r="AH6276">
        <v>18.4497123072858</v>
      </c>
      <c r="AI6276">
        <v>93.438092321141596</v>
      </c>
      <c r="AJ6276">
        <v>94.169111226242194</v>
      </c>
      <c r="AK6276">
        <v>18.532017505303799</v>
      </c>
      <c r="AL6276">
        <v>79.751306741227395</v>
      </c>
      <c r="AM6276">
        <v>91.151259205424495</v>
      </c>
      <c r="AN6276">
        <v>0.99999998609790697</v>
      </c>
    </row>
    <row r="6277" spans="1:40" x14ac:dyDescent="0.25">
      <c r="A6277" t="str">
        <f>"20190312173050454"</f>
        <v>20190312173050454</v>
      </c>
      <c r="B6277" t="str">
        <f>"1552383050443907"</f>
        <v>1552383050443907</v>
      </c>
      <c r="C6277" t="s">
        <v>40</v>
      </c>
      <c r="D6277">
        <v>3.1765430000000001</v>
      </c>
      <c r="E6277">
        <v>0.48360989999999998</v>
      </c>
      <c r="F6277" t="s">
        <v>60</v>
      </c>
      <c r="G6277">
        <v>-249.7176</v>
      </c>
      <c r="H6277" s="1">
        <v>-3.5631039999999999E-6</v>
      </c>
      <c r="I6277">
        <v>-62.537660000000002</v>
      </c>
      <c r="J6277">
        <v>-268.1825</v>
      </c>
      <c r="K6277">
        <v>1.1113440000000001</v>
      </c>
      <c r="L6277">
        <v>-63.640009999999997</v>
      </c>
      <c r="M6277">
        <v>0.99990230000000002</v>
      </c>
      <c r="N6277">
        <v>0</v>
      </c>
      <c r="O6277">
        <v>-1.1849520000000001E-2</v>
      </c>
      <c r="P6277">
        <v>0.98533709999999997</v>
      </c>
      <c r="Q6277">
        <v>0.170496799999999</v>
      </c>
      <c r="R6277">
        <v>6.4879200000000003E-3</v>
      </c>
      <c r="S6277">
        <v>3.0754700000000001</v>
      </c>
      <c r="T6277">
        <v>-0.18384339999999999</v>
      </c>
      <c r="U6277">
        <v>0.182312</v>
      </c>
      <c r="V6277">
        <v>-1.9047229999999998E-2</v>
      </c>
      <c r="W6277">
        <v>0.17771970000000001</v>
      </c>
      <c r="X6277">
        <v>0.98389680000000002</v>
      </c>
      <c r="Y6277">
        <v>-7.0853319999999997E-2</v>
      </c>
      <c r="Z6277">
        <v>2.821123E-3</v>
      </c>
      <c r="AA6277">
        <v>0.9974828</v>
      </c>
      <c r="AB6277">
        <v>26</v>
      </c>
      <c r="AC6277">
        <v>18.4649</v>
      </c>
      <c r="AD6277">
        <v>-1.111347563104</v>
      </c>
      <c r="AE6277">
        <v>1.1023499999999999</v>
      </c>
      <c r="AF6277">
        <v>-1.3163273847846699</v>
      </c>
      <c r="AG6277">
        <v>-1.111347563104</v>
      </c>
      <c r="AH6277">
        <v>18.3841810665587</v>
      </c>
      <c r="AI6277">
        <v>93.450581900366899</v>
      </c>
      <c r="AJ6277">
        <v>94.0954510129135</v>
      </c>
      <c r="AK6277">
        <v>18.464721083134901</v>
      </c>
      <c r="AL6277">
        <v>79.763033146283604</v>
      </c>
      <c r="AM6277">
        <v>91.109048824101393</v>
      </c>
      <c r="AN6277">
        <v>1.0000000008945</v>
      </c>
    </row>
    <row r="6278" spans="1:40" x14ac:dyDescent="0.25">
      <c r="A6278" t="str">
        <f>"20190312173050466"</f>
        <v>20190312173050466</v>
      </c>
      <c r="B6278" t="str">
        <f>"1552383050464402"</f>
        <v>1552383050464402</v>
      </c>
      <c r="C6278" t="s">
        <v>40</v>
      </c>
      <c r="D6278">
        <v>3.1575829999999998</v>
      </c>
      <c r="E6278">
        <v>0.48396169999999999</v>
      </c>
      <c r="F6278" t="s">
        <v>60</v>
      </c>
      <c r="G6278">
        <v>-249.6705</v>
      </c>
      <c r="H6278" s="1">
        <v>-3.5474210000000001E-6</v>
      </c>
      <c r="I6278">
        <v>-62.5396</v>
      </c>
      <c r="J6278">
        <v>-268.0498</v>
      </c>
      <c r="K6278">
        <v>1.111326</v>
      </c>
      <c r="L6278">
        <v>-63.64011</v>
      </c>
      <c r="M6278">
        <v>0.99991850000000004</v>
      </c>
      <c r="N6278">
        <v>0</v>
      </c>
      <c r="O6278">
        <v>-1.0381390000000001E-2</v>
      </c>
      <c r="P6278">
        <v>0.98537140000000001</v>
      </c>
      <c r="Q6278">
        <v>0.17027400000000001</v>
      </c>
      <c r="R6278">
        <v>7.0867780000000002E-3</v>
      </c>
      <c r="S6278">
        <v>3.0753780000000002</v>
      </c>
      <c r="T6278">
        <v>-0.18462729999999999</v>
      </c>
      <c r="U6278">
        <v>0.1828003</v>
      </c>
      <c r="V6278">
        <v>-1.819221E-2</v>
      </c>
      <c r="W6278">
        <v>0.17750060000000001</v>
      </c>
      <c r="X6278">
        <v>0.98395250000000001</v>
      </c>
      <c r="Y6278">
        <v>-6.9551959999999996E-2</v>
      </c>
      <c r="Z6278">
        <v>2.7062150000000001E-3</v>
      </c>
      <c r="AA6278">
        <v>0.99757470000000004</v>
      </c>
      <c r="AB6278">
        <v>26</v>
      </c>
      <c r="AC6278">
        <v>18.379300000000001</v>
      </c>
      <c r="AD6278">
        <v>-1.1113295474210001</v>
      </c>
      <c r="AE6278">
        <v>1.1005100000000001</v>
      </c>
      <c r="AF6278">
        <v>-1.2865715074258499</v>
      </c>
      <c r="AG6278">
        <v>-1.1113295474210001</v>
      </c>
      <c r="AH6278">
        <v>18.300214502911999</v>
      </c>
      <c r="AI6278">
        <v>93.466636318118603</v>
      </c>
      <c r="AJ6278">
        <v>94.021484457369098</v>
      </c>
      <c r="AK6278">
        <v>18.379014403914098</v>
      </c>
      <c r="AL6278">
        <v>79.7757891550702</v>
      </c>
      <c r="AM6278">
        <v>91.059215873349402</v>
      </c>
      <c r="AN6278">
        <v>0.99999997088064596</v>
      </c>
    </row>
    <row r="6279" spans="1:40" x14ac:dyDescent="0.25">
      <c r="A6279" t="str">
        <f>"20190312173050477"</f>
        <v>20190312173050477</v>
      </c>
      <c r="B6279" t="str">
        <f>"1552383050474162"</f>
        <v>1552383050474162</v>
      </c>
      <c r="C6279" t="s">
        <v>40</v>
      </c>
      <c r="D6279">
        <v>3.1452040000000001</v>
      </c>
      <c r="E6279">
        <v>0.48405870000000001</v>
      </c>
      <c r="F6279" t="s">
        <v>60</v>
      </c>
      <c r="G6279">
        <v>-249.5686</v>
      </c>
      <c r="H6279" s="1">
        <v>-3.5140780000000002E-6</v>
      </c>
      <c r="I6279">
        <v>-62.547130000000003</v>
      </c>
      <c r="J6279">
        <v>-267.91699999999997</v>
      </c>
      <c r="K6279">
        <v>1.11131</v>
      </c>
      <c r="L6279">
        <v>-63.640009999999997</v>
      </c>
      <c r="M6279">
        <v>0.9999325</v>
      </c>
      <c r="N6279">
        <v>0</v>
      </c>
      <c r="O6279">
        <v>-8.9308990000000008E-3</v>
      </c>
      <c r="P6279">
        <v>0.9853653</v>
      </c>
      <c r="Q6279">
        <v>0.17028670000000001</v>
      </c>
      <c r="R6279">
        <v>7.60729099999999E-3</v>
      </c>
      <c r="S6279">
        <v>3.0751650000000001</v>
      </c>
      <c r="T6279">
        <v>-0.1849189</v>
      </c>
      <c r="U6279">
        <v>0.18185419999999999</v>
      </c>
      <c r="V6279">
        <v>-1.7277239999999999E-2</v>
      </c>
      <c r="W6279">
        <v>0.17751700000000001</v>
      </c>
      <c r="X6279">
        <v>0.98396609999999995</v>
      </c>
      <c r="Y6279">
        <v>-6.7808350000000003E-2</v>
      </c>
      <c r="Z6279">
        <v>2.5712819999999998E-3</v>
      </c>
      <c r="AA6279">
        <v>0.997695</v>
      </c>
      <c r="AB6279">
        <v>26</v>
      </c>
      <c r="AC6279">
        <v>18.348400000000002</v>
      </c>
      <c r="AD6279">
        <v>-1.1113135140779999</v>
      </c>
      <c r="AE6279">
        <v>1.0928799999999901</v>
      </c>
      <c r="AF6279">
        <v>-1.2521315627318701</v>
      </c>
      <c r="AG6279">
        <v>-1.1113135140779999</v>
      </c>
      <c r="AH6279">
        <v>18.2711186907853</v>
      </c>
      <c r="AI6279">
        <v>93.472517557026805</v>
      </c>
      <c r="AJ6279">
        <v>93.920387137120599</v>
      </c>
      <c r="AK6279">
        <v>18.347660052162599</v>
      </c>
      <c r="AL6279">
        <v>79.774835025756502</v>
      </c>
      <c r="AM6279">
        <v>91.005940366135405</v>
      </c>
      <c r="AN6279">
        <v>1.0000000371301101</v>
      </c>
    </row>
    <row r="6280" spans="1:40" x14ac:dyDescent="0.25">
      <c r="A6280" t="str">
        <f>"20190312173050488"</f>
        <v>20190312173050488</v>
      </c>
      <c r="B6280" t="str">
        <f>"1552383050483925"</f>
        <v>1552383050483925</v>
      </c>
      <c r="C6280" t="s">
        <v>40</v>
      </c>
      <c r="D6280">
        <v>3.1693880000000001</v>
      </c>
      <c r="E6280">
        <v>0.48405870000000001</v>
      </c>
      <c r="F6280" t="s">
        <v>60</v>
      </c>
      <c r="G6280">
        <v>-249.32169999999999</v>
      </c>
      <c r="H6280" s="1">
        <v>-3.4276579999999999E-6</v>
      </c>
      <c r="I6280">
        <v>-62.533569999999997</v>
      </c>
      <c r="J6280">
        <v>-267.7833</v>
      </c>
      <c r="K6280">
        <v>1.111294</v>
      </c>
      <c r="L6280">
        <v>-63.639740000000003</v>
      </c>
      <c r="M6280">
        <v>0.99994450000000001</v>
      </c>
      <c r="N6280">
        <v>0</v>
      </c>
      <c r="O6280">
        <v>-7.4814819999999898E-3</v>
      </c>
      <c r="P6280">
        <v>0.98531440000000003</v>
      </c>
      <c r="Q6280">
        <v>0.17056250000000001</v>
      </c>
      <c r="R6280">
        <v>8.0239059999999904E-3</v>
      </c>
      <c r="S6280">
        <v>3.0749209999999998</v>
      </c>
      <c r="T6280">
        <v>-0.18376709999999999</v>
      </c>
      <c r="U6280">
        <v>0.1829529</v>
      </c>
      <c r="V6280">
        <v>-1.626153E-2</v>
      </c>
      <c r="W6280">
        <v>0.17779619999999999</v>
      </c>
      <c r="X6280">
        <v>0.98393299999999995</v>
      </c>
      <c r="Y6280">
        <v>-6.6728229999999999E-2</v>
      </c>
      <c r="Z6280">
        <v>2.4367719999999998E-3</v>
      </c>
      <c r="AA6280">
        <v>0.99776819999999999</v>
      </c>
      <c r="AB6280">
        <v>26</v>
      </c>
      <c r="AC6280">
        <v>18.461600000000001</v>
      </c>
      <c r="AD6280">
        <v>-1.1112974276580001</v>
      </c>
      <c r="AE6280">
        <v>1.1061700000000001</v>
      </c>
      <c r="AF6280">
        <v>-1.23978673672108</v>
      </c>
      <c r="AG6280">
        <v>-1.1112974276580001</v>
      </c>
      <c r="AH6280">
        <v>18.3864233628539</v>
      </c>
      <c r="AI6280">
        <v>93.451000230296003</v>
      </c>
      <c r="AJ6280">
        <v>93.857584505734906</v>
      </c>
      <c r="AK6280">
        <v>18.461652613007502</v>
      </c>
      <c r="AL6280">
        <v>79.758579461613195</v>
      </c>
      <c r="AM6280">
        <v>90.946845181871794</v>
      </c>
      <c r="AN6280">
        <v>1.0000000372906801</v>
      </c>
    </row>
    <row r="6281" spans="1:40" x14ac:dyDescent="0.25">
      <c r="A6281" t="str">
        <f>"20190312173050499"</f>
        <v>20190312173050499</v>
      </c>
      <c r="B6281" t="str">
        <f>"1552383050493682"</f>
        <v>1552383050493682</v>
      </c>
      <c r="C6281" t="s">
        <v>40</v>
      </c>
      <c r="D6281">
        <v>3.1967140000000001</v>
      </c>
      <c r="E6281">
        <v>0.48971740000000002</v>
      </c>
      <c r="F6281" t="s">
        <v>60</v>
      </c>
      <c r="G6281">
        <v>-249.09739999999999</v>
      </c>
      <c r="H6281" s="1">
        <v>-3.3487490000000001E-6</v>
      </c>
      <c r="I6281">
        <v>-62.519150000000003</v>
      </c>
      <c r="J6281">
        <v>-267.6524</v>
      </c>
      <c r="K6281">
        <v>1.111278</v>
      </c>
      <c r="L6281">
        <v>-63.639279999999999</v>
      </c>
      <c r="M6281">
        <v>0.99995400000000001</v>
      </c>
      <c r="N6281">
        <v>0</v>
      </c>
      <c r="O6281">
        <v>-6.0733069999999896E-3</v>
      </c>
      <c r="P6281">
        <v>0.98527810000000005</v>
      </c>
      <c r="Q6281">
        <v>0.1707553</v>
      </c>
      <c r="R6281">
        <v>8.3677409999999997E-3</v>
      </c>
      <c r="S6281">
        <v>3.0748600000000001</v>
      </c>
      <c r="T6281">
        <v>-0.18286920000000001</v>
      </c>
      <c r="U6281">
        <v>0.1843872</v>
      </c>
      <c r="V6281">
        <v>-1.521377E-2</v>
      </c>
      <c r="W6281">
        <v>0.17799379999999901</v>
      </c>
      <c r="X6281">
        <v>0.98391399999999996</v>
      </c>
      <c r="Y6281">
        <v>-6.5793480000000001E-2</v>
      </c>
      <c r="Z6281">
        <v>2.3135479999999999E-3</v>
      </c>
      <c r="AA6281">
        <v>0.99783060000000001</v>
      </c>
      <c r="AB6281">
        <v>26</v>
      </c>
      <c r="AC6281">
        <v>18.555</v>
      </c>
      <c r="AD6281">
        <v>-1.1112813487490001</v>
      </c>
      <c r="AE6281">
        <v>1.1201300000000001</v>
      </c>
      <c r="AF6281">
        <v>-1.22841239489313</v>
      </c>
      <c r="AG6281">
        <v>-1.1112813487490001</v>
      </c>
      <c r="AH6281">
        <v>18.481801988982902</v>
      </c>
      <c r="AI6281">
        <v>93.433403811801696</v>
      </c>
      <c r="AJ6281">
        <v>93.802631115455796</v>
      </c>
      <c r="AK6281">
        <v>18.5558871522753</v>
      </c>
      <c r="AL6281">
        <v>79.747073973363797</v>
      </c>
      <c r="AM6281">
        <v>90.885865381926394</v>
      </c>
      <c r="AN6281">
        <v>1.0000000055160201</v>
      </c>
    </row>
    <row r="6282" spans="1:40" x14ac:dyDescent="0.25">
      <c r="A6282" t="str">
        <f>"20190312173050511"</f>
        <v>20190312173050511</v>
      </c>
      <c r="B6282" t="str">
        <f>"1552383050504418"</f>
        <v>1552383050504418</v>
      </c>
      <c r="C6282" t="s">
        <v>40</v>
      </c>
      <c r="D6282">
        <v>3.1647560000000001</v>
      </c>
      <c r="E6282">
        <v>0.48914380000000002</v>
      </c>
      <c r="F6282" t="s">
        <v>60</v>
      </c>
      <c r="G6282">
        <v>-249.69139999999999</v>
      </c>
      <c r="H6282" s="1">
        <v>-3.6035439999999998E-6</v>
      </c>
      <c r="I6282">
        <v>-62.815950000000001</v>
      </c>
      <c r="J6282">
        <v>-267.52379999999999</v>
      </c>
      <c r="K6282">
        <v>1.1112660000000001</v>
      </c>
      <c r="L6282">
        <v>-63.638669999999998</v>
      </c>
      <c r="M6282">
        <v>0.99996149999999995</v>
      </c>
      <c r="N6282">
        <v>0</v>
      </c>
      <c r="O6282">
        <v>-4.7035109999999996E-3</v>
      </c>
      <c r="P6282">
        <v>0.985236</v>
      </c>
      <c r="Q6282">
        <v>0.1709735</v>
      </c>
      <c r="R6282">
        <v>8.8453500000000001E-3</v>
      </c>
      <c r="S6282">
        <v>3.0765989999999999</v>
      </c>
      <c r="T6282">
        <v>-0.19035540000000001</v>
      </c>
      <c r="U6282">
        <v>0.1410217</v>
      </c>
      <c r="V6282">
        <v>-1.433866E-2</v>
      </c>
      <c r="W6282">
        <v>0.17821479999999901</v>
      </c>
      <c r="X6282">
        <v>0.98388710000000001</v>
      </c>
      <c r="Y6282">
        <v>-5.0381889999999999E-2</v>
      </c>
      <c r="Z6282">
        <v>1.846912E-3</v>
      </c>
      <c r="AA6282">
        <v>0.99872830000000001</v>
      </c>
      <c r="AB6282">
        <v>26</v>
      </c>
      <c r="AC6282">
        <v>17.8324</v>
      </c>
      <c r="AD6282">
        <v>-1.111269603544</v>
      </c>
      <c r="AE6282">
        <v>0.82271999999999601</v>
      </c>
      <c r="AF6282">
        <v>-0.90308842779572296</v>
      </c>
      <c r="AG6282">
        <v>-1.111269603544</v>
      </c>
      <c r="AH6282">
        <v>17.759511026708299</v>
      </c>
      <c r="AI6282">
        <v>93.575904299774606</v>
      </c>
      <c r="AJ6282">
        <v>92.911038761633307</v>
      </c>
      <c r="AK6282">
        <v>17.817146818386799</v>
      </c>
      <c r="AL6282">
        <v>79.734205485162406</v>
      </c>
      <c r="AM6282">
        <v>90.834939849965295</v>
      </c>
      <c r="AN6282">
        <v>0.999999968828022</v>
      </c>
    </row>
    <row r="6283" spans="1:40" x14ac:dyDescent="0.25">
      <c r="A6283" t="str">
        <f>"20190312173050521"</f>
        <v>20190312173050521</v>
      </c>
      <c r="B6283" t="str">
        <f>"1552383050514180"</f>
        <v>1552383050514180</v>
      </c>
      <c r="C6283" t="s">
        <v>40</v>
      </c>
      <c r="D6283">
        <v>3.1881270000000002</v>
      </c>
      <c r="E6283">
        <v>0.48908879999999999</v>
      </c>
      <c r="F6283" t="s">
        <v>60</v>
      </c>
      <c r="G6283">
        <v>-249.48670000000001</v>
      </c>
      <c r="H6283" s="1">
        <v>-3.5265999999999998E-6</v>
      </c>
      <c r="I6283">
        <v>-62.774979999999999</v>
      </c>
      <c r="J6283">
        <v>-267.3861</v>
      </c>
      <c r="K6283">
        <v>1.111254</v>
      </c>
      <c r="L6283">
        <v>-63.637909999999998</v>
      </c>
      <c r="M6283">
        <v>0.9999673</v>
      </c>
      <c r="N6283">
        <v>0</v>
      </c>
      <c r="O6283">
        <v>-3.2432350000000001E-3</v>
      </c>
      <c r="P6283">
        <v>0.98522650000000001</v>
      </c>
      <c r="Q6283">
        <v>0.17100789999999999</v>
      </c>
      <c r="R6283">
        <v>9.2478479999999995E-3</v>
      </c>
      <c r="S6283">
        <v>3.0765690000000001</v>
      </c>
      <c r="T6283">
        <v>-0.18954779999999999</v>
      </c>
      <c r="U6283">
        <v>0.147308299999999</v>
      </c>
      <c r="V6283">
        <v>-1.3297979999999999E-2</v>
      </c>
      <c r="W6283">
        <v>0.17825139999999901</v>
      </c>
      <c r="X6283">
        <v>0.98389510000000002</v>
      </c>
      <c r="Y6283">
        <v>-5.0962750000000001E-2</v>
      </c>
      <c r="Z6283">
        <v>1.76705E-3</v>
      </c>
      <c r="AA6283">
        <v>0.998699</v>
      </c>
      <c r="AB6283">
        <v>27</v>
      </c>
      <c r="AC6283">
        <v>17.899399999999901</v>
      </c>
      <c r="AD6283">
        <v>-1.1112575266</v>
      </c>
      <c r="AE6283">
        <v>0.86292999999999098</v>
      </c>
      <c r="AF6283">
        <v>-0.91745102645070897</v>
      </c>
      <c r="AG6283">
        <v>-1.1112575266</v>
      </c>
      <c r="AH6283">
        <v>17.827951058680799</v>
      </c>
      <c r="AI6283">
        <v>93.562062845126903</v>
      </c>
      <c r="AJ6283">
        <v>92.945921380770002</v>
      </c>
      <c r="AK6283">
        <v>17.886096517325299</v>
      </c>
      <c r="AL6283">
        <v>79.732074481657904</v>
      </c>
      <c r="AM6283">
        <v>90.774342448947493</v>
      </c>
      <c r="AN6283">
        <v>0.99999998283902503</v>
      </c>
    </row>
    <row r="6284" spans="1:40" x14ac:dyDescent="0.25">
      <c r="A6284" t="str">
        <f>"20190312173050533"</f>
        <v>20190312173050533</v>
      </c>
      <c r="B6284" t="str">
        <f>"1552383050523703"</f>
        <v>1552383050523703</v>
      </c>
      <c r="C6284" t="s">
        <v>40</v>
      </c>
      <c r="D6284">
        <v>3.18</v>
      </c>
      <c r="E6284">
        <v>0.4891953</v>
      </c>
      <c r="F6284" t="s">
        <v>60</v>
      </c>
      <c r="G6284">
        <v>-249.13919999999999</v>
      </c>
      <c r="H6284" s="1">
        <v>-3.4047389999999998E-6</v>
      </c>
      <c r="I6284">
        <v>-62.754629999999999</v>
      </c>
      <c r="J6284">
        <v>-267.24959999999999</v>
      </c>
      <c r="K6284">
        <v>1.1112500000000001</v>
      </c>
      <c r="L6284">
        <v>-63.636809999999997</v>
      </c>
      <c r="M6284">
        <v>0.99997100000000005</v>
      </c>
      <c r="N6284">
        <v>0</v>
      </c>
      <c r="O6284">
        <v>-1.811085E-3</v>
      </c>
      <c r="P6284">
        <v>0.98522010000000004</v>
      </c>
      <c r="Q6284">
        <v>0.17101910000000001</v>
      </c>
      <c r="R6284">
        <v>9.6906230000000006E-3</v>
      </c>
      <c r="S6284">
        <v>3.076111</v>
      </c>
      <c r="T6284">
        <v>-0.18733820000000001</v>
      </c>
      <c r="U6284">
        <v>0.14889530000000001</v>
      </c>
      <c r="V6284">
        <v>-1.2326790000000001E-2</v>
      </c>
      <c r="W6284">
        <v>0.17826310000000001</v>
      </c>
      <c r="X6284">
        <v>0.98390569999999999</v>
      </c>
      <c r="Y6284">
        <v>-5.0060189999999997E-2</v>
      </c>
      <c r="Z6284">
        <v>1.6321930000000001E-3</v>
      </c>
      <c r="AA6284">
        <v>0.99874479999999999</v>
      </c>
      <c r="AB6284">
        <v>27</v>
      </c>
      <c r="AC6284">
        <v>18.110399999999998</v>
      </c>
      <c r="AD6284">
        <v>-1.1112534047389999</v>
      </c>
      <c r="AE6284">
        <v>0.88217999999999097</v>
      </c>
      <c r="AF6284">
        <v>-0.91155500332487005</v>
      </c>
      <c r="AG6284">
        <v>-1.1112534047389999</v>
      </c>
      <c r="AH6284">
        <v>18.0410081405978</v>
      </c>
      <c r="AI6284">
        <v>93.520256593385398</v>
      </c>
      <c r="AJ6284">
        <v>92.892514457717795</v>
      </c>
      <c r="AK6284">
        <v>18.098170940256601</v>
      </c>
      <c r="AL6284">
        <v>79.731393953900195</v>
      </c>
      <c r="AM6284">
        <v>90.717788394633203</v>
      </c>
      <c r="AN6284">
        <v>1.0000000545329</v>
      </c>
    </row>
    <row r="6285" spans="1:40" x14ac:dyDescent="0.25">
      <c r="A6285" t="str">
        <f>"20190312173050544"</f>
        <v>20190312173050544</v>
      </c>
      <c r="B6285" t="str">
        <f>"1552383050534440"</f>
        <v>1552383050534440</v>
      </c>
      <c r="C6285" t="s">
        <v>40</v>
      </c>
      <c r="D6285">
        <v>3.1802069999999998</v>
      </c>
      <c r="E6285">
        <v>0.4891238</v>
      </c>
      <c r="F6285" t="s">
        <v>60</v>
      </c>
      <c r="G6285">
        <v>-248.89769999999999</v>
      </c>
      <c r="H6285" s="1">
        <v>-3.3210059999999998E-6</v>
      </c>
      <c r="I6285">
        <v>-62.745840000000001</v>
      </c>
      <c r="J6285">
        <v>-267.12430000000001</v>
      </c>
      <c r="K6285">
        <v>1.1112409999999999</v>
      </c>
      <c r="L6285">
        <v>-63.635800000000003</v>
      </c>
      <c r="M6285">
        <v>0.99997250000000004</v>
      </c>
      <c r="N6285">
        <v>0</v>
      </c>
      <c r="O6285">
        <v>-5.0028529999999896E-4</v>
      </c>
      <c r="P6285">
        <v>0.98519959999999995</v>
      </c>
      <c r="Q6285">
        <v>0.1711164</v>
      </c>
      <c r="R6285">
        <v>1.0068860000000001E-2</v>
      </c>
      <c r="S6285">
        <v>3.0758969999999999</v>
      </c>
      <c r="T6285">
        <v>-0.18625349999999999</v>
      </c>
      <c r="U6285">
        <v>0.1493225</v>
      </c>
      <c r="V6285">
        <v>-1.141124E-2</v>
      </c>
      <c r="W6285">
        <v>0.17836070000000001</v>
      </c>
      <c r="X6285">
        <v>0.98389899999999997</v>
      </c>
      <c r="Y6285">
        <v>-4.8898329999999997E-2</v>
      </c>
      <c r="Z6285">
        <v>1.508487E-3</v>
      </c>
      <c r="AA6285">
        <v>0.99880259999999998</v>
      </c>
      <c r="AB6285">
        <v>27</v>
      </c>
      <c r="AC6285">
        <v>18.226600000000001</v>
      </c>
      <c r="AD6285">
        <v>-1.1112443210059999</v>
      </c>
      <c r="AE6285">
        <v>0.88996000000000197</v>
      </c>
      <c r="AF6285">
        <v>-0.89575691256561396</v>
      </c>
      <c r="AG6285">
        <v>-1.1112443210059999</v>
      </c>
      <c r="AH6285">
        <v>18.158814336852199</v>
      </c>
      <c r="AI6285">
        <v>93.497655238855799</v>
      </c>
      <c r="AJ6285">
        <v>92.824056746934502</v>
      </c>
      <c r="AK6285">
        <v>18.214823153345399</v>
      </c>
      <c r="AL6285">
        <v>79.7257102308795</v>
      </c>
      <c r="AM6285">
        <v>90.6644854581332</v>
      </c>
      <c r="AN6285">
        <v>0.99999999895191305</v>
      </c>
    </row>
    <row r="6286" spans="1:40" x14ac:dyDescent="0.25">
      <c r="A6286" t="str">
        <f>"20190312173050554"</f>
        <v>20190312173050554</v>
      </c>
      <c r="B6286" t="str">
        <f>"1552383050544200"</f>
        <v>1552383050544200</v>
      </c>
      <c r="C6286" t="s">
        <v>40</v>
      </c>
      <c r="D6286">
        <v>3.3231570000000001</v>
      </c>
      <c r="E6286">
        <v>0.48924960000000001</v>
      </c>
      <c r="F6286" t="s">
        <v>60</v>
      </c>
      <c r="G6286">
        <v>-248.82239999999999</v>
      </c>
      <c r="H6286" s="1">
        <v>-3.2938909999999999E-6</v>
      </c>
      <c r="I6286">
        <v>-62.737470000000002</v>
      </c>
      <c r="J6286">
        <v>-266.99200000000002</v>
      </c>
      <c r="K6286">
        <v>1.1112340000000001</v>
      </c>
      <c r="L6286">
        <v>-63.634430000000002</v>
      </c>
      <c r="M6286">
        <v>0.99997230000000004</v>
      </c>
      <c r="N6286">
        <v>0</v>
      </c>
      <c r="O6286">
        <v>8.7251009999999999E-4</v>
      </c>
      <c r="P6286">
        <v>0.98521389999999998</v>
      </c>
      <c r="Q6286">
        <v>0.17101369999999999</v>
      </c>
      <c r="R6286">
        <v>1.0392530000000001E-2</v>
      </c>
      <c r="S6286">
        <v>3.075958</v>
      </c>
      <c r="T6286">
        <v>-0.18676380000000001</v>
      </c>
      <c r="U6286">
        <v>0.15097049999999901</v>
      </c>
      <c r="V6286">
        <v>-1.0379279999999999E-2</v>
      </c>
      <c r="W6286">
        <v>0.17825650000000001</v>
      </c>
      <c r="X6286">
        <v>0.98392930000000001</v>
      </c>
      <c r="Y6286">
        <v>-4.8063580000000002E-2</v>
      </c>
      <c r="Z6286">
        <v>1.404031E-3</v>
      </c>
      <c r="AA6286">
        <v>0.99884329999999999</v>
      </c>
      <c r="AB6286">
        <v>27</v>
      </c>
      <c r="AC6286">
        <v>18.169599999999999</v>
      </c>
      <c r="AD6286">
        <v>-1.111237293891</v>
      </c>
      <c r="AE6286">
        <v>0.89696000000000697</v>
      </c>
      <c r="AF6286">
        <v>-0.87783057427837796</v>
      </c>
      <c r="AG6286">
        <v>-1.111237293891</v>
      </c>
      <c r="AH6286">
        <v>18.102827755185199</v>
      </c>
      <c r="AI6286">
        <v>93.508566369098105</v>
      </c>
      <c r="AJ6286">
        <v>92.776175140022204</v>
      </c>
      <c r="AK6286">
        <v>18.158133372524201</v>
      </c>
      <c r="AL6286">
        <v>79.731777574058398</v>
      </c>
      <c r="AM6286">
        <v>90.604379686012805</v>
      </c>
      <c r="AN6286">
        <v>0.99999998832202897</v>
      </c>
    </row>
    <row r="6287" spans="1:40" x14ac:dyDescent="0.25">
      <c r="A6287" t="str">
        <f>"20190312173050566"</f>
        <v>20190312173050566</v>
      </c>
      <c r="B6287" t="str">
        <f>"1552383050563720"</f>
        <v>1552383050563720</v>
      </c>
      <c r="C6287" t="s">
        <v>40</v>
      </c>
      <c r="D6287">
        <v>3.2040730000000002</v>
      </c>
      <c r="E6287">
        <v>0.48951349999999999</v>
      </c>
      <c r="F6287" t="s">
        <v>60</v>
      </c>
      <c r="G6287">
        <v>-248.71629999999999</v>
      </c>
      <c r="H6287" s="1">
        <v>-3.258007E-6</v>
      </c>
      <c r="I6287">
        <v>-62.738630000000001</v>
      </c>
      <c r="J6287">
        <v>-266.85579999999999</v>
      </c>
      <c r="K6287">
        <v>1.111227</v>
      </c>
      <c r="L6287">
        <v>-63.632899999999999</v>
      </c>
      <c r="M6287">
        <v>0.99997020000000003</v>
      </c>
      <c r="N6287">
        <v>0</v>
      </c>
      <c r="O6287">
        <v>2.2816669999999998E-3</v>
      </c>
      <c r="P6287">
        <v>0.98520870000000005</v>
      </c>
      <c r="Q6287">
        <v>0.17101140000000001</v>
      </c>
      <c r="R6287">
        <v>1.091627E-2</v>
      </c>
      <c r="S6287">
        <v>3.0758969999999999</v>
      </c>
      <c r="T6287">
        <v>-0.18702730000000001</v>
      </c>
      <c r="U6287">
        <v>0.1507568</v>
      </c>
      <c r="V6287">
        <v>-9.5127219999999995E-3</v>
      </c>
      <c r="W6287">
        <v>0.17825139999999901</v>
      </c>
      <c r="X6287">
        <v>0.98393900000000001</v>
      </c>
      <c r="Y6287">
        <v>-4.6592790000000002E-2</v>
      </c>
      <c r="Z6287">
        <v>1.2758380000000001E-3</v>
      </c>
      <c r="AA6287">
        <v>0.99891319999999995</v>
      </c>
      <c r="AB6287">
        <v>27</v>
      </c>
      <c r="AC6287">
        <v>18.139500000000002</v>
      </c>
      <c r="AD6287">
        <v>-1.1112302580069999</v>
      </c>
      <c r="AE6287">
        <v>0.89426999999999102</v>
      </c>
      <c r="AF6287">
        <v>-0.84969722025161798</v>
      </c>
      <c r="AG6287">
        <v>-1.1112302580069999</v>
      </c>
      <c r="AH6287">
        <v>18.0738299217284</v>
      </c>
      <c r="AI6287">
        <v>93.5144062324392</v>
      </c>
      <c r="AJ6287">
        <v>92.691640089816005</v>
      </c>
      <c r="AK6287">
        <v>18.127883111162799</v>
      </c>
      <c r="AL6287">
        <v>79.732074707535702</v>
      </c>
      <c r="AM6287">
        <v>90.553918323799394</v>
      </c>
      <c r="AN6287">
        <v>1.0000000046013999</v>
      </c>
    </row>
    <row r="6288" spans="1:40" x14ac:dyDescent="0.25">
      <c r="A6288" t="str">
        <f>"20190312173050577"</f>
        <v>20190312173050577</v>
      </c>
      <c r="B6288" t="str">
        <f>"1552383050574455"</f>
        <v>1552383050574455</v>
      </c>
      <c r="C6288" t="s">
        <v>40</v>
      </c>
      <c r="D6288">
        <v>3.289012</v>
      </c>
      <c r="E6288">
        <v>0.48962929999999999</v>
      </c>
      <c r="F6288" t="s">
        <v>60</v>
      </c>
      <c r="G6288">
        <v>-248.51079999999999</v>
      </c>
      <c r="H6288" s="1">
        <v>-3.187716E-6</v>
      </c>
      <c r="I6288">
        <v>-62.736569999999901</v>
      </c>
      <c r="J6288">
        <v>-266.72710000000001</v>
      </c>
      <c r="K6288">
        <v>1.111221</v>
      </c>
      <c r="L6288">
        <v>-63.63129</v>
      </c>
      <c r="M6288">
        <v>0.99996640000000003</v>
      </c>
      <c r="N6288">
        <v>0</v>
      </c>
      <c r="O6288">
        <v>3.606429E-3</v>
      </c>
      <c r="P6288">
        <v>0.98515730000000001</v>
      </c>
      <c r="Q6288">
        <v>0.1712882</v>
      </c>
      <c r="R6288">
        <v>1.12385E-2</v>
      </c>
      <c r="S6288">
        <v>3.0757140000000001</v>
      </c>
      <c r="T6288">
        <v>-0.18630849999999999</v>
      </c>
      <c r="U6288">
        <v>0.1502686</v>
      </c>
      <c r="V6288">
        <v>-8.5298270000000002E-3</v>
      </c>
      <c r="W6288">
        <v>0.17852489999999999</v>
      </c>
      <c r="X6288">
        <v>0.98389839999999995</v>
      </c>
      <c r="Y6288">
        <v>-4.511983E-2</v>
      </c>
      <c r="Z6288">
        <v>1.1463560000000001E-3</v>
      </c>
      <c r="AA6288">
        <v>0.99898089999999995</v>
      </c>
      <c r="AB6288">
        <v>27</v>
      </c>
      <c r="AC6288">
        <v>18.2163</v>
      </c>
      <c r="AD6288">
        <v>-1.1112241877159901</v>
      </c>
      <c r="AE6288">
        <v>0.89472000000000595</v>
      </c>
      <c r="AF6288">
        <v>-0.82595047813002598</v>
      </c>
      <c r="AG6288">
        <v>-1.1112241877159901</v>
      </c>
      <c r="AH6288">
        <v>18.152023608558899</v>
      </c>
      <c r="AI6288">
        <v>93.499529232257203</v>
      </c>
      <c r="AJ6288">
        <v>92.605266400657797</v>
      </c>
      <c r="AK6288">
        <v>18.204751425750601</v>
      </c>
      <c r="AL6288">
        <v>79.716148605547701</v>
      </c>
      <c r="AM6288">
        <v>90.496708647639906</v>
      </c>
      <c r="AN6288">
        <v>0.99999997969560905</v>
      </c>
    </row>
    <row r="6289" spans="1:40" x14ac:dyDescent="0.25">
      <c r="A6289" t="str">
        <f>"20190312173050591"</f>
        <v>20190312173050591</v>
      </c>
      <c r="B6289" t="str">
        <f>"1552383050584215"</f>
        <v>1552383050584215</v>
      </c>
      <c r="C6289" t="s">
        <v>40</v>
      </c>
      <c r="D6289">
        <v>3.3079809999999998</v>
      </c>
      <c r="E6289">
        <v>0.4897243</v>
      </c>
      <c r="F6289" t="s">
        <v>60</v>
      </c>
      <c r="G6289">
        <v>-248.35</v>
      </c>
      <c r="H6289" s="1">
        <v>-3.1321390000000001E-6</v>
      </c>
      <c r="I6289">
        <v>-62.731780000000001</v>
      </c>
      <c r="J6289">
        <v>-266.57900000000001</v>
      </c>
      <c r="K6289">
        <v>1.1112139999999999</v>
      </c>
      <c r="L6289">
        <v>-63.62921</v>
      </c>
      <c r="M6289">
        <v>0.99995959999999995</v>
      </c>
      <c r="N6289">
        <v>0</v>
      </c>
      <c r="O6289">
        <v>5.1254480000000003E-3</v>
      </c>
      <c r="P6289">
        <v>0.98510160000000002</v>
      </c>
      <c r="Q6289">
        <v>0.1715835</v>
      </c>
      <c r="R6289">
        <v>1.157919E-2</v>
      </c>
      <c r="S6289">
        <v>3.0758359999999998</v>
      </c>
      <c r="T6289">
        <v>-0.1859894</v>
      </c>
      <c r="U6289">
        <v>0.15054319999999999</v>
      </c>
      <c r="V6289">
        <v>-7.3743580000000001E-3</v>
      </c>
      <c r="W6289">
        <v>0.17881529999999901</v>
      </c>
      <c r="X6289">
        <v>0.98385500000000004</v>
      </c>
      <c r="Y6289">
        <v>-4.3694940000000002E-2</v>
      </c>
      <c r="Z6289">
        <v>1.0096230000000001E-3</v>
      </c>
      <c r="AA6289">
        <v>0.99904440000000005</v>
      </c>
      <c r="AB6289">
        <v>27</v>
      </c>
      <c r="AC6289">
        <v>18.228999999999999</v>
      </c>
      <c r="AD6289">
        <v>-1.1112171321390001</v>
      </c>
      <c r="AE6289">
        <v>0.89742999999999196</v>
      </c>
      <c r="AF6289">
        <v>-0.80101452344755497</v>
      </c>
      <c r="AG6289">
        <v>-1.1112171321390001</v>
      </c>
      <c r="AH6289">
        <v>18.166019237667399</v>
      </c>
      <c r="AI6289">
        <v>93.497037178085506</v>
      </c>
      <c r="AJ6289">
        <v>92.524771185356201</v>
      </c>
      <c r="AK6289">
        <v>18.217592670955099</v>
      </c>
      <c r="AL6289">
        <v>79.699237769971006</v>
      </c>
      <c r="AM6289">
        <v>90.429445068449695</v>
      </c>
      <c r="AN6289">
        <v>0.99999997684749997</v>
      </c>
    </row>
    <row r="6290" spans="1:40" x14ac:dyDescent="0.25">
      <c r="A6290" t="str">
        <f>"20190312173050600"</f>
        <v>20190312173050600</v>
      </c>
      <c r="B6290" t="str">
        <f>"1552383050593975"</f>
        <v>1552383050593975</v>
      </c>
      <c r="C6290" t="s">
        <v>40</v>
      </c>
      <c r="D6290">
        <v>3.2045360000000001</v>
      </c>
      <c r="E6290">
        <v>0.48982379999999998</v>
      </c>
      <c r="F6290" t="s">
        <v>60</v>
      </c>
      <c r="G6290">
        <v>-248.14529999999999</v>
      </c>
      <c r="H6290" s="1">
        <v>-3.0610940000000001E-6</v>
      </c>
      <c r="I6290">
        <v>-62.724040000000002</v>
      </c>
      <c r="J6290">
        <v>-266.44720000000001</v>
      </c>
      <c r="K6290">
        <v>1.11121</v>
      </c>
      <c r="L6290">
        <v>-63.627229999999997</v>
      </c>
      <c r="M6290">
        <v>0.99995179999999995</v>
      </c>
      <c r="N6290">
        <v>0</v>
      </c>
      <c r="O6290">
        <v>6.4735840000000001E-3</v>
      </c>
      <c r="P6290">
        <v>0.98507089999999997</v>
      </c>
      <c r="Q6290">
        <v>0.17171639999999999</v>
      </c>
      <c r="R6290">
        <v>1.2194689999999999E-2</v>
      </c>
      <c r="S6290">
        <v>3.0759280000000002</v>
      </c>
      <c r="T6290">
        <v>-0.18542210000000001</v>
      </c>
      <c r="U6290">
        <v>0.15103150000000001</v>
      </c>
      <c r="V6290">
        <v>-6.6620480000000003E-3</v>
      </c>
      <c r="W6290">
        <v>0.17894109999999999</v>
      </c>
      <c r="X6290">
        <v>0.98383719999999997</v>
      </c>
      <c r="Y6290">
        <v>-4.2509789999999999E-2</v>
      </c>
      <c r="Z6290">
        <v>8.8970649999999896E-4</v>
      </c>
      <c r="AA6290">
        <v>0.99909570000000003</v>
      </c>
      <c r="AB6290">
        <v>27</v>
      </c>
      <c r="AC6290">
        <v>18.3019</v>
      </c>
      <c r="AD6290">
        <v>-1.1112130610940001</v>
      </c>
      <c r="AE6290">
        <v>0.90319000000000205</v>
      </c>
      <c r="AF6290">
        <v>-0.78181388263838303</v>
      </c>
      <c r="AG6290">
        <v>-1.1112130610940001</v>
      </c>
      <c r="AH6290">
        <v>18.240285909857501</v>
      </c>
      <c r="AI6290">
        <v>93.483006903547206</v>
      </c>
      <c r="AJ6290">
        <v>92.454305532418005</v>
      </c>
      <c r="AK6290">
        <v>18.290818939773501</v>
      </c>
      <c r="AL6290">
        <v>79.691911710986403</v>
      </c>
      <c r="AM6290">
        <v>90.387972115016794</v>
      </c>
      <c r="AN6290">
        <v>0.99999996812830105</v>
      </c>
    </row>
    <row r="6291" spans="1:40" x14ac:dyDescent="0.25">
      <c r="A6291" t="str">
        <f>"20190312173050612"</f>
        <v>20190312173050612</v>
      </c>
      <c r="B6291" t="str">
        <f>"1552383050603735"</f>
        <v>1552383050603735</v>
      </c>
      <c r="C6291" t="s">
        <v>40</v>
      </c>
      <c r="D6291">
        <v>3.174105</v>
      </c>
      <c r="E6291">
        <v>0.4898788</v>
      </c>
      <c r="F6291" t="s">
        <v>60</v>
      </c>
      <c r="G6291">
        <v>-248.0104</v>
      </c>
      <c r="H6291" s="1">
        <v>-3.0133239999999998E-6</v>
      </c>
      <c r="I6291">
        <v>-62.713470000000001</v>
      </c>
      <c r="J6291">
        <v>-266.3116</v>
      </c>
      <c r="K6291">
        <v>1.1112059999999999</v>
      </c>
      <c r="L6291">
        <v>-63.624940000000002</v>
      </c>
      <c r="M6291">
        <v>0.9999422</v>
      </c>
      <c r="N6291">
        <v>0</v>
      </c>
      <c r="O6291">
        <v>7.8530809999999996E-3</v>
      </c>
      <c r="P6291">
        <v>0.98505929999999997</v>
      </c>
      <c r="Q6291">
        <v>0.17175679999999999</v>
      </c>
      <c r="R6291">
        <v>1.2552290000000001E-2</v>
      </c>
      <c r="S6291">
        <v>3.0758670000000001</v>
      </c>
      <c r="T6291">
        <v>-0.18538760000000001</v>
      </c>
      <c r="U6291">
        <v>0.1524353</v>
      </c>
      <c r="V6291">
        <v>-5.6604169999999896E-3</v>
      </c>
      <c r="W6291">
        <v>0.17897299999999999</v>
      </c>
      <c r="X6291">
        <v>0.98383770000000004</v>
      </c>
      <c r="Y6291">
        <v>-4.159148E-2</v>
      </c>
      <c r="Z6291">
        <v>7.7890570000000001E-4</v>
      </c>
      <c r="AA6291">
        <v>0.99913439999999998</v>
      </c>
      <c r="AB6291">
        <v>27</v>
      </c>
      <c r="AC6291">
        <v>18.301199999999898</v>
      </c>
      <c r="AD6291">
        <v>-1.111209013324</v>
      </c>
      <c r="AE6291">
        <v>0.911470000000008</v>
      </c>
      <c r="AF6291">
        <v>-0.76490425122365102</v>
      </c>
      <c r="AG6291">
        <v>-1.111209013324</v>
      </c>
      <c r="AH6291">
        <v>18.240712868254299</v>
      </c>
      <c r="AI6291">
        <v>93.4830493825757</v>
      </c>
      <c r="AJ6291">
        <v>92.401228734753403</v>
      </c>
      <c r="AK6291">
        <v>18.2905295146677</v>
      </c>
      <c r="AL6291">
        <v>79.6900542921815</v>
      </c>
      <c r="AM6291">
        <v>90.329642202129193</v>
      </c>
      <c r="AN6291">
        <v>0.99999999749545099</v>
      </c>
    </row>
    <row r="6292" spans="1:40" x14ac:dyDescent="0.25">
      <c r="A6292" t="str">
        <f>"20190312173050623"</f>
        <v>20190312173050623</v>
      </c>
      <c r="B6292" t="str">
        <f>"1552383050614472"</f>
        <v>1552383050614472</v>
      </c>
      <c r="C6292" t="s">
        <v>40</v>
      </c>
      <c r="D6292">
        <v>3.3465449999999999</v>
      </c>
      <c r="E6292">
        <v>0.48997800000000002</v>
      </c>
      <c r="F6292" t="s">
        <v>60</v>
      </c>
      <c r="G6292">
        <v>-247.9092</v>
      </c>
      <c r="H6292" s="1">
        <v>-2.977644E-6</v>
      </c>
      <c r="I6292">
        <v>-62.706519999999998</v>
      </c>
      <c r="J6292">
        <v>-266.17829999999998</v>
      </c>
      <c r="K6292">
        <v>1.1112029999999999</v>
      </c>
      <c r="L6292">
        <v>-63.622619999999998</v>
      </c>
      <c r="M6292">
        <v>0.99993069999999895</v>
      </c>
      <c r="N6292">
        <v>0</v>
      </c>
      <c r="O6292">
        <v>9.2090939999999993E-3</v>
      </c>
      <c r="P6292">
        <v>0.98502800000000001</v>
      </c>
      <c r="Q6292">
        <v>0.17192260000000001</v>
      </c>
      <c r="R6292">
        <v>1.2757889999999999E-2</v>
      </c>
      <c r="S6292">
        <v>3.075958</v>
      </c>
      <c r="T6292">
        <v>-0.18573809999999999</v>
      </c>
      <c r="U6292">
        <v>0.15350339999999901</v>
      </c>
      <c r="V6292">
        <v>-4.5315549999999996E-3</v>
      </c>
      <c r="W6292">
        <v>0.17913009999999999</v>
      </c>
      <c r="X6292">
        <v>0.983815</v>
      </c>
      <c r="Y6292">
        <v>-4.058523E-2</v>
      </c>
      <c r="Z6292">
        <v>6.6826470000000003E-4</v>
      </c>
      <c r="AA6292">
        <v>0.99917579999999995</v>
      </c>
      <c r="AB6292">
        <v>27</v>
      </c>
      <c r="AC6292">
        <v>18.269099999999899</v>
      </c>
      <c r="AD6292">
        <v>-1.111205977644</v>
      </c>
      <c r="AE6292">
        <v>0.91610000000000003</v>
      </c>
      <c r="AF6292">
        <v>-0.745065236946579</v>
      </c>
      <c r="AG6292">
        <v>-1.111205977644</v>
      </c>
      <c r="AH6292">
        <v>18.2095628063737</v>
      </c>
      <c r="AI6292">
        <v>93.489129907800802</v>
      </c>
      <c r="AJ6292">
        <v>92.343015892692094</v>
      </c>
      <c r="AK6292">
        <v>18.258643940099301</v>
      </c>
      <c r="AL6292">
        <v>79.680905727793302</v>
      </c>
      <c r="AM6292">
        <v>90.263908499027195</v>
      </c>
      <c r="AN6292">
        <v>1.00000004097086</v>
      </c>
    </row>
    <row r="6293" spans="1:40" x14ac:dyDescent="0.25">
      <c r="A6293" t="str">
        <f>"20190312173050634"</f>
        <v>20190312173050634</v>
      </c>
      <c r="B6293" t="str">
        <f>"1552383050623955"</f>
        <v>1552383050623955</v>
      </c>
      <c r="C6293" t="s">
        <v>40</v>
      </c>
      <c r="D6293">
        <v>3.1976589999999998</v>
      </c>
      <c r="E6293">
        <v>0.49009079999999999</v>
      </c>
      <c r="F6293" t="s">
        <v>60</v>
      </c>
      <c r="G6293">
        <v>-247.7227</v>
      </c>
      <c r="H6293" s="1">
        <v>-2.9135059999999999E-6</v>
      </c>
      <c r="I6293">
        <v>-62.702820000000003</v>
      </c>
      <c r="J6293">
        <v>-266.04039999999998</v>
      </c>
      <c r="K6293">
        <v>1.1112010000000001</v>
      </c>
      <c r="L6293">
        <v>-63.619869999999999</v>
      </c>
      <c r="M6293">
        <v>0.9999169</v>
      </c>
      <c r="N6293">
        <v>0</v>
      </c>
      <c r="O6293">
        <v>1.06026E-2</v>
      </c>
      <c r="P6293">
        <v>0.98505889999999996</v>
      </c>
      <c r="Q6293">
        <v>0.17170070000000001</v>
      </c>
      <c r="R6293">
        <v>1.333283E-2</v>
      </c>
      <c r="S6293">
        <v>3.0759280000000002</v>
      </c>
      <c r="T6293">
        <v>-0.18520049999999999</v>
      </c>
      <c r="U6293">
        <v>0.1532898</v>
      </c>
      <c r="V6293">
        <v>-3.7323349999999998E-3</v>
      </c>
      <c r="W6293">
        <v>0.1788969</v>
      </c>
      <c r="X6293">
        <v>0.98386070000000003</v>
      </c>
      <c r="Y6293">
        <v>-3.9129459999999998E-2</v>
      </c>
      <c r="Z6293">
        <v>5.3881869999999996E-4</v>
      </c>
      <c r="AA6293">
        <v>0.99923399999999996</v>
      </c>
      <c r="AB6293">
        <v>27</v>
      </c>
      <c r="AC6293">
        <v>18.317699999999899</v>
      </c>
      <c r="AD6293">
        <v>-1.1112039135059999</v>
      </c>
      <c r="AE6293">
        <v>0.91705000000000303</v>
      </c>
      <c r="AF6293">
        <v>-0.72013452585208404</v>
      </c>
      <c r="AG6293">
        <v>-1.1112039135059999</v>
      </c>
      <c r="AH6293">
        <v>18.259367554520601</v>
      </c>
      <c r="AI6293">
        <v>93.479835481831302</v>
      </c>
      <c r="AJ6293">
        <v>92.258528170608002</v>
      </c>
      <c r="AK6293">
        <v>18.307317426750298</v>
      </c>
      <c r="AL6293">
        <v>79.694485572853495</v>
      </c>
      <c r="AM6293">
        <v>90.217353958142994</v>
      </c>
      <c r="AN6293">
        <v>0.99999995407932496</v>
      </c>
    </row>
    <row r="6294" spans="1:40" x14ac:dyDescent="0.25">
      <c r="A6294" t="str">
        <f>"20190312173050645"</f>
        <v>20190312173050645</v>
      </c>
      <c r="B6294" t="str">
        <f>"1552383050633715"</f>
        <v>1552383050633715</v>
      </c>
      <c r="C6294" t="s">
        <v>40</v>
      </c>
      <c r="D6294">
        <v>3.2114790000000002</v>
      </c>
      <c r="E6294">
        <v>0.49018529999999999</v>
      </c>
      <c r="F6294" t="s">
        <v>60</v>
      </c>
      <c r="G6294">
        <v>-247.66589999999999</v>
      </c>
      <c r="H6294" s="1">
        <v>-2.8920940000000001E-6</v>
      </c>
      <c r="I6294">
        <v>-62.699890000000003</v>
      </c>
      <c r="J6294">
        <v>-265.91930000000002</v>
      </c>
      <c r="K6294">
        <v>1.111197</v>
      </c>
      <c r="L6294">
        <v>-63.617429999999999</v>
      </c>
      <c r="M6294">
        <v>0.9999034</v>
      </c>
      <c r="N6294">
        <v>0</v>
      </c>
      <c r="O6294">
        <v>1.1826420000000001E-2</v>
      </c>
      <c r="P6294">
        <v>0.9850061</v>
      </c>
      <c r="Q6294">
        <v>0.17196739999999999</v>
      </c>
      <c r="R6294">
        <v>1.380107E-2</v>
      </c>
      <c r="S6294">
        <v>3.0758359999999998</v>
      </c>
      <c r="T6294">
        <v>-0.18601239999999999</v>
      </c>
      <c r="U6294">
        <v>0.15399170000000001</v>
      </c>
      <c r="V6294">
        <v>-2.997048E-3</v>
      </c>
      <c r="W6294">
        <v>0.1791526</v>
      </c>
      <c r="X6294">
        <v>0.98381669999999999</v>
      </c>
      <c r="Y6294">
        <v>-3.8138980000000003E-2</v>
      </c>
      <c r="Z6294">
        <v>4.3740100000000002E-4</v>
      </c>
      <c r="AA6294">
        <v>0.9992723</v>
      </c>
      <c r="AB6294">
        <v>27</v>
      </c>
      <c r="AC6294">
        <v>18.253399999999999</v>
      </c>
      <c r="AD6294">
        <v>-1.1111998920940001</v>
      </c>
      <c r="AE6294">
        <v>0.91754000000000202</v>
      </c>
      <c r="AF6294">
        <v>-0.69901373321123195</v>
      </c>
      <c r="AG6294">
        <v>-1.1111998920940001</v>
      </c>
      <c r="AH6294">
        <v>18.1957128654096</v>
      </c>
      <c r="AI6294">
        <v>93.492104913603896</v>
      </c>
      <c r="AJ6294">
        <v>92.200015575284297</v>
      </c>
      <c r="AK6294">
        <v>18.243008306741501</v>
      </c>
      <c r="AL6294">
        <v>79.679594612177397</v>
      </c>
      <c r="AM6294">
        <v>90.174542341277501</v>
      </c>
      <c r="AN6294">
        <v>0.99999996779118105</v>
      </c>
    </row>
    <row r="6295" spans="1:40" x14ac:dyDescent="0.25">
      <c r="A6295" t="str">
        <f>"20190312173050655"</f>
        <v>20190312173050655</v>
      </c>
      <c r="B6295" t="str">
        <f>"1552383050644452"</f>
        <v>1552383050644452</v>
      </c>
      <c r="C6295" t="s">
        <v>40</v>
      </c>
      <c r="D6295">
        <v>3.2045530000000002</v>
      </c>
      <c r="E6295">
        <v>0.4903129</v>
      </c>
      <c r="F6295" t="s">
        <v>60</v>
      </c>
      <c r="G6295">
        <v>-247.48589999999999</v>
      </c>
      <c r="H6295" s="1">
        <v>-2.8122520000000001E-6</v>
      </c>
      <c r="I6295">
        <v>-62.690119999999901</v>
      </c>
      <c r="J6295">
        <v>-265.79050000000001</v>
      </c>
      <c r="K6295">
        <v>1.111194</v>
      </c>
      <c r="L6295">
        <v>-63.61459</v>
      </c>
      <c r="M6295">
        <v>0.99988730000000003</v>
      </c>
      <c r="N6295">
        <v>0</v>
      </c>
      <c r="O6295">
        <v>1.3121280000000001E-2</v>
      </c>
      <c r="P6295">
        <v>0.98500200000000004</v>
      </c>
      <c r="Q6295">
        <v>0.17194079999999901</v>
      </c>
      <c r="R6295">
        <v>1.4408539999999999E-2</v>
      </c>
      <c r="S6295">
        <v>3.0758670000000001</v>
      </c>
      <c r="T6295">
        <v>-0.18541920000000001</v>
      </c>
      <c r="U6295">
        <v>0.1547241</v>
      </c>
      <c r="V6295">
        <v>-2.3295049999999999E-3</v>
      </c>
      <c r="W6295">
        <v>0.1791151</v>
      </c>
      <c r="X6295">
        <v>0.98382539999999996</v>
      </c>
      <c r="Y6295">
        <v>-3.7086319999999999E-2</v>
      </c>
      <c r="Z6295">
        <v>3.2640039999999999E-4</v>
      </c>
      <c r="AA6295">
        <v>0.99931199999999998</v>
      </c>
      <c r="AB6295">
        <v>27</v>
      </c>
      <c r="AC6295">
        <v>18.304600000000001</v>
      </c>
      <c r="AD6295">
        <v>-1.111196812252</v>
      </c>
      <c r="AE6295">
        <v>0.92447000000000601</v>
      </c>
      <c r="AF6295">
        <v>-0.68169843114907402</v>
      </c>
      <c r="AG6295">
        <v>-1.111196812252</v>
      </c>
      <c r="AH6295">
        <v>18.248077880303001</v>
      </c>
      <c r="AI6295">
        <v>93.482238155769707</v>
      </c>
      <c r="AJ6295">
        <v>92.139419226359394</v>
      </c>
      <c r="AK6295">
        <v>18.294584374404199</v>
      </c>
      <c r="AL6295">
        <v>79.681779195737604</v>
      </c>
      <c r="AM6295">
        <v>90.135664880598796</v>
      </c>
      <c r="AN6295">
        <v>1.0000000316633499</v>
      </c>
    </row>
    <row r="6296" spans="1:40" x14ac:dyDescent="0.25">
      <c r="A6296" t="str">
        <f>"20190312173050667"</f>
        <v>20190312173050667</v>
      </c>
      <c r="B6296" t="str">
        <f>"1552383050663971"</f>
        <v>1552383050663971</v>
      </c>
      <c r="C6296" t="s">
        <v>40</v>
      </c>
      <c r="D6296">
        <v>3.2232069999999999</v>
      </c>
      <c r="E6296">
        <v>0.4904944</v>
      </c>
      <c r="F6296" t="s">
        <v>60</v>
      </c>
      <c r="G6296">
        <v>-247.40960000000001</v>
      </c>
      <c r="H6296" s="1">
        <v>-2.7781620000000002E-6</v>
      </c>
      <c r="I6296">
        <v>-62.685000000000002</v>
      </c>
      <c r="J6296">
        <v>-265.64620000000002</v>
      </c>
      <c r="K6296">
        <v>1.1111850000000001</v>
      </c>
      <c r="L6296">
        <v>-63.611269999999998</v>
      </c>
      <c r="M6296">
        <v>0.99986730000000001</v>
      </c>
      <c r="N6296">
        <v>0</v>
      </c>
      <c r="O6296">
        <v>1.457148E-2</v>
      </c>
      <c r="P6296">
        <v>0.98499300000000001</v>
      </c>
      <c r="Q6296">
        <v>0.1719599</v>
      </c>
      <c r="R6296">
        <v>1.4797390000000001E-2</v>
      </c>
      <c r="S6296">
        <v>3.0758670000000001</v>
      </c>
      <c r="T6296">
        <v>-0.18594769999999999</v>
      </c>
      <c r="U6296">
        <v>0.15554809999999999</v>
      </c>
      <c r="V6296">
        <v>-1.2894530000000001E-3</v>
      </c>
      <c r="W6296">
        <v>0.17912259999999999</v>
      </c>
      <c r="X6296">
        <v>0.98382590000000003</v>
      </c>
      <c r="Y6296">
        <v>-3.590848E-2</v>
      </c>
      <c r="Z6296">
        <v>2.042651E-4</v>
      </c>
      <c r="AA6296">
        <v>0.99935510000000005</v>
      </c>
      <c r="AB6296">
        <v>27</v>
      </c>
      <c r="AC6296">
        <v>18.236599999999999</v>
      </c>
      <c r="AD6296">
        <v>-1.1111877781620001</v>
      </c>
      <c r="AE6296">
        <v>0.92626999999999504</v>
      </c>
      <c r="AF6296">
        <v>-0.65799371928939698</v>
      </c>
      <c r="AG6296">
        <v>-1.1111877781620001</v>
      </c>
      <c r="AH6296">
        <v>18.180835325440601</v>
      </c>
      <c r="AI6296">
        <v>93.495206393266699</v>
      </c>
      <c r="AJ6296">
        <v>92.072721905517099</v>
      </c>
      <c r="AK6296">
        <v>18.226641685833201</v>
      </c>
      <c r="AL6296">
        <v>79.681341926902306</v>
      </c>
      <c r="AM6296">
        <v>90.075094762677494</v>
      </c>
      <c r="AN6296">
        <v>0.99999998501530396</v>
      </c>
    </row>
    <row r="6297" spans="1:40" x14ac:dyDescent="0.25">
      <c r="A6297" t="str">
        <f>"20190312173050678"</f>
        <v>20190312173050678</v>
      </c>
      <c r="B6297" t="str">
        <f>"1552383050673731"</f>
        <v>1552383050673731</v>
      </c>
      <c r="C6297" t="s">
        <v>40</v>
      </c>
      <c r="D6297">
        <v>3.333955</v>
      </c>
      <c r="E6297">
        <v>0.4904944</v>
      </c>
      <c r="F6297" t="s">
        <v>60</v>
      </c>
      <c r="G6297">
        <v>-247.34630000000001</v>
      </c>
      <c r="H6297" s="1">
        <v>-2.7515740000000002E-6</v>
      </c>
      <c r="I6297">
        <v>-62.687080000000002</v>
      </c>
      <c r="J6297">
        <v>-265.50479999999999</v>
      </c>
      <c r="K6297">
        <v>1.111181</v>
      </c>
      <c r="L6297">
        <v>-63.607790000000001</v>
      </c>
      <c r="M6297">
        <v>0.99984600000000001</v>
      </c>
      <c r="N6297">
        <v>0</v>
      </c>
      <c r="O6297">
        <v>1.5987100000000001E-2</v>
      </c>
      <c r="P6297">
        <v>0.98498609999999998</v>
      </c>
      <c r="Q6297">
        <v>0.171961</v>
      </c>
      <c r="R6297">
        <v>1.523746E-2</v>
      </c>
      <c r="S6297">
        <v>3.0759889999999999</v>
      </c>
      <c r="T6297">
        <v>-0.18677740000000001</v>
      </c>
      <c r="U6297">
        <v>0.15533449999999999</v>
      </c>
      <c r="V6297">
        <v>-3.3525329999999998E-4</v>
      </c>
      <c r="W6297">
        <v>0.17911179999999999</v>
      </c>
      <c r="X6297">
        <v>0.9838287</v>
      </c>
      <c r="Y6297">
        <v>-3.4427279999999998E-2</v>
      </c>
      <c r="Z6297" s="1">
        <v>7.4464189999999997E-5</v>
      </c>
      <c r="AA6297">
        <v>0.99940720000000005</v>
      </c>
      <c r="AB6297">
        <v>27</v>
      </c>
      <c r="AC6297">
        <v>18.158499999999901</v>
      </c>
      <c r="AD6297">
        <v>-1.111183751574</v>
      </c>
      <c r="AE6297">
        <v>0.92070999999999903</v>
      </c>
      <c r="AF6297">
        <v>-0.627937585508615</v>
      </c>
      <c r="AG6297">
        <v>-1.111183751574</v>
      </c>
      <c r="AH6297">
        <v>18.103282344362899</v>
      </c>
      <c r="AI6297">
        <v>93.510316070918506</v>
      </c>
      <c r="AJ6297">
        <v>91.986587524441205</v>
      </c>
      <c r="AK6297">
        <v>18.148219377690399</v>
      </c>
      <c r="AL6297">
        <v>79.681971363610501</v>
      </c>
      <c r="AM6297">
        <v>90.019524332248395</v>
      </c>
      <c r="AN6297">
        <v>1.0000000301188501</v>
      </c>
    </row>
    <row r="6298" spans="1:40" x14ac:dyDescent="0.25">
      <c r="A6298" t="str">
        <f>"20190312173050690"</f>
        <v>20190312173050690</v>
      </c>
      <c r="B6298" t="str">
        <f>"1552383050684467"</f>
        <v>1552383050684467</v>
      </c>
      <c r="C6298" t="s">
        <v>40</v>
      </c>
      <c r="D6298">
        <v>3.2089560000000001</v>
      </c>
      <c r="E6298">
        <v>0.49057469999999997</v>
      </c>
      <c r="F6298" t="s">
        <v>60</v>
      </c>
      <c r="G6298">
        <v>-247.20490000000001</v>
      </c>
      <c r="H6298" s="1">
        <v>-2.6877059999999999E-6</v>
      </c>
      <c r="I6298">
        <v>-62.675040000000003</v>
      </c>
      <c r="J6298">
        <v>-265.36759999999998</v>
      </c>
      <c r="K6298">
        <v>1.1111789999999999</v>
      </c>
      <c r="L6298">
        <v>-63.60425</v>
      </c>
      <c r="M6298">
        <v>0.99982329999999997</v>
      </c>
      <c r="N6298">
        <v>0</v>
      </c>
      <c r="O6298">
        <v>1.7355639999999999E-2</v>
      </c>
      <c r="P6298">
        <v>0.98500030000000005</v>
      </c>
      <c r="Q6298">
        <v>0.17182269999999999</v>
      </c>
      <c r="R6298">
        <v>1.5864340000000001E-2</v>
      </c>
      <c r="S6298">
        <v>3.0758969999999999</v>
      </c>
      <c r="T6298">
        <v>-0.1867713</v>
      </c>
      <c r="U6298">
        <v>0.15676880000000001</v>
      </c>
      <c r="V6298">
        <v>3.8664109999999999E-4</v>
      </c>
      <c r="W6298">
        <v>0.17896029999999999</v>
      </c>
      <c r="X6298">
        <v>0.98385619999999996</v>
      </c>
      <c r="Y6298">
        <v>-3.3529820000000002E-2</v>
      </c>
      <c r="Z6298" s="1">
        <v>-3.5685139999999998E-5</v>
      </c>
      <c r="AA6298">
        <v>0.99943769999999998</v>
      </c>
      <c r="AB6298">
        <v>27</v>
      </c>
      <c r="AC6298">
        <v>18.162699999999901</v>
      </c>
      <c r="AD6298">
        <v>-1.1111816877059999</v>
      </c>
      <c r="AE6298">
        <v>0.92920999999999698</v>
      </c>
      <c r="AF6298">
        <v>-0.61155351814105496</v>
      </c>
      <c r="AG6298">
        <v>-1.1111816877059999</v>
      </c>
      <c r="AH6298">
        <v>18.108490136051199</v>
      </c>
      <c r="AI6298">
        <v>93.509412044574702</v>
      </c>
      <c r="AJ6298">
        <v>91.934237657283404</v>
      </c>
      <c r="AK6298">
        <v>18.152854801823999</v>
      </c>
      <c r="AL6298">
        <v>79.690793710824593</v>
      </c>
      <c r="AM6298">
        <v>89.977483597627497</v>
      </c>
      <c r="AN6298">
        <v>0.99999998037293403</v>
      </c>
    </row>
    <row r="6299" spans="1:40" x14ac:dyDescent="0.25">
      <c r="A6299" t="str">
        <f>"20190312173050701"</f>
        <v>20190312173050701</v>
      </c>
      <c r="B6299" t="str">
        <f>"1552383050694227"</f>
        <v>1552383050694227</v>
      </c>
      <c r="C6299" t="s">
        <v>40</v>
      </c>
      <c r="D6299">
        <v>3.2204760000000001</v>
      </c>
      <c r="E6299">
        <v>0.49066369999999998</v>
      </c>
      <c r="F6299" t="s">
        <v>60</v>
      </c>
      <c r="G6299">
        <v>-247.1429</v>
      </c>
      <c r="H6299" s="1">
        <v>-2.6587029999999999E-6</v>
      </c>
      <c r="I6299">
        <v>-62.666089999999997</v>
      </c>
      <c r="J6299">
        <v>-265.23250000000002</v>
      </c>
      <c r="K6299">
        <v>1.1111789999999999</v>
      </c>
      <c r="L6299">
        <v>-63.600589999999997</v>
      </c>
      <c r="M6299">
        <v>0.99979910000000005</v>
      </c>
      <c r="N6299">
        <v>0</v>
      </c>
      <c r="O6299">
        <v>1.8700809999999998E-2</v>
      </c>
      <c r="P6299">
        <v>0.98499219999999998</v>
      </c>
      <c r="Q6299">
        <v>0.171812299999999</v>
      </c>
      <c r="R6299">
        <v>1.6472669999999998E-2</v>
      </c>
      <c r="S6299">
        <v>3.0758359999999998</v>
      </c>
      <c r="T6299">
        <v>-0.18753710000000001</v>
      </c>
      <c r="U6299">
        <v>0.1583252</v>
      </c>
      <c r="V6299">
        <v>1.1032889999999999E-3</v>
      </c>
      <c r="W6299">
        <v>0.17893680000000001</v>
      </c>
      <c r="X6299">
        <v>0.98385999999999996</v>
      </c>
      <c r="Y6299">
        <v>-3.2694340000000002E-2</v>
      </c>
      <c r="Z6299">
        <v>-1.431193E-4</v>
      </c>
      <c r="AA6299">
        <v>0.99946539999999995</v>
      </c>
      <c r="AB6299">
        <v>27</v>
      </c>
      <c r="AC6299">
        <v>18.089600000000001</v>
      </c>
      <c r="AD6299">
        <v>-1.1111816587029999</v>
      </c>
      <c r="AE6299">
        <v>0.9345</v>
      </c>
      <c r="AF6299">
        <v>-0.59380300896462701</v>
      </c>
      <c r="AG6299">
        <v>-1.1111816587029999</v>
      </c>
      <c r="AH6299">
        <v>18.036039944791799</v>
      </c>
      <c r="AI6299">
        <v>93.523573042298096</v>
      </c>
      <c r="AJ6299">
        <v>91.885675663813302</v>
      </c>
      <c r="AK6299">
        <v>18.079990696408501</v>
      </c>
      <c r="AL6299">
        <v>79.692162952823296</v>
      </c>
      <c r="AM6299">
        <v>89.935749215553102</v>
      </c>
      <c r="AN6299">
        <v>1.0000000476204201</v>
      </c>
    </row>
    <row r="6300" spans="1:40" x14ac:dyDescent="0.25">
      <c r="A6300" t="str">
        <f>"20190312173050712"</f>
        <v>20190312173050712</v>
      </c>
      <c r="B6300" t="str">
        <f>"1552383050703988"</f>
        <v>1552383050703988</v>
      </c>
      <c r="C6300" t="s">
        <v>40</v>
      </c>
      <c r="D6300">
        <v>3.2210369999999999</v>
      </c>
      <c r="E6300">
        <v>0.49074190000000001</v>
      </c>
      <c r="F6300" t="s">
        <v>60</v>
      </c>
      <c r="G6300">
        <v>-247.04040000000001</v>
      </c>
      <c r="H6300" s="1">
        <v>-2.6119290000000001E-6</v>
      </c>
      <c r="I6300">
        <v>-62.655439999999999</v>
      </c>
      <c r="J6300">
        <v>-265.09449999999998</v>
      </c>
      <c r="K6300">
        <v>1.1111740000000001</v>
      </c>
      <c r="L6300">
        <v>-63.596620000000001</v>
      </c>
      <c r="M6300">
        <v>0.99977260000000001</v>
      </c>
      <c r="N6300">
        <v>0</v>
      </c>
      <c r="O6300">
        <v>2.0065110000000001E-2</v>
      </c>
      <c r="P6300">
        <v>0.98501879999999997</v>
      </c>
      <c r="Q6300">
        <v>0.1716202</v>
      </c>
      <c r="R6300">
        <v>1.686845E-2</v>
      </c>
      <c r="S6300">
        <v>3.075806</v>
      </c>
      <c r="T6300">
        <v>-0.18787209999999999</v>
      </c>
      <c r="U6300">
        <v>0.15978999999999999</v>
      </c>
      <c r="V6300">
        <v>2.0537670000000002E-3</v>
      </c>
      <c r="W6300">
        <v>0.1787328</v>
      </c>
      <c r="X6300">
        <v>0.98389550000000003</v>
      </c>
      <c r="Y6300">
        <v>-3.1809780000000003E-2</v>
      </c>
      <c r="Z6300">
        <v>-2.5351269999999998E-4</v>
      </c>
      <c r="AA6300">
        <v>0.99949390000000005</v>
      </c>
      <c r="AB6300">
        <v>27</v>
      </c>
      <c r="AC6300">
        <v>18.054099999999899</v>
      </c>
      <c r="AD6300">
        <v>-1.1111766119290001</v>
      </c>
      <c r="AE6300">
        <v>0.94117999999998803</v>
      </c>
      <c r="AF6300">
        <v>-0.57654550271279303</v>
      </c>
      <c r="AG6300">
        <v>-1.1111766119290001</v>
      </c>
      <c r="AH6300">
        <v>18.001345455462499</v>
      </c>
      <c r="AI6300">
        <v>93.530433240164598</v>
      </c>
      <c r="AJ6300">
        <v>91.834437091145702</v>
      </c>
      <c r="AK6300">
        <v>18.044820763490399</v>
      </c>
      <c r="AL6300">
        <v>79.704042240025302</v>
      </c>
      <c r="AM6300">
        <v>89.880401922462397</v>
      </c>
      <c r="AN6300">
        <v>0.99999999333749001</v>
      </c>
    </row>
    <row r="6301" spans="1:40" x14ac:dyDescent="0.25">
      <c r="A6301" t="str">
        <f>"20190312173050724"</f>
        <v>20190312173050724</v>
      </c>
      <c r="B6301" t="str">
        <f>"1552383050713748"</f>
        <v>1552383050713748</v>
      </c>
      <c r="C6301" t="s">
        <v>40</v>
      </c>
      <c r="D6301">
        <v>3.2087189999999999</v>
      </c>
      <c r="E6301">
        <v>0.49082480000000001</v>
      </c>
      <c r="F6301" t="s">
        <v>60</v>
      </c>
      <c r="G6301">
        <v>-246.98330000000001</v>
      </c>
      <c r="H6301" s="1">
        <v>-2.586326E-6</v>
      </c>
      <c r="I6301">
        <v>-62.651339999999998</v>
      </c>
      <c r="J6301">
        <v>-264.95159999999998</v>
      </c>
      <c r="K6301">
        <v>1.1111690000000001</v>
      </c>
      <c r="L6301">
        <v>-63.592410000000001</v>
      </c>
      <c r="M6301">
        <v>0.99974359999999995</v>
      </c>
      <c r="N6301">
        <v>0</v>
      </c>
      <c r="O6301">
        <v>2.1473809999999999E-2</v>
      </c>
      <c r="P6301">
        <v>0.98504930000000002</v>
      </c>
      <c r="Q6301">
        <v>0.17138410000000001</v>
      </c>
      <c r="R6301">
        <v>1.7474630000000001E-2</v>
      </c>
      <c r="S6301">
        <v>3.075745</v>
      </c>
      <c r="T6301">
        <v>-0.18870619999999999</v>
      </c>
      <c r="U6301">
        <v>0.16052249999999901</v>
      </c>
      <c r="V6301">
        <v>2.8383570000000001E-3</v>
      </c>
      <c r="W6301">
        <v>0.17848410000000001</v>
      </c>
      <c r="X6301">
        <v>0.98393869999999894</v>
      </c>
      <c r="Y6301">
        <v>-3.0644459999999998E-2</v>
      </c>
      <c r="Z6301">
        <v>-3.765819E-4</v>
      </c>
      <c r="AA6301">
        <v>0.99953029999999998</v>
      </c>
      <c r="AB6301">
        <v>27</v>
      </c>
      <c r="AC6301">
        <v>17.9682999999999</v>
      </c>
      <c r="AD6301">
        <v>-1.1111715863259899</v>
      </c>
      <c r="AE6301">
        <v>0.94106999999999597</v>
      </c>
      <c r="AF6301">
        <v>-0.55288656894570698</v>
      </c>
      <c r="AG6301">
        <v>-1.1111715863259899</v>
      </c>
      <c r="AH6301">
        <v>17.916037082444898</v>
      </c>
      <c r="AI6301">
        <v>93.547314625745003</v>
      </c>
      <c r="AJ6301">
        <v>91.767579322304002</v>
      </c>
      <c r="AK6301">
        <v>17.958974653134302</v>
      </c>
      <c r="AL6301">
        <v>79.718524619376893</v>
      </c>
      <c r="AM6301">
        <v>89.834719961964694</v>
      </c>
      <c r="AN6301">
        <v>0.99999999779047899</v>
      </c>
    </row>
    <row r="6302" spans="1:40" x14ac:dyDescent="0.25">
      <c r="A6302" t="str">
        <f>"20190312173050735"</f>
        <v>20190312173050735</v>
      </c>
      <c r="B6302" t="str">
        <f>"1552383050724484"</f>
        <v>1552383050724484</v>
      </c>
      <c r="C6302" t="s">
        <v>40</v>
      </c>
      <c r="D6302">
        <v>3.2076989999999999</v>
      </c>
      <c r="E6302">
        <v>0.49092599999999997</v>
      </c>
      <c r="F6302" t="s">
        <v>60</v>
      </c>
      <c r="G6302">
        <v>-246.94820000000001</v>
      </c>
      <c r="H6302" s="1">
        <v>-2.56974E-6</v>
      </c>
      <c r="I6302">
        <v>-62.645600000000002</v>
      </c>
      <c r="J6302">
        <v>-264.8186</v>
      </c>
      <c r="K6302">
        <v>1.111162</v>
      </c>
      <c r="L6302">
        <v>-63.588230000000003</v>
      </c>
      <c r="M6302">
        <v>0.99971500000000002</v>
      </c>
      <c r="N6302">
        <v>0</v>
      </c>
      <c r="O6302">
        <v>2.2773669999999999E-2</v>
      </c>
      <c r="P6302">
        <v>0.98505399999999999</v>
      </c>
      <c r="Q6302">
        <v>0.17130039999999999</v>
      </c>
      <c r="R6302">
        <v>1.8026810000000001E-2</v>
      </c>
      <c r="S6302">
        <v>3.0757140000000001</v>
      </c>
      <c r="T6302">
        <v>-0.1898328</v>
      </c>
      <c r="U6302">
        <v>0.1617432</v>
      </c>
      <c r="V6302">
        <v>3.5691339999999998E-3</v>
      </c>
      <c r="W6302">
        <v>0.17838979999999999</v>
      </c>
      <c r="X6302">
        <v>0.98395339999999998</v>
      </c>
      <c r="Y6302">
        <v>-2.9744949999999999E-2</v>
      </c>
      <c r="Z6302">
        <v>-4.8659739999999999E-4</v>
      </c>
      <c r="AA6302">
        <v>0.99955740000000004</v>
      </c>
      <c r="AB6302">
        <v>27</v>
      </c>
      <c r="AC6302">
        <v>17.870399999999901</v>
      </c>
      <c r="AD6302">
        <v>-1.1111645697400001</v>
      </c>
      <c r="AE6302">
        <v>0.94263000000000097</v>
      </c>
      <c r="AF6302">
        <v>-0.53334417320503702</v>
      </c>
      <c r="AG6302">
        <v>-1.1111645697400001</v>
      </c>
      <c r="AH6302">
        <v>17.818533217880201</v>
      </c>
      <c r="AI6302">
        <v>93.566753507052795</v>
      </c>
      <c r="AJ6302">
        <v>91.714464860176406</v>
      </c>
      <c r="AK6302">
        <v>17.8611105126427</v>
      </c>
      <c r="AL6302">
        <v>79.724015514403405</v>
      </c>
      <c r="AM6302">
        <v>89.792169611050397</v>
      </c>
      <c r="AN6302">
        <v>0.99999997641655403</v>
      </c>
    </row>
    <row r="6303" spans="1:40" x14ac:dyDescent="0.25">
      <c r="A6303" t="str">
        <f>"20190312173050745"</f>
        <v>20190312173050745</v>
      </c>
      <c r="B6303" t="str">
        <f>"1552383050734244"</f>
        <v>1552383050734244</v>
      </c>
      <c r="C6303" t="s">
        <v>40</v>
      </c>
      <c r="D6303">
        <v>3.2070069999999999</v>
      </c>
      <c r="E6303">
        <v>0.49092599999999997</v>
      </c>
      <c r="F6303" t="s">
        <v>60</v>
      </c>
      <c r="G6303">
        <v>-246.86609999999999</v>
      </c>
      <c r="H6303" s="1">
        <v>-2.5327560000000002E-6</v>
      </c>
      <c r="I6303">
        <v>-62.638910000000003</v>
      </c>
      <c r="J6303">
        <v>-264.6943</v>
      </c>
      <c r="K6303">
        <v>1.111156</v>
      </c>
      <c r="L6303">
        <v>-63.58426</v>
      </c>
      <c r="M6303">
        <v>0.99968659999999998</v>
      </c>
      <c r="N6303">
        <v>0</v>
      </c>
      <c r="O6303">
        <v>2.3985010000000001E-2</v>
      </c>
      <c r="P6303">
        <v>0.98506870000000002</v>
      </c>
      <c r="Q6303">
        <v>0.17117070000000001</v>
      </c>
      <c r="R6303">
        <v>1.8448699999999998E-2</v>
      </c>
      <c r="S6303">
        <v>3.075653</v>
      </c>
      <c r="T6303">
        <v>-0.19036710000000001</v>
      </c>
      <c r="U6303">
        <v>0.1626282</v>
      </c>
      <c r="V6303">
        <v>4.3437179999999999E-3</v>
      </c>
      <c r="W6303">
        <v>0.17825089999999999</v>
      </c>
      <c r="X6303">
        <v>0.9839755</v>
      </c>
      <c r="Y6303">
        <v>-2.882562E-2</v>
      </c>
      <c r="Z6303">
        <v>-5.9118889999999996E-4</v>
      </c>
      <c r="AA6303">
        <v>0.99958429999999998</v>
      </c>
      <c r="AB6303">
        <v>27</v>
      </c>
      <c r="AC6303">
        <v>17.828199999999999</v>
      </c>
      <c r="AD6303">
        <v>-1.1111585327560001</v>
      </c>
      <c r="AE6303">
        <v>0.94535000000000402</v>
      </c>
      <c r="AF6303">
        <v>-0.51546077417473402</v>
      </c>
      <c r="AG6303">
        <v>-1.1111585327560001</v>
      </c>
      <c r="AH6303">
        <v>17.7768847023844</v>
      </c>
      <c r="AI6303">
        <v>93.575167083667495</v>
      </c>
      <c r="AJ6303">
        <v>91.660890220996194</v>
      </c>
      <c r="AK6303">
        <v>17.819034845257502</v>
      </c>
      <c r="AL6303">
        <v>79.732103959909793</v>
      </c>
      <c r="AM6303">
        <v>89.7470718608769</v>
      </c>
      <c r="AN6303">
        <v>1.00000001791856</v>
      </c>
    </row>
    <row r="6304" spans="1:40" x14ac:dyDescent="0.25">
      <c r="A6304" t="str">
        <f>"20190312173050756"</f>
        <v>20190312173050756</v>
      </c>
      <c r="B6304" t="str">
        <f>"1552383050753764"</f>
        <v>1552383050753764</v>
      </c>
      <c r="C6304" t="s">
        <v>40</v>
      </c>
      <c r="D6304">
        <v>3.2070120000000002</v>
      </c>
      <c r="E6304">
        <v>0.4910852</v>
      </c>
      <c r="F6304" t="s">
        <v>60</v>
      </c>
      <c r="G6304">
        <v>-246.7792</v>
      </c>
      <c r="H6304" s="1">
        <v>-2.4927810000000002E-6</v>
      </c>
      <c r="I6304">
        <v>-62.628889999999998</v>
      </c>
      <c r="J6304">
        <v>-264.55700000000002</v>
      </c>
      <c r="K6304">
        <v>1.111146</v>
      </c>
      <c r="L6304">
        <v>-63.579619999999998</v>
      </c>
      <c r="M6304">
        <v>0.99965389999999998</v>
      </c>
      <c r="N6304">
        <v>0</v>
      </c>
      <c r="O6304">
        <v>2.5312640000000001E-2</v>
      </c>
      <c r="P6304">
        <v>0.98504650000000005</v>
      </c>
      <c r="Q6304">
        <v>0.17124500000000001</v>
      </c>
      <c r="R6304">
        <v>1.89374E-2</v>
      </c>
      <c r="S6304">
        <v>3.0755620000000001</v>
      </c>
      <c r="T6304">
        <v>-0.1907567</v>
      </c>
      <c r="U6304">
        <v>0.16400149999999999</v>
      </c>
      <c r="V6304">
        <v>5.1647350000000002E-3</v>
      </c>
      <c r="W6304">
        <v>0.17831559999999999</v>
      </c>
      <c r="X6304">
        <v>0.98395980000000005</v>
      </c>
      <c r="Y6304">
        <v>-2.794893E-2</v>
      </c>
      <c r="Z6304">
        <v>-7.0171009999999995E-4</v>
      </c>
      <c r="AA6304">
        <v>0.99960910000000003</v>
      </c>
      <c r="AB6304">
        <v>28</v>
      </c>
      <c r="AC6304">
        <v>17.777799999999999</v>
      </c>
      <c r="AD6304">
        <v>-1.111148492781</v>
      </c>
      <c r="AE6304">
        <v>0.95072999999999197</v>
      </c>
      <c r="AF6304">
        <v>-0.49846903169142598</v>
      </c>
      <c r="AG6304">
        <v>-1.111148492781</v>
      </c>
      <c r="AH6304">
        <v>17.7271159728909</v>
      </c>
      <c r="AI6304">
        <v>93.585235377820496</v>
      </c>
      <c r="AJ6304">
        <v>91.610676437014007</v>
      </c>
      <c r="AK6304">
        <v>17.7688987577984</v>
      </c>
      <c r="AL6304">
        <v>79.7283364619107</v>
      </c>
      <c r="AM6304">
        <v>89.699261290740196</v>
      </c>
      <c r="AN6304">
        <v>1.0000000078535101</v>
      </c>
    </row>
    <row r="6305" spans="1:40" x14ac:dyDescent="0.25">
      <c r="A6305" t="str">
        <f>"20190312173050768"</f>
        <v>20190312173050768</v>
      </c>
      <c r="B6305" t="str">
        <f>"1552383050763523"</f>
        <v>1552383050763523</v>
      </c>
      <c r="C6305" t="s">
        <v>40</v>
      </c>
      <c r="D6305">
        <v>3.2177760000000002</v>
      </c>
      <c r="E6305">
        <v>0.4911394</v>
      </c>
      <c r="F6305" t="s">
        <v>60</v>
      </c>
      <c r="G6305">
        <v>-246.66560000000001</v>
      </c>
      <c r="H6305" s="1">
        <v>-2.4427450000000001E-6</v>
      </c>
      <c r="I6305">
        <v>-62.623930000000001</v>
      </c>
      <c r="J6305">
        <v>-264.41370000000001</v>
      </c>
      <c r="K6305">
        <v>1.11114</v>
      </c>
      <c r="L6305">
        <v>-63.574649999999998</v>
      </c>
      <c r="M6305">
        <v>0.99961840000000002</v>
      </c>
      <c r="N6305">
        <v>0</v>
      </c>
      <c r="O6305">
        <v>2.6688779999999999E-2</v>
      </c>
      <c r="P6305">
        <v>0.98506070000000001</v>
      </c>
      <c r="Q6305">
        <v>0.17110909999999999</v>
      </c>
      <c r="R6305">
        <v>1.9422869999999998E-2</v>
      </c>
      <c r="S6305">
        <v>3.0755919999999999</v>
      </c>
      <c r="T6305">
        <v>-0.1910104</v>
      </c>
      <c r="U6305">
        <v>0.16427610000000001</v>
      </c>
      <c r="V6305">
        <v>6.0395569999999897E-3</v>
      </c>
      <c r="W6305">
        <v>0.17817069999999999</v>
      </c>
      <c r="X6305">
        <v>0.98398110000000005</v>
      </c>
      <c r="Y6305">
        <v>-2.6666390000000002E-2</v>
      </c>
      <c r="Z6305">
        <v>-8.2766529999999999E-4</v>
      </c>
      <c r="AA6305">
        <v>0.99964399999999998</v>
      </c>
      <c r="AB6305">
        <v>28</v>
      </c>
      <c r="AC6305">
        <v>17.748099999999901</v>
      </c>
      <c r="AD6305">
        <v>-1.1111424427450001</v>
      </c>
      <c r="AE6305">
        <v>0.95071999999999601</v>
      </c>
      <c r="AF6305">
        <v>-0.47483834301009298</v>
      </c>
      <c r="AG6305">
        <v>-1.1111424427450001</v>
      </c>
      <c r="AH6305">
        <v>17.697982276705901</v>
      </c>
      <c r="AI6305">
        <v>93.591229056936797</v>
      </c>
      <c r="AJ6305">
        <v>91.536881845176197</v>
      </c>
      <c r="AK6305">
        <v>17.739185033328301</v>
      </c>
      <c r="AL6305">
        <v>79.736774062909106</v>
      </c>
      <c r="AM6305">
        <v>89.648329850244806</v>
      </c>
      <c r="AN6305">
        <v>1.00000003987222</v>
      </c>
    </row>
    <row r="6306" spans="1:40" x14ac:dyDescent="0.25">
      <c r="A6306" t="str">
        <f>"20190312173050779"</f>
        <v>20190312173050779</v>
      </c>
      <c r="B6306" t="str">
        <f>"1552383050774259"</f>
        <v>1552383050774259</v>
      </c>
      <c r="C6306" t="s">
        <v>40</v>
      </c>
      <c r="D6306">
        <v>3.206925</v>
      </c>
      <c r="E6306">
        <v>0.4911394</v>
      </c>
      <c r="F6306" t="s">
        <v>60</v>
      </c>
      <c r="G6306">
        <v>-246.54849999999999</v>
      </c>
      <c r="H6306" s="1">
        <v>-2.3900009999999998E-6</v>
      </c>
      <c r="I6306">
        <v>-62.614469999999997</v>
      </c>
      <c r="J6306">
        <v>-264.28289999999998</v>
      </c>
      <c r="K6306">
        <v>1.1111310000000001</v>
      </c>
      <c r="L6306">
        <v>-63.569920000000003</v>
      </c>
      <c r="M6306">
        <v>0.99958440000000004</v>
      </c>
      <c r="N6306">
        <v>0</v>
      </c>
      <c r="O6306">
        <v>2.7936289999999999E-2</v>
      </c>
      <c r="P6306">
        <v>0.98509369999999996</v>
      </c>
      <c r="Q6306">
        <v>0.17084469999999999</v>
      </c>
      <c r="R6306">
        <v>2.006966E-2</v>
      </c>
      <c r="S6306">
        <v>3.0754700000000001</v>
      </c>
      <c r="T6306">
        <v>-0.1912816</v>
      </c>
      <c r="U6306">
        <v>0.16528319999999999</v>
      </c>
      <c r="V6306">
        <v>6.6275409999999998E-3</v>
      </c>
      <c r="W6306">
        <v>0.177898</v>
      </c>
      <c r="X6306">
        <v>0.98402659999999997</v>
      </c>
      <c r="Y6306">
        <v>-2.5751489999999998E-2</v>
      </c>
      <c r="Z6306">
        <v>-9.3467620000000002E-4</v>
      </c>
      <c r="AA6306">
        <v>0.99966790000000005</v>
      </c>
      <c r="AB6306">
        <v>28</v>
      </c>
      <c r="AC6306">
        <v>17.734399999999901</v>
      </c>
      <c r="AD6306">
        <v>-1.1111333900010001</v>
      </c>
      <c r="AE6306">
        <v>0.95544999999999802</v>
      </c>
      <c r="AF6306">
        <v>-0.45783913613852301</v>
      </c>
      <c r="AG6306">
        <v>-1.1111333900010001</v>
      </c>
      <c r="AH6306">
        <v>17.684948368993499</v>
      </c>
      <c r="AI6306">
        <v>93.593928565992698</v>
      </c>
      <c r="AJ6306">
        <v>91.482978153735203</v>
      </c>
      <c r="AK6306">
        <v>17.725733634998601</v>
      </c>
      <c r="AL6306">
        <v>79.752651730657604</v>
      </c>
      <c r="AM6306">
        <v>89.614111665023003</v>
      </c>
      <c r="AN6306">
        <v>0.99999998610563301</v>
      </c>
    </row>
    <row r="6307" spans="1:40" x14ac:dyDescent="0.25">
      <c r="A6307" t="str">
        <f>"20190312173050790"</f>
        <v>20190312173050790</v>
      </c>
      <c r="B6307" t="str">
        <f>"1552383050784019"</f>
        <v>1552383050784019</v>
      </c>
      <c r="C6307" t="s">
        <v>40</v>
      </c>
      <c r="D6307">
        <v>3.2268249999999998</v>
      </c>
      <c r="E6307">
        <v>0.49373499999999998</v>
      </c>
      <c r="F6307" t="s">
        <v>60</v>
      </c>
      <c r="G6307">
        <v>-246.5018</v>
      </c>
      <c r="H6307" s="1">
        <v>-2.3673979999999999E-6</v>
      </c>
      <c r="I6307">
        <v>-62.604860000000002</v>
      </c>
      <c r="J6307">
        <v>-264.13889999999998</v>
      </c>
      <c r="K6307">
        <v>1.111119</v>
      </c>
      <c r="L6307">
        <v>-63.564579999999999</v>
      </c>
      <c r="M6307">
        <v>0.99954549999999998</v>
      </c>
      <c r="N6307">
        <v>0</v>
      </c>
      <c r="O6307">
        <v>2.9292929999999998E-2</v>
      </c>
      <c r="P6307">
        <v>0.98511570000000004</v>
      </c>
      <c r="Q6307">
        <v>0.17067579999999999</v>
      </c>
      <c r="R6307">
        <v>2.0422160000000002E-2</v>
      </c>
      <c r="S6307">
        <v>3.0753170000000001</v>
      </c>
      <c r="T6307">
        <v>-0.1921755</v>
      </c>
      <c r="U6307">
        <v>0.16690060000000001</v>
      </c>
      <c r="V6307">
        <v>7.6179339999999998E-3</v>
      </c>
      <c r="W6307">
        <v>0.17772249999999901</v>
      </c>
      <c r="X6307">
        <v>0.98405120000000001</v>
      </c>
      <c r="Y6307">
        <v>-2.4925880000000001E-2</v>
      </c>
      <c r="Z6307">
        <v>-1.049393E-3</v>
      </c>
      <c r="AA6307">
        <v>0.99968869999999999</v>
      </c>
      <c r="AB6307">
        <v>28</v>
      </c>
      <c r="AC6307">
        <v>17.637099999999901</v>
      </c>
      <c r="AD6307">
        <v>-1.111121367398</v>
      </c>
      <c r="AE6307">
        <v>0.95972000000001101</v>
      </c>
      <c r="AF6307">
        <v>-0.44090794954513901</v>
      </c>
      <c r="AG6307">
        <v>-1.111121367398</v>
      </c>
      <c r="AH6307">
        <v>17.588045860317401</v>
      </c>
      <c r="AI6307">
        <v>93.6137134830702</v>
      </c>
      <c r="AJ6307">
        <v>91.4360250694005</v>
      </c>
      <c r="AK6307">
        <v>17.628622966576</v>
      </c>
      <c r="AL6307">
        <v>79.762870549009307</v>
      </c>
      <c r="AM6307">
        <v>89.556459310345403</v>
      </c>
      <c r="AN6307">
        <v>1.0000000420730499</v>
      </c>
    </row>
    <row r="6308" spans="1:40" x14ac:dyDescent="0.25">
      <c r="A6308" t="str">
        <f>"20190312173050802"</f>
        <v>20190312173050802</v>
      </c>
      <c r="B6308" t="str">
        <f>"1552383050793780"</f>
        <v>1552383050793780</v>
      </c>
      <c r="C6308" t="s">
        <v>40</v>
      </c>
      <c r="D6308">
        <v>3.2920989999999999</v>
      </c>
      <c r="E6308">
        <v>0.493867</v>
      </c>
      <c r="F6308" t="s">
        <v>60</v>
      </c>
      <c r="G6308">
        <v>-248.0018</v>
      </c>
      <c r="H6308" s="1">
        <v>-3.023647E-6</v>
      </c>
      <c r="I6308">
        <v>-62.7883</v>
      </c>
      <c r="J6308">
        <v>-263.98939999999999</v>
      </c>
      <c r="K6308">
        <v>1.111102</v>
      </c>
      <c r="L6308">
        <v>-63.558839999999996</v>
      </c>
      <c r="M6308">
        <v>0.99950360000000005</v>
      </c>
      <c r="N6308">
        <v>0</v>
      </c>
      <c r="O6308">
        <v>3.0692469999999999E-2</v>
      </c>
      <c r="P6308">
        <v>0.98512350000000004</v>
      </c>
      <c r="Q6308">
        <v>0.17054810000000001</v>
      </c>
      <c r="R6308">
        <v>2.109892E-2</v>
      </c>
      <c r="S6308">
        <v>3.0789789999999999</v>
      </c>
      <c r="T6308">
        <v>-0.21200240000000001</v>
      </c>
      <c r="U6308">
        <v>0.14810179999999901</v>
      </c>
      <c r="V6308">
        <v>8.3268679999999994E-3</v>
      </c>
      <c r="W6308">
        <v>0.17758650000000001</v>
      </c>
      <c r="X6308">
        <v>0.98406990000000005</v>
      </c>
      <c r="Y6308">
        <v>-1.7396330000000002E-2</v>
      </c>
      <c r="Z6308">
        <v>-1.5111669999999999E-3</v>
      </c>
      <c r="AA6308">
        <v>0.9998475</v>
      </c>
      <c r="AB6308">
        <v>28</v>
      </c>
      <c r="AC6308">
        <v>15.987599999999899</v>
      </c>
      <c r="AD6308">
        <v>-1.1111050236469999</v>
      </c>
      <c r="AE6308">
        <v>0.770540000000004</v>
      </c>
      <c r="AF6308">
        <v>-0.27812540890287402</v>
      </c>
      <c r="AG6308">
        <v>-1.1111050236469999</v>
      </c>
      <c r="AH6308">
        <v>15.926969462964999</v>
      </c>
      <c r="AI6308">
        <v>93.990024316878007</v>
      </c>
      <c r="AJ6308">
        <v>91.000428402585499</v>
      </c>
      <c r="AK6308">
        <v>15.968101464822601</v>
      </c>
      <c r="AL6308">
        <v>79.770787621713396</v>
      </c>
      <c r="AM6308">
        <v>89.515193984858499</v>
      </c>
      <c r="AN6308">
        <v>0.99999993489947203</v>
      </c>
    </row>
    <row r="6309" spans="1:40" x14ac:dyDescent="0.25">
      <c r="A6309" t="str">
        <f>"20190312173050814"</f>
        <v>20190312173050814</v>
      </c>
      <c r="B6309" t="str">
        <f>"1552383050803540"</f>
        <v>1552383050803540</v>
      </c>
      <c r="C6309" t="s">
        <v>40</v>
      </c>
      <c r="D6309">
        <v>3.1870609999999999</v>
      </c>
      <c r="E6309">
        <v>0.49454920000000002</v>
      </c>
      <c r="F6309" t="s">
        <v>60</v>
      </c>
      <c r="G6309">
        <v>-247.791</v>
      </c>
      <c r="H6309" s="1">
        <v>-2.949596E-6</v>
      </c>
      <c r="I6309">
        <v>-62.775210000000001</v>
      </c>
      <c r="J6309">
        <v>-263.84809999999999</v>
      </c>
      <c r="K6309">
        <v>1.1110850000000001</v>
      </c>
      <c r="L6309">
        <v>-63.553190000000001</v>
      </c>
      <c r="M6309">
        <v>0.99946310000000005</v>
      </c>
      <c r="N6309">
        <v>0</v>
      </c>
      <c r="O6309">
        <v>3.198728E-2</v>
      </c>
      <c r="P6309">
        <v>0.98513569999999995</v>
      </c>
      <c r="Q6309">
        <v>0.1704146</v>
      </c>
      <c r="R6309">
        <v>2.160047E-2</v>
      </c>
      <c r="S6309">
        <v>3.0787049999999998</v>
      </c>
      <c r="T6309">
        <v>-0.21117839999999999</v>
      </c>
      <c r="U6309">
        <v>0.148925799999999</v>
      </c>
      <c r="V6309">
        <v>9.1094179999999993E-3</v>
      </c>
      <c r="W6309">
        <v>0.1774471</v>
      </c>
      <c r="X6309">
        <v>0.98408819999999997</v>
      </c>
      <c r="Y6309">
        <v>-1.6377490000000001E-2</v>
      </c>
      <c r="Z6309">
        <v>-1.6289060000000001E-3</v>
      </c>
      <c r="AA6309">
        <v>0.99986459999999999</v>
      </c>
      <c r="AB6309">
        <v>28</v>
      </c>
      <c r="AC6309">
        <v>16.057099999999899</v>
      </c>
      <c r="AD6309">
        <v>-1.111087949596</v>
      </c>
      <c r="AE6309">
        <v>0.777980000000006</v>
      </c>
      <c r="AF6309">
        <v>-0.262691146435305</v>
      </c>
      <c r="AG6309">
        <v>-1.111087949596</v>
      </c>
      <c r="AH6309">
        <v>15.997351442941399</v>
      </c>
      <c r="AI6309">
        <v>93.972535134379697</v>
      </c>
      <c r="AJ6309">
        <v>90.940764566811893</v>
      </c>
      <c r="AK6309">
        <v>16.038041534399799</v>
      </c>
      <c r="AL6309">
        <v>79.778904433072299</v>
      </c>
      <c r="AM6309">
        <v>89.469644795585296</v>
      </c>
      <c r="AN6309">
        <v>1.0000000200869701</v>
      </c>
    </row>
    <row r="6310" spans="1:40" x14ac:dyDescent="0.25">
      <c r="A6310" t="str">
        <f>"20190312173050825"</f>
        <v>20190312173050825</v>
      </c>
      <c r="B6310" t="str">
        <f>"1552383050814276"</f>
        <v>1552383050814276</v>
      </c>
      <c r="C6310" t="s">
        <v>40</v>
      </c>
      <c r="D6310">
        <v>3.333936</v>
      </c>
      <c r="E6310">
        <v>0.49454920000000002</v>
      </c>
      <c r="F6310" t="s">
        <v>60</v>
      </c>
      <c r="G6310">
        <v>-247.66220000000001</v>
      </c>
      <c r="H6310" s="1">
        <v>-2.9086949999999999E-6</v>
      </c>
      <c r="I6310">
        <v>-62.79166</v>
      </c>
      <c r="J6310">
        <v>-263.70490000000001</v>
      </c>
      <c r="K6310">
        <v>1.1110660000000001</v>
      </c>
      <c r="L6310">
        <v>-63.547359999999998</v>
      </c>
      <c r="M6310">
        <v>0.99942059999999999</v>
      </c>
      <c r="N6310">
        <v>0</v>
      </c>
      <c r="O6310">
        <v>3.3290069999999998E-2</v>
      </c>
      <c r="P6310">
        <v>0.98512509999999998</v>
      </c>
      <c r="Q6310">
        <v>0.1703645</v>
      </c>
      <c r="R6310">
        <v>2.2464709999999999E-2</v>
      </c>
      <c r="S6310">
        <v>3.0786440000000002</v>
      </c>
      <c r="T6310">
        <v>-0.21133460000000001</v>
      </c>
      <c r="U6310">
        <v>0.1448364</v>
      </c>
      <c r="V6310">
        <v>9.5369830000000006E-3</v>
      </c>
      <c r="W6310">
        <v>0.1773894</v>
      </c>
      <c r="X6310">
        <v>0.98409460000000004</v>
      </c>
      <c r="Y6310">
        <v>-1.3759199999999999E-2</v>
      </c>
      <c r="Z6310">
        <v>-1.8091229999999999E-3</v>
      </c>
      <c r="AA6310">
        <v>0.99990369999999995</v>
      </c>
      <c r="AB6310">
        <v>28</v>
      </c>
      <c r="AC6310">
        <v>16.0426999999999</v>
      </c>
      <c r="AD6310">
        <v>-1.1110689086950001</v>
      </c>
      <c r="AE6310">
        <v>0.75569999999999704</v>
      </c>
      <c r="AF6310">
        <v>-0.22015147270052299</v>
      </c>
      <c r="AG6310">
        <v>-1.1110689086950001</v>
      </c>
      <c r="AH6310">
        <v>15.982474861028299</v>
      </c>
      <c r="AI6310">
        <v>93.976311336243796</v>
      </c>
      <c r="AJ6310">
        <v>90.789173933891405</v>
      </c>
      <c r="AK6310">
        <v>16.022560453129898</v>
      </c>
      <c r="AL6310">
        <v>79.782264182101201</v>
      </c>
      <c r="AM6310">
        <v>89.444756866189607</v>
      </c>
      <c r="AN6310">
        <v>1.00000006751312</v>
      </c>
    </row>
    <row r="6311" spans="1:40" x14ac:dyDescent="0.25">
      <c r="A6311" t="str">
        <f>"20190312173050956"</f>
        <v>20190312173050956</v>
      </c>
      <c r="B6311" t="str">
        <f>"1552383050953843"</f>
        <v>1552383050953843</v>
      </c>
      <c r="C6311" t="s">
        <v>40</v>
      </c>
      <c r="D6311">
        <v>3.2924190000000002</v>
      </c>
      <c r="E6311">
        <v>0.4917262</v>
      </c>
      <c r="F6311" t="s">
        <v>60</v>
      </c>
      <c r="G6311">
        <v>-247.53290000000001</v>
      </c>
      <c r="H6311" s="1">
        <v>-2.8546429999999999E-6</v>
      </c>
      <c r="I6311">
        <v>-62.77364</v>
      </c>
      <c r="J6311">
        <v>-262.05579999999998</v>
      </c>
      <c r="K6311">
        <v>1.1106590000000001</v>
      </c>
      <c r="L6311">
        <v>-63.469180000000001</v>
      </c>
      <c r="M6311">
        <v>0.99890460000000003</v>
      </c>
      <c r="N6311">
        <v>0</v>
      </c>
      <c r="O6311">
        <v>4.6262070000000002E-2</v>
      </c>
      <c r="P6311">
        <v>0.98517790000000005</v>
      </c>
      <c r="Q6311">
        <v>0.16934949999999999</v>
      </c>
      <c r="R6311">
        <v>2.7301559999999999E-2</v>
      </c>
      <c r="S6311">
        <v>3.0785520000000002</v>
      </c>
      <c r="T6311">
        <v>-0.2115061</v>
      </c>
      <c r="U6311">
        <v>0.14727779999999999</v>
      </c>
      <c r="V6311">
        <v>1.7674289999999999E-2</v>
      </c>
      <c r="W6311">
        <v>0.176334299999999</v>
      </c>
      <c r="X6311">
        <v>0.98417160000000004</v>
      </c>
      <c r="Y6311">
        <v>-1.6286479999999999E-3</v>
      </c>
      <c r="Z6311">
        <v>-3.115301E-3</v>
      </c>
      <c r="AA6311">
        <v>0.99999380000000004</v>
      </c>
      <c r="AB6311">
        <v>28</v>
      </c>
      <c r="AC6311">
        <v>14.5228999999999</v>
      </c>
      <c r="AD6311">
        <v>-1.110661854643</v>
      </c>
      <c r="AE6311">
        <v>0.69554000000000105</v>
      </c>
      <c r="AF6311">
        <v>-2.2786290949361399E-2</v>
      </c>
      <c r="AG6311">
        <v>-1.110661854643</v>
      </c>
      <c r="AH6311">
        <v>14.455177946619299</v>
      </c>
      <c r="AI6311">
        <v>94.393676265028205</v>
      </c>
      <c r="AJ6311">
        <v>90.090317616677197</v>
      </c>
      <c r="AK6311">
        <v>14.497801848516399</v>
      </c>
      <c r="AL6311">
        <v>79.843684033553998</v>
      </c>
      <c r="AM6311">
        <v>88.971161757147101</v>
      </c>
      <c r="AN6311">
        <v>0.99999995206502501</v>
      </c>
    </row>
    <row r="6312" spans="1:40" x14ac:dyDescent="0.25">
      <c r="A6312" t="str">
        <f>"20190312173050968"</f>
        <v>20190312173050968</v>
      </c>
      <c r="B6312" t="str">
        <f>"1552383050963606"</f>
        <v>1552383050963606</v>
      </c>
      <c r="C6312" t="s">
        <v>40</v>
      </c>
      <c r="D6312">
        <v>3.072816</v>
      </c>
      <c r="E6312">
        <v>0.49008659999999998</v>
      </c>
      <c r="F6312" t="s">
        <v>42</v>
      </c>
      <c r="G6312">
        <v>-261.25569999999999</v>
      </c>
      <c r="H6312">
        <v>1.030181</v>
      </c>
      <c r="I6312">
        <v>-63.420569999999998</v>
      </c>
      <c r="J6312">
        <v>-261.91449999999998</v>
      </c>
      <c r="K6312">
        <v>1.1106069999999999</v>
      </c>
      <c r="L6312">
        <v>-63.461730000000003</v>
      </c>
      <c r="M6312">
        <v>0.99886240000000004</v>
      </c>
      <c r="N6312">
        <v>0</v>
      </c>
      <c r="O6312">
        <v>4.716737E-2</v>
      </c>
      <c r="P6312">
        <v>0.98517509999999997</v>
      </c>
      <c r="Q6312">
        <v>0.16933239999999999</v>
      </c>
      <c r="R6312">
        <v>2.7509120000000001E-2</v>
      </c>
      <c r="S6312">
        <v>3.0934140000000001</v>
      </c>
      <c r="T6312">
        <v>-0.31120690000000001</v>
      </c>
      <c r="U6312">
        <v>0.1886292</v>
      </c>
      <c r="V6312">
        <v>1.8379889999999999E-2</v>
      </c>
      <c r="W6312">
        <v>0.17631550000000001</v>
      </c>
      <c r="X6312">
        <v>0.98416210000000004</v>
      </c>
      <c r="Y6312">
        <v>-1.388292E-2</v>
      </c>
      <c r="Z6312">
        <v>-4.0300479999999996E-3</v>
      </c>
      <c r="AA6312">
        <v>0.99989550000000005</v>
      </c>
      <c r="AB6312">
        <v>28</v>
      </c>
      <c r="AC6312">
        <v>0.65879999999998495</v>
      </c>
      <c r="AD6312">
        <v>-8.0425999999999803E-2</v>
      </c>
      <c r="AE6312">
        <v>4.1160000000004901E-2</v>
      </c>
      <c r="AF6312">
        <v>-9.89269801764028E-3</v>
      </c>
      <c r="AG6312">
        <v>-8.0425999999999803E-2</v>
      </c>
      <c r="AH6312">
        <v>0.65035337747074695</v>
      </c>
      <c r="AI6312">
        <v>97.048887975808597</v>
      </c>
      <c r="AJ6312">
        <v>90.871474114633898</v>
      </c>
      <c r="AK6312">
        <v>0.65538211948273095</v>
      </c>
      <c r="AL6312">
        <v>79.844778908615098</v>
      </c>
      <c r="AM6312">
        <v>88.930087108619304</v>
      </c>
      <c r="AN6312">
        <v>1.0000000074865301</v>
      </c>
    </row>
    <row r="6313" spans="1:40" x14ac:dyDescent="0.25">
      <c r="A6313" t="str">
        <f>"20190312173050979"</f>
        <v>20190312173050979</v>
      </c>
      <c r="B6313" t="str">
        <f>"1552383050974339"</f>
        <v>1552383050974339</v>
      </c>
      <c r="C6313" t="s">
        <v>40</v>
      </c>
      <c r="D6313">
        <v>3.1863959999999998</v>
      </c>
      <c r="E6313">
        <v>0.48955850000000001</v>
      </c>
      <c r="F6313" t="s">
        <v>42</v>
      </c>
      <c r="G6313">
        <v>-261.00959999999998</v>
      </c>
      <c r="H6313">
        <v>1.013585</v>
      </c>
      <c r="I6313">
        <v>-63.40258</v>
      </c>
      <c r="J6313">
        <v>-261.7713</v>
      </c>
      <c r="K6313">
        <v>1.110557</v>
      </c>
      <c r="L6313">
        <v>-63.454099999999997</v>
      </c>
      <c r="M6313">
        <v>0.9988205</v>
      </c>
      <c r="N6313">
        <v>0</v>
      </c>
      <c r="O6313">
        <v>4.8048340000000002E-2</v>
      </c>
      <c r="P6313">
        <v>0.98518329999999998</v>
      </c>
      <c r="Q6313">
        <v>0.16926440000000001</v>
      </c>
      <c r="R6313">
        <v>2.763591E-2</v>
      </c>
      <c r="S6313">
        <v>3.0965880000000001</v>
      </c>
      <c r="T6313">
        <v>-0.3320708</v>
      </c>
      <c r="U6313">
        <v>0.2033691</v>
      </c>
      <c r="V6313">
        <v>1.914364E-2</v>
      </c>
      <c r="W6313">
        <v>0.17624570000000001</v>
      </c>
      <c r="X6313">
        <v>0.98416009999999998</v>
      </c>
      <c r="Y6313">
        <v>-1.768517E-2</v>
      </c>
      <c r="Z6313">
        <v>-4.1844660000000004E-3</v>
      </c>
      <c r="AA6313">
        <v>0.99983480000000002</v>
      </c>
      <c r="AB6313">
        <v>28</v>
      </c>
      <c r="AC6313">
        <v>0.76170000000001803</v>
      </c>
      <c r="AD6313">
        <v>-9.6972000000000003E-2</v>
      </c>
      <c r="AE6313">
        <v>5.1519999999989297E-2</v>
      </c>
      <c r="AF6313">
        <v>-1.4625212037875601E-2</v>
      </c>
      <c r="AG6313">
        <v>-9.6972000000000003E-2</v>
      </c>
      <c r="AH6313">
        <v>0.75117622462649103</v>
      </c>
      <c r="AI6313">
        <v>97.354454642596906</v>
      </c>
      <c r="AJ6313">
        <v>91.115393483383201</v>
      </c>
      <c r="AK6313">
        <v>0.75755078117262997</v>
      </c>
      <c r="AL6313">
        <v>79.848842359257901</v>
      </c>
      <c r="AM6313">
        <v>88.885637134344805</v>
      </c>
      <c r="AN6313">
        <v>1.0000000640764699</v>
      </c>
    </row>
    <row r="6314" spans="1:40" x14ac:dyDescent="0.25">
      <c r="A6314" t="str">
        <f>"20190312173050991"</f>
        <v>20190312173050991</v>
      </c>
      <c r="B6314" t="str">
        <f>"1552383050984100"</f>
        <v>1552383050984100</v>
      </c>
      <c r="C6314" t="s">
        <v>40</v>
      </c>
      <c r="D6314">
        <v>3.0832489999999999</v>
      </c>
      <c r="E6314">
        <v>0.48926629999999899</v>
      </c>
      <c r="F6314" t="s">
        <v>42</v>
      </c>
      <c r="G6314">
        <v>-261.00380000000001</v>
      </c>
      <c r="H6314">
        <v>1.025706</v>
      </c>
      <c r="I6314">
        <v>-63.402630000000002</v>
      </c>
      <c r="J6314">
        <v>-261.6223</v>
      </c>
      <c r="K6314">
        <v>1.1105050000000001</v>
      </c>
      <c r="L6314">
        <v>-63.446040000000004</v>
      </c>
      <c r="M6314">
        <v>0.99877830000000001</v>
      </c>
      <c r="N6314">
        <v>0</v>
      </c>
      <c r="O6314">
        <v>4.8916349999999997E-2</v>
      </c>
      <c r="P6314">
        <v>0.98520300000000005</v>
      </c>
      <c r="Q6314">
        <v>0.16917389999999999</v>
      </c>
      <c r="R6314">
        <v>2.7482530000000002E-2</v>
      </c>
      <c r="S6314">
        <v>3.0980829999999999</v>
      </c>
      <c r="T6314">
        <v>-0.34258889999999997</v>
      </c>
      <c r="U6314">
        <v>0.2088623</v>
      </c>
      <c r="V6314">
        <v>2.0176590000000001E-2</v>
      </c>
      <c r="W6314">
        <v>0.17615459999999999</v>
      </c>
      <c r="X6314">
        <v>0.98415569999999997</v>
      </c>
      <c r="Y6314">
        <v>-1.8560509999999999E-2</v>
      </c>
      <c r="Z6314">
        <v>-4.3610740000000004E-3</v>
      </c>
      <c r="AA6314">
        <v>0.99981819999999999</v>
      </c>
      <c r="AB6314">
        <v>28</v>
      </c>
      <c r="AC6314">
        <v>0.61849999999998295</v>
      </c>
      <c r="AD6314">
        <v>-8.4798999999999805E-2</v>
      </c>
      <c r="AE6314">
        <v>4.3410000000001503E-2</v>
      </c>
      <c r="AF6314">
        <v>-1.28619369882093E-2</v>
      </c>
      <c r="AG6314">
        <v>-8.4798999999999805E-2</v>
      </c>
      <c r="AH6314">
        <v>0.60850077984024098</v>
      </c>
      <c r="AI6314">
        <v>97.931739609554995</v>
      </c>
      <c r="AJ6314">
        <v>91.210885854546802</v>
      </c>
      <c r="AK6314">
        <v>0.61451566203821895</v>
      </c>
      <c r="AL6314">
        <v>79.854144206198498</v>
      </c>
      <c r="AM6314">
        <v>88.825519651684104</v>
      </c>
      <c r="AN6314">
        <v>0.99999998986383898</v>
      </c>
    </row>
    <row r="6315" spans="1:40" x14ac:dyDescent="0.25">
      <c r="A6315" t="str">
        <f>"20190312173051002"</f>
        <v>20190312173051002</v>
      </c>
      <c r="B6315" t="str">
        <f>"1552383050993860"</f>
        <v>1552383050993860</v>
      </c>
      <c r="C6315" t="s">
        <v>40</v>
      </c>
      <c r="D6315">
        <v>3.152949</v>
      </c>
      <c r="E6315">
        <v>0.48854150000000002</v>
      </c>
      <c r="F6315" t="s">
        <v>42</v>
      </c>
      <c r="G6315">
        <v>-260.75330000000002</v>
      </c>
      <c r="H6315">
        <v>1.016769</v>
      </c>
      <c r="I6315">
        <v>-63.387099999999997</v>
      </c>
      <c r="J6315">
        <v>-261.47829999999999</v>
      </c>
      <c r="K6315">
        <v>1.1104529999999999</v>
      </c>
      <c r="L6315">
        <v>-63.438200000000002</v>
      </c>
      <c r="M6315">
        <v>0.99873809999999996</v>
      </c>
      <c r="N6315">
        <v>0</v>
      </c>
      <c r="O6315">
        <v>4.9732270000000002E-2</v>
      </c>
      <c r="P6315">
        <v>0.98525110000000005</v>
      </c>
      <c r="Q6315">
        <v>0.16893050000000001</v>
      </c>
      <c r="R6315">
        <v>2.7257549999999998E-2</v>
      </c>
      <c r="S6315">
        <v>3.0965579999999999</v>
      </c>
      <c r="T6315">
        <v>-0.33401890000000001</v>
      </c>
      <c r="U6315">
        <v>0.21023559999999999</v>
      </c>
      <c r="V6315">
        <v>2.123104E-2</v>
      </c>
      <c r="W6315">
        <v>0.17591089999999901</v>
      </c>
      <c r="X6315">
        <v>0.98417710000000003</v>
      </c>
      <c r="Y6315">
        <v>-1.8215970000000001E-2</v>
      </c>
      <c r="Z6315">
        <v>-4.3606269999999997E-3</v>
      </c>
      <c r="AA6315">
        <v>0.99982459999999995</v>
      </c>
      <c r="AB6315">
        <v>29</v>
      </c>
      <c r="AC6315">
        <v>0.72499999999996501</v>
      </c>
      <c r="AD6315">
        <v>-9.3684000000000101E-2</v>
      </c>
      <c r="AE6315">
        <v>5.1100000000005197E-2</v>
      </c>
      <c r="AF6315">
        <v>-1.4735161466892299E-2</v>
      </c>
      <c r="AG6315">
        <v>-9.3684000000000101E-2</v>
      </c>
      <c r="AH6315">
        <v>0.71476827265544896</v>
      </c>
      <c r="AI6315">
        <v>97.465569761860294</v>
      </c>
      <c r="AJ6315">
        <v>91.181002324918097</v>
      </c>
      <c r="AK6315">
        <v>0.72103224645941399</v>
      </c>
      <c r="AL6315">
        <v>79.868328617851105</v>
      </c>
      <c r="AM6315">
        <v>88.764185489840202</v>
      </c>
      <c r="AN6315">
        <v>0.99999998298134996</v>
      </c>
    </row>
    <row r="6316" spans="1:40" x14ac:dyDescent="0.25">
      <c r="A6316" t="str">
        <f>"20190312173051014"</f>
        <v>20190312173051014</v>
      </c>
      <c r="B6316" t="str">
        <f>"1552383051003620"</f>
        <v>1552383051003620</v>
      </c>
      <c r="C6316" t="s">
        <v>40</v>
      </c>
      <c r="D6316">
        <v>3.7477520000000002</v>
      </c>
      <c r="E6316">
        <v>0.48786819999999997</v>
      </c>
      <c r="F6316" t="s">
        <v>42</v>
      </c>
      <c r="G6316">
        <v>-260.74149999999997</v>
      </c>
      <c r="H6316">
        <v>1.036494</v>
      </c>
      <c r="I6316">
        <v>-63.387180000000001</v>
      </c>
      <c r="J6316">
        <v>-261.33280000000002</v>
      </c>
      <c r="K6316">
        <v>1.1103959999999999</v>
      </c>
      <c r="L6316">
        <v>-63.430149999999998</v>
      </c>
      <c r="M6316">
        <v>0.99870009999999998</v>
      </c>
      <c r="N6316">
        <v>0</v>
      </c>
      <c r="O6316">
        <v>5.0485809999999999E-2</v>
      </c>
      <c r="P6316">
        <v>0.98526420000000003</v>
      </c>
      <c r="Q6316">
        <v>0.1688906</v>
      </c>
      <c r="R6316">
        <v>2.702454E-2</v>
      </c>
      <c r="S6316">
        <v>3.092133</v>
      </c>
      <c r="T6316">
        <v>-0.31038070000000001</v>
      </c>
      <c r="U6316">
        <v>0.2142944</v>
      </c>
      <c r="V6316">
        <v>2.2231399999999998E-2</v>
      </c>
      <c r="W6316">
        <v>0.1758701</v>
      </c>
      <c r="X6316">
        <v>0.98416230000000005</v>
      </c>
      <c r="Y6316">
        <v>-1.8840849999999999E-2</v>
      </c>
      <c r="Z6316">
        <v>-4.1031339999999996E-3</v>
      </c>
      <c r="AA6316">
        <v>0.99981410000000004</v>
      </c>
      <c r="AB6316">
        <v>29</v>
      </c>
      <c r="AC6316">
        <v>0.59130000000004601</v>
      </c>
      <c r="AD6316">
        <v>-7.3901999999999898E-2</v>
      </c>
      <c r="AE6316">
        <v>4.2969999999989697E-2</v>
      </c>
      <c r="AF6316">
        <v>-1.2862344221403499E-2</v>
      </c>
      <c r="AG6316">
        <v>-7.3901999999999898E-2</v>
      </c>
      <c r="AH6316">
        <v>0.58364636262485003</v>
      </c>
      <c r="AI6316">
        <v>97.214723320281493</v>
      </c>
      <c r="AJ6316">
        <v>91.262474701282699</v>
      </c>
      <c r="AK6316">
        <v>0.58844712770824903</v>
      </c>
      <c r="AL6316">
        <v>79.870703277018293</v>
      </c>
      <c r="AM6316">
        <v>88.705956523483195</v>
      </c>
      <c r="AN6316">
        <v>0.99999997998062895</v>
      </c>
    </row>
    <row r="6317" spans="1:40" x14ac:dyDescent="0.25">
      <c r="A6317" t="str">
        <f>"20190312173051025"</f>
        <v>20190312173051025</v>
      </c>
      <c r="B6317" t="str">
        <f>"1552383051014356"</f>
        <v>1552383051014356</v>
      </c>
      <c r="C6317" t="s">
        <v>40</v>
      </c>
      <c r="D6317">
        <v>3.2078479999999998</v>
      </c>
      <c r="E6317">
        <v>0.48740499999999998</v>
      </c>
      <c r="F6317" t="s">
        <v>42</v>
      </c>
      <c r="G6317">
        <v>-260.49099999999999</v>
      </c>
      <c r="H6317">
        <v>1.029847</v>
      </c>
      <c r="I6317">
        <v>-63.37086</v>
      </c>
      <c r="J6317">
        <v>-261.19630000000001</v>
      </c>
      <c r="K6317">
        <v>1.1103419999999999</v>
      </c>
      <c r="L6317">
        <v>-63.422580000000004</v>
      </c>
      <c r="M6317">
        <v>0.99866480000000002</v>
      </c>
      <c r="N6317">
        <v>0</v>
      </c>
      <c r="O6317">
        <v>5.1179509999999998E-2</v>
      </c>
      <c r="P6317">
        <v>0.9853132</v>
      </c>
      <c r="Q6317">
        <v>0.16868659999999999</v>
      </c>
      <c r="R6317">
        <v>2.6511010000000002E-2</v>
      </c>
      <c r="S6317">
        <v>3.089569</v>
      </c>
      <c r="T6317">
        <v>-0.29564210000000002</v>
      </c>
      <c r="U6317">
        <v>0.21823119999999999</v>
      </c>
      <c r="V6317">
        <v>2.3453709999999999E-2</v>
      </c>
      <c r="W6317">
        <v>0.17566689999999999</v>
      </c>
      <c r="X6317">
        <v>0.98417030000000005</v>
      </c>
      <c r="Y6317">
        <v>-1.945728E-2</v>
      </c>
      <c r="Z6317">
        <v>-3.9488429999999996E-3</v>
      </c>
      <c r="AA6317">
        <v>0.99980290000000005</v>
      </c>
      <c r="AB6317">
        <v>29</v>
      </c>
      <c r="AC6317">
        <v>0.70530000000002202</v>
      </c>
      <c r="AD6317">
        <v>-8.04949999999999E-2</v>
      </c>
      <c r="AE6317">
        <v>5.1720000000003097E-2</v>
      </c>
      <c r="AF6317">
        <v>-1.53554772964699E-2</v>
      </c>
      <c r="AG6317">
        <v>-8.04949999999999E-2</v>
      </c>
      <c r="AH6317">
        <v>0.69797988796634702</v>
      </c>
      <c r="AI6317">
        <v>96.577034343544298</v>
      </c>
      <c r="AJ6317">
        <v>91.260297263047406</v>
      </c>
      <c r="AK6317">
        <v>0.70277390369415105</v>
      </c>
      <c r="AL6317">
        <v>79.882530698136406</v>
      </c>
      <c r="AM6317">
        <v>88.634845721095999</v>
      </c>
      <c r="AN6317">
        <v>1.0000000578352299</v>
      </c>
    </row>
    <row r="6318" spans="1:40" x14ac:dyDescent="0.25">
      <c r="A6318" t="str">
        <f>"20190312173051035"</f>
        <v>20190312173051035</v>
      </c>
      <c r="B6318" t="str">
        <f>"1552383051024116"</f>
        <v>1552383051024116</v>
      </c>
      <c r="C6318" t="s">
        <v>40</v>
      </c>
      <c r="D6318">
        <v>3.2585899999999999</v>
      </c>
      <c r="E6318">
        <v>0.48700290000000002</v>
      </c>
      <c r="F6318" t="s">
        <v>42</v>
      </c>
      <c r="G6318">
        <v>-260.23809999999997</v>
      </c>
      <c r="H6318">
        <v>1.023352</v>
      </c>
      <c r="I6318">
        <v>-63.354419999999998</v>
      </c>
      <c r="J6318">
        <v>-261.04750000000001</v>
      </c>
      <c r="K6318">
        <v>1.110287</v>
      </c>
      <c r="L6318">
        <v>-63.414250000000003</v>
      </c>
      <c r="M6318">
        <v>0.9986294</v>
      </c>
      <c r="N6318">
        <v>0</v>
      </c>
      <c r="O6318">
        <v>5.1865649999999999E-2</v>
      </c>
      <c r="P6318">
        <v>0.98530359999999995</v>
      </c>
      <c r="Q6318">
        <v>0.16880029999999999</v>
      </c>
      <c r="R6318">
        <v>2.614033E-2</v>
      </c>
      <c r="S6318">
        <v>3.086792</v>
      </c>
      <c r="T6318">
        <v>-0.28029080000000001</v>
      </c>
      <c r="U6318">
        <v>0.21957399999999999</v>
      </c>
      <c r="V6318">
        <v>2.452584E-2</v>
      </c>
      <c r="W6318">
        <v>0.17577950000000001</v>
      </c>
      <c r="X6318">
        <v>0.984124</v>
      </c>
      <c r="Y6318">
        <v>-1.9255629999999999E-2</v>
      </c>
      <c r="Z6318">
        <v>-3.8190379999999999E-3</v>
      </c>
      <c r="AA6318">
        <v>0.99980729999999995</v>
      </c>
      <c r="AB6318">
        <v>29</v>
      </c>
      <c r="AC6318">
        <v>0.80940000000003898</v>
      </c>
      <c r="AD6318">
        <v>-8.6934999999999901E-2</v>
      </c>
      <c r="AE6318">
        <v>5.9830000000005101E-2</v>
      </c>
      <c r="AF6318">
        <v>-1.75668244957091E-2</v>
      </c>
      <c r="AG6318">
        <v>-8.6934999999999901E-2</v>
      </c>
      <c r="AH6318">
        <v>0.80220958838454703</v>
      </c>
      <c r="AI6318">
        <v>96.183503742589394</v>
      </c>
      <c r="AJ6318">
        <v>91.254465270212506</v>
      </c>
      <c r="AK6318">
        <v>0.80709758470953696</v>
      </c>
      <c r="AL6318">
        <v>79.875976611149397</v>
      </c>
      <c r="AM6318">
        <v>88.572399098595895</v>
      </c>
      <c r="AN6318">
        <v>0.99999999841197695</v>
      </c>
    </row>
    <row r="6319" spans="1:40" x14ac:dyDescent="0.25">
      <c r="A6319" t="str">
        <f>"20190312173051046"</f>
        <v>20190312173051046</v>
      </c>
      <c r="B6319" t="str">
        <f>"1552383051043636"</f>
        <v>1552383051043636</v>
      </c>
      <c r="C6319" t="s">
        <v>40</v>
      </c>
      <c r="D6319">
        <v>3.5613329999999999</v>
      </c>
      <c r="E6319">
        <v>0.48656389999999999</v>
      </c>
      <c r="F6319" t="s">
        <v>42</v>
      </c>
      <c r="G6319">
        <v>-260.2235</v>
      </c>
      <c r="H6319">
        <v>1.0397989999999999</v>
      </c>
      <c r="I6319">
        <v>-63.355269999999997</v>
      </c>
      <c r="J6319">
        <v>-260.9171</v>
      </c>
      <c r="K6319">
        <v>1.110233</v>
      </c>
      <c r="L6319">
        <v>-63.406860000000002</v>
      </c>
      <c r="M6319">
        <v>0.99859909999999996</v>
      </c>
      <c r="N6319">
        <v>0</v>
      </c>
      <c r="O6319">
        <v>5.244799E-2</v>
      </c>
      <c r="P6319">
        <v>0.9853364</v>
      </c>
      <c r="Q6319">
        <v>0.16866979999999901</v>
      </c>
      <c r="R6319">
        <v>2.5745770000000001E-2</v>
      </c>
      <c r="S6319">
        <v>3.0841370000000001</v>
      </c>
      <c r="T6319">
        <v>-0.26388919999999999</v>
      </c>
      <c r="U6319">
        <v>0.22076419999999999</v>
      </c>
      <c r="V6319">
        <v>2.5519010000000002E-2</v>
      </c>
      <c r="W6319">
        <v>0.17564859999999999</v>
      </c>
      <c r="X6319">
        <v>0.98412219999999995</v>
      </c>
      <c r="Y6319">
        <v>-1.9105110000000002E-2</v>
      </c>
      <c r="Z6319">
        <v>-3.6554059999999999E-3</v>
      </c>
      <c r="AA6319">
        <v>0.9998108</v>
      </c>
      <c r="AB6319">
        <v>29</v>
      </c>
      <c r="AC6319">
        <v>0.69360000000000299</v>
      </c>
      <c r="AD6319">
        <v>-7.0434000000000094E-2</v>
      </c>
      <c r="AE6319">
        <v>5.1589999999997298E-2</v>
      </c>
      <c r="AF6319">
        <v>-1.49864813840648E-2</v>
      </c>
      <c r="AG6319">
        <v>-7.0434000000000094E-2</v>
      </c>
      <c r="AH6319">
        <v>0.68829249956456495</v>
      </c>
      <c r="AI6319">
        <v>95.841449619305607</v>
      </c>
      <c r="AJ6319">
        <v>91.247327960359698</v>
      </c>
      <c r="AK6319">
        <v>0.69204920918754897</v>
      </c>
      <c r="AL6319">
        <v>79.883595972817304</v>
      </c>
      <c r="AM6319">
        <v>88.514611306746701</v>
      </c>
      <c r="AN6319">
        <v>1.00000007754308</v>
      </c>
    </row>
    <row r="6320" spans="1:40" x14ac:dyDescent="0.25">
      <c r="A6320" t="str">
        <f>"20190312173051057"</f>
        <v>20190312173051057</v>
      </c>
      <c r="B6320" t="str">
        <f>"1552383051054372"</f>
        <v>1552383051054372</v>
      </c>
      <c r="C6320" t="s">
        <v>40</v>
      </c>
      <c r="D6320">
        <v>3.1858840000000002</v>
      </c>
      <c r="E6320">
        <v>0.48637419999999998</v>
      </c>
      <c r="F6320" t="s">
        <v>42</v>
      </c>
      <c r="G6320">
        <v>-259.971</v>
      </c>
      <c r="H6320">
        <v>1.0371549999999901</v>
      </c>
      <c r="I6320">
        <v>-63.338949999999997</v>
      </c>
      <c r="J6320">
        <v>-260.76760000000002</v>
      </c>
      <c r="K6320">
        <v>1.1101719999999999</v>
      </c>
      <c r="L6320">
        <v>-63.398380000000003</v>
      </c>
      <c r="M6320">
        <v>0.99856639999999997</v>
      </c>
      <c r="N6320">
        <v>0</v>
      </c>
      <c r="O6320">
        <v>5.3065090000000002E-2</v>
      </c>
      <c r="P6320">
        <v>0.98535220000000001</v>
      </c>
      <c r="Q6320">
        <v>0.16863110000000001</v>
      </c>
      <c r="R6320">
        <v>2.539112E-2</v>
      </c>
      <c r="S6320">
        <v>3.0795590000000002</v>
      </c>
      <c r="T6320">
        <v>-0.23785539999999999</v>
      </c>
      <c r="U6320">
        <v>0.2219238</v>
      </c>
      <c r="V6320">
        <v>2.6508460000000001E-2</v>
      </c>
      <c r="W6320">
        <v>0.1756086</v>
      </c>
      <c r="X6320">
        <v>0.98410310000000001</v>
      </c>
      <c r="Y6320">
        <v>-1.8947579999999999E-2</v>
      </c>
      <c r="Z6320">
        <v>-3.3542250000000002E-3</v>
      </c>
      <c r="AA6320">
        <v>0.99981489999999995</v>
      </c>
      <c r="AB6320">
        <v>29</v>
      </c>
      <c r="AC6320">
        <v>0.79660000000001197</v>
      </c>
      <c r="AD6320">
        <v>-7.3017000000000096E-2</v>
      </c>
      <c r="AE6320">
        <v>5.9430000000005999E-2</v>
      </c>
      <c r="AF6320">
        <v>-1.69320997420098E-2</v>
      </c>
      <c r="AG6320">
        <v>-7.3017000000000096E-2</v>
      </c>
      <c r="AH6320">
        <v>0.79201388104538895</v>
      </c>
      <c r="AI6320">
        <v>95.266102044948099</v>
      </c>
      <c r="AJ6320">
        <v>91.2247135048367</v>
      </c>
      <c r="AK6320">
        <v>0.79555274247484897</v>
      </c>
      <c r="AL6320">
        <v>79.885923147124103</v>
      </c>
      <c r="AM6320">
        <v>88.457015637262501</v>
      </c>
      <c r="AN6320">
        <v>0.99999999513756999</v>
      </c>
    </row>
    <row r="6321" spans="1:40" x14ac:dyDescent="0.25">
      <c r="A6321" t="str">
        <f>"20190312173051069"</f>
        <v>20190312173051069</v>
      </c>
      <c r="B6321" t="str">
        <f>"1552383051064135"</f>
        <v>1552383051064135</v>
      </c>
      <c r="C6321" t="s">
        <v>40</v>
      </c>
      <c r="D6321">
        <v>3.2028460000000001</v>
      </c>
      <c r="E6321">
        <v>0.48626249999999999</v>
      </c>
      <c r="F6321" t="s">
        <v>60</v>
      </c>
      <c r="G6321">
        <v>-245.66829999999999</v>
      </c>
      <c r="H6321" s="1">
        <v>-1.9317000000000001E-6</v>
      </c>
      <c r="I6321">
        <v>-62.311149999999998</v>
      </c>
      <c r="J6321">
        <v>-260.63040000000001</v>
      </c>
      <c r="K6321">
        <v>1.1101179999999999</v>
      </c>
      <c r="L6321">
        <v>-63.390529999999998</v>
      </c>
      <c r="M6321">
        <v>0.99853800000000004</v>
      </c>
      <c r="N6321">
        <v>0</v>
      </c>
      <c r="O6321">
        <v>5.3598699999999999E-2</v>
      </c>
      <c r="P6321">
        <v>0.98537909999999995</v>
      </c>
      <c r="Q6321">
        <v>0.16855729999999999</v>
      </c>
      <c r="R6321">
        <v>2.4838030000000001E-2</v>
      </c>
      <c r="S6321">
        <v>3.0775760000000001</v>
      </c>
      <c r="T6321">
        <v>-0.2262787</v>
      </c>
      <c r="U6321">
        <v>0.22158810000000001</v>
      </c>
      <c r="V6321">
        <v>2.7612250000000001E-2</v>
      </c>
      <c r="W6321">
        <v>0.175534</v>
      </c>
      <c r="X6321">
        <v>0.98408600000000002</v>
      </c>
      <c r="Y6321">
        <v>-1.8344590000000001E-2</v>
      </c>
      <c r="Z6321">
        <v>-3.2546390000000001E-3</v>
      </c>
      <c r="AA6321">
        <v>0.9998264</v>
      </c>
      <c r="AB6321">
        <v>29</v>
      </c>
      <c r="AC6321">
        <v>14.9621</v>
      </c>
      <c r="AD6321">
        <v>-1.1101199316999999</v>
      </c>
      <c r="AE6321">
        <v>1.07938</v>
      </c>
      <c r="AF6321">
        <v>-0.27435709445305401</v>
      </c>
      <c r="AG6321">
        <v>-1.1101199316999999</v>
      </c>
      <c r="AH6321">
        <v>14.916755459879401</v>
      </c>
      <c r="AI6321">
        <v>94.255446421200801</v>
      </c>
      <c r="AJ6321">
        <v>91.053696390777901</v>
      </c>
      <c r="AK6321">
        <v>14.960522434991301</v>
      </c>
      <c r="AL6321">
        <v>79.890264274136001</v>
      </c>
      <c r="AM6321">
        <v>88.392772176595301</v>
      </c>
      <c r="AN6321">
        <v>0.99999993845102897</v>
      </c>
    </row>
    <row r="6322" spans="1:40" x14ac:dyDescent="0.25">
      <c r="A6322" t="str">
        <f>"20190312173051079"</f>
        <v>20190312173051079</v>
      </c>
      <c r="B6322" t="str">
        <f>"1552383051073895"</f>
        <v>1552383051073895</v>
      </c>
      <c r="C6322" t="s">
        <v>40</v>
      </c>
      <c r="D6322">
        <v>3.2152859999999999</v>
      </c>
      <c r="E6322">
        <v>0.48619069999999998</v>
      </c>
      <c r="F6322" t="s">
        <v>60</v>
      </c>
      <c r="G6322">
        <v>-244.82149999999999</v>
      </c>
      <c r="H6322" s="1">
        <v>-1.5544709999999999E-6</v>
      </c>
      <c r="I6322">
        <v>-62.258800000000001</v>
      </c>
      <c r="J6322">
        <v>-260.48140000000001</v>
      </c>
      <c r="K6322">
        <v>1.110058</v>
      </c>
      <c r="L6322">
        <v>-63.381990000000002</v>
      </c>
      <c r="M6322">
        <v>0.99850859999999997</v>
      </c>
      <c r="N6322">
        <v>0</v>
      </c>
      <c r="O6322">
        <v>5.4141099999999998E-2</v>
      </c>
      <c r="P6322">
        <v>0.98537770000000002</v>
      </c>
      <c r="Q6322">
        <v>0.1685953</v>
      </c>
      <c r="R6322">
        <v>2.463168E-2</v>
      </c>
      <c r="S6322">
        <v>3.0758670000000001</v>
      </c>
      <c r="T6322">
        <v>-0.21599099999999999</v>
      </c>
      <c r="U6322">
        <v>0.2201843</v>
      </c>
      <c r="V6322">
        <v>2.8378670000000002E-2</v>
      </c>
      <c r="W6322">
        <v>0.17557010000000001</v>
      </c>
      <c r="X6322">
        <v>0.98405779999999998</v>
      </c>
      <c r="Y6322">
        <v>-1.7382680000000001E-2</v>
      </c>
      <c r="Z6322">
        <v>-3.1804229999999999E-3</v>
      </c>
      <c r="AA6322">
        <v>0.99984379999999995</v>
      </c>
      <c r="AB6322">
        <v>29</v>
      </c>
      <c r="AC6322">
        <v>15.6599</v>
      </c>
      <c r="AD6322">
        <v>-1.1100595544709999</v>
      </c>
      <c r="AE6322">
        <v>1.1231899999999999</v>
      </c>
      <c r="AF6322">
        <v>-0.27231609346334001</v>
      </c>
      <c r="AG6322">
        <v>-1.1100595544709999</v>
      </c>
      <c r="AH6322">
        <v>15.6196594331371</v>
      </c>
      <c r="AI6322">
        <v>94.064452154453306</v>
      </c>
      <c r="AJ6322">
        <v>90.998804256865199</v>
      </c>
      <c r="AK6322">
        <v>15.6614223197135</v>
      </c>
      <c r="AL6322">
        <v>79.888163706229705</v>
      </c>
      <c r="AM6322">
        <v>88.3481381953153</v>
      </c>
      <c r="AN6322">
        <v>0.99999998133290902</v>
      </c>
    </row>
    <row r="6323" spans="1:40" x14ac:dyDescent="0.25">
      <c r="A6323" t="str">
        <f>"20190312173051091"</f>
        <v>20190312173051091</v>
      </c>
      <c r="B6323" t="str">
        <f>"1552383051083652"</f>
        <v>1552383051083652</v>
      </c>
      <c r="C6323" t="s">
        <v>40</v>
      </c>
      <c r="D6323">
        <v>3.2931490000000001</v>
      </c>
      <c r="E6323">
        <v>0.48606490000000002</v>
      </c>
      <c r="F6323" t="s">
        <v>60</v>
      </c>
      <c r="G6323">
        <v>-244.0266</v>
      </c>
      <c r="H6323" s="1">
        <v>-1.199312E-6</v>
      </c>
      <c r="I6323">
        <v>-62.205629999999999</v>
      </c>
      <c r="J6323">
        <v>-260.33999999999997</v>
      </c>
      <c r="K6323">
        <v>1.110001</v>
      </c>
      <c r="L6323">
        <v>-63.373840000000001</v>
      </c>
      <c r="M6323">
        <v>0.99848340000000002</v>
      </c>
      <c r="N6323">
        <v>0</v>
      </c>
      <c r="O6323">
        <v>5.4604350000000003E-2</v>
      </c>
      <c r="P6323">
        <v>0.98537470000000005</v>
      </c>
      <c r="Q6323">
        <v>0.168688</v>
      </c>
      <c r="R6323">
        <v>2.4110650000000001E-2</v>
      </c>
      <c r="S6323">
        <v>3.0745239999999998</v>
      </c>
      <c r="T6323">
        <v>-0.20741019999999999</v>
      </c>
      <c r="U6323">
        <v>0.2197876</v>
      </c>
      <c r="V6323">
        <v>2.9379840000000001E-2</v>
      </c>
      <c r="W6323">
        <v>0.17566219999999999</v>
      </c>
      <c r="X6323">
        <v>0.984012</v>
      </c>
      <c r="Y6323">
        <v>-1.6816939999999999E-2</v>
      </c>
      <c r="Z6323">
        <v>-3.1058560000000002E-3</v>
      </c>
      <c r="AA6323">
        <v>0.99985380000000001</v>
      </c>
      <c r="AB6323">
        <v>29</v>
      </c>
      <c r="AC6323">
        <v>16.313399999999898</v>
      </c>
      <c r="AD6323">
        <v>-1.1100021993119999</v>
      </c>
      <c r="AE6323">
        <v>1.16820999999999</v>
      </c>
      <c r="AF6323">
        <v>-0.27439856104078603</v>
      </c>
      <c r="AG6323">
        <v>-1.1100021993119999</v>
      </c>
      <c r="AH6323">
        <v>16.2778730678579</v>
      </c>
      <c r="AI6323">
        <v>93.900457094844995</v>
      </c>
      <c r="AJ6323">
        <v>90.965752125322595</v>
      </c>
      <c r="AK6323">
        <v>16.317982444716399</v>
      </c>
      <c r="AL6323">
        <v>79.882803648795104</v>
      </c>
      <c r="AM6323">
        <v>88.289816693110197</v>
      </c>
      <c r="AN6323">
        <v>0.99999999982563204</v>
      </c>
    </row>
    <row r="6324" spans="1:40" x14ac:dyDescent="0.25">
      <c r="A6324" t="str">
        <f>"20190312173051102"</f>
        <v>20190312173051102</v>
      </c>
      <c r="B6324" t="str">
        <f>"1552383051094388"</f>
        <v>1552383051094388</v>
      </c>
      <c r="C6324" t="s">
        <v>40</v>
      </c>
      <c r="D6324">
        <v>3.1861830000000002</v>
      </c>
      <c r="E6324">
        <v>0.48601339999999998</v>
      </c>
      <c r="F6324" t="s">
        <v>60</v>
      </c>
      <c r="G6324">
        <v>-243.1806</v>
      </c>
      <c r="H6324" s="1">
        <v>-8.2234449999999895E-7</v>
      </c>
      <c r="I6324">
        <v>-62.152889999999999</v>
      </c>
      <c r="J6324">
        <v>-260.19439999999997</v>
      </c>
      <c r="K6324">
        <v>1.109945</v>
      </c>
      <c r="L6324">
        <v>-63.365419999999901</v>
      </c>
      <c r="M6324">
        <v>0.99845859999999997</v>
      </c>
      <c r="N6324">
        <v>0</v>
      </c>
      <c r="O6324">
        <v>5.5059650000000002E-2</v>
      </c>
      <c r="P6324">
        <v>0.98535589999999995</v>
      </c>
      <c r="Q6324">
        <v>0.1688086</v>
      </c>
      <c r="R6324">
        <v>2.4032830000000002E-2</v>
      </c>
      <c r="S6324">
        <v>3.0732119999999998</v>
      </c>
      <c r="T6324">
        <v>-0.19879839999999999</v>
      </c>
      <c r="U6324">
        <v>0.2186584</v>
      </c>
      <c r="V6324">
        <v>2.993059E-2</v>
      </c>
      <c r="W6324">
        <v>0.175780399999999</v>
      </c>
      <c r="X6324">
        <v>0.98397429999999997</v>
      </c>
      <c r="Y6324">
        <v>-1.6021609999999999E-2</v>
      </c>
      <c r="Z6324">
        <v>-3.0334720000000002E-3</v>
      </c>
      <c r="AA6324">
        <v>0.99986699999999995</v>
      </c>
      <c r="AB6324">
        <v>29</v>
      </c>
      <c r="AC6324">
        <v>17.0137999999999</v>
      </c>
      <c r="AD6324">
        <v>-1.1099458223445</v>
      </c>
      <c r="AE6324">
        <v>1.2125299999999899</v>
      </c>
      <c r="AF6324">
        <v>-0.272738915160602</v>
      </c>
      <c r="AG6324">
        <v>-1.1099458223445</v>
      </c>
      <c r="AH6324">
        <v>16.982839455578802</v>
      </c>
      <c r="AI6324">
        <v>93.738875855341803</v>
      </c>
      <c r="AJ6324">
        <v>90.920072614746701</v>
      </c>
      <c r="AK6324">
        <v>17.021257363025398</v>
      </c>
      <c r="AL6324">
        <v>79.8759243085142</v>
      </c>
      <c r="AM6324">
        <v>88.257710723441903</v>
      </c>
      <c r="AN6324">
        <v>1.00000000615119</v>
      </c>
    </row>
    <row r="6325" spans="1:40" x14ac:dyDescent="0.25">
      <c r="A6325" t="str">
        <f>"20190312173051113"</f>
        <v>20190312173051113</v>
      </c>
      <c r="B6325" t="str">
        <f>"1552383051104148"</f>
        <v>1552383051104148</v>
      </c>
      <c r="C6325" t="s">
        <v>40</v>
      </c>
      <c r="D6325">
        <v>3.2479879999999999</v>
      </c>
      <c r="E6325">
        <v>0.48601290000000003</v>
      </c>
      <c r="F6325" t="s">
        <v>60</v>
      </c>
      <c r="G6325">
        <v>-242.45820000000001</v>
      </c>
      <c r="H6325" s="1">
        <v>-4.9952209999999996E-7</v>
      </c>
      <c r="I6325">
        <v>-62.10425</v>
      </c>
      <c r="J6325">
        <v>-260.04059999999998</v>
      </c>
      <c r="K6325">
        <v>1.10988</v>
      </c>
      <c r="L6325">
        <v>-63.356479999999998</v>
      </c>
      <c r="M6325">
        <v>0.99843599999999999</v>
      </c>
      <c r="N6325">
        <v>0</v>
      </c>
      <c r="O6325">
        <v>5.5464949999999999E-2</v>
      </c>
      <c r="P6325">
        <v>0.98533309999999996</v>
      </c>
      <c r="Q6325">
        <v>0.16899710000000001</v>
      </c>
      <c r="R6325">
        <v>2.3638470000000002E-2</v>
      </c>
      <c r="S6325">
        <v>3.0722049999999999</v>
      </c>
      <c r="T6325">
        <v>-0.1922615</v>
      </c>
      <c r="U6325">
        <v>0.21844479999999999</v>
      </c>
      <c r="V6325">
        <v>3.0750130000000001E-2</v>
      </c>
      <c r="W6325">
        <v>0.17596729999999899</v>
      </c>
      <c r="X6325">
        <v>0.9839156</v>
      </c>
      <c r="Y6325">
        <v>-1.556623E-2</v>
      </c>
      <c r="Z6325">
        <v>-2.9743600000000001E-3</v>
      </c>
      <c r="AA6325">
        <v>0.99987440000000005</v>
      </c>
      <c r="AB6325">
        <v>29</v>
      </c>
      <c r="AC6325">
        <v>17.5823999999999</v>
      </c>
      <c r="AD6325">
        <v>-1.1098804995221001</v>
      </c>
      <c r="AE6325">
        <v>1.25223</v>
      </c>
      <c r="AF6325">
        <v>-0.27398510143863097</v>
      </c>
      <c r="AG6325">
        <v>-1.1098804995221001</v>
      </c>
      <c r="AH6325">
        <v>17.555190302606899</v>
      </c>
      <c r="AI6325">
        <v>93.617120115515206</v>
      </c>
      <c r="AJ6325">
        <v>90.894146704519699</v>
      </c>
      <c r="AK6325">
        <v>17.5923736067585</v>
      </c>
      <c r="AL6325">
        <v>79.865045945348101</v>
      </c>
      <c r="AM6325">
        <v>88.209928390792697</v>
      </c>
      <c r="AN6325">
        <v>0.99999998454383299</v>
      </c>
    </row>
    <row r="6326" spans="1:40" x14ac:dyDescent="0.25">
      <c r="A6326" t="str">
        <f>"20190312173051124"</f>
        <v>20190312173051124</v>
      </c>
      <c r="B6326" t="str">
        <f>"1552383051113908"</f>
        <v>1552383051113908</v>
      </c>
      <c r="C6326" t="s">
        <v>40</v>
      </c>
      <c r="D6326">
        <v>3.474005</v>
      </c>
      <c r="E6326">
        <v>0.48602919999999999</v>
      </c>
      <c r="F6326" t="s">
        <v>60</v>
      </c>
      <c r="G6326">
        <v>-242.12739999999999</v>
      </c>
      <c r="H6326" s="1">
        <v>-3.5417359999999898E-7</v>
      </c>
      <c r="I6326">
        <v>-62.091380000000001</v>
      </c>
      <c r="J6326">
        <v>-259.9051</v>
      </c>
      <c r="K6326">
        <v>1.1098239999999999</v>
      </c>
      <c r="L6326">
        <v>-63.348599999999998</v>
      </c>
      <c r="M6326">
        <v>0.99841679999999999</v>
      </c>
      <c r="N6326">
        <v>0</v>
      </c>
      <c r="O6326">
        <v>5.5806929999999998E-2</v>
      </c>
      <c r="P6326">
        <v>0.98532679999999995</v>
      </c>
      <c r="Q6326">
        <v>0.1690556</v>
      </c>
      <c r="R6326">
        <v>2.3479969999999999E-2</v>
      </c>
      <c r="S6326">
        <v>3.0720830000000001</v>
      </c>
      <c r="T6326">
        <v>-0.19034180000000001</v>
      </c>
      <c r="U6326">
        <v>0.21694949999999999</v>
      </c>
      <c r="V6326">
        <v>3.1269659999999998E-2</v>
      </c>
      <c r="W6326">
        <v>0.17602409999999999</v>
      </c>
      <c r="X6326">
        <v>0.98388909999999996</v>
      </c>
      <c r="Y6326">
        <v>-1.4742969999999999E-2</v>
      </c>
      <c r="Z6326">
        <v>-2.9914429999999999E-3</v>
      </c>
      <c r="AA6326">
        <v>0.99988690000000002</v>
      </c>
      <c r="AB6326">
        <v>29</v>
      </c>
      <c r="AC6326">
        <v>17.777699999999999</v>
      </c>
      <c r="AD6326">
        <v>-1.1098243541735999</v>
      </c>
      <c r="AE6326">
        <v>1.25721999999998</v>
      </c>
      <c r="AF6326">
        <v>-0.26210083223679298</v>
      </c>
      <c r="AG6326">
        <v>-1.1098243541735999</v>
      </c>
      <c r="AH6326">
        <v>17.751319888978198</v>
      </c>
      <c r="AI6326">
        <v>93.5771249905454</v>
      </c>
      <c r="AJ6326">
        <v>90.845919088149898</v>
      </c>
      <c r="AK6326">
        <v>17.787910634591402</v>
      </c>
      <c r="AL6326">
        <v>79.861740286805997</v>
      </c>
      <c r="AM6326">
        <v>88.179655932559896</v>
      </c>
      <c r="AN6326">
        <v>1.00000001825806</v>
      </c>
    </row>
    <row r="6327" spans="1:40" x14ac:dyDescent="0.25">
      <c r="A6327" t="str">
        <f>"20190312173051136"</f>
        <v>20190312173051136</v>
      </c>
      <c r="B6327" t="str">
        <f>"1552383051123668"</f>
        <v>1552383051123668</v>
      </c>
      <c r="C6327" t="s">
        <v>40</v>
      </c>
      <c r="D6327">
        <v>3.3009520000000001</v>
      </c>
      <c r="E6327">
        <v>0.48600929999999998</v>
      </c>
      <c r="F6327" t="s">
        <v>60</v>
      </c>
      <c r="G6327">
        <v>-241.6651</v>
      </c>
      <c r="H6327" s="1">
        <v>-1.487088E-7</v>
      </c>
      <c r="I6327">
        <v>-62.064579999999999</v>
      </c>
      <c r="J6327">
        <v>-259.75700000000001</v>
      </c>
      <c r="K6327">
        <v>1.1097619999999999</v>
      </c>
      <c r="L6327">
        <v>-63.339970000000001</v>
      </c>
      <c r="M6327">
        <v>0.99839990000000001</v>
      </c>
      <c r="N6327">
        <v>0</v>
      </c>
      <c r="O6327">
        <v>5.610921E-2</v>
      </c>
      <c r="P6327">
        <v>0.98534520000000003</v>
      </c>
      <c r="Q6327">
        <v>0.16896040000000001</v>
      </c>
      <c r="R6327">
        <v>2.3391490000000001E-2</v>
      </c>
      <c r="S6327">
        <v>3.0715940000000002</v>
      </c>
      <c r="T6327">
        <v>-0.186893</v>
      </c>
      <c r="U6327">
        <v>0.21621699999999999</v>
      </c>
      <c r="V6327">
        <v>3.1685310000000001E-2</v>
      </c>
      <c r="W6327">
        <v>0.17592650000000001</v>
      </c>
      <c r="X6327">
        <v>0.98389329999999997</v>
      </c>
      <c r="Y6327">
        <v>-1.421292E-2</v>
      </c>
      <c r="Z6327">
        <v>-2.9722400000000001E-3</v>
      </c>
      <c r="AA6327">
        <v>0.99989459999999997</v>
      </c>
      <c r="AB6327">
        <v>29</v>
      </c>
      <c r="AC6327">
        <v>18.091899999999999</v>
      </c>
      <c r="AD6327">
        <v>-1.1097621487088001</v>
      </c>
      <c r="AE6327">
        <v>1.27538999999998</v>
      </c>
      <c r="AF6327">
        <v>-0.25727018443250599</v>
      </c>
      <c r="AG6327">
        <v>-1.1097621487088001</v>
      </c>
      <c r="AH6327">
        <v>18.0673157284293</v>
      </c>
      <c r="AI6327">
        <v>93.514549809473905</v>
      </c>
      <c r="AJ6327">
        <v>90.815810152588</v>
      </c>
      <c r="AK6327">
        <v>18.103194679537999</v>
      </c>
      <c r="AL6327">
        <v>79.867421422230294</v>
      </c>
      <c r="AM6327">
        <v>88.155483596522103</v>
      </c>
      <c r="AN6327">
        <v>1.0000000590284599</v>
      </c>
    </row>
    <row r="6328" spans="1:40" x14ac:dyDescent="0.25">
      <c r="A6328" t="str">
        <f>"20190312173051147"</f>
        <v>20190312173051147</v>
      </c>
      <c r="B6328" t="str">
        <f>"1552383051144165"</f>
        <v>1552383051144165</v>
      </c>
      <c r="C6328" t="s">
        <v>40</v>
      </c>
      <c r="D6328">
        <v>3.2915839999999998</v>
      </c>
      <c r="E6328">
        <v>0.48602309999999999</v>
      </c>
      <c r="F6328" t="s">
        <v>60</v>
      </c>
      <c r="G6328">
        <v>-241.2594</v>
      </c>
      <c r="H6328" s="1">
        <v>3.2161550000000003E-8</v>
      </c>
      <c r="I6328">
        <v>-62.038879999999999</v>
      </c>
      <c r="J6328">
        <v>-259.61380000000003</v>
      </c>
      <c r="K6328">
        <v>1.109699</v>
      </c>
      <c r="L6328">
        <v>-63.331600000000002</v>
      </c>
      <c r="M6328">
        <v>0.99838470000000001</v>
      </c>
      <c r="N6328">
        <v>0</v>
      </c>
      <c r="O6328">
        <v>5.6377150000000001E-2</v>
      </c>
      <c r="P6328">
        <v>0.98539160000000003</v>
      </c>
      <c r="Q6328">
        <v>0.1687594</v>
      </c>
      <c r="R6328">
        <v>2.2884470000000001E-2</v>
      </c>
      <c r="S6328">
        <v>3.071075</v>
      </c>
      <c r="T6328">
        <v>-0.1842492</v>
      </c>
      <c r="U6328">
        <v>0.21600340000000001</v>
      </c>
      <c r="V6328">
        <v>3.2485819999999999E-2</v>
      </c>
      <c r="W6328">
        <v>0.17572409999999999</v>
      </c>
      <c r="X6328">
        <v>0.98390330000000004</v>
      </c>
      <c r="Y6328">
        <v>-1.388612E-2</v>
      </c>
      <c r="Z6328">
        <v>-2.95656E-3</v>
      </c>
      <c r="AA6328">
        <v>0.99989919999999999</v>
      </c>
      <c r="AB6328">
        <v>29</v>
      </c>
      <c r="AC6328">
        <v>18.354399999999998</v>
      </c>
      <c r="AD6328">
        <v>-1.1096989678384499</v>
      </c>
      <c r="AE6328">
        <v>1.2927199999999901</v>
      </c>
      <c r="AF6328">
        <v>-0.25494214902981999</v>
      </c>
      <c r="AG6328">
        <v>-1.1096989678384499</v>
      </c>
      <c r="AH6328">
        <v>18.331411230612101</v>
      </c>
      <c r="AI6328">
        <v>93.463860283180694</v>
      </c>
      <c r="AJ6328">
        <v>90.796783582964096</v>
      </c>
      <c r="AK6328">
        <v>18.366738006635401</v>
      </c>
      <c r="AL6328">
        <v>79.879200959466104</v>
      </c>
      <c r="AM6328">
        <v>88.108935642482194</v>
      </c>
      <c r="AN6328">
        <v>0.99999999578638599</v>
      </c>
    </row>
    <row r="6329" spans="1:40" x14ac:dyDescent="0.25">
      <c r="A6329" t="str">
        <f>"20190312173051157"</f>
        <v>20190312173051157</v>
      </c>
      <c r="B6329" t="str">
        <f>"1552383051153924"</f>
        <v>1552383051153924</v>
      </c>
      <c r="C6329" t="s">
        <v>40</v>
      </c>
      <c r="D6329">
        <v>3.3205809999999998</v>
      </c>
      <c r="E6329">
        <v>0.48604439999999999</v>
      </c>
      <c r="F6329" t="s">
        <v>60</v>
      </c>
      <c r="G6329">
        <v>-240.613</v>
      </c>
      <c r="H6329" s="1">
        <v>3.176735E-7</v>
      </c>
      <c r="I6329">
        <v>-62.007980000000003</v>
      </c>
      <c r="J6329">
        <v>-259.46280000000002</v>
      </c>
      <c r="K6329">
        <v>1.1096299999999999</v>
      </c>
      <c r="L6329">
        <v>-63.322809999999997</v>
      </c>
      <c r="M6329">
        <v>0.99837169999999997</v>
      </c>
      <c r="N6329">
        <v>0</v>
      </c>
      <c r="O6329">
        <v>5.6608409999999998E-2</v>
      </c>
      <c r="P6329">
        <v>0.98534429999999995</v>
      </c>
      <c r="Q6329">
        <v>0.1690604</v>
      </c>
      <c r="R6329">
        <v>2.2698579999999999E-2</v>
      </c>
      <c r="S6329">
        <v>3.0702210000000001</v>
      </c>
      <c r="T6329">
        <v>-0.17930979999999999</v>
      </c>
      <c r="U6329">
        <v>0.21386720000000001</v>
      </c>
      <c r="V6329">
        <v>3.292511E-2</v>
      </c>
      <c r="W6329">
        <v>0.17602219999999999</v>
      </c>
      <c r="X6329">
        <v>0.98383540000000003</v>
      </c>
      <c r="Y6329">
        <v>-1.2979620000000001E-2</v>
      </c>
      <c r="Z6329">
        <v>-2.9181860000000001E-3</v>
      </c>
      <c r="AA6329">
        <v>0.99991149999999995</v>
      </c>
      <c r="AB6329">
        <v>29</v>
      </c>
      <c r="AC6329">
        <v>18.849799999999998</v>
      </c>
      <c r="AD6329">
        <v>-1.1096296823264999</v>
      </c>
      <c r="AE6329">
        <v>1.31482999999999</v>
      </c>
      <c r="AF6329">
        <v>-0.24479374736853601</v>
      </c>
      <c r="AG6329">
        <v>-1.1096296823264999</v>
      </c>
      <c r="AH6329">
        <v>18.829071616112198</v>
      </c>
      <c r="AI6329">
        <v>93.372354103434802</v>
      </c>
      <c r="AJ6329">
        <v>90.744851298451096</v>
      </c>
      <c r="AK6329">
        <v>18.863327912521999</v>
      </c>
      <c r="AL6329">
        <v>79.861850545299902</v>
      </c>
      <c r="AM6329">
        <v>88.083250462929996</v>
      </c>
      <c r="AN6329">
        <v>0.99999998602725504</v>
      </c>
    </row>
    <row r="6330" spans="1:40" x14ac:dyDescent="0.25">
      <c r="A6330" t="str">
        <f>"20190312173051169"</f>
        <v>20190312173051169</v>
      </c>
      <c r="B6330" t="str">
        <f>"1552383051163698"</f>
        <v>1552383051163698</v>
      </c>
      <c r="C6330" t="s">
        <v>40</v>
      </c>
      <c r="D6330">
        <v>3.2655129999999999</v>
      </c>
      <c r="E6330">
        <v>0.48606149999999998</v>
      </c>
      <c r="F6330" t="s">
        <v>60</v>
      </c>
      <c r="G6330">
        <v>-240.07429999999999</v>
      </c>
      <c r="H6330" s="1">
        <v>5.5667490000000001E-7</v>
      </c>
      <c r="I6330">
        <v>-61.978360000000002</v>
      </c>
      <c r="J6330">
        <v>-259.31639999999999</v>
      </c>
      <c r="K6330">
        <v>1.1095660000000001</v>
      </c>
      <c r="L6330">
        <v>-63.314300000000003</v>
      </c>
      <c r="M6330">
        <v>0.99836130000000001</v>
      </c>
      <c r="N6330">
        <v>0</v>
      </c>
      <c r="O6330">
        <v>5.6789180000000002E-2</v>
      </c>
      <c r="P6330">
        <v>0.98539149999999998</v>
      </c>
      <c r="Q6330">
        <v>0.168826</v>
      </c>
      <c r="R6330">
        <v>2.2391669999999999E-2</v>
      </c>
      <c r="S6330">
        <v>3.0698240000000001</v>
      </c>
      <c r="T6330">
        <v>-0.17568979999999901</v>
      </c>
      <c r="U6330">
        <v>0.2128601</v>
      </c>
      <c r="V6330">
        <v>3.3440490000000003E-2</v>
      </c>
      <c r="W6330">
        <v>0.17578559999999999</v>
      </c>
      <c r="X6330">
        <v>0.98386030000000002</v>
      </c>
      <c r="Y6330">
        <v>-1.2479240000000001E-2</v>
      </c>
      <c r="Z6330">
        <v>-2.8843689999999999E-3</v>
      </c>
      <c r="AA6330">
        <v>0.99991799999999997</v>
      </c>
      <c r="AB6330">
        <v>29</v>
      </c>
      <c r="AC6330">
        <v>19.242099999999901</v>
      </c>
      <c r="AD6330">
        <v>-1.1095654433251001</v>
      </c>
      <c r="AE6330">
        <v>1.3359399999999999</v>
      </c>
      <c r="AF6330">
        <v>-0.24021879151435499</v>
      </c>
      <c r="AG6330">
        <v>-1.1095654433251001</v>
      </c>
      <c r="AH6330">
        <v>19.2233020135041</v>
      </c>
      <c r="AI6330">
        <v>93.303179194267599</v>
      </c>
      <c r="AJ6330">
        <v>90.715943938934601</v>
      </c>
      <c r="AK6330">
        <v>19.256795705496</v>
      </c>
      <c r="AL6330">
        <v>79.875621254523196</v>
      </c>
      <c r="AM6330">
        <v>88.053319531755093</v>
      </c>
      <c r="AN6330">
        <v>0.99999996672744396</v>
      </c>
    </row>
    <row r="6331" spans="1:40" x14ac:dyDescent="0.25">
      <c r="A6331" t="str">
        <f>"20190312173051180"</f>
        <v>20190312173051180</v>
      </c>
      <c r="B6331" t="str">
        <f>"1552383051173444"</f>
        <v>1552383051173444</v>
      </c>
      <c r="C6331" t="s">
        <v>40</v>
      </c>
      <c r="D6331">
        <v>3.224126</v>
      </c>
      <c r="E6331">
        <v>0.48600529999999997</v>
      </c>
      <c r="F6331" t="s">
        <v>61</v>
      </c>
      <c r="G6331">
        <v>-239.74449999999999</v>
      </c>
      <c r="H6331" s="1">
        <v>-3.471011E-6</v>
      </c>
      <c r="I6331">
        <v>-61.966920000000002</v>
      </c>
      <c r="J6331">
        <v>-259.17329999999998</v>
      </c>
      <c r="K6331">
        <v>1.1095029999999999</v>
      </c>
      <c r="L6331">
        <v>-63.305970000000002</v>
      </c>
      <c r="M6331">
        <v>0.99835320000000005</v>
      </c>
      <c r="N6331">
        <v>0</v>
      </c>
      <c r="O6331">
        <v>5.6933879999999999E-2</v>
      </c>
      <c r="P6331">
        <v>0.98534849999999996</v>
      </c>
      <c r="Q6331">
        <v>0.1691414</v>
      </c>
      <c r="R6331">
        <v>2.1909359999999999E-2</v>
      </c>
      <c r="S6331">
        <v>3.0694889999999999</v>
      </c>
      <c r="T6331">
        <v>-0.17401559999999999</v>
      </c>
      <c r="U6331">
        <v>0.21130370000000001</v>
      </c>
      <c r="V6331">
        <v>3.4089139999999997E-2</v>
      </c>
      <c r="W6331">
        <v>0.1760987</v>
      </c>
      <c r="X6331">
        <v>0.98378209999999999</v>
      </c>
      <c r="Y6331">
        <v>-1.1837159999999999E-2</v>
      </c>
      <c r="Z6331">
        <v>-2.883633E-3</v>
      </c>
      <c r="AA6331">
        <v>0.99992579999999998</v>
      </c>
      <c r="AB6331">
        <v>29</v>
      </c>
      <c r="AC6331">
        <v>19.428799999999899</v>
      </c>
      <c r="AD6331">
        <v>-1.1095064710110001</v>
      </c>
      <c r="AE6331">
        <v>1.3390500000000001</v>
      </c>
      <c r="AF6331">
        <v>-0.229947243387534</v>
      </c>
      <c r="AG6331">
        <v>-1.1095064710110001</v>
      </c>
      <c r="AH6331">
        <v>19.4105222541017</v>
      </c>
      <c r="AI6331">
        <v>93.271240900135496</v>
      </c>
      <c r="AJ6331">
        <v>90.678724153254606</v>
      </c>
      <c r="AK6331">
        <v>19.443565890055599</v>
      </c>
      <c r="AL6331">
        <v>79.857398222255298</v>
      </c>
      <c r="AM6331">
        <v>88.015431779971493</v>
      </c>
      <c r="AN6331">
        <v>1.0000000209440101</v>
      </c>
    </row>
    <row r="6332" spans="1:40" x14ac:dyDescent="0.25">
      <c r="A6332" t="str">
        <f>"20190312173051191"</f>
        <v>20190312173051191</v>
      </c>
      <c r="B6332" t="str">
        <f>"1552383051184179"</f>
        <v>1552383051184179</v>
      </c>
      <c r="C6332" t="s">
        <v>40</v>
      </c>
      <c r="D6332">
        <v>3.166328</v>
      </c>
      <c r="E6332">
        <v>0.48597689999999999</v>
      </c>
      <c r="F6332" t="s">
        <v>61</v>
      </c>
      <c r="G6332">
        <v>-239.1052</v>
      </c>
      <c r="H6332" s="1">
        <v>-3.2475700000000001E-6</v>
      </c>
      <c r="I6332">
        <v>-61.933810000000001</v>
      </c>
      <c r="J6332">
        <v>-259.02499999999998</v>
      </c>
      <c r="K6332">
        <v>1.10944</v>
      </c>
      <c r="L6332">
        <v>-63.29739</v>
      </c>
      <c r="M6332">
        <v>0.9983476</v>
      </c>
      <c r="N6332">
        <v>0</v>
      </c>
      <c r="O6332">
        <v>5.7030780000000003E-2</v>
      </c>
      <c r="P6332">
        <v>0.98529230000000001</v>
      </c>
      <c r="Q6332">
        <v>0.169468799999999</v>
      </c>
      <c r="R6332">
        <v>2.1893010000000001E-2</v>
      </c>
      <c r="S6332">
        <v>3.069061</v>
      </c>
      <c r="T6332">
        <v>-0.16967929999999901</v>
      </c>
      <c r="U6332">
        <v>0.20983889999999999</v>
      </c>
      <c r="V6332">
        <v>3.4224820000000003E-2</v>
      </c>
      <c r="W6332">
        <v>0.17642349999999901</v>
      </c>
      <c r="X6332">
        <v>0.98371920000000002</v>
      </c>
      <c r="Y6332">
        <v>-1.127211E-2</v>
      </c>
      <c r="Z6332">
        <v>-2.8332560000000001E-3</v>
      </c>
      <c r="AA6332">
        <v>0.9999325</v>
      </c>
      <c r="AB6332">
        <v>29</v>
      </c>
      <c r="AC6332">
        <v>19.919799999999899</v>
      </c>
      <c r="AD6332">
        <v>-1.10944324757</v>
      </c>
      <c r="AE6332">
        <v>1.36357999999999</v>
      </c>
      <c r="AF6332">
        <v>-0.224597223035296</v>
      </c>
      <c r="AG6332">
        <v>-1.10944324757</v>
      </c>
      <c r="AH6332">
        <v>19.903692223041499</v>
      </c>
      <c r="AI6332">
        <v>93.190195539503407</v>
      </c>
      <c r="AJ6332">
        <v>90.646509535689404</v>
      </c>
      <c r="AK6332">
        <v>19.935853940620099</v>
      </c>
      <c r="AL6332">
        <v>79.838492618569504</v>
      </c>
      <c r="AM6332">
        <v>88.007411951081906</v>
      </c>
      <c r="AN6332">
        <v>1.00000002705246</v>
      </c>
    </row>
    <row r="6333" spans="1:40" x14ac:dyDescent="0.25">
      <c r="A6333" t="str">
        <f>"20190312173051204"</f>
        <v>20190312173051204</v>
      </c>
      <c r="B6333" t="str">
        <f>"1552383051193940"</f>
        <v>1552383051193940</v>
      </c>
      <c r="C6333" t="s">
        <v>40</v>
      </c>
      <c r="D6333">
        <v>3.1070530000000001</v>
      </c>
      <c r="E6333">
        <v>0.4859579</v>
      </c>
      <c r="F6333" t="s">
        <v>61</v>
      </c>
      <c r="G6333">
        <v>-238.45439999999999</v>
      </c>
      <c r="H6333" s="1">
        <v>-3.0156660000000001E-6</v>
      </c>
      <c r="I6333">
        <v>-61.89311</v>
      </c>
      <c r="J6333">
        <v>-258.86919999999998</v>
      </c>
      <c r="K6333">
        <v>1.10938</v>
      </c>
      <c r="L6333">
        <v>-63.288359999999997</v>
      </c>
      <c r="M6333">
        <v>0.99834299999999998</v>
      </c>
      <c r="N6333">
        <v>0</v>
      </c>
      <c r="O6333">
        <v>5.7111969999999998E-2</v>
      </c>
      <c r="P6333">
        <v>0.98520770000000002</v>
      </c>
      <c r="Q6333">
        <v>0.17001659999999999</v>
      </c>
      <c r="R6333">
        <v>2.145377E-2</v>
      </c>
      <c r="S6333">
        <v>3.0685880000000001</v>
      </c>
      <c r="T6333">
        <v>-0.16549939999999999</v>
      </c>
      <c r="U6333">
        <v>0.20947270000000001</v>
      </c>
      <c r="V6333">
        <v>3.476638E-2</v>
      </c>
      <c r="W6333">
        <v>0.1769684</v>
      </c>
      <c r="X6333">
        <v>0.98360230000000004</v>
      </c>
      <c r="Y6333">
        <v>-1.1079550000000001E-2</v>
      </c>
      <c r="Z6333">
        <v>-2.7735469999999999E-3</v>
      </c>
      <c r="AA6333">
        <v>0.99993480000000001</v>
      </c>
      <c r="AB6333">
        <v>29</v>
      </c>
      <c r="AC6333">
        <v>20.4147999999999</v>
      </c>
      <c r="AD6333">
        <v>-1.1093830156659901</v>
      </c>
      <c r="AE6333">
        <v>1.3952499999999901</v>
      </c>
      <c r="AF6333">
        <v>-0.226348926672858</v>
      </c>
      <c r="AG6333">
        <v>-1.1093830156659901</v>
      </c>
      <c r="AH6333">
        <v>20.401198411425899</v>
      </c>
      <c r="AI6333">
        <v>93.112391834284495</v>
      </c>
      <c r="AJ6333">
        <v>90.635663936702997</v>
      </c>
      <c r="AK6333">
        <v>20.432593108424101</v>
      </c>
      <c r="AL6333">
        <v>79.806772779830695</v>
      </c>
      <c r="AM6333">
        <v>87.975667688308405</v>
      </c>
      <c r="AN6333">
        <v>1.00000000017107</v>
      </c>
    </row>
    <row r="6334" spans="1:40" x14ac:dyDescent="0.25">
      <c r="A6334" t="str">
        <f>"20190312173051214"</f>
        <v>20190312173051214</v>
      </c>
      <c r="B6334" t="str">
        <f>"1552383051203700"</f>
        <v>1552383051203700</v>
      </c>
      <c r="C6334" t="s">
        <v>40</v>
      </c>
      <c r="D6334">
        <v>3.2263820000000001</v>
      </c>
      <c r="E6334">
        <v>0.4859559</v>
      </c>
      <c r="F6334" t="s">
        <v>61</v>
      </c>
      <c r="G6334">
        <v>-237.70930000000001</v>
      </c>
      <c r="H6334" s="1">
        <v>-2.6858620000000002E-6</v>
      </c>
      <c r="I6334">
        <v>-61.854849999999999</v>
      </c>
      <c r="J6334">
        <v>-258.72149999999999</v>
      </c>
      <c r="K6334">
        <v>1.1093200000000001</v>
      </c>
      <c r="L6334">
        <v>-63.279850000000003</v>
      </c>
      <c r="M6334">
        <v>0.99834239999999996</v>
      </c>
      <c r="N6334">
        <v>0</v>
      </c>
      <c r="O6334">
        <v>5.7119450000000002E-2</v>
      </c>
      <c r="P6334">
        <v>0.98522619999999905</v>
      </c>
      <c r="Q6334">
        <v>0.16997029999999999</v>
      </c>
      <c r="R6334">
        <v>2.0958379999999999E-2</v>
      </c>
      <c r="S6334">
        <v>3.0682529999999999</v>
      </c>
      <c r="T6334">
        <v>-0.16086400000000001</v>
      </c>
      <c r="U6334">
        <v>0.20785519999999999</v>
      </c>
      <c r="V6334">
        <v>3.5295710000000001E-2</v>
      </c>
      <c r="W6334">
        <v>0.17692049999999901</v>
      </c>
      <c r="X6334">
        <v>0.98359200000000002</v>
      </c>
      <c r="Y6334">
        <v>-1.055187E-2</v>
      </c>
      <c r="Z6334">
        <v>-2.7105219999999999E-3</v>
      </c>
      <c r="AA6334">
        <v>0.99994059999999996</v>
      </c>
      <c r="AB6334">
        <v>29</v>
      </c>
      <c r="AC6334">
        <v>21.012199999999901</v>
      </c>
      <c r="AD6334">
        <v>-1.109322685862</v>
      </c>
      <c r="AE6334">
        <v>1.425</v>
      </c>
      <c r="AF6334">
        <v>-0.22182271354181801</v>
      </c>
      <c r="AG6334">
        <v>-1.109322685862</v>
      </c>
      <c r="AH6334">
        <v>21.001023305532701</v>
      </c>
      <c r="AI6334">
        <v>93.0235172815824</v>
      </c>
      <c r="AJ6334">
        <v>90.605162542990499</v>
      </c>
      <c r="AK6334">
        <v>21.031471228070099</v>
      </c>
      <c r="AL6334">
        <v>79.809560591211707</v>
      </c>
      <c r="AM6334">
        <v>87.944851266485102</v>
      </c>
      <c r="AN6334">
        <v>0.99999993646432495</v>
      </c>
    </row>
    <row r="6335" spans="1:40" x14ac:dyDescent="0.25">
      <c r="A6335" t="str">
        <f>"20190312173051226"</f>
        <v>20190312173051226</v>
      </c>
      <c r="B6335" t="str">
        <f>"1552383051213460"</f>
        <v>1552383051213460</v>
      </c>
      <c r="C6335" t="s">
        <v>40</v>
      </c>
      <c r="D6335">
        <v>3.2152560000000001</v>
      </c>
      <c r="E6335">
        <v>0.48592879999999999</v>
      </c>
      <c r="F6335" t="s">
        <v>61</v>
      </c>
      <c r="G6335">
        <v>-237.23429999999999</v>
      </c>
      <c r="H6335" s="1">
        <v>-2.477801E-6</v>
      </c>
      <c r="I6335">
        <v>-61.838749999999997</v>
      </c>
      <c r="J6335">
        <v>-258.57960000000003</v>
      </c>
      <c r="K6335">
        <v>1.1092610000000001</v>
      </c>
      <c r="L6335">
        <v>-63.271700000000003</v>
      </c>
      <c r="M6335">
        <v>0.99834290000000003</v>
      </c>
      <c r="N6335">
        <v>0</v>
      </c>
      <c r="O6335">
        <v>5.7111799999999997E-2</v>
      </c>
      <c r="P6335">
        <v>0.98517359999999998</v>
      </c>
      <c r="Q6335">
        <v>0.17028589999999999</v>
      </c>
      <c r="R6335">
        <v>2.087278E-2</v>
      </c>
      <c r="S6335">
        <v>3.0679319999999999</v>
      </c>
      <c r="T6335">
        <v>-0.15838829999999901</v>
      </c>
      <c r="U6335">
        <v>0.2057495</v>
      </c>
      <c r="V6335">
        <v>3.5395379999999997E-2</v>
      </c>
      <c r="W6335">
        <v>0.177234</v>
      </c>
      <c r="X6335">
        <v>0.98353199999999996</v>
      </c>
      <c r="Y6335">
        <v>-9.8823090000000006E-3</v>
      </c>
      <c r="Z6335">
        <v>-2.686075E-3</v>
      </c>
      <c r="AA6335">
        <v>0.99994749999999999</v>
      </c>
      <c r="AB6335">
        <v>29</v>
      </c>
      <c r="AC6335">
        <v>21.345300000000002</v>
      </c>
      <c r="AD6335">
        <v>-1.109263477801</v>
      </c>
      <c r="AE6335">
        <v>1.4329499999999999</v>
      </c>
      <c r="AF6335">
        <v>-0.21094508126943401</v>
      </c>
      <c r="AG6335">
        <v>-1.109263477801</v>
      </c>
      <c r="AH6335">
        <v>21.334939370615398</v>
      </c>
      <c r="AI6335">
        <v>92.976143492160304</v>
      </c>
      <c r="AJ6335">
        <v>90.566482464873303</v>
      </c>
      <c r="AK6335">
        <v>21.364798179209</v>
      </c>
      <c r="AL6335">
        <v>79.791310183503001</v>
      </c>
      <c r="AM6335">
        <v>87.938927201246898</v>
      </c>
      <c r="AN6335">
        <v>0.99999995935267105</v>
      </c>
    </row>
    <row r="6336" spans="1:40" x14ac:dyDescent="0.25">
      <c r="A6336" t="str">
        <f>"20190312173051235"</f>
        <v>20190312173051235</v>
      </c>
      <c r="B6336" t="str">
        <f>"1552383051233956"</f>
        <v>1552383051233956</v>
      </c>
      <c r="C6336" t="s">
        <v>40</v>
      </c>
      <c r="D6336">
        <v>3.206445</v>
      </c>
      <c r="E6336">
        <v>0.48587970000000003</v>
      </c>
      <c r="F6336" t="s">
        <v>61</v>
      </c>
      <c r="G6336">
        <v>-236.61840000000001</v>
      </c>
      <c r="H6336" s="1">
        <v>-2.2034220000000001E-6</v>
      </c>
      <c r="I6336">
        <v>-61.800609999999999</v>
      </c>
      <c r="J6336">
        <v>-258.43560000000002</v>
      </c>
      <c r="K6336">
        <v>1.109205</v>
      </c>
      <c r="L6336">
        <v>-63.263489999999997</v>
      </c>
      <c r="M6336">
        <v>0.99834630000000002</v>
      </c>
      <c r="N6336">
        <v>0</v>
      </c>
      <c r="O6336">
        <v>5.7052180000000001E-2</v>
      </c>
      <c r="P6336">
        <v>0.98522889999999996</v>
      </c>
      <c r="Q6336">
        <v>0.1699975</v>
      </c>
      <c r="R6336">
        <v>2.0617900000000002E-2</v>
      </c>
      <c r="S6336">
        <v>3.0675810000000001</v>
      </c>
      <c r="T6336">
        <v>-0.15494369999999999</v>
      </c>
      <c r="U6336">
        <v>0.20547489999999999</v>
      </c>
      <c r="V6336">
        <v>3.5618829999999997E-2</v>
      </c>
      <c r="W6336">
        <v>0.17694399999999999</v>
      </c>
      <c r="X6336">
        <v>0.98357620000000001</v>
      </c>
      <c r="Y6336">
        <v>-9.8578160000000001E-3</v>
      </c>
      <c r="Z6336">
        <v>-2.6256610000000001E-3</v>
      </c>
      <c r="AA6336">
        <v>0.99994799999999995</v>
      </c>
      <c r="AB6336">
        <v>30</v>
      </c>
      <c r="AC6336">
        <v>21.8172</v>
      </c>
      <c r="AD6336">
        <v>-1.109207203422</v>
      </c>
      <c r="AE6336">
        <v>1.46288</v>
      </c>
      <c r="AF6336">
        <v>-0.21519363333615199</v>
      </c>
      <c r="AG6336">
        <v>-1.109207203422</v>
      </c>
      <c r="AH6336">
        <v>21.809005240314999</v>
      </c>
      <c r="AI6336">
        <v>92.911416251311493</v>
      </c>
      <c r="AJ6336">
        <v>90.565330087744897</v>
      </c>
      <c r="AK6336">
        <v>21.838254474477498</v>
      </c>
      <c r="AL6336">
        <v>79.808193321514295</v>
      </c>
      <c r="AM6336">
        <v>87.926020160517297</v>
      </c>
      <c r="AN6336">
        <v>1.0000000106964999</v>
      </c>
    </row>
    <row r="6337" spans="1:40" x14ac:dyDescent="0.25">
      <c r="A6337" t="str">
        <f>"20190312173051247"</f>
        <v>20190312173051247</v>
      </c>
      <c r="B6337" t="str">
        <f>"1552383051243716"</f>
        <v>1552383051243716</v>
      </c>
      <c r="C6337" t="s">
        <v>40</v>
      </c>
      <c r="D6337">
        <v>3.303776</v>
      </c>
      <c r="E6337">
        <v>0.4858459</v>
      </c>
      <c r="F6337" t="s">
        <v>61</v>
      </c>
      <c r="G6337">
        <v>-235.94120000000001</v>
      </c>
      <c r="H6337" s="1">
        <v>-1.902691E-6</v>
      </c>
      <c r="I6337">
        <v>-61.762120000000003</v>
      </c>
      <c r="J6337">
        <v>-258.2885</v>
      </c>
      <c r="K6337">
        <v>1.1091439999999999</v>
      </c>
      <c r="L6337">
        <v>-63.255130000000001</v>
      </c>
      <c r="M6337">
        <v>0.99835149999999995</v>
      </c>
      <c r="N6337">
        <v>0</v>
      </c>
      <c r="O6337">
        <v>5.6962789999999999E-2</v>
      </c>
      <c r="P6337">
        <v>0.9852727</v>
      </c>
      <c r="Q6337">
        <v>0.1697987</v>
      </c>
      <c r="R6337">
        <v>2.015863E-2</v>
      </c>
      <c r="S6337">
        <v>3.0667879999999998</v>
      </c>
      <c r="T6337">
        <v>-0.15122430000000001</v>
      </c>
      <c r="U6337">
        <v>0.20468140000000001</v>
      </c>
      <c r="V6337">
        <v>3.6017059999999997E-2</v>
      </c>
      <c r="W6337">
        <v>0.1767436</v>
      </c>
      <c r="X6337">
        <v>0.98359770000000002</v>
      </c>
      <c r="Y6337">
        <v>-9.7043119999999997E-3</v>
      </c>
      <c r="Z6337">
        <v>-2.5627839999999998E-3</v>
      </c>
      <c r="AA6337">
        <v>0.99994959999999999</v>
      </c>
      <c r="AB6337">
        <v>30</v>
      </c>
      <c r="AC6337">
        <v>22.347299999999901</v>
      </c>
      <c r="AD6337">
        <v>-1.109145902691</v>
      </c>
      <c r="AE6337">
        <v>1.4930099999999999</v>
      </c>
      <c r="AF6337">
        <v>-0.21705729048705799</v>
      </c>
      <c r="AG6337">
        <v>-1.109145902691</v>
      </c>
      <c r="AH6337">
        <v>22.341271101023501</v>
      </c>
      <c r="AI6337">
        <v>92.842016214870597</v>
      </c>
      <c r="AJ6337">
        <v>90.556641353321595</v>
      </c>
      <c r="AK6337">
        <v>22.369839358167901</v>
      </c>
      <c r="AL6337">
        <v>79.819858969122194</v>
      </c>
      <c r="AM6337">
        <v>87.902898787202702</v>
      </c>
      <c r="AN6337">
        <v>0.99999998209864605</v>
      </c>
    </row>
    <row r="6338" spans="1:40" x14ac:dyDescent="0.25">
      <c r="A6338" t="str">
        <f>"20190312173051259"</f>
        <v>20190312173051259</v>
      </c>
      <c r="B6338" t="str">
        <f>"1552383051253477"</f>
        <v>1552383051253477</v>
      </c>
      <c r="C6338" t="s">
        <v>40</v>
      </c>
      <c r="D6338">
        <v>3.2370950000000001</v>
      </c>
      <c r="E6338">
        <v>0.48583979999999999</v>
      </c>
      <c r="F6338" t="s">
        <v>61</v>
      </c>
      <c r="G6338">
        <v>-235.55549999999999</v>
      </c>
      <c r="H6338" s="1">
        <v>-1.733706E-6</v>
      </c>
      <c r="I6338">
        <v>-61.748989999999999</v>
      </c>
      <c r="J6338">
        <v>-258.13339999999999</v>
      </c>
      <c r="K6338">
        <v>1.109081</v>
      </c>
      <c r="L6338">
        <v>-63.246369999999999</v>
      </c>
      <c r="M6338">
        <v>0.99835929999999995</v>
      </c>
      <c r="N6338">
        <v>0</v>
      </c>
      <c r="O6338">
        <v>5.6824E-2</v>
      </c>
      <c r="P6338">
        <v>0.98531559999999996</v>
      </c>
      <c r="Q6338">
        <v>0.16957720000000001</v>
      </c>
      <c r="R6338">
        <v>1.9921189999999998E-2</v>
      </c>
      <c r="S6338">
        <v>3.0664669999999998</v>
      </c>
      <c r="T6338">
        <v>-0.149613</v>
      </c>
      <c r="U6338">
        <v>0.20315549999999999</v>
      </c>
      <c r="V6338">
        <v>3.6146600000000001E-2</v>
      </c>
      <c r="W6338">
        <v>0.1765216</v>
      </c>
      <c r="X6338">
        <v>0.98363279999999997</v>
      </c>
      <c r="Y6338">
        <v>-9.3539360000000002E-3</v>
      </c>
      <c r="Z6338">
        <v>-2.5376140000000001E-3</v>
      </c>
      <c r="AA6338">
        <v>0.99995299999999998</v>
      </c>
      <c r="AB6338">
        <v>30</v>
      </c>
      <c r="AC6338">
        <v>22.5779</v>
      </c>
      <c r="AD6338">
        <v>-1.1090827337060001</v>
      </c>
      <c r="AE6338">
        <v>1.4973799999999899</v>
      </c>
      <c r="AF6338">
        <v>-0.21145392274639699</v>
      </c>
      <c r="AG6338">
        <v>-1.1090827337060001</v>
      </c>
      <c r="AH6338">
        <v>22.572277481302901</v>
      </c>
      <c r="AI6338">
        <v>92.812827129920194</v>
      </c>
      <c r="AJ6338">
        <v>90.536723109139899</v>
      </c>
      <c r="AK6338">
        <v>22.600497515864198</v>
      </c>
      <c r="AL6338">
        <v>79.832781681585701</v>
      </c>
      <c r="AM6338">
        <v>87.895438097507693</v>
      </c>
      <c r="AN6338">
        <v>0.99999996859697904</v>
      </c>
    </row>
    <row r="6339" spans="1:40" x14ac:dyDescent="0.25">
      <c r="A6339" t="str">
        <f>"20190312173051271"</f>
        <v>20190312173051271</v>
      </c>
      <c r="B6339" t="str">
        <f>"1552383051264215"</f>
        <v>1552383051264215</v>
      </c>
      <c r="C6339" t="s">
        <v>40</v>
      </c>
      <c r="D6339">
        <v>3.2407550000000001</v>
      </c>
      <c r="E6339">
        <v>0.4858249</v>
      </c>
      <c r="F6339" t="s">
        <v>61</v>
      </c>
      <c r="G6339">
        <v>-235.20050000000001</v>
      </c>
      <c r="H6339" s="1">
        <v>-1.5776759999999999E-6</v>
      </c>
      <c r="I6339">
        <v>-61.7348199999999</v>
      </c>
      <c r="J6339">
        <v>-257.98610000000002</v>
      </c>
      <c r="K6339">
        <v>1.1090169999999999</v>
      </c>
      <c r="L6339">
        <v>-63.238100000000003</v>
      </c>
      <c r="M6339">
        <v>0.99836970000000003</v>
      </c>
      <c r="N6339">
        <v>0</v>
      </c>
      <c r="O6339">
        <v>5.6642350000000001E-2</v>
      </c>
      <c r="P6339">
        <v>0.98533979999999999</v>
      </c>
      <c r="Q6339">
        <v>0.16943440000000001</v>
      </c>
      <c r="R6339">
        <v>1.9940630000000001E-2</v>
      </c>
      <c r="S6339">
        <v>3.066147</v>
      </c>
      <c r="T6339">
        <v>-0.14828549999999999</v>
      </c>
      <c r="U6339">
        <v>0.2020874</v>
      </c>
      <c r="V6339">
        <v>3.5976099999999997E-2</v>
      </c>
      <c r="W6339">
        <v>0.17637710000000001</v>
      </c>
      <c r="X6339">
        <v>0.98366500000000001</v>
      </c>
      <c r="Y6339">
        <v>-9.1949370000000002E-3</v>
      </c>
      <c r="Z6339">
        <v>-2.5105069999999999E-3</v>
      </c>
      <c r="AA6339">
        <v>0.99995460000000003</v>
      </c>
      <c r="AB6339">
        <v>30</v>
      </c>
      <c r="AC6339">
        <v>22.785599999999999</v>
      </c>
      <c r="AD6339">
        <v>-1.109018577676</v>
      </c>
      <c r="AE6339">
        <v>1.5032800000000099</v>
      </c>
      <c r="AF6339">
        <v>-0.209709844111241</v>
      </c>
      <c r="AG6339">
        <v>-1.109018577676</v>
      </c>
      <c r="AH6339">
        <v>22.780436150477801</v>
      </c>
      <c r="AI6339">
        <v>92.787008554110301</v>
      </c>
      <c r="AJ6339">
        <v>90.527432816065399</v>
      </c>
      <c r="AK6339">
        <v>22.808379417011299</v>
      </c>
      <c r="AL6339">
        <v>79.8411931848336</v>
      </c>
      <c r="AM6339">
        <v>87.905424754362102</v>
      </c>
      <c r="AN6339">
        <v>0.99999999670031003</v>
      </c>
    </row>
    <row r="6340" spans="1:40" x14ac:dyDescent="0.25">
      <c r="A6340" t="str">
        <f>"20190312173051281"</f>
        <v>20190312173051281</v>
      </c>
      <c r="B6340" t="str">
        <f>"1552383051273972"</f>
        <v>1552383051273972</v>
      </c>
      <c r="C6340" t="s">
        <v>40</v>
      </c>
      <c r="D6340">
        <v>3.250594</v>
      </c>
      <c r="E6340">
        <v>0.48580889999999999</v>
      </c>
      <c r="F6340" t="s">
        <v>61</v>
      </c>
      <c r="G6340">
        <v>-234.83349999999999</v>
      </c>
      <c r="H6340" s="1">
        <v>-1.4147479999999901E-6</v>
      </c>
      <c r="I6340">
        <v>-61.714210000000001</v>
      </c>
      <c r="J6340">
        <v>-257.83049999999997</v>
      </c>
      <c r="K6340">
        <v>1.108948</v>
      </c>
      <c r="L6340">
        <v>-63.229430000000001</v>
      </c>
      <c r="M6340">
        <v>0.99838190000000004</v>
      </c>
      <c r="N6340">
        <v>0</v>
      </c>
      <c r="O6340">
        <v>5.6422970000000003E-2</v>
      </c>
      <c r="P6340">
        <v>0.98535779999999995</v>
      </c>
      <c r="Q6340">
        <v>0.1693887</v>
      </c>
      <c r="R6340">
        <v>1.9432430000000001E-2</v>
      </c>
      <c r="S6340">
        <v>3.0658110000000001</v>
      </c>
      <c r="T6340">
        <v>-0.14685390000000001</v>
      </c>
      <c r="U6340">
        <v>0.20178219999999999</v>
      </c>
      <c r="V6340">
        <v>3.6296759999999997E-2</v>
      </c>
      <c r="W6340">
        <v>0.17632970000000001</v>
      </c>
      <c r="X6340">
        <v>0.98366169999999997</v>
      </c>
      <c r="Y6340">
        <v>-9.3212929999999996E-3</v>
      </c>
      <c r="Z6340">
        <v>-2.4730899999999998E-3</v>
      </c>
      <c r="AA6340">
        <v>0.99995350000000005</v>
      </c>
      <c r="AB6340">
        <v>30</v>
      </c>
      <c r="AC6340">
        <v>22.9969999999999</v>
      </c>
      <c r="AD6340">
        <v>-1.1089494147479999</v>
      </c>
      <c r="AE6340">
        <v>1.51522000000001</v>
      </c>
      <c r="AF6340">
        <v>-0.214717438347794</v>
      </c>
      <c r="AG6340">
        <v>-1.1089494147479999</v>
      </c>
      <c r="AH6340">
        <v>22.992624358118999</v>
      </c>
      <c r="AI6340">
        <v>92.761153208173994</v>
      </c>
      <c r="AJ6340">
        <v>90.535043116811394</v>
      </c>
      <c r="AK6340">
        <v>23.0203528916559</v>
      </c>
      <c r="AL6340">
        <v>79.843952065813895</v>
      </c>
      <c r="AM6340">
        <v>87.886765281570902</v>
      </c>
      <c r="AN6340">
        <v>0.99999997896773796</v>
      </c>
    </row>
    <row r="6341" spans="1:40" x14ac:dyDescent="0.25">
      <c r="A6341" t="str">
        <f>"20190312173051293"</f>
        <v>20190312173051293</v>
      </c>
      <c r="B6341" t="str">
        <f>"1552383051283732"</f>
        <v>1552383051283732</v>
      </c>
      <c r="C6341" t="s">
        <v>40</v>
      </c>
      <c r="D6341">
        <v>3.3018770000000002</v>
      </c>
      <c r="E6341">
        <v>0.48579499999999998</v>
      </c>
      <c r="F6341" t="s">
        <v>61</v>
      </c>
      <c r="G6341">
        <v>-234.41820000000001</v>
      </c>
      <c r="H6341" s="1">
        <v>-1.233303E-6</v>
      </c>
      <c r="I6341">
        <v>-61.701860000000003</v>
      </c>
      <c r="J6341">
        <v>-257.6848</v>
      </c>
      <c r="K6341">
        <v>1.108881</v>
      </c>
      <c r="L6341">
        <v>-63.221369999999901</v>
      </c>
      <c r="M6341">
        <v>0.9983978</v>
      </c>
      <c r="N6341">
        <v>0</v>
      </c>
      <c r="O6341">
        <v>5.6143909999999998E-2</v>
      </c>
      <c r="P6341">
        <v>0.98537859999999999</v>
      </c>
      <c r="Q6341">
        <v>0.16929549999999999</v>
      </c>
      <c r="R6341">
        <v>1.9203060000000001E-2</v>
      </c>
      <c r="S6341">
        <v>3.065598</v>
      </c>
      <c r="T6341">
        <v>-0.1452059</v>
      </c>
      <c r="U6341">
        <v>0.2000122</v>
      </c>
      <c r="V6341">
        <v>3.6280960000000001E-2</v>
      </c>
      <c r="W6341">
        <v>0.1762348</v>
      </c>
      <c r="X6341">
        <v>0.98367930000000003</v>
      </c>
      <c r="Y6341">
        <v>-9.0293179999999997E-3</v>
      </c>
      <c r="Z6341">
        <v>-2.4393280000000002E-3</v>
      </c>
      <c r="AA6341">
        <v>0.99995630000000002</v>
      </c>
      <c r="AB6341">
        <v>30</v>
      </c>
      <c r="AC6341">
        <v>23.266599999999901</v>
      </c>
      <c r="AD6341">
        <v>-1.108882233303</v>
      </c>
      <c r="AE6341">
        <v>1.5195099999999899</v>
      </c>
      <c r="AF6341">
        <v>-0.21032706222955</v>
      </c>
      <c r="AG6341">
        <v>-1.108882233303</v>
      </c>
      <c r="AH6341">
        <v>23.262597179363599</v>
      </c>
      <c r="AI6341">
        <v>92.728999878611901</v>
      </c>
      <c r="AJ6341">
        <v>90.518021462997396</v>
      </c>
      <c r="AK6341">
        <v>23.2899610306625</v>
      </c>
      <c r="AL6341">
        <v>79.849476044277097</v>
      </c>
      <c r="AM6341">
        <v>87.887722099689597</v>
      </c>
      <c r="AN6341">
        <v>0.99999998901902498</v>
      </c>
    </row>
    <row r="6342" spans="1:40" x14ac:dyDescent="0.25">
      <c r="A6342" t="str">
        <f>"20190312173051304"</f>
        <v>20190312173051304</v>
      </c>
      <c r="B6342" t="str">
        <f>"1552383051293492"</f>
        <v>1552383051293492</v>
      </c>
      <c r="C6342" t="s">
        <v>40</v>
      </c>
      <c r="D6342">
        <v>3.2298070000000001</v>
      </c>
      <c r="E6342">
        <v>0.48580590000000001</v>
      </c>
      <c r="F6342" t="s">
        <v>61</v>
      </c>
      <c r="G6342">
        <v>-234.05510000000001</v>
      </c>
      <c r="H6342" s="1">
        <v>-1.073801E-6</v>
      </c>
      <c r="I6342">
        <v>-61.687959999999997</v>
      </c>
      <c r="J6342">
        <v>-257.5378</v>
      </c>
      <c r="K6342">
        <v>1.1088100000000001</v>
      </c>
      <c r="L6342">
        <v>-63.213349999999998</v>
      </c>
      <c r="M6342">
        <v>0.99841409999999997</v>
      </c>
      <c r="N6342">
        <v>0</v>
      </c>
      <c r="O6342">
        <v>5.584824E-2</v>
      </c>
      <c r="P6342">
        <v>0.98534759999999999</v>
      </c>
      <c r="Q6342">
        <v>0.16950009999999999</v>
      </c>
      <c r="R6342">
        <v>1.8970899999999999E-2</v>
      </c>
      <c r="S6342">
        <v>3.065353</v>
      </c>
      <c r="T6342">
        <v>-0.14384939999999999</v>
      </c>
      <c r="U6342">
        <v>0.1989136</v>
      </c>
      <c r="V6342">
        <v>3.6249650000000001E-2</v>
      </c>
      <c r="W6342">
        <v>0.1764376</v>
      </c>
      <c r="X6342">
        <v>0.98364410000000002</v>
      </c>
      <c r="Y6342">
        <v>-8.9725059999999999E-3</v>
      </c>
      <c r="Z6342">
        <v>-2.4042989999999999E-3</v>
      </c>
      <c r="AA6342">
        <v>0.99995679999999998</v>
      </c>
      <c r="AB6342">
        <v>30</v>
      </c>
      <c r="AC6342">
        <v>23.482699999999902</v>
      </c>
      <c r="AD6342">
        <v>-1.108811073801</v>
      </c>
      <c r="AE6342">
        <v>1.52539</v>
      </c>
      <c r="AF6342">
        <v>-0.21104018416527401</v>
      </c>
      <c r="AG6342">
        <v>-1.108811073801</v>
      </c>
      <c r="AH6342">
        <v>23.479112349830501</v>
      </c>
      <c r="AI6342">
        <v>92.703699665312797</v>
      </c>
      <c r="AJ6342">
        <v>90.514984811143705</v>
      </c>
      <c r="AK6342">
        <v>23.506227189676402</v>
      </c>
      <c r="AL6342">
        <v>79.837671488925594</v>
      </c>
      <c r="AM6342">
        <v>87.889467864135099</v>
      </c>
      <c r="AN6342">
        <v>0.999999989641846</v>
      </c>
    </row>
    <row r="6343" spans="1:40" x14ac:dyDescent="0.25">
      <c r="A6343" t="str">
        <f>"20190312173051314"</f>
        <v>20190312173051314</v>
      </c>
      <c r="B6343" t="str">
        <f>"1552383051304229"</f>
        <v>1552383051304229</v>
      </c>
      <c r="C6343" t="s">
        <v>40</v>
      </c>
      <c r="D6343">
        <v>3.2369340000000002</v>
      </c>
      <c r="E6343">
        <v>0.48581079999999999</v>
      </c>
      <c r="F6343" t="s">
        <v>61</v>
      </c>
      <c r="G6343">
        <v>-233.53909999999999</v>
      </c>
      <c r="H6343" s="1">
        <v>-8.4671610000000004E-7</v>
      </c>
      <c r="I6343">
        <v>-61.666409999999999</v>
      </c>
      <c r="J6343">
        <v>-257.38780000000003</v>
      </c>
      <c r="K6343">
        <v>1.108733</v>
      </c>
      <c r="L6343">
        <v>-63.205289999999998</v>
      </c>
      <c r="M6343">
        <v>0.99843559999999998</v>
      </c>
      <c r="N6343">
        <v>0</v>
      </c>
      <c r="O6343">
        <v>5.5465399999999998E-2</v>
      </c>
      <c r="P6343">
        <v>0.98532719999999896</v>
      </c>
      <c r="Q6343">
        <v>0.16966199999999901</v>
      </c>
      <c r="R6343">
        <v>1.8582749999999999E-2</v>
      </c>
      <c r="S6343">
        <v>3.0651700000000002</v>
      </c>
      <c r="T6343">
        <v>-0.14161960000000001</v>
      </c>
      <c r="U6343">
        <v>0.19757079999999999</v>
      </c>
      <c r="V6343">
        <v>3.6292079999999997E-2</v>
      </c>
      <c r="W6343">
        <v>0.17659759999999999</v>
      </c>
      <c r="X6343">
        <v>0.98361379999999998</v>
      </c>
      <c r="Y6343">
        <v>-8.9216390000000003E-3</v>
      </c>
      <c r="Z6343">
        <v>-2.3508000000000001E-3</v>
      </c>
      <c r="AA6343">
        <v>0.9999574</v>
      </c>
      <c r="AB6343">
        <v>30</v>
      </c>
      <c r="AC6343">
        <v>23.848700000000001</v>
      </c>
      <c r="AD6343">
        <v>-1.1087338467161001</v>
      </c>
      <c r="AE6343">
        <v>1.53888</v>
      </c>
      <c r="AF6343">
        <v>-0.21324124950871701</v>
      </c>
      <c r="AG6343">
        <v>-1.1087338467161001</v>
      </c>
      <c r="AH6343">
        <v>23.846016544553301</v>
      </c>
      <c r="AI6343">
        <v>92.661975738589206</v>
      </c>
      <c r="AJ6343">
        <v>90.512349638504404</v>
      </c>
      <c r="AK6343">
        <v>23.8727306275687</v>
      </c>
      <c r="AL6343">
        <v>79.828357689702997</v>
      </c>
      <c r="AM6343">
        <v>87.886934705275607</v>
      </c>
      <c r="AN6343">
        <v>0.99999996747346198</v>
      </c>
    </row>
    <row r="6344" spans="1:40" x14ac:dyDescent="0.25">
      <c r="A6344" t="str">
        <f>"20190312173051325"</f>
        <v>20190312173051325</v>
      </c>
      <c r="B6344" t="str">
        <f>"1552383051313988"</f>
        <v>1552383051313988</v>
      </c>
      <c r="C6344" t="s">
        <v>40</v>
      </c>
      <c r="D6344">
        <v>3.2514989999999999</v>
      </c>
      <c r="E6344">
        <v>0.48581170000000001</v>
      </c>
      <c r="F6344" t="s">
        <v>61</v>
      </c>
      <c r="G6344">
        <v>-233.0506</v>
      </c>
      <c r="H6344" s="1">
        <v>-6.3310569999999995E-7</v>
      </c>
      <c r="I6344">
        <v>-61.651249999999997</v>
      </c>
      <c r="J6344">
        <v>-257.24419999999998</v>
      </c>
      <c r="K6344">
        <v>1.108662</v>
      </c>
      <c r="L6344">
        <v>-63.197569999999899</v>
      </c>
      <c r="M6344">
        <v>0.99845680000000003</v>
      </c>
      <c r="N6344">
        <v>0</v>
      </c>
      <c r="O6344">
        <v>5.5078759999999997E-2</v>
      </c>
      <c r="P6344">
        <v>0.98529080000000002</v>
      </c>
      <c r="Q6344">
        <v>0.16989099999999999</v>
      </c>
      <c r="R6344">
        <v>1.842386E-2</v>
      </c>
      <c r="S6344">
        <v>3.0650330000000001</v>
      </c>
      <c r="T6344">
        <v>-0.13963429999999999</v>
      </c>
      <c r="U6344">
        <v>0.1957092</v>
      </c>
      <c r="V6344">
        <v>3.6099409999999998E-2</v>
      </c>
      <c r="W6344">
        <v>0.17682429999999999</v>
      </c>
      <c r="X6344">
        <v>0.98358020000000002</v>
      </c>
      <c r="Y6344">
        <v>-8.7053519999999995E-3</v>
      </c>
      <c r="Z6344">
        <v>-2.3054059999999999E-3</v>
      </c>
      <c r="AA6344">
        <v>0.9999595</v>
      </c>
      <c r="AB6344">
        <v>30</v>
      </c>
      <c r="AC6344">
        <v>24.193599999999901</v>
      </c>
      <c r="AD6344">
        <v>-1.1086626331056999</v>
      </c>
      <c r="AE6344">
        <v>1.5463199999999899</v>
      </c>
      <c r="AF6344">
        <v>-0.21094439343229099</v>
      </c>
      <c r="AG6344">
        <v>-1.1086626331056999</v>
      </c>
      <c r="AH6344">
        <v>24.191451248347001</v>
      </c>
      <c r="AI6344">
        <v>92.623855198779296</v>
      </c>
      <c r="AJ6344">
        <v>90.499594547726204</v>
      </c>
      <c r="AK6344">
        <v>24.2177609178122</v>
      </c>
      <c r="AL6344">
        <v>79.815161445703694</v>
      </c>
      <c r="AM6344">
        <v>87.898070872617495</v>
      </c>
      <c r="AN6344">
        <v>1.00000000515243</v>
      </c>
    </row>
    <row r="6345" spans="1:40" x14ac:dyDescent="0.25">
      <c r="A6345" t="str">
        <f>"20190312173051337"</f>
        <v>20190312173051337</v>
      </c>
      <c r="B6345" t="str">
        <f>"1552383051333508"</f>
        <v>1552383051333508</v>
      </c>
      <c r="C6345" t="s">
        <v>40</v>
      </c>
      <c r="D6345">
        <v>3.2106430000000001</v>
      </c>
      <c r="E6345">
        <v>0.48579030000000001</v>
      </c>
      <c r="F6345" t="s">
        <v>61</v>
      </c>
      <c r="G6345">
        <v>-232.5658</v>
      </c>
      <c r="H6345" s="1">
        <v>-4.1941420000000001E-7</v>
      </c>
      <c r="I6345">
        <v>-61.629750000000001</v>
      </c>
      <c r="J6345">
        <v>-257.0883</v>
      </c>
      <c r="K6345">
        <v>1.108584</v>
      </c>
      <c r="L6345">
        <v>-63.189419999999998</v>
      </c>
      <c r="M6345">
        <v>0.99848340000000002</v>
      </c>
      <c r="N6345">
        <v>0</v>
      </c>
      <c r="O6345">
        <v>5.4596850000000002E-2</v>
      </c>
      <c r="P6345">
        <v>0.98523050000000001</v>
      </c>
      <c r="Q6345">
        <v>0.1702777</v>
      </c>
      <c r="R6345">
        <v>1.806951E-2</v>
      </c>
      <c r="S6345">
        <v>3.0648499999999999</v>
      </c>
      <c r="T6345">
        <v>-0.13768649999999999</v>
      </c>
      <c r="U6345">
        <v>0.19470209999999999</v>
      </c>
      <c r="V6345">
        <v>3.6010069999999998E-2</v>
      </c>
      <c r="W6345">
        <v>0.17720920000000001</v>
      </c>
      <c r="X6345">
        <v>0.98351420000000001</v>
      </c>
      <c r="Y6345">
        <v>-8.8625800000000001E-3</v>
      </c>
      <c r="Z6345">
        <v>-2.2483440000000002E-3</v>
      </c>
      <c r="AA6345">
        <v>0.99995820000000002</v>
      </c>
      <c r="AB6345">
        <v>30</v>
      </c>
      <c r="AC6345">
        <v>24.522500000000001</v>
      </c>
      <c r="AD6345">
        <v>-1.1085844194141901</v>
      </c>
      <c r="AE6345">
        <v>1.5596699999999899</v>
      </c>
      <c r="AF6345">
        <v>-0.218015068040153</v>
      </c>
      <c r="AG6345">
        <v>-1.1085844194141901</v>
      </c>
      <c r="AH6345">
        <v>24.521166599566602</v>
      </c>
      <c r="AI6345">
        <v>92.588436491178697</v>
      </c>
      <c r="AJ6345">
        <v>90.509397222003003</v>
      </c>
      <c r="AK6345">
        <v>24.547181129175701</v>
      </c>
      <c r="AL6345">
        <v>79.792754429710399</v>
      </c>
      <c r="AM6345">
        <v>87.903127568483796</v>
      </c>
      <c r="AN6345">
        <v>1.0000000036538399</v>
      </c>
    </row>
    <row r="6346" spans="1:40" x14ac:dyDescent="0.25">
      <c r="A6346" t="str">
        <f>"20190312173051350"</f>
        <v>20190312173051350</v>
      </c>
      <c r="B6346" t="str">
        <f>"1552383051344244"</f>
        <v>1552383051344244</v>
      </c>
      <c r="C6346" t="s">
        <v>40</v>
      </c>
      <c r="D6346">
        <v>3.2248649999999999</v>
      </c>
      <c r="E6346">
        <v>0.48577310000000001</v>
      </c>
      <c r="F6346" t="s">
        <v>61</v>
      </c>
      <c r="G6346">
        <v>-231.71350000000001</v>
      </c>
      <c r="H6346" s="1">
        <v>-4.3059120000000001E-8</v>
      </c>
      <c r="I6346">
        <v>-61.589359999999999</v>
      </c>
      <c r="J6346">
        <v>-256.92860000000002</v>
      </c>
      <c r="K6346">
        <v>1.1085039999999999</v>
      </c>
      <c r="L6346">
        <v>-63.181150000000002</v>
      </c>
      <c r="M6346">
        <v>0.99851259999999997</v>
      </c>
      <c r="N6346">
        <v>0</v>
      </c>
      <c r="O6346">
        <v>5.4057090000000002E-2</v>
      </c>
      <c r="P6346">
        <v>0.98515459999999999</v>
      </c>
      <c r="Q6346">
        <v>0.17076160000000001</v>
      </c>
      <c r="R6346">
        <v>1.7632040000000002E-2</v>
      </c>
      <c r="S6346">
        <v>3.064575</v>
      </c>
      <c r="T6346">
        <v>-0.1338867</v>
      </c>
      <c r="U6346">
        <v>0.1932373</v>
      </c>
      <c r="V6346">
        <v>3.5946579999999999E-2</v>
      </c>
      <c r="W6346">
        <v>0.17769109999999999</v>
      </c>
      <c r="X6346">
        <v>0.98342960000000001</v>
      </c>
      <c r="Y6346">
        <v>-8.9296649999999998E-3</v>
      </c>
      <c r="Z6346">
        <v>-2.1616270000000002E-3</v>
      </c>
      <c r="AA6346">
        <v>0.99995780000000001</v>
      </c>
      <c r="AB6346">
        <v>30</v>
      </c>
      <c r="AC6346">
        <v>25.2151</v>
      </c>
      <c r="AD6346">
        <v>-1.10850404305912</v>
      </c>
      <c r="AE6346">
        <v>1.59179</v>
      </c>
      <c r="AF6346">
        <v>-0.22593822208373801</v>
      </c>
      <c r="AG6346">
        <v>-1.10850404305912</v>
      </c>
      <c r="AH6346">
        <v>25.215739744639201</v>
      </c>
      <c r="AI6346">
        <v>92.517046613248098</v>
      </c>
      <c r="AJ6346">
        <v>90.513368247952798</v>
      </c>
      <c r="AK6346">
        <v>25.2411045749399</v>
      </c>
      <c r="AL6346">
        <v>79.764698619116899</v>
      </c>
      <c r="AM6346">
        <v>87.906641403842201</v>
      </c>
      <c r="AN6346">
        <v>1.00000003089453</v>
      </c>
    </row>
    <row r="6347" spans="1:40" x14ac:dyDescent="0.25">
      <c r="A6347" t="str">
        <f>"20190312173051360"</f>
        <v>20190312173051360</v>
      </c>
      <c r="B6347" t="str">
        <f>"1552383051354003"</f>
        <v>1552383051354003</v>
      </c>
      <c r="C6347" t="s">
        <v>40</v>
      </c>
      <c r="D6347">
        <v>3.2260230000000001</v>
      </c>
      <c r="E6347">
        <v>0.4857901</v>
      </c>
      <c r="F6347" t="s">
        <v>61</v>
      </c>
      <c r="G6347">
        <v>-231.01249999999999</v>
      </c>
      <c r="H6347" s="1">
        <v>2.6518920000000002E-7</v>
      </c>
      <c r="I6347">
        <v>-61.561100000000003</v>
      </c>
      <c r="J6347">
        <v>-256.77980000000002</v>
      </c>
      <c r="K6347">
        <v>1.1084309999999999</v>
      </c>
      <c r="L6347">
        <v>-63.173549999999999</v>
      </c>
      <c r="M6347">
        <v>0.99854169999999998</v>
      </c>
      <c r="N6347">
        <v>0</v>
      </c>
      <c r="O6347">
        <v>5.3516429999999997E-2</v>
      </c>
      <c r="P6347">
        <v>0.98509979999999997</v>
      </c>
      <c r="Q6347">
        <v>0.17111770000000001</v>
      </c>
      <c r="R6347">
        <v>1.7244579999999999E-2</v>
      </c>
      <c r="S6347">
        <v>3.0644990000000001</v>
      </c>
      <c r="T6347">
        <v>-0.13107739999999901</v>
      </c>
      <c r="U6347">
        <v>0.1915588</v>
      </c>
      <c r="V6347">
        <v>3.5830510000000003E-2</v>
      </c>
      <c r="W6347">
        <v>0.17804589999999901</v>
      </c>
      <c r="X6347">
        <v>0.98336959999999995</v>
      </c>
      <c r="Y6347">
        <v>-8.9248629999999999E-3</v>
      </c>
      <c r="Z6347">
        <v>-2.0934640000000002E-3</v>
      </c>
      <c r="AA6347">
        <v>0.99995800000000001</v>
      </c>
      <c r="AB6347">
        <v>30</v>
      </c>
      <c r="AC6347">
        <v>25.767299999999999</v>
      </c>
      <c r="AD6347">
        <v>-1.1084307348108</v>
      </c>
      <c r="AE6347">
        <v>1.6124499999999899</v>
      </c>
      <c r="AF6347">
        <v>-0.23070524431557299</v>
      </c>
      <c r="AG6347">
        <v>-1.1084307348108</v>
      </c>
      <c r="AH6347">
        <v>25.769168773062699</v>
      </c>
      <c r="AI6347">
        <v>92.462894287592803</v>
      </c>
      <c r="AJ6347">
        <v>90.512941794243602</v>
      </c>
      <c r="AK6347">
        <v>25.794028434081799</v>
      </c>
      <c r="AL6347">
        <v>79.744040030070593</v>
      </c>
      <c r="AM6347">
        <v>87.913267585337493</v>
      </c>
      <c r="AN6347">
        <v>0.99999996907891398</v>
      </c>
    </row>
    <row r="6348" spans="1:40" x14ac:dyDescent="0.25">
      <c r="A6348" t="str">
        <f>"20190312173051371"</f>
        <v>20190312173051371</v>
      </c>
      <c r="B6348" t="str">
        <f>"1552383051363764"</f>
        <v>1552383051363764</v>
      </c>
      <c r="C6348" t="s">
        <v>40</v>
      </c>
      <c r="D6348">
        <v>3.3007680000000001</v>
      </c>
      <c r="E6348">
        <v>0.48593799999999998</v>
      </c>
      <c r="F6348" t="s">
        <v>61</v>
      </c>
      <c r="G6348">
        <v>-230.3877</v>
      </c>
      <c r="H6348" s="1">
        <v>5.4027130000000001E-7</v>
      </c>
      <c r="I6348">
        <v>-61.534730000000003</v>
      </c>
      <c r="J6348">
        <v>-256.63479999999998</v>
      </c>
      <c r="K6348">
        <v>1.108357</v>
      </c>
      <c r="L6348">
        <v>-63.166260000000001</v>
      </c>
      <c r="M6348">
        <v>0.99857300000000004</v>
      </c>
      <c r="N6348">
        <v>0</v>
      </c>
      <c r="O6348">
        <v>5.2928879999999998E-2</v>
      </c>
      <c r="P6348">
        <v>0.98507029999999995</v>
      </c>
      <c r="Q6348">
        <v>0.17134099999999999</v>
      </c>
      <c r="R6348">
        <v>1.670526E-2</v>
      </c>
      <c r="S6348">
        <v>3.0643769999999999</v>
      </c>
      <c r="T6348">
        <v>-0.12869939999999999</v>
      </c>
      <c r="U6348">
        <v>0.1902771</v>
      </c>
      <c r="V6348">
        <v>3.5819940000000002E-2</v>
      </c>
      <c r="W6348">
        <v>0.17826729999999999</v>
      </c>
      <c r="X6348">
        <v>0.98332989999999998</v>
      </c>
      <c r="Y6348">
        <v>-9.0969650000000003E-3</v>
      </c>
      <c r="Z6348">
        <v>-2.027428E-3</v>
      </c>
      <c r="AA6348">
        <v>0.99995650000000003</v>
      </c>
      <c r="AB6348">
        <v>30</v>
      </c>
      <c r="AC6348">
        <v>26.2470999999999</v>
      </c>
      <c r="AD6348">
        <v>-1.1083564597286999</v>
      </c>
      <c r="AE6348">
        <v>1.6315299999999899</v>
      </c>
      <c r="AF6348">
        <v>-0.23955273712268499</v>
      </c>
      <c r="AG6348">
        <v>-1.1083564597286999</v>
      </c>
      <c r="AH6348">
        <v>26.2500359212852</v>
      </c>
      <c r="AI6348">
        <v>92.417665648137202</v>
      </c>
      <c r="AJ6348">
        <v>90.522855658200797</v>
      </c>
      <c r="AK6348">
        <v>26.274516654440099</v>
      </c>
      <c r="AL6348">
        <v>79.731148779473202</v>
      </c>
      <c r="AM6348">
        <v>87.913798478954504</v>
      </c>
      <c r="AN6348">
        <v>0.99999999529245098</v>
      </c>
    </row>
    <row r="6349" spans="1:40" x14ac:dyDescent="0.25">
      <c r="A6349" t="str">
        <f>"20190312173051383"</f>
        <v>20190312173051383</v>
      </c>
      <c r="B6349" t="str">
        <f>"1552383051373525"</f>
        <v>1552383051373525</v>
      </c>
      <c r="C6349" t="s">
        <v>40</v>
      </c>
      <c r="D6349">
        <v>3.2530299999999999</v>
      </c>
      <c r="E6349">
        <v>0.4861317</v>
      </c>
      <c r="F6349" t="s">
        <v>62</v>
      </c>
      <c r="G6349">
        <v>-229.96770000000001</v>
      </c>
      <c r="H6349" s="1">
        <v>-3.5550779999999999E-6</v>
      </c>
      <c r="I6349">
        <v>-61.538069999999998</v>
      </c>
      <c r="J6349">
        <v>-256.47379999999998</v>
      </c>
      <c r="K6349">
        <v>1.108279</v>
      </c>
      <c r="L6349">
        <v>-63.158290000000001</v>
      </c>
      <c r="M6349">
        <v>0.99860850000000001</v>
      </c>
      <c r="N6349">
        <v>0</v>
      </c>
      <c r="O6349">
        <v>5.2254019999999998E-2</v>
      </c>
      <c r="P6349">
        <v>0.98503859999999999</v>
      </c>
      <c r="Q6349">
        <v>0.17155329999999999</v>
      </c>
      <c r="R6349">
        <v>1.6389580000000001E-2</v>
      </c>
      <c r="S6349">
        <v>3.0644529999999999</v>
      </c>
      <c r="T6349">
        <v>-0.12736749999999999</v>
      </c>
      <c r="U6349">
        <v>0.1871033</v>
      </c>
      <c r="V6349">
        <v>3.550329E-2</v>
      </c>
      <c r="W6349">
        <v>0.17847939999999901</v>
      </c>
      <c r="X6349">
        <v>0.98330289999999998</v>
      </c>
      <c r="Y6349">
        <v>-8.7384049999999994E-3</v>
      </c>
      <c r="Z6349">
        <v>-1.9859740000000002E-3</v>
      </c>
      <c r="AA6349">
        <v>0.99995979999999995</v>
      </c>
      <c r="AB6349">
        <v>30</v>
      </c>
      <c r="AC6349">
        <v>26.506099999999901</v>
      </c>
      <c r="AD6349">
        <v>-1.108282555078</v>
      </c>
      <c r="AE6349">
        <v>1.62022</v>
      </c>
      <c r="AF6349">
        <v>-0.232516086665122</v>
      </c>
      <c r="AG6349">
        <v>-1.108282555078</v>
      </c>
      <c r="AH6349">
        <v>26.508379980511499</v>
      </c>
      <c r="AI6349">
        <v>92.393979362193605</v>
      </c>
      <c r="AJ6349">
        <v>90.502552355159693</v>
      </c>
      <c r="AK6349">
        <v>26.532556664287601</v>
      </c>
      <c r="AL6349">
        <v>79.718798186555802</v>
      </c>
      <c r="AM6349">
        <v>87.932167792073699</v>
      </c>
      <c r="AN6349">
        <v>0.999999986486796</v>
      </c>
    </row>
    <row r="6350" spans="1:40" x14ac:dyDescent="0.25">
      <c r="A6350" t="str">
        <f>"20190312173051394"</f>
        <v>20190312173051394</v>
      </c>
      <c r="B6350" t="str">
        <f>"1552383051384260"</f>
        <v>1552383051384260</v>
      </c>
      <c r="C6350" t="s">
        <v>40</v>
      </c>
      <c r="D6350">
        <v>3.2187079999999999</v>
      </c>
      <c r="E6350">
        <v>0.48629790000000001</v>
      </c>
      <c r="F6350" t="s">
        <v>62</v>
      </c>
      <c r="G6350">
        <v>-229.6377</v>
      </c>
      <c r="H6350" s="1">
        <v>-3.4432879999999998E-6</v>
      </c>
      <c r="I6350">
        <v>-61.542020000000001</v>
      </c>
      <c r="J6350">
        <v>-256.3279</v>
      </c>
      <c r="K6350">
        <v>1.1082110000000001</v>
      </c>
      <c r="L6350">
        <v>-63.151310000000002</v>
      </c>
      <c r="M6350">
        <v>0.99864430000000004</v>
      </c>
      <c r="N6350">
        <v>0</v>
      </c>
      <c r="O6350">
        <v>5.156442E-2</v>
      </c>
      <c r="P6350">
        <v>0.98494979999999999</v>
      </c>
      <c r="Q6350">
        <v>0.17212230000000001</v>
      </c>
      <c r="R6350">
        <v>1.5741939999999999E-2</v>
      </c>
      <c r="S6350">
        <v>3.0645449999999999</v>
      </c>
      <c r="T6350">
        <v>-0.12656010000000001</v>
      </c>
      <c r="U6350">
        <v>0.18457029999999999</v>
      </c>
      <c r="V6350">
        <v>3.5497439999999998E-2</v>
      </c>
      <c r="W6350">
        <v>0.1790475</v>
      </c>
      <c r="X6350">
        <v>0.98319979999999996</v>
      </c>
      <c r="Y6350">
        <v>-8.6026969999999994E-3</v>
      </c>
      <c r="Z6350">
        <v>-1.9478049999999999E-3</v>
      </c>
      <c r="AA6350">
        <v>0.99996110000000005</v>
      </c>
      <c r="AB6350">
        <v>30</v>
      </c>
      <c r="AC6350">
        <v>26.690200000000001</v>
      </c>
      <c r="AD6350">
        <v>-1.1082144432879999</v>
      </c>
      <c r="AE6350">
        <v>1.6092900000000001</v>
      </c>
      <c r="AF6350">
        <v>-0.230453582899041</v>
      </c>
      <c r="AG6350">
        <v>-1.1082144432879999</v>
      </c>
      <c r="AH6350">
        <v>26.691824919734</v>
      </c>
      <c r="AI6350">
        <v>92.377402096326193</v>
      </c>
      <c r="AJ6350">
        <v>90.494671669564198</v>
      </c>
      <c r="AK6350">
        <v>26.715814897770102</v>
      </c>
      <c r="AL6350">
        <v>79.685715296449601</v>
      </c>
      <c r="AM6350">
        <v>87.932291607707697</v>
      </c>
      <c r="AN6350">
        <v>0.99999996111142098</v>
      </c>
    </row>
    <row r="6351" spans="1:40" x14ac:dyDescent="0.25">
      <c r="A6351" t="str">
        <f>"20190312173051405"</f>
        <v>20190312173051405</v>
      </c>
      <c r="B6351" t="str">
        <f>"1552383051394020"</f>
        <v>1552383051394020</v>
      </c>
      <c r="C6351" t="s">
        <v>40</v>
      </c>
      <c r="D6351">
        <v>3.2351580000000002</v>
      </c>
      <c r="E6351">
        <v>0.48645450000000001</v>
      </c>
      <c r="F6351" t="s">
        <v>62</v>
      </c>
      <c r="G6351">
        <v>-229.1164</v>
      </c>
      <c r="H6351" s="1">
        <v>-3.2668389999999998E-6</v>
      </c>
      <c r="I6351">
        <v>-61.549120000000002</v>
      </c>
      <c r="J6351">
        <v>-256.17970000000003</v>
      </c>
      <c r="K6351">
        <v>1.1081479999999999</v>
      </c>
      <c r="L6351">
        <v>-63.144260000000003</v>
      </c>
      <c r="M6351">
        <v>0.99868080000000004</v>
      </c>
      <c r="N6351">
        <v>0</v>
      </c>
      <c r="O6351">
        <v>5.085191E-2</v>
      </c>
      <c r="P6351">
        <v>0.98489990000000005</v>
      </c>
      <c r="Q6351">
        <v>0.17248179999999999</v>
      </c>
      <c r="R6351">
        <v>1.491522E-2</v>
      </c>
      <c r="S6351">
        <v>3.0647739999999999</v>
      </c>
      <c r="T6351">
        <v>-0.1248155</v>
      </c>
      <c r="U6351">
        <v>0.18045040000000001</v>
      </c>
      <c r="V6351">
        <v>3.5649599999999997E-2</v>
      </c>
      <c r="W6351">
        <v>0.17940500000000001</v>
      </c>
      <c r="X6351">
        <v>0.98312909999999998</v>
      </c>
      <c r="Y6351">
        <v>-7.9711269999999997E-3</v>
      </c>
      <c r="Z6351">
        <v>-1.9048419999999999E-3</v>
      </c>
      <c r="AA6351">
        <v>0.99996640000000003</v>
      </c>
      <c r="AB6351">
        <v>30</v>
      </c>
      <c r="AC6351">
        <v>27.063300000000002</v>
      </c>
      <c r="AD6351">
        <v>-1.1081512668389999</v>
      </c>
      <c r="AE6351">
        <v>1.59514</v>
      </c>
      <c r="AF6351">
        <v>-0.216459031812064</v>
      </c>
      <c r="AG6351">
        <v>-1.1081512668389999</v>
      </c>
      <c r="AH6351">
        <v>27.064182366382902</v>
      </c>
      <c r="AI6351">
        <v>92.344608684401194</v>
      </c>
      <c r="AJ6351">
        <v>90.458241241340602</v>
      </c>
      <c r="AK6351">
        <v>27.087724542742301</v>
      </c>
      <c r="AL6351">
        <v>79.664894683212594</v>
      </c>
      <c r="AM6351">
        <v>87.923286903924307</v>
      </c>
      <c r="AN6351">
        <v>0.99999993763598305</v>
      </c>
    </row>
    <row r="6352" spans="1:40" x14ac:dyDescent="0.25">
      <c r="A6352" t="str">
        <f>"20190312173051416"</f>
        <v>20190312173051416</v>
      </c>
      <c r="B6352" t="str">
        <f>"1552383051403780"</f>
        <v>1552383051403780</v>
      </c>
      <c r="C6352" t="s">
        <v>40</v>
      </c>
      <c r="D6352">
        <v>3.2135159999999998</v>
      </c>
      <c r="E6352">
        <v>0.48661860000000001</v>
      </c>
      <c r="F6352" t="s">
        <v>62</v>
      </c>
      <c r="G6352">
        <v>-228.6961</v>
      </c>
      <c r="H6352" s="1">
        <v>-3.1110099999999998E-6</v>
      </c>
      <c r="I6352">
        <v>-61.563659999999999</v>
      </c>
      <c r="J6352">
        <v>-256.0256</v>
      </c>
      <c r="K6352">
        <v>1.10808</v>
      </c>
      <c r="L6352">
        <v>-63.137120000000003</v>
      </c>
      <c r="M6352">
        <v>0.99872119999999998</v>
      </c>
      <c r="N6352">
        <v>0</v>
      </c>
      <c r="O6352">
        <v>5.0052020000000003E-2</v>
      </c>
      <c r="P6352">
        <v>0.98481050000000003</v>
      </c>
      <c r="Q6352">
        <v>0.17304059999999999</v>
      </c>
      <c r="R6352">
        <v>1.432903E-2</v>
      </c>
      <c r="S6352">
        <v>3.0650019999999998</v>
      </c>
      <c r="T6352">
        <v>-0.1235822</v>
      </c>
      <c r="U6352">
        <v>0.1762695</v>
      </c>
      <c r="V6352">
        <v>3.5473780000000003E-2</v>
      </c>
      <c r="W6352">
        <v>0.17996409999999999</v>
      </c>
      <c r="X6352">
        <v>0.9830333</v>
      </c>
      <c r="Y6352">
        <v>-7.4073259999999997E-3</v>
      </c>
      <c r="Z6352">
        <v>-1.865182E-3</v>
      </c>
      <c r="AA6352">
        <v>0.9999709</v>
      </c>
      <c r="AB6352">
        <v>30</v>
      </c>
      <c r="AC6352">
        <v>27.329499999999999</v>
      </c>
      <c r="AD6352">
        <v>-1.10808311101</v>
      </c>
      <c r="AE6352">
        <v>1.5734599999999901</v>
      </c>
      <c r="AF6352">
        <v>-0.203223365390057</v>
      </c>
      <c r="AG6352">
        <v>-1.10808311101</v>
      </c>
      <c r="AH6352">
        <v>27.329221957830999</v>
      </c>
      <c r="AI6352">
        <v>92.321763014627507</v>
      </c>
      <c r="AJ6352">
        <v>90.426050421105401</v>
      </c>
      <c r="AK6352">
        <v>27.352431715252301</v>
      </c>
      <c r="AL6352">
        <v>79.632330921046403</v>
      </c>
      <c r="AM6352">
        <v>87.933318917199202</v>
      </c>
      <c r="AN6352">
        <v>0.99999996763259302</v>
      </c>
    </row>
    <row r="6353" spans="1:40" x14ac:dyDescent="0.25">
      <c r="A6353" t="str">
        <f>"20190312173051428"</f>
        <v>20190312173051428</v>
      </c>
      <c r="B6353" t="str">
        <f>"1552383051424277"</f>
        <v>1552383051424277</v>
      </c>
      <c r="C6353" t="s">
        <v>40</v>
      </c>
      <c r="D6353">
        <v>3.3801610000000002</v>
      </c>
      <c r="E6353">
        <v>0.48692550000000001</v>
      </c>
      <c r="F6353" t="s">
        <v>62</v>
      </c>
      <c r="G6353">
        <v>-228.12459999999999</v>
      </c>
      <c r="H6353" s="1">
        <v>-2.8656379999999999E-6</v>
      </c>
      <c r="I6353">
        <v>-61.56259</v>
      </c>
      <c r="J6353">
        <v>-255.8775</v>
      </c>
      <c r="K6353">
        <v>1.1080179999999999</v>
      </c>
      <c r="L6353">
        <v>-63.130400000000002</v>
      </c>
      <c r="M6353">
        <v>0.99876050000000005</v>
      </c>
      <c r="N6353">
        <v>0</v>
      </c>
      <c r="O6353">
        <v>4.9260770000000002E-2</v>
      </c>
      <c r="P6353">
        <v>0.98475429999999997</v>
      </c>
      <c r="Q6353">
        <v>0.17343149999999999</v>
      </c>
      <c r="R6353">
        <v>1.345447E-2</v>
      </c>
      <c r="S6353">
        <v>3.06514</v>
      </c>
      <c r="T6353">
        <v>-0.12173150000000001</v>
      </c>
      <c r="U6353">
        <v>0.17297360000000001</v>
      </c>
      <c r="V6353">
        <v>3.5593489999999998E-2</v>
      </c>
      <c r="W6353">
        <v>0.18035390000000001</v>
      </c>
      <c r="X6353">
        <v>0.98295750000000004</v>
      </c>
      <c r="Y6353">
        <v>-7.1237899999999996E-3</v>
      </c>
      <c r="Z6353">
        <v>-1.811546E-3</v>
      </c>
      <c r="AA6353">
        <v>0.999973</v>
      </c>
      <c r="AB6353">
        <v>30</v>
      </c>
      <c r="AC6353">
        <v>27.7529</v>
      </c>
      <c r="AD6353">
        <v>-1.108020865638</v>
      </c>
      <c r="AE6353">
        <v>1.5678099999999999</v>
      </c>
      <c r="AF6353">
        <v>-0.19842724770197101</v>
      </c>
      <c r="AG6353">
        <v>-1.108020865638</v>
      </c>
      <c r="AH6353">
        <v>27.7523428289057</v>
      </c>
      <c r="AI6353">
        <v>92.286279016461705</v>
      </c>
      <c r="AJ6353">
        <v>90.409653706560206</v>
      </c>
      <c r="AK6353">
        <v>27.775161855593801</v>
      </c>
      <c r="AL6353">
        <v>79.609625178732301</v>
      </c>
      <c r="AM6353">
        <v>87.926190994754705</v>
      </c>
      <c r="AN6353">
        <v>0.99999993629091799</v>
      </c>
    </row>
    <row r="6354" spans="1:40" x14ac:dyDescent="0.25">
      <c r="A6354" t="str">
        <f>"20190312173051438"</f>
        <v>20190312173051438</v>
      </c>
      <c r="B6354" t="str">
        <f>"1552383051434036"</f>
        <v>1552383051434036</v>
      </c>
      <c r="C6354" t="s">
        <v>40</v>
      </c>
      <c r="D6354">
        <v>3.2249370000000002</v>
      </c>
      <c r="E6354">
        <v>0.48707549999999999</v>
      </c>
      <c r="F6354" t="s">
        <v>62</v>
      </c>
      <c r="G6354">
        <v>-227.66800000000001</v>
      </c>
      <c r="H6354" s="1">
        <v>-2.6752120000000001E-6</v>
      </c>
      <c r="I6354">
        <v>-61.587150000000001</v>
      </c>
      <c r="J6354">
        <v>-255.72280000000001</v>
      </c>
      <c r="K6354">
        <v>1.107958</v>
      </c>
      <c r="L6354">
        <v>-63.123570000000001</v>
      </c>
      <c r="M6354">
        <v>0.99880270000000004</v>
      </c>
      <c r="N6354">
        <v>0</v>
      </c>
      <c r="O6354">
        <v>4.8395000000000001E-2</v>
      </c>
      <c r="P6354">
        <v>0.98470349999999995</v>
      </c>
      <c r="Q6354">
        <v>0.1737872</v>
      </c>
      <c r="R6354">
        <v>1.252641E-2</v>
      </c>
      <c r="S6354">
        <v>3.0653380000000001</v>
      </c>
      <c r="T6354">
        <v>-0.1204013</v>
      </c>
      <c r="U6354">
        <v>0.16769410000000001</v>
      </c>
      <c r="V6354">
        <v>3.5693660000000002E-2</v>
      </c>
      <c r="W6354">
        <v>0.18070990000000001</v>
      </c>
      <c r="X6354">
        <v>0.98288850000000005</v>
      </c>
      <c r="Y6354">
        <v>-6.2692219999999996E-3</v>
      </c>
      <c r="Z6354">
        <v>-1.7746039999999999E-3</v>
      </c>
      <c r="AA6354">
        <v>0.99997879999999995</v>
      </c>
      <c r="AB6354">
        <v>30</v>
      </c>
      <c r="AC6354">
        <v>28.0548</v>
      </c>
      <c r="AD6354">
        <v>-1.1079606752119999</v>
      </c>
      <c r="AE6354">
        <v>1.5364199999999899</v>
      </c>
      <c r="AF6354">
        <v>-0.176598304163544</v>
      </c>
      <c r="AG6354">
        <v>-1.1079606752119999</v>
      </c>
      <c r="AH6354">
        <v>28.0526605444058</v>
      </c>
      <c r="AI6354">
        <v>92.261719058164005</v>
      </c>
      <c r="AJ6354">
        <v>90.3606860683104</v>
      </c>
      <c r="AK6354">
        <v>28.0750873095439</v>
      </c>
      <c r="AL6354">
        <v>79.588887326064494</v>
      </c>
      <c r="AM6354">
        <v>87.920213970591305</v>
      </c>
      <c r="AN6354">
        <v>0.999999954377226</v>
      </c>
    </row>
    <row r="6355" spans="1:40" x14ac:dyDescent="0.25">
      <c r="A6355" t="str">
        <f>"20190312173051449"</f>
        <v>20190312173051449</v>
      </c>
      <c r="B6355" t="str">
        <f>"1552383051443796"</f>
        <v>1552383051443796</v>
      </c>
      <c r="C6355" t="s">
        <v>40</v>
      </c>
      <c r="D6355">
        <v>3.2164579999999998</v>
      </c>
      <c r="E6355">
        <v>0.48722359999999998</v>
      </c>
      <c r="F6355" t="s">
        <v>62</v>
      </c>
      <c r="G6355">
        <v>-227.24700000000001</v>
      </c>
      <c r="H6355" s="1">
        <v>-2.4988289999999999E-6</v>
      </c>
      <c r="I6355">
        <v>-61.606119999999997</v>
      </c>
      <c r="J6355">
        <v>-255.57339999999999</v>
      </c>
      <c r="K6355">
        <v>1.107904</v>
      </c>
      <c r="L6355">
        <v>-63.117100000000001</v>
      </c>
      <c r="M6355">
        <v>0.99884430000000002</v>
      </c>
      <c r="N6355">
        <v>0</v>
      </c>
      <c r="O6355">
        <v>4.7530030000000001E-2</v>
      </c>
      <c r="P6355">
        <v>0.98465619999999998</v>
      </c>
      <c r="Q6355">
        <v>0.1741424</v>
      </c>
      <c r="R6355">
        <v>1.126185E-2</v>
      </c>
      <c r="S6355">
        <v>3.0655519999999998</v>
      </c>
      <c r="T6355">
        <v>-0.11927740000000001</v>
      </c>
      <c r="U6355">
        <v>0.16336059999999999</v>
      </c>
      <c r="V6355">
        <v>3.6128149999999998E-2</v>
      </c>
      <c r="W6355">
        <v>0.1810639</v>
      </c>
      <c r="X6355">
        <v>0.98280749999999995</v>
      </c>
      <c r="Y6355">
        <v>-5.7210999999999998E-3</v>
      </c>
      <c r="Z6355">
        <v>-1.7350950000000001E-3</v>
      </c>
      <c r="AA6355">
        <v>0.99998209999999998</v>
      </c>
      <c r="AB6355">
        <v>30</v>
      </c>
      <c r="AC6355">
        <v>28.3263999999999</v>
      </c>
      <c r="AD6355">
        <v>-1.1079064988289999</v>
      </c>
      <c r="AE6355">
        <v>1.51098</v>
      </c>
      <c r="AF6355">
        <v>-0.16263518199957999</v>
      </c>
      <c r="AG6355">
        <v>-1.1079064988289999</v>
      </c>
      <c r="AH6355">
        <v>28.322998419251402</v>
      </c>
      <c r="AI6355">
        <v>92.240051482648994</v>
      </c>
      <c r="AJ6355">
        <v>90.328997904011999</v>
      </c>
      <c r="AK6355">
        <v>28.345125620986199</v>
      </c>
      <c r="AL6355">
        <v>79.568264698041901</v>
      </c>
      <c r="AM6355">
        <v>87.894746556942394</v>
      </c>
      <c r="AN6355">
        <v>0.99999998058094097</v>
      </c>
    </row>
    <row r="6356" spans="1:40" x14ac:dyDescent="0.25">
      <c r="A6356" t="str">
        <f>"20190312173051460"</f>
        <v>20190312173051460</v>
      </c>
      <c r="B6356" t="str">
        <f>"1552383051453556"</f>
        <v>1552383051453556</v>
      </c>
      <c r="C6356" t="s">
        <v>40</v>
      </c>
      <c r="D6356">
        <v>3.2233839999999998</v>
      </c>
      <c r="E6356">
        <v>0.48736030000000002</v>
      </c>
      <c r="F6356" t="s">
        <v>62</v>
      </c>
      <c r="G6356">
        <v>-226.83940000000001</v>
      </c>
      <c r="H6356" s="1">
        <v>-2.3297439999999998E-6</v>
      </c>
      <c r="I6356">
        <v>-61.632080000000002</v>
      </c>
      <c r="J6356">
        <v>-255.42500000000001</v>
      </c>
      <c r="K6356">
        <v>1.1078520000000001</v>
      </c>
      <c r="L6356">
        <v>-63.110779999999998</v>
      </c>
      <c r="M6356">
        <v>0.99888569999999999</v>
      </c>
      <c r="N6356">
        <v>0</v>
      </c>
      <c r="O6356">
        <v>4.6649049999999997E-2</v>
      </c>
      <c r="P6356">
        <v>0.98463789999999995</v>
      </c>
      <c r="Q6356">
        <v>0.17431329999999901</v>
      </c>
      <c r="R6356">
        <v>1.013933E-2</v>
      </c>
      <c r="S6356">
        <v>3.065842</v>
      </c>
      <c r="T6356">
        <v>-0.1182107</v>
      </c>
      <c r="U6356">
        <v>0.15844730000000001</v>
      </c>
      <c r="V6356">
        <v>3.6404409999999998E-2</v>
      </c>
      <c r="W6356">
        <v>0.18123420000000001</v>
      </c>
      <c r="X6356">
        <v>0.98276589999999997</v>
      </c>
      <c r="Y6356">
        <v>-4.9991799999999998E-3</v>
      </c>
      <c r="Z6356">
        <v>-1.6995350000000001E-3</v>
      </c>
      <c r="AA6356">
        <v>0.99998609999999999</v>
      </c>
      <c r="AB6356">
        <v>30</v>
      </c>
      <c r="AC6356">
        <v>28.585599999999999</v>
      </c>
      <c r="AD6356">
        <v>-1.107854329744</v>
      </c>
      <c r="AE6356">
        <v>1.4786999999999999</v>
      </c>
      <c r="AF6356">
        <v>-0.14335014029701901</v>
      </c>
      <c r="AG6356">
        <v>-1.107854329744</v>
      </c>
      <c r="AH6356">
        <v>28.5806464939036</v>
      </c>
      <c r="AI6356">
        <v>92.219782459236797</v>
      </c>
      <c r="AJ6356">
        <v>90.287372406393899</v>
      </c>
      <c r="AK6356">
        <v>28.602469202643</v>
      </c>
      <c r="AL6356">
        <v>79.558342918117901</v>
      </c>
      <c r="AM6356">
        <v>87.878573319687206</v>
      </c>
      <c r="AN6356">
        <v>0.99999996525994805</v>
      </c>
    </row>
    <row r="6357" spans="1:40" x14ac:dyDescent="0.25">
      <c r="A6357" t="str">
        <f>"20190312173051472"</f>
        <v>20190312173051472</v>
      </c>
      <c r="B6357" t="str">
        <f>"1552383051464291"</f>
        <v>1552383051464291</v>
      </c>
      <c r="C6357" t="s">
        <v>40</v>
      </c>
      <c r="D6357">
        <v>3.2017120000000001</v>
      </c>
      <c r="E6357">
        <v>0.48749429999999999</v>
      </c>
      <c r="F6357" t="s">
        <v>62</v>
      </c>
      <c r="G6357">
        <v>-226.5752</v>
      </c>
      <c r="H6357" s="1">
        <v>-2.2226269999999998E-6</v>
      </c>
      <c r="I6357">
        <v>-61.660089999999997</v>
      </c>
      <c r="J6357">
        <v>-255.27359999999999</v>
      </c>
      <c r="K6357">
        <v>1.107799</v>
      </c>
      <c r="L6357">
        <v>-63.104550000000003</v>
      </c>
      <c r="M6357">
        <v>0.99892840000000005</v>
      </c>
      <c r="N6357">
        <v>0</v>
      </c>
      <c r="O6357">
        <v>4.5723020000000003E-2</v>
      </c>
      <c r="P6357">
        <v>0.984649</v>
      </c>
      <c r="Q6357">
        <v>0.17431650000000001</v>
      </c>
      <c r="R6357">
        <v>8.9489419999999997E-3</v>
      </c>
      <c r="S6357">
        <v>3.066055</v>
      </c>
      <c r="T6357">
        <v>-0.117739</v>
      </c>
      <c r="U6357">
        <v>0.154174799999999</v>
      </c>
      <c r="V6357">
        <v>3.6702239999999997E-2</v>
      </c>
      <c r="W6357">
        <v>0.18123800000000001</v>
      </c>
      <c r="X6357">
        <v>0.98275420000000002</v>
      </c>
      <c r="Y6357">
        <v>-4.5321939999999998E-3</v>
      </c>
      <c r="Z6357">
        <v>-1.666196E-3</v>
      </c>
      <c r="AA6357">
        <v>0.99998830000000005</v>
      </c>
      <c r="AB6357">
        <v>30</v>
      </c>
      <c r="AC6357">
        <v>28.6983999999999</v>
      </c>
      <c r="AD6357">
        <v>-1.107801222627</v>
      </c>
      <c r="AE6357">
        <v>1.4444599999999901</v>
      </c>
      <c r="AF6357">
        <v>-0.130543934446856</v>
      </c>
      <c r="AG6357">
        <v>-1.107801222627</v>
      </c>
      <c r="AH6357">
        <v>28.6917862761414</v>
      </c>
      <c r="AI6357">
        <v>92.211091545355202</v>
      </c>
      <c r="AJ6357">
        <v>90.260686623022494</v>
      </c>
      <c r="AK6357">
        <v>28.713461389798599</v>
      </c>
      <c r="AL6357">
        <v>79.558122341744806</v>
      </c>
      <c r="AM6357">
        <v>87.861208219911902</v>
      </c>
      <c r="AN6357">
        <v>1.00000004234132</v>
      </c>
    </row>
    <row r="6358" spans="1:40" x14ac:dyDescent="0.25">
      <c r="A6358" t="str">
        <f>"20190312173051483"</f>
        <v>20190312173051483</v>
      </c>
      <c r="B6358" t="str">
        <f>"1552383051474052"</f>
        <v>1552383051474052</v>
      </c>
      <c r="C6358" t="s">
        <v>40</v>
      </c>
      <c r="D6358">
        <v>3.2175009999999999</v>
      </c>
      <c r="E6358">
        <v>0.48761159999999998</v>
      </c>
      <c r="F6358" t="s">
        <v>62</v>
      </c>
      <c r="G6358">
        <v>-226.43940000000001</v>
      </c>
      <c r="H6358" s="1">
        <v>-2.1722090000000002E-6</v>
      </c>
      <c r="I6358">
        <v>-61.695489999999999</v>
      </c>
      <c r="J6358">
        <v>-255.11080000000001</v>
      </c>
      <c r="K6358">
        <v>1.10775</v>
      </c>
      <c r="L6358">
        <v>-63.09796</v>
      </c>
      <c r="M6358">
        <v>0.99897400000000003</v>
      </c>
      <c r="N6358">
        <v>0</v>
      </c>
      <c r="O6358">
        <v>4.4716499999999999E-2</v>
      </c>
      <c r="P6358">
        <v>0.98468259999999996</v>
      </c>
      <c r="Q6358">
        <v>0.17417929999999901</v>
      </c>
      <c r="R6358">
        <v>7.8553730000000006E-3</v>
      </c>
      <c r="S6358">
        <v>3.0662539999999998</v>
      </c>
      <c r="T6358">
        <v>-0.1178043</v>
      </c>
      <c r="U6358">
        <v>0.14984129999999901</v>
      </c>
      <c r="V6358">
        <v>3.6825179999999999E-2</v>
      </c>
      <c r="W6358">
        <v>0.18110190000000001</v>
      </c>
      <c r="X6358">
        <v>0.98277460000000005</v>
      </c>
      <c r="Y6358">
        <v>-4.1262970000000001E-3</v>
      </c>
      <c r="Z6358">
        <v>-1.6362919999999999E-3</v>
      </c>
      <c r="AA6358">
        <v>0.99999020000000005</v>
      </c>
      <c r="AB6358">
        <v>31</v>
      </c>
      <c r="AC6358">
        <v>28.671399999999998</v>
      </c>
      <c r="AD6358">
        <v>-1.107752172209</v>
      </c>
      <c r="AE6358">
        <v>1.4024700000000001</v>
      </c>
      <c r="AF6358">
        <v>-0.11877258893475801</v>
      </c>
      <c r="AG6358">
        <v>-1.107752172209</v>
      </c>
      <c r="AH6358">
        <v>28.6627499506234</v>
      </c>
      <c r="AI6358">
        <v>92.213235228546097</v>
      </c>
      <c r="AJ6358">
        <v>90.237420663729395</v>
      </c>
      <c r="AK6358">
        <v>28.684393954463701</v>
      </c>
      <c r="AL6358">
        <v>79.566050570303801</v>
      </c>
      <c r="AM6358">
        <v>87.854095186035494</v>
      </c>
      <c r="AN6358">
        <v>0.99999995323540003</v>
      </c>
    </row>
    <row r="6359" spans="1:40" x14ac:dyDescent="0.25">
      <c r="A6359" t="str">
        <f>"20190312173051493"</f>
        <v>20190312173051493</v>
      </c>
      <c r="B6359" t="str">
        <f>"1552383051483813"</f>
        <v>1552383051483813</v>
      </c>
      <c r="C6359" t="s">
        <v>40</v>
      </c>
      <c r="D6359">
        <v>3.16459</v>
      </c>
      <c r="E6359">
        <v>0.48772290000000001</v>
      </c>
      <c r="F6359" t="s">
        <v>62</v>
      </c>
      <c r="G6359">
        <v>-226.40610000000001</v>
      </c>
      <c r="H6359" s="1">
        <v>-2.166357E-6</v>
      </c>
      <c r="I6359">
        <v>-61.733289999999997</v>
      </c>
      <c r="J6359">
        <v>-254.96369999999999</v>
      </c>
      <c r="K6359">
        <v>1.107715</v>
      </c>
      <c r="L6359">
        <v>-63.092289999999998</v>
      </c>
      <c r="M6359">
        <v>0.9990154</v>
      </c>
      <c r="N6359">
        <v>0</v>
      </c>
      <c r="O6359">
        <v>4.3782769999999999E-2</v>
      </c>
      <c r="P6359">
        <v>0.98476589999999997</v>
      </c>
      <c r="Q6359">
        <v>0.1737408</v>
      </c>
      <c r="R6359">
        <v>7.111109E-3</v>
      </c>
      <c r="S6359">
        <v>3.0664220000000002</v>
      </c>
      <c r="T6359">
        <v>-0.1183372</v>
      </c>
      <c r="U6359">
        <v>0.14578250000000001</v>
      </c>
      <c r="V6359">
        <v>3.666527E-2</v>
      </c>
      <c r="W6359">
        <v>0.18066670000000001</v>
      </c>
      <c r="X6359">
        <v>0.98286070000000003</v>
      </c>
      <c r="Y6359">
        <v>-3.7375949999999998E-3</v>
      </c>
      <c r="Z6359">
        <v>-1.6152009999999999E-3</v>
      </c>
      <c r="AA6359">
        <v>0.99999170000000004</v>
      </c>
      <c r="AB6359">
        <v>31</v>
      </c>
      <c r="AC6359">
        <v>28.557599999999901</v>
      </c>
      <c r="AD6359">
        <v>-1.107717166357</v>
      </c>
      <c r="AE6359">
        <v>1.359</v>
      </c>
      <c r="AF6359">
        <v>-0.10717296356662399</v>
      </c>
      <c r="AG6359">
        <v>-1.107717166357</v>
      </c>
      <c r="AH6359">
        <v>28.546862402652501</v>
      </c>
      <c r="AI6359">
        <v>92.222144249876493</v>
      </c>
      <c r="AJ6359">
        <v>90.2151034868306</v>
      </c>
      <c r="AK6359">
        <v>28.568546977414499</v>
      </c>
      <c r="AL6359">
        <v>79.591404164775298</v>
      </c>
      <c r="AM6359">
        <v>87.863591923032004</v>
      </c>
      <c r="AN6359">
        <v>0.99999997705877597</v>
      </c>
    </row>
    <row r="6360" spans="1:40" x14ac:dyDescent="0.25">
      <c r="A6360" t="str">
        <f>"20190312173051505"</f>
        <v>20190312173051505</v>
      </c>
      <c r="B6360" t="str">
        <f>"1552383051493573"</f>
        <v>1552383051493573</v>
      </c>
      <c r="C6360" t="s">
        <v>40</v>
      </c>
      <c r="D6360">
        <v>3.193492</v>
      </c>
      <c r="E6360">
        <v>0.48783149999999997</v>
      </c>
      <c r="F6360" t="s">
        <v>62</v>
      </c>
      <c r="G6360">
        <v>-226.62280000000001</v>
      </c>
      <c r="H6360" s="1">
        <v>-2.268378E-6</v>
      </c>
      <c r="I6360">
        <v>-61.774009999999997</v>
      </c>
      <c r="J6360">
        <v>-254.8091</v>
      </c>
      <c r="K6360">
        <v>1.10768</v>
      </c>
      <c r="L6360">
        <v>-63.086329999999997</v>
      </c>
      <c r="M6360">
        <v>0.99905790000000005</v>
      </c>
      <c r="N6360">
        <v>0</v>
      </c>
      <c r="O6360">
        <v>4.2799209999999997E-2</v>
      </c>
      <c r="P6360">
        <v>0.98487559999999996</v>
      </c>
      <c r="Q6360">
        <v>0.1731636</v>
      </c>
      <c r="R6360">
        <v>5.872716E-3</v>
      </c>
      <c r="S6360">
        <v>3.0665279999999999</v>
      </c>
      <c r="T6360">
        <v>-0.1198568</v>
      </c>
      <c r="U6360">
        <v>0.14263919999999999</v>
      </c>
      <c r="V6360">
        <v>3.6950669999999998E-2</v>
      </c>
      <c r="W6360">
        <v>0.18009220000000001</v>
      </c>
      <c r="X6360">
        <v>0.98295549999999998</v>
      </c>
      <c r="Y6360">
        <v>-3.6977260000000001E-3</v>
      </c>
      <c r="Z6360">
        <v>-1.5983359999999999E-3</v>
      </c>
      <c r="AA6360">
        <v>0.99999190000000004</v>
      </c>
      <c r="AB6360">
        <v>31</v>
      </c>
      <c r="AC6360">
        <v>28.1862999999999</v>
      </c>
      <c r="AD6360">
        <v>-1.1076822683779901</v>
      </c>
      <c r="AE6360">
        <v>1.3123199999999999</v>
      </c>
      <c r="AF6360">
        <v>-0.104573837118517</v>
      </c>
      <c r="AG6360">
        <v>-1.1076822683779901</v>
      </c>
      <c r="AH6360">
        <v>28.173223041028098</v>
      </c>
      <c r="AI6360">
        <v>92.251514167639201</v>
      </c>
      <c r="AJ6360">
        <v>90.212670449139296</v>
      </c>
      <c r="AK6360">
        <v>28.195183847859699</v>
      </c>
      <c r="AL6360">
        <v>79.624870114964693</v>
      </c>
      <c r="AM6360">
        <v>87.847185306220894</v>
      </c>
      <c r="AN6360">
        <v>1.0000000337472601</v>
      </c>
    </row>
    <row r="6361" spans="1:40" x14ac:dyDescent="0.25">
      <c r="A6361" t="str">
        <f>"20190312173051516"</f>
        <v>20190312173051516</v>
      </c>
      <c r="B6361" t="str">
        <f>"1552383051504308"</f>
        <v>1552383051504308</v>
      </c>
      <c r="C6361" t="s">
        <v>40</v>
      </c>
      <c r="D6361">
        <v>3.22051</v>
      </c>
      <c r="E6361">
        <v>0.48793599999999998</v>
      </c>
      <c r="F6361" t="s">
        <v>62</v>
      </c>
      <c r="G6361">
        <v>-226.92320000000001</v>
      </c>
      <c r="H6361" s="1">
        <v>-2.4100100000000001E-6</v>
      </c>
      <c r="I6361">
        <v>-61.831470000000003</v>
      </c>
      <c r="J6361">
        <v>-254.66399999999999</v>
      </c>
      <c r="K6361">
        <v>1.107653</v>
      </c>
      <c r="L6361">
        <v>-63.08099</v>
      </c>
      <c r="M6361">
        <v>0.99909760000000003</v>
      </c>
      <c r="N6361">
        <v>0</v>
      </c>
      <c r="O6361">
        <v>4.1863810000000001E-2</v>
      </c>
      <c r="P6361">
        <v>0.98495650000000001</v>
      </c>
      <c r="Q6361">
        <v>0.17272939999999901</v>
      </c>
      <c r="R6361">
        <v>5.0682890000000001E-3</v>
      </c>
      <c r="S6361">
        <v>3.066681</v>
      </c>
      <c r="T6361">
        <v>-0.12181450000000001</v>
      </c>
      <c r="U6361">
        <v>0.1380005</v>
      </c>
      <c r="V6361">
        <v>3.6844790000000002E-2</v>
      </c>
      <c r="W6361">
        <v>0.1796616</v>
      </c>
      <c r="X6361">
        <v>0.98303819999999997</v>
      </c>
      <c r="Y6361">
        <v>-3.122943E-3</v>
      </c>
      <c r="Z6361">
        <v>-1.598735E-3</v>
      </c>
      <c r="AA6361">
        <v>0.99999389999999999</v>
      </c>
      <c r="AB6361">
        <v>31</v>
      </c>
      <c r="AC6361">
        <v>27.7408</v>
      </c>
      <c r="AD6361">
        <v>-1.10765541001</v>
      </c>
      <c r="AE6361">
        <v>1.24952</v>
      </c>
      <c r="AF6361">
        <v>-8.6920792797413104E-2</v>
      </c>
      <c r="AG6361">
        <v>-1.10765541001</v>
      </c>
      <c r="AH6361">
        <v>27.7246780416204</v>
      </c>
      <c r="AI6361">
        <v>92.287851088540606</v>
      </c>
      <c r="AJ6361">
        <v>90.179629796056702</v>
      </c>
      <c r="AK6361">
        <v>27.7469318708042</v>
      </c>
      <c r="AL6361">
        <v>79.6499500538756</v>
      </c>
      <c r="AM6361">
        <v>87.853528714641797</v>
      </c>
      <c r="AN6361">
        <v>0.99999996586197104</v>
      </c>
    </row>
    <row r="6362" spans="1:40" x14ac:dyDescent="0.25">
      <c r="A6362" t="str">
        <f>"20190312173051527"</f>
        <v>20190312173051527</v>
      </c>
      <c r="B6362" t="str">
        <f>"1552383051523828"</f>
        <v>1552383051523828</v>
      </c>
      <c r="C6362" t="s">
        <v>40</v>
      </c>
      <c r="D6362">
        <v>3.2078859999999998</v>
      </c>
      <c r="E6362">
        <v>0.48812820000000001</v>
      </c>
      <c r="F6362" t="s">
        <v>62</v>
      </c>
      <c r="G6362">
        <v>-227.1088</v>
      </c>
      <c r="H6362" s="1">
        <v>-2.4983049999999998E-6</v>
      </c>
      <c r="I6362">
        <v>-61.87039</v>
      </c>
      <c r="J6362">
        <v>-254.50620000000001</v>
      </c>
      <c r="K6362">
        <v>1.1076280000000001</v>
      </c>
      <c r="L6362">
        <v>-63.075290000000003</v>
      </c>
      <c r="M6362">
        <v>0.99913960000000002</v>
      </c>
      <c r="N6362">
        <v>0</v>
      </c>
      <c r="O6362">
        <v>4.084455E-2</v>
      </c>
      <c r="P6362">
        <v>0.98508110000000004</v>
      </c>
      <c r="Q6362">
        <v>0.1720399</v>
      </c>
      <c r="R6362">
        <v>4.1895400000000003E-3</v>
      </c>
      <c r="S6362">
        <v>3.066757</v>
      </c>
      <c r="T6362">
        <v>-0.12327680000000001</v>
      </c>
      <c r="U6362">
        <v>0.1347351</v>
      </c>
      <c r="V6362">
        <v>3.6731020000000003E-2</v>
      </c>
      <c r="W6362">
        <v>0.17897669999999999</v>
      </c>
      <c r="X6362">
        <v>0.98316740000000002</v>
      </c>
      <c r="Y6362">
        <v>-3.0792670000000001E-3</v>
      </c>
      <c r="Z6362">
        <v>-1.5779050000000001E-3</v>
      </c>
      <c r="AA6362">
        <v>0.99999400000000005</v>
      </c>
      <c r="AB6362">
        <v>31</v>
      </c>
      <c r="AC6362">
        <v>27.397400000000001</v>
      </c>
      <c r="AD6362">
        <v>-1.107630498305</v>
      </c>
      <c r="AE6362">
        <v>1.2049000000000001</v>
      </c>
      <c r="AF6362">
        <v>-8.4692867404921796E-2</v>
      </c>
      <c r="AG6362">
        <v>-1.107630498305</v>
      </c>
      <c r="AH6362">
        <v>27.379087607995199</v>
      </c>
      <c r="AI6362">
        <v>92.316646298348402</v>
      </c>
      <c r="AJ6362">
        <v>90.177234846139399</v>
      </c>
      <c r="AK6362">
        <v>27.401614121230899</v>
      </c>
      <c r="AL6362">
        <v>79.689838654030197</v>
      </c>
      <c r="AM6362">
        <v>87.860431396520994</v>
      </c>
      <c r="AN6362">
        <v>0.99999998169794502</v>
      </c>
    </row>
    <row r="6363" spans="1:40" x14ac:dyDescent="0.25">
      <c r="A6363" t="str">
        <f>"20190312173051538"</f>
        <v>20190312173051538</v>
      </c>
      <c r="B6363" t="str">
        <f>"1552383051533784"</f>
        <v>1552383051533784</v>
      </c>
      <c r="C6363" t="s">
        <v>40</v>
      </c>
      <c r="D6363">
        <v>3.298686</v>
      </c>
      <c r="E6363">
        <v>0.48821379999999998</v>
      </c>
      <c r="F6363" t="s">
        <v>62</v>
      </c>
      <c r="G6363">
        <v>-227.5154</v>
      </c>
      <c r="H6363" s="1">
        <v>-2.6856670000000001E-6</v>
      </c>
      <c r="I6363">
        <v>-61.928719999999998</v>
      </c>
      <c r="J6363">
        <v>-254.34100000000001</v>
      </c>
      <c r="K6363">
        <v>1.1076090000000001</v>
      </c>
      <c r="L6363">
        <v>-63.069490000000002</v>
      </c>
      <c r="M6363">
        <v>0.99918289999999998</v>
      </c>
      <c r="N6363">
        <v>0</v>
      </c>
      <c r="O6363">
        <v>3.9771750000000002E-2</v>
      </c>
      <c r="P6363">
        <v>0.98518570000000005</v>
      </c>
      <c r="Q6363">
        <v>0.17146169999999999</v>
      </c>
      <c r="R6363">
        <v>3.187212E-3</v>
      </c>
      <c r="S6363">
        <v>3.0668639999999998</v>
      </c>
      <c r="T6363">
        <v>-0.12585569999999999</v>
      </c>
      <c r="U6363">
        <v>0.13027949999999999</v>
      </c>
      <c r="V6363">
        <v>3.6685839999999997E-2</v>
      </c>
      <c r="W6363">
        <v>0.17840339999999999</v>
      </c>
      <c r="X6363">
        <v>0.98327330000000002</v>
      </c>
      <c r="Y6363">
        <v>-2.7020439999999998E-3</v>
      </c>
      <c r="Z6363">
        <v>-1.574684E-3</v>
      </c>
      <c r="AA6363">
        <v>0.99999510000000003</v>
      </c>
      <c r="AB6363">
        <v>31</v>
      </c>
      <c r="AC6363">
        <v>26.825599999999898</v>
      </c>
      <c r="AD6363">
        <v>-1.107611685667</v>
      </c>
      <c r="AE6363">
        <v>1.1407700000000001</v>
      </c>
      <c r="AF6363">
        <v>-7.2814795629008305E-2</v>
      </c>
      <c r="AG6363">
        <v>-1.107611685667</v>
      </c>
      <c r="AH6363">
        <v>26.804132352366601</v>
      </c>
      <c r="AI6363">
        <v>92.366245481752998</v>
      </c>
      <c r="AJ6363">
        <v>90.155646530850703</v>
      </c>
      <c r="AK6363">
        <v>26.8271060087344</v>
      </c>
      <c r="AL6363">
        <v>79.723223866887594</v>
      </c>
      <c r="AM6363">
        <v>87.863290611989697</v>
      </c>
      <c r="AN6363">
        <v>1.0000000032404699</v>
      </c>
    </row>
    <row r="6364" spans="1:40" x14ac:dyDescent="0.25">
      <c r="A6364" t="str">
        <f>"20190312173051550"</f>
        <v>20190312173051550</v>
      </c>
      <c r="B6364" t="str">
        <f>"1552383051543541"</f>
        <v>1552383051543541</v>
      </c>
      <c r="C6364" t="s">
        <v>40</v>
      </c>
      <c r="D6364">
        <v>3.224059</v>
      </c>
      <c r="E6364">
        <v>0.48828749999999999</v>
      </c>
      <c r="F6364" t="s">
        <v>62</v>
      </c>
      <c r="G6364">
        <v>-227.76589999999999</v>
      </c>
      <c r="H6364" s="1">
        <v>-2.802849E-6</v>
      </c>
      <c r="I6364">
        <v>-61.972349999999999</v>
      </c>
      <c r="J6364">
        <v>-254.1944</v>
      </c>
      <c r="K6364">
        <v>1.1075919999999999</v>
      </c>
      <c r="L6364">
        <v>-63.064540000000001</v>
      </c>
      <c r="M6364">
        <v>0.99922029999999995</v>
      </c>
      <c r="N6364">
        <v>0</v>
      </c>
      <c r="O6364">
        <v>3.8818289999999998E-2</v>
      </c>
      <c r="P6364">
        <v>0.98522469999999995</v>
      </c>
      <c r="Q6364">
        <v>0.17125370000000001</v>
      </c>
      <c r="R6364">
        <v>2.1224680000000002E-3</v>
      </c>
      <c r="S6364">
        <v>3.0669559999999998</v>
      </c>
      <c r="T6364">
        <v>-0.1278262</v>
      </c>
      <c r="U6364">
        <v>0.12661739999999999</v>
      </c>
      <c r="V6364">
        <v>3.6817040000000002E-2</v>
      </c>
      <c r="W6364">
        <v>0.17819879999999999</v>
      </c>
      <c r="X6364">
        <v>0.98330550000000005</v>
      </c>
      <c r="Y6364">
        <v>-2.4634029999999999E-3</v>
      </c>
      <c r="Z6364">
        <v>-1.5646220000000001E-3</v>
      </c>
      <c r="AA6364">
        <v>0.99999579999999999</v>
      </c>
      <c r="AB6364">
        <v>31</v>
      </c>
      <c r="AC6364">
        <v>26.4285</v>
      </c>
      <c r="AD6364">
        <v>-1.1075948028489999</v>
      </c>
      <c r="AE6364">
        <v>1.09219</v>
      </c>
      <c r="AF6364">
        <v>-6.5316416798483198E-2</v>
      </c>
      <c r="AG6364">
        <v>-1.1075948028489999</v>
      </c>
      <c r="AH6364">
        <v>26.404680085571801</v>
      </c>
      <c r="AI6364">
        <v>92.4019655731489</v>
      </c>
      <c r="AJ6364">
        <v>90.141730457258703</v>
      </c>
      <c r="AK6364">
        <v>26.427980681523799</v>
      </c>
      <c r="AL6364">
        <v>79.735137521792396</v>
      </c>
      <c r="AM6364">
        <v>87.855726348701197</v>
      </c>
      <c r="AN6364">
        <v>1.0000000065430199</v>
      </c>
    </row>
    <row r="6365" spans="1:40" x14ac:dyDescent="0.25">
      <c r="A6365" t="str">
        <f>"20190312173051560"</f>
        <v>20190312173051560</v>
      </c>
      <c r="B6365" t="str">
        <f>"1552383051554277"</f>
        <v>1552383051554277</v>
      </c>
      <c r="C6365" t="s">
        <v>40</v>
      </c>
      <c r="D6365">
        <v>3.1980339999999998</v>
      </c>
      <c r="E6365">
        <v>0.4883538</v>
      </c>
      <c r="F6365" t="s">
        <v>62</v>
      </c>
      <c r="G6365">
        <v>-227.79349999999999</v>
      </c>
      <c r="H6365" s="1">
        <v>-2.8233280000000001E-6</v>
      </c>
      <c r="I6365">
        <v>-62.011159999999997</v>
      </c>
      <c r="J6365">
        <v>-254.0453</v>
      </c>
      <c r="K6365">
        <v>1.1075790000000001</v>
      </c>
      <c r="L6365">
        <v>-63.059600000000003</v>
      </c>
      <c r="M6365">
        <v>0.99925750000000002</v>
      </c>
      <c r="N6365">
        <v>0</v>
      </c>
      <c r="O6365">
        <v>3.7847199999999998E-2</v>
      </c>
      <c r="P6365">
        <v>0.9853054</v>
      </c>
      <c r="Q6365">
        <v>0.1707987</v>
      </c>
      <c r="R6365">
        <v>1.0865600000000001E-3</v>
      </c>
      <c r="S6365">
        <v>3.0670929999999998</v>
      </c>
      <c r="T6365">
        <v>-0.1286736</v>
      </c>
      <c r="U6365">
        <v>0.1223755</v>
      </c>
      <c r="V6365">
        <v>3.6901980000000001E-2</v>
      </c>
      <c r="W6365">
        <v>0.1777474</v>
      </c>
      <c r="X6365">
        <v>0.98338400000000004</v>
      </c>
      <c r="Y6365">
        <v>-2.052533E-3</v>
      </c>
      <c r="Z6365">
        <v>-1.542912E-3</v>
      </c>
      <c r="AA6365">
        <v>0.99999669999999896</v>
      </c>
      <c r="AB6365">
        <v>31</v>
      </c>
      <c r="AC6365">
        <v>26.251799999999999</v>
      </c>
      <c r="AD6365">
        <v>-1.1075818233279999</v>
      </c>
      <c r="AE6365">
        <v>1.04844</v>
      </c>
      <c r="AF6365">
        <v>-5.4009828768664697E-2</v>
      </c>
      <c r="AG6365">
        <v>-1.1075818233279999</v>
      </c>
      <c r="AH6365">
        <v>26.226062661137099</v>
      </c>
      <c r="AI6365">
        <v>92.418279207699499</v>
      </c>
      <c r="AJ6365">
        <v>90.117994489142703</v>
      </c>
      <c r="AK6365">
        <v>26.249495562064801</v>
      </c>
      <c r="AL6365">
        <v>79.761420292921102</v>
      </c>
      <c r="AM6365">
        <v>87.850955366684303</v>
      </c>
      <c r="AN6365">
        <v>0.99999999289534003</v>
      </c>
    </row>
    <row r="6366" spans="1:40" x14ac:dyDescent="0.25">
      <c r="A6366" t="str">
        <f>"20190312173051571"</f>
        <v>20190312173051571</v>
      </c>
      <c r="B6366" t="str">
        <f>"1552383051564037"</f>
        <v>1552383051564037</v>
      </c>
      <c r="C6366" t="s">
        <v>40</v>
      </c>
      <c r="D6366">
        <v>3.2301190000000002</v>
      </c>
      <c r="E6366">
        <v>0.48842679999999999</v>
      </c>
      <c r="F6366" t="s">
        <v>62</v>
      </c>
      <c r="G6366">
        <v>-227.96850000000001</v>
      </c>
      <c r="H6366" s="1">
        <v>-2.9080189999999998E-6</v>
      </c>
      <c r="I6366">
        <v>-62.054470000000002</v>
      </c>
      <c r="J6366">
        <v>-253.88839999999999</v>
      </c>
      <c r="K6366">
        <v>1.107564</v>
      </c>
      <c r="L6366">
        <v>-63.054600000000001</v>
      </c>
      <c r="M6366">
        <v>0.99929570000000001</v>
      </c>
      <c r="N6366">
        <v>0</v>
      </c>
      <c r="O6366">
        <v>3.6827140000000001E-2</v>
      </c>
      <c r="P6366">
        <v>0.98532940000000002</v>
      </c>
      <c r="Q6366">
        <v>0.17066429999999999</v>
      </c>
      <c r="R6366" s="1">
        <v>-3.5014000000000001E-5</v>
      </c>
      <c r="S6366">
        <v>3.0672000000000001</v>
      </c>
      <c r="T6366">
        <v>-0.1302758</v>
      </c>
      <c r="U6366">
        <v>0.1182251</v>
      </c>
      <c r="V6366">
        <v>3.7022579999999999E-2</v>
      </c>
      <c r="W6366">
        <v>0.17761740000000001</v>
      </c>
      <c r="X6366">
        <v>0.98340300000000003</v>
      </c>
      <c r="Y6366">
        <v>-1.7210540000000001E-3</v>
      </c>
      <c r="Z6366">
        <v>-1.525885E-3</v>
      </c>
      <c r="AA6366">
        <v>0.99999740000000004</v>
      </c>
      <c r="AB6366">
        <v>31</v>
      </c>
      <c r="AC6366">
        <v>25.919899999999899</v>
      </c>
      <c r="AD6366">
        <v>-1.107566908019</v>
      </c>
      <c r="AE6366">
        <v>1.00013</v>
      </c>
      <c r="AF6366">
        <v>-4.4789327440883202E-2</v>
      </c>
      <c r="AG6366">
        <v>-1.107566908019</v>
      </c>
      <c r="AH6366">
        <v>25.891943809441401</v>
      </c>
      <c r="AI6366">
        <v>92.449416357552494</v>
      </c>
      <c r="AJ6366">
        <v>90.099113333813193</v>
      </c>
      <c r="AK6366">
        <v>25.9156606084209</v>
      </c>
      <c r="AL6366">
        <v>79.768989630310102</v>
      </c>
      <c r="AM6366">
        <v>87.843980271497699</v>
      </c>
      <c r="AN6366">
        <v>1.0000000363107999</v>
      </c>
    </row>
    <row r="6367" spans="1:40" x14ac:dyDescent="0.25">
      <c r="A6367" t="str">
        <f>"20190312173051583"</f>
        <v>20190312173051583</v>
      </c>
      <c r="B6367" t="str">
        <f>"1552383051573797"</f>
        <v>1552383051573797</v>
      </c>
      <c r="C6367" t="s">
        <v>40</v>
      </c>
      <c r="D6367">
        <v>3.2261709999999999</v>
      </c>
      <c r="E6367">
        <v>0.48848180000000002</v>
      </c>
      <c r="F6367" t="s">
        <v>62</v>
      </c>
      <c r="G6367">
        <v>-227.92509999999999</v>
      </c>
      <c r="H6367" s="1">
        <v>-2.8966969999999999E-6</v>
      </c>
      <c r="I6367">
        <v>-62.087209999999999</v>
      </c>
      <c r="J6367">
        <v>-253.72829999999999</v>
      </c>
      <c r="K6367">
        <v>1.1075549999999901</v>
      </c>
      <c r="L6367">
        <v>-63.049590000000002</v>
      </c>
      <c r="M6367">
        <v>0.99933340000000004</v>
      </c>
      <c r="N6367">
        <v>0</v>
      </c>
      <c r="O6367">
        <v>3.5786159999999997E-2</v>
      </c>
      <c r="P6367">
        <v>0.98527940000000003</v>
      </c>
      <c r="Q6367">
        <v>0.17094870000000001</v>
      </c>
      <c r="R6367">
        <v>-1.1684009999999999E-3</v>
      </c>
      <c r="S6367">
        <v>3.0673370000000002</v>
      </c>
      <c r="T6367">
        <v>-0.1308492</v>
      </c>
      <c r="U6367">
        <v>0.1142883</v>
      </c>
      <c r="V6367">
        <v>3.7133480000000003E-2</v>
      </c>
      <c r="W6367">
        <v>0.17790549999999999</v>
      </c>
      <c r="X6367">
        <v>0.98334670000000002</v>
      </c>
      <c r="Y6367">
        <v>-1.4789639999999999E-3</v>
      </c>
      <c r="Z6367">
        <v>-1.493397E-3</v>
      </c>
      <c r="AA6367">
        <v>0.99999780000000005</v>
      </c>
      <c r="AB6367">
        <v>31</v>
      </c>
      <c r="AC6367">
        <v>25.8032</v>
      </c>
      <c r="AD6367">
        <v>-1.1075578966970001</v>
      </c>
      <c r="AE6367">
        <v>0.96238000000000301</v>
      </c>
      <c r="AF6367">
        <v>-3.8271618750866002E-2</v>
      </c>
      <c r="AG6367">
        <v>-1.1075578966970001</v>
      </c>
      <c r="AH6367">
        <v>25.773692517128101</v>
      </c>
      <c r="AI6367">
        <v>92.460621621466302</v>
      </c>
      <c r="AJ6367">
        <v>90.085079024529506</v>
      </c>
      <c r="AK6367">
        <v>25.7975071504749</v>
      </c>
      <c r="AL6367">
        <v>79.752215162738494</v>
      </c>
      <c r="AM6367">
        <v>87.837404411490098</v>
      </c>
      <c r="AN6367">
        <v>0.999999997334025</v>
      </c>
    </row>
    <row r="6368" spans="1:40" x14ac:dyDescent="0.25">
      <c r="A6368" t="str">
        <f>"20190312173051594"</f>
        <v>20190312173051594</v>
      </c>
      <c r="B6368" t="str">
        <f>"1552383051583557"</f>
        <v>1552383051583557</v>
      </c>
      <c r="C6368" t="s">
        <v>40</v>
      </c>
      <c r="D6368">
        <v>3.2373880000000002</v>
      </c>
      <c r="E6368">
        <v>0.48852980000000001</v>
      </c>
      <c r="F6368" t="s">
        <v>62</v>
      </c>
      <c r="G6368">
        <v>-227.60740000000001</v>
      </c>
      <c r="H6368" s="1">
        <v>-2.765507E-6</v>
      </c>
      <c r="I6368">
        <v>-62.110169999999997</v>
      </c>
      <c r="J6368">
        <v>-253.57470000000001</v>
      </c>
      <c r="K6368">
        <v>1.1075459999999999</v>
      </c>
      <c r="L6368">
        <v>-63.045009999999998</v>
      </c>
      <c r="M6368">
        <v>0.99936849999999999</v>
      </c>
      <c r="N6368">
        <v>0</v>
      </c>
      <c r="O6368">
        <v>3.479003E-2</v>
      </c>
      <c r="P6368">
        <v>0.9851626</v>
      </c>
      <c r="Q6368">
        <v>0.17160599999999901</v>
      </c>
      <c r="R6368">
        <v>-2.4423660000000001E-3</v>
      </c>
      <c r="S6368">
        <v>3.06752</v>
      </c>
      <c r="T6368">
        <v>-0.1300664</v>
      </c>
      <c r="U6368">
        <v>0.110321</v>
      </c>
      <c r="V6368">
        <v>3.7427759999999997E-2</v>
      </c>
      <c r="W6368">
        <v>0.17856529999999901</v>
      </c>
      <c r="X6368">
        <v>0.98321590000000003</v>
      </c>
      <c r="Y6368">
        <v>-1.180932E-3</v>
      </c>
      <c r="Z6368">
        <v>-1.448567E-3</v>
      </c>
      <c r="AA6368">
        <v>0.99999830000000001</v>
      </c>
      <c r="AB6368">
        <v>31</v>
      </c>
      <c r="AC6368">
        <v>25.967299999999899</v>
      </c>
      <c r="AD6368">
        <v>-1.107548765507</v>
      </c>
      <c r="AE6368">
        <v>0.934840000000001</v>
      </c>
      <c r="AF6368">
        <v>-3.0791366418254001E-2</v>
      </c>
      <c r="AG6368">
        <v>-1.107548765507</v>
      </c>
      <c r="AH6368">
        <v>25.936981091901</v>
      </c>
      <c r="AI6368">
        <v>92.445130257110407</v>
      </c>
      <c r="AJ6368">
        <v>90.068019269712096</v>
      </c>
      <c r="AK6368">
        <v>25.960635595798699</v>
      </c>
      <c r="AL6368">
        <v>79.713795795688299</v>
      </c>
      <c r="AM6368">
        <v>87.819992778431796</v>
      </c>
      <c r="AN6368">
        <v>0.99999995479775705</v>
      </c>
    </row>
    <row r="6369" spans="1:40" x14ac:dyDescent="0.25">
      <c r="A6369" t="str">
        <f>"20190312173051606"</f>
        <v>20190312173051606</v>
      </c>
      <c r="B6369" t="str">
        <f>"1552383051594293"</f>
        <v>1552383051594293</v>
      </c>
      <c r="C6369" t="s">
        <v>40</v>
      </c>
      <c r="D6369">
        <v>3.204485</v>
      </c>
      <c r="E6369">
        <v>0.48860510000000001</v>
      </c>
      <c r="F6369" t="s">
        <v>62</v>
      </c>
      <c r="G6369">
        <v>-227.05119999999999</v>
      </c>
      <c r="H6369" s="1">
        <v>-2.530464E-6</v>
      </c>
      <c r="I6369">
        <v>-62.126280000000001</v>
      </c>
      <c r="J6369">
        <v>-253.42320000000001</v>
      </c>
      <c r="K6369">
        <v>1.1075390000000001</v>
      </c>
      <c r="L6369">
        <v>-63.040619999999997</v>
      </c>
      <c r="M6369">
        <v>0.99940220000000002</v>
      </c>
      <c r="N6369">
        <v>0</v>
      </c>
      <c r="O6369">
        <v>3.3808150000000002E-2</v>
      </c>
      <c r="P6369">
        <v>0.98511280000000001</v>
      </c>
      <c r="Q6369">
        <v>0.171867299999999</v>
      </c>
      <c r="R6369">
        <v>-3.826107E-3</v>
      </c>
      <c r="S6369">
        <v>3.0677639999999999</v>
      </c>
      <c r="T6369">
        <v>-0.1281012</v>
      </c>
      <c r="U6369">
        <v>0.1062622</v>
      </c>
      <c r="V6369">
        <v>3.784618E-2</v>
      </c>
      <c r="W6369">
        <v>0.1788284</v>
      </c>
      <c r="X6369">
        <v>0.98315209999999997</v>
      </c>
      <c r="Y6369">
        <v>-8.3768009999999997E-4</v>
      </c>
      <c r="Z6369">
        <v>-1.3928479999999999E-3</v>
      </c>
      <c r="AA6369">
        <v>0.99999870000000002</v>
      </c>
      <c r="AB6369">
        <v>31</v>
      </c>
      <c r="AC6369">
        <v>26.372</v>
      </c>
      <c r="AD6369">
        <v>-1.1075415304639999</v>
      </c>
      <c r="AE6369">
        <v>0.91433999999999505</v>
      </c>
      <c r="AF6369">
        <v>-2.2166407110858901E-2</v>
      </c>
      <c r="AG6369">
        <v>-1.1075415304639999</v>
      </c>
      <c r="AH6369">
        <v>26.3414327870119</v>
      </c>
      <c r="AI6369">
        <v>92.407616888828002</v>
      </c>
      <c r="AJ6369">
        <v>90.048214585930296</v>
      </c>
      <c r="AK6369">
        <v>26.364715451981901</v>
      </c>
      <c r="AL6369">
        <v>79.6984750448146</v>
      </c>
      <c r="AM6369">
        <v>87.795502602651098</v>
      </c>
      <c r="AN6369">
        <v>0.99999999086078095</v>
      </c>
    </row>
    <row r="6370" spans="1:40" x14ac:dyDescent="0.25">
      <c r="A6370" t="str">
        <f>"20190312173051616"</f>
        <v>20190312173051616</v>
      </c>
      <c r="B6370" t="str">
        <f>"1552383051613813"</f>
        <v>1552383051613813</v>
      </c>
      <c r="C6370" t="s">
        <v>40</v>
      </c>
      <c r="D6370">
        <v>3.217876</v>
      </c>
      <c r="E6370">
        <v>0.48871759999999997</v>
      </c>
      <c r="F6370" t="s">
        <v>62</v>
      </c>
      <c r="G6370">
        <v>-226.80510000000001</v>
      </c>
      <c r="H6370" s="1">
        <v>-2.4321570000000001E-6</v>
      </c>
      <c r="I6370">
        <v>-62.158940000000001</v>
      </c>
      <c r="J6370">
        <v>-253.25980000000001</v>
      </c>
      <c r="K6370">
        <v>1.107532</v>
      </c>
      <c r="L6370">
        <v>-63.036070000000002</v>
      </c>
      <c r="M6370">
        <v>0.99943749999999998</v>
      </c>
      <c r="N6370">
        <v>0</v>
      </c>
      <c r="O6370">
        <v>3.2752120000000003E-2</v>
      </c>
      <c r="P6370">
        <v>0.9850196</v>
      </c>
      <c r="Q6370">
        <v>0.17236760000000001</v>
      </c>
      <c r="R6370">
        <v>-5.1348499999999998E-3</v>
      </c>
      <c r="S6370">
        <v>3.0680239999999999</v>
      </c>
      <c r="T6370">
        <v>-0.12765609999999999</v>
      </c>
      <c r="U6370">
        <v>0.10162350000000001</v>
      </c>
      <c r="V6370">
        <v>3.8116480000000001E-2</v>
      </c>
      <c r="W6370">
        <v>0.17933180000000001</v>
      </c>
      <c r="X6370">
        <v>0.98304999999999998</v>
      </c>
      <c r="Y6370">
        <v>-3.8047679999999998E-4</v>
      </c>
      <c r="Z6370">
        <v>-1.3535649999999999E-3</v>
      </c>
      <c r="AA6370">
        <v>0.99999899999999997</v>
      </c>
      <c r="AB6370">
        <v>31</v>
      </c>
      <c r="AC6370">
        <v>26.454699999999999</v>
      </c>
      <c r="AD6370">
        <v>-1.107534432157</v>
      </c>
      <c r="AE6370">
        <v>0.87712999999999397</v>
      </c>
      <c r="AF6370">
        <v>-1.01715620779883E-2</v>
      </c>
      <c r="AG6370">
        <v>-1.107534432157</v>
      </c>
      <c r="AH6370">
        <v>26.422974251858701</v>
      </c>
      <c r="AI6370">
        <v>92.400180976924901</v>
      </c>
      <c r="AJ6370">
        <v>90.022056091936506</v>
      </c>
      <c r="AK6370">
        <v>26.446177498713801</v>
      </c>
      <c r="AL6370">
        <v>79.669158855634805</v>
      </c>
      <c r="AM6370">
        <v>87.779543269714793</v>
      </c>
      <c r="AN6370">
        <v>1.00000003151941</v>
      </c>
    </row>
    <row r="6371" spans="1:40" x14ac:dyDescent="0.25">
      <c r="A6371" t="str">
        <f>"20190312173051629"</f>
        <v>20190312173051629</v>
      </c>
      <c r="B6371" t="str">
        <f>"1552383051623573"</f>
        <v>1552383051623573</v>
      </c>
      <c r="C6371" t="s">
        <v>40</v>
      </c>
      <c r="D6371">
        <v>3.2275860000000001</v>
      </c>
      <c r="E6371">
        <v>0.48879590000000001</v>
      </c>
      <c r="F6371" t="s">
        <v>62</v>
      </c>
      <c r="G6371">
        <v>-226.36259999999999</v>
      </c>
      <c r="H6371" s="1">
        <v>-2.2487589999999999E-6</v>
      </c>
      <c r="I6371">
        <v>-62.187739999999998</v>
      </c>
      <c r="J6371">
        <v>-253.0992</v>
      </c>
      <c r="K6371">
        <v>1.107526</v>
      </c>
      <c r="L6371">
        <v>-63.031739999999999</v>
      </c>
      <c r="M6371">
        <v>0.99947079999999999</v>
      </c>
      <c r="N6371">
        <v>0</v>
      </c>
      <c r="O6371">
        <v>3.1716010000000003E-2</v>
      </c>
      <c r="P6371">
        <v>0.98493439999999999</v>
      </c>
      <c r="Q6371">
        <v>0.172822</v>
      </c>
      <c r="R6371">
        <v>-6.0764110000000003E-3</v>
      </c>
      <c r="S6371">
        <v>3.0682369999999999</v>
      </c>
      <c r="T6371">
        <v>-0.1263398</v>
      </c>
      <c r="U6371">
        <v>9.6771239999999994E-2</v>
      </c>
      <c r="V6371">
        <v>3.8039580000000003E-2</v>
      </c>
      <c r="W6371">
        <v>0.17979100000000001</v>
      </c>
      <c r="X6371">
        <v>0.98296899999999998</v>
      </c>
      <c r="Y6371">
        <v>1.6594369999999999E-4</v>
      </c>
      <c r="Z6371">
        <v>-1.308203E-3</v>
      </c>
      <c r="AA6371">
        <v>0.99999910000000003</v>
      </c>
      <c r="AB6371">
        <v>31</v>
      </c>
      <c r="AC6371">
        <v>26.736599999999999</v>
      </c>
      <c r="AD6371">
        <v>-1.1075282487589999</v>
      </c>
      <c r="AE6371">
        <v>0.84399999999999398</v>
      </c>
      <c r="AF6371">
        <v>4.4174608257857503E-3</v>
      </c>
      <c r="AG6371">
        <v>-1.1075282487589999</v>
      </c>
      <c r="AH6371">
        <v>26.704141103436001</v>
      </c>
      <c r="AI6371">
        <v>92.3749255552802</v>
      </c>
      <c r="AJ6371">
        <v>89.990521999633202</v>
      </c>
      <c r="AK6371">
        <v>26.727098428523401</v>
      </c>
      <c r="AL6371">
        <v>79.642412923304605</v>
      </c>
      <c r="AM6371">
        <v>87.7838361483592</v>
      </c>
      <c r="AN6371">
        <v>0.99999993414428501</v>
      </c>
    </row>
    <row r="6372" spans="1:40" x14ac:dyDescent="0.25">
      <c r="A6372" t="str">
        <f>"20190312173051640"</f>
        <v>20190312173051640</v>
      </c>
      <c r="B6372" t="str">
        <f>"1552383051634309"</f>
        <v>1552383051634309</v>
      </c>
      <c r="C6372" t="s">
        <v>40</v>
      </c>
      <c r="D6372">
        <v>3.2112029999999998</v>
      </c>
      <c r="E6372">
        <v>0.48887029999999898</v>
      </c>
      <c r="F6372" t="s">
        <v>62</v>
      </c>
      <c r="G6372">
        <v>-225.9725</v>
      </c>
      <c r="H6372" s="1">
        <v>-2.0860250000000001E-6</v>
      </c>
      <c r="I6372">
        <v>-62.208599999999997</v>
      </c>
      <c r="J6372">
        <v>-252.94110000000001</v>
      </c>
      <c r="K6372">
        <v>1.107523</v>
      </c>
      <c r="L6372">
        <v>-63.027650000000001</v>
      </c>
      <c r="M6372">
        <v>0.99950260000000002</v>
      </c>
      <c r="N6372">
        <v>0</v>
      </c>
      <c r="O6372">
        <v>3.0696999999999999E-2</v>
      </c>
      <c r="P6372">
        <v>0.98491899999999999</v>
      </c>
      <c r="Q6372">
        <v>0.1728732</v>
      </c>
      <c r="R6372">
        <v>-7.0458469999999896E-3</v>
      </c>
      <c r="S6372">
        <v>3.068451</v>
      </c>
      <c r="T6372">
        <v>-0.12527839999999901</v>
      </c>
      <c r="U6372">
        <v>9.3109129999999998E-2</v>
      </c>
      <c r="V6372">
        <v>3.8008119999999999E-2</v>
      </c>
      <c r="W6372">
        <v>0.1798469</v>
      </c>
      <c r="X6372">
        <v>0.98295999999999994</v>
      </c>
      <c r="Y6372">
        <v>3.4209559999999998E-4</v>
      </c>
      <c r="Z6372">
        <v>-1.2592020000000001E-3</v>
      </c>
      <c r="AA6372">
        <v>0.99999919999999998</v>
      </c>
      <c r="AB6372">
        <v>31</v>
      </c>
      <c r="AC6372">
        <v>26.968599999999999</v>
      </c>
      <c r="AD6372">
        <v>-1.1075250860250001</v>
      </c>
      <c r="AE6372">
        <v>0.81905000000000405</v>
      </c>
      <c r="AF6372">
        <v>9.1972533249643496E-3</v>
      </c>
      <c r="AG6372">
        <v>-1.1075250860250001</v>
      </c>
      <c r="AH6372">
        <v>26.935647516267899</v>
      </c>
      <c r="AI6372">
        <v>92.354529804123004</v>
      </c>
      <c r="AJ6372">
        <v>89.980436194161001</v>
      </c>
      <c r="AK6372">
        <v>26.9584087721489</v>
      </c>
      <c r="AL6372">
        <v>79.639157110781696</v>
      </c>
      <c r="AM6372">
        <v>87.785646910152806</v>
      </c>
      <c r="AN6372">
        <v>0.99999994311276996</v>
      </c>
    </row>
    <row r="6373" spans="1:40" x14ac:dyDescent="0.25">
      <c r="A6373" t="str">
        <f>"20190312173051650"</f>
        <v>20190312173051650</v>
      </c>
      <c r="B6373" t="str">
        <f>"1552383051644070"</f>
        <v>1552383051644070</v>
      </c>
      <c r="C6373" t="s">
        <v>40</v>
      </c>
      <c r="D6373">
        <v>3.2228889999999999</v>
      </c>
      <c r="E6373">
        <v>0.48890980000000001</v>
      </c>
      <c r="F6373" t="s">
        <v>62</v>
      </c>
      <c r="G6373">
        <v>-225.86500000000001</v>
      </c>
      <c r="H6373" s="1">
        <v>-2.0466509999999999E-6</v>
      </c>
      <c r="I6373">
        <v>-62.238930000000003</v>
      </c>
      <c r="J6373">
        <v>-252.79320000000001</v>
      </c>
      <c r="K6373">
        <v>1.107518</v>
      </c>
      <c r="L6373">
        <v>-63.023989999999998</v>
      </c>
      <c r="M6373">
        <v>0.99953130000000001</v>
      </c>
      <c r="N6373">
        <v>0</v>
      </c>
      <c r="O6373">
        <v>2.9745489999999999E-2</v>
      </c>
      <c r="P6373">
        <v>0.98490080000000002</v>
      </c>
      <c r="Q6373">
        <v>0.1729358</v>
      </c>
      <c r="R6373">
        <v>-7.9921339999999997E-3</v>
      </c>
      <c r="S6373">
        <v>3.0685730000000002</v>
      </c>
      <c r="T6373">
        <v>-0.12551709999999999</v>
      </c>
      <c r="U6373">
        <v>8.9385989999999999E-2</v>
      </c>
      <c r="V6373">
        <v>3.8019339999999999E-2</v>
      </c>
      <c r="W6373">
        <v>0.17991399999999999</v>
      </c>
      <c r="X6373">
        <v>0.98294729999999997</v>
      </c>
      <c r="Y6373">
        <v>6.0405210000000003E-4</v>
      </c>
      <c r="Z6373">
        <v>-1.228058E-3</v>
      </c>
      <c r="AA6373">
        <v>0.99999899999999997</v>
      </c>
      <c r="AB6373">
        <v>31</v>
      </c>
      <c r="AC6373">
        <v>26.9282</v>
      </c>
      <c r="AD6373">
        <v>-1.107520046651</v>
      </c>
      <c r="AE6373">
        <v>0.78506000000000098</v>
      </c>
      <c r="AF6373">
        <v>1.6273384314922201E-2</v>
      </c>
      <c r="AG6373">
        <v>-1.107520046651</v>
      </c>
      <c r="AH6373">
        <v>26.894181780886001</v>
      </c>
      <c r="AI6373">
        <v>92.358144936441207</v>
      </c>
      <c r="AJ6373">
        <v>89.965330935387996</v>
      </c>
      <c r="AK6373">
        <v>26.9169812412186</v>
      </c>
      <c r="AL6373">
        <v>79.635248949506703</v>
      </c>
      <c r="AM6373">
        <v>87.784965293854299</v>
      </c>
      <c r="AN6373">
        <v>0.99999995609366099</v>
      </c>
    </row>
    <row r="6374" spans="1:40" x14ac:dyDescent="0.25">
      <c r="A6374" t="str">
        <f>"20190312173051661"</f>
        <v>20190312173051661</v>
      </c>
      <c r="B6374" t="str">
        <f>"1552383051653830"</f>
        <v>1552383051653830</v>
      </c>
      <c r="C6374" t="s">
        <v>40</v>
      </c>
      <c r="D6374">
        <v>3.2947389999999999</v>
      </c>
      <c r="E6374">
        <v>0.48896299999999998</v>
      </c>
      <c r="F6374" t="s">
        <v>62</v>
      </c>
      <c r="G6374">
        <v>-225.7045</v>
      </c>
      <c r="H6374" s="1">
        <v>-1.983933E-6</v>
      </c>
      <c r="I6374">
        <v>-62.266469999999998</v>
      </c>
      <c r="J6374">
        <v>-252.6361</v>
      </c>
      <c r="K6374">
        <v>1.107513</v>
      </c>
      <c r="L6374">
        <v>-63.020169999999901</v>
      </c>
      <c r="M6374">
        <v>0.99956080000000003</v>
      </c>
      <c r="N6374">
        <v>0</v>
      </c>
      <c r="O6374">
        <v>2.8735500000000001E-2</v>
      </c>
      <c r="P6374">
        <v>0.98488609999999999</v>
      </c>
      <c r="Q6374">
        <v>0.17298339999999901</v>
      </c>
      <c r="R6374">
        <v>-8.729924E-3</v>
      </c>
      <c r="S6374">
        <v>3.0687410000000002</v>
      </c>
      <c r="T6374">
        <v>-0.1254653</v>
      </c>
      <c r="U6374">
        <v>8.5815429999999998E-2</v>
      </c>
      <c r="V6374">
        <v>3.7764939999999997E-2</v>
      </c>
      <c r="W6374">
        <v>0.1799674</v>
      </c>
      <c r="X6374">
        <v>0.98294729999999997</v>
      </c>
      <c r="Y6374">
        <v>7.5850679999999902E-4</v>
      </c>
      <c r="Z6374">
        <v>-1.1894169999999999E-3</v>
      </c>
      <c r="AA6374">
        <v>0.99999899999999997</v>
      </c>
      <c r="AB6374">
        <v>31</v>
      </c>
      <c r="AC6374">
        <v>26.9316</v>
      </c>
      <c r="AD6374">
        <v>-1.1075149839330001</v>
      </c>
      <c r="AE6374">
        <v>0.75369999999999404</v>
      </c>
      <c r="AF6374">
        <v>2.04899315380721E-2</v>
      </c>
      <c r="AG6374">
        <v>-1.1075149839330001</v>
      </c>
      <c r="AH6374">
        <v>26.896686554667099</v>
      </c>
      <c r="AI6374">
        <v>92.357914561643099</v>
      </c>
      <c r="AJ6374">
        <v>89.956352007517594</v>
      </c>
      <c r="AK6374">
        <v>26.919486564511999</v>
      </c>
      <c r="AL6374">
        <v>79.632138261509098</v>
      </c>
      <c r="AM6374">
        <v>87.799772209156302</v>
      </c>
      <c r="AN6374">
        <v>0.99999992516662395</v>
      </c>
    </row>
    <row r="6375" spans="1:40" x14ac:dyDescent="0.25">
      <c r="A6375" t="str">
        <f>"20190312173051673"</f>
        <v>20190312173051673</v>
      </c>
      <c r="B6375" t="str">
        <f>"1552383051663589"</f>
        <v>1552383051663589</v>
      </c>
      <c r="C6375" t="s">
        <v>40</v>
      </c>
      <c r="D6375">
        <v>3.1952259999999999</v>
      </c>
      <c r="E6375">
        <v>0.48901289999999997</v>
      </c>
      <c r="F6375" t="s">
        <v>62</v>
      </c>
      <c r="G6375">
        <v>-225.54089999999999</v>
      </c>
      <c r="H6375" s="1">
        <v>-1.9183750000000001E-6</v>
      </c>
      <c r="I6375">
        <v>-62.287280000000003</v>
      </c>
      <c r="J6375">
        <v>-252.47550000000001</v>
      </c>
      <c r="K6375">
        <v>1.1075079999999999</v>
      </c>
      <c r="L6375">
        <v>-63.016539999999999</v>
      </c>
      <c r="M6375">
        <v>0.99958970000000003</v>
      </c>
      <c r="N6375">
        <v>0</v>
      </c>
      <c r="O6375">
        <v>2.770502E-2</v>
      </c>
      <c r="P6375">
        <v>0.98484830000000001</v>
      </c>
      <c r="Q6375">
        <v>0.17315069999999999</v>
      </c>
      <c r="R6375">
        <v>-9.6316309999999999E-3</v>
      </c>
      <c r="S6375">
        <v>3.0688019999999998</v>
      </c>
      <c r="T6375">
        <v>-0.1254371</v>
      </c>
      <c r="U6375">
        <v>8.3007810000000001E-2</v>
      </c>
      <c r="V6375">
        <v>3.7653539999999999E-2</v>
      </c>
      <c r="W6375">
        <v>0.18013959999999901</v>
      </c>
      <c r="X6375">
        <v>0.98292009999999996</v>
      </c>
      <c r="Y6375">
        <v>6.4331019999999998E-4</v>
      </c>
      <c r="Z6375">
        <v>-1.144717E-3</v>
      </c>
      <c r="AA6375">
        <v>0.99999919999999998</v>
      </c>
      <c r="AB6375">
        <v>31</v>
      </c>
      <c r="AC6375">
        <v>26.9346</v>
      </c>
      <c r="AD6375">
        <v>-1.1075099183749999</v>
      </c>
      <c r="AE6375">
        <v>0.72925999999999602</v>
      </c>
      <c r="AF6375">
        <v>1.7234186369086399E-2</v>
      </c>
      <c r="AG6375">
        <v>-1.1075099183749999</v>
      </c>
      <c r="AH6375">
        <v>26.899019438563698</v>
      </c>
      <c r="AI6375">
        <v>92.357699724918007</v>
      </c>
      <c r="AJ6375">
        <v>89.963290631859905</v>
      </c>
      <c r="AK6375">
        <v>26.921814983256699</v>
      </c>
      <c r="AL6375">
        <v>79.622108721020098</v>
      </c>
      <c r="AM6375">
        <v>87.806195500232604</v>
      </c>
      <c r="AN6375">
        <v>0.99999999377335003</v>
      </c>
    </row>
    <row r="6376" spans="1:40" x14ac:dyDescent="0.25">
      <c r="A6376" t="str">
        <f>"20190312173051684"</f>
        <v>20190312173051684</v>
      </c>
      <c r="B6376" t="str">
        <f>"1552383051674325"</f>
        <v>1552383051674325</v>
      </c>
      <c r="C6376" t="s">
        <v>40</v>
      </c>
      <c r="D6376">
        <v>3.2298079999999998</v>
      </c>
      <c r="E6376">
        <v>0.4890544</v>
      </c>
      <c r="F6376" t="s">
        <v>62</v>
      </c>
      <c r="G6376">
        <v>-225.2732</v>
      </c>
      <c r="H6376" s="1">
        <v>-1.808472E-6</v>
      </c>
      <c r="I6376">
        <v>-62.309449999999998</v>
      </c>
      <c r="J6376">
        <v>-252.3201</v>
      </c>
      <c r="K6376">
        <v>1.107504</v>
      </c>
      <c r="L6376">
        <v>-63.013060000000003</v>
      </c>
      <c r="M6376">
        <v>0.99961690000000003</v>
      </c>
      <c r="N6376">
        <v>0</v>
      </c>
      <c r="O6376">
        <v>2.6708450000000002E-2</v>
      </c>
      <c r="P6376">
        <v>0.98477380000000003</v>
      </c>
      <c r="Q6376">
        <v>0.17351659999999999</v>
      </c>
      <c r="R6376">
        <v>-1.062768E-2</v>
      </c>
      <c r="S6376">
        <v>3.0689090000000001</v>
      </c>
      <c r="T6376">
        <v>-0.12494719999999999</v>
      </c>
      <c r="U6376">
        <v>7.9772949999999995E-2</v>
      </c>
      <c r="V6376">
        <v>3.7669889999999998E-2</v>
      </c>
      <c r="W6376">
        <v>0.18051010000000001</v>
      </c>
      <c r="X6376">
        <v>0.98285149999999999</v>
      </c>
      <c r="Y6376">
        <v>7.0158649999999998E-4</v>
      </c>
      <c r="Z6376">
        <v>-1.100883E-3</v>
      </c>
      <c r="AA6376">
        <v>0.99999919999999998</v>
      </c>
      <c r="AB6376">
        <v>31</v>
      </c>
      <c r="AC6376">
        <v>27.046899999999901</v>
      </c>
      <c r="AD6376">
        <v>-1.107505808472</v>
      </c>
      <c r="AE6376">
        <v>0.70360999999999696</v>
      </c>
      <c r="AF6376">
        <v>1.9008980217563601E-2</v>
      </c>
      <c r="AG6376">
        <v>-1.107505808472</v>
      </c>
      <c r="AH6376">
        <v>27.010785233677101</v>
      </c>
      <c r="AI6376">
        <v>92.347946123637598</v>
      </c>
      <c r="AJ6376">
        <v>89.959677804621805</v>
      </c>
      <c r="AK6376">
        <v>27.033487555196398</v>
      </c>
      <c r="AL6376">
        <v>79.600526846819506</v>
      </c>
      <c r="AM6376">
        <v>87.805090795782803</v>
      </c>
      <c r="AN6376">
        <v>0.99999999393343597</v>
      </c>
    </row>
    <row r="6377" spans="1:40" x14ac:dyDescent="0.25">
      <c r="A6377" t="str">
        <f>"20190312173051694"</f>
        <v>20190312173051694</v>
      </c>
      <c r="B6377" t="str">
        <f>"1552383051684085"</f>
        <v>1552383051684085</v>
      </c>
      <c r="C6377" t="s">
        <v>40</v>
      </c>
      <c r="D6377">
        <v>3.2350979999999998</v>
      </c>
      <c r="E6377">
        <v>0.48910910000000002</v>
      </c>
      <c r="F6377" t="s">
        <v>62</v>
      </c>
      <c r="G6377">
        <v>-224.89859999999999</v>
      </c>
      <c r="H6377" s="1">
        <v>-1.6529140000000001E-6</v>
      </c>
      <c r="I6377">
        <v>-62.332749999999997</v>
      </c>
      <c r="J6377">
        <v>-252.16579999999999</v>
      </c>
      <c r="K6377">
        <v>1.107502</v>
      </c>
      <c r="L6377">
        <v>-63.009889999999999</v>
      </c>
      <c r="M6377">
        <v>0.99964280000000005</v>
      </c>
      <c r="N6377">
        <v>0</v>
      </c>
      <c r="O6377">
        <v>2.5719829999999999E-2</v>
      </c>
      <c r="P6377">
        <v>0.98473189999999999</v>
      </c>
      <c r="Q6377">
        <v>0.17369289999999901</v>
      </c>
      <c r="R6377">
        <v>-1.156505E-2</v>
      </c>
      <c r="S6377">
        <v>3.0690460000000002</v>
      </c>
      <c r="T6377">
        <v>-0.1239531</v>
      </c>
      <c r="U6377">
        <v>7.6141360000000005E-2</v>
      </c>
      <c r="V6377">
        <v>3.7635269999999998E-2</v>
      </c>
      <c r="W6377">
        <v>0.18069109999999999</v>
      </c>
      <c r="X6377">
        <v>0.98281960000000002</v>
      </c>
      <c r="Y6377">
        <v>8.9729589999999998E-4</v>
      </c>
      <c r="Z6377">
        <v>-1.056162E-3</v>
      </c>
      <c r="AA6377">
        <v>0.99999899999999997</v>
      </c>
      <c r="AB6377">
        <v>31</v>
      </c>
      <c r="AC6377">
        <v>27.267199999999999</v>
      </c>
      <c r="AD6377">
        <v>-1.1075036529140001</v>
      </c>
      <c r="AE6377">
        <v>0.67714000000000796</v>
      </c>
      <c r="AF6377">
        <v>2.4370088017630201E-2</v>
      </c>
      <c r="AG6377">
        <v>-1.1075036529140001</v>
      </c>
      <c r="AH6377">
        <v>27.230700417637401</v>
      </c>
      <c r="AI6377">
        <v>92.329000188679998</v>
      </c>
      <c r="AJ6377">
        <v>89.948723213300596</v>
      </c>
      <c r="AK6377">
        <v>27.253223726332401</v>
      </c>
      <c r="AL6377">
        <v>79.589983276405505</v>
      </c>
      <c r="AM6377">
        <v>87.807034920324199</v>
      </c>
      <c r="AN6377">
        <v>1.0000000266556699</v>
      </c>
    </row>
    <row r="6378" spans="1:40" x14ac:dyDescent="0.25">
      <c r="A6378" t="str">
        <f>"20190312173051705"</f>
        <v>20190312173051705</v>
      </c>
      <c r="B6378" t="str">
        <f>"1552383051693845"</f>
        <v>1552383051693845</v>
      </c>
      <c r="C6378" t="s">
        <v>40</v>
      </c>
      <c r="D6378">
        <v>3.234308</v>
      </c>
      <c r="E6378">
        <v>0.48915360000000002</v>
      </c>
      <c r="F6378" t="s">
        <v>62</v>
      </c>
      <c r="G6378">
        <v>-224.71619999999999</v>
      </c>
      <c r="H6378" s="1">
        <v>-1.5803659999999901E-6</v>
      </c>
      <c r="I6378">
        <v>-62.35839</v>
      </c>
      <c r="J6378">
        <v>-252.01230000000001</v>
      </c>
      <c r="K6378">
        <v>1.1074980000000001</v>
      </c>
      <c r="L6378">
        <v>-63.006810000000002</v>
      </c>
      <c r="M6378">
        <v>0.99966759999999999</v>
      </c>
      <c r="N6378">
        <v>0</v>
      </c>
      <c r="O6378">
        <v>2.4736870000000001E-2</v>
      </c>
      <c r="P6378">
        <v>0.9846705</v>
      </c>
      <c r="Q6378">
        <v>0.17397209999999999</v>
      </c>
      <c r="R6378">
        <v>-1.2559259999999999E-2</v>
      </c>
      <c r="S6378">
        <v>3.0691989999999998</v>
      </c>
      <c r="T6378">
        <v>-0.1238322</v>
      </c>
      <c r="U6378">
        <v>7.2845460000000001E-2</v>
      </c>
      <c r="V6378">
        <v>3.7663050000000003E-2</v>
      </c>
      <c r="W6378">
        <v>0.18097479999999999</v>
      </c>
      <c r="X6378">
        <v>0.98276629999999998</v>
      </c>
      <c r="Y6378">
        <v>9.8922630000000005E-4</v>
      </c>
      <c r="Z6378">
        <v>-1.0173280000000001E-3</v>
      </c>
      <c r="AA6378">
        <v>0.99999899999999997</v>
      </c>
      <c r="AB6378">
        <v>31</v>
      </c>
      <c r="AC6378">
        <v>27.296099999999999</v>
      </c>
      <c r="AD6378">
        <v>-1.1074995803659999</v>
      </c>
      <c r="AE6378">
        <v>0.648419999999994</v>
      </c>
      <c r="AF6378">
        <v>2.6971948420201501E-2</v>
      </c>
      <c r="AG6378">
        <v>-1.1074995803659999</v>
      </c>
      <c r="AH6378">
        <v>27.258938468364299</v>
      </c>
      <c r="AI6378">
        <v>92.326581432928194</v>
      </c>
      <c r="AJ6378">
        <v>89.943307465652794</v>
      </c>
      <c r="AK6378">
        <v>27.281440746936099</v>
      </c>
      <c r="AL6378">
        <v>79.573455626995099</v>
      </c>
      <c r="AM6378">
        <v>87.8052988869144</v>
      </c>
      <c r="AN6378">
        <v>0.99999999199301604</v>
      </c>
    </row>
    <row r="6379" spans="1:40" x14ac:dyDescent="0.25">
      <c r="A6379" t="str">
        <f>"20190312173051717"</f>
        <v>20190312173051717</v>
      </c>
      <c r="B6379" t="str">
        <f>"1552383051714341"</f>
        <v>1552383051714341</v>
      </c>
      <c r="C6379" t="s">
        <v>40</v>
      </c>
      <c r="D6379">
        <v>3.2285810000000001</v>
      </c>
      <c r="E6379">
        <v>0.48921910000000002</v>
      </c>
      <c r="F6379" t="s">
        <v>62</v>
      </c>
      <c r="G6379">
        <v>-224.3955</v>
      </c>
      <c r="H6379" s="1">
        <v>-1.4483430000000001E-6</v>
      </c>
      <c r="I6379">
        <v>-62.383220000000001</v>
      </c>
      <c r="J6379">
        <v>-251.8526</v>
      </c>
      <c r="K6379">
        <v>1.10749599999999</v>
      </c>
      <c r="L6379">
        <v>-63.003810000000001</v>
      </c>
      <c r="M6379">
        <v>0.99969229999999998</v>
      </c>
      <c r="N6379">
        <v>0</v>
      </c>
      <c r="O6379">
        <v>2.3715340000000001E-2</v>
      </c>
      <c r="P6379">
        <v>0.98455789999999999</v>
      </c>
      <c r="Q6379">
        <v>0.174545899999999</v>
      </c>
      <c r="R6379">
        <v>-1.340379E-2</v>
      </c>
      <c r="S6379">
        <v>3.0693359999999998</v>
      </c>
      <c r="T6379">
        <v>-0.123088</v>
      </c>
      <c r="U6379">
        <v>6.9305420000000006E-2</v>
      </c>
      <c r="V6379">
        <v>3.750303E-2</v>
      </c>
      <c r="W6379">
        <v>0.18155350000000001</v>
      </c>
      <c r="X6379">
        <v>0.98266569999999998</v>
      </c>
      <c r="Y6379">
        <v>1.1221429999999999E-3</v>
      </c>
      <c r="Z6379">
        <v>-9.7292419999999997E-4</v>
      </c>
      <c r="AA6379">
        <v>0.99999890000000002</v>
      </c>
      <c r="AB6379">
        <v>31</v>
      </c>
      <c r="AC6379">
        <v>27.457100000000001</v>
      </c>
      <c r="AD6379">
        <v>-1.10749744834299</v>
      </c>
      <c r="AE6379">
        <v>0.62058999999999997</v>
      </c>
      <c r="AF6379">
        <v>3.0706298458923399E-2</v>
      </c>
      <c r="AG6379">
        <v>-1.10749744834299</v>
      </c>
      <c r="AH6379">
        <v>27.419507634482098</v>
      </c>
      <c r="AI6379">
        <v>92.312967002404505</v>
      </c>
      <c r="AJ6379">
        <v>89.935836172036701</v>
      </c>
      <c r="AK6379">
        <v>27.441882085459699</v>
      </c>
      <c r="AL6379">
        <v>79.539740277051294</v>
      </c>
      <c r="AM6379">
        <v>87.8143910003011</v>
      </c>
      <c r="AN6379">
        <v>1.00000001428896</v>
      </c>
    </row>
    <row r="6380" spans="1:40" x14ac:dyDescent="0.25">
      <c r="A6380" t="str">
        <f>"20190312173051728"</f>
        <v>20190312173051728</v>
      </c>
      <c r="B6380" t="str">
        <f>"1552383051724101"</f>
        <v>1552383051724101</v>
      </c>
      <c r="C6380" t="s">
        <v>40</v>
      </c>
      <c r="D6380">
        <v>3.262956</v>
      </c>
      <c r="E6380">
        <v>0.48924190000000001</v>
      </c>
      <c r="F6380" t="s">
        <v>62</v>
      </c>
      <c r="G6380">
        <v>-223.89660000000001</v>
      </c>
      <c r="H6380" s="1">
        <v>-1.2385409999999999E-6</v>
      </c>
      <c r="I6380">
        <v>-62.402349999999998</v>
      </c>
      <c r="J6380">
        <v>-251.68799999999999</v>
      </c>
      <c r="K6380">
        <v>1.107494</v>
      </c>
      <c r="L6380">
        <v>-63.00085</v>
      </c>
      <c r="M6380">
        <v>0.99971659999999996</v>
      </c>
      <c r="N6380">
        <v>0</v>
      </c>
      <c r="O6380">
        <v>2.2663240000000001E-2</v>
      </c>
      <c r="P6380">
        <v>0.9844792</v>
      </c>
      <c r="Q6380">
        <v>0.17490049999999999</v>
      </c>
      <c r="R6380">
        <v>-1.4513649999999999E-2</v>
      </c>
      <c r="S6380">
        <v>3.0695190000000001</v>
      </c>
      <c r="T6380">
        <v>-0.12160120000000001</v>
      </c>
      <c r="U6380">
        <v>6.6040039999999994E-2</v>
      </c>
      <c r="V6380">
        <v>3.7578519999999997E-2</v>
      </c>
      <c r="W6380">
        <v>0.1819132</v>
      </c>
      <c r="X6380">
        <v>0.98259629999999998</v>
      </c>
      <c r="Y6380">
        <v>1.135664E-3</v>
      </c>
      <c r="Z6380">
        <v>-9.1976039999999996E-4</v>
      </c>
      <c r="AA6380">
        <v>0.99999890000000002</v>
      </c>
      <c r="AB6380">
        <v>31</v>
      </c>
      <c r="AC6380">
        <v>27.7913999999999</v>
      </c>
      <c r="AD6380">
        <v>-1.107495238541</v>
      </c>
      <c r="AE6380">
        <v>0.59850000000000103</v>
      </c>
      <c r="AF6380">
        <v>3.1463677107911002E-2</v>
      </c>
      <c r="AG6380">
        <v>-1.107495238541</v>
      </c>
      <c r="AH6380">
        <v>27.753772053992201</v>
      </c>
      <c r="AI6380">
        <v>92.285134916590394</v>
      </c>
      <c r="AJ6380">
        <v>89.935045401020005</v>
      </c>
      <c r="AK6380">
        <v>27.775878003968302</v>
      </c>
      <c r="AL6380">
        <v>79.518782078443806</v>
      </c>
      <c r="AM6380">
        <v>87.8098413309488</v>
      </c>
      <c r="AN6380">
        <v>1.0000000231366599</v>
      </c>
    </row>
    <row r="6381" spans="1:40" x14ac:dyDescent="0.25">
      <c r="A6381" t="str">
        <f>"20190312173051739"</f>
        <v>20190312173051739</v>
      </c>
      <c r="B6381" t="str">
        <f>"1552383051733861"</f>
        <v>1552383051733861</v>
      </c>
      <c r="C6381" t="s">
        <v>40</v>
      </c>
      <c r="D6381">
        <v>3.2130320000000001</v>
      </c>
      <c r="E6381">
        <v>0.48927300000000001</v>
      </c>
      <c r="F6381" t="s">
        <v>62</v>
      </c>
      <c r="G6381">
        <v>-223.52099999999999</v>
      </c>
      <c r="H6381" s="1">
        <v>-1.083558E-6</v>
      </c>
      <c r="I6381">
        <v>-62.429879999999997</v>
      </c>
      <c r="J6381">
        <v>-251.53149999999999</v>
      </c>
      <c r="K6381">
        <v>1.1074930000000001</v>
      </c>
      <c r="L6381">
        <v>-62.998199999999997</v>
      </c>
      <c r="M6381">
        <v>0.99973869999999998</v>
      </c>
      <c r="N6381">
        <v>0</v>
      </c>
      <c r="O6381">
        <v>2.1664079999999999E-2</v>
      </c>
      <c r="P6381">
        <v>0.98442010000000002</v>
      </c>
      <c r="Q6381">
        <v>0.17514060000000001</v>
      </c>
      <c r="R6381">
        <v>-1.5595049999999999E-2</v>
      </c>
      <c r="S6381">
        <v>3.0696720000000002</v>
      </c>
      <c r="T6381">
        <v>-0.12069630000000001</v>
      </c>
      <c r="U6381">
        <v>6.2225339999999997E-2</v>
      </c>
      <c r="V6381">
        <v>3.7677639999999998E-2</v>
      </c>
      <c r="W6381">
        <v>0.18215700000000001</v>
      </c>
      <c r="X6381">
        <v>0.98254730000000001</v>
      </c>
      <c r="Y6381">
        <v>1.38032E-3</v>
      </c>
      <c r="Z6381">
        <v>-8.7844189999999997E-4</v>
      </c>
      <c r="AA6381">
        <v>0.99999870000000002</v>
      </c>
      <c r="AB6381">
        <v>32</v>
      </c>
      <c r="AC6381">
        <v>28.0105</v>
      </c>
      <c r="AD6381">
        <v>-1.1074940835580001</v>
      </c>
      <c r="AE6381">
        <v>0.56831999999999205</v>
      </c>
      <c r="AF6381">
        <v>3.8590938760538297E-2</v>
      </c>
      <c r="AG6381">
        <v>-1.1074940835580001</v>
      </c>
      <c r="AH6381">
        <v>27.972526885251799</v>
      </c>
      <c r="AI6381">
        <v>92.267280032793295</v>
      </c>
      <c r="AJ6381">
        <v>89.920954709429495</v>
      </c>
      <c r="AK6381">
        <v>27.994468967133599</v>
      </c>
      <c r="AL6381">
        <v>79.5045756293501</v>
      </c>
      <c r="AM6381">
        <v>87.803960643111395</v>
      </c>
      <c r="AN6381">
        <v>0.99999998697112902</v>
      </c>
    </row>
    <row r="6382" spans="1:40" x14ac:dyDescent="0.25">
      <c r="A6382" t="str">
        <f>"20190312173051751"</f>
        <v>20190312173051751</v>
      </c>
      <c r="B6382" t="str">
        <f>"1552383051743621"</f>
        <v>1552383051743621</v>
      </c>
      <c r="C6382" t="s">
        <v>40</v>
      </c>
      <c r="D6382">
        <v>3.2439499999999999</v>
      </c>
      <c r="E6382">
        <v>0.48928500000000003</v>
      </c>
      <c r="F6382" t="s">
        <v>62</v>
      </c>
      <c r="G6382">
        <v>-223.25409999999999</v>
      </c>
      <c r="H6382" s="1">
        <v>-9.7570989999999995E-7</v>
      </c>
      <c r="I6382">
        <v>-62.459859999999999</v>
      </c>
      <c r="J6382">
        <v>-251.37629999999999</v>
      </c>
      <c r="K6382">
        <v>1.1074919999999999</v>
      </c>
      <c r="L6382">
        <v>-62.995759999999997</v>
      </c>
      <c r="M6382">
        <v>0.99975959999999997</v>
      </c>
      <c r="N6382">
        <v>0</v>
      </c>
      <c r="O6382">
        <v>2.0675300000000001E-2</v>
      </c>
      <c r="P6382">
        <v>0.98437169999999896</v>
      </c>
      <c r="Q6382">
        <v>0.1753239</v>
      </c>
      <c r="R6382">
        <v>-1.655703E-2</v>
      </c>
      <c r="S6382">
        <v>3.0697779999999999</v>
      </c>
      <c r="T6382">
        <v>-0.1202288</v>
      </c>
      <c r="U6382">
        <v>5.8441159999999999E-2</v>
      </c>
      <c r="V6382">
        <v>3.7667220000000001E-2</v>
      </c>
      <c r="W6382">
        <v>0.18234500000000001</v>
      </c>
      <c r="X6382">
        <v>0.98251279999999996</v>
      </c>
      <c r="Y6382">
        <v>1.62495E-3</v>
      </c>
      <c r="Z6382">
        <v>-8.4111470000000003E-4</v>
      </c>
      <c r="AA6382">
        <v>0.99999830000000001</v>
      </c>
      <c r="AB6382">
        <v>32</v>
      </c>
      <c r="AC6382">
        <v>28.1221999999999</v>
      </c>
      <c r="AD6382">
        <v>-1.1074929757098999</v>
      </c>
      <c r="AE6382">
        <v>0.53589999999999705</v>
      </c>
      <c r="AF6382">
        <v>4.5594281983295001E-2</v>
      </c>
      <c r="AG6382">
        <v>-1.1074929757098999</v>
      </c>
      <c r="AH6382">
        <v>28.083729351857698</v>
      </c>
      <c r="AI6382">
        <v>92.258308569426504</v>
      </c>
      <c r="AJ6382">
        <v>89.906979674970003</v>
      </c>
      <c r="AK6382">
        <v>28.105595062873</v>
      </c>
      <c r="AL6382">
        <v>79.493620264229193</v>
      </c>
      <c r="AM6382">
        <v>87.804490362830705</v>
      </c>
      <c r="AN6382">
        <v>0.99999996032568295</v>
      </c>
    </row>
    <row r="6383" spans="1:40" x14ac:dyDescent="0.25">
      <c r="A6383" t="str">
        <f>"20190312173051762"</f>
        <v>20190312173051762</v>
      </c>
      <c r="B6383" t="str">
        <f>"1552383051754356"</f>
        <v>1552383051754356</v>
      </c>
      <c r="C6383" t="s">
        <v>40</v>
      </c>
      <c r="D6383">
        <v>3.271109</v>
      </c>
      <c r="E6383">
        <v>0.48930560000000001</v>
      </c>
      <c r="F6383" t="s">
        <v>62</v>
      </c>
      <c r="G6383">
        <v>-223.01480000000001</v>
      </c>
      <c r="H6383" s="1">
        <v>-8.7832499999999997E-7</v>
      </c>
      <c r="I6383">
        <v>-62.483469999999997</v>
      </c>
      <c r="J6383">
        <v>-251.22020000000001</v>
      </c>
      <c r="K6383">
        <v>1.1074889999999999</v>
      </c>
      <c r="L6383">
        <v>-62.993380000000002</v>
      </c>
      <c r="M6383">
        <v>0.99977959999999999</v>
      </c>
      <c r="N6383">
        <v>0</v>
      </c>
      <c r="O6383">
        <v>1.9682470000000001E-2</v>
      </c>
      <c r="P6383">
        <v>0.98431570000000002</v>
      </c>
      <c r="Q6383">
        <v>0.17554690000000001</v>
      </c>
      <c r="R6383">
        <v>-1.7499250000000001E-2</v>
      </c>
      <c r="S6383">
        <v>3.0699010000000002</v>
      </c>
      <c r="T6383">
        <v>-0.11987730000000001</v>
      </c>
      <c r="U6383">
        <v>5.5450439999999997E-2</v>
      </c>
      <c r="V6383">
        <v>3.7633E-2</v>
      </c>
      <c r="W6383">
        <v>0.18257329999999999</v>
      </c>
      <c r="X6383">
        <v>0.98247180000000001</v>
      </c>
      <c r="Y6383">
        <v>1.607397E-3</v>
      </c>
      <c r="Z6383">
        <v>-7.9954899999999998E-4</v>
      </c>
      <c r="AA6383">
        <v>0.99999839999999995</v>
      </c>
      <c r="AB6383">
        <v>32</v>
      </c>
      <c r="AC6383">
        <v>28.205400000000001</v>
      </c>
      <c r="AD6383">
        <v>-1.107489878325</v>
      </c>
      <c r="AE6383">
        <v>0.50991000000000497</v>
      </c>
      <c r="AF6383">
        <v>4.52857367762576E-2</v>
      </c>
      <c r="AG6383">
        <v>-1.107489878325</v>
      </c>
      <c r="AH6383">
        <v>28.166560643125301</v>
      </c>
      <c r="AI6383">
        <v>92.251668022221594</v>
      </c>
      <c r="AJ6383">
        <v>89.907880859627298</v>
      </c>
      <c r="AK6383">
        <v>28.188361482913599</v>
      </c>
      <c r="AL6383">
        <v>79.480317212287602</v>
      </c>
      <c r="AM6383">
        <v>87.806391545789893</v>
      </c>
      <c r="AN6383">
        <v>1.00000004517856</v>
      </c>
    </row>
    <row r="6384" spans="1:40" x14ac:dyDescent="0.25">
      <c r="A6384" t="str">
        <f>"20190312173051773"</f>
        <v>20190312173051773</v>
      </c>
      <c r="B6384" t="str">
        <f>"1552383051764117"</f>
        <v>1552383051764117</v>
      </c>
      <c r="C6384" t="s">
        <v>40</v>
      </c>
      <c r="D6384">
        <v>3.2410549999999998</v>
      </c>
      <c r="E6384">
        <v>0.48931160000000001</v>
      </c>
      <c r="F6384" t="s">
        <v>62</v>
      </c>
      <c r="G6384">
        <v>-222.72980000000001</v>
      </c>
      <c r="H6384" s="1">
        <v>-7.6087190000000002E-7</v>
      </c>
      <c r="I6384">
        <v>-62.505130000000001</v>
      </c>
      <c r="J6384">
        <v>-251.05549999999999</v>
      </c>
      <c r="K6384">
        <v>1.107486</v>
      </c>
      <c r="L6384">
        <v>-62.991120000000002</v>
      </c>
      <c r="M6384">
        <v>0.99979949999999995</v>
      </c>
      <c r="N6384">
        <v>0</v>
      </c>
      <c r="O6384">
        <v>1.8644150000000002E-2</v>
      </c>
      <c r="P6384">
        <v>0.98433979999999999</v>
      </c>
      <c r="Q6384">
        <v>0.17528969999999999</v>
      </c>
      <c r="R6384">
        <v>-1.8675540000000001E-2</v>
      </c>
      <c r="S6384">
        <v>3.0700229999999999</v>
      </c>
      <c r="T6384">
        <v>-0.1193393</v>
      </c>
      <c r="U6384">
        <v>5.2612300000000001E-2</v>
      </c>
      <c r="V6384">
        <v>3.7786649999999998E-2</v>
      </c>
      <c r="W6384">
        <v>0.18232110000000001</v>
      </c>
      <c r="X6384">
        <v>0.98251270000000002</v>
      </c>
      <c r="Y6384">
        <v>1.494766E-3</v>
      </c>
      <c r="Z6384">
        <v>-7.5341570000000003E-4</v>
      </c>
      <c r="AA6384">
        <v>0.99999859999999896</v>
      </c>
      <c r="AB6384">
        <v>32</v>
      </c>
      <c r="AC6384">
        <v>28.325699999999902</v>
      </c>
      <c r="AD6384">
        <v>-1.1074867608718999</v>
      </c>
      <c r="AE6384">
        <v>0.48598999999999298</v>
      </c>
      <c r="AF6384">
        <v>4.2152747942336602E-2</v>
      </c>
      <c r="AG6384">
        <v>-1.1074867608718999</v>
      </c>
      <c r="AH6384">
        <v>28.2866089848985</v>
      </c>
      <c r="AI6384">
        <v>92.242115821876993</v>
      </c>
      <c r="AJ6384">
        <v>89.914617805001896</v>
      </c>
      <c r="AK6384">
        <v>28.308312412508901</v>
      </c>
      <c r="AL6384">
        <v>79.495013507951299</v>
      </c>
      <c r="AM6384">
        <v>87.797535765919093</v>
      </c>
      <c r="AN6384">
        <v>1.0000000100423601</v>
      </c>
    </row>
    <row r="6385" spans="1:40" x14ac:dyDescent="0.25">
      <c r="A6385" t="str">
        <f>"20190312173051784"</f>
        <v>20190312173051784</v>
      </c>
      <c r="B6385" t="str">
        <f>"1552383051773878"</f>
        <v>1552383051773878</v>
      </c>
      <c r="C6385" t="s">
        <v>40</v>
      </c>
      <c r="D6385">
        <v>3.1886350000000001</v>
      </c>
      <c r="E6385">
        <v>0.489367</v>
      </c>
      <c r="F6385" t="s">
        <v>62</v>
      </c>
      <c r="G6385">
        <v>-222.7801</v>
      </c>
      <c r="H6385" s="1">
        <v>-7.897431E-7</v>
      </c>
      <c r="I6385">
        <v>-62.538029999999999</v>
      </c>
      <c r="J6385">
        <v>-250.89670000000001</v>
      </c>
      <c r="K6385">
        <v>1.107486</v>
      </c>
      <c r="L6385">
        <v>-62.98901</v>
      </c>
      <c r="M6385">
        <v>0.99981759999999997</v>
      </c>
      <c r="N6385">
        <v>0</v>
      </c>
      <c r="O6385">
        <v>1.764601E-2</v>
      </c>
      <c r="P6385">
        <v>0.98431389999999996</v>
      </c>
      <c r="Q6385">
        <v>0.1753342</v>
      </c>
      <c r="R6385">
        <v>-1.9603410000000002E-2</v>
      </c>
      <c r="S6385">
        <v>3.0700530000000001</v>
      </c>
      <c r="T6385">
        <v>-0.1202472</v>
      </c>
      <c r="U6385">
        <v>4.9194340000000003E-2</v>
      </c>
      <c r="V6385">
        <v>3.7730960000000001E-2</v>
      </c>
      <c r="W6385">
        <v>0.18237120000000001</v>
      </c>
      <c r="X6385">
        <v>0.98250550000000003</v>
      </c>
      <c r="Y6385">
        <v>1.610071E-3</v>
      </c>
      <c r="Z6385">
        <v>-7.2233080000000003E-4</v>
      </c>
      <c r="AA6385">
        <v>0.99999850000000001</v>
      </c>
      <c r="AB6385">
        <v>32</v>
      </c>
      <c r="AC6385">
        <v>28.116599999999998</v>
      </c>
      <c r="AD6385">
        <v>-1.1074867897431</v>
      </c>
      <c r="AE6385">
        <v>0.450979999999994</v>
      </c>
      <c r="AF6385">
        <v>4.5179193905649603E-2</v>
      </c>
      <c r="AG6385">
        <v>-1.1074867897431</v>
      </c>
      <c r="AH6385">
        <v>28.0766304780153</v>
      </c>
      <c r="AI6385">
        <v>92.258866415428898</v>
      </c>
      <c r="AJ6385">
        <v>89.907803220888496</v>
      </c>
      <c r="AK6385">
        <v>28.098500798940002</v>
      </c>
      <c r="AL6385">
        <v>79.492093603809195</v>
      </c>
      <c r="AM6385">
        <v>87.800762469609097</v>
      </c>
      <c r="AN6385">
        <v>0.99999996873110497</v>
      </c>
    </row>
    <row r="6386" spans="1:40" x14ac:dyDescent="0.25">
      <c r="A6386" t="str">
        <f>"20190312173051794"</f>
        <v>20190312173051794</v>
      </c>
      <c r="B6386" t="str">
        <f>"1552383051783636"</f>
        <v>1552383051783636</v>
      </c>
      <c r="C6386" t="s">
        <v>40</v>
      </c>
      <c r="D6386">
        <v>3.2440899999999999</v>
      </c>
      <c r="E6386">
        <v>0.4893865</v>
      </c>
      <c r="F6386" t="s">
        <v>62</v>
      </c>
      <c r="G6386">
        <v>-222.6737</v>
      </c>
      <c r="H6386" s="1">
        <v>-7.4993109999999996E-7</v>
      </c>
      <c r="I6386">
        <v>-62.564279999999997</v>
      </c>
      <c r="J6386">
        <v>-250.74520000000001</v>
      </c>
      <c r="K6386">
        <v>1.107491</v>
      </c>
      <c r="L6386">
        <v>-62.987209999999997</v>
      </c>
      <c r="M6386">
        <v>0.99983370000000005</v>
      </c>
      <c r="N6386">
        <v>0</v>
      </c>
      <c r="O6386">
        <v>1.670748E-2</v>
      </c>
      <c r="P6386">
        <v>0.98436670000000004</v>
      </c>
      <c r="Q6386">
        <v>0.1749309</v>
      </c>
      <c r="R6386">
        <v>-2.0531299999999999E-2</v>
      </c>
      <c r="S6386">
        <v>3.0701900000000002</v>
      </c>
      <c r="T6386">
        <v>-0.1204759</v>
      </c>
      <c r="U6386">
        <v>4.6203609999999999E-2</v>
      </c>
      <c r="V6386">
        <v>3.7731720000000003E-2</v>
      </c>
      <c r="W6386">
        <v>0.18197360000000001</v>
      </c>
      <c r="X6386">
        <v>0.98257919999999999</v>
      </c>
      <c r="Y6386">
        <v>1.6466160000000001E-3</v>
      </c>
      <c r="Z6386">
        <v>-6.8758809999999997E-4</v>
      </c>
      <c r="AA6386">
        <v>0.99999839999999995</v>
      </c>
      <c r="AB6386">
        <v>32</v>
      </c>
      <c r="AC6386">
        <v>28.0715</v>
      </c>
      <c r="AD6386">
        <v>-1.1074917499310999</v>
      </c>
      <c r="AE6386">
        <v>0.42292999999999298</v>
      </c>
      <c r="AF6386">
        <v>4.6073893086847999E-2</v>
      </c>
      <c r="AG6386">
        <v>-1.1074917499310999</v>
      </c>
      <c r="AH6386">
        <v>28.031027406232798</v>
      </c>
      <c r="AI6386">
        <v>92.262547496187594</v>
      </c>
      <c r="AJ6386">
        <v>89.905824456448201</v>
      </c>
      <c r="AK6386">
        <v>28.0529349307477</v>
      </c>
      <c r="AL6386">
        <v>79.515262203372799</v>
      </c>
      <c r="AM6386">
        <v>87.800883013574094</v>
      </c>
      <c r="AN6386">
        <v>0.99999997903187898</v>
      </c>
    </row>
    <row r="6387" spans="1:40" x14ac:dyDescent="0.25">
      <c r="A6387" t="str">
        <f>"20190312173051807"</f>
        <v>20190312173051807</v>
      </c>
      <c r="B6387" t="str">
        <f>"1552383051804133"</f>
        <v>1552383051804133</v>
      </c>
      <c r="C6387" t="s">
        <v>40</v>
      </c>
      <c r="D6387">
        <v>3.233743</v>
      </c>
      <c r="E6387">
        <v>0.48941380000000001</v>
      </c>
      <c r="F6387" t="s">
        <v>62</v>
      </c>
      <c r="G6387">
        <v>-222.8176</v>
      </c>
      <c r="H6387" s="1">
        <v>-8.1845200000000003E-7</v>
      </c>
      <c r="I6387">
        <v>-62.594679999999997</v>
      </c>
      <c r="J6387">
        <v>-250.5831</v>
      </c>
      <c r="K6387">
        <v>1.1074949999999999</v>
      </c>
      <c r="L6387">
        <v>-62.985410000000002</v>
      </c>
      <c r="M6387">
        <v>0.99984980000000001</v>
      </c>
      <c r="N6387">
        <v>0</v>
      </c>
      <c r="O6387">
        <v>1.5710330000000002E-2</v>
      </c>
      <c r="P6387">
        <v>0.98437079999999999</v>
      </c>
      <c r="Q6387">
        <v>0.17477860000000001</v>
      </c>
      <c r="R6387">
        <v>-2.159355E-2</v>
      </c>
      <c r="S6387">
        <v>3.07016</v>
      </c>
      <c r="T6387">
        <v>-0.12174989999999999</v>
      </c>
      <c r="U6387">
        <v>4.315186E-2</v>
      </c>
      <c r="V6387">
        <v>3.7808460000000002E-2</v>
      </c>
      <c r="W6387">
        <v>0.1818274</v>
      </c>
      <c r="X6387">
        <v>0.98260340000000002</v>
      </c>
      <c r="Y6387">
        <v>1.6434380000000001E-3</v>
      </c>
      <c r="Z6387">
        <v>-6.5528319999999995E-4</v>
      </c>
      <c r="AA6387">
        <v>0.99999850000000001</v>
      </c>
      <c r="AB6387">
        <v>32</v>
      </c>
      <c r="AC6387">
        <v>27.765499999999999</v>
      </c>
      <c r="AD6387">
        <v>-1.1074958184520001</v>
      </c>
      <c r="AE6387">
        <v>0.39072999999998997</v>
      </c>
      <c r="AF6387">
        <v>4.54627573468777E-2</v>
      </c>
      <c r="AG6387">
        <v>-1.1074958184520001</v>
      </c>
      <c r="AH6387">
        <v>27.724111169621199</v>
      </c>
      <c r="AI6387">
        <v>92.287576685016006</v>
      </c>
      <c r="AJ6387">
        <v>89.906044894631506</v>
      </c>
      <c r="AK6387">
        <v>27.7462601803506</v>
      </c>
      <c r="AL6387">
        <v>79.523781848408603</v>
      </c>
      <c r="AM6387">
        <v>87.7964689999922</v>
      </c>
      <c r="AN6387">
        <v>1.0000000623649401</v>
      </c>
    </row>
    <row r="6388" spans="1:40" x14ac:dyDescent="0.25">
      <c r="A6388" t="str">
        <f>"20190312173051818"</f>
        <v>20190312173051818</v>
      </c>
      <c r="B6388" t="str">
        <f>"1552383051813893"</f>
        <v>1552383051813893</v>
      </c>
      <c r="C6388" t="s">
        <v>40</v>
      </c>
      <c r="D6388">
        <v>3.2243729999999999</v>
      </c>
      <c r="E6388">
        <v>0.48943799999999998</v>
      </c>
      <c r="F6388" t="s">
        <v>62</v>
      </c>
      <c r="G6388">
        <v>-222.85400000000001</v>
      </c>
      <c r="H6388" s="1">
        <v>-8.4140439999999998E-7</v>
      </c>
      <c r="I6388">
        <v>-62.627659999999999</v>
      </c>
      <c r="J6388">
        <v>-250.40770000000001</v>
      </c>
      <c r="K6388">
        <v>1.1075079999999999</v>
      </c>
      <c r="L6388">
        <v>-62.983609999999999</v>
      </c>
      <c r="M6388">
        <v>0.99986600000000003</v>
      </c>
      <c r="N6388">
        <v>0</v>
      </c>
      <c r="O6388">
        <v>1.4647439999999999E-2</v>
      </c>
      <c r="P6388">
        <v>0.98442669999999999</v>
      </c>
      <c r="Q6388">
        <v>0.1743651</v>
      </c>
      <c r="R6388">
        <v>-2.2391399999999999E-2</v>
      </c>
      <c r="S6388">
        <v>3.0702669999999999</v>
      </c>
      <c r="T6388">
        <v>-0.1226262</v>
      </c>
      <c r="U6388">
        <v>3.9611819999999999E-2</v>
      </c>
      <c r="V6388">
        <v>3.7553280000000001E-2</v>
      </c>
      <c r="W6388">
        <v>0.18142220000000001</v>
      </c>
      <c r="X6388">
        <v>0.98268800000000001</v>
      </c>
      <c r="Y6388">
        <v>1.734265E-3</v>
      </c>
      <c r="Z6388">
        <v>-6.1936429999999995E-4</v>
      </c>
      <c r="AA6388">
        <v>0.99999830000000001</v>
      </c>
      <c r="AB6388">
        <v>32</v>
      </c>
      <c r="AC6388">
        <v>27.5536999999999</v>
      </c>
      <c r="AD6388">
        <v>-1.1075088414044001</v>
      </c>
      <c r="AE6388">
        <v>0.35594999999999999</v>
      </c>
      <c r="AF6388">
        <v>4.7613227774584599E-2</v>
      </c>
      <c r="AG6388">
        <v>-1.1075088414044001</v>
      </c>
      <c r="AH6388">
        <v>27.511517526569101</v>
      </c>
      <c r="AI6388">
        <v>92.305261527779606</v>
      </c>
      <c r="AJ6388">
        <v>89.900840283558495</v>
      </c>
      <c r="AK6388">
        <v>27.533841712844399</v>
      </c>
      <c r="AL6388">
        <v>79.547389938799597</v>
      </c>
      <c r="AM6388">
        <v>87.811514982420704</v>
      </c>
      <c r="AN6388">
        <v>0.99999998441779903</v>
      </c>
    </row>
    <row r="6389" spans="1:40" x14ac:dyDescent="0.25">
      <c r="A6389" t="str">
        <f>"20190312173051830"</f>
        <v>20190312173051830</v>
      </c>
      <c r="B6389" t="str">
        <f>"1552383051823653"</f>
        <v>1552383051823653</v>
      </c>
      <c r="C6389" t="s">
        <v>40</v>
      </c>
      <c r="D6389">
        <v>3.2430249999999998</v>
      </c>
      <c r="E6389">
        <v>0.48945149999999998</v>
      </c>
      <c r="F6389" t="s">
        <v>62</v>
      </c>
      <c r="G6389">
        <v>-223.04910000000001</v>
      </c>
      <c r="H6389" s="1">
        <v>-9.3111190000000004E-7</v>
      </c>
      <c r="I6389">
        <v>-62.65484</v>
      </c>
      <c r="J6389">
        <v>-250.2484</v>
      </c>
      <c r="K6389">
        <v>1.107524</v>
      </c>
      <c r="L6389">
        <v>-62.982149999999997</v>
      </c>
      <c r="M6389">
        <v>0.99987930000000003</v>
      </c>
      <c r="N6389">
        <v>0</v>
      </c>
      <c r="O6389">
        <v>1.3701430000000001E-2</v>
      </c>
      <c r="P6389">
        <v>0.98446180000000005</v>
      </c>
      <c r="Q6389">
        <v>0.17404990000000001</v>
      </c>
      <c r="R6389">
        <v>-2.3277470000000001E-2</v>
      </c>
      <c r="S6389">
        <v>3.0703130000000001</v>
      </c>
      <c r="T6389">
        <v>-0.12428980000000001</v>
      </c>
      <c r="U6389">
        <v>3.6895749999999998E-2</v>
      </c>
      <c r="V6389">
        <v>3.7500270000000002E-2</v>
      </c>
      <c r="W6389">
        <v>0.1811141</v>
      </c>
      <c r="X6389">
        <v>0.98274680000000003</v>
      </c>
      <c r="Y6389">
        <v>1.673279E-3</v>
      </c>
      <c r="Z6389">
        <v>-5.8824609999999999E-4</v>
      </c>
      <c r="AA6389">
        <v>0.99999850000000001</v>
      </c>
      <c r="AB6389">
        <v>32</v>
      </c>
      <c r="AC6389">
        <v>27.199299999999901</v>
      </c>
      <c r="AD6389">
        <v>-1.1075249311119</v>
      </c>
      <c r="AE6389">
        <v>0.32730999999999699</v>
      </c>
      <c r="AF6389">
        <v>4.5324890324265399E-2</v>
      </c>
      <c r="AG6389">
        <v>-1.1075249311119</v>
      </c>
      <c r="AH6389">
        <v>27.156212216711101</v>
      </c>
      <c r="AI6389">
        <v>92.335423966342802</v>
      </c>
      <c r="AJ6389">
        <v>89.904370959752001</v>
      </c>
      <c r="AK6389">
        <v>27.178824988909401</v>
      </c>
      <c r="AL6389">
        <v>79.565339564866093</v>
      </c>
      <c r="AM6389">
        <v>87.814731868794794</v>
      </c>
      <c r="AN6389">
        <v>0.99999993018955902</v>
      </c>
    </row>
    <row r="6390" spans="1:40" x14ac:dyDescent="0.25">
      <c r="A6390" t="str">
        <f>"20190312173051840"</f>
        <v>20190312173051840</v>
      </c>
      <c r="B6390" t="str">
        <f>"1552383051834389"</f>
        <v>1552383051834389</v>
      </c>
      <c r="C6390" t="s">
        <v>40</v>
      </c>
      <c r="D6390">
        <v>3.2254870000000002</v>
      </c>
      <c r="E6390">
        <v>0.48945859999999902</v>
      </c>
      <c r="F6390" t="s">
        <v>62</v>
      </c>
      <c r="G6390">
        <v>-223.1883</v>
      </c>
      <c r="H6390" s="1">
        <v>-9.9692670000000001E-7</v>
      </c>
      <c r="I6390">
        <v>-62.682250000000003</v>
      </c>
      <c r="J6390">
        <v>-250.09690000000001</v>
      </c>
      <c r="K6390">
        <v>1.107542</v>
      </c>
      <c r="L6390">
        <v>-62.980829999999997</v>
      </c>
      <c r="M6390">
        <v>0.99989099999999997</v>
      </c>
      <c r="N6390">
        <v>0</v>
      </c>
      <c r="O6390">
        <v>1.281446E-2</v>
      </c>
      <c r="P6390">
        <v>0.98444370000000003</v>
      </c>
      <c r="Q6390">
        <v>0.17404040000000001</v>
      </c>
      <c r="R6390">
        <v>-2.409538E-2</v>
      </c>
      <c r="S6390">
        <v>3.070389</v>
      </c>
      <c r="T6390">
        <v>-0.125666</v>
      </c>
      <c r="U6390">
        <v>3.4027099999999998E-2</v>
      </c>
      <c r="V6390">
        <v>3.743643E-2</v>
      </c>
      <c r="W6390">
        <v>0.18111179999999999</v>
      </c>
      <c r="X6390">
        <v>0.98274969999999995</v>
      </c>
      <c r="Y6390">
        <v>1.721099E-3</v>
      </c>
      <c r="Z6390">
        <v>-5.5943859999999998E-4</v>
      </c>
      <c r="AA6390">
        <v>0.99999839999999995</v>
      </c>
      <c r="AB6390">
        <v>32</v>
      </c>
      <c r="AC6390">
        <v>26.9086</v>
      </c>
      <c r="AD6390">
        <v>-1.1075429969266899</v>
      </c>
      <c r="AE6390">
        <v>0.29858000000000101</v>
      </c>
      <c r="AF6390">
        <v>4.6194718991553897E-2</v>
      </c>
      <c r="AG6390">
        <v>-1.1075429969266899</v>
      </c>
      <c r="AH6390">
        <v>26.864710801313301</v>
      </c>
      <c r="AI6390">
        <v>92.360774740328793</v>
      </c>
      <c r="AJ6390">
        <v>89.901478194016306</v>
      </c>
      <c r="AK6390">
        <v>26.887570955374599</v>
      </c>
      <c r="AL6390">
        <v>79.565473998312001</v>
      </c>
      <c r="AM6390">
        <v>87.818454876301203</v>
      </c>
      <c r="AN6390">
        <v>0.99999997162023702</v>
      </c>
    </row>
    <row r="6391" spans="1:40" x14ac:dyDescent="0.25">
      <c r="A6391" t="str">
        <f>"20190312173051850"</f>
        <v>20190312173051850</v>
      </c>
      <c r="B6391" t="str">
        <f>"1552383051844149"</f>
        <v>1552383051844149</v>
      </c>
      <c r="C6391" t="s">
        <v>40</v>
      </c>
      <c r="D6391">
        <v>3.2485750000000002</v>
      </c>
      <c r="E6391">
        <v>0.48947079999999998</v>
      </c>
      <c r="F6391" t="s">
        <v>62</v>
      </c>
      <c r="G6391">
        <v>-223.08670000000001</v>
      </c>
      <c r="H6391" s="1">
        <v>-9.5826610000000006E-7</v>
      </c>
      <c r="I6391">
        <v>-62.704320000000003</v>
      </c>
      <c r="J6391">
        <v>-249.94710000000001</v>
      </c>
      <c r="K6391">
        <v>1.1075649999999999</v>
      </c>
      <c r="L6391">
        <v>-62.979709999999997</v>
      </c>
      <c r="M6391">
        <v>0.9999015</v>
      </c>
      <c r="N6391">
        <v>0</v>
      </c>
      <c r="O6391">
        <v>1.196942E-2</v>
      </c>
      <c r="P6391">
        <v>0.98442249999999998</v>
      </c>
      <c r="Q6391">
        <v>0.174060299999999</v>
      </c>
      <c r="R6391">
        <v>-2.4809060000000001E-2</v>
      </c>
      <c r="S6391">
        <v>3.0704189999999998</v>
      </c>
      <c r="T6391">
        <v>-0.1259016</v>
      </c>
      <c r="U6391">
        <v>3.143311E-2</v>
      </c>
      <c r="V6391">
        <v>3.7306909999999999E-2</v>
      </c>
      <c r="W6391">
        <v>0.18113899999999999</v>
      </c>
      <c r="X6391">
        <v>0.9827496</v>
      </c>
      <c r="Y6391">
        <v>1.7214859999999999E-3</v>
      </c>
      <c r="Z6391">
        <v>-5.2585909999999997E-4</v>
      </c>
      <c r="AA6391">
        <v>0.99999839999999995</v>
      </c>
      <c r="AB6391">
        <v>32</v>
      </c>
      <c r="AC6391">
        <v>26.860399999999998</v>
      </c>
      <c r="AD6391">
        <v>-1.1075659582660999</v>
      </c>
      <c r="AE6391">
        <v>0.27539000000000102</v>
      </c>
      <c r="AF6391">
        <v>4.6063462908664497E-2</v>
      </c>
      <c r="AG6391">
        <v>-1.1075659582660999</v>
      </c>
      <c r="AH6391">
        <v>26.8161824945165</v>
      </c>
      <c r="AI6391">
        <v>92.365091088047095</v>
      </c>
      <c r="AJ6391">
        <v>89.901580345407694</v>
      </c>
      <c r="AK6391">
        <v>26.839084704470402</v>
      </c>
      <c r="AL6391">
        <v>79.563889215788507</v>
      </c>
      <c r="AM6391">
        <v>87.825994961228801</v>
      </c>
      <c r="AN6391">
        <v>0.99999995957745302</v>
      </c>
    </row>
    <row r="6392" spans="1:40" x14ac:dyDescent="0.25">
      <c r="A6392" t="str">
        <f>"20190312173051861"</f>
        <v>20190312173051861</v>
      </c>
      <c r="B6392" t="str">
        <f>"1552383051853909"</f>
        <v>1552383051853909</v>
      </c>
      <c r="C6392" t="s">
        <v>40</v>
      </c>
      <c r="D6392">
        <v>3.260564</v>
      </c>
      <c r="E6392">
        <v>0.48948700000000001</v>
      </c>
      <c r="F6392" t="s">
        <v>62</v>
      </c>
      <c r="G6392">
        <v>-222.95650000000001</v>
      </c>
      <c r="H6392" s="1">
        <v>-9.0649980000000004E-7</v>
      </c>
      <c r="I6392">
        <v>-62.722709999999999</v>
      </c>
      <c r="J6392">
        <v>-249.792</v>
      </c>
      <c r="K6392">
        <v>1.1075950000000001</v>
      </c>
      <c r="L6392">
        <v>-62.978580000000001</v>
      </c>
      <c r="M6392">
        <v>0.99991149999999995</v>
      </c>
      <c r="N6392">
        <v>0</v>
      </c>
      <c r="O6392">
        <v>1.110596E-2</v>
      </c>
      <c r="P6392">
        <v>0.98441089999999998</v>
      </c>
      <c r="Q6392">
        <v>0.17401</v>
      </c>
      <c r="R6392">
        <v>-2.561505E-2</v>
      </c>
      <c r="S6392">
        <v>3.0704959999999999</v>
      </c>
      <c r="T6392">
        <v>-0.12599869999999999</v>
      </c>
      <c r="U6392">
        <v>2.9235839999999999E-2</v>
      </c>
      <c r="V6392">
        <v>3.7249650000000002E-2</v>
      </c>
      <c r="W6392">
        <v>0.1810959</v>
      </c>
      <c r="X6392">
        <v>0.98275979999999996</v>
      </c>
      <c r="Y6392">
        <v>1.574563E-3</v>
      </c>
      <c r="Z6392">
        <v>-4.8782559999999999E-4</v>
      </c>
      <c r="AA6392">
        <v>0.99999859999999896</v>
      </c>
      <c r="AB6392">
        <v>32</v>
      </c>
      <c r="AC6392">
        <v>26.8355</v>
      </c>
      <c r="AD6392">
        <v>-1.1075959064998</v>
      </c>
      <c r="AE6392">
        <v>0.25587000000000798</v>
      </c>
      <c r="AF6392">
        <v>4.2116027450137601E-2</v>
      </c>
      <c r="AG6392">
        <v>-1.1075959064998</v>
      </c>
      <c r="AH6392">
        <v>26.791052110809002</v>
      </c>
      <c r="AI6392">
        <v>92.367371559220203</v>
      </c>
      <c r="AJ6392">
        <v>89.9099300533248</v>
      </c>
      <c r="AK6392">
        <v>26.813970531347</v>
      </c>
      <c r="AL6392">
        <v>79.566401071548498</v>
      </c>
      <c r="AM6392">
        <v>87.829351016450801</v>
      </c>
      <c r="AN6392">
        <v>1.0000000429589799</v>
      </c>
    </row>
    <row r="6393" spans="1:40" x14ac:dyDescent="0.25">
      <c r="A6393" t="str">
        <f>"20190312173051873"</f>
        <v>20190312173051873</v>
      </c>
      <c r="B6393" t="str">
        <f>"1552383051863669"</f>
        <v>1552383051863669</v>
      </c>
      <c r="C6393" t="s">
        <v>40</v>
      </c>
      <c r="D6393">
        <v>3.2469320000000002</v>
      </c>
      <c r="E6393">
        <v>0.48949140000000002</v>
      </c>
      <c r="F6393" t="s">
        <v>62</v>
      </c>
      <c r="G6393">
        <v>-222.88650000000001</v>
      </c>
      <c r="H6393" s="1">
        <v>-8.8162359999999895E-7</v>
      </c>
      <c r="I6393">
        <v>-62.745930000000001</v>
      </c>
      <c r="J6393">
        <v>-249.62700000000001</v>
      </c>
      <c r="K6393">
        <v>1.107634</v>
      </c>
      <c r="L6393">
        <v>-62.977600000000002</v>
      </c>
      <c r="M6393">
        <v>0.99992049999999999</v>
      </c>
      <c r="N6393">
        <v>0</v>
      </c>
      <c r="O6393">
        <v>1.0240930000000001E-2</v>
      </c>
      <c r="P6393">
        <v>0.98436889999999999</v>
      </c>
      <c r="Q6393">
        <v>0.1741461</v>
      </c>
      <c r="R6393">
        <v>-2.6289779999999999E-2</v>
      </c>
      <c r="S6393">
        <v>3.070541</v>
      </c>
      <c r="T6393">
        <v>-0.1264023</v>
      </c>
      <c r="U6393">
        <v>2.6550290000000001E-2</v>
      </c>
      <c r="V6393">
        <v>3.7054810000000001E-2</v>
      </c>
      <c r="W6393">
        <v>0.1812407</v>
      </c>
      <c r="X6393">
        <v>0.98274039999999996</v>
      </c>
      <c r="Y6393">
        <v>1.584806E-3</v>
      </c>
      <c r="Z6393">
        <v>-4.539999E-4</v>
      </c>
      <c r="AA6393">
        <v>0.99999859999999896</v>
      </c>
      <c r="AB6393">
        <v>32</v>
      </c>
      <c r="AC6393">
        <v>26.740500000000001</v>
      </c>
      <c r="AD6393">
        <v>-1.1076348816235999</v>
      </c>
      <c r="AE6393">
        <v>0.23167000000000099</v>
      </c>
      <c r="AF6393">
        <v>4.2124877870767602E-2</v>
      </c>
      <c r="AG6393">
        <v>-1.1076348816235999</v>
      </c>
      <c r="AH6393">
        <v>26.695670561284199</v>
      </c>
      <c r="AI6393">
        <v>92.375903802603901</v>
      </c>
      <c r="AJ6393">
        <v>89.909589245727702</v>
      </c>
      <c r="AK6393">
        <v>26.718672426843</v>
      </c>
      <c r="AL6393">
        <v>79.5579642956789</v>
      </c>
      <c r="AM6393">
        <v>87.840651566677707</v>
      </c>
      <c r="AN6393">
        <v>0.99999997203639202</v>
      </c>
    </row>
    <row r="6394" spans="1:40" x14ac:dyDescent="0.25">
      <c r="A6394" t="str">
        <f>"20190312173051884"</f>
        <v>20190312173051884</v>
      </c>
      <c r="B6394" t="str">
        <f>"1552383051873429"</f>
        <v>1552383051873429</v>
      </c>
      <c r="C6394" t="s">
        <v>40</v>
      </c>
      <c r="D6394">
        <v>3.2307169999999998</v>
      </c>
      <c r="E6394">
        <v>0.48951620000000001</v>
      </c>
      <c r="F6394" t="s">
        <v>62</v>
      </c>
      <c r="G6394">
        <v>-222.6696</v>
      </c>
      <c r="H6394" s="1">
        <v>-7.9206009999999905E-7</v>
      </c>
      <c r="I6394">
        <v>-62.761659999999999</v>
      </c>
      <c r="J6394">
        <v>-249.47030000000001</v>
      </c>
      <c r="K6394">
        <v>1.1076779999999999</v>
      </c>
      <c r="L6394">
        <v>-62.976680000000002</v>
      </c>
      <c r="M6394">
        <v>0.9999285</v>
      </c>
      <c r="N6394">
        <v>0</v>
      </c>
      <c r="O6394">
        <v>9.4332389999999995E-3</v>
      </c>
      <c r="P6394">
        <v>0.98433720000000002</v>
      </c>
      <c r="Q6394">
        <v>0.1742562</v>
      </c>
      <c r="R6394">
        <v>-2.6747799999999999E-2</v>
      </c>
      <c r="S6394">
        <v>3.0706180000000001</v>
      </c>
      <c r="T6394">
        <v>-0.12616669999999999</v>
      </c>
      <c r="U6394">
        <v>2.4597170000000002E-2</v>
      </c>
      <c r="V6394">
        <v>3.6699370000000002E-2</v>
      </c>
      <c r="W6394">
        <v>0.1813603</v>
      </c>
      <c r="X6394">
        <v>0.98273169999999999</v>
      </c>
      <c r="Y6394">
        <v>1.414156E-3</v>
      </c>
      <c r="Z6394">
        <v>-4.1646929999999998E-4</v>
      </c>
      <c r="AA6394">
        <v>0.99999890000000002</v>
      </c>
      <c r="AB6394">
        <v>32</v>
      </c>
      <c r="AC6394">
        <v>26.800699999999999</v>
      </c>
      <c r="AD6394">
        <v>-1.1076787920600999</v>
      </c>
      <c r="AE6394">
        <v>0.21502000000000199</v>
      </c>
      <c r="AF6394">
        <v>3.7749324797173703E-2</v>
      </c>
      <c r="AG6394">
        <v>-1.1076787920600999</v>
      </c>
      <c r="AH6394">
        <v>26.755834828409299</v>
      </c>
      <c r="AI6394">
        <v>92.370661811136102</v>
      </c>
      <c r="AJ6394">
        <v>89.919162471696794</v>
      </c>
      <c r="AK6394">
        <v>26.7787803061122</v>
      </c>
      <c r="AL6394">
        <v>79.550996520153006</v>
      </c>
      <c r="AM6394">
        <v>87.861326392289996</v>
      </c>
      <c r="AN6394">
        <v>0.99999999817968799</v>
      </c>
    </row>
    <row r="6395" spans="1:40" x14ac:dyDescent="0.25">
      <c r="A6395" t="str">
        <f>"20190312173051894"</f>
        <v>20190312173051894</v>
      </c>
      <c r="B6395" t="str">
        <f>"1552383051884166"</f>
        <v>1552383051884166</v>
      </c>
      <c r="C6395" t="s">
        <v>40</v>
      </c>
      <c r="D6395">
        <v>3.3363749999999999</v>
      </c>
      <c r="E6395">
        <v>0.4895272</v>
      </c>
      <c r="F6395" t="s">
        <v>62</v>
      </c>
      <c r="G6395">
        <v>-222.51679999999999</v>
      </c>
      <c r="H6395" s="1">
        <v>-7.2918490000000001E-7</v>
      </c>
      <c r="I6395">
        <v>-62.77364</v>
      </c>
      <c r="J6395">
        <v>-249.31030000000001</v>
      </c>
      <c r="K6395">
        <v>1.107734</v>
      </c>
      <c r="L6395">
        <v>-62.97589</v>
      </c>
      <c r="M6395">
        <v>0.99993529999999997</v>
      </c>
      <c r="N6395">
        <v>0</v>
      </c>
      <c r="O6395">
        <v>8.6772740000000004E-3</v>
      </c>
      <c r="P6395">
        <v>0.98434140000000003</v>
      </c>
      <c r="Q6395">
        <v>0.17417170000000001</v>
      </c>
      <c r="R6395">
        <v>-2.713161E-2</v>
      </c>
      <c r="S6395">
        <v>3.070694</v>
      </c>
      <c r="T6395">
        <v>-0.12619279999999999</v>
      </c>
      <c r="U6395">
        <v>2.3132320000000001E-2</v>
      </c>
      <c r="V6395">
        <v>3.6314760000000001E-2</v>
      </c>
      <c r="W6395">
        <v>0.1812867</v>
      </c>
      <c r="X6395">
        <v>0.98275959999999996</v>
      </c>
      <c r="Y6395">
        <v>1.136221E-3</v>
      </c>
      <c r="Z6395">
        <v>-3.797847E-4</v>
      </c>
      <c r="AA6395">
        <v>0.99999930000000004</v>
      </c>
      <c r="AB6395">
        <v>32</v>
      </c>
      <c r="AC6395">
        <v>26.793500000000002</v>
      </c>
      <c r="AD6395">
        <v>-1.1077347291849</v>
      </c>
      <c r="AE6395">
        <v>0.20224999999999899</v>
      </c>
      <c r="AF6395">
        <v>3.02068161093531E-2</v>
      </c>
      <c r="AG6395">
        <v>-1.1077347291849</v>
      </c>
      <c r="AH6395">
        <v>26.748528183362001</v>
      </c>
      <c r="AI6395">
        <v>92.371429103645397</v>
      </c>
      <c r="AJ6395">
        <v>89.935296539383202</v>
      </c>
      <c r="AK6395">
        <v>26.771472665098099</v>
      </c>
      <c r="AL6395">
        <v>79.555284910601102</v>
      </c>
      <c r="AM6395">
        <v>87.883779264741506</v>
      </c>
      <c r="AN6395">
        <v>1.00000003039145</v>
      </c>
    </row>
    <row r="6396" spans="1:40" x14ac:dyDescent="0.25">
      <c r="A6396" t="str">
        <f>"20190312173051906"</f>
        <v>20190312173051906</v>
      </c>
      <c r="B6396" t="str">
        <f>"1552383051903685"</f>
        <v>1552383051903685</v>
      </c>
      <c r="C6396" t="s">
        <v>40</v>
      </c>
      <c r="D6396">
        <v>3.2294710000000002</v>
      </c>
      <c r="E6396">
        <v>0.48953029999999997</v>
      </c>
      <c r="F6396" t="s">
        <v>62</v>
      </c>
      <c r="G6396">
        <v>-222.45400000000001</v>
      </c>
      <c r="H6396" s="1">
        <v>-7.0437699999999998E-7</v>
      </c>
      <c r="I6396">
        <v>-62.783189999999998</v>
      </c>
      <c r="J6396">
        <v>-249.1516</v>
      </c>
      <c r="K6396">
        <v>1.1077920000000001</v>
      </c>
      <c r="L6396">
        <v>-62.975189999999998</v>
      </c>
      <c r="M6396">
        <v>0.99994150000000004</v>
      </c>
      <c r="N6396">
        <v>0</v>
      </c>
      <c r="O6396">
        <v>7.9470110000000004E-3</v>
      </c>
      <c r="P6396">
        <v>0.98432200000000003</v>
      </c>
      <c r="Q6396">
        <v>0.17421449999999999</v>
      </c>
      <c r="R6396">
        <v>-2.7565099999999999E-2</v>
      </c>
      <c r="S6396">
        <v>3.0707399999999998</v>
      </c>
      <c r="T6396">
        <v>-0.12665799999999999</v>
      </c>
      <c r="U6396">
        <v>2.2033690000000002E-2</v>
      </c>
      <c r="V6396">
        <v>3.6004679999999997E-2</v>
      </c>
      <c r="W6396">
        <v>0.18133920000000001</v>
      </c>
      <c r="X6396">
        <v>0.98276129999999995</v>
      </c>
      <c r="Y6396">
        <v>7.6465559999999895E-4</v>
      </c>
      <c r="Z6396">
        <v>-3.4341150000000002E-4</v>
      </c>
      <c r="AA6396">
        <v>0.99999959999999999</v>
      </c>
      <c r="AB6396">
        <v>32</v>
      </c>
      <c r="AC6396">
        <v>26.697599999999898</v>
      </c>
      <c r="AD6396">
        <v>-1.1077927043769999</v>
      </c>
      <c r="AE6396">
        <v>0.192</v>
      </c>
      <c r="AF6396">
        <v>2.0143216100361901E-2</v>
      </c>
      <c r="AG6396">
        <v>-1.1077927043769999</v>
      </c>
      <c r="AH6396">
        <v>26.652396114927299</v>
      </c>
      <c r="AI6396">
        <v>92.380098006145801</v>
      </c>
      <c r="AJ6396">
        <v>89.956697287416404</v>
      </c>
      <c r="AK6396">
        <v>26.675416193417</v>
      </c>
      <c r="AL6396">
        <v>79.552225944563503</v>
      </c>
      <c r="AM6396">
        <v>87.901836396244704</v>
      </c>
      <c r="AN6396">
        <v>1.0000000076081099</v>
      </c>
    </row>
    <row r="6397" spans="1:40" x14ac:dyDescent="0.25">
      <c r="A6397" t="str">
        <f>"20190312173051917"</f>
        <v>20190312173051917</v>
      </c>
      <c r="B6397" t="str">
        <f>"1552383051913445"</f>
        <v>1552383051913445</v>
      </c>
      <c r="C6397" t="s">
        <v>40</v>
      </c>
      <c r="D6397">
        <v>3.2122999999999999</v>
      </c>
      <c r="E6397">
        <v>0.48952610000000002</v>
      </c>
      <c r="F6397" t="s">
        <v>62</v>
      </c>
      <c r="G6397">
        <v>-222.37360000000001</v>
      </c>
      <c r="H6397" s="1">
        <v>-6.7308759999999902E-7</v>
      </c>
      <c r="I6397">
        <v>-62.797690000000003</v>
      </c>
      <c r="J6397">
        <v>-248.98439999999999</v>
      </c>
      <c r="K6397">
        <v>1.107858</v>
      </c>
      <c r="L6397">
        <v>-62.974519999999998</v>
      </c>
      <c r="M6397">
        <v>0.99994669999999997</v>
      </c>
      <c r="N6397">
        <v>0</v>
      </c>
      <c r="O6397">
        <v>7.2387900000000002E-3</v>
      </c>
      <c r="P6397">
        <v>0.98425469999999904</v>
      </c>
      <c r="Q6397">
        <v>0.17452899999999999</v>
      </c>
      <c r="R6397">
        <v>-2.797198E-2</v>
      </c>
      <c r="S6397">
        <v>3.0708160000000002</v>
      </c>
      <c r="T6397">
        <v>-0.12703819999999999</v>
      </c>
      <c r="U6397">
        <v>2.035522E-2</v>
      </c>
      <c r="V6397">
        <v>3.5685939999999999E-2</v>
      </c>
      <c r="W6397">
        <v>0.18166470000000001</v>
      </c>
      <c r="X6397">
        <v>0.98271280000000005</v>
      </c>
      <c r="Y6397">
        <v>6.0383520000000001E-4</v>
      </c>
      <c r="Z6397">
        <v>-3.1182319999999999E-4</v>
      </c>
      <c r="AA6397">
        <v>0.99999979999999999</v>
      </c>
      <c r="AB6397">
        <v>32</v>
      </c>
      <c r="AC6397">
        <v>26.610799999999902</v>
      </c>
      <c r="AD6397">
        <v>-1.1078586730876001</v>
      </c>
      <c r="AE6397">
        <v>0.17682999999999499</v>
      </c>
      <c r="AF6397">
        <v>1.57824931278993E-2</v>
      </c>
      <c r="AG6397">
        <v>-1.1078586730876001</v>
      </c>
      <c r="AH6397">
        <v>26.5653413590145</v>
      </c>
      <c r="AI6397">
        <v>92.388030879127498</v>
      </c>
      <c r="AJ6397">
        <v>89.965960530007393</v>
      </c>
      <c r="AK6397">
        <v>26.588436611572099</v>
      </c>
      <c r="AL6397">
        <v>79.533261077305298</v>
      </c>
      <c r="AM6397">
        <v>87.920291962208694</v>
      </c>
      <c r="AN6397">
        <v>0.99999999841180598</v>
      </c>
    </row>
    <row r="6398" spans="1:40" x14ac:dyDescent="0.25">
      <c r="A6398" t="str">
        <f>"20190312173051929"</f>
        <v>20190312173051929</v>
      </c>
      <c r="B6398" t="str">
        <f>"1552383051924181"</f>
        <v>1552383051924181</v>
      </c>
      <c r="C6398" t="s">
        <v>40</v>
      </c>
      <c r="D6398">
        <v>3.2002160000000002</v>
      </c>
      <c r="E6398">
        <v>0.48952230000000002</v>
      </c>
      <c r="F6398" t="s">
        <v>62</v>
      </c>
      <c r="G6398">
        <v>-222.03800000000001</v>
      </c>
      <c r="H6398" s="1">
        <v>-5.3069749999999999E-7</v>
      </c>
      <c r="I6398">
        <v>-62.804740000000002</v>
      </c>
      <c r="J6398">
        <v>-248.82169999999999</v>
      </c>
      <c r="K6398">
        <v>1.107926</v>
      </c>
      <c r="L6398">
        <v>-62.973909999999997</v>
      </c>
      <c r="M6398">
        <v>0.99995120000000004</v>
      </c>
      <c r="N6398">
        <v>0</v>
      </c>
      <c r="O6398">
        <v>6.5952010000000002E-3</v>
      </c>
      <c r="P6398">
        <v>0.98416389999999998</v>
      </c>
      <c r="Q6398">
        <v>0.1750061</v>
      </c>
      <c r="R6398">
        <v>-2.818557E-2</v>
      </c>
      <c r="S6398">
        <v>3.0709230000000001</v>
      </c>
      <c r="T6398">
        <v>-0.12625620000000001</v>
      </c>
      <c r="U6398">
        <v>1.934814E-2</v>
      </c>
      <c r="V6398">
        <v>3.5237070000000002E-2</v>
      </c>
      <c r="W6398">
        <v>0.18215319999999999</v>
      </c>
      <c r="X6398">
        <v>0.98263849999999997</v>
      </c>
      <c r="Y6398">
        <v>2.8926160000000001E-4</v>
      </c>
      <c r="Z6398">
        <v>-2.7698250000000001E-4</v>
      </c>
      <c r="AA6398">
        <v>0.99999990000000005</v>
      </c>
      <c r="AB6398">
        <v>32</v>
      </c>
      <c r="AC6398">
        <v>26.7837</v>
      </c>
      <c r="AD6398">
        <v>-1.1079265306974999</v>
      </c>
      <c r="AE6398">
        <v>0.16916999999999399</v>
      </c>
      <c r="AF6398">
        <v>7.4695621068899204E-3</v>
      </c>
      <c r="AG6398">
        <v>-1.1079265306974999</v>
      </c>
      <c r="AH6398">
        <v>26.738482241968502</v>
      </c>
      <c r="AI6398">
        <v>92.372730768322199</v>
      </c>
      <c r="AJ6398">
        <v>89.983994066359799</v>
      </c>
      <c r="AK6398">
        <v>26.761427271277</v>
      </c>
      <c r="AL6398">
        <v>79.504796458751301</v>
      </c>
      <c r="AM6398">
        <v>87.946273560567306</v>
      </c>
      <c r="AN6398">
        <v>0.99999993052733505</v>
      </c>
    </row>
    <row r="6399" spans="1:40" x14ac:dyDescent="0.25">
      <c r="A6399" t="str">
        <f>"20190312173051939"</f>
        <v>20190312173051939</v>
      </c>
      <c r="B6399" t="str">
        <f>"1552383051933941"</f>
        <v>1552383051933941</v>
      </c>
      <c r="C6399" t="s">
        <v>40</v>
      </c>
      <c r="D6399">
        <v>3.2475100000000001</v>
      </c>
      <c r="E6399">
        <v>0.48951860000000003</v>
      </c>
      <c r="F6399" t="s">
        <v>62</v>
      </c>
      <c r="G6399">
        <v>-221.5992</v>
      </c>
      <c r="H6399" s="1">
        <v>-3.429518E-7</v>
      </c>
      <c r="I6399">
        <v>-62.807000000000002</v>
      </c>
      <c r="J6399">
        <v>-248.6585</v>
      </c>
      <c r="K6399">
        <v>1.108001</v>
      </c>
      <c r="L6399">
        <v>-62.97336</v>
      </c>
      <c r="M6399">
        <v>0.99995480000000003</v>
      </c>
      <c r="N6399">
        <v>0</v>
      </c>
      <c r="O6399">
        <v>5.9959999999999996E-3</v>
      </c>
      <c r="P6399">
        <v>0.98407739999999999</v>
      </c>
      <c r="Q6399">
        <v>0.17540799999999901</v>
      </c>
      <c r="R6399">
        <v>-2.870062E-2</v>
      </c>
      <c r="S6399">
        <v>3.0710449999999998</v>
      </c>
      <c r="T6399">
        <v>-0.1249883</v>
      </c>
      <c r="U6399">
        <v>1.8829350000000002E-2</v>
      </c>
      <c r="V6399">
        <v>3.5130750000000002E-2</v>
      </c>
      <c r="W6399">
        <v>0.18256530000000001</v>
      </c>
      <c r="X6399">
        <v>0.98256589999999999</v>
      </c>
      <c r="Y6399">
        <v>-1.3982259999999999E-4</v>
      </c>
      <c r="Z6399">
        <v>-2.4108800000000001E-4</v>
      </c>
      <c r="AA6399">
        <v>0.99999990000000005</v>
      </c>
      <c r="AB6399">
        <v>32</v>
      </c>
      <c r="AC6399">
        <v>27.0593</v>
      </c>
      <c r="AD6399">
        <v>-1.1080013429518001</v>
      </c>
      <c r="AE6399">
        <v>0.166360000000004</v>
      </c>
      <c r="AF6399">
        <v>-4.0981584830874704E-3</v>
      </c>
      <c r="AG6399">
        <v>-1.1080013429518001</v>
      </c>
      <c r="AH6399">
        <v>27.0145183662326</v>
      </c>
      <c r="AI6399">
        <v>92.348671805481999</v>
      </c>
      <c r="AJ6399">
        <v>90.008691888556797</v>
      </c>
      <c r="AK6399">
        <v>27.037231484203499</v>
      </c>
      <c r="AL6399">
        <v>79.480782966297895</v>
      </c>
      <c r="AM6399">
        <v>87.952313779857406</v>
      </c>
      <c r="AN6399">
        <v>1.0000000031012299</v>
      </c>
    </row>
    <row r="6400" spans="1:40" x14ac:dyDescent="0.25">
      <c r="A6400" t="str">
        <f>"20190312173051951"</f>
        <v>20190312173051951</v>
      </c>
      <c r="B6400" t="str">
        <f>"1552383051943701"</f>
        <v>1552383051943701</v>
      </c>
      <c r="C6400" t="s">
        <v>40</v>
      </c>
      <c r="D6400">
        <v>3.2282199999999999</v>
      </c>
      <c r="E6400">
        <v>0.48951129999999998</v>
      </c>
      <c r="F6400" t="s">
        <v>62</v>
      </c>
      <c r="G6400">
        <v>-221.2021</v>
      </c>
      <c r="H6400" s="1">
        <v>-1.75072499999999E-7</v>
      </c>
      <c r="I6400">
        <v>-62.818119999999901</v>
      </c>
      <c r="J6400">
        <v>-248.49350000000001</v>
      </c>
      <c r="K6400">
        <v>1.108082</v>
      </c>
      <c r="L6400">
        <v>-62.972929999999998</v>
      </c>
      <c r="M6400">
        <v>0.99995789999999996</v>
      </c>
      <c r="N6400">
        <v>0</v>
      </c>
      <c r="O6400">
        <v>5.4677519999999898E-3</v>
      </c>
      <c r="P6400">
        <v>0.98399139999999996</v>
      </c>
      <c r="Q6400">
        <v>0.175836299999999</v>
      </c>
      <c r="R6400">
        <v>-2.9029269999999999E-2</v>
      </c>
      <c r="S6400">
        <v>3.0711210000000002</v>
      </c>
      <c r="T6400">
        <v>-0.1239349</v>
      </c>
      <c r="U6400">
        <v>1.7364500000000001E-2</v>
      </c>
      <c r="V6400">
        <v>3.4904610000000003E-2</v>
      </c>
      <c r="W6400">
        <v>0.1830051</v>
      </c>
      <c r="X6400">
        <v>0.98249209999999998</v>
      </c>
      <c r="Y6400">
        <v>-1.904318E-4</v>
      </c>
      <c r="Z6400">
        <v>-2.167227E-4</v>
      </c>
      <c r="AA6400">
        <v>0.99999990000000005</v>
      </c>
      <c r="AB6400">
        <v>32</v>
      </c>
      <c r="AC6400">
        <v>27.291399999999999</v>
      </c>
      <c r="AD6400">
        <v>-1.1080821750725001</v>
      </c>
      <c r="AE6400">
        <v>0.15481000000001099</v>
      </c>
      <c r="AF6400">
        <v>-5.5718421412868898E-3</v>
      </c>
      <c r="AG6400">
        <v>-1.1080821750725001</v>
      </c>
      <c r="AH6400">
        <v>27.246923049821</v>
      </c>
      <c r="AI6400">
        <v>92.328830454832101</v>
      </c>
      <c r="AJ6400">
        <v>90.011716663704505</v>
      </c>
      <c r="AK6400">
        <v>27.2694461409653</v>
      </c>
      <c r="AL6400">
        <v>79.455152049184605</v>
      </c>
      <c r="AM6400">
        <v>87.965331124550104</v>
      </c>
      <c r="AN6400">
        <v>0.99999996249383505</v>
      </c>
    </row>
    <row r="6401" spans="1:40" x14ac:dyDescent="0.25">
      <c r="A6401" t="str">
        <f>"20190312173051962"</f>
        <v>20190312173051962</v>
      </c>
      <c r="B6401" t="str">
        <f>"1552383051953462"</f>
        <v>1552383051953462</v>
      </c>
      <c r="C6401" t="s">
        <v>40</v>
      </c>
      <c r="D6401">
        <v>3.3060860000000001</v>
      </c>
      <c r="E6401">
        <v>0.4895021</v>
      </c>
      <c r="F6401" t="s">
        <v>62</v>
      </c>
      <c r="G6401">
        <v>-220.7764</v>
      </c>
      <c r="H6401" s="1">
        <v>6.2481719999999902E-9</v>
      </c>
      <c r="I6401">
        <v>-62.823929999999997</v>
      </c>
      <c r="J6401">
        <v>-248.3305</v>
      </c>
      <c r="K6401">
        <v>1.1081650000000001</v>
      </c>
      <c r="L6401">
        <v>-62.972439999999999</v>
      </c>
      <c r="M6401">
        <v>0.99996050000000003</v>
      </c>
      <c r="N6401">
        <v>0</v>
      </c>
      <c r="O6401">
        <v>4.9754480000000004E-3</v>
      </c>
      <c r="P6401">
        <v>0.98386010000000002</v>
      </c>
      <c r="Q6401">
        <v>0.17652300000000001</v>
      </c>
      <c r="R6401">
        <v>-2.9314349999999999E-2</v>
      </c>
      <c r="S6401">
        <v>3.0712429999999999</v>
      </c>
      <c r="T6401">
        <v>-0.12278310000000001</v>
      </c>
      <c r="U6401">
        <v>1.6510009999999999E-2</v>
      </c>
      <c r="V6401">
        <v>3.4669470000000001E-2</v>
      </c>
      <c r="W6401">
        <v>0.18370310000000001</v>
      </c>
      <c r="X6401">
        <v>0.98237019999999997</v>
      </c>
      <c r="Y6401">
        <v>-4.0367339999999998E-4</v>
      </c>
      <c r="Z6401">
        <v>-1.907674E-4</v>
      </c>
      <c r="AA6401">
        <v>0.99999990000000005</v>
      </c>
      <c r="AB6401">
        <v>32</v>
      </c>
      <c r="AC6401">
        <v>27.554099999999998</v>
      </c>
      <c r="AD6401">
        <v>-1.1081649937518201</v>
      </c>
      <c r="AE6401">
        <v>0.14850999999999401</v>
      </c>
      <c r="AF6401">
        <v>-1.13920258614291E-2</v>
      </c>
      <c r="AG6401">
        <v>-1.1081649937518201</v>
      </c>
      <c r="AH6401">
        <v>27.510002523683699</v>
      </c>
      <c r="AI6401">
        <v>92.306755967598804</v>
      </c>
      <c r="AJ6401">
        <v>90.023726459642901</v>
      </c>
      <c r="AK6401">
        <v>27.532315527116701</v>
      </c>
      <c r="AL6401">
        <v>79.414470365743696</v>
      </c>
      <c r="AM6401">
        <v>87.978775993918902</v>
      </c>
      <c r="AN6401">
        <v>1.00000000547386</v>
      </c>
    </row>
    <row r="6402" spans="1:40" x14ac:dyDescent="0.25">
      <c r="A6402" t="str">
        <f>"20190312173051973"</f>
        <v>20190312173051973</v>
      </c>
      <c r="B6402" t="str">
        <f>"1552383051964197"</f>
        <v>1552383051964197</v>
      </c>
      <c r="C6402" t="s">
        <v>40</v>
      </c>
      <c r="D6402">
        <v>3.2469209999999999</v>
      </c>
      <c r="E6402">
        <v>0.48949720000000002</v>
      </c>
      <c r="F6402" t="s">
        <v>62</v>
      </c>
      <c r="G6402">
        <v>-220.18029999999999</v>
      </c>
      <c r="H6402" s="1">
        <v>2.6123639999999999E-7</v>
      </c>
      <c r="I6402">
        <v>-62.827280000000002</v>
      </c>
      <c r="J6402">
        <v>-248.16890000000001</v>
      </c>
      <c r="K6402">
        <v>1.108263</v>
      </c>
      <c r="L6402">
        <v>-62.972050000000003</v>
      </c>
      <c r="M6402">
        <v>0.99996209999999996</v>
      </c>
      <c r="N6402">
        <v>0</v>
      </c>
      <c r="O6402">
        <v>4.6009680000000004E-3</v>
      </c>
      <c r="P6402">
        <v>0.98380060000000003</v>
      </c>
      <c r="Q6402">
        <v>0.176819899999999</v>
      </c>
      <c r="R6402">
        <v>-2.9515159999999999E-2</v>
      </c>
      <c r="S6402">
        <v>3.0713810000000001</v>
      </c>
      <c r="T6402">
        <v>-0.1209084</v>
      </c>
      <c r="U6402">
        <v>1.5838620000000001E-2</v>
      </c>
      <c r="V6402">
        <v>3.4460780000000003E-2</v>
      </c>
      <c r="W6402">
        <v>0.18401239999999999</v>
      </c>
      <c r="X6402">
        <v>0.98231970000000002</v>
      </c>
      <c r="Y6402">
        <v>-5.5881629999999995E-4</v>
      </c>
      <c r="Z6402">
        <v>-1.7006000000000001E-4</v>
      </c>
      <c r="AA6402">
        <v>0.99999979999999999</v>
      </c>
      <c r="AB6402">
        <v>32</v>
      </c>
      <c r="AC6402">
        <v>27.988600000000002</v>
      </c>
      <c r="AD6402">
        <v>-1.1082627387635999</v>
      </c>
      <c r="AE6402">
        <v>0.14477000000000101</v>
      </c>
      <c r="AF6402">
        <v>-1.59652654863866E-2</v>
      </c>
      <c r="AG6402">
        <v>-1.1082627387635999</v>
      </c>
      <c r="AH6402">
        <v>27.945155322239099</v>
      </c>
      <c r="AI6402">
        <v>92.271073737674399</v>
      </c>
      <c r="AJ6402">
        <v>90.032733481746902</v>
      </c>
      <c r="AK6402">
        <v>27.967127259908299</v>
      </c>
      <c r="AL6402">
        <v>79.396441926382096</v>
      </c>
      <c r="AM6402">
        <v>87.990829384285604</v>
      </c>
      <c r="AN6402">
        <v>1.00000005086002</v>
      </c>
    </row>
    <row r="6403" spans="1:40" x14ac:dyDescent="0.25">
      <c r="A6403" t="str">
        <f>"20190312173051987"</f>
        <v>20190312173051987</v>
      </c>
      <c r="B6403" t="str">
        <f>"1552383051983717"</f>
        <v>1552383051983717</v>
      </c>
      <c r="C6403" t="s">
        <v>40</v>
      </c>
      <c r="D6403">
        <v>3.2277670000000001</v>
      </c>
      <c r="E6403">
        <v>0.48946040000000002</v>
      </c>
      <c r="F6403" t="s">
        <v>63</v>
      </c>
      <c r="G6403">
        <v>-219.8262</v>
      </c>
      <c r="H6403" s="1">
        <v>-3.6365799999999999E-6</v>
      </c>
      <c r="I6403">
        <v>-62.8247</v>
      </c>
      <c r="J6403">
        <v>-247.98830000000001</v>
      </c>
      <c r="K6403">
        <v>1.1083689999999999</v>
      </c>
      <c r="L6403">
        <v>-62.971589999999999</v>
      </c>
      <c r="M6403">
        <v>0.99996370000000001</v>
      </c>
      <c r="N6403">
        <v>0</v>
      </c>
      <c r="O6403">
        <v>4.2201740000000001E-3</v>
      </c>
      <c r="P6403">
        <v>0.98371580000000003</v>
      </c>
      <c r="Q6403">
        <v>0.17724760000000001</v>
      </c>
      <c r="R6403">
        <v>-2.9773230000000001E-2</v>
      </c>
      <c r="S6403">
        <v>3.0714419999999998</v>
      </c>
      <c r="T6403">
        <v>-0.1201005</v>
      </c>
      <c r="U6403">
        <v>1.596069E-2</v>
      </c>
      <c r="V6403">
        <v>3.4297139999999997E-2</v>
      </c>
      <c r="W6403">
        <v>0.1844539</v>
      </c>
      <c r="X6403">
        <v>0.98224259999999997</v>
      </c>
      <c r="Y6403">
        <v>-9.786116000000001E-4</v>
      </c>
      <c r="Z6403">
        <v>-1.458326E-4</v>
      </c>
      <c r="AA6403">
        <v>0.99999950000000004</v>
      </c>
      <c r="AB6403">
        <v>32</v>
      </c>
      <c r="AC6403">
        <v>28.162099999999999</v>
      </c>
      <c r="AD6403">
        <v>-1.10837263658</v>
      </c>
      <c r="AE6403">
        <v>0.14688999999999899</v>
      </c>
      <c r="AF6403">
        <v>-2.7993114574199399E-2</v>
      </c>
      <c r="AG6403">
        <v>-1.10837263658</v>
      </c>
      <c r="AH6403">
        <v>28.118915100073501</v>
      </c>
      <c r="AI6403">
        <v>92.25727711591</v>
      </c>
      <c r="AJ6403">
        <v>90.057039426484394</v>
      </c>
      <c r="AK6403">
        <v>28.140765091253702</v>
      </c>
      <c r="AL6403">
        <v>79.370705073116795</v>
      </c>
      <c r="AM6403">
        <v>88.000205509432305</v>
      </c>
      <c r="AN6403">
        <v>1.0000000301460701</v>
      </c>
    </row>
    <row r="6404" spans="1:40" x14ac:dyDescent="0.25">
      <c r="A6404" t="str">
        <f>"20190312173051997"</f>
        <v>20190312173051997</v>
      </c>
      <c r="B6404" t="str">
        <f>"1552383051993477"</f>
        <v>1552383051993477</v>
      </c>
      <c r="C6404" t="s">
        <v>40</v>
      </c>
      <c r="D6404">
        <v>3.2246199999999998</v>
      </c>
      <c r="E6404">
        <v>0.48943710000000001</v>
      </c>
      <c r="F6404" t="s">
        <v>63</v>
      </c>
      <c r="G6404">
        <v>-219.41679999999999</v>
      </c>
      <c r="H6404" s="1">
        <v>-3.4968740000000001E-6</v>
      </c>
      <c r="I6404">
        <v>-62.822499999999998</v>
      </c>
      <c r="J6404">
        <v>-247.8176</v>
      </c>
      <c r="K6404">
        <v>1.1084750000000001</v>
      </c>
      <c r="L6404">
        <v>-62.971130000000002</v>
      </c>
      <c r="M6404">
        <v>0.99996479999999999</v>
      </c>
      <c r="N6404">
        <v>0</v>
      </c>
      <c r="O6404">
        <v>3.9548450000000002E-3</v>
      </c>
      <c r="P6404">
        <v>0.98368560000000005</v>
      </c>
      <c r="Q6404">
        <v>0.17742359999999999</v>
      </c>
      <c r="R6404">
        <v>-2.9726720000000002E-2</v>
      </c>
      <c r="S6404">
        <v>3.071609</v>
      </c>
      <c r="T6404">
        <v>-0.11915679999999999</v>
      </c>
      <c r="U6404">
        <v>1.6021730000000001E-2</v>
      </c>
      <c r="V6404">
        <v>3.3942359999999998E-2</v>
      </c>
      <c r="W6404">
        <v>0.18464649999999999</v>
      </c>
      <c r="X6404">
        <v>0.9822187</v>
      </c>
      <c r="Y6404">
        <v>-1.2630829999999999E-3</v>
      </c>
      <c r="Z6404">
        <v>-1.28875E-4</v>
      </c>
      <c r="AA6404">
        <v>0.99999919999999998</v>
      </c>
      <c r="AB6404">
        <v>33</v>
      </c>
      <c r="AC6404">
        <v>28.4008</v>
      </c>
      <c r="AD6404">
        <v>-1.108478496874</v>
      </c>
      <c r="AE6404">
        <v>0.14863000000000401</v>
      </c>
      <c r="AF6404">
        <v>-3.6249781563933603E-2</v>
      </c>
      <c r="AG6404">
        <v>-1.108478496874</v>
      </c>
      <c r="AH6404">
        <v>28.357968404468799</v>
      </c>
      <c r="AI6404">
        <v>92.238480893119004</v>
      </c>
      <c r="AJ6404">
        <v>90.073240731881398</v>
      </c>
      <c r="AK6404">
        <v>28.379647824692</v>
      </c>
      <c r="AL6404">
        <v>79.359476656463301</v>
      </c>
      <c r="AM6404">
        <v>88.0208273331437</v>
      </c>
      <c r="AN6404">
        <v>0.99999999419715402</v>
      </c>
    </row>
    <row r="6405" spans="1:40" x14ac:dyDescent="0.25">
      <c r="A6405" t="str">
        <f>"20190312173052007"</f>
        <v>20190312173052007</v>
      </c>
      <c r="B6405" t="str">
        <f>"1552383052004215"</f>
        <v>1552383052004215</v>
      </c>
      <c r="C6405" t="s">
        <v>40</v>
      </c>
      <c r="D6405">
        <v>3.2104189999999999</v>
      </c>
      <c r="E6405">
        <v>0.48940869999999997</v>
      </c>
      <c r="F6405" t="s">
        <v>63</v>
      </c>
      <c r="G6405">
        <v>-219.16220000000001</v>
      </c>
      <c r="H6405" s="1">
        <v>-3.4090840000000001E-6</v>
      </c>
      <c r="I6405">
        <v>-62.815910000000002</v>
      </c>
      <c r="J6405">
        <v>-247.68170000000001</v>
      </c>
      <c r="K6405">
        <v>1.10856</v>
      </c>
      <c r="L6405">
        <v>-62.970790000000001</v>
      </c>
      <c r="M6405">
        <v>0.9999654</v>
      </c>
      <c r="N6405">
        <v>0</v>
      </c>
      <c r="O6405">
        <v>3.7829550000000002E-3</v>
      </c>
      <c r="P6405">
        <v>0.9837304</v>
      </c>
      <c r="Q6405">
        <v>0.1772069</v>
      </c>
      <c r="R6405">
        <v>-2.9542889999999999E-2</v>
      </c>
      <c r="S6405">
        <v>3.0716860000000001</v>
      </c>
      <c r="T6405">
        <v>-0.11882230000000001</v>
      </c>
      <c r="U6405">
        <v>1.663208E-2</v>
      </c>
      <c r="V6405">
        <v>3.3551190000000002E-2</v>
      </c>
      <c r="W6405">
        <v>0.18444450000000001</v>
      </c>
      <c r="X6405">
        <v>0.98227010000000003</v>
      </c>
      <c r="Y6405">
        <v>-1.6331290000000001E-3</v>
      </c>
      <c r="Z6405">
        <v>-1.147088E-4</v>
      </c>
      <c r="AA6405">
        <v>0.99999870000000002</v>
      </c>
      <c r="AB6405">
        <v>33</v>
      </c>
      <c r="AC6405">
        <v>28.519499999999901</v>
      </c>
      <c r="AD6405">
        <v>-1.108563409084</v>
      </c>
      <c r="AE6405">
        <v>0.15488000000000501</v>
      </c>
      <c r="AF6405">
        <v>-4.6917060437691602E-2</v>
      </c>
      <c r="AG6405">
        <v>-1.108563409084</v>
      </c>
      <c r="AH6405">
        <v>28.4768572728597</v>
      </c>
      <c r="AI6405">
        <v>92.229314223703796</v>
      </c>
      <c r="AJ6405">
        <v>90.0943976047718</v>
      </c>
      <c r="AK6405">
        <v>28.498465119745401</v>
      </c>
      <c r="AL6405">
        <v>79.371252759955397</v>
      </c>
      <c r="AM6405">
        <v>88.043720848451898</v>
      </c>
      <c r="AN6405">
        <v>1.0000000026423299</v>
      </c>
    </row>
    <row r="6406" spans="1:40" x14ac:dyDescent="0.25">
      <c r="A6406" t="str">
        <f>"20190312173052018"</f>
        <v>20190312173052018</v>
      </c>
      <c r="B6406" t="str">
        <f>"1552383052013973"</f>
        <v>1552383052013973</v>
      </c>
      <c r="C6406" t="s">
        <v>40</v>
      </c>
      <c r="D6406">
        <v>3.2471019999999999</v>
      </c>
      <c r="E6406">
        <v>0.48940289999999997</v>
      </c>
      <c r="F6406" t="s">
        <v>63</v>
      </c>
      <c r="G6406">
        <v>-219.23009999999999</v>
      </c>
      <c r="H6406" s="1">
        <v>-3.4311699999999901E-6</v>
      </c>
      <c r="I6406">
        <v>-62.810180000000003</v>
      </c>
      <c r="J6406">
        <v>-247.51089999999999</v>
      </c>
      <c r="K6406">
        <v>1.108663</v>
      </c>
      <c r="L6406">
        <v>-62.970309999999998</v>
      </c>
      <c r="M6406">
        <v>0.99996600000000002</v>
      </c>
      <c r="N6406">
        <v>0</v>
      </c>
      <c r="O6406">
        <v>3.6342739999999998E-3</v>
      </c>
      <c r="P6406">
        <v>0.98375230000000002</v>
      </c>
      <c r="Q6406">
        <v>0.177127799999999</v>
      </c>
      <c r="R6406">
        <v>-2.9284279999999999E-2</v>
      </c>
      <c r="S6406">
        <v>3.0717159999999999</v>
      </c>
      <c r="T6406">
        <v>-0.1196835</v>
      </c>
      <c r="U6406">
        <v>1.7333979999999999E-2</v>
      </c>
      <c r="V6406">
        <v>3.3098629999999997E-2</v>
      </c>
      <c r="W6406">
        <v>0.18438460000000001</v>
      </c>
      <c r="X6406">
        <v>0.98229670000000002</v>
      </c>
      <c r="Y6406">
        <v>-2.009884E-3</v>
      </c>
      <c r="Z6406">
        <v>-1.024105E-4</v>
      </c>
      <c r="AA6406">
        <v>0.99999800000000005</v>
      </c>
      <c r="AB6406">
        <v>33</v>
      </c>
      <c r="AC6406">
        <v>28.280799999999999</v>
      </c>
      <c r="AD6406">
        <v>-1.1086664311700001</v>
      </c>
      <c r="AE6406">
        <v>0.160129999999995</v>
      </c>
      <c r="AF6406">
        <v>-5.7257959054484699E-2</v>
      </c>
      <c r="AG6406">
        <v>-1.1086664311700001</v>
      </c>
      <c r="AH6406">
        <v>28.2378006287333</v>
      </c>
      <c r="AI6406">
        <v>92.248375097761297</v>
      </c>
      <c r="AJ6406">
        <v>90.116178839290001</v>
      </c>
      <c r="AK6406">
        <v>28.2596143653371</v>
      </c>
      <c r="AL6406">
        <v>79.374744676874798</v>
      </c>
      <c r="AM6406">
        <v>88.070140528789594</v>
      </c>
      <c r="AN6406">
        <v>1.0000000034279599</v>
      </c>
    </row>
    <row r="6407" spans="1:40" x14ac:dyDescent="0.25">
      <c r="A6407" t="str">
        <f>"20190312173052030"</f>
        <v>20190312173052030</v>
      </c>
      <c r="B6407" t="str">
        <f>"1552383052023733"</f>
        <v>1552383052023733</v>
      </c>
      <c r="C6407" t="s">
        <v>40</v>
      </c>
      <c r="D6407">
        <v>3.3455780000000002</v>
      </c>
      <c r="E6407">
        <v>0.48940250000000002</v>
      </c>
      <c r="F6407" t="s">
        <v>63</v>
      </c>
      <c r="G6407">
        <v>-219.19540000000001</v>
      </c>
      <c r="H6407" s="1">
        <v>-3.4181560000000002E-6</v>
      </c>
      <c r="I6407">
        <v>-62.803420000000003</v>
      </c>
      <c r="J6407">
        <v>-247.34379999999999</v>
      </c>
      <c r="K6407">
        <v>1.1087689999999999</v>
      </c>
      <c r="L6407">
        <v>-62.969790000000003</v>
      </c>
      <c r="M6407">
        <v>0.99996600000000002</v>
      </c>
      <c r="N6407">
        <v>0</v>
      </c>
      <c r="O6407">
        <v>3.5656659999999999E-3</v>
      </c>
      <c r="P6407">
        <v>0.98375900000000005</v>
      </c>
      <c r="Q6407">
        <v>0.1771064</v>
      </c>
      <c r="R6407">
        <v>-2.9185059999999999E-2</v>
      </c>
      <c r="S6407">
        <v>3.0717159999999999</v>
      </c>
      <c r="T6407">
        <v>-0.12027</v>
      </c>
      <c r="U6407">
        <v>1.8096919999999999E-2</v>
      </c>
      <c r="V6407">
        <v>3.288427E-2</v>
      </c>
      <c r="W6407">
        <v>0.1843813</v>
      </c>
      <c r="X6407">
        <v>0.98230450000000002</v>
      </c>
      <c r="Y6407">
        <v>-2.3265769999999998E-3</v>
      </c>
      <c r="Z6407" s="1">
        <v>-9.4029150000000001E-5</v>
      </c>
      <c r="AA6407">
        <v>0.99999729999999998</v>
      </c>
      <c r="AB6407">
        <v>33</v>
      </c>
      <c r="AC6407">
        <v>28.148399999999899</v>
      </c>
      <c r="AD6407">
        <v>-1.1087724181559999</v>
      </c>
      <c r="AE6407">
        <v>0.16637000000000701</v>
      </c>
      <c r="AF6407">
        <v>-6.5896134653883595E-2</v>
      </c>
      <c r="AG6407">
        <v>-1.1087724181559999</v>
      </c>
      <c r="AH6407">
        <v>28.105208007422998</v>
      </c>
      <c r="AI6407">
        <v>92.259185515597494</v>
      </c>
      <c r="AJ6407">
        <v>90.134336792045403</v>
      </c>
      <c r="AK6407">
        <v>28.127147664069</v>
      </c>
      <c r="AL6407">
        <v>79.374936851745602</v>
      </c>
      <c r="AM6407">
        <v>88.082644926686598</v>
      </c>
      <c r="AN6407">
        <v>0.99999998486168595</v>
      </c>
    </row>
    <row r="6408" spans="1:40" x14ac:dyDescent="0.25">
      <c r="A6408" t="str">
        <f>"20190312173052041"</f>
        <v>20190312173052041</v>
      </c>
      <c r="B6408" t="str">
        <f>"1552383052033852"</f>
        <v>1552383052033852</v>
      </c>
      <c r="C6408" t="s">
        <v>40</v>
      </c>
      <c r="D6408">
        <v>3.220888</v>
      </c>
      <c r="E6408">
        <v>0.48938120000000002</v>
      </c>
      <c r="F6408" t="s">
        <v>63</v>
      </c>
      <c r="G6408">
        <v>-219.11019999999999</v>
      </c>
      <c r="H6408" s="1">
        <v>-3.3890029999999999E-6</v>
      </c>
      <c r="I6408">
        <v>-62.802549999999997</v>
      </c>
      <c r="J6408">
        <v>-247.18109999999999</v>
      </c>
      <c r="K6408">
        <v>1.10887</v>
      </c>
      <c r="L6408">
        <v>-62.969270000000002</v>
      </c>
      <c r="M6408">
        <v>0.99996609999999997</v>
      </c>
      <c r="N6408">
        <v>0</v>
      </c>
      <c r="O6408">
        <v>3.5456469999999999E-3</v>
      </c>
      <c r="P6408">
        <v>0.98380789999999996</v>
      </c>
      <c r="Q6408">
        <v>0.176862299999999</v>
      </c>
      <c r="R6408">
        <v>-2.9013609999999999E-2</v>
      </c>
      <c r="S6408">
        <v>3.071777</v>
      </c>
      <c r="T6408">
        <v>-0.120633</v>
      </c>
      <c r="U6408">
        <v>1.818848E-2</v>
      </c>
      <c r="V6408">
        <v>3.2646439999999999E-2</v>
      </c>
      <c r="W6408">
        <v>0.18415629999999999</v>
      </c>
      <c r="X6408">
        <v>0.98235459999999997</v>
      </c>
      <c r="Y6408">
        <v>-2.376235E-3</v>
      </c>
      <c r="Z6408" s="1">
        <v>-9.2550250000000004E-5</v>
      </c>
      <c r="AA6408">
        <v>0.99999720000000003</v>
      </c>
      <c r="AB6408">
        <v>33</v>
      </c>
      <c r="AC6408">
        <v>28.070899999999899</v>
      </c>
      <c r="AD6408">
        <v>-1.108873389003</v>
      </c>
      <c r="AE6408">
        <v>0.16671999999999701</v>
      </c>
      <c r="AF6408">
        <v>-6.7082026322420496E-2</v>
      </c>
      <c r="AG6408">
        <v>-1.108873389003</v>
      </c>
      <c r="AH6408">
        <v>28.027580452769701</v>
      </c>
      <c r="AI6408">
        <v>92.265642062446005</v>
      </c>
      <c r="AJ6408">
        <v>90.137133123451804</v>
      </c>
      <c r="AK6408">
        <v>28.049587630258898</v>
      </c>
      <c r="AL6408">
        <v>79.388052593127895</v>
      </c>
      <c r="AM6408">
        <v>88.096598646047894</v>
      </c>
      <c r="AN6408">
        <v>0.99999994650776003</v>
      </c>
    </row>
    <row r="6409" spans="1:40" x14ac:dyDescent="0.25">
      <c r="A6409" t="str">
        <f>"20190312173052052"</f>
        <v>20190312173052052</v>
      </c>
      <c r="B6409" t="str">
        <f>"1552383052043612"</f>
        <v>1552383052043612</v>
      </c>
      <c r="C6409" t="s">
        <v>40</v>
      </c>
      <c r="D6409">
        <v>3.2492230000000002</v>
      </c>
      <c r="E6409">
        <v>0.48938189999999998</v>
      </c>
      <c r="F6409" t="s">
        <v>63</v>
      </c>
      <c r="G6409">
        <v>-219.14169999999999</v>
      </c>
      <c r="H6409" s="1">
        <v>-3.3989059999999999E-6</v>
      </c>
      <c r="I6409">
        <v>-62.797890000000002</v>
      </c>
      <c r="J6409">
        <v>-247.02440000000001</v>
      </c>
      <c r="K6409">
        <v>1.108973</v>
      </c>
      <c r="L6409">
        <v>-62.968719999999998</v>
      </c>
      <c r="M6409">
        <v>0.99996569999999996</v>
      </c>
      <c r="N6409">
        <v>0</v>
      </c>
      <c r="O6409">
        <v>3.6259030000000002E-3</v>
      </c>
      <c r="P6409">
        <v>0.98380540000000005</v>
      </c>
      <c r="Q6409">
        <v>0.17694489999999999</v>
      </c>
      <c r="R6409">
        <v>-2.8586960000000002E-2</v>
      </c>
      <c r="S6409">
        <v>3.071777</v>
      </c>
      <c r="T6409">
        <v>-0.12147959999999999</v>
      </c>
      <c r="U6409">
        <v>1.876831E-2</v>
      </c>
      <c r="V6409">
        <v>3.2252280000000001E-2</v>
      </c>
      <c r="W6409">
        <v>0.18425610000000001</v>
      </c>
      <c r="X6409">
        <v>0.98234900000000003</v>
      </c>
      <c r="Y6409">
        <v>-2.4847200000000002E-3</v>
      </c>
      <c r="Z6409" s="1">
        <v>-9.4227669999999997E-5</v>
      </c>
      <c r="AA6409">
        <v>0.99999689999999997</v>
      </c>
      <c r="AB6409">
        <v>33</v>
      </c>
      <c r="AC6409">
        <v>27.8827</v>
      </c>
      <c r="AD6409">
        <v>-1.108976398906</v>
      </c>
      <c r="AE6409">
        <v>0.17082999999999501</v>
      </c>
      <c r="AF6409">
        <v>-6.96159878282855E-2</v>
      </c>
      <c r="AG6409">
        <v>-1.108976398906</v>
      </c>
      <c r="AH6409">
        <v>27.839099524335499</v>
      </c>
      <c r="AI6409">
        <v>92.281176214570806</v>
      </c>
      <c r="AJ6409">
        <v>90.143276687939803</v>
      </c>
      <c r="AK6409">
        <v>27.861265896670002</v>
      </c>
      <c r="AL6409">
        <v>79.382235911918002</v>
      </c>
      <c r="AM6409">
        <v>88.119552237704198</v>
      </c>
      <c r="AN6409">
        <v>1.0000000388767001</v>
      </c>
    </row>
    <row r="6410" spans="1:40" x14ac:dyDescent="0.25">
      <c r="A6410" t="str">
        <f>"20190312173052063"</f>
        <v>20190312173052063</v>
      </c>
      <c r="B6410" t="str">
        <f>"1552383052054348"</f>
        <v>1552383052054348</v>
      </c>
      <c r="C6410" t="s">
        <v>40</v>
      </c>
      <c r="D6410">
        <v>3.2380260000000001</v>
      </c>
      <c r="E6410">
        <v>0.48937360000000002</v>
      </c>
      <c r="F6410" t="s">
        <v>63</v>
      </c>
      <c r="G6410">
        <v>-218.9667</v>
      </c>
      <c r="H6410" s="1">
        <v>-3.3367909999999999E-6</v>
      </c>
      <c r="I6410">
        <v>-62.783569999999997</v>
      </c>
      <c r="J6410">
        <v>-246.86080000000001</v>
      </c>
      <c r="K6410">
        <v>1.109081</v>
      </c>
      <c r="L6410">
        <v>-62.96808</v>
      </c>
      <c r="M6410">
        <v>0.99996529999999995</v>
      </c>
      <c r="N6410">
        <v>0</v>
      </c>
      <c r="O6410">
        <v>3.7321070000000001E-3</v>
      </c>
      <c r="P6410">
        <v>0.98382939999999997</v>
      </c>
      <c r="Q6410">
        <v>0.1768701</v>
      </c>
      <c r="R6410">
        <v>-2.8230399999999999E-2</v>
      </c>
      <c r="S6410">
        <v>3.0718079999999999</v>
      </c>
      <c r="T6410">
        <v>-0.1214123</v>
      </c>
      <c r="U6410">
        <v>2.0263670000000001E-2</v>
      </c>
      <c r="V6410">
        <v>3.1951220000000002E-2</v>
      </c>
      <c r="W6410">
        <v>0.18420030000000001</v>
      </c>
      <c r="X6410">
        <v>0.98236920000000005</v>
      </c>
      <c r="Y6410">
        <v>-2.8650189999999999E-3</v>
      </c>
      <c r="Z6410" s="1">
        <v>-9.0857810000000003E-5</v>
      </c>
      <c r="AA6410">
        <v>0.99999590000000005</v>
      </c>
      <c r="AB6410">
        <v>33</v>
      </c>
      <c r="AC6410">
        <v>27.894100000000002</v>
      </c>
      <c r="AD6410">
        <v>-1.1090843367909999</v>
      </c>
      <c r="AE6410">
        <v>0.18451000000001</v>
      </c>
      <c r="AF6410">
        <v>-8.0275160164153703E-2</v>
      </c>
      <c r="AG6410">
        <v>-1.1090843367909999</v>
      </c>
      <c r="AH6410">
        <v>27.850567316195999</v>
      </c>
      <c r="AI6410">
        <v>92.280457269116198</v>
      </c>
      <c r="AJ6410">
        <v>90.1651461920938</v>
      </c>
      <c r="AK6410">
        <v>27.8727575241744</v>
      </c>
      <c r="AL6410">
        <v>79.385487609809203</v>
      </c>
      <c r="AM6410">
        <v>88.137131193684496</v>
      </c>
      <c r="AN6410">
        <v>0.99999993804410703</v>
      </c>
    </row>
    <row r="6411" spans="1:40" x14ac:dyDescent="0.25">
      <c r="A6411" t="str">
        <f>"20190312173052073"</f>
        <v>20190312173052073</v>
      </c>
      <c r="B6411" t="str">
        <f>"1552383052064108"</f>
        <v>1552383052064108</v>
      </c>
      <c r="C6411" t="s">
        <v>40</v>
      </c>
      <c r="D6411">
        <v>3.247312</v>
      </c>
      <c r="E6411">
        <v>0.48937000000000003</v>
      </c>
      <c r="F6411" t="s">
        <v>63</v>
      </c>
      <c r="G6411">
        <v>-218.90260000000001</v>
      </c>
      <c r="H6411" s="1">
        <v>-3.3125960000000002E-6</v>
      </c>
      <c r="I6411">
        <v>-62.769979999999997</v>
      </c>
      <c r="J6411">
        <v>-246.70169999999999</v>
      </c>
      <c r="K6411">
        <v>1.109191</v>
      </c>
      <c r="L6411">
        <v>-62.967289999999998</v>
      </c>
      <c r="M6411">
        <v>0.99996430000000003</v>
      </c>
      <c r="N6411">
        <v>0</v>
      </c>
      <c r="O6411">
        <v>3.9588699999999998E-3</v>
      </c>
      <c r="P6411">
        <v>0.98384609999999995</v>
      </c>
      <c r="Q6411">
        <v>0.1768467</v>
      </c>
      <c r="R6411">
        <v>-2.779483E-2</v>
      </c>
      <c r="S6411">
        <v>3.0718380000000001</v>
      </c>
      <c r="T6411">
        <v>-0.12185799999999999</v>
      </c>
      <c r="U6411">
        <v>2.1759029999999999E-2</v>
      </c>
      <c r="V6411">
        <v>3.1689210000000002E-2</v>
      </c>
      <c r="W6411">
        <v>0.18419469999999999</v>
      </c>
      <c r="X6411">
        <v>0.9823788</v>
      </c>
      <c r="Y6411">
        <v>-3.1249329999999999E-3</v>
      </c>
      <c r="Z6411" s="1">
        <v>-9.5028870000000006E-5</v>
      </c>
      <c r="AA6411">
        <v>0.99999510000000003</v>
      </c>
      <c r="AB6411">
        <v>33</v>
      </c>
      <c r="AC6411">
        <v>27.7990999999999</v>
      </c>
      <c r="AD6411">
        <v>-1.109194312596</v>
      </c>
      <c r="AE6411">
        <v>0.19731000000000101</v>
      </c>
      <c r="AF6411">
        <v>-8.7113682741720794E-2</v>
      </c>
      <c r="AG6411">
        <v>-1.109194312596</v>
      </c>
      <c r="AH6411">
        <v>27.755477704019199</v>
      </c>
      <c r="AI6411">
        <v>92.2884866681962</v>
      </c>
      <c r="AJ6411">
        <v>90.179828645821303</v>
      </c>
      <c r="AK6411">
        <v>27.777768869999601</v>
      </c>
      <c r="AL6411">
        <v>79.385814718325506</v>
      </c>
      <c r="AM6411">
        <v>88.152414711867195</v>
      </c>
      <c r="AN6411">
        <v>1.0000000001139699</v>
      </c>
    </row>
    <row r="6412" spans="1:40" x14ac:dyDescent="0.25">
      <c r="A6412" t="str">
        <f>"20190312173052084"</f>
        <v>20190312173052084</v>
      </c>
      <c r="B6412" t="str">
        <f>"1552383052073868"</f>
        <v>1552383052073868</v>
      </c>
      <c r="C6412" t="s">
        <v>40</v>
      </c>
      <c r="D6412">
        <v>3.256634</v>
      </c>
      <c r="E6412">
        <v>0.48936499999999999</v>
      </c>
      <c r="F6412" t="s">
        <v>63</v>
      </c>
      <c r="G6412">
        <v>-218.80770000000001</v>
      </c>
      <c r="H6412" s="1">
        <v>-3.2779610000000002E-6</v>
      </c>
      <c r="I6412">
        <v>-62.756889999999999</v>
      </c>
      <c r="J6412">
        <v>-246.5411</v>
      </c>
      <c r="K6412">
        <v>1.109302</v>
      </c>
      <c r="L6412">
        <v>-62.966520000000003</v>
      </c>
      <c r="M6412">
        <v>0.99996309999999999</v>
      </c>
      <c r="N6412">
        <v>0</v>
      </c>
      <c r="O6412">
        <v>4.2068299999999999E-3</v>
      </c>
      <c r="P6412">
        <v>0.98380610000000002</v>
      </c>
      <c r="Q6412">
        <v>0.17717769999999999</v>
      </c>
      <c r="R6412">
        <v>-2.7083719999999999E-2</v>
      </c>
      <c r="S6412">
        <v>3.071869</v>
      </c>
      <c r="T6412">
        <v>-0.1221517</v>
      </c>
      <c r="U6412">
        <v>2.3162840000000001E-2</v>
      </c>
      <c r="V6412">
        <v>3.11717E-2</v>
      </c>
      <c r="W6412">
        <v>0.18454429999999999</v>
      </c>
      <c r="X6412">
        <v>0.98232969999999997</v>
      </c>
      <c r="Y6412">
        <v>-3.3338899999999999E-3</v>
      </c>
      <c r="Z6412">
        <v>-1.009599E-4</v>
      </c>
      <c r="AA6412">
        <v>0.99999450000000001</v>
      </c>
      <c r="AB6412">
        <v>33</v>
      </c>
      <c r="AC6412">
        <v>27.7333999999999</v>
      </c>
      <c r="AD6412">
        <v>-1.109305277961</v>
      </c>
      <c r="AE6412">
        <v>0.20962999999998999</v>
      </c>
      <c r="AF6412">
        <v>-9.2806699005990506E-2</v>
      </c>
      <c r="AG6412">
        <v>-1.109305277961</v>
      </c>
      <c r="AH6412">
        <v>27.689737887093099</v>
      </c>
      <c r="AI6412">
        <v>92.2941417570119</v>
      </c>
      <c r="AJ6412">
        <v>90.192035485276406</v>
      </c>
      <c r="AK6412">
        <v>27.712104855802899</v>
      </c>
      <c r="AL6412">
        <v>79.365434270801302</v>
      </c>
      <c r="AM6412">
        <v>88.182476065813105</v>
      </c>
      <c r="AN6412">
        <v>0.99999995652273399</v>
      </c>
    </row>
    <row r="6413" spans="1:40" x14ac:dyDescent="0.25">
      <c r="A6413" t="str">
        <f>"20190312173052096"</f>
        <v>20190312173052096</v>
      </c>
      <c r="B6413" t="str">
        <f>"1552383052083627"</f>
        <v>1552383052083627</v>
      </c>
      <c r="C6413" t="s">
        <v>40</v>
      </c>
      <c r="D6413">
        <v>3.2437749999999999</v>
      </c>
      <c r="E6413">
        <v>0.48936039999999997</v>
      </c>
      <c r="F6413" t="s">
        <v>63</v>
      </c>
      <c r="G6413">
        <v>-218.46379999999999</v>
      </c>
      <c r="H6413" s="1">
        <v>-3.157E-6</v>
      </c>
      <c r="I6413">
        <v>-62.734670000000001</v>
      </c>
      <c r="J6413">
        <v>-246.3768</v>
      </c>
      <c r="K6413">
        <v>1.1094170000000001</v>
      </c>
      <c r="L6413">
        <v>-62.965580000000003</v>
      </c>
      <c r="M6413">
        <v>0.99996160000000001</v>
      </c>
      <c r="N6413">
        <v>0</v>
      </c>
      <c r="O6413">
        <v>4.563564E-3</v>
      </c>
      <c r="P6413">
        <v>0.98380919999999905</v>
      </c>
      <c r="Q6413">
        <v>0.17730650000000001</v>
      </c>
      <c r="R6413">
        <v>-2.6115119999999999E-2</v>
      </c>
      <c r="S6413">
        <v>3.07193</v>
      </c>
      <c r="T6413">
        <v>-0.1213689</v>
      </c>
      <c r="U6413">
        <v>2.5360110000000002E-2</v>
      </c>
      <c r="V6413">
        <v>3.0502109999999999E-2</v>
      </c>
      <c r="W6413">
        <v>0.18469099999999999</v>
      </c>
      <c r="X6413">
        <v>0.98232319999999995</v>
      </c>
      <c r="Y6413">
        <v>-3.6922069999999999E-3</v>
      </c>
      <c r="Z6413">
        <v>-1.073242E-4</v>
      </c>
      <c r="AA6413">
        <v>0.99999320000000003</v>
      </c>
      <c r="AB6413">
        <v>33</v>
      </c>
      <c r="AC6413">
        <v>27.913</v>
      </c>
      <c r="AD6413">
        <v>-1.109420157</v>
      </c>
      <c r="AE6413">
        <v>0.230910000000008</v>
      </c>
      <c r="AF6413">
        <v>-0.103358003192211</v>
      </c>
      <c r="AG6413">
        <v>-1.109420157</v>
      </c>
      <c r="AH6413">
        <v>27.869739857570199</v>
      </c>
      <c r="AI6413">
        <v>92.2795732176141</v>
      </c>
      <c r="AJ6413">
        <v>90.212486741620907</v>
      </c>
      <c r="AK6413">
        <v>27.892004153345098</v>
      </c>
      <c r="AL6413">
        <v>79.356882509652706</v>
      </c>
      <c r="AM6413">
        <v>88.221480646433307</v>
      </c>
      <c r="AN6413">
        <v>1.00000000672684</v>
      </c>
    </row>
    <row r="6414" spans="1:40" x14ac:dyDescent="0.25">
      <c r="A6414" t="str">
        <f>"20190312173052108"</f>
        <v>20190312173052108</v>
      </c>
      <c r="B6414" t="str">
        <f>"1552383052104123"</f>
        <v>1552383052104123</v>
      </c>
      <c r="C6414" t="s">
        <v>40</v>
      </c>
      <c r="D6414">
        <v>3.2459289999999998</v>
      </c>
      <c r="E6414">
        <v>0.48932389999999998</v>
      </c>
      <c r="F6414" t="s">
        <v>63</v>
      </c>
      <c r="G6414">
        <v>-218.2568</v>
      </c>
      <c r="H6414" s="1">
        <v>-3.0812210000000002E-6</v>
      </c>
      <c r="I6414">
        <v>-62.704599999999999</v>
      </c>
      <c r="J6414">
        <v>-246.20480000000001</v>
      </c>
      <c r="K6414">
        <v>1.1095379999999999</v>
      </c>
      <c r="L6414">
        <v>-62.964480000000002</v>
      </c>
      <c r="M6414">
        <v>0.99995940000000005</v>
      </c>
      <c r="N6414">
        <v>0</v>
      </c>
      <c r="O6414">
        <v>4.9783960000000004E-3</v>
      </c>
      <c r="P6414">
        <v>0.98380140000000005</v>
      </c>
      <c r="Q6414">
        <v>0.17748630000000001</v>
      </c>
      <c r="R6414">
        <v>-2.5167289999999998E-2</v>
      </c>
      <c r="S6414">
        <v>3.0719599999999998</v>
      </c>
      <c r="T6414">
        <v>-0.1211984</v>
      </c>
      <c r="U6414">
        <v>2.8503420000000002E-2</v>
      </c>
      <c r="V6414">
        <v>2.9909060000000001E-2</v>
      </c>
      <c r="W6414">
        <v>0.1848902</v>
      </c>
      <c r="X6414">
        <v>0.98230399999999995</v>
      </c>
      <c r="Y6414">
        <v>-4.300267E-3</v>
      </c>
      <c r="Z6414">
        <v>-1.115418E-4</v>
      </c>
      <c r="AA6414">
        <v>0.99999079999999996</v>
      </c>
      <c r="AB6414">
        <v>33</v>
      </c>
      <c r="AC6414">
        <v>27.948</v>
      </c>
      <c r="AD6414">
        <v>-1.10954108122099</v>
      </c>
      <c r="AE6414">
        <v>0.259880000000002</v>
      </c>
      <c r="AF6414">
        <v>-0.120546665281723</v>
      </c>
      <c r="AG6414">
        <v>-1.10954108122099</v>
      </c>
      <c r="AH6414">
        <v>27.904970086477501</v>
      </c>
      <c r="AI6414">
        <v>92.276940582435898</v>
      </c>
      <c r="AJ6414">
        <v>90.247510467496596</v>
      </c>
      <c r="AK6414">
        <v>27.927280004265199</v>
      </c>
      <c r="AL6414">
        <v>79.345269577628898</v>
      </c>
      <c r="AM6414">
        <v>88.2560046194276</v>
      </c>
      <c r="AN6414">
        <v>1.0000000431710601</v>
      </c>
    </row>
    <row r="6415" spans="1:40" x14ac:dyDescent="0.25">
      <c r="A6415" t="str">
        <f>"20190312173052117"</f>
        <v>20190312173052117</v>
      </c>
      <c r="B6415" t="str">
        <f>"1552383052113887"</f>
        <v>1552383052113887</v>
      </c>
      <c r="C6415" t="s">
        <v>40</v>
      </c>
      <c r="D6415">
        <v>3.256221</v>
      </c>
      <c r="E6415">
        <v>0.48931809999999998</v>
      </c>
      <c r="F6415" t="s">
        <v>63</v>
      </c>
      <c r="G6415">
        <v>-218.01349999999999</v>
      </c>
      <c r="H6415" s="1">
        <v>-2.9929420000000001E-6</v>
      </c>
      <c r="I6415">
        <v>-62.67371</v>
      </c>
      <c r="J6415">
        <v>-246.0446</v>
      </c>
      <c r="K6415">
        <v>1.1096459999999999</v>
      </c>
      <c r="L6415">
        <v>-62.963349999999998</v>
      </c>
      <c r="M6415">
        <v>0.99995710000000004</v>
      </c>
      <c r="N6415">
        <v>0</v>
      </c>
      <c r="O6415">
        <v>5.4273109999999998E-3</v>
      </c>
      <c r="P6415">
        <v>0.98377539999999997</v>
      </c>
      <c r="Q6415">
        <v>0.17775850000000001</v>
      </c>
      <c r="R6415">
        <v>-2.4247609999999999E-2</v>
      </c>
      <c r="S6415">
        <v>3.0720209999999999</v>
      </c>
      <c r="T6415">
        <v>-0.1209071</v>
      </c>
      <c r="U6415">
        <v>3.1677249999999997E-2</v>
      </c>
      <c r="V6415">
        <v>2.9382729999999999E-2</v>
      </c>
      <c r="W6415">
        <v>0.18517839999999999</v>
      </c>
      <c r="X6415">
        <v>0.98226550000000001</v>
      </c>
      <c r="Y6415">
        <v>-4.8840769999999997E-3</v>
      </c>
      <c r="Z6415">
        <v>-1.17448E-4</v>
      </c>
      <c r="AA6415">
        <v>0.99998810000000005</v>
      </c>
      <c r="AB6415">
        <v>33</v>
      </c>
      <c r="AC6415">
        <v>28.031099999999999</v>
      </c>
      <c r="AD6415">
        <v>-1.1096489929419999</v>
      </c>
      <c r="AE6415">
        <v>0.28963999999999801</v>
      </c>
      <c r="AF6415">
        <v>-0.13728284048589001</v>
      </c>
      <c r="AG6415">
        <v>-1.1096489929419999</v>
      </c>
      <c r="AH6415">
        <v>27.988403781416</v>
      </c>
      <c r="AI6415">
        <v>92.270374552944304</v>
      </c>
      <c r="AJ6415">
        <v>90.281032971420203</v>
      </c>
      <c r="AK6415">
        <v>28.0107285463518</v>
      </c>
      <c r="AL6415">
        <v>79.328465763702795</v>
      </c>
      <c r="AM6415">
        <v>88.286609318434401</v>
      </c>
      <c r="AN6415">
        <v>0.99999994856953001</v>
      </c>
    </row>
    <row r="6416" spans="1:40" x14ac:dyDescent="0.25">
      <c r="A6416" t="str">
        <f>"20190312173052130"</f>
        <v>20190312173052130</v>
      </c>
      <c r="B6416" t="str">
        <f>"1552383052123647"</f>
        <v>1552383052123647</v>
      </c>
      <c r="C6416" t="s">
        <v>40</v>
      </c>
      <c r="D6416">
        <v>3.2496740000000002</v>
      </c>
      <c r="E6416">
        <v>0.48931409999999997</v>
      </c>
      <c r="F6416" t="s">
        <v>63</v>
      </c>
      <c r="G6416">
        <v>-217.72069999999999</v>
      </c>
      <c r="H6416" s="1">
        <v>-2.883399E-6</v>
      </c>
      <c r="I6416">
        <v>-62.647030000000001</v>
      </c>
      <c r="J6416">
        <v>-245.8723</v>
      </c>
      <c r="K6416">
        <v>1.1097549999999901</v>
      </c>
      <c r="L6416">
        <v>-62.961939999999998</v>
      </c>
      <c r="M6416">
        <v>0.99995400000000001</v>
      </c>
      <c r="N6416">
        <v>0</v>
      </c>
      <c r="O6416">
        <v>5.9675179999999998E-3</v>
      </c>
      <c r="P6416">
        <v>0.98369459999999997</v>
      </c>
      <c r="Q6416">
        <v>0.17834320000000001</v>
      </c>
      <c r="R6416">
        <v>-2.322055E-2</v>
      </c>
      <c r="S6416">
        <v>3.0720670000000001</v>
      </c>
      <c r="T6416">
        <v>-0.1203544</v>
      </c>
      <c r="U6416">
        <v>3.4301760000000001E-2</v>
      </c>
      <c r="V6416">
        <v>2.8837040000000001E-2</v>
      </c>
      <c r="W6416">
        <v>0.18578</v>
      </c>
      <c r="X6416">
        <v>0.98216809999999999</v>
      </c>
      <c r="Y6416">
        <v>-5.1980739999999996E-3</v>
      </c>
      <c r="Z6416">
        <v>-1.3191599999999999E-4</v>
      </c>
      <c r="AA6416">
        <v>0.9999865</v>
      </c>
      <c r="AB6416">
        <v>33</v>
      </c>
      <c r="AC6416">
        <v>28.151599999999998</v>
      </c>
      <c r="AD6416">
        <v>-1.1097578833989901</v>
      </c>
      <c r="AE6416">
        <v>0.31490999999999703</v>
      </c>
      <c r="AF6416">
        <v>-0.14667656969044901</v>
      </c>
      <c r="AG6416">
        <v>-1.1097578833989901</v>
      </c>
      <c r="AH6416">
        <v>28.109301675407401</v>
      </c>
      <c r="AI6416">
        <v>92.260837868626993</v>
      </c>
      <c r="AJ6416">
        <v>90.298971216709106</v>
      </c>
      <c r="AK6416">
        <v>28.131582203191599</v>
      </c>
      <c r="AL6416">
        <v>79.293388297022304</v>
      </c>
      <c r="AM6416">
        <v>88.318244949411294</v>
      </c>
      <c r="AN6416">
        <v>0.99999997996678502</v>
      </c>
    </row>
    <row r="6417" spans="1:40" x14ac:dyDescent="0.25">
      <c r="A6417" t="str">
        <f>"20190312173052140"</f>
        <v>20190312173052140</v>
      </c>
      <c r="B6417" t="str">
        <f>"1552383052133414"</f>
        <v>1552383052133414</v>
      </c>
      <c r="C6417" t="s">
        <v>40</v>
      </c>
      <c r="D6417">
        <v>3.2501669999999998</v>
      </c>
      <c r="E6417">
        <v>0.48930960000000001</v>
      </c>
      <c r="F6417" t="s">
        <v>63</v>
      </c>
      <c r="G6417">
        <v>-217.172</v>
      </c>
      <c r="H6417" s="1">
        <v>-2.6383400000000001E-6</v>
      </c>
      <c r="I6417">
        <v>-62.610639999999997</v>
      </c>
      <c r="J6417">
        <v>-245.71510000000001</v>
      </c>
      <c r="K6417">
        <v>1.109853</v>
      </c>
      <c r="L6417">
        <v>-62.960630000000002</v>
      </c>
      <c r="M6417">
        <v>0.99995060000000002</v>
      </c>
      <c r="N6417">
        <v>0</v>
      </c>
      <c r="O6417">
        <v>6.4957399999999998E-3</v>
      </c>
      <c r="P6417">
        <v>0.98367230000000005</v>
      </c>
      <c r="Q6417">
        <v>0.1786227</v>
      </c>
      <c r="R6417">
        <v>-2.197634E-2</v>
      </c>
      <c r="S6417">
        <v>3.0721590000000001</v>
      </c>
      <c r="T6417">
        <v>-0.1187916</v>
      </c>
      <c r="U6417">
        <v>3.7597659999999998E-2</v>
      </c>
      <c r="V6417">
        <v>2.8069219999999999E-2</v>
      </c>
      <c r="W6417">
        <v>0.1860733</v>
      </c>
      <c r="X6417">
        <v>0.98213479999999997</v>
      </c>
      <c r="Y6417">
        <v>-5.7421379999999999E-3</v>
      </c>
      <c r="Z6417">
        <v>-1.401013E-4</v>
      </c>
      <c r="AA6417">
        <v>0.99998350000000003</v>
      </c>
      <c r="AB6417">
        <v>33</v>
      </c>
      <c r="AC6417">
        <v>28.543099999999999</v>
      </c>
      <c r="AD6417">
        <v>-1.10985563834</v>
      </c>
      <c r="AE6417">
        <v>0.34998999999999802</v>
      </c>
      <c r="AF6417">
        <v>-0.16432040865509101</v>
      </c>
      <c r="AG6417">
        <v>-1.10985563834</v>
      </c>
      <c r="AH6417">
        <v>28.501685307011901</v>
      </c>
      <c r="AI6417">
        <v>92.229933993325204</v>
      </c>
      <c r="AJ6417">
        <v>90.330322978881298</v>
      </c>
      <c r="AK6417">
        <v>28.523759325772499</v>
      </c>
      <c r="AL6417">
        <v>79.276285009388502</v>
      </c>
      <c r="AM6417">
        <v>88.362943478194197</v>
      </c>
      <c r="AN6417">
        <v>0.99999995972766798</v>
      </c>
    </row>
    <row r="6418" spans="1:40" x14ac:dyDescent="0.25">
      <c r="A6418" t="str">
        <f>"20190312173052151"</f>
        <v>20190312173052151</v>
      </c>
      <c r="B6418" t="str">
        <f>"1552383052144150"</f>
        <v>1552383052144150</v>
      </c>
      <c r="C6418" t="s">
        <v>40</v>
      </c>
      <c r="D6418">
        <v>3.2447590000000002</v>
      </c>
      <c r="E6418">
        <v>0.48930980000000002</v>
      </c>
      <c r="F6418" t="s">
        <v>63</v>
      </c>
      <c r="G6418">
        <v>-216.88460000000001</v>
      </c>
      <c r="H6418" s="1">
        <v>-2.504996E-6</v>
      </c>
      <c r="I6418">
        <v>-62.572800000000001</v>
      </c>
      <c r="J6418">
        <v>-245.5461</v>
      </c>
      <c r="K6418">
        <v>1.109942</v>
      </c>
      <c r="L6418">
        <v>-62.958979999999997</v>
      </c>
      <c r="M6418">
        <v>0.99994609999999995</v>
      </c>
      <c r="N6418">
        <v>0</v>
      </c>
      <c r="O6418">
        <v>7.1265510000000001E-3</v>
      </c>
      <c r="P6418">
        <v>0.98356969999999999</v>
      </c>
      <c r="Q6418">
        <v>0.179314</v>
      </c>
      <c r="R6418">
        <v>-2.0911490000000001E-2</v>
      </c>
      <c r="S6418">
        <v>3.0722049999999999</v>
      </c>
      <c r="T6418">
        <v>-0.11826739999999999</v>
      </c>
      <c r="U6418">
        <v>4.1320799999999998E-2</v>
      </c>
      <c r="V6418">
        <v>2.7581540000000002E-2</v>
      </c>
      <c r="W6418">
        <v>0.18677840000000001</v>
      </c>
      <c r="X6418">
        <v>0.98201479999999997</v>
      </c>
      <c r="Y6418">
        <v>-6.3228149999999999E-3</v>
      </c>
      <c r="Z6418">
        <v>-1.5258129999999999E-4</v>
      </c>
      <c r="AA6418">
        <v>0.99997999999999998</v>
      </c>
      <c r="AB6418">
        <v>33</v>
      </c>
      <c r="AC6418">
        <v>28.661499999999901</v>
      </c>
      <c r="AD6418">
        <v>-1.1099445049959999</v>
      </c>
      <c r="AE6418">
        <v>0.38618000000000302</v>
      </c>
      <c r="AF6418">
        <v>-0.18163438084761899</v>
      </c>
      <c r="AG6418">
        <v>-1.1099445049959999</v>
      </c>
      <c r="AH6418">
        <v>28.620609764849998</v>
      </c>
      <c r="AI6418">
        <v>92.220847286696795</v>
      </c>
      <c r="AJ6418">
        <v>90.363610133138593</v>
      </c>
      <c r="AK6418">
        <v>28.642700137457499</v>
      </c>
      <c r="AL6418">
        <v>79.235165203860504</v>
      </c>
      <c r="AM6418">
        <v>88.391174467652803</v>
      </c>
      <c r="AN6418">
        <v>0.99999998973718496</v>
      </c>
    </row>
    <row r="6419" spans="1:40" x14ac:dyDescent="0.25">
      <c r="A6419" t="str">
        <f>"20190312173052163"</f>
        <v>20190312173052163</v>
      </c>
      <c r="B6419" t="str">
        <f>"1552383052153911"</f>
        <v>1552383052153911</v>
      </c>
      <c r="C6419" t="s">
        <v>40</v>
      </c>
      <c r="D6419">
        <v>3.2662580000000001</v>
      </c>
      <c r="E6419">
        <v>0.48932399999999998</v>
      </c>
      <c r="F6419" t="s">
        <v>63</v>
      </c>
      <c r="G6419">
        <v>-216.26949999999999</v>
      </c>
      <c r="H6419" s="1">
        <v>-2.2314700000000002E-6</v>
      </c>
      <c r="I6419">
        <v>-62.536670000000001</v>
      </c>
      <c r="J6419">
        <v>-245.38040000000001</v>
      </c>
      <c r="K6419">
        <v>1.110031</v>
      </c>
      <c r="L6419">
        <v>-62.95731</v>
      </c>
      <c r="M6419">
        <v>0.99994130000000003</v>
      </c>
      <c r="N6419">
        <v>0</v>
      </c>
      <c r="O6419">
        <v>7.7623149999999997E-3</v>
      </c>
      <c r="P6419">
        <v>0.98346670000000003</v>
      </c>
      <c r="Q6419">
        <v>0.18000099999999999</v>
      </c>
      <c r="R6419">
        <v>-1.9819429999999999E-2</v>
      </c>
      <c r="S6419">
        <v>3.0722960000000001</v>
      </c>
      <c r="T6419">
        <v>-0.11647780000000001</v>
      </c>
      <c r="U6419">
        <v>4.431152E-2</v>
      </c>
      <c r="V6419">
        <v>2.7073590000000002E-2</v>
      </c>
      <c r="W6419">
        <v>0.1874786</v>
      </c>
      <c r="X6419">
        <v>0.98189550000000003</v>
      </c>
      <c r="Y6419">
        <v>-6.6600619999999996E-3</v>
      </c>
      <c r="Z6419">
        <v>-1.679711E-4</v>
      </c>
      <c r="AA6419">
        <v>0.99997780000000003</v>
      </c>
      <c r="AB6419">
        <v>33</v>
      </c>
      <c r="AC6419">
        <v>29.110900000000001</v>
      </c>
      <c r="AD6419">
        <v>-1.1100332314700001</v>
      </c>
      <c r="AE6419">
        <v>0.42064000000000501</v>
      </c>
      <c r="AF6419">
        <v>-0.194370341237527</v>
      </c>
      <c r="AG6419">
        <v>-1.1100332314700001</v>
      </c>
      <c r="AH6419">
        <v>29.071028062623402</v>
      </c>
      <c r="AI6419">
        <v>92.186641540501299</v>
      </c>
      <c r="AJ6419">
        <v>90.383076726713497</v>
      </c>
      <c r="AK6419">
        <v>29.0928621180928</v>
      </c>
      <c r="AL6419">
        <v>79.194325268572797</v>
      </c>
      <c r="AM6419">
        <v>88.4205961656249</v>
      </c>
      <c r="AN6419">
        <v>0.99999998882684904</v>
      </c>
    </row>
    <row r="6420" spans="1:40" x14ac:dyDescent="0.25">
      <c r="A6420" t="str">
        <f>"20190312173052174"</f>
        <v>20190312173052174</v>
      </c>
      <c r="B6420" t="str">
        <f>"1552383052163671"</f>
        <v>1552383052163671</v>
      </c>
      <c r="C6420" t="s">
        <v>40</v>
      </c>
      <c r="D6420">
        <v>3.2273160000000001</v>
      </c>
      <c r="E6420">
        <v>0.48934559999999999</v>
      </c>
      <c r="F6420" t="s">
        <v>63</v>
      </c>
      <c r="G6420">
        <v>-215.64490000000001</v>
      </c>
      <c r="H6420" s="1">
        <v>-1.9538019999999999E-6</v>
      </c>
      <c r="I6420">
        <v>-62.5000199999999</v>
      </c>
      <c r="J6420">
        <v>-245.21520000000001</v>
      </c>
      <c r="K6420">
        <v>1.110106</v>
      </c>
      <c r="L6420">
        <v>-62.955440000000003</v>
      </c>
      <c r="M6420">
        <v>0.99993569999999998</v>
      </c>
      <c r="N6420">
        <v>0</v>
      </c>
      <c r="O6420">
        <v>8.4541630000000006E-3</v>
      </c>
      <c r="P6420">
        <v>0.98339209999999999</v>
      </c>
      <c r="Q6420">
        <v>0.18052270000000001</v>
      </c>
      <c r="R6420">
        <v>-1.875808E-2</v>
      </c>
      <c r="S6420">
        <v>3.0723569999999998</v>
      </c>
      <c r="T6420">
        <v>-0.114692</v>
      </c>
      <c r="U6420">
        <v>4.7241209999999999E-2</v>
      </c>
      <c r="V6420">
        <v>2.6658270000000001E-2</v>
      </c>
      <c r="W6420">
        <v>0.18801399999999999</v>
      </c>
      <c r="X6420">
        <v>0.98180449999999997</v>
      </c>
      <c r="Y6420">
        <v>-6.9215070000000004E-3</v>
      </c>
      <c r="Z6420">
        <v>-1.8633049999999999E-4</v>
      </c>
      <c r="AA6420">
        <v>0.99997599999999998</v>
      </c>
      <c r="AB6420">
        <v>33</v>
      </c>
      <c r="AC6420">
        <v>29.5703</v>
      </c>
      <c r="AD6420">
        <v>-1.110107953802</v>
      </c>
      <c r="AE6420">
        <v>0.45542000000000998</v>
      </c>
      <c r="AF6420">
        <v>-0.205115436118881</v>
      </c>
      <c r="AG6420">
        <v>-1.110107953802</v>
      </c>
      <c r="AH6420">
        <v>29.5314831523294</v>
      </c>
      <c r="AI6420">
        <v>92.1527206971749</v>
      </c>
      <c r="AJ6420">
        <v>90.397950206668398</v>
      </c>
      <c r="AK6420">
        <v>29.553052451270499</v>
      </c>
      <c r="AL6420">
        <v>79.163093877683096</v>
      </c>
      <c r="AM6420">
        <v>88.444668804500495</v>
      </c>
      <c r="AN6420">
        <v>1.0000000018878199</v>
      </c>
    </row>
    <row r="6421" spans="1:40" x14ac:dyDescent="0.25">
      <c r="A6421" t="str">
        <f>"20190312173052185"</f>
        <v>20190312173052185</v>
      </c>
      <c r="B6421" t="str">
        <f>"1552383052173430"</f>
        <v>1552383052173430</v>
      </c>
      <c r="C6421" t="s">
        <v>40</v>
      </c>
      <c r="D6421">
        <v>3.2563759999999999</v>
      </c>
      <c r="E6421">
        <v>0.4893691</v>
      </c>
      <c r="F6421" t="s">
        <v>63</v>
      </c>
      <c r="G6421">
        <v>-215.13489999999999</v>
      </c>
      <c r="H6421" s="1">
        <v>-1.7256099999999899E-6</v>
      </c>
      <c r="I6421">
        <v>-62.464790000000001</v>
      </c>
      <c r="J6421">
        <v>-245.05590000000001</v>
      </c>
      <c r="K6421">
        <v>1.1101749999999999</v>
      </c>
      <c r="L6421">
        <v>-62.953580000000002</v>
      </c>
      <c r="M6421">
        <v>0.99992979999999998</v>
      </c>
      <c r="N6421">
        <v>0</v>
      </c>
      <c r="O6421">
        <v>9.1289779999999994E-3</v>
      </c>
      <c r="P6421">
        <v>0.98326069999999999</v>
      </c>
      <c r="Q6421">
        <v>0.18134110000000001</v>
      </c>
      <c r="R6421">
        <v>-1.7725649999999999E-2</v>
      </c>
      <c r="S6421">
        <v>3.0724490000000002</v>
      </c>
      <c r="T6421">
        <v>-0.1133879</v>
      </c>
      <c r="U6421">
        <v>5.0109859999999999E-2</v>
      </c>
      <c r="V6421">
        <v>2.6256069999999999E-2</v>
      </c>
      <c r="W6421">
        <v>0.18884480000000001</v>
      </c>
      <c r="X6421">
        <v>0.98165590000000003</v>
      </c>
      <c r="Y6421">
        <v>-7.1798749999999996E-3</v>
      </c>
      <c r="Z6421">
        <v>-2.043336E-4</v>
      </c>
      <c r="AA6421">
        <v>0.99997420000000004</v>
      </c>
      <c r="AB6421">
        <v>33</v>
      </c>
      <c r="AC6421">
        <v>29.920999999999999</v>
      </c>
      <c r="AD6421">
        <v>-1.1101767256099999</v>
      </c>
      <c r="AE6421">
        <v>0.488790000000001</v>
      </c>
      <c r="AF6421">
        <v>-0.21531734407672601</v>
      </c>
      <c r="AG6421">
        <v>-1.1101767256099999</v>
      </c>
      <c r="AH6421">
        <v>29.8830870214592</v>
      </c>
      <c r="AI6421">
        <v>92.127543004096694</v>
      </c>
      <c r="AJ6421">
        <v>90.412827549391196</v>
      </c>
      <c r="AK6421">
        <v>29.904476986779901</v>
      </c>
      <c r="AL6421">
        <v>79.114624525226901</v>
      </c>
      <c r="AM6421">
        <v>88.467891429202496</v>
      </c>
      <c r="AN6421">
        <v>1.00000002285184</v>
      </c>
    </row>
    <row r="6422" spans="1:40" x14ac:dyDescent="0.25">
      <c r="A6422" t="str">
        <f>"20190312173052196"</f>
        <v>20190312173052196</v>
      </c>
      <c r="B6422" t="str">
        <f>"1552383052193927"</f>
        <v>1552383052193927</v>
      </c>
      <c r="C6422" t="s">
        <v>40</v>
      </c>
      <c r="D6422">
        <v>3.243833</v>
      </c>
      <c r="E6422">
        <v>0.48942239999999998</v>
      </c>
      <c r="F6422" t="s">
        <v>63</v>
      </c>
      <c r="G6422">
        <v>-214.3631</v>
      </c>
      <c r="H6422" s="1">
        <v>-1.3839169999999901E-6</v>
      </c>
      <c r="I6422">
        <v>-62.424900000000001</v>
      </c>
      <c r="J6422">
        <v>-244.88229999999999</v>
      </c>
      <c r="K6422">
        <v>1.1102350000000001</v>
      </c>
      <c r="L6422">
        <v>-62.951349999999998</v>
      </c>
      <c r="M6422">
        <v>0.99992230000000004</v>
      </c>
      <c r="N6422">
        <v>0</v>
      </c>
      <c r="O6422">
        <v>9.8985610000000002E-3</v>
      </c>
      <c r="P6422">
        <v>0.98313839999999997</v>
      </c>
      <c r="Q6422">
        <v>0.1820946</v>
      </c>
      <c r="R6422">
        <v>-1.6745739999999999E-2</v>
      </c>
      <c r="S6422">
        <v>3.0725250000000002</v>
      </c>
      <c r="T6422">
        <v>-0.1111351</v>
      </c>
      <c r="U6422">
        <v>5.2917480000000003E-2</v>
      </c>
      <c r="V6422">
        <v>2.600303E-2</v>
      </c>
      <c r="W6422">
        <v>0.18961310000000001</v>
      </c>
      <c r="X6422">
        <v>0.98151449999999996</v>
      </c>
      <c r="Y6422">
        <v>-7.323708E-3</v>
      </c>
      <c r="Z6422">
        <v>-2.2549340000000001E-4</v>
      </c>
      <c r="AA6422">
        <v>0.99997320000000001</v>
      </c>
      <c r="AB6422">
        <v>33</v>
      </c>
      <c r="AC6422">
        <v>30.519199999999898</v>
      </c>
      <c r="AD6422">
        <v>-1.110236383917</v>
      </c>
      <c r="AE6422">
        <v>0.52644999999999698</v>
      </c>
      <c r="AF6422">
        <v>-0.22402299202430301</v>
      </c>
      <c r="AG6422">
        <v>-1.110236383917</v>
      </c>
      <c r="AH6422">
        <v>30.482587913555701</v>
      </c>
      <c r="AI6422">
        <v>92.085847755040405</v>
      </c>
      <c r="AJ6422">
        <v>90.421071232986705</v>
      </c>
      <c r="AK6422">
        <v>30.503622359267101</v>
      </c>
      <c r="AL6422">
        <v>79.069793969832304</v>
      </c>
      <c r="AM6422">
        <v>88.482431529590997</v>
      </c>
      <c r="AN6422">
        <v>0.99999999948551999</v>
      </c>
    </row>
    <row r="6423" spans="1:40" x14ac:dyDescent="0.25">
      <c r="A6423" t="str">
        <f>"20190312173052208"</f>
        <v>20190312173052208</v>
      </c>
      <c r="B6423" t="str">
        <f>"1552383052203689"</f>
        <v>1552383052203689</v>
      </c>
      <c r="C6423" t="s">
        <v>40</v>
      </c>
      <c r="D6423">
        <v>3.2654879999999999</v>
      </c>
      <c r="E6423">
        <v>0.4894366</v>
      </c>
      <c r="F6423" t="s">
        <v>63</v>
      </c>
      <c r="G6423">
        <v>-213.7107</v>
      </c>
      <c r="H6423" s="1">
        <v>-1.094981E-6</v>
      </c>
      <c r="I6423">
        <v>-62.390929999999997</v>
      </c>
      <c r="J6423">
        <v>-244.714</v>
      </c>
      <c r="K6423">
        <v>1.1102920000000001</v>
      </c>
      <c r="L6423">
        <v>-62.949069999999899</v>
      </c>
      <c r="M6423">
        <v>0.99991450000000004</v>
      </c>
      <c r="N6423">
        <v>0</v>
      </c>
      <c r="O6423">
        <v>1.0656290000000001E-2</v>
      </c>
      <c r="P6423">
        <v>0.98306059999999995</v>
      </c>
      <c r="Q6423">
        <v>0.18261740000000001</v>
      </c>
      <c r="R6423">
        <v>-1.558705E-2</v>
      </c>
      <c r="S6423">
        <v>3.0726619999999998</v>
      </c>
      <c r="T6423">
        <v>-0.1094387</v>
      </c>
      <c r="U6423">
        <v>5.5236819999999999E-2</v>
      </c>
      <c r="V6423">
        <v>2.5563450000000001E-2</v>
      </c>
      <c r="W6423">
        <v>0.19014909999999999</v>
      </c>
      <c r="X6423">
        <v>0.98142240000000003</v>
      </c>
      <c r="Y6423">
        <v>-7.3201759999999899E-3</v>
      </c>
      <c r="Z6423">
        <v>-2.4908020000000001E-4</v>
      </c>
      <c r="AA6423">
        <v>0.99997320000000001</v>
      </c>
      <c r="AB6423">
        <v>33</v>
      </c>
      <c r="AC6423">
        <v>31.003299999999999</v>
      </c>
      <c r="AD6423">
        <v>-1.1102930949809999</v>
      </c>
      <c r="AE6423">
        <v>0.55813999999998698</v>
      </c>
      <c r="AF6423">
        <v>-0.22742708089725999</v>
      </c>
      <c r="AG6423">
        <v>-1.1102930949809999</v>
      </c>
      <c r="AH6423">
        <v>30.9677839045819</v>
      </c>
      <c r="AI6423">
        <v>92.0533002399781</v>
      </c>
      <c r="AJ6423">
        <v>90.420772040550005</v>
      </c>
      <c r="AK6423">
        <v>30.9885158372383</v>
      </c>
      <c r="AL6423">
        <v>79.038514910925301</v>
      </c>
      <c r="AM6423">
        <v>88.507934314819295</v>
      </c>
      <c r="AN6423">
        <v>1.00000004871423</v>
      </c>
    </row>
    <row r="6424" spans="1:40" x14ac:dyDescent="0.25">
      <c r="A6424" t="str">
        <f>"20190312173052219"</f>
        <v>20190312173052219</v>
      </c>
      <c r="B6424" t="str">
        <f>"1552383052213446"</f>
        <v>1552383052213446</v>
      </c>
      <c r="C6424" t="s">
        <v>40</v>
      </c>
      <c r="D6424">
        <v>3.2813189999999999</v>
      </c>
      <c r="E6424">
        <v>0.48943389999999998</v>
      </c>
      <c r="F6424" t="s">
        <v>63</v>
      </c>
      <c r="G6424">
        <v>-213.1644</v>
      </c>
      <c r="H6424" s="1">
        <v>-8.4871869999999999E-7</v>
      </c>
      <c r="I6424">
        <v>-62.346130000000002</v>
      </c>
      <c r="J6424">
        <v>-244.54740000000001</v>
      </c>
      <c r="K6424">
        <v>1.110336</v>
      </c>
      <c r="L6424">
        <v>-62.946689999999997</v>
      </c>
      <c r="M6424">
        <v>0.99990590000000001</v>
      </c>
      <c r="N6424">
        <v>0</v>
      </c>
      <c r="O6424">
        <v>1.1420339999999999E-2</v>
      </c>
      <c r="P6424">
        <v>0.98301760000000005</v>
      </c>
      <c r="Q6424">
        <v>0.1829501</v>
      </c>
      <c r="R6424">
        <v>-1.4352520000000001E-2</v>
      </c>
      <c r="S6424">
        <v>3.0726930000000001</v>
      </c>
      <c r="T6424">
        <v>-0.1081343</v>
      </c>
      <c r="U6424">
        <v>5.8715820000000002E-2</v>
      </c>
      <c r="V6424">
        <v>2.505872E-2</v>
      </c>
      <c r="W6424">
        <v>0.19049459999999999</v>
      </c>
      <c r="X6424">
        <v>0.98136840000000003</v>
      </c>
      <c r="Y6424">
        <v>-7.6879050000000001E-3</v>
      </c>
      <c r="Z6424">
        <v>-2.6651570000000001E-4</v>
      </c>
      <c r="AA6424">
        <v>0.99997040000000004</v>
      </c>
      <c r="AB6424">
        <v>33</v>
      </c>
      <c r="AC6424">
        <v>31.382999999999999</v>
      </c>
      <c r="AD6424">
        <v>-1.1103368487187</v>
      </c>
      <c r="AE6424">
        <v>0.60056000000000098</v>
      </c>
      <c r="AF6424">
        <v>-0.24180338138370799</v>
      </c>
      <c r="AG6424">
        <v>-1.1103368487187</v>
      </c>
      <c r="AH6424">
        <v>31.3485855643133</v>
      </c>
      <c r="AI6424">
        <v>92.028453314201997</v>
      </c>
      <c r="AJ6424">
        <v>90.441935041925404</v>
      </c>
      <c r="AK6424">
        <v>31.369174896320501</v>
      </c>
      <c r="AL6424">
        <v>79.018350492342904</v>
      </c>
      <c r="AM6424">
        <v>88.537300594338106</v>
      </c>
      <c r="AN6424">
        <v>1.0000000342978701</v>
      </c>
    </row>
    <row r="6425" spans="1:40" x14ac:dyDescent="0.25">
      <c r="A6425" t="str">
        <f>"20190312173052231"</f>
        <v>20190312173052231</v>
      </c>
      <c r="B6425" t="str">
        <f>"1552383052224182"</f>
        <v>1552383052224182</v>
      </c>
      <c r="C6425" t="s">
        <v>40</v>
      </c>
      <c r="D6425">
        <v>3.282565</v>
      </c>
      <c r="E6425">
        <v>0.4894579</v>
      </c>
      <c r="F6425" t="s">
        <v>63</v>
      </c>
      <c r="G6425">
        <v>-212.74250000000001</v>
      </c>
      <c r="H6425" s="1">
        <v>-6.5553480000000004E-7</v>
      </c>
      <c r="I6425">
        <v>-62.300330000000002</v>
      </c>
      <c r="J6425">
        <v>-244.37540000000001</v>
      </c>
      <c r="K6425">
        <v>1.1103719999999999</v>
      </c>
      <c r="L6425">
        <v>-62.944029999999998</v>
      </c>
      <c r="M6425">
        <v>0.99989629999999996</v>
      </c>
      <c r="N6425">
        <v>0</v>
      </c>
      <c r="O6425">
        <v>1.22194E-2</v>
      </c>
      <c r="P6425">
        <v>0.98296399999999995</v>
      </c>
      <c r="Q6425">
        <v>0.1833166</v>
      </c>
      <c r="R6425">
        <v>-1.3301820000000001E-2</v>
      </c>
      <c r="S6425">
        <v>3.0726930000000001</v>
      </c>
      <c r="T6425">
        <v>-0.1072702</v>
      </c>
      <c r="U6425">
        <v>6.2438960000000002E-2</v>
      </c>
      <c r="V6425">
        <v>2.4774750000000002E-2</v>
      </c>
      <c r="W6425">
        <v>0.19087419999999999</v>
      </c>
      <c r="X6425">
        <v>0.9813018</v>
      </c>
      <c r="Y6425">
        <v>-8.1001690000000008E-3</v>
      </c>
      <c r="Z6425">
        <v>-2.8507249999999999E-4</v>
      </c>
      <c r="AA6425">
        <v>0.99996719999999895</v>
      </c>
      <c r="AB6425">
        <v>33</v>
      </c>
      <c r="AC6425">
        <v>31.632899999999999</v>
      </c>
      <c r="AD6425">
        <v>-1.1103726555347999</v>
      </c>
      <c r="AE6425">
        <v>0.64370000000000205</v>
      </c>
      <c r="AF6425">
        <v>-0.25678938682247898</v>
      </c>
      <c r="AG6425">
        <v>-1.1103726555347999</v>
      </c>
      <c r="AH6425">
        <v>31.5994851935668</v>
      </c>
      <c r="AI6425">
        <v>92.012418973745795</v>
      </c>
      <c r="AJ6425">
        <v>90.465596959570902</v>
      </c>
      <c r="AK6425">
        <v>31.6200305616834</v>
      </c>
      <c r="AL6425">
        <v>78.996193940335999</v>
      </c>
      <c r="AM6425">
        <v>88.553770986808701</v>
      </c>
      <c r="AN6425">
        <v>0.99999998557322101</v>
      </c>
    </row>
    <row r="6426" spans="1:40" x14ac:dyDescent="0.25">
      <c r="A6426" t="str">
        <f>"20190312173052241"</f>
        <v>20190312173052241</v>
      </c>
      <c r="B6426" t="str">
        <f>"1552383052233942"</f>
        <v>1552383052233942</v>
      </c>
      <c r="C6426" t="s">
        <v>40</v>
      </c>
      <c r="D6426">
        <v>3.276405</v>
      </c>
      <c r="E6426">
        <v>0.48948170000000002</v>
      </c>
      <c r="F6426" t="s">
        <v>63</v>
      </c>
      <c r="G6426">
        <v>-212.3586</v>
      </c>
      <c r="H6426" s="1">
        <v>-4.8152399999999999E-7</v>
      </c>
      <c r="I6426">
        <v>-62.2654</v>
      </c>
      <c r="J6426">
        <v>-244.21019999999999</v>
      </c>
      <c r="K6426">
        <v>1.110401</v>
      </c>
      <c r="L6426">
        <v>-62.941409999999998</v>
      </c>
      <c r="M6426">
        <v>0.99988650000000001</v>
      </c>
      <c r="N6426">
        <v>0</v>
      </c>
      <c r="O6426">
        <v>1.299083E-2</v>
      </c>
      <c r="P6426">
        <v>0.98298350000000001</v>
      </c>
      <c r="Q6426">
        <v>0.1833061</v>
      </c>
      <c r="R6426">
        <v>-1.1940320000000001E-2</v>
      </c>
      <c r="S6426">
        <v>3.0727389999999999</v>
      </c>
      <c r="T6426">
        <v>-0.1065654</v>
      </c>
      <c r="U6426">
        <v>6.5124509999999997E-2</v>
      </c>
      <c r="V6426">
        <v>2.4156960000000002E-2</v>
      </c>
      <c r="W6426">
        <v>0.19087560000000001</v>
      </c>
      <c r="X6426">
        <v>0.98131690000000005</v>
      </c>
      <c r="Y6426">
        <v>-8.2023259999999994E-3</v>
      </c>
      <c r="Z6426">
        <v>-3.081626E-4</v>
      </c>
      <c r="AA6426">
        <v>0.99996629999999997</v>
      </c>
      <c r="AB6426">
        <v>33</v>
      </c>
      <c r="AC6426">
        <v>31.851599999999902</v>
      </c>
      <c r="AD6426">
        <v>-1.110401481524</v>
      </c>
      <c r="AE6426">
        <v>0.676009999999997</v>
      </c>
      <c r="AF6426">
        <v>-0.261844098249499</v>
      </c>
      <c r="AG6426">
        <v>-1.110401481524</v>
      </c>
      <c r="AH6426">
        <v>31.819040731389101</v>
      </c>
      <c r="AI6426">
        <v>91.998594482558204</v>
      </c>
      <c r="AJ6426">
        <v>90.471485712187203</v>
      </c>
      <c r="AK6426">
        <v>31.8394865983696</v>
      </c>
      <c r="AL6426">
        <v>78.996111892221506</v>
      </c>
      <c r="AM6426">
        <v>88.589841494440407</v>
      </c>
      <c r="AN6426">
        <v>0.99999995580870404</v>
      </c>
    </row>
    <row r="6427" spans="1:40" x14ac:dyDescent="0.25">
      <c r="A6427" t="str">
        <f>"20190312173052253"</f>
        <v>20190312173052253</v>
      </c>
      <c r="B6427" t="str">
        <f>"1552383052243703"</f>
        <v>1552383052243703</v>
      </c>
      <c r="C6427" t="s">
        <v>40</v>
      </c>
      <c r="D6427">
        <v>3.271703</v>
      </c>
      <c r="E6427">
        <v>0.48951410000000001</v>
      </c>
      <c r="F6427" t="s">
        <v>63</v>
      </c>
      <c r="G6427">
        <v>-212.3186</v>
      </c>
      <c r="H6427" s="1">
        <v>-4.5344919999999998E-7</v>
      </c>
      <c r="I6427">
        <v>-62.224249999999998</v>
      </c>
      <c r="J6427">
        <v>-244.0352</v>
      </c>
      <c r="K6427">
        <v>1.11043</v>
      </c>
      <c r="L6427">
        <v>-62.938420000000001</v>
      </c>
      <c r="M6427">
        <v>0.99987539999999997</v>
      </c>
      <c r="N6427">
        <v>0</v>
      </c>
      <c r="O6427">
        <v>1.381361E-2</v>
      </c>
      <c r="P6427">
        <v>0.9829947</v>
      </c>
      <c r="Q6427">
        <v>0.18332850000000001</v>
      </c>
      <c r="R6427">
        <v>-1.060441E-2</v>
      </c>
      <c r="S6427">
        <v>3.0727389999999999</v>
      </c>
      <c r="T6427">
        <v>-0.1069865</v>
      </c>
      <c r="U6427">
        <v>6.9091799999999995E-2</v>
      </c>
      <c r="V6427">
        <v>2.3617389999999999E-2</v>
      </c>
      <c r="W6427">
        <v>0.19090940000000001</v>
      </c>
      <c r="X6427">
        <v>0.98132350000000002</v>
      </c>
      <c r="Y6427">
        <v>-8.6701780000000006E-3</v>
      </c>
      <c r="Z6427">
        <v>-3.2986519999999902E-4</v>
      </c>
      <c r="AA6427">
        <v>0.99996229999999997</v>
      </c>
      <c r="AB6427">
        <v>33</v>
      </c>
      <c r="AC6427">
        <v>31.7166</v>
      </c>
      <c r="AD6427">
        <v>-1.1104304534492</v>
      </c>
      <c r="AE6427">
        <v>0.71416999999999498</v>
      </c>
      <c r="AF6427">
        <v>-0.27563063663009602</v>
      </c>
      <c r="AG6427">
        <v>-1.1104304534492</v>
      </c>
      <c r="AH6427">
        <v>31.6846207987548</v>
      </c>
      <c r="AI6427">
        <v>92.007110815365706</v>
      </c>
      <c r="AJ6427">
        <v>90.498414481007202</v>
      </c>
      <c r="AK6427">
        <v>31.705271221055401</v>
      </c>
      <c r="AL6427">
        <v>78.994139462037793</v>
      </c>
      <c r="AM6427">
        <v>88.621335776615794</v>
      </c>
      <c r="AN6427">
        <v>0.99999999588551103</v>
      </c>
    </row>
    <row r="6428" spans="1:40" x14ac:dyDescent="0.25">
      <c r="A6428" t="str">
        <f>"20190312173052264"</f>
        <v>20190312173052264</v>
      </c>
      <c r="B6428" t="str">
        <f>"1552383052253463"</f>
        <v>1552383052253463</v>
      </c>
      <c r="C6428" t="s">
        <v>40</v>
      </c>
      <c r="D6428">
        <v>3.2594409999999998</v>
      </c>
      <c r="E6428">
        <v>0.48953829999999998</v>
      </c>
      <c r="F6428" t="s">
        <v>63</v>
      </c>
      <c r="G6428">
        <v>-212.23759999999999</v>
      </c>
      <c r="H6428" s="1">
        <v>-4.081373E-7</v>
      </c>
      <c r="I6428">
        <v>-62.1845199999999</v>
      </c>
      <c r="J6428">
        <v>-243.87629999999999</v>
      </c>
      <c r="K6428">
        <v>1.1104529999999999</v>
      </c>
      <c r="L6428">
        <v>-62.935670000000002</v>
      </c>
      <c r="M6428">
        <v>0.99986459999999999</v>
      </c>
      <c r="N6428">
        <v>0</v>
      </c>
      <c r="O6428">
        <v>1.456175E-2</v>
      </c>
      <c r="P6428">
        <v>0.98303430000000003</v>
      </c>
      <c r="Q6428">
        <v>0.18318880000000001</v>
      </c>
      <c r="R6428">
        <v>-9.2444940000000007E-3</v>
      </c>
      <c r="S6428">
        <v>3.0727229999999999</v>
      </c>
      <c r="T6428">
        <v>-0.107305</v>
      </c>
      <c r="U6428">
        <v>7.2845460000000001E-2</v>
      </c>
      <c r="V6428">
        <v>2.298335E-2</v>
      </c>
      <c r="W6428">
        <v>0.1907797</v>
      </c>
      <c r="X6428">
        <v>0.98136380000000001</v>
      </c>
      <c r="Y6428">
        <v>-9.1431759999999994E-3</v>
      </c>
      <c r="Z6428">
        <v>-3.4869859999999998E-4</v>
      </c>
      <c r="AA6428">
        <v>0.99995820000000002</v>
      </c>
      <c r="AB6428">
        <v>34</v>
      </c>
      <c r="AC6428">
        <v>31.6387</v>
      </c>
      <c r="AD6428">
        <v>-1.1104534081373001</v>
      </c>
      <c r="AE6428">
        <v>0.75115000000000198</v>
      </c>
      <c r="AF6428">
        <v>-0.28998496027746101</v>
      </c>
      <c r="AG6428">
        <v>-1.1104534081373001</v>
      </c>
      <c r="AH6428">
        <v>31.607369492355101</v>
      </c>
      <c r="AI6428">
        <v>92.012045368192204</v>
      </c>
      <c r="AJ6428">
        <v>90.525651088947996</v>
      </c>
      <c r="AK6428">
        <v>31.6281995104857</v>
      </c>
      <c r="AL6428">
        <v>79.001710114358602</v>
      </c>
      <c r="AM6428">
        <v>88.658389197814401</v>
      </c>
      <c r="AN6428">
        <v>1.00000001812987</v>
      </c>
    </row>
    <row r="6429" spans="1:40" x14ac:dyDescent="0.25">
      <c r="A6429" t="str">
        <f>"20190312173052274"</f>
        <v>20190312173052274</v>
      </c>
      <c r="B6429" t="str">
        <f>"1552383052264199"</f>
        <v>1552383052264199</v>
      </c>
      <c r="C6429" t="s">
        <v>40</v>
      </c>
      <c r="D6429">
        <v>3.2293560000000001</v>
      </c>
      <c r="E6429">
        <v>0.48953829999999998</v>
      </c>
      <c r="F6429" t="s">
        <v>63</v>
      </c>
      <c r="G6429">
        <v>-212.31489999999999</v>
      </c>
      <c r="H6429" s="1">
        <v>-4.308456E-7</v>
      </c>
      <c r="I6429">
        <v>-62.145359999999997</v>
      </c>
      <c r="J6429">
        <v>-243.7148</v>
      </c>
      <c r="K6429">
        <v>1.1104670000000001</v>
      </c>
      <c r="L6429">
        <v>-62.932650000000002</v>
      </c>
      <c r="M6429">
        <v>0.99985329999999994</v>
      </c>
      <c r="N6429">
        <v>0</v>
      </c>
      <c r="O6429">
        <v>1.532267E-2</v>
      </c>
      <c r="P6429">
        <v>0.98307480000000003</v>
      </c>
      <c r="Q6429">
        <v>0.1830416</v>
      </c>
      <c r="R6429">
        <v>-7.7617160000000001E-3</v>
      </c>
      <c r="S6429">
        <v>3.0726619999999998</v>
      </c>
      <c r="T6429">
        <v>-0.10810790000000001</v>
      </c>
      <c r="U6429">
        <v>7.6934810000000006E-2</v>
      </c>
      <c r="V6429">
        <v>2.2240599999999999E-2</v>
      </c>
      <c r="W6429">
        <v>0.19064210000000001</v>
      </c>
      <c r="X6429">
        <v>0.98140760000000005</v>
      </c>
      <c r="Y6429">
        <v>-9.7128519999999993E-3</v>
      </c>
      <c r="Z6429">
        <v>-3.6804490000000002E-4</v>
      </c>
      <c r="AA6429">
        <v>0.99995270000000003</v>
      </c>
      <c r="AB6429">
        <v>34</v>
      </c>
      <c r="AC6429">
        <v>31.399899999999999</v>
      </c>
      <c r="AD6429">
        <v>-1.1104674308456</v>
      </c>
      <c r="AE6429">
        <v>0.78729000000000504</v>
      </c>
      <c r="AF6429">
        <v>-0.30567110104082701</v>
      </c>
      <c r="AG6429">
        <v>-1.1104674308456</v>
      </c>
      <c r="AH6429">
        <v>31.369068382388001</v>
      </c>
      <c r="AI6429">
        <v>92.027332211281802</v>
      </c>
      <c r="AJ6429">
        <v>90.558292312220303</v>
      </c>
      <c r="AK6429">
        <v>31.390205859725</v>
      </c>
      <c r="AL6429">
        <v>79.009740837543603</v>
      </c>
      <c r="AM6429">
        <v>88.701788698548597</v>
      </c>
      <c r="AN6429">
        <v>0.99999996595926399</v>
      </c>
    </row>
    <row r="6430" spans="1:40" x14ac:dyDescent="0.25">
      <c r="A6430" t="str">
        <f>"20190312173052286"</f>
        <v>20190312173052286</v>
      </c>
      <c r="B6430" t="str">
        <f>"1552383052283719"</f>
        <v>1552383052283719</v>
      </c>
      <c r="C6430" t="s">
        <v>40</v>
      </c>
      <c r="D6430">
        <v>3.2849930000000001</v>
      </c>
      <c r="E6430">
        <v>0.4777206</v>
      </c>
      <c r="F6430" t="s">
        <v>63</v>
      </c>
      <c r="G6430">
        <v>-212.3039</v>
      </c>
      <c r="H6430" s="1">
        <v>-4.1471110000000001E-7</v>
      </c>
      <c r="I6430">
        <v>-62.10239</v>
      </c>
      <c r="J6430">
        <v>-243.54179999999999</v>
      </c>
      <c r="K6430">
        <v>1.1104860000000001</v>
      </c>
      <c r="L6430">
        <v>-62.929349999999999</v>
      </c>
      <c r="M6430">
        <v>0.99984039999999996</v>
      </c>
      <c r="N6430">
        <v>0</v>
      </c>
      <c r="O6430">
        <v>1.6136589999999999E-2</v>
      </c>
      <c r="P6430">
        <v>0.98317089999999996</v>
      </c>
      <c r="Q6430">
        <v>0.1825802</v>
      </c>
      <c r="R6430">
        <v>-6.3210970000000003E-3</v>
      </c>
      <c r="S6430">
        <v>3.0725250000000002</v>
      </c>
      <c r="T6430">
        <v>-0.10862280000000001</v>
      </c>
      <c r="U6430">
        <v>8.1207280000000007E-2</v>
      </c>
      <c r="V6430">
        <v>2.1594200000000001E-2</v>
      </c>
      <c r="W6430">
        <v>0.19019220000000001</v>
      </c>
      <c r="X6430">
        <v>0.98150939999999998</v>
      </c>
      <c r="Y6430">
        <v>-1.0289700000000001E-2</v>
      </c>
      <c r="Z6430">
        <v>-3.8836900000000001E-4</v>
      </c>
      <c r="AA6430">
        <v>0.99994700000000003</v>
      </c>
      <c r="AB6430">
        <v>34</v>
      </c>
      <c r="AC6430">
        <v>31.2379</v>
      </c>
      <c r="AD6430">
        <v>-1.1104864147111</v>
      </c>
      <c r="AE6430">
        <v>0.82695999999999903</v>
      </c>
      <c r="AF6430">
        <v>-0.322357224201752</v>
      </c>
      <c r="AG6430">
        <v>-1.1104864147111</v>
      </c>
      <c r="AH6430">
        <v>31.207765846024401</v>
      </c>
      <c r="AI6430">
        <v>92.037824856498901</v>
      </c>
      <c r="AJ6430">
        <v>90.591809477556097</v>
      </c>
      <c r="AK6430">
        <v>31.229180958801098</v>
      </c>
      <c r="AL6430">
        <v>79.035999489821407</v>
      </c>
      <c r="AM6430">
        <v>88.739638203325299</v>
      </c>
      <c r="AN6430">
        <v>1.0000000423514099</v>
      </c>
    </row>
    <row r="6431" spans="1:40" x14ac:dyDescent="0.25">
      <c r="A6431" t="str">
        <f>"20190312173052297"</f>
        <v>20190312173052297</v>
      </c>
      <c r="B6431" t="str">
        <f>"1552383052293478"</f>
        <v>1552383052293478</v>
      </c>
      <c r="C6431" t="s">
        <v>40</v>
      </c>
      <c r="D6431">
        <v>3.230915</v>
      </c>
      <c r="E6431">
        <v>0.47713169999999999</v>
      </c>
      <c r="F6431" t="s">
        <v>63</v>
      </c>
      <c r="G6431">
        <v>-218.87219999999999</v>
      </c>
      <c r="H6431" s="1">
        <v>-3.0666029999999999E-6</v>
      </c>
      <c r="I6431">
        <v>-61.47898</v>
      </c>
      <c r="J6431">
        <v>-243.37479999999999</v>
      </c>
      <c r="K6431">
        <v>1.1105</v>
      </c>
      <c r="L6431">
        <v>-62.925989999999999</v>
      </c>
      <c r="M6431">
        <v>0.99982740000000003</v>
      </c>
      <c r="N6431">
        <v>0</v>
      </c>
      <c r="O6431">
        <v>1.691991E-2</v>
      </c>
      <c r="P6431">
        <v>0.98322449999999995</v>
      </c>
      <c r="Q6431">
        <v>0.18233540000000001</v>
      </c>
      <c r="R6431">
        <v>-4.8804579999999998E-3</v>
      </c>
      <c r="S6431">
        <v>3.0782620000000001</v>
      </c>
      <c r="T6431">
        <v>-0.1385661</v>
      </c>
      <c r="U6431">
        <v>0.1809692</v>
      </c>
      <c r="V6431">
        <v>2.0918059999999999E-2</v>
      </c>
      <c r="W6431">
        <v>0.18995670000000001</v>
      </c>
      <c r="X6431">
        <v>0.98156960000000004</v>
      </c>
      <c r="Y6431">
        <v>-4.1763370000000001E-2</v>
      </c>
      <c r="Z6431">
        <v>1.7819250000000001E-4</v>
      </c>
      <c r="AA6431">
        <v>0.99912749999999995</v>
      </c>
      <c r="AB6431">
        <v>34</v>
      </c>
      <c r="AC6431">
        <v>24.502600000000001</v>
      </c>
      <c r="AD6431">
        <v>-1.110503066603</v>
      </c>
      <c r="AE6431">
        <v>1.4470099999999899</v>
      </c>
      <c r="AF6431">
        <v>-1.03010030728077</v>
      </c>
      <c r="AG6431">
        <v>-1.110503066603</v>
      </c>
      <c r="AH6431">
        <v>24.4734806729697</v>
      </c>
      <c r="AI6431">
        <v>92.595762905265403</v>
      </c>
      <c r="AJ6431">
        <v>92.4101836680817</v>
      </c>
      <c r="AK6431">
        <v>24.520309540342598</v>
      </c>
      <c r="AL6431">
        <v>79.049742687880794</v>
      </c>
      <c r="AM6431">
        <v>88.779164343461005</v>
      </c>
      <c r="AN6431">
        <v>0.99999999637660597</v>
      </c>
    </row>
    <row r="6432" spans="1:40" x14ac:dyDescent="0.25">
      <c r="A6432" t="str">
        <f>"20190312173052309"</f>
        <v>20190312173052309</v>
      </c>
      <c r="B6432" t="str">
        <f>"1552383052304214"</f>
        <v>1552383052304214</v>
      </c>
      <c r="C6432" t="s">
        <v>40</v>
      </c>
      <c r="D6432">
        <v>3.2501449999999998</v>
      </c>
      <c r="E6432">
        <v>0.47704390000000002</v>
      </c>
      <c r="F6432" t="s">
        <v>63</v>
      </c>
      <c r="G6432">
        <v>-218.52099999999999</v>
      </c>
      <c r="H6432" s="1">
        <v>-2.8928780000000001E-6</v>
      </c>
      <c r="I6432">
        <v>-61.392290000000003</v>
      </c>
      <c r="J6432">
        <v>-243.20760000000001</v>
      </c>
      <c r="K6432">
        <v>1.1105179999999999</v>
      </c>
      <c r="L6432">
        <v>-62.922519999999999</v>
      </c>
      <c r="M6432">
        <v>0.99981370000000003</v>
      </c>
      <c r="N6432">
        <v>0</v>
      </c>
      <c r="O6432">
        <v>1.7701250000000002E-2</v>
      </c>
      <c r="P6432">
        <v>0.98334619999999995</v>
      </c>
      <c r="Q6432">
        <v>0.1817097</v>
      </c>
      <c r="R6432">
        <v>-3.4713470000000001E-3</v>
      </c>
      <c r="S6432">
        <v>3.0776520000000001</v>
      </c>
      <c r="T6432">
        <v>-0.13751360000000001</v>
      </c>
      <c r="U6432">
        <v>0.18991089999999999</v>
      </c>
      <c r="V6432">
        <v>2.027493E-2</v>
      </c>
      <c r="W6432">
        <v>0.18934110000000001</v>
      </c>
      <c r="X6432">
        <v>0.98170199999999996</v>
      </c>
      <c r="Y6432">
        <v>-4.3885439999999998E-2</v>
      </c>
      <c r="Z6432">
        <v>1.893555E-4</v>
      </c>
      <c r="AA6432">
        <v>0.99903660000000005</v>
      </c>
      <c r="AB6432">
        <v>34</v>
      </c>
      <c r="AC6432">
        <v>24.686599999999999</v>
      </c>
      <c r="AD6432">
        <v>-1.1105208928779999</v>
      </c>
      <c r="AE6432">
        <v>1.53022999999999</v>
      </c>
      <c r="AF6432">
        <v>-1.0907946949973799</v>
      </c>
      <c r="AG6432">
        <v>-1.1105208928779999</v>
      </c>
      <c r="AH6432">
        <v>24.660107772429399</v>
      </c>
      <c r="AI6432">
        <v>92.575948619627198</v>
      </c>
      <c r="AJ6432">
        <v>92.5327228942527</v>
      </c>
      <c r="AK6432">
        <v>24.709188676846299</v>
      </c>
      <c r="AL6432">
        <v>79.085665624291494</v>
      </c>
      <c r="AM6432">
        <v>88.816847887257495</v>
      </c>
      <c r="AN6432">
        <v>0.99999997086985704</v>
      </c>
    </row>
    <row r="6433" spans="1:40" x14ac:dyDescent="0.25">
      <c r="A6433" t="str">
        <f>"20190312173052319"</f>
        <v>20190312173052319</v>
      </c>
      <c r="B6433" t="str">
        <f>"1552383052313978"</f>
        <v>1552383052313978</v>
      </c>
      <c r="C6433" t="s">
        <v>40</v>
      </c>
      <c r="D6433">
        <v>3.1984819999999998</v>
      </c>
      <c r="E6433">
        <v>0.47689039999999999</v>
      </c>
      <c r="F6433" t="s">
        <v>63</v>
      </c>
      <c r="G6433">
        <v>-218.89279999999999</v>
      </c>
      <c r="H6433" s="1">
        <v>-3.050198E-6</v>
      </c>
      <c r="I6433">
        <v>-61.384120000000003</v>
      </c>
      <c r="J6433">
        <v>-243.03809999999999</v>
      </c>
      <c r="K6433">
        <v>1.1105290000000001</v>
      </c>
      <c r="L6433">
        <v>-62.918849999999999</v>
      </c>
      <c r="M6433">
        <v>0.9997994</v>
      </c>
      <c r="N6433">
        <v>0</v>
      </c>
      <c r="O6433">
        <v>1.848998E-2</v>
      </c>
      <c r="P6433">
        <v>0.98335079999999997</v>
      </c>
      <c r="Q6433">
        <v>0.181702</v>
      </c>
      <c r="R6433">
        <v>-2.3548229999999998E-3</v>
      </c>
      <c r="S6433">
        <v>3.0774689999999998</v>
      </c>
      <c r="T6433">
        <v>-0.14055570000000001</v>
      </c>
      <c r="U6433">
        <v>0.19470209999999999</v>
      </c>
      <c r="V6433">
        <v>1.9928660000000001E-2</v>
      </c>
      <c r="W6433">
        <v>0.18934300000000001</v>
      </c>
      <c r="X6433">
        <v>0.98170880000000005</v>
      </c>
      <c r="Y6433">
        <v>-4.464916E-2</v>
      </c>
      <c r="Z6433">
        <v>1.75004399999999E-4</v>
      </c>
      <c r="AA6433">
        <v>0.99900270000000002</v>
      </c>
      <c r="AB6433">
        <v>34</v>
      </c>
      <c r="AC6433">
        <v>24.145299999999899</v>
      </c>
      <c r="AD6433">
        <v>-1.1105320501980001</v>
      </c>
      <c r="AE6433">
        <v>1.5347299999999999</v>
      </c>
      <c r="AF6433">
        <v>-1.08572075287604</v>
      </c>
      <c r="AG6433">
        <v>-1.1105320501980001</v>
      </c>
      <c r="AH6433">
        <v>24.118733989102299</v>
      </c>
      <c r="AI6433">
        <v>92.633623113855194</v>
      </c>
      <c r="AJ6433">
        <v>92.577467325162701</v>
      </c>
      <c r="AK6433">
        <v>24.168686357036901</v>
      </c>
      <c r="AL6433">
        <v>79.085555582141893</v>
      </c>
      <c r="AM6433">
        <v>88.837057075116505</v>
      </c>
      <c r="AN6433">
        <v>1.0000000455679099</v>
      </c>
    </row>
    <row r="6434" spans="1:40" x14ac:dyDescent="0.25">
      <c r="A6434" t="str">
        <f>"20190312173052330"</f>
        <v>20190312173052330</v>
      </c>
      <c r="B6434" t="str">
        <f>"1552383052323735"</f>
        <v>1552383052323735</v>
      </c>
      <c r="C6434" t="s">
        <v>40</v>
      </c>
      <c r="D6434">
        <v>3.2225450000000002</v>
      </c>
      <c r="E6434">
        <v>0.47695189999999998</v>
      </c>
      <c r="F6434" t="s">
        <v>63</v>
      </c>
      <c r="G6434">
        <v>-218.8365</v>
      </c>
      <c r="H6434" s="1">
        <v>-3.0174519999999999E-6</v>
      </c>
      <c r="I6434">
        <v>-61.35181</v>
      </c>
      <c r="J6434">
        <v>-242.874</v>
      </c>
      <c r="K6434">
        <v>1.110538</v>
      </c>
      <c r="L6434">
        <v>-62.915190000000003</v>
      </c>
      <c r="M6434">
        <v>0.99978489999999998</v>
      </c>
      <c r="N6434">
        <v>0</v>
      </c>
      <c r="O6434">
        <v>1.9246909999999999E-2</v>
      </c>
      <c r="P6434">
        <v>0.98337459999999999</v>
      </c>
      <c r="Q6434">
        <v>0.18158469999999999</v>
      </c>
      <c r="R6434">
        <v>-1.218815E-3</v>
      </c>
      <c r="S6434">
        <v>3.0773470000000001</v>
      </c>
      <c r="T6434">
        <v>-0.14120920000000001</v>
      </c>
      <c r="U6434">
        <v>0.19924929999999999</v>
      </c>
      <c r="V6434">
        <v>1.9533789999999999E-2</v>
      </c>
      <c r="W6434">
        <v>0.18923429999999999</v>
      </c>
      <c r="X6434">
        <v>0.98173770000000005</v>
      </c>
      <c r="Y6434">
        <v>-4.5365210000000003E-2</v>
      </c>
      <c r="Z6434">
        <v>1.5755660000000001E-4</v>
      </c>
      <c r="AA6434">
        <v>0.99897040000000004</v>
      </c>
      <c r="AB6434">
        <v>34</v>
      </c>
      <c r="AC6434">
        <v>24.037500000000001</v>
      </c>
      <c r="AD6434">
        <v>-1.1105410174519901</v>
      </c>
      <c r="AE6434">
        <v>1.56338</v>
      </c>
      <c r="AF6434">
        <v>-1.09809499088185</v>
      </c>
      <c r="AG6434">
        <v>-1.1105410174519901</v>
      </c>
      <c r="AH6434">
        <v>24.012100903783601</v>
      </c>
      <c r="AI6434">
        <v>92.645237728575694</v>
      </c>
      <c r="AJ6434">
        <v>92.618363319287496</v>
      </c>
      <c r="AK6434">
        <v>24.062836569571999</v>
      </c>
      <c r="AL6434">
        <v>79.091898353618603</v>
      </c>
      <c r="AM6434">
        <v>88.860127238117201</v>
      </c>
      <c r="AN6434">
        <v>1.0000000504247699</v>
      </c>
    </row>
    <row r="6435" spans="1:40" x14ac:dyDescent="0.25">
      <c r="A6435" t="str">
        <f>"20190312173052342"</f>
        <v>20190312173052342</v>
      </c>
      <c r="B6435" t="str">
        <f>"1552383052333495"</f>
        <v>1552383052333495</v>
      </c>
      <c r="C6435" t="s">
        <v>40</v>
      </c>
      <c r="D6435">
        <v>3.1546249999999998</v>
      </c>
      <c r="E6435">
        <v>0.4770972</v>
      </c>
      <c r="F6435" t="s">
        <v>63</v>
      </c>
      <c r="G6435">
        <v>-218.9119</v>
      </c>
      <c r="H6435" s="1">
        <v>-3.0467029999999999E-6</v>
      </c>
      <c r="I6435">
        <v>-61.3401</v>
      </c>
      <c r="J6435">
        <v>-242.69909999999999</v>
      </c>
      <c r="K6435">
        <v>1.1105370000000001</v>
      </c>
      <c r="L6435">
        <v>-62.911160000000002</v>
      </c>
      <c r="M6435">
        <v>0.99976920000000002</v>
      </c>
      <c r="N6435">
        <v>0</v>
      </c>
      <c r="O6435">
        <v>2.0050510000000001E-2</v>
      </c>
      <c r="P6435">
        <v>0.98339690000000002</v>
      </c>
      <c r="Q6435">
        <v>0.1814685</v>
      </c>
      <c r="R6435">
        <v>-1.3349209999999901E-4</v>
      </c>
      <c r="S6435">
        <v>3.077286</v>
      </c>
      <c r="T6435">
        <v>-0.1426191</v>
      </c>
      <c r="U6435">
        <v>0.20227049999999999</v>
      </c>
      <c r="V6435">
        <v>1.9236110000000001E-2</v>
      </c>
      <c r="W6435">
        <v>0.18912799999999999</v>
      </c>
      <c r="X6435">
        <v>0.98176399999999997</v>
      </c>
      <c r="Y6435">
        <v>-4.5540270000000001E-2</v>
      </c>
      <c r="Z6435">
        <v>1.260113E-4</v>
      </c>
      <c r="AA6435">
        <v>0.99896249999999998</v>
      </c>
      <c r="AB6435">
        <v>34</v>
      </c>
      <c r="AC6435">
        <v>23.787199999999899</v>
      </c>
      <c r="AD6435">
        <v>-1.110540046703</v>
      </c>
      <c r="AE6435">
        <v>1.5710599999999899</v>
      </c>
      <c r="AF6435">
        <v>-1.0914159158461401</v>
      </c>
      <c r="AG6435">
        <v>-1.110540046703</v>
      </c>
      <c r="AH6435">
        <v>23.762351156095399</v>
      </c>
      <c r="AI6435">
        <v>92.672973196686797</v>
      </c>
      <c r="AJ6435">
        <v>92.629773758384303</v>
      </c>
      <c r="AK6435">
        <v>23.8133118310386</v>
      </c>
      <c r="AL6435">
        <v>79.098100232194994</v>
      </c>
      <c r="AM6435">
        <v>88.877523609724193</v>
      </c>
      <c r="AN6435">
        <v>0.999999990003966</v>
      </c>
    </row>
    <row r="6436" spans="1:40" x14ac:dyDescent="0.25">
      <c r="A6436" t="str">
        <f>"20190312173052353"</f>
        <v>20190312173052353</v>
      </c>
      <c r="B6436" t="str">
        <f>"1552383052344231"</f>
        <v>1552383052344231</v>
      </c>
      <c r="C6436" t="s">
        <v>40</v>
      </c>
      <c r="D6436">
        <v>3.20973</v>
      </c>
      <c r="E6436">
        <v>0.4771996</v>
      </c>
      <c r="F6436" t="s">
        <v>63</v>
      </c>
      <c r="G6436">
        <v>-218.7294</v>
      </c>
      <c r="H6436" s="1">
        <v>-2.9630210000000002E-6</v>
      </c>
      <c r="I6436">
        <v>-61.319969999999998</v>
      </c>
      <c r="J6436">
        <v>-242.52709999999999</v>
      </c>
      <c r="K6436">
        <v>1.1105389999999999</v>
      </c>
      <c r="L6436">
        <v>-62.90701</v>
      </c>
      <c r="M6436">
        <v>0.99975320000000001</v>
      </c>
      <c r="N6436">
        <v>0</v>
      </c>
      <c r="O6436">
        <v>2.0828220000000001E-2</v>
      </c>
      <c r="P6436">
        <v>0.98342320000000005</v>
      </c>
      <c r="Q6436">
        <v>0.1813237</v>
      </c>
      <c r="R6436">
        <v>8.7898969999999996E-4</v>
      </c>
      <c r="S6436">
        <v>3.0770110000000002</v>
      </c>
      <c r="T6436">
        <v>-0.14256070000000001</v>
      </c>
      <c r="U6436">
        <v>0.2042542</v>
      </c>
      <c r="V6436">
        <v>1.8988270000000002E-2</v>
      </c>
      <c r="W6436">
        <v>0.18899179999999999</v>
      </c>
      <c r="X6436">
        <v>0.98179510000000003</v>
      </c>
      <c r="Y6436">
        <v>-4.5411220000000002E-2</v>
      </c>
      <c r="Z6436" s="1">
        <v>8.7028719999999895E-5</v>
      </c>
      <c r="AA6436">
        <v>0.99896839999999998</v>
      </c>
      <c r="AB6436">
        <v>34</v>
      </c>
      <c r="AC6436">
        <v>23.797699999999899</v>
      </c>
      <c r="AD6436">
        <v>-1.1105419630209901</v>
      </c>
      <c r="AE6436">
        <v>1.58704</v>
      </c>
      <c r="AF6436">
        <v>-1.0886568865567601</v>
      </c>
      <c r="AG6436">
        <v>-1.1105419630209901</v>
      </c>
      <c r="AH6436">
        <v>23.774049698373599</v>
      </c>
      <c r="AI6436">
        <v>92.671681339693095</v>
      </c>
      <c r="AJ6436">
        <v>92.621846187040802</v>
      </c>
      <c r="AK6436">
        <v>23.824859209007201</v>
      </c>
      <c r="AL6436">
        <v>79.106047751357295</v>
      </c>
      <c r="AM6436">
        <v>88.892017170463802</v>
      </c>
      <c r="AN6436">
        <v>1.0000000366244199</v>
      </c>
    </row>
    <row r="6437" spans="1:40" x14ac:dyDescent="0.25">
      <c r="A6437" t="str">
        <f>"20190312173052365"</f>
        <v>20190312173052365</v>
      </c>
      <c r="B6437" t="str">
        <f>"1552383052353992"</f>
        <v>1552383052353992</v>
      </c>
      <c r="C6437" t="s">
        <v>40</v>
      </c>
      <c r="D6437">
        <v>3.2371599999999998</v>
      </c>
      <c r="E6437">
        <v>0.47745349999999998</v>
      </c>
      <c r="F6437" t="s">
        <v>63</v>
      </c>
      <c r="G6437">
        <v>-218.75319999999999</v>
      </c>
      <c r="H6437" s="1">
        <v>-2.9707510000000001E-6</v>
      </c>
      <c r="I6437">
        <v>-61.310600000000001</v>
      </c>
      <c r="J6437">
        <v>-242.351</v>
      </c>
      <c r="K6437">
        <v>1.1105389999999999</v>
      </c>
      <c r="L6437">
        <v>-62.902709999999999</v>
      </c>
      <c r="M6437">
        <v>0.99973630000000002</v>
      </c>
      <c r="N6437">
        <v>0</v>
      </c>
      <c r="O6437">
        <v>2.1620279999999999E-2</v>
      </c>
      <c r="P6437">
        <v>0.98342160000000001</v>
      </c>
      <c r="Q6437">
        <v>0.18132499999999999</v>
      </c>
      <c r="R6437">
        <v>1.8660090000000001E-3</v>
      </c>
      <c r="S6437">
        <v>3.076889</v>
      </c>
      <c r="T6437">
        <v>-0.1437292</v>
      </c>
      <c r="U6437">
        <v>0.20660400000000001</v>
      </c>
      <c r="V6437">
        <v>1.877999E-2</v>
      </c>
      <c r="W6437">
        <v>0.18900159999999999</v>
      </c>
      <c r="X6437">
        <v>0.98179720000000004</v>
      </c>
      <c r="Y6437">
        <v>-4.538238E-2</v>
      </c>
      <c r="Z6437" s="1">
        <v>5.0152999999999999E-5</v>
      </c>
      <c r="AA6437">
        <v>0.99896969999999996</v>
      </c>
      <c r="AB6437">
        <v>34</v>
      </c>
      <c r="AC6437">
        <v>23.597799999999999</v>
      </c>
      <c r="AD6437">
        <v>-1.110541970751</v>
      </c>
      <c r="AE6437">
        <v>1.5921099999999899</v>
      </c>
      <c r="AF6437">
        <v>-1.0791522719297399</v>
      </c>
      <c r="AG6437">
        <v>-1.110541970751</v>
      </c>
      <c r="AH6437">
        <v>23.5747308765383</v>
      </c>
      <c r="AI6437">
        <v>92.6942386212895</v>
      </c>
      <c r="AJ6437">
        <v>92.620930769938198</v>
      </c>
      <c r="AK6437">
        <v>23.625532988612498</v>
      </c>
      <c r="AL6437">
        <v>79.105475735280805</v>
      </c>
      <c r="AM6437">
        <v>88.904169861296296</v>
      </c>
      <c r="AN6437">
        <v>1.0000000173774</v>
      </c>
    </row>
    <row r="6438" spans="1:40" x14ac:dyDescent="0.25">
      <c r="A6438" t="str">
        <f>"20190312173052376"</f>
        <v>20190312173052376</v>
      </c>
      <c r="B6438" t="str">
        <f>"1552383052363751"</f>
        <v>1552383052363751</v>
      </c>
      <c r="C6438" t="s">
        <v>40</v>
      </c>
      <c r="D6438">
        <v>3.2258040000000001</v>
      </c>
      <c r="E6438">
        <v>0.47770899999999999</v>
      </c>
      <c r="F6438" t="s">
        <v>63</v>
      </c>
      <c r="G6438">
        <v>-218.7474</v>
      </c>
      <c r="H6438" s="1">
        <v>-2.968813E-6</v>
      </c>
      <c r="I6438">
        <v>-61.31259</v>
      </c>
      <c r="J6438">
        <v>-242.1884</v>
      </c>
      <c r="K6438">
        <v>1.110538</v>
      </c>
      <c r="L6438">
        <v>-62.898560000000003</v>
      </c>
      <c r="M6438">
        <v>0.99972050000000001</v>
      </c>
      <c r="N6438">
        <v>0</v>
      </c>
      <c r="O6438">
        <v>2.2336789999999999E-2</v>
      </c>
      <c r="P6438">
        <v>0.98343919999999996</v>
      </c>
      <c r="Q6438">
        <v>0.1812204</v>
      </c>
      <c r="R6438">
        <v>2.6397590000000002E-3</v>
      </c>
      <c r="S6438">
        <v>3.076889</v>
      </c>
      <c r="T6438">
        <v>-0.1447668</v>
      </c>
      <c r="U6438">
        <v>0.2072754</v>
      </c>
      <c r="V6438">
        <v>1.8713879999999999E-2</v>
      </c>
      <c r="W6438">
        <v>0.18890560000000001</v>
      </c>
      <c r="X6438">
        <v>0.98181689999999999</v>
      </c>
      <c r="Y6438">
        <v>-4.4884380000000001E-2</v>
      </c>
      <c r="Z6438" s="1">
        <v>5.181297E-6</v>
      </c>
      <c r="AA6438">
        <v>0.9989922</v>
      </c>
      <c r="AB6438">
        <v>34</v>
      </c>
      <c r="AC6438">
        <v>23.440999999999999</v>
      </c>
      <c r="AD6438">
        <v>-1.1105409688129999</v>
      </c>
      <c r="AE6438">
        <v>1.5859699999999901</v>
      </c>
      <c r="AF6438">
        <v>-1.0595944729445199</v>
      </c>
      <c r="AG6438">
        <v>-1.1105409688129999</v>
      </c>
      <c r="AH6438">
        <v>23.418255291345901</v>
      </c>
      <c r="AI6438">
        <v>92.712276792124598</v>
      </c>
      <c r="AJ6438">
        <v>92.590667481292897</v>
      </c>
      <c r="AK6438">
        <v>23.468504907240199</v>
      </c>
      <c r="AL6438">
        <v>79.111076620486003</v>
      </c>
      <c r="AM6438">
        <v>88.908048411450693</v>
      </c>
      <c r="AN6438">
        <v>0.99999998007081103</v>
      </c>
    </row>
    <row r="6439" spans="1:40" x14ac:dyDescent="0.25">
      <c r="A6439" t="str">
        <f>"20190312173052388"</f>
        <v>20190312173052388</v>
      </c>
      <c r="B6439" t="str">
        <f>"1552383052384248"</f>
        <v>1552383052384248</v>
      </c>
      <c r="C6439" t="s">
        <v>40</v>
      </c>
      <c r="D6439">
        <v>3.2295560000000001</v>
      </c>
      <c r="E6439">
        <v>0.47807630000000001</v>
      </c>
      <c r="F6439" t="s">
        <v>63</v>
      </c>
      <c r="G6439">
        <v>-218.89940000000001</v>
      </c>
      <c r="H6439" s="1">
        <v>-3.0380840000000002E-6</v>
      </c>
      <c r="I6439">
        <v>-61.327849999999998</v>
      </c>
      <c r="J6439">
        <v>-242.01650000000001</v>
      </c>
      <c r="K6439">
        <v>1.1105309999999999</v>
      </c>
      <c r="L6439">
        <v>-62.894100000000002</v>
      </c>
      <c r="M6439">
        <v>0.99970349999999997</v>
      </c>
      <c r="N6439">
        <v>0</v>
      </c>
      <c r="O6439">
        <v>2.3086369999999998E-2</v>
      </c>
      <c r="P6439">
        <v>0.98342289999999999</v>
      </c>
      <c r="Q6439">
        <v>0.1812889</v>
      </c>
      <c r="R6439">
        <v>3.7281060000000001E-3</v>
      </c>
      <c r="S6439">
        <v>3.0770110000000002</v>
      </c>
      <c r="T6439">
        <v>-0.1467282</v>
      </c>
      <c r="U6439">
        <v>0.2075195</v>
      </c>
      <c r="V6439">
        <v>1.836552E-2</v>
      </c>
      <c r="W6439">
        <v>0.1889815</v>
      </c>
      <c r="X6439">
        <v>0.98180889999999998</v>
      </c>
      <c r="Y6439">
        <v>-4.4212509999999997E-2</v>
      </c>
      <c r="Z6439" s="1">
        <v>-4.6404079999999997E-5</v>
      </c>
      <c r="AA6439">
        <v>0.99902210000000002</v>
      </c>
      <c r="AB6439">
        <v>34</v>
      </c>
      <c r="AC6439">
        <v>23.117099999999901</v>
      </c>
      <c r="AD6439">
        <v>-1.1105340380840001</v>
      </c>
      <c r="AE6439">
        <v>1.5662499999999999</v>
      </c>
      <c r="AF6439">
        <v>-1.0297609948922299</v>
      </c>
      <c r="AG6439">
        <v>-1.1105340380840001</v>
      </c>
      <c r="AH6439">
        <v>23.094045674148902</v>
      </c>
      <c r="AI6439">
        <v>92.7503591769689</v>
      </c>
      <c r="AJ6439">
        <v>92.5531214096046</v>
      </c>
      <c r="AK6439">
        <v>23.143652243239799</v>
      </c>
      <c r="AL6439">
        <v>79.106648410857105</v>
      </c>
      <c r="AM6439">
        <v>88.928361640932195</v>
      </c>
      <c r="AN6439">
        <v>1.0000000078931599</v>
      </c>
    </row>
    <row r="6440" spans="1:40" x14ac:dyDescent="0.25">
      <c r="A6440" t="str">
        <f>"20190312173052398"</f>
        <v>20190312173052398</v>
      </c>
      <c r="B6440" t="str">
        <f>"1552383052394007"</f>
        <v>1552383052394007</v>
      </c>
      <c r="C6440" t="s">
        <v>40</v>
      </c>
      <c r="D6440">
        <v>3.2079659999999999</v>
      </c>
      <c r="E6440">
        <v>0.47826109999999999</v>
      </c>
      <c r="F6440" t="s">
        <v>63</v>
      </c>
      <c r="G6440">
        <v>-218.85919999999999</v>
      </c>
      <c r="H6440" s="1">
        <v>-3.021391E-6</v>
      </c>
      <c r="I6440">
        <v>-61.32996</v>
      </c>
      <c r="J6440">
        <v>-241.8432</v>
      </c>
      <c r="K6440">
        <v>1.110519</v>
      </c>
      <c r="L6440">
        <v>-62.889470000000003</v>
      </c>
      <c r="M6440">
        <v>0.99968590000000002</v>
      </c>
      <c r="N6440">
        <v>0</v>
      </c>
      <c r="O6440">
        <v>2.3829139999999999E-2</v>
      </c>
      <c r="P6440">
        <v>0.98338440000000005</v>
      </c>
      <c r="Q6440">
        <v>0.1814721</v>
      </c>
      <c r="R6440">
        <v>4.8220570000000003E-3</v>
      </c>
      <c r="S6440">
        <v>3.076981</v>
      </c>
      <c r="T6440">
        <v>-0.14755989999999999</v>
      </c>
      <c r="U6440">
        <v>0.2078247</v>
      </c>
      <c r="V6440">
        <v>1.8005690000000001E-2</v>
      </c>
      <c r="W6440">
        <v>0.18917110000000001</v>
      </c>
      <c r="X6440">
        <v>0.98177899999999996</v>
      </c>
      <c r="Y6440">
        <v>-4.3570829999999998E-2</v>
      </c>
      <c r="Z6440" s="1">
        <v>-9.7565590000000006E-5</v>
      </c>
      <c r="AA6440">
        <v>0.99905029999999995</v>
      </c>
      <c r="AB6440">
        <v>34</v>
      </c>
      <c r="AC6440">
        <v>22.984000000000002</v>
      </c>
      <c r="AD6440">
        <v>-1.1105220213910001</v>
      </c>
      <c r="AE6440">
        <v>1.55950999999999</v>
      </c>
      <c r="AF6440">
        <v>-1.0090168789024301</v>
      </c>
      <c r="AG6440">
        <v>-1.1105220213910001</v>
      </c>
      <c r="AH6440">
        <v>22.961277517310599</v>
      </c>
      <c r="AI6440">
        <v>92.766286741552804</v>
      </c>
      <c r="AJ6440">
        <v>92.516203106996798</v>
      </c>
      <c r="AK6440">
        <v>23.010250747196501</v>
      </c>
      <c r="AL6440">
        <v>79.095585026871404</v>
      </c>
      <c r="AM6440">
        <v>88.949321178975893</v>
      </c>
      <c r="AN6440">
        <v>0.99999995739429204</v>
      </c>
    </row>
    <row r="6441" spans="1:40" x14ac:dyDescent="0.25">
      <c r="A6441" t="str">
        <f>"20190312173052409"</f>
        <v>20190312173052409</v>
      </c>
      <c r="B6441" t="str">
        <f>"1552383052403767"</f>
        <v>1552383052403767</v>
      </c>
      <c r="C6441" t="s">
        <v>40</v>
      </c>
      <c r="D6441">
        <v>3.2102179999999998</v>
      </c>
      <c r="E6441">
        <v>0.47837089999999999</v>
      </c>
      <c r="F6441" t="s">
        <v>63</v>
      </c>
      <c r="G6441">
        <v>-218.67689999999999</v>
      </c>
      <c r="H6441" s="1">
        <v>-2.9382749999999998E-6</v>
      </c>
      <c r="I6441">
        <v>-61.31156</v>
      </c>
      <c r="J6441">
        <v>-241.67760000000001</v>
      </c>
      <c r="K6441">
        <v>1.1105069999999999</v>
      </c>
      <c r="L6441">
        <v>-62.884889999999999</v>
      </c>
      <c r="M6441">
        <v>0.99966900000000003</v>
      </c>
      <c r="N6441">
        <v>0</v>
      </c>
      <c r="O6441">
        <v>2.452331E-2</v>
      </c>
      <c r="P6441">
        <v>0.98340559999999999</v>
      </c>
      <c r="Q6441">
        <v>0.1813342</v>
      </c>
      <c r="R6441">
        <v>5.5992380000000003E-3</v>
      </c>
      <c r="S6441">
        <v>3.076889</v>
      </c>
      <c r="T6441">
        <v>-0.14749679999999901</v>
      </c>
      <c r="U6441">
        <v>0.20956420000000001</v>
      </c>
      <c r="V6441">
        <v>1.7918449999999999E-2</v>
      </c>
      <c r="W6441">
        <v>0.1890405</v>
      </c>
      <c r="X6441">
        <v>0.98180579999999995</v>
      </c>
      <c r="Y6441">
        <v>-4.344228E-2</v>
      </c>
      <c r="Z6441">
        <v>-1.3379829999999999E-4</v>
      </c>
      <c r="AA6441">
        <v>0.9990559</v>
      </c>
      <c r="AB6441">
        <v>34</v>
      </c>
      <c r="AC6441">
        <v>23.000699999999998</v>
      </c>
      <c r="AD6441">
        <v>-1.1105099382750001</v>
      </c>
      <c r="AE6441">
        <v>1.5733299999999999</v>
      </c>
      <c r="AF6441">
        <v>-1.00645122451688</v>
      </c>
      <c r="AG6441">
        <v>-1.1105099382750001</v>
      </c>
      <c r="AH6441">
        <v>22.979049519520999</v>
      </c>
      <c r="AI6441">
        <v>92.764138184985896</v>
      </c>
      <c r="AJ6441">
        <v>92.507874670454697</v>
      </c>
      <c r="AK6441">
        <v>23.027872094723399</v>
      </c>
      <c r="AL6441">
        <v>79.103205879006097</v>
      </c>
      <c r="AM6441">
        <v>88.954439261621701</v>
      </c>
      <c r="AN6441">
        <v>1.0000000052021401</v>
      </c>
    </row>
    <row r="6442" spans="1:40" x14ac:dyDescent="0.25">
      <c r="A6442" t="str">
        <f>"20190312173052420"</f>
        <v>20190312173052420</v>
      </c>
      <c r="B6442" t="str">
        <f>"1552383052413527"</f>
        <v>1552383052413527</v>
      </c>
      <c r="C6442" t="s">
        <v>40</v>
      </c>
      <c r="D6442">
        <v>3.2132890000000001</v>
      </c>
      <c r="E6442">
        <v>0.47856520000000002</v>
      </c>
      <c r="F6442" t="s">
        <v>63</v>
      </c>
      <c r="G6442">
        <v>-218.6507</v>
      </c>
      <c r="H6442" s="1">
        <v>-2.925669E-6</v>
      </c>
      <c r="I6442">
        <v>-61.30639</v>
      </c>
      <c r="J6442">
        <v>-241.5127</v>
      </c>
      <c r="K6442">
        <v>1.110492</v>
      </c>
      <c r="L6442">
        <v>-62.880310000000001</v>
      </c>
      <c r="M6442">
        <v>0.99965199999999999</v>
      </c>
      <c r="N6442">
        <v>0</v>
      </c>
      <c r="O6442">
        <v>2.5203280000000002E-2</v>
      </c>
      <c r="P6442">
        <v>0.98341259999999997</v>
      </c>
      <c r="Q6442">
        <v>0.1812695</v>
      </c>
      <c r="R6442">
        <v>6.4300260000000001E-3</v>
      </c>
      <c r="S6442">
        <v>3.076797</v>
      </c>
      <c r="T6442">
        <v>-0.14838390000000001</v>
      </c>
      <c r="U6442">
        <v>0.21090700000000001</v>
      </c>
      <c r="V6442">
        <v>1.7764039999999998E-2</v>
      </c>
      <c r="W6442">
        <v>0.18898200000000001</v>
      </c>
      <c r="X6442">
        <v>0.98181989999999997</v>
      </c>
      <c r="Y6442">
        <v>-4.3199510000000003E-2</v>
      </c>
      <c r="Z6442">
        <v>-1.7316130000000001E-4</v>
      </c>
      <c r="AA6442">
        <v>0.99906649999999997</v>
      </c>
      <c r="AB6442">
        <v>34</v>
      </c>
      <c r="AC6442">
        <v>22.861999999999899</v>
      </c>
      <c r="AD6442">
        <v>-1.110494925669</v>
      </c>
      <c r="AE6442">
        <v>1.57391999999999</v>
      </c>
      <c r="AF6442">
        <v>-0.99486890298301001</v>
      </c>
      <c r="AG6442">
        <v>-1.110494925669</v>
      </c>
      <c r="AH6442">
        <v>22.840769835245499</v>
      </c>
      <c r="AI6442">
        <v>92.780838038597807</v>
      </c>
      <c r="AJ6442">
        <v>92.494039518196004</v>
      </c>
      <c r="AK6442">
        <v>22.889380283894099</v>
      </c>
      <c r="AL6442">
        <v>79.106619555342803</v>
      </c>
      <c r="AM6442">
        <v>88.9634621588323</v>
      </c>
      <c r="AN6442">
        <v>1.00000003673856</v>
      </c>
    </row>
    <row r="6443" spans="1:40" x14ac:dyDescent="0.25">
      <c r="A6443" t="str">
        <f>"20190312173052433"</f>
        <v>20190312173052433</v>
      </c>
      <c r="B6443" t="str">
        <f>"1552383052424264"</f>
        <v>1552383052424264</v>
      </c>
      <c r="C6443" t="s">
        <v>40</v>
      </c>
      <c r="D6443">
        <v>3.2194829999999999</v>
      </c>
      <c r="E6443">
        <v>0.47870420000000002</v>
      </c>
      <c r="F6443" t="s">
        <v>63</v>
      </c>
      <c r="G6443">
        <v>-218.57900000000001</v>
      </c>
      <c r="H6443" s="1">
        <v>-2.894456E-6</v>
      </c>
      <c r="I6443">
        <v>-61.304740000000002</v>
      </c>
      <c r="J6443">
        <v>-241.32830000000001</v>
      </c>
      <c r="K6443">
        <v>1.110468</v>
      </c>
      <c r="L6443">
        <v>-62.874969999999998</v>
      </c>
      <c r="M6443">
        <v>0.99963329999999995</v>
      </c>
      <c r="N6443">
        <v>0</v>
      </c>
      <c r="O6443">
        <v>2.5934349999999998E-2</v>
      </c>
      <c r="P6443">
        <v>0.98339739999999998</v>
      </c>
      <c r="Q6443">
        <v>0.1813237</v>
      </c>
      <c r="R6443">
        <v>7.1877399999999998E-3</v>
      </c>
      <c r="S6443">
        <v>3.0767060000000002</v>
      </c>
      <c r="T6443">
        <v>-0.1489799</v>
      </c>
      <c r="U6443">
        <v>0.21136469999999999</v>
      </c>
      <c r="V6443">
        <v>1.7735689999999998E-2</v>
      </c>
      <c r="W6443">
        <v>0.1890433</v>
      </c>
      <c r="X6443">
        <v>0.98180860000000003</v>
      </c>
      <c r="Y6443">
        <v>-4.2620199999999997E-2</v>
      </c>
      <c r="Z6443">
        <v>-2.231748E-4</v>
      </c>
      <c r="AA6443">
        <v>0.99909130000000002</v>
      </c>
      <c r="AB6443">
        <v>34</v>
      </c>
      <c r="AC6443">
        <v>22.749300000000002</v>
      </c>
      <c r="AD6443">
        <v>-1.110470894456</v>
      </c>
      <c r="AE6443">
        <v>1.57022999999999</v>
      </c>
      <c r="AF6443">
        <v>-0.97737780674188302</v>
      </c>
      <c r="AG6443">
        <v>-1.110470894456</v>
      </c>
      <c r="AH6443">
        <v>22.728472441538798</v>
      </c>
      <c r="AI6443">
        <v>92.794562382487101</v>
      </c>
      <c r="AJ6443">
        <v>92.462336327064705</v>
      </c>
      <c r="AK6443">
        <v>22.776564106781599</v>
      </c>
      <c r="AL6443">
        <v>79.103042728970294</v>
      </c>
      <c r="AM6443">
        <v>88.965104122756003</v>
      </c>
      <c r="AN6443">
        <v>1.00000002550431</v>
      </c>
    </row>
    <row r="6444" spans="1:40" x14ac:dyDescent="0.25">
      <c r="A6444" t="str">
        <f>"20190312173052444"</f>
        <v>20190312173052444</v>
      </c>
      <c r="B6444" t="str">
        <f>"1552383052434023"</f>
        <v>1552383052434023</v>
      </c>
      <c r="C6444" t="s">
        <v>40</v>
      </c>
      <c r="D6444">
        <v>3.2354919999999998</v>
      </c>
      <c r="E6444">
        <v>0.4788364</v>
      </c>
      <c r="F6444" t="s">
        <v>63</v>
      </c>
      <c r="G6444">
        <v>-218.44489999999999</v>
      </c>
      <c r="H6444" s="1">
        <v>-2.8349149999999999E-6</v>
      </c>
      <c r="I6444">
        <v>-61.297130000000003</v>
      </c>
      <c r="J6444">
        <v>-241.15559999999999</v>
      </c>
      <c r="K6444">
        <v>1.1104480000000001</v>
      </c>
      <c r="L6444">
        <v>-62.87</v>
      </c>
      <c r="M6444">
        <v>0.99961560000000005</v>
      </c>
      <c r="N6444">
        <v>0</v>
      </c>
      <c r="O6444">
        <v>2.660879E-2</v>
      </c>
      <c r="P6444">
        <v>0.98338219999999998</v>
      </c>
      <c r="Q6444">
        <v>0.18137059999999999</v>
      </c>
      <c r="R6444">
        <v>8.0142269999999901E-3</v>
      </c>
      <c r="S6444">
        <v>3.0766140000000002</v>
      </c>
      <c r="T6444">
        <v>-0.1492996</v>
      </c>
      <c r="U6444">
        <v>0.2121277</v>
      </c>
      <c r="V6444">
        <v>1.7583330000000001E-2</v>
      </c>
      <c r="W6444">
        <v>0.18909570000000001</v>
      </c>
      <c r="X6444">
        <v>0.98180120000000004</v>
      </c>
      <c r="Y6444">
        <v>-4.2195940000000001E-2</v>
      </c>
      <c r="Z6444">
        <v>-2.665813E-4</v>
      </c>
      <c r="AA6444">
        <v>0.99910929999999998</v>
      </c>
      <c r="AB6444">
        <v>34</v>
      </c>
      <c r="AC6444">
        <v>22.710699999999999</v>
      </c>
      <c r="AD6444">
        <v>-1.110450834915</v>
      </c>
      <c r="AE6444">
        <v>1.57286999999999</v>
      </c>
      <c r="AF6444">
        <v>-0.96569275682551203</v>
      </c>
      <c r="AG6444">
        <v>-1.110450834915</v>
      </c>
      <c r="AH6444">
        <v>22.690522780063599</v>
      </c>
      <c r="AI6444">
        <v>92.799231221906297</v>
      </c>
      <c r="AJ6444">
        <v>92.436997582475797</v>
      </c>
      <c r="AK6444">
        <v>22.738194466358401</v>
      </c>
      <c r="AL6444">
        <v>79.099984747734993</v>
      </c>
      <c r="AM6444">
        <v>88.973984846312305</v>
      </c>
      <c r="AN6444">
        <v>0.999999976786909</v>
      </c>
    </row>
    <row r="6445" spans="1:40" x14ac:dyDescent="0.25">
      <c r="A6445" t="str">
        <f>"20190312173052454"</f>
        <v>20190312173052454</v>
      </c>
      <c r="B6445" t="str">
        <f>"1552383052443783"</f>
        <v>1552383052443783</v>
      </c>
      <c r="C6445" t="s">
        <v>40</v>
      </c>
      <c r="D6445">
        <v>3.212399</v>
      </c>
      <c r="E6445">
        <v>0.4789564</v>
      </c>
      <c r="F6445" t="s">
        <v>63</v>
      </c>
      <c r="G6445">
        <v>-218.2825</v>
      </c>
      <c r="H6445" s="1">
        <v>-2.7615050000000001E-6</v>
      </c>
      <c r="I6445">
        <v>-61.283070000000002</v>
      </c>
      <c r="J6445">
        <v>-240.9836</v>
      </c>
      <c r="K6445">
        <v>1.110419</v>
      </c>
      <c r="L6445">
        <v>-62.864809999999999</v>
      </c>
      <c r="M6445">
        <v>0.9995984</v>
      </c>
      <c r="N6445">
        <v>0</v>
      </c>
      <c r="O6445">
        <v>2.7237170000000002E-2</v>
      </c>
      <c r="P6445">
        <v>0.9833847</v>
      </c>
      <c r="Q6445">
        <v>0.18131620000000001</v>
      </c>
      <c r="R6445">
        <v>8.9044080000000008E-3</v>
      </c>
      <c r="S6445">
        <v>3.0765229999999999</v>
      </c>
      <c r="T6445">
        <v>-0.14935989999999999</v>
      </c>
      <c r="U6445">
        <v>0.21343989999999999</v>
      </c>
      <c r="V6445">
        <v>1.7325859999999998E-2</v>
      </c>
      <c r="W6445">
        <v>0.18904660000000001</v>
      </c>
      <c r="X6445">
        <v>0.98181529999999995</v>
      </c>
      <c r="Y6445">
        <v>-4.1994990000000003E-2</v>
      </c>
      <c r="Z6445">
        <v>-3.0199140000000002E-4</v>
      </c>
      <c r="AA6445">
        <v>0.99911779999999994</v>
      </c>
      <c r="AB6445">
        <v>34</v>
      </c>
      <c r="AC6445">
        <v>22.7011</v>
      </c>
      <c r="AD6445">
        <v>-1.110421761505</v>
      </c>
      <c r="AE6445">
        <v>1.5817399999999999</v>
      </c>
      <c r="AF6445">
        <v>-0.96053337209957101</v>
      </c>
      <c r="AG6445">
        <v>-1.110421761505</v>
      </c>
      <c r="AH6445">
        <v>22.681753137580799</v>
      </c>
      <c r="AI6445">
        <v>92.800263591052399</v>
      </c>
      <c r="AJ6445">
        <v>92.4249291538856</v>
      </c>
      <c r="AK6445">
        <v>22.729223177255701</v>
      </c>
      <c r="AL6445">
        <v>79.102850372349295</v>
      </c>
      <c r="AM6445">
        <v>88.989020003194099</v>
      </c>
      <c r="AN6445">
        <v>1.0000000428551901</v>
      </c>
    </row>
    <row r="6446" spans="1:40" x14ac:dyDescent="0.25">
      <c r="A6446" t="str">
        <f>"20190312173052466"</f>
        <v>20190312173052466</v>
      </c>
      <c r="B6446" t="str">
        <f>"1552383052453542"</f>
        <v>1552383052453542</v>
      </c>
      <c r="C6446" t="s">
        <v>40</v>
      </c>
      <c r="D6446">
        <v>3.2770899999999998</v>
      </c>
      <c r="E6446">
        <v>0.47907139999999998</v>
      </c>
      <c r="F6446" t="s">
        <v>63</v>
      </c>
      <c r="G6446">
        <v>-218.12790000000001</v>
      </c>
      <c r="H6446" s="1">
        <v>-2.6909669999999999E-6</v>
      </c>
      <c r="I6446">
        <v>-61.267180000000003</v>
      </c>
      <c r="J6446">
        <v>-240.82220000000001</v>
      </c>
      <c r="K6446">
        <v>1.110385</v>
      </c>
      <c r="L6446">
        <v>-62.859949999999998</v>
      </c>
      <c r="M6446">
        <v>0.99958250000000004</v>
      </c>
      <c r="N6446">
        <v>0</v>
      </c>
      <c r="O6446">
        <v>2.781703E-2</v>
      </c>
      <c r="P6446">
        <v>0.98336159999999995</v>
      </c>
      <c r="Q6446">
        <v>0.18140790000000001</v>
      </c>
      <c r="R6446">
        <v>9.5584320000000004E-3</v>
      </c>
      <c r="S6446">
        <v>3.0763090000000002</v>
      </c>
      <c r="T6446">
        <v>-0.14945919999999999</v>
      </c>
      <c r="U6446">
        <v>0.21502689999999999</v>
      </c>
      <c r="V6446">
        <v>1.7255699999999999E-2</v>
      </c>
      <c r="W6446">
        <v>0.18914300000000001</v>
      </c>
      <c r="X6446">
        <v>0.9817979</v>
      </c>
      <c r="Y6446">
        <v>-4.1933829999999998E-2</v>
      </c>
      <c r="Z6446">
        <v>-3.317886E-4</v>
      </c>
      <c r="AA6446">
        <v>0.99912040000000002</v>
      </c>
      <c r="AB6446">
        <v>34</v>
      </c>
      <c r="AC6446">
        <v>22.694299999999998</v>
      </c>
      <c r="AD6446">
        <v>-1.1103876909670001</v>
      </c>
      <c r="AE6446">
        <v>1.59276999999999</v>
      </c>
      <c r="AF6446">
        <v>-0.95856281264167997</v>
      </c>
      <c r="AG6446">
        <v>-1.1103876909670001</v>
      </c>
      <c r="AH6446">
        <v>22.675806228058999</v>
      </c>
      <c r="AI6446">
        <v>92.800919960170404</v>
      </c>
      <c r="AJ6446">
        <v>92.420594167249604</v>
      </c>
      <c r="AK6446">
        <v>22.723203814218401</v>
      </c>
      <c r="AL6446">
        <v>79.097224833227401</v>
      </c>
      <c r="AM6446">
        <v>88.993095218748707</v>
      </c>
      <c r="AN6446">
        <v>0.99999997503794902</v>
      </c>
    </row>
    <row r="6447" spans="1:40" x14ac:dyDescent="0.25">
      <c r="A6447" t="str">
        <f>"20190312173052475"</f>
        <v>20190312173052475</v>
      </c>
      <c r="B6447" t="str">
        <f>"1552383052464278"</f>
        <v>1552383052464278</v>
      </c>
      <c r="C6447" t="s">
        <v>40</v>
      </c>
      <c r="D6447">
        <v>3.275026</v>
      </c>
      <c r="E6447">
        <v>0.479184</v>
      </c>
      <c r="F6447" t="s">
        <v>63</v>
      </c>
      <c r="G6447">
        <v>-217.77940000000001</v>
      </c>
      <c r="H6447" s="1">
        <v>-2.535487E-6</v>
      </c>
      <c r="I6447">
        <v>-61.24474</v>
      </c>
      <c r="J6447">
        <v>-240.65979999999999</v>
      </c>
      <c r="K6447">
        <v>1.1103499999999999</v>
      </c>
      <c r="L6447">
        <v>-62.8549199999999</v>
      </c>
      <c r="M6447">
        <v>0.99956699999999998</v>
      </c>
      <c r="N6447">
        <v>0</v>
      </c>
      <c r="O6447">
        <v>2.836605E-2</v>
      </c>
      <c r="P6447">
        <v>0.98335079999999997</v>
      </c>
      <c r="Q6447">
        <v>0.1814267</v>
      </c>
      <c r="R6447">
        <v>1.028895E-2</v>
      </c>
      <c r="S6447">
        <v>3.0759889999999999</v>
      </c>
      <c r="T6447">
        <v>-0.14822569999999999</v>
      </c>
      <c r="U6447">
        <v>0.21560670000000001</v>
      </c>
      <c r="V6447">
        <v>1.7080850000000002E-2</v>
      </c>
      <c r="W6447">
        <v>0.18916640000000001</v>
      </c>
      <c r="X6447">
        <v>0.98179640000000001</v>
      </c>
      <c r="Y6447">
        <v>-4.1581029999999998E-2</v>
      </c>
      <c r="Z6447">
        <v>-3.6395829999999999E-4</v>
      </c>
      <c r="AA6447">
        <v>0.99913510000000005</v>
      </c>
      <c r="AB6447">
        <v>34</v>
      </c>
      <c r="AC6447">
        <v>22.880399999999899</v>
      </c>
      <c r="AD6447">
        <v>-1.1103525354870001</v>
      </c>
      <c r="AE6447">
        <v>1.61017999999999</v>
      </c>
      <c r="AF6447">
        <v>-0.95824005000337298</v>
      </c>
      <c r="AG6447">
        <v>-1.1103525354870001</v>
      </c>
      <c r="AH6447">
        <v>22.863290112193798</v>
      </c>
      <c r="AI6447">
        <v>92.777942170473494</v>
      </c>
      <c r="AJ6447">
        <v>92.399960667080805</v>
      </c>
      <c r="AK6447">
        <v>22.9102846228682</v>
      </c>
      <c r="AL6447">
        <v>79.095858929679906</v>
      </c>
      <c r="AM6447">
        <v>89.003294476503996</v>
      </c>
      <c r="AN6447">
        <v>0.99999992668931803</v>
      </c>
    </row>
    <row r="6448" spans="1:40" x14ac:dyDescent="0.25">
      <c r="A6448" t="str">
        <f>"20190312173052487"</f>
        <v>20190312173052487</v>
      </c>
      <c r="B6448" t="str">
        <f>"1552383052483799"</f>
        <v>1552383052483799</v>
      </c>
      <c r="C6448" t="s">
        <v>40</v>
      </c>
      <c r="D6448">
        <v>3.2749579999999998</v>
      </c>
      <c r="E6448">
        <v>0.47941919999999999</v>
      </c>
      <c r="F6448" t="s">
        <v>63</v>
      </c>
      <c r="G6448">
        <v>-217.5367</v>
      </c>
      <c r="H6448" s="1">
        <v>-2.42673E-6</v>
      </c>
      <c r="I6448">
        <v>-61.2273</v>
      </c>
      <c r="J6448">
        <v>-240.49019999999999</v>
      </c>
      <c r="K6448">
        <v>1.110312</v>
      </c>
      <c r="L6448">
        <v>-62.849640000000001</v>
      </c>
      <c r="M6448">
        <v>0.99955110000000003</v>
      </c>
      <c r="N6448">
        <v>0</v>
      </c>
      <c r="O6448">
        <v>2.8919750000000001E-2</v>
      </c>
      <c r="P6448">
        <v>0.98334180000000004</v>
      </c>
      <c r="Q6448">
        <v>0.18141209999999999</v>
      </c>
      <c r="R6448">
        <v>1.1355270000000001E-2</v>
      </c>
      <c r="S6448">
        <v>3.0757599999999998</v>
      </c>
      <c r="T6448">
        <v>-0.14769549999999901</v>
      </c>
      <c r="U6448">
        <v>0.21649170000000001</v>
      </c>
      <c r="V6448">
        <v>1.6577160000000001E-2</v>
      </c>
      <c r="W6448">
        <v>0.18915570000000001</v>
      </c>
      <c r="X6448">
        <v>0.98180719999999999</v>
      </c>
      <c r="Y6448">
        <v>-4.131986E-2</v>
      </c>
      <c r="Z6448">
        <v>-3.9545850000000002E-4</v>
      </c>
      <c r="AA6448">
        <v>0.99914590000000003</v>
      </c>
      <c r="AB6448">
        <v>34</v>
      </c>
      <c r="AC6448">
        <v>22.953499999999899</v>
      </c>
      <c r="AD6448">
        <v>-1.11031442673</v>
      </c>
      <c r="AE6448">
        <v>1.6223399999999999</v>
      </c>
      <c r="AF6448">
        <v>-0.95560668917781599</v>
      </c>
      <c r="AG6448">
        <v>-1.11031442673</v>
      </c>
      <c r="AH6448">
        <v>22.937413826967902</v>
      </c>
      <c r="AI6448">
        <v>92.768913038871105</v>
      </c>
      <c r="AJ6448">
        <v>92.3856475751586</v>
      </c>
      <c r="AK6448">
        <v>22.984145303669301</v>
      </c>
      <c r="AL6448">
        <v>79.096484401286801</v>
      </c>
      <c r="AM6448">
        <v>89.032690875488399</v>
      </c>
      <c r="AN6448">
        <v>1.0000000295239899</v>
      </c>
    </row>
    <row r="6449" spans="1:40" x14ac:dyDescent="0.25">
      <c r="A6449" t="str">
        <f>"20190312173052498"</f>
        <v>20190312173052498</v>
      </c>
      <c r="B6449" t="str">
        <f>"1552383052494549"</f>
        <v>1552383052494549</v>
      </c>
      <c r="C6449" t="s">
        <v>40</v>
      </c>
      <c r="D6449">
        <v>3.283515</v>
      </c>
      <c r="E6449">
        <v>0.47954730000000001</v>
      </c>
      <c r="F6449" t="s">
        <v>63</v>
      </c>
      <c r="G6449">
        <v>-217.13589999999999</v>
      </c>
      <c r="H6449" s="1">
        <v>-2.2466869999999999E-6</v>
      </c>
      <c r="I6449">
        <v>-61.196910000000003</v>
      </c>
      <c r="J6449">
        <v>-240.30760000000001</v>
      </c>
      <c r="K6449">
        <v>1.1102669999999999</v>
      </c>
      <c r="L6449">
        <v>-62.843870000000003</v>
      </c>
      <c r="M6449">
        <v>0.9995347</v>
      </c>
      <c r="N6449">
        <v>0</v>
      </c>
      <c r="O6449">
        <v>2.9479539999999999E-2</v>
      </c>
      <c r="P6449">
        <v>0.98330870000000004</v>
      </c>
      <c r="Q6449">
        <v>0.18154219999999999</v>
      </c>
      <c r="R6449">
        <v>1.210665E-2</v>
      </c>
      <c r="S6449">
        <v>3.075272</v>
      </c>
      <c r="T6449">
        <v>-0.14620469999999999</v>
      </c>
      <c r="U6449">
        <v>0.2176208</v>
      </c>
      <c r="V6449">
        <v>1.639614E-2</v>
      </c>
      <c r="W6449">
        <v>0.1892905</v>
      </c>
      <c r="X6449">
        <v>0.9817842</v>
      </c>
      <c r="Y6449">
        <v>-4.1137559999999997E-2</v>
      </c>
      <c r="Z6449">
        <v>-4.2239589999999998E-4</v>
      </c>
      <c r="AA6449">
        <v>0.99915339999999997</v>
      </c>
      <c r="AB6449">
        <v>34</v>
      </c>
      <c r="AC6449">
        <v>23.171700000000001</v>
      </c>
      <c r="AD6449">
        <v>-1.1102692466869899</v>
      </c>
      <c r="AE6449">
        <v>1.64695999999999</v>
      </c>
      <c r="AF6449">
        <v>-0.96093708766623198</v>
      </c>
      <c r="AG6449">
        <v>-1.1102692466869899</v>
      </c>
      <c r="AH6449">
        <v>23.157283612911399</v>
      </c>
      <c r="AI6449">
        <v>92.742570939437798</v>
      </c>
      <c r="AJ6449">
        <v>92.376188472218701</v>
      </c>
      <c r="AK6449">
        <v>23.2037902553744</v>
      </c>
      <c r="AL6449">
        <v>79.088618186527199</v>
      </c>
      <c r="AM6449">
        <v>89.043229356568006</v>
      </c>
      <c r="AN6449">
        <v>0.999999971083394</v>
      </c>
    </row>
    <row r="6450" spans="1:40" x14ac:dyDescent="0.25">
      <c r="A6450" t="str">
        <f>"20190312173052510"</f>
        <v>20190312173052510</v>
      </c>
      <c r="B6450" t="str">
        <f>"1552383052504294"</f>
        <v>1552383052504294</v>
      </c>
      <c r="C6450" t="s">
        <v>40</v>
      </c>
      <c r="D6450">
        <v>3.2909799999999998</v>
      </c>
      <c r="E6450">
        <v>0.47954730000000001</v>
      </c>
      <c r="F6450" t="s">
        <v>63</v>
      </c>
      <c r="G6450">
        <v>-216.8767</v>
      </c>
      <c r="H6450" s="1">
        <v>-2.1305129999999999E-6</v>
      </c>
      <c r="I6450">
        <v>-61.178220000000003</v>
      </c>
      <c r="J6450">
        <v>-240.13900000000001</v>
      </c>
      <c r="K6450">
        <v>1.11022</v>
      </c>
      <c r="L6450">
        <v>-62.838500000000003</v>
      </c>
      <c r="M6450">
        <v>0.99952039999999998</v>
      </c>
      <c r="N6450">
        <v>0</v>
      </c>
      <c r="O6450">
        <v>2.995832E-2</v>
      </c>
      <c r="P6450">
        <v>0.98333440000000005</v>
      </c>
      <c r="Q6450">
        <v>0.18132809999999999</v>
      </c>
      <c r="R6450">
        <v>1.31761E-2</v>
      </c>
      <c r="S6450">
        <v>3.0751499999999998</v>
      </c>
      <c r="T6450">
        <v>-0.14571500000000001</v>
      </c>
      <c r="U6450">
        <v>0.2185974</v>
      </c>
      <c r="V6450">
        <v>1.5820560000000001E-2</v>
      </c>
      <c r="W6450">
        <v>0.1890812</v>
      </c>
      <c r="X6450">
        <v>0.98183399999999998</v>
      </c>
      <c r="Y6450">
        <v>-4.0978260000000002E-2</v>
      </c>
      <c r="Z6450">
        <v>-4.4738699999999999E-4</v>
      </c>
      <c r="AA6450">
        <v>0.99915989999999999</v>
      </c>
      <c r="AB6450">
        <v>34</v>
      </c>
      <c r="AC6450">
        <v>23.2623</v>
      </c>
      <c r="AD6450">
        <v>-1.110222130513</v>
      </c>
      <c r="AE6450">
        <v>1.66028</v>
      </c>
      <c r="AF6450">
        <v>-0.960437297454663</v>
      </c>
      <c r="AG6450">
        <v>-1.110222130513</v>
      </c>
      <c r="AH6450">
        <v>23.248910934704199</v>
      </c>
      <c r="AI6450">
        <v>92.731683584816494</v>
      </c>
      <c r="AJ6450">
        <v>92.365604632331497</v>
      </c>
      <c r="AK6450">
        <v>23.295211796230401</v>
      </c>
      <c r="AL6450">
        <v>79.100831021552594</v>
      </c>
      <c r="AM6450">
        <v>89.076857309748505</v>
      </c>
      <c r="AN6450">
        <v>0.99999999693407604</v>
      </c>
    </row>
    <row r="6451" spans="1:40" x14ac:dyDescent="0.25">
      <c r="A6451" t="str">
        <f>"20190312173052520"</f>
        <v>20190312173052520</v>
      </c>
      <c r="B6451" t="str">
        <f>"1552383052514055"</f>
        <v>1552383052514055</v>
      </c>
      <c r="C6451" t="s">
        <v>40</v>
      </c>
      <c r="D6451">
        <v>3.2962419999999999</v>
      </c>
      <c r="E6451">
        <v>0.47965039999999998</v>
      </c>
      <c r="F6451" t="s">
        <v>63</v>
      </c>
      <c r="G6451">
        <v>-216.83779999999999</v>
      </c>
      <c r="H6451" s="1">
        <v>-2.1090449999999998E-6</v>
      </c>
      <c r="I6451">
        <v>-61.160200000000003</v>
      </c>
      <c r="J6451">
        <v>-239.96969999999999</v>
      </c>
      <c r="K6451">
        <v>1.110171</v>
      </c>
      <c r="L6451">
        <v>-62.833039999999997</v>
      </c>
      <c r="M6451">
        <v>0.99950649999999996</v>
      </c>
      <c r="N6451">
        <v>0</v>
      </c>
      <c r="O6451">
        <v>3.0416019999999998E-2</v>
      </c>
      <c r="P6451">
        <v>0.9833615</v>
      </c>
      <c r="Q6451">
        <v>0.1811217</v>
      </c>
      <c r="R6451">
        <v>1.3961899999999999E-2</v>
      </c>
      <c r="S6451">
        <v>3.0749050000000002</v>
      </c>
      <c r="T6451">
        <v>-0.14650829999999901</v>
      </c>
      <c r="U6451">
        <v>0.2214661</v>
      </c>
      <c r="V6451">
        <v>1.550907E-2</v>
      </c>
      <c r="W6451">
        <v>0.18888079999999999</v>
      </c>
      <c r="X6451">
        <v>0.98187760000000002</v>
      </c>
      <c r="Y6451">
        <v>-4.145356E-2</v>
      </c>
      <c r="Z6451">
        <v>-4.602826E-4</v>
      </c>
      <c r="AA6451">
        <v>0.99914029999999998</v>
      </c>
      <c r="AB6451">
        <v>34</v>
      </c>
      <c r="AC6451">
        <v>23.131900000000002</v>
      </c>
      <c r="AD6451">
        <v>-1.110173109045</v>
      </c>
      <c r="AE6451">
        <v>1.6728400000000001</v>
      </c>
      <c r="AF6451">
        <v>-0.96624993332310405</v>
      </c>
      <c r="AG6451">
        <v>-1.110173109045</v>
      </c>
      <c r="AH6451">
        <v>23.119105304184199</v>
      </c>
      <c r="AI6451">
        <v>92.7468214996358</v>
      </c>
      <c r="AJ6451">
        <v>92.393251864291003</v>
      </c>
      <c r="AK6451">
        <v>23.1659049754515</v>
      </c>
      <c r="AL6451">
        <v>79.112524426567106</v>
      </c>
      <c r="AM6451">
        <v>89.095070132653902</v>
      </c>
      <c r="AN6451">
        <v>1.0000000546213299</v>
      </c>
    </row>
    <row r="6452" spans="1:40" x14ac:dyDescent="0.25">
      <c r="A6452" t="str">
        <f>"20190312173052531"</f>
        <v>20190312173052531</v>
      </c>
      <c r="B6452" t="str">
        <f>"1552383052523815"</f>
        <v>1552383052523815</v>
      </c>
      <c r="C6452" t="s">
        <v>40</v>
      </c>
      <c r="D6452">
        <v>3.3004250000000002</v>
      </c>
      <c r="E6452">
        <v>0.47978680000000001</v>
      </c>
      <c r="F6452" t="s">
        <v>63</v>
      </c>
      <c r="G6452">
        <v>-216.73220000000001</v>
      </c>
      <c r="H6452" s="1">
        <v>-2.0608759999999998E-6</v>
      </c>
      <c r="I6452">
        <v>-61.149500000000003</v>
      </c>
      <c r="J6452">
        <v>-239.80359999999999</v>
      </c>
      <c r="K6452">
        <v>1.1101190000000001</v>
      </c>
      <c r="L6452">
        <v>-62.82761</v>
      </c>
      <c r="M6452">
        <v>0.99949440000000001</v>
      </c>
      <c r="N6452">
        <v>0</v>
      </c>
      <c r="O6452">
        <v>3.0810319999999999E-2</v>
      </c>
      <c r="P6452">
        <v>0.98336109999999999</v>
      </c>
      <c r="Q6452">
        <v>0.18106069999999999</v>
      </c>
      <c r="R6452">
        <v>1.4769539999999999E-2</v>
      </c>
      <c r="S6452">
        <v>3.074646</v>
      </c>
      <c r="T6452">
        <v>-0.14689099999999999</v>
      </c>
      <c r="U6452">
        <v>0.2227478</v>
      </c>
      <c r="V6452">
        <v>1.511415E-2</v>
      </c>
      <c r="W6452">
        <v>0.18882599999999999</v>
      </c>
      <c r="X6452">
        <v>0.9818943</v>
      </c>
      <c r="Y6452">
        <v>-4.1480139999999999E-2</v>
      </c>
      <c r="Z6452">
        <v>-4.796655E-4</v>
      </c>
      <c r="AA6452">
        <v>0.99913920000000001</v>
      </c>
      <c r="AB6452">
        <v>34</v>
      </c>
      <c r="AC6452">
        <v>23.071399999999901</v>
      </c>
      <c r="AD6452">
        <v>-1.1101210608759999</v>
      </c>
      <c r="AE6452">
        <v>1.67810999999999</v>
      </c>
      <c r="AF6452">
        <v>-0.96423346416567202</v>
      </c>
      <c r="AG6452">
        <v>-1.1101210608759999</v>
      </c>
      <c r="AH6452">
        <v>23.0590449916517</v>
      </c>
      <c r="AI6452">
        <v>92.753833585102399</v>
      </c>
      <c r="AJ6452">
        <v>92.394476485064402</v>
      </c>
      <c r="AK6452">
        <v>23.105879573611499</v>
      </c>
      <c r="AL6452">
        <v>79.115721786549003</v>
      </c>
      <c r="AM6452">
        <v>89.118124404175404</v>
      </c>
      <c r="AN6452">
        <v>1.0000000560893501</v>
      </c>
    </row>
    <row r="6453" spans="1:40" x14ac:dyDescent="0.25">
      <c r="A6453" t="str">
        <f>"20190312173052543"</f>
        <v>20190312173052543</v>
      </c>
      <c r="B6453" t="str">
        <f>"1552383052534550"</f>
        <v>1552383052534550</v>
      </c>
      <c r="C6453" t="s">
        <v>40</v>
      </c>
      <c r="D6453">
        <v>3.2875939999999999</v>
      </c>
      <c r="E6453">
        <v>0.4799194</v>
      </c>
      <c r="F6453" t="s">
        <v>63</v>
      </c>
      <c r="G6453">
        <v>-216.59620000000001</v>
      </c>
      <c r="H6453" s="1">
        <v>-1.9990080000000001E-6</v>
      </c>
      <c r="I6453">
        <v>-61.136249999999997</v>
      </c>
      <c r="J6453">
        <v>-239.62209999999999</v>
      </c>
      <c r="K6453">
        <v>1.110058</v>
      </c>
      <c r="L6453">
        <v>-62.821689999999997</v>
      </c>
      <c r="M6453">
        <v>0.99948139999999996</v>
      </c>
      <c r="N6453">
        <v>0</v>
      </c>
      <c r="O6453">
        <v>3.1223580000000001E-2</v>
      </c>
      <c r="P6453">
        <v>0.98334319999999997</v>
      </c>
      <c r="Q6453">
        <v>0.18108869999999999</v>
      </c>
      <c r="R6453">
        <v>1.55925E-2</v>
      </c>
      <c r="S6453">
        <v>3.0744630000000002</v>
      </c>
      <c r="T6453">
        <v>-0.14706620000000001</v>
      </c>
      <c r="U6453">
        <v>0.22406010000000001</v>
      </c>
      <c r="V6453">
        <v>1.4725139999999999E-2</v>
      </c>
      <c r="W6453">
        <v>0.18886159999999999</v>
      </c>
      <c r="X6453">
        <v>0.98189329999999997</v>
      </c>
      <c r="Y6453">
        <v>-4.1495949999999997E-2</v>
      </c>
      <c r="Z6453">
        <v>-4.9959150000000003E-4</v>
      </c>
      <c r="AA6453">
        <v>0.99913850000000004</v>
      </c>
      <c r="AB6453">
        <v>35</v>
      </c>
      <c r="AC6453">
        <v>23.025899999999901</v>
      </c>
      <c r="AD6453">
        <v>-1.110059999008</v>
      </c>
      <c r="AE6453">
        <v>1.68544</v>
      </c>
      <c r="AF6453">
        <v>-0.96341767359093</v>
      </c>
      <c r="AG6453">
        <v>-1.110059999008</v>
      </c>
      <c r="AH6453">
        <v>23.014096947966099</v>
      </c>
      <c r="AI6453">
        <v>92.759046846837705</v>
      </c>
      <c r="AJ6453">
        <v>92.397120163633005</v>
      </c>
      <c r="AK6453">
        <v>23.060985780004501</v>
      </c>
      <c r="AL6453">
        <v>79.113643990280295</v>
      </c>
      <c r="AM6453">
        <v>89.140817913057703</v>
      </c>
      <c r="AN6453">
        <v>0.999999993143734</v>
      </c>
    </row>
    <row r="6454" spans="1:40" x14ac:dyDescent="0.25">
      <c r="A6454" t="str">
        <f>"20190312173052554"</f>
        <v>20190312173052554</v>
      </c>
      <c r="B6454" t="str">
        <f>"1552383052544311"</f>
        <v>1552383052544311</v>
      </c>
      <c r="C6454" t="s">
        <v>40</v>
      </c>
      <c r="D6454">
        <v>3.2579129999999998</v>
      </c>
      <c r="E6454">
        <v>0.4800276</v>
      </c>
      <c r="F6454" t="s">
        <v>63</v>
      </c>
      <c r="G6454">
        <v>-216.3545</v>
      </c>
      <c r="H6454" s="1">
        <v>-1.8899900000000001E-6</v>
      </c>
      <c r="I6454">
        <v>-61.116120000000002</v>
      </c>
      <c r="J6454">
        <v>-239.4573</v>
      </c>
      <c r="K6454">
        <v>1.109999</v>
      </c>
      <c r="L6454">
        <v>-62.816220000000001</v>
      </c>
      <c r="M6454">
        <v>0.99947180000000002</v>
      </c>
      <c r="N6454">
        <v>0</v>
      </c>
      <c r="O6454">
        <v>3.1528939999999998E-2</v>
      </c>
      <c r="P6454">
        <v>0.98336279999999998</v>
      </c>
      <c r="Q6454">
        <v>0.18093909999999999</v>
      </c>
      <c r="R6454">
        <v>1.609126E-2</v>
      </c>
      <c r="S6454">
        <v>3.074249</v>
      </c>
      <c r="T6454">
        <v>-0.14666760000000001</v>
      </c>
      <c r="U6454">
        <v>0.22534179999999901</v>
      </c>
      <c r="V6454">
        <v>1.4555729999999999E-2</v>
      </c>
      <c r="W6454">
        <v>0.18871969999999999</v>
      </c>
      <c r="X6454">
        <v>0.98192310000000005</v>
      </c>
      <c r="Y6454">
        <v>-4.1610349999999997E-2</v>
      </c>
      <c r="Z6454">
        <v>-5.1006619999999995E-4</v>
      </c>
      <c r="AA6454">
        <v>0.99913379999999996</v>
      </c>
      <c r="AB6454">
        <v>35</v>
      </c>
      <c r="AC6454">
        <v>23.102799999999998</v>
      </c>
      <c r="AD6454">
        <v>-1.11000088999</v>
      </c>
      <c r="AE6454">
        <v>1.70009999999999</v>
      </c>
      <c r="AF6454">
        <v>-0.96860142182411002</v>
      </c>
      <c r="AG6454">
        <v>-1.11000088999</v>
      </c>
      <c r="AH6454">
        <v>23.0918984927034</v>
      </c>
      <c r="AI6454">
        <v>92.749609540714701</v>
      </c>
      <c r="AJ6454">
        <v>92.401892609718601</v>
      </c>
      <c r="AK6454">
        <v>23.138843244368399</v>
      </c>
      <c r="AL6454">
        <v>79.121923045984701</v>
      </c>
      <c r="AM6454">
        <v>89.150726958311594</v>
      </c>
      <c r="AN6454">
        <v>0.99999998437876603</v>
      </c>
    </row>
    <row r="6455" spans="1:40" x14ac:dyDescent="0.25">
      <c r="A6455" t="str">
        <f>"20190312173052565"</f>
        <v>20190312173052565</v>
      </c>
      <c r="B6455" t="str">
        <f>"1552383052554071"</f>
        <v>1552383052554071</v>
      </c>
      <c r="C6455" t="s">
        <v>40</v>
      </c>
      <c r="D6455">
        <v>3.277622</v>
      </c>
      <c r="E6455">
        <v>0.48016740000000002</v>
      </c>
      <c r="F6455" t="s">
        <v>63</v>
      </c>
      <c r="G6455">
        <v>-216.2081</v>
      </c>
      <c r="H6455" s="1">
        <v>-1.824283E-6</v>
      </c>
      <c r="I6455">
        <v>-61.10521</v>
      </c>
      <c r="J6455">
        <v>-239.28399999999999</v>
      </c>
      <c r="K6455">
        <v>1.1099330000000001</v>
      </c>
      <c r="L6455">
        <v>-62.810490000000001</v>
      </c>
      <c r="M6455">
        <v>0.99946190000000001</v>
      </c>
      <c r="N6455">
        <v>0</v>
      </c>
      <c r="O6455">
        <v>3.1836280000000002E-2</v>
      </c>
      <c r="P6455">
        <v>0.98335530000000004</v>
      </c>
      <c r="Q6455">
        <v>0.1809373</v>
      </c>
      <c r="R6455">
        <v>1.65590999999999E-2</v>
      </c>
      <c r="S6455">
        <v>3.0740660000000002</v>
      </c>
      <c r="T6455">
        <v>-0.14676689999999901</v>
      </c>
      <c r="U6455">
        <v>0.22622680000000001</v>
      </c>
      <c r="V6455">
        <v>1.441978E-2</v>
      </c>
      <c r="W6455">
        <v>0.18872630000000001</v>
      </c>
      <c r="X6455">
        <v>0.98192389999999996</v>
      </c>
      <c r="Y6455">
        <v>-4.1593900000000003E-2</v>
      </c>
      <c r="Z6455">
        <v>-5.2545879999999997E-4</v>
      </c>
      <c r="AA6455">
        <v>0.99913450000000004</v>
      </c>
      <c r="AB6455">
        <v>35</v>
      </c>
      <c r="AC6455">
        <v>23.075900000000001</v>
      </c>
      <c r="AD6455">
        <v>-1.1099348242829901</v>
      </c>
      <c r="AE6455">
        <v>1.7052799999999999</v>
      </c>
      <c r="AF6455">
        <v>-0.96751558121525505</v>
      </c>
      <c r="AG6455">
        <v>-1.1099348242829901</v>
      </c>
      <c r="AH6455">
        <v>23.0654204763315</v>
      </c>
      <c r="AI6455">
        <v>92.752597398458207</v>
      </c>
      <c r="AJ6455">
        <v>92.401954089347697</v>
      </c>
      <c r="AK6455">
        <v>23.112370355807801</v>
      </c>
      <c r="AL6455">
        <v>79.121538651418902</v>
      </c>
      <c r="AM6455">
        <v>89.158658678074104</v>
      </c>
      <c r="AN6455">
        <v>1.0000000458790701</v>
      </c>
    </row>
    <row r="6456" spans="1:40" x14ac:dyDescent="0.25">
      <c r="A6456" t="str">
        <f>"20190312173052576"</f>
        <v>20190312173052576</v>
      </c>
      <c r="B6456" t="str">
        <f>"1552383052563831"</f>
        <v>1552383052563831</v>
      </c>
      <c r="C6456" t="s">
        <v>40</v>
      </c>
      <c r="D6456">
        <v>3.2918810000000001</v>
      </c>
      <c r="E6456">
        <v>0.48031489999999999</v>
      </c>
      <c r="F6456" t="s">
        <v>63</v>
      </c>
      <c r="G6456">
        <v>-216.0333</v>
      </c>
      <c r="H6456" s="1">
        <v>-1.7470200000000001E-6</v>
      </c>
      <c r="I6456">
        <v>-61.09675</v>
      </c>
      <c r="J6456">
        <v>-239.11349999999999</v>
      </c>
      <c r="K6456">
        <v>1.1098730000000001</v>
      </c>
      <c r="L6456">
        <v>-62.804810000000003</v>
      </c>
      <c r="M6456">
        <v>0.99945399999999995</v>
      </c>
      <c r="N6456">
        <v>0</v>
      </c>
      <c r="O6456">
        <v>3.208246E-2</v>
      </c>
      <c r="P6456">
        <v>0.9834252</v>
      </c>
      <c r="Q6456">
        <v>0.18048690000000001</v>
      </c>
      <c r="R6456">
        <v>1.730808E-2</v>
      </c>
      <c r="S6456">
        <v>3.073944</v>
      </c>
      <c r="T6456">
        <v>-0.1467427</v>
      </c>
      <c r="U6456">
        <v>0.2265625</v>
      </c>
      <c r="V6456">
        <v>1.3946099999999999E-2</v>
      </c>
      <c r="W6456">
        <v>0.1882837</v>
      </c>
      <c r="X6456">
        <v>0.98201570000000005</v>
      </c>
      <c r="Y6456">
        <v>-4.1459660000000002E-2</v>
      </c>
      <c r="Z6456">
        <v>-5.4030660000000004E-4</v>
      </c>
      <c r="AA6456">
        <v>0.99914000000000003</v>
      </c>
      <c r="AB6456">
        <v>35</v>
      </c>
      <c r="AC6456">
        <v>23.080199999999898</v>
      </c>
      <c r="AD6456">
        <v>-1.1098747470200001</v>
      </c>
      <c r="AE6456">
        <v>1.7080599999999899</v>
      </c>
      <c r="AF6456">
        <v>-0.96446985372945804</v>
      </c>
      <c r="AG6456">
        <v>-1.1098747470200001</v>
      </c>
      <c r="AH6456">
        <v>23.0700612910519</v>
      </c>
      <c r="AI6456">
        <v>92.751911935170995</v>
      </c>
      <c r="AJ6456">
        <v>92.393920479203004</v>
      </c>
      <c r="AK6456">
        <v>23.116871588208401</v>
      </c>
      <c r="AL6456">
        <v>79.147360631929701</v>
      </c>
      <c r="AM6456">
        <v>89.186368447271093</v>
      </c>
      <c r="AN6456">
        <v>1.0000000402186899</v>
      </c>
    </row>
    <row r="6457" spans="1:40" x14ac:dyDescent="0.25">
      <c r="A6457" t="str">
        <f>"20190312173052588"</f>
        <v>20190312173052588</v>
      </c>
      <c r="B6457" t="str">
        <f>"1552383052584327"</f>
        <v>1552383052584327</v>
      </c>
      <c r="C6457" t="s">
        <v>40</v>
      </c>
      <c r="D6457">
        <v>3.3191410000000001</v>
      </c>
      <c r="E6457">
        <v>0.48439939999999998</v>
      </c>
      <c r="F6457" t="s">
        <v>63</v>
      </c>
      <c r="G6457">
        <v>-216.0855</v>
      </c>
      <c r="H6457" s="1">
        <v>-1.7693459999999999E-6</v>
      </c>
      <c r="I6457">
        <v>-61.096409999999999</v>
      </c>
      <c r="J6457">
        <v>-238.9358</v>
      </c>
      <c r="K6457">
        <v>1.1098049999999999</v>
      </c>
      <c r="L6457">
        <v>-62.798920000000003</v>
      </c>
      <c r="M6457">
        <v>0.99944659999999996</v>
      </c>
      <c r="N6457">
        <v>0</v>
      </c>
      <c r="O6457">
        <v>3.2308749999999997E-2</v>
      </c>
      <c r="P6457">
        <v>0.98339650000000001</v>
      </c>
      <c r="Q6457">
        <v>0.18059130000000001</v>
      </c>
      <c r="R6457">
        <v>1.7844700000000002E-2</v>
      </c>
      <c r="S6457">
        <v>3.0737459999999999</v>
      </c>
      <c r="T6457">
        <v>-0.14814469999999999</v>
      </c>
      <c r="U6457">
        <v>0.22802729999999999</v>
      </c>
      <c r="V6457">
        <v>1.3662189999999999E-2</v>
      </c>
      <c r="W6457">
        <v>0.18839610000000001</v>
      </c>
      <c r="X6457">
        <v>0.98199809999999998</v>
      </c>
      <c r="Y6457">
        <v>-4.1711499999999999E-2</v>
      </c>
      <c r="Z6457">
        <v>-5.5030300000000003E-4</v>
      </c>
      <c r="AA6457">
        <v>0.9991295</v>
      </c>
      <c r="AB6457">
        <v>35</v>
      </c>
      <c r="AC6457">
        <v>22.850300000000001</v>
      </c>
      <c r="AD6457">
        <v>-1.1098067693460001</v>
      </c>
      <c r="AE6457">
        <v>1.70250999999999</v>
      </c>
      <c r="AF6457">
        <v>-0.961078791979322</v>
      </c>
      <c r="AG6457">
        <v>-1.1098067693460001</v>
      </c>
      <c r="AH6457">
        <v>22.839798091434002</v>
      </c>
      <c r="AI6457">
        <v>92.779410797278103</v>
      </c>
      <c r="AJ6457">
        <v>92.409534972266599</v>
      </c>
      <c r="AK6457">
        <v>22.886933398058201</v>
      </c>
      <c r="AL6457">
        <v>79.1408028715082</v>
      </c>
      <c r="AM6457">
        <v>89.202915641084203</v>
      </c>
      <c r="AN6457">
        <v>1.0000000071671999</v>
      </c>
    </row>
    <row r="6458" spans="1:40" x14ac:dyDescent="0.25">
      <c r="A6458" t="str">
        <f>"20190312173052598"</f>
        <v>20190312173052598</v>
      </c>
      <c r="B6458" t="str">
        <f>"1552383052594090"</f>
        <v>1552383052594090</v>
      </c>
      <c r="C6458" t="s">
        <v>40</v>
      </c>
      <c r="D6458">
        <v>3.275779</v>
      </c>
      <c r="E6458">
        <v>0.48460769999999997</v>
      </c>
      <c r="F6458" t="s">
        <v>63</v>
      </c>
      <c r="G6458">
        <v>-213.26390000000001</v>
      </c>
      <c r="H6458" s="1">
        <v>-5.747355E-7</v>
      </c>
      <c r="I6458">
        <v>-61.155940000000001</v>
      </c>
      <c r="J6458">
        <v>-238.7526</v>
      </c>
      <c r="K6458">
        <v>1.109739</v>
      </c>
      <c r="L6458">
        <v>-62.792819999999899</v>
      </c>
      <c r="M6458">
        <v>0.99944040000000001</v>
      </c>
      <c r="N6458">
        <v>0</v>
      </c>
      <c r="O6458">
        <v>3.2496850000000001E-2</v>
      </c>
      <c r="P6458">
        <v>0.98339980000000005</v>
      </c>
      <c r="Q6458">
        <v>0.1805136</v>
      </c>
      <c r="R6458">
        <v>1.8431360000000001E-2</v>
      </c>
      <c r="S6458">
        <v>3.0714570000000001</v>
      </c>
      <c r="T6458">
        <v>-0.13278019999999999</v>
      </c>
      <c r="U6458">
        <v>0.19656370000000001</v>
      </c>
      <c r="V6458">
        <v>1.329349E-2</v>
      </c>
      <c r="W6458">
        <v>0.1883263</v>
      </c>
      <c r="X6458">
        <v>0.98201660000000002</v>
      </c>
      <c r="Y6458">
        <v>-3.1402010000000001E-2</v>
      </c>
      <c r="Z6458">
        <v>-7.2450580000000002E-4</v>
      </c>
      <c r="AA6458">
        <v>0.99950660000000002</v>
      </c>
      <c r="AB6458">
        <v>35</v>
      </c>
      <c r="AC6458">
        <v>25.488699999999898</v>
      </c>
      <c r="AD6458">
        <v>-1.1097395747354999</v>
      </c>
      <c r="AE6458">
        <v>1.6368799999999899</v>
      </c>
      <c r="AF6458">
        <v>-0.80616502978057303</v>
      </c>
      <c r="AG6458">
        <v>-1.1097395747354999</v>
      </c>
      <c r="AH6458">
        <v>25.480329963768899</v>
      </c>
      <c r="AI6458">
        <v>92.492569657668795</v>
      </c>
      <c r="AJ6458">
        <v>91.812160633945396</v>
      </c>
      <c r="AK6458">
        <v>25.517222400596701</v>
      </c>
      <c r="AL6458">
        <v>79.144875560909597</v>
      </c>
      <c r="AM6458">
        <v>89.224438413040701</v>
      </c>
      <c r="AN6458">
        <v>1.00000005741181</v>
      </c>
    </row>
    <row r="6459" spans="1:40" x14ac:dyDescent="0.25">
      <c r="A6459" t="str">
        <f>"20190312173052609"</f>
        <v>20190312173052609</v>
      </c>
      <c r="B6459" t="str">
        <f>"1552383052603847"</f>
        <v>1552383052603847</v>
      </c>
      <c r="C6459" t="s">
        <v>40</v>
      </c>
      <c r="D6459">
        <v>3.319706</v>
      </c>
      <c r="E6459">
        <v>0.4847612</v>
      </c>
      <c r="F6459" t="s">
        <v>63</v>
      </c>
      <c r="G6459">
        <v>-213.78469999999999</v>
      </c>
      <c r="H6459" s="1">
        <v>-8.0804329999999998E-7</v>
      </c>
      <c r="I6459">
        <v>-61.193199999999997</v>
      </c>
      <c r="J6459">
        <v>-238.59110000000001</v>
      </c>
      <c r="K6459">
        <v>1.10968</v>
      </c>
      <c r="L6459">
        <v>-62.78745</v>
      </c>
      <c r="M6459">
        <v>0.9994362</v>
      </c>
      <c r="N6459">
        <v>0</v>
      </c>
      <c r="O6459">
        <v>3.2625370000000001E-2</v>
      </c>
      <c r="P6459">
        <v>0.98336579999999996</v>
      </c>
      <c r="Q6459">
        <v>0.18067630000000001</v>
      </c>
      <c r="R6459">
        <v>1.8663900000000001E-2</v>
      </c>
      <c r="S6459">
        <v>3.0720369999999999</v>
      </c>
      <c r="T6459">
        <v>-0.13654150000000001</v>
      </c>
      <c r="U6459">
        <v>0.19680790000000001</v>
      </c>
      <c r="V6459">
        <v>1.3213010000000001E-2</v>
      </c>
      <c r="W6459">
        <v>0.18849579999999999</v>
      </c>
      <c r="X6459">
        <v>0.98198510000000006</v>
      </c>
      <c r="Y6459">
        <v>-3.1340800000000002E-2</v>
      </c>
      <c r="Z6459">
        <v>-7.5192360000000003E-4</v>
      </c>
      <c r="AA6459">
        <v>0.99950850000000002</v>
      </c>
      <c r="AB6459">
        <v>35</v>
      </c>
      <c r="AC6459">
        <v>24.8064</v>
      </c>
      <c r="AD6459">
        <v>-1.1096808080433</v>
      </c>
      <c r="AE6459">
        <v>1.5942499999999999</v>
      </c>
      <c r="AF6459">
        <v>-0.78249841348749705</v>
      </c>
      <c r="AG6459">
        <v>-1.1096808080433</v>
      </c>
      <c r="AH6459">
        <v>24.795793388262201</v>
      </c>
      <c r="AI6459">
        <v>92.561162616527795</v>
      </c>
      <c r="AJ6459">
        <v>91.807523621963696</v>
      </c>
      <c r="AK6459">
        <v>24.8329431404382</v>
      </c>
      <c r="AL6459">
        <v>79.134986118546394</v>
      </c>
      <c r="AM6459">
        <v>89.229108440462696</v>
      </c>
      <c r="AN6459">
        <v>0.99999999343645496</v>
      </c>
    </row>
    <row r="6460" spans="1:40" x14ac:dyDescent="0.25">
      <c r="A6460" t="str">
        <f>"20190312173052621"</f>
        <v>20190312173052621</v>
      </c>
      <c r="B6460" t="str">
        <f>"1552383052614582"</f>
        <v>1552383052614582</v>
      </c>
      <c r="C6460" t="s">
        <v>40</v>
      </c>
      <c r="D6460">
        <v>3.3015029999999999</v>
      </c>
      <c r="E6460">
        <v>0.4851335</v>
      </c>
      <c r="F6460" t="s">
        <v>63</v>
      </c>
      <c r="G6460">
        <v>-213.8348</v>
      </c>
      <c r="H6460" s="1">
        <v>-8.3222659999999998E-7</v>
      </c>
      <c r="I6460">
        <v>-61.203270000000003</v>
      </c>
      <c r="J6460">
        <v>-238.41139999999999</v>
      </c>
      <c r="K6460">
        <v>1.109615</v>
      </c>
      <c r="L6460">
        <v>-62.781460000000003</v>
      </c>
      <c r="M6460">
        <v>0.99943210000000005</v>
      </c>
      <c r="N6460">
        <v>0</v>
      </c>
      <c r="O6460">
        <v>3.2746629999999999E-2</v>
      </c>
      <c r="P6460">
        <v>0.98332459999999999</v>
      </c>
      <c r="Q6460">
        <v>0.18087639999999999</v>
      </c>
      <c r="R6460">
        <v>1.888542E-2</v>
      </c>
      <c r="S6460">
        <v>3.0723419999999999</v>
      </c>
      <c r="T6460">
        <v>-0.13771510000000001</v>
      </c>
      <c r="U6460">
        <v>0.1965942</v>
      </c>
      <c r="V6460">
        <v>1.313873E-2</v>
      </c>
      <c r="W6460">
        <v>0.18870429999999999</v>
      </c>
      <c r="X6460">
        <v>0.98194610000000004</v>
      </c>
      <c r="Y6460">
        <v>-3.114432E-2</v>
      </c>
      <c r="Z6460">
        <v>-7.6812649999999903E-4</v>
      </c>
      <c r="AA6460">
        <v>0.99951460000000003</v>
      </c>
      <c r="AB6460">
        <v>35</v>
      </c>
      <c r="AC6460">
        <v>24.5765999999999</v>
      </c>
      <c r="AD6460">
        <v>-1.1096158322266001</v>
      </c>
      <c r="AE6460">
        <v>1.57818999999999</v>
      </c>
      <c r="AF6460">
        <v>-0.77095220656139796</v>
      </c>
      <c r="AG6460">
        <v>-1.1096158322266001</v>
      </c>
      <c r="AH6460">
        <v>24.5652308702855</v>
      </c>
      <c r="AI6460">
        <v>92.585031468952394</v>
      </c>
      <c r="AJ6460">
        <v>91.797573732060997</v>
      </c>
      <c r="AK6460">
        <v>24.602361315742801</v>
      </c>
      <c r="AL6460">
        <v>79.122822170225504</v>
      </c>
      <c r="AM6460">
        <v>89.2334112257508</v>
      </c>
      <c r="AN6460">
        <v>1.00000004118485</v>
      </c>
    </row>
    <row r="6461" spans="1:40" x14ac:dyDescent="0.25">
      <c r="A6461" t="str">
        <f>"20190312173052634"</f>
        <v>20190312173052634</v>
      </c>
      <c r="B6461" t="str">
        <f>"1552383052624343"</f>
        <v>1552383052624343</v>
      </c>
      <c r="C6461" t="s">
        <v>40</v>
      </c>
      <c r="D6461">
        <v>3.364503</v>
      </c>
      <c r="E6461">
        <v>0.48568529999999999</v>
      </c>
      <c r="F6461" t="s">
        <v>63</v>
      </c>
      <c r="G6461">
        <v>-213.58580000000001</v>
      </c>
      <c r="H6461" s="1">
        <v>-7.2704370000000001E-7</v>
      </c>
      <c r="I6461">
        <v>-61.209420000000001</v>
      </c>
      <c r="J6461">
        <v>-238.22200000000001</v>
      </c>
      <c r="K6461">
        <v>1.109551</v>
      </c>
      <c r="L6461">
        <v>-62.775179999999999</v>
      </c>
      <c r="M6461">
        <v>0.99942960000000003</v>
      </c>
      <c r="N6461">
        <v>0</v>
      </c>
      <c r="O6461">
        <v>3.2821690000000001E-2</v>
      </c>
      <c r="P6461">
        <v>0.98333720000000002</v>
      </c>
      <c r="Q6461">
        <v>0.1807994</v>
      </c>
      <c r="R6461">
        <v>1.8969280000000002E-2</v>
      </c>
      <c r="S6461">
        <v>3.0724179999999999</v>
      </c>
      <c r="T6461">
        <v>-0.137326</v>
      </c>
      <c r="U6461">
        <v>0.19454959999999999</v>
      </c>
      <c r="V6461">
        <v>1.315788E-2</v>
      </c>
      <c r="W6461">
        <v>0.18863779999999999</v>
      </c>
      <c r="X6461">
        <v>0.98195860000000001</v>
      </c>
      <c r="Y6461">
        <v>-3.0405979999999999E-2</v>
      </c>
      <c r="Z6461">
        <v>-7.8578220000000002E-4</v>
      </c>
      <c r="AA6461">
        <v>0.99953729999999996</v>
      </c>
      <c r="AB6461">
        <v>35</v>
      </c>
      <c r="AC6461">
        <v>24.636199999999999</v>
      </c>
      <c r="AD6461">
        <v>-1.1095517270437001</v>
      </c>
      <c r="AE6461">
        <v>1.56576000000001</v>
      </c>
      <c r="AF6461">
        <v>-0.75476429076193896</v>
      </c>
      <c r="AG6461">
        <v>-1.1095517270437001</v>
      </c>
      <c r="AH6461">
        <v>24.624571404303701</v>
      </c>
      <c r="AI6461">
        <v>92.578720165896897</v>
      </c>
      <c r="AJ6461">
        <v>91.755615268641193</v>
      </c>
      <c r="AK6461">
        <v>24.661108876432198</v>
      </c>
      <c r="AL6461">
        <v>79.126701795324493</v>
      </c>
      <c r="AM6461">
        <v>89.232303810144401</v>
      </c>
      <c r="AN6461">
        <v>1.0000000207544399</v>
      </c>
    </row>
    <row r="6462" spans="1:40" x14ac:dyDescent="0.25">
      <c r="A6462" t="str">
        <f>"20190312173052643"</f>
        <v>20190312173052643</v>
      </c>
      <c r="B6462" t="str">
        <f>"1552383052634103"</f>
        <v>1552383052634103</v>
      </c>
      <c r="C6462" t="s">
        <v>40</v>
      </c>
      <c r="D6462">
        <v>3.3627220000000002</v>
      </c>
      <c r="E6462">
        <v>0.48609190000000002</v>
      </c>
      <c r="F6462" t="s">
        <v>63</v>
      </c>
      <c r="G6462">
        <v>-213.21199999999999</v>
      </c>
      <c r="H6462" s="1">
        <v>-5.7007530000000003E-7</v>
      </c>
      <c r="I6462">
        <v>-61.222160000000002</v>
      </c>
      <c r="J6462">
        <v>-238.05940000000001</v>
      </c>
      <c r="K6462">
        <v>1.1094999999999999</v>
      </c>
      <c r="L6462">
        <v>-62.769779999999997</v>
      </c>
      <c r="M6462">
        <v>0.99942770000000003</v>
      </c>
      <c r="N6462">
        <v>0</v>
      </c>
      <c r="O6462">
        <v>3.2874529999999999E-2</v>
      </c>
      <c r="P6462">
        <v>0.98333999999999999</v>
      </c>
      <c r="Q6462">
        <v>0.18076390000000001</v>
      </c>
      <c r="R6462">
        <v>1.9158769999999999E-2</v>
      </c>
      <c r="S6462">
        <v>3.0722200000000002</v>
      </c>
      <c r="T6462">
        <v>-0.136297</v>
      </c>
      <c r="U6462">
        <v>0.1907654</v>
      </c>
      <c r="V6462">
        <v>1.3044480000000001E-2</v>
      </c>
      <c r="W6462">
        <v>0.18861159999999999</v>
      </c>
      <c r="X6462">
        <v>0.98196510000000004</v>
      </c>
      <c r="Y6462">
        <v>-2.9132089999999999E-2</v>
      </c>
      <c r="Z6462">
        <v>-8.1054320000000001E-4</v>
      </c>
      <c r="AA6462">
        <v>0.99957530000000006</v>
      </c>
      <c r="AB6462">
        <v>35</v>
      </c>
      <c r="AC6462">
        <v>24.8474</v>
      </c>
      <c r="AD6462">
        <v>-1.1095005700753</v>
      </c>
      <c r="AE6462">
        <v>1.54762</v>
      </c>
      <c r="AF6462">
        <v>-0.728464051754252</v>
      </c>
      <c r="AG6462">
        <v>-1.1095005700753</v>
      </c>
      <c r="AH6462">
        <v>24.835520669754601</v>
      </c>
      <c r="AI6462">
        <v>92.556829299400903</v>
      </c>
      <c r="AJ6462">
        <v>91.680091705503997</v>
      </c>
      <c r="AK6462">
        <v>24.870961749146499</v>
      </c>
      <c r="AL6462">
        <v>79.128229890070003</v>
      </c>
      <c r="AM6462">
        <v>89.2389243860421</v>
      </c>
      <c r="AN6462">
        <v>0.99999997586551903</v>
      </c>
    </row>
    <row r="6463" spans="1:40" x14ac:dyDescent="0.25">
      <c r="A6463" t="str">
        <f>"20190312173052655"</f>
        <v>20190312173052655</v>
      </c>
      <c r="B6463" t="str">
        <f>"1552383052643863"</f>
        <v>1552383052643863</v>
      </c>
      <c r="C6463" t="s">
        <v>40</v>
      </c>
      <c r="D6463">
        <v>3.3643360000000002</v>
      </c>
      <c r="E6463">
        <v>0.4862397</v>
      </c>
      <c r="F6463" t="s">
        <v>63</v>
      </c>
      <c r="G6463">
        <v>-212.89709999999999</v>
      </c>
      <c r="H6463" s="1">
        <v>-4.3600689999999998E-7</v>
      </c>
      <c r="I6463">
        <v>-61.225960000000001</v>
      </c>
      <c r="J6463">
        <v>-237.8802</v>
      </c>
      <c r="K6463">
        <v>1.109445</v>
      </c>
      <c r="L6463">
        <v>-62.763849999999998</v>
      </c>
      <c r="M6463">
        <v>0.99942739999999997</v>
      </c>
      <c r="N6463">
        <v>0</v>
      </c>
      <c r="O6463">
        <v>3.288282E-2</v>
      </c>
      <c r="P6463">
        <v>0.98333230000000005</v>
      </c>
      <c r="Q6463">
        <v>0.1807996</v>
      </c>
      <c r="R6463">
        <v>1.9224459999999999E-2</v>
      </c>
      <c r="S6463">
        <v>3.0720519999999998</v>
      </c>
      <c r="T6463">
        <v>-0.13545850000000001</v>
      </c>
      <c r="U6463">
        <v>0.18847659999999999</v>
      </c>
      <c r="V6463">
        <v>1.301152E-2</v>
      </c>
      <c r="W6463">
        <v>0.18865879999999999</v>
      </c>
      <c r="X6463">
        <v>0.98195650000000001</v>
      </c>
      <c r="Y6463">
        <v>-2.8385939999999998E-2</v>
      </c>
      <c r="Z6463">
        <v>-8.2241949999999997E-4</v>
      </c>
      <c r="AA6463">
        <v>0.9995967</v>
      </c>
      <c r="AB6463">
        <v>35</v>
      </c>
      <c r="AC6463">
        <v>24.9831</v>
      </c>
      <c r="AD6463">
        <v>-1.1094454360068999</v>
      </c>
      <c r="AE6463">
        <v>1.53788999999999</v>
      </c>
      <c r="AF6463">
        <v>-0.71411441748753701</v>
      </c>
      <c r="AG6463">
        <v>-1.1094454360068999</v>
      </c>
      <c r="AH6463">
        <v>24.971101879824499</v>
      </c>
      <c r="AI6463">
        <v>92.542892942656394</v>
      </c>
      <c r="AJ6463">
        <v>91.638077242686194</v>
      </c>
      <c r="AK6463">
        <v>25.005934449032601</v>
      </c>
      <c r="AL6463">
        <v>79.125476413562694</v>
      </c>
      <c r="AM6463">
        <v>89.240840552446102</v>
      </c>
      <c r="AN6463">
        <v>1.0000000051811999</v>
      </c>
    </row>
    <row r="6464" spans="1:40" x14ac:dyDescent="0.25">
      <c r="A6464" t="str">
        <f>"20190312173052666"</f>
        <v>20190312173052666</v>
      </c>
      <c r="B6464" t="str">
        <f>"1552383052664359"</f>
        <v>1552383052664359</v>
      </c>
      <c r="C6464" t="s">
        <v>40</v>
      </c>
      <c r="D6464">
        <v>3.295776</v>
      </c>
      <c r="E6464">
        <v>0.48635590000000001</v>
      </c>
      <c r="F6464" t="s">
        <v>63</v>
      </c>
      <c r="G6464">
        <v>-212.2595</v>
      </c>
      <c r="H6464" s="1">
        <v>-1.551211E-7</v>
      </c>
      <c r="I6464">
        <v>-61.198329999999999</v>
      </c>
      <c r="J6464">
        <v>-237.71080000000001</v>
      </c>
      <c r="K6464">
        <v>1.1093949999999999</v>
      </c>
      <c r="L6464">
        <v>-62.758240000000001</v>
      </c>
      <c r="M6464">
        <v>0.99942730000000002</v>
      </c>
      <c r="N6464">
        <v>0</v>
      </c>
      <c r="O6464">
        <v>3.287785E-2</v>
      </c>
      <c r="P6464">
        <v>0.98337249999999998</v>
      </c>
      <c r="Q6464">
        <v>0.18057580000000001</v>
      </c>
      <c r="R6464">
        <v>1.9258870000000001E-2</v>
      </c>
      <c r="S6464">
        <v>3.0716399999999999</v>
      </c>
      <c r="T6464">
        <v>-0.1330104</v>
      </c>
      <c r="U6464">
        <v>0.18768309999999999</v>
      </c>
      <c r="V6464">
        <v>1.299643E-2</v>
      </c>
      <c r="W6464">
        <v>0.18844669999999999</v>
      </c>
      <c r="X6464">
        <v>0.98199740000000002</v>
      </c>
      <c r="Y6464">
        <v>-2.8141929999999999E-2</v>
      </c>
      <c r="Z6464">
        <v>-8.1274769999999997E-4</v>
      </c>
      <c r="AA6464">
        <v>0.99960360000000004</v>
      </c>
      <c r="AB6464">
        <v>35</v>
      </c>
      <c r="AC6464">
        <v>25.4513</v>
      </c>
      <c r="AD6464">
        <v>-1.1093951551211001</v>
      </c>
      <c r="AE6464">
        <v>1.5599099999999899</v>
      </c>
      <c r="AF6464">
        <v>-0.72089120719694999</v>
      </c>
      <c r="AG6464">
        <v>-1.1093951551211001</v>
      </c>
      <c r="AH6464">
        <v>25.440671433658501</v>
      </c>
      <c r="AI6464">
        <v>92.495923137256199</v>
      </c>
      <c r="AJ6464">
        <v>91.623108659942503</v>
      </c>
      <c r="AK6464">
        <v>25.475050632691399</v>
      </c>
      <c r="AL6464">
        <v>79.137850527697296</v>
      </c>
      <c r="AM6464">
        <v>89.241752456807305</v>
      </c>
      <c r="AN6464">
        <v>0.99999997977019695</v>
      </c>
    </row>
    <row r="6465" spans="1:40" x14ac:dyDescent="0.25">
      <c r="A6465" t="str">
        <f>"20190312173052677"</f>
        <v>20190312173052677</v>
      </c>
      <c r="B6465" t="str">
        <f>"1552383052674119"</f>
        <v>1552383052674119</v>
      </c>
      <c r="C6465" t="s">
        <v>40</v>
      </c>
      <c r="D6465">
        <v>3.2908970000000002</v>
      </c>
      <c r="E6465">
        <v>0.4864754</v>
      </c>
      <c r="F6465" t="s">
        <v>63</v>
      </c>
      <c r="G6465">
        <v>-212.38550000000001</v>
      </c>
      <c r="H6465" s="1">
        <v>-2.1363029999999999E-7</v>
      </c>
      <c r="I6465">
        <v>-61.215110000000003</v>
      </c>
      <c r="J6465">
        <v>-237.54750000000001</v>
      </c>
      <c r="K6465">
        <v>1.1093500000000001</v>
      </c>
      <c r="L6465">
        <v>-62.752870000000001</v>
      </c>
      <c r="M6465">
        <v>0.99942839999999999</v>
      </c>
      <c r="N6465">
        <v>0</v>
      </c>
      <c r="O6465">
        <v>3.2843339999999999E-2</v>
      </c>
      <c r="P6465">
        <v>0.98339560000000004</v>
      </c>
      <c r="Q6465">
        <v>0.18047630000000001</v>
      </c>
      <c r="R6465">
        <v>1.9018119999999999E-2</v>
      </c>
      <c r="S6465">
        <v>3.071777</v>
      </c>
      <c r="T6465">
        <v>-0.13456179999999901</v>
      </c>
      <c r="U6465">
        <v>0.18716430000000001</v>
      </c>
      <c r="V6465">
        <v>1.322445E-2</v>
      </c>
      <c r="W6465">
        <v>0.18836049999999999</v>
      </c>
      <c r="X6465">
        <v>0.98201090000000002</v>
      </c>
      <c r="Y6465">
        <v>-2.800571E-2</v>
      </c>
      <c r="Z6465">
        <v>-8.2365779999999896E-4</v>
      </c>
      <c r="AA6465">
        <v>0.99960740000000003</v>
      </c>
      <c r="AB6465">
        <v>35</v>
      </c>
      <c r="AC6465">
        <v>25.161999999999999</v>
      </c>
      <c r="AD6465">
        <v>-1.1093502136303</v>
      </c>
      <c r="AE6465">
        <v>1.53775999999999</v>
      </c>
      <c r="AF6465">
        <v>-0.70912644208523701</v>
      </c>
      <c r="AG6465">
        <v>-1.1093502136303</v>
      </c>
      <c r="AH6465">
        <v>25.150226738080701</v>
      </c>
      <c r="AI6465">
        <v>92.524617818391903</v>
      </c>
      <c r="AJ6465">
        <v>91.615062598831599</v>
      </c>
      <c r="AK6465">
        <v>25.1846664298779</v>
      </c>
      <c r="AL6465">
        <v>79.142879551240696</v>
      </c>
      <c r="AM6465">
        <v>89.228461341362106</v>
      </c>
      <c r="AN6465">
        <v>0.99999998587843097</v>
      </c>
    </row>
    <row r="6466" spans="1:40" x14ac:dyDescent="0.25">
      <c r="A6466" t="str">
        <f>"20190312173052688"</f>
        <v>20190312173052688</v>
      </c>
      <c r="B6466" t="str">
        <f>"1552383052683881"</f>
        <v>1552383052683881</v>
      </c>
      <c r="C6466" t="s">
        <v>40</v>
      </c>
      <c r="D6466">
        <v>3.2834650000000001</v>
      </c>
      <c r="E6466">
        <v>0.48657319999999998</v>
      </c>
      <c r="F6466" t="s">
        <v>63</v>
      </c>
      <c r="G6466">
        <v>-212.5138</v>
      </c>
      <c r="H6466" s="1">
        <v>-2.7551849999999998E-7</v>
      </c>
      <c r="I6466">
        <v>-61.240810000000003</v>
      </c>
      <c r="J6466">
        <v>-237.3672</v>
      </c>
      <c r="K6466">
        <v>1.1093010000000001</v>
      </c>
      <c r="L6466">
        <v>-62.746980000000001</v>
      </c>
      <c r="M6466">
        <v>0.99943000000000004</v>
      </c>
      <c r="N6466">
        <v>0</v>
      </c>
      <c r="O6466">
        <v>3.2788110000000002E-2</v>
      </c>
      <c r="P6466">
        <v>0.98337379999999996</v>
      </c>
      <c r="Q6466">
        <v>0.1805988</v>
      </c>
      <c r="R6466">
        <v>1.8973469999999999E-2</v>
      </c>
      <c r="S6466">
        <v>3.0720369999999999</v>
      </c>
      <c r="T6466">
        <v>-0.1361349</v>
      </c>
      <c r="U6466">
        <v>0.18554689999999999</v>
      </c>
      <c r="V6466">
        <v>1.3236049999999999E-2</v>
      </c>
      <c r="W6466">
        <v>0.18849779999999999</v>
      </c>
      <c r="X6466">
        <v>0.98198439999999998</v>
      </c>
      <c r="Y6466">
        <v>-2.7531980000000001E-2</v>
      </c>
      <c r="Z6466">
        <v>-8.4126369999999999E-4</v>
      </c>
      <c r="AA6466">
        <v>0.99962059999999997</v>
      </c>
      <c r="AB6466">
        <v>35</v>
      </c>
      <c r="AC6466">
        <v>24.853399999999901</v>
      </c>
      <c r="AD6466">
        <v>-1.1093012755185001</v>
      </c>
      <c r="AE6466">
        <v>1.50617000000001</v>
      </c>
      <c r="AF6466">
        <v>-0.68907005194542004</v>
      </c>
      <c r="AG6466">
        <v>-1.1093012755185001</v>
      </c>
      <c r="AH6466">
        <v>24.8401173830689</v>
      </c>
      <c r="AI6466">
        <v>92.556014020621504</v>
      </c>
      <c r="AJ6466">
        <v>91.588989405744101</v>
      </c>
      <c r="AK6466">
        <v>24.8744205653317</v>
      </c>
      <c r="AL6466">
        <v>79.134869372587303</v>
      </c>
      <c r="AM6466">
        <v>89.227763821398995</v>
      </c>
      <c r="AN6466">
        <v>0.99999998773390097</v>
      </c>
    </row>
    <row r="6467" spans="1:40" x14ac:dyDescent="0.25">
      <c r="A6467" t="str">
        <f>"20190312173052699"</f>
        <v>20190312173052699</v>
      </c>
      <c r="B6467" t="str">
        <f>"1552383052694628"</f>
        <v>1552383052694628</v>
      </c>
      <c r="C6467" t="s">
        <v>40</v>
      </c>
      <c r="D6467">
        <v>3.28912</v>
      </c>
      <c r="E6467">
        <v>0.4866588</v>
      </c>
      <c r="F6467" t="s">
        <v>63</v>
      </c>
      <c r="G6467">
        <v>-212.48</v>
      </c>
      <c r="H6467" s="1">
        <v>-2.6282859999999998E-7</v>
      </c>
      <c r="I6467">
        <v>-61.247599999999998</v>
      </c>
      <c r="J6467">
        <v>-237.1919</v>
      </c>
      <c r="K6467">
        <v>1.109253</v>
      </c>
      <c r="L6467">
        <v>-62.741269999999901</v>
      </c>
      <c r="M6467">
        <v>0.99943249999999995</v>
      </c>
      <c r="N6467">
        <v>0</v>
      </c>
      <c r="O6467">
        <v>3.2713350000000002E-2</v>
      </c>
      <c r="P6467">
        <v>0.98339209999999999</v>
      </c>
      <c r="Q6467">
        <v>0.1805263</v>
      </c>
      <c r="R6467">
        <v>1.8725740000000001E-2</v>
      </c>
      <c r="S6467">
        <v>3.0722809999999998</v>
      </c>
      <c r="T6467">
        <v>-0.13694139999999999</v>
      </c>
      <c r="U6467">
        <v>0.18508910000000001</v>
      </c>
      <c r="V6467">
        <v>1.343097E-2</v>
      </c>
      <c r="W6467">
        <v>0.1884402</v>
      </c>
      <c r="X6467">
        <v>0.9819928</v>
      </c>
      <c r="Y6467">
        <v>-2.745363E-2</v>
      </c>
      <c r="Z6467">
        <v>-8.4459970000000004E-4</v>
      </c>
      <c r="AA6467">
        <v>0.99962269999999998</v>
      </c>
      <c r="AB6467">
        <v>35</v>
      </c>
      <c r="AC6467">
        <v>24.7119</v>
      </c>
      <c r="AD6467">
        <v>-1.1092532628286</v>
      </c>
      <c r="AE6467">
        <v>1.4936699999999901</v>
      </c>
      <c r="AF6467">
        <v>-0.68306410456857802</v>
      </c>
      <c r="AG6467">
        <v>-1.1092532628286</v>
      </c>
      <c r="AH6467">
        <v>24.697954980710001</v>
      </c>
      <c r="AI6467">
        <v>92.570601674533506</v>
      </c>
      <c r="AJ6467">
        <v>91.584208752112005</v>
      </c>
      <c r="AK6467">
        <v>24.732286582546799</v>
      </c>
      <c r="AL6467">
        <v>79.138229742336094</v>
      </c>
      <c r="AM6467">
        <v>89.216399635520403</v>
      </c>
      <c r="AN6467">
        <v>0.99999997959150999</v>
      </c>
    </row>
    <row r="6468" spans="1:40" x14ac:dyDescent="0.25">
      <c r="A6468" t="str">
        <f>"20190312173052710"</f>
        <v>20190312173052710</v>
      </c>
      <c r="B6468" t="str">
        <f>"1552383052704375"</f>
        <v>1552383052704375</v>
      </c>
      <c r="C6468" t="s">
        <v>40</v>
      </c>
      <c r="D6468">
        <v>3.296764</v>
      </c>
      <c r="E6468">
        <v>0.48677359999999997</v>
      </c>
      <c r="F6468" t="s">
        <v>63</v>
      </c>
      <c r="G6468">
        <v>-212.46100000000001</v>
      </c>
      <c r="H6468" s="1">
        <v>-2.58161E-7</v>
      </c>
      <c r="I6468">
        <v>-61.260730000000002</v>
      </c>
      <c r="J6468">
        <v>-237.01840000000001</v>
      </c>
      <c r="K6468">
        <v>1.109213</v>
      </c>
      <c r="L6468">
        <v>-62.735660000000003</v>
      </c>
      <c r="M6468">
        <v>0.99943530000000003</v>
      </c>
      <c r="N6468">
        <v>0</v>
      </c>
      <c r="O6468">
        <v>3.262002E-2</v>
      </c>
      <c r="P6468">
        <v>0.98342229999999997</v>
      </c>
      <c r="Q6468">
        <v>0.18036469999999999</v>
      </c>
      <c r="R6468">
        <v>1.8690129999999999E-2</v>
      </c>
      <c r="S6468">
        <v>3.0724640000000001</v>
      </c>
      <c r="T6468">
        <v>-0.13780919999999999</v>
      </c>
      <c r="U6468">
        <v>0.18392939999999999</v>
      </c>
      <c r="V6468">
        <v>1.3394420000000001E-2</v>
      </c>
      <c r="W6468">
        <v>0.18829399999999999</v>
      </c>
      <c r="X6468">
        <v>0.98202129999999999</v>
      </c>
      <c r="Y6468">
        <v>-2.7167710000000001E-2</v>
      </c>
      <c r="Z6468">
        <v>-8.5213469999999996E-4</v>
      </c>
      <c r="AA6468">
        <v>0.99963049999999998</v>
      </c>
      <c r="AB6468">
        <v>35</v>
      </c>
      <c r="AC6468">
        <v>24.557400000000001</v>
      </c>
      <c r="AD6468">
        <v>-1.1092132581609999</v>
      </c>
      <c r="AE6468">
        <v>1.4749299999999901</v>
      </c>
      <c r="AF6468">
        <v>-0.67169067329253296</v>
      </c>
      <c r="AG6468">
        <v>-1.1092132581609999</v>
      </c>
      <c r="AH6468">
        <v>24.542553245832899</v>
      </c>
      <c r="AI6468">
        <v>92.586783811091195</v>
      </c>
      <c r="AJ6468">
        <v>91.567703076093196</v>
      </c>
      <c r="AK6468">
        <v>24.576786654019902</v>
      </c>
      <c r="AL6468">
        <v>79.146758606963402</v>
      </c>
      <c r="AM6468">
        <v>89.218554476742696</v>
      </c>
      <c r="AN6468">
        <v>0.99999993728841097</v>
      </c>
    </row>
    <row r="6469" spans="1:40" x14ac:dyDescent="0.25">
      <c r="A6469" t="str">
        <f>"20190312173052721"</f>
        <v>20190312173052721</v>
      </c>
      <c r="B6469" t="str">
        <f>"1552383052714135"</f>
        <v>1552383052714135</v>
      </c>
      <c r="C6469" t="s">
        <v>40</v>
      </c>
      <c r="D6469">
        <v>3.2836059999999998</v>
      </c>
      <c r="E6469">
        <v>0.48685620000000002</v>
      </c>
      <c r="F6469" t="s">
        <v>63</v>
      </c>
      <c r="G6469">
        <v>-212.61</v>
      </c>
      <c r="H6469" s="1">
        <v>-3.276703E-7</v>
      </c>
      <c r="I6469">
        <v>-61.28181</v>
      </c>
      <c r="J6469">
        <v>-236.84010000000001</v>
      </c>
      <c r="K6469">
        <v>1.1091740000000001</v>
      </c>
      <c r="L6469">
        <v>-62.729860000000002</v>
      </c>
      <c r="M6469">
        <v>0.99943859999999995</v>
      </c>
      <c r="N6469">
        <v>0</v>
      </c>
      <c r="O6469">
        <v>3.2513819999999999E-2</v>
      </c>
      <c r="P6469">
        <v>0.98347010000000001</v>
      </c>
      <c r="Q6469">
        <v>0.18010680000000001</v>
      </c>
      <c r="R6469">
        <v>1.8663349999999999E-2</v>
      </c>
      <c r="S6469">
        <v>3.0727229999999999</v>
      </c>
      <c r="T6469">
        <v>-0.13963619999999999</v>
      </c>
      <c r="U6469">
        <v>0.18301390000000001</v>
      </c>
      <c r="V6469">
        <v>1.3336550000000001E-2</v>
      </c>
      <c r="W6469">
        <v>0.18805240000000001</v>
      </c>
      <c r="X6469">
        <v>0.98206839999999995</v>
      </c>
      <c r="Y6469">
        <v>-2.6972349999999999E-2</v>
      </c>
      <c r="Z6469">
        <v>-8.6297459999999996E-4</v>
      </c>
      <c r="AA6469">
        <v>0.99963579999999996</v>
      </c>
      <c r="AB6469">
        <v>35</v>
      </c>
      <c r="AC6469">
        <v>24.2301</v>
      </c>
      <c r="AD6469">
        <v>-1.1091743276703001</v>
      </c>
      <c r="AE6469">
        <v>1.4480499999999901</v>
      </c>
      <c r="AF6469">
        <v>-0.65807141205967601</v>
      </c>
      <c r="AG6469">
        <v>-1.1091743276703001</v>
      </c>
      <c r="AH6469">
        <v>24.213811898002401</v>
      </c>
      <c r="AI6469">
        <v>92.621776601359997</v>
      </c>
      <c r="AJ6469">
        <v>91.556774112084199</v>
      </c>
      <c r="AK6469">
        <v>24.248134202539699</v>
      </c>
      <c r="AL6469">
        <v>79.1608532531354</v>
      </c>
      <c r="AM6469">
        <v>89.221967573285596</v>
      </c>
      <c r="AN6469">
        <v>0.99999995549511</v>
      </c>
    </row>
    <row r="6470" spans="1:40" x14ac:dyDescent="0.25">
      <c r="A6470" t="str">
        <f>"20190312173052733"</f>
        <v>20190312173052733</v>
      </c>
      <c r="B6470" t="str">
        <f>"1552383052723895"</f>
        <v>1552383052723895</v>
      </c>
      <c r="C6470" t="s">
        <v>40</v>
      </c>
      <c r="D6470">
        <v>3.2091210000000001</v>
      </c>
      <c r="E6470">
        <v>0.48694860000000001</v>
      </c>
      <c r="F6470" t="s">
        <v>63</v>
      </c>
      <c r="G6470">
        <v>-212.71639999999999</v>
      </c>
      <c r="H6470" s="1">
        <v>-3.7793289999999998E-7</v>
      </c>
      <c r="I6470">
        <v>-61.299019999999999</v>
      </c>
      <c r="J6470">
        <v>-236.66069999999999</v>
      </c>
      <c r="K6470">
        <v>1.1091390000000001</v>
      </c>
      <c r="L6470">
        <v>-62.7241199999999</v>
      </c>
      <c r="M6470">
        <v>0.99944270000000002</v>
      </c>
      <c r="N6470">
        <v>0</v>
      </c>
      <c r="O6470">
        <v>3.2387140000000002E-2</v>
      </c>
      <c r="P6470">
        <v>0.98350689999999996</v>
      </c>
      <c r="Q6470">
        <v>0.17990349999999999</v>
      </c>
      <c r="R6470">
        <v>1.8684559999999999E-2</v>
      </c>
      <c r="S6470">
        <v>3.072845</v>
      </c>
      <c r="T6470">
        <v>-0.14128540000000001</v>
      </c>
      <c r="U6470">
        <v>0.182251</v>
      </c>
      <c r="V6470">
        <v>1.320811E-2</v>
      </c>
      <c r="W6470">
        <v>0.18786639999999999</v>
      </c>
      <c r="X6470">
        <v>0.98210580000000003</v>
      </c>
      <c r="Y6470">
        <v>-2.6849499999999998E-2</v>
      </c>
      <c r="Z6470">
        <v>-8.7013889999999999E-4</v>
      </c>
      <c r="AA6470">
        <v>0.9996391</v>
      </c>
      <c r="AB6470">
        <v>35</v>
      </c>
      <c r="AC6470">
        <v>23.944299999999998</v>
      </c>
      <c r="AD6470">
        <v>-1.1091393779329</v>
      </c>
      <c r="AE6470">
        <v>1.42509999999999</v>
      </c>
      <c r="AF6470">
        <v>-0.64745526305840495</v>
      </c>
      <c r="AG6470">
        <v>-1.1091393779329</v>
      </c>
      <c r="AH6470">
        <v>23.926736140006501</v>
      </c>
      <c r="AI6470">
        <v>92.653113260321803</v>
      </c>
      <c r="AJ6470">
        <v>91.550040225741895</v>
      </c>
      <c r="AK6470">
        <v>23.961178827237099</v>
      </c>
      <c r="AL6470">
        <v>79.171704368942301</v>
      </c>
      <c r="AM6470">
        <v>89.229488983898506</v>
      </c>
      <c r="AN6470">
        <v>1.0000000204061801</v>
      </c>
    </row>
    <row r="6471" spans="1:40" x14ac:dyDescent="0.25">
      <c r="A6471" t="str">
        <f>"20190312173052744"</f>
        <v>20190312173052744</v>
      </c>
      <c r="B6471" t="str">
        <f>"1552383052734631"</f>
        <v>1552383052734631</v>
      </c>
      <c r="C6471" t="s">
        <v>40</v>
      </c>
      <c r="D6471">
        <v>3.2287650000000001</v>
      </c>
      <c r="E6471">
        <v>0.48706199999999999</v>
      </c>
      <c r="F6471" t="s">
        <v>63</v>
      </c>
      <c r="G6471">
        <v>-212.89920000000001</v>
      </c>
      <c r="H6471" s="1">
        <v>-4.6181560000000002E-7</v>
      </c>
      <c r="I6471">
        <v>-61.319600000000001</v>
      </c>
      <c r="J6471">
        <v>-236.48939999999999</v>
      </c>
      <c r="K6471">
        <v>1.1091070000000001</v>
      </c>
      <c r="L6471">
        <v>-62.71866</v>
      </c>
      <c r="M6471">
        <v>0.99944639999999996</v>
      </c>
      <c r="N6471">
        <v>0</v>
      </c>
      <c r="O6471">
        <v>3.2262520000000003E-2</v>
      </c>
      <c r="P6471">
        <v>0.98354189999999997</v>
      </c>
      <c r="Q6471">
        <v>0.1797021</v>
      </c>
      <c r="R6471">
        <v>1.8771980000000001E-2</v>
      </c>
      <c r="S6471">
        <v>3.073105</v>
      </c>
      <c r="T6471">
        <v>-0.1434462</v>
      </c>
      <c r="U6471">
        <v>0.18164060000000001</v>
      </c>
      <c r="V6471">
        <v>1.301423E-2</v>
      </c>
      <c r="W6471">
        <v>0.18768190000000001</v>
      </c>
      <c r="X6471">
        <v>0.98214360000000001</v>
      </c>
      <c r="Y6471">
        <v>-2.6771429999999999E-2</v>
      </c>
      <c r="Z6471">
        <v>-8.7938060000000001E-4</v>
      </c>
      <c r="AA6471">
        <v>0.99964120000000001</v>
      </c>
      <c r="AB6471">
        <v>35</v>
      </c>
      <c r="AC6471">
        <v>23.5901999999999</v>
      </c>
      <c r="AD6471">
        <v>-1.1091074618156</v>
      </c>
      <c r="AE6471">
        <v>1.39905999999999</v>
      </c>
      <c r="AF6471">
        <v>-0.63582666972219903</v>
      </c>
      <c r="AG6471">
        <v>-1.1091074618156</v>
      </c>
      <c r="AH6471">
        <v>23.571136919127301</v>
      </c>
      <c r="AI6471">
        <v>92.693009004149303</v>
      </c>
      <c r="AJ6471">
        <v>91.545167407098802</v>
      </c>
      <c r="AK6471">
        <v>23.605780871981999</v>
      </c>
      <c r="AL6471">
        <v>79.182466202238302</v>
      </c>
      <c r="AM6471">
        <v>89.240827089857007</v>
      </c>
      <c r="AN6471">
        <v>0.99999995839553002</v>
      </c>
    </row>
    <row r="6472" spans="1:40" x14ac:dyDescent="0.25">
      <c r="A6472" t="str">
        <f>"20190312173052755"</f>
        <v>20190312173052755</v>
      </c>
      <c r="B6472" t="str">
        <f>"1552383052744392"</f>
        <v>1552383052744392</v>
      </c>
      <c r="C6472" t="s">
        <v>40</v>
      </c>
      <c r="D6472">
        <v>3.2354910000000001</v>
      </c>
      <c r="E6472">
        <v>0.48713479999999998</v>
      </c>
      <c r="F6472" t="s">
        <v>63</v>
      </c>
      <c r="G6472">
        <v>-213.14169999999999</v>
      </c>
      <c r="H6472" s="1">
        <v>-5.7265420000000002E-7</v>
      </c>
      <c r="I6472">
        <v>-61.345230000000001</v>
      </c>
      <c r="J6472">
        <v>-236.3142</v>
      </c>
      <c r="K6472">
        <v>1.109081</v>
      </c>
      <c r="L6472">
        <v>-62.713070000000002</v>
      </c>
      <c r="M6472">
        <v>0.99945079999999997</v>
      </c>
      <c r="N6472">
        <v>0</v>
      </c>
      <c r="O6472">
        <v>3.2121190000000001E-2</v>
      </c>
      <c r="P6472">
        <v>0.9835663</v>
      </c>
      <c r="Q6472">
        <v>0.17955389999999999</v>
      </c>
      <c r="R6472">
        <v>1.8912289999999998E-2</v>
      </c>
      <c r="S6472">
        <v>3.0734249999999999</v>
      </c>
      <c r="T6472">
        <v>-0.14599970000000001</v>
      </c>
      <c r="U6472">
        <v>0.18078610000000001</v>
      </c>
      <c r="V6472">
        <v>1.2748310000000001E-2</v>
      </c>
      <c r="W6472">
        <v>0.1875522</v>
      </c>
      <c r="X6472">
        <v>0.98217189999999999</v>
      </c>
      <c r="Y6472">
        <v>-2.662989E-2</v>
      </c>
      <c r="Z6472">
        <v>-8.9159119999999905E-4</v>
      </c>
      <c r="AA6472">
        <v>0.99964489999999995</v>
      </c>
      <c r="AB6472">
        <v>35</v>
      </c>
      <c r="AC6472">
        <v>23.172499999999999</v>
      </c>
      <c r="AD6472">
        <v>-1.1090815726541901</v>
      </c>
      <c r="AE6472">
        <v>1.36783999999998</v>
      </c>
      <c r="AF6472">
        <v>-0.62136270544291805</v>
      </c>
      <c r="AG6472">
        <v>-1.1090815726541901</v>
      </c>
      <c r="AH6472">
        <v>23.151629002632799</v>
      </c>
      <c r="AI6472">
        <v>92.741678683526601</v>
      </c>
      <c r="AJ6472">
        <v>91.537382793845396</v>
      </c>
      <c r="AK6472">
        <v>23.186506399672702</v>
      </c>
      <c r="AL6472">
        <v>79.1900322044403</v>
      </c>
      <c r="AM6472">
        <v>89.256358948824598</v>
      </c>
      <c r="AN6472">
        <v>0.99999999414115304</v>
      </c>
    </row>
    <row r="6473" spans="1:40" x14ac:dyDescent="0.25">
      <c r="A6473" t="str">
        <f>"20190312173052765"</f>
        <v>20190312173052765</v>
      </c>
      <c r="B6473" t="str">
        <f>"1552383052763911"</f>
        <v>1552383052763911</v>
      </c>
      <c r="C6473" t="s">
        <v>40</v>
      </c>
      <c r="D6473">
        <v>3.2399559999999998</v>
      </c>
      <c r="E6473">
        <v>0.48738110000000001</v>
      </c>
      <c r="F6473" t="s">
        <v>63</v>
      </c>
      <c r="G6473">
        <v>-213.30459999999999</v>
      </c>
      <c r="H6473" s="1">
        <v>-6.4718009999999899E-7</v>
      </c>
      <c r="I6473">
        <v>-61.3626199999999</v>
      </c>
      <c r="J6473">
        <v>-236.1414</v>
      </c>
      <c r="K6473">
        <v>1.1090610000000001</v>
      </c>
      <c r="L6473">
        <v>-62.707610000000003</v>
      </c>
      <c r="M6473">
        <v>0.99945519999999999</v>
      </c>
      <c r="N6473">
        <v>0</v>
      </c>
      <c r="O6473">
        <v>3.1979220000000003E-2</v>
      </c>
      <c r="P6473">
        <v>0.98359850000000004</v>
      </c>
      <c r="Q6473">
        <v>0.179341</v>
      </c>
      <c r="R6473">
        <v>1.9260280000000001E-2</v>
      </c>
      <c r="S6473">
        <v>3.0736849999999998</v>
      </c>
      <c r="T6473">
        <v>-0.14815400000000001</v>
      </c>
      <c r="U6473">
        <v>0.18038940000000001</v>
      </c>
      <c r="V6473">
        <v>1.227366E-2</v>
      </c>
      <c r="W6473">
        <v>0.18735879999999999</v>
      </c>
      <c r="X6473">
        <v>0.9822149</v>
      </c>
      <c r="Y6473">
        <v>-2.663836E-2</v>
      </c>
      <c r="Z6473">
        <v>-8.9762899999999896E-4</v>
      </c>
      <c r="AA6473">
        <v>0.9996448</v>
      </c>
      <c r="AB6473">
        <v>35</v>
      </c>
      <c r="AC6473">
        <v>22.8368</v>
      </c>
      <c r="AD6473">
        <v>-1.1090616471801</v>
      </c>
      <c r="AE6473">
        <v>1.3449899999999999</v>
      </c>
      <c r="AF6473">
        <v>-0.61253496739009805</v>
      </c>
      <c r="AG6473">
        <v>-1.1090616471801</v>
      </c>
      <c r="AH6473">
        <v>22.814509499126299</v>
      </c>
      <c r="AI6473">
        <v>92.782077395456099</v>
      </c>
      <c r="AJ6473">
        <v>91.537935289953893</v>
      </c>
      <c r="AK6473">
        <v>22.849662153065701</v>
      </c>
      <c r="AL6473">
        <v>79.201313645049694</v>
      </c>
      <c r="AM6473">
        <v>89.284074882065596</v>
      </c>
      <c r="AN6473">
        <v>1.00000003622462</v>
      </c>
    </row>
    <row r="6474" spans="1:40" x14ac:dyDescent="0.25">
      <c r="A6474" t="str">
        <f>"20190312173052777"</f>
        <v>20190312173052777</v>
      </c>
      <c r="B6474" t="str">
        <f>"1552383052773674"</f>
        <v>1552383052773674</v>
      </c>
      <c r="C6474" t="s">
        <v>40</v>
      </c>
      <c r="D6474">
        <v>3.2528290000000002</v>
      </c>
      <c r="E6474">
        <v>0.4874983</v>
      </c>
      <c r="F6474" t="s">
        <v>63</v>
      </c>
      <c r="G6474">
        <v>-213.62629999999999</v>
      </c>
      <c r="H6474" s="1">
        <v>-7.9377110000000001E-7</v>
      </c>
      <c r="I6474">
        <v>-61.394869999999997</v>
      </c>
      <c r="J6474">
        <v>-235.96260000000001</v>
      </c>
      <c r="K6474">
        <v>1.10904</v>
      </c>
      <c r="L6474">
        <v>-62.701999999999998</v>
      </c>
      <c r="M6474">
        <v>0.99946000000000002</v>
      </c>
      <c r="N6474">
        <v>0</v>
      </c>
      <c r="O6474">
        <v>3.1824749999999999E-2</v>
      </c>
      <c r="P6474">
        <v>0.98357220000000001</v>
      </c>
      <c r="Q6474">
        <v>0.17946129999999999</v>
      </c>
      <c r="R6474">
        <v>1.9475579999999999E-2</v>
      </c>
      <c r="S6474">
        <v>3.0741269999999998</v>
      </c>
      <c r="T6474">
        <v>-0.15142729999999999</v>
      </c>
      <c r="U6474">
        <v>0.17922969999999999</v>
      </c>
      <c r="V6474">
        <v>1.191586E-2</v>
      </c>
      <c r="W6474">
        <v>0.18749930000000001</v>
      </c>
      <c r="X6474">
        <v>0.98219250000000002</v>
      </c>
      <c r="Y6474">
        <v>-2.640899E-2</v>
      </c>
      <c r="Z6474">
        <v>-9.1536769999999996E-4</v>
      </c>
      <c r="AA6474">
        <v>0.99965079999999995</v>
      </c>
      <c r="AB6474">
        <v>35</v>
      </c>
      <c r="AC6474">
        <v>22.336300000000001</v>
      </c>
      <c r="AD6474">
        <v>-1.1090407937711</v>
      </c>
      <c r="AE6474">
        <v>1.3071299999999999</v>
      </c>
      <c r="AF6474">
        <v>-0.59413717081434103</v>
      </c>
      <c r="AG6474">
        <v>-1.1090407937711</v>
      </c>
      <c r="AH6474">
        <v>22.311767763561299</v>
      </c>
      <c r="AI6474">
        <v>92.844626213585798</v>
      </c>
      <c r="AJ6474">
        <v>91.525361408856298</v>
      </c>
      <c r="AK6474">
        <v>22.3472134995638</v>
      </c>
      <c r="AL6474">
        <v>79.193118406263295</v>
      </c>
      <c r="AM6474">
        <v>89.304927501593198</v>
      </c>
      <c r="AN6474">
        <v>1.00000004113813</v>
      </c>
    </row>
    <row r="6475" spans="1:40" x14ac:dyDescent="0.25">
      <c r="A6475" t="str">
        <f>"20190312173052789"</f>
        <v>20190312173052789</v>
      </c>
      <c r="B6475" t="str">
        <f>"1552383052784407"</f>
        <v>1552383052784407</v>
      </c>
      <c r="C6475" t="s">
        <v>40</v>
      </c>
      <c r="D6475">
        <v>3.2339419999999999</v>
      </c>
      <c r="E6475">
        <v>0.48760049999999999</v>
      </c>
      <c r="F6475" t="s">
        <v>63</v>
      </c>
      <c r="G6475">
        <v>-213.5438</v>
      </c>
      <c r="H6475" s="1">
        <v>-7.5910989999999998E-7</v>
      </c>
      <c r="I6475">
        <v>-61.39761</v>
      </c>
      <c r="J6475">
        <v>-235.77959999999999</v>
      </c>
      <c r="K6475">
        <v>1.1090230000000001</v>
      </c>
      <c r="L6475">
        <v>-62.696260000000002</v>
      </c>
      <c r="M6475">
        <v>0.99946500000000005</v>
      </c>
      <c r="N6475">
        <v>0</v>
      </c>
      <c r="O6475">
        <v>3.166339E-2</v>
      </c>
      <c r="P6475">
        <v>0.98353069999999998</v>
      </c>
      <c r="Q6475">
        <v>0.17967640000000001</v>
      </c>
      <c r="R6475">
        <v>1.9588709999999999E-2</v>
      </c>
      <c r="S6475">
        <v>3.0743100000000001</v>
      </c>
      <c r="T6475">
        <v>-0.1520841</v>
      </c>
      <c r="U6475">
        <v>0.17886350000000001</v>
      </c>
      <c r="V6475">
        <v>1.1652320000000001E-2</v>
      </c>
      <c r="W6475">
        <v>0.18773619999999999</v>
      </c>
      <c r="X6475">
        <v>0.98215039999999998</v>
      </c>
      <c r="Y6475">
        <v>-2.6448059999999999E-2</v>
      </c>
      <c r="Z6475">
        <v>-9.1035379999999998E-4</v>
      </c>
      <c r="AA6475">
        <v>0.99964980000000003</v>
      </c>
      <c r="AB6475">
        <v>35</v>
      </c>
      <c r="AC6475">
        <v>22.235799999999902</v>
      </c>
      <c r="AD6475">
        <v>-1.1090237591098999</v>
      </c>
      <c r="AE6475">
        <v>1.2986499999999901</v>
      </c>
      <c r="AF6475">
        <v>-0.59244561093054404</v>
      </c>
      <c r="AG6475">
        <v>-1.1090237591098999</v>
      </c>
      <c r="AH6475">
        <v>22.2107080385973</v>
      </c>
      <c r="AI6475">
        <v>92.8575007496338</v>
      </c>
      <c r="AJ6475">
        <v>91.527938055313498</v>
      </c>
      <c r="AK6475">
        <v>22.246268834930401</v>
      </c>
      <c r="AL6475">
        <v>79.179299553246395</v>
      </c>
      <c r="AM6475">
        <v>89.320269649339394</v>
      </c>
      <c r="AN6475">
        <v>1.0000000327859899</v>
      </c>
    </row>
    <row r="6476" spans="1:40" x14ac:dyDescent="0.25">
      <c r="A6476" t="str">
        <f>"20190312173052800"</f>
        <v>20190312173052800</v>
      </c>
      <c r="B6476" t="str">
        <f>"1552383052794166"</f>
        <v>1552383052794166</v>
      </c>
      <c r="C6476" t="s">
        <v>40</v>
      </c>
      <c r="D6476">
        <v>3.2216999999999998</v>
      </c>
      <c r="E6476">
        <v>0.48768</v>
      </c>
      <c r="F6476" t="s">
        <v>63</v>
      </c>
      <c r="G6476">
        <v>-213.37989999999999</v>
      </c>
      <c r="H6476" s="1">
        <v>-6.8844219999999897E-7</v>
      </c>
      <c r="I6476">
        <v>-61.396389999999997</v>
      </c>
      <c r="J6476">
        <v>-235.60290000000001</v>
      </c>
      <c r="K6476">
        <v>1.1090100000000001</v>
      </c>
      <c r="L6476">
        <v>-62.690800000000003</v>
      </c>
      <c r="M6476">
        <v>0.99946979999999996</v>
      </c>
      <c r="N6476">
        <v>0</v>
      </c>
      <c r="O6476">
        <v>3.1504499999999998E-2</v>
      </c>
      <c r="P6476">
        <v>0.98344129999999996</v>
      </c>
      <c r="Q6476">
        <v>0.18016109999999999</v>
      </c>
      <c r="R6476">
        <v>1.9636239999999999E-2</v>
      </c>
      <c r="S6476">
        <v>3.074478</v>
      </c>
      <c r="T6476">
        <v>-0.1522192</v>
      </c>
      <c r="U6476">
        <v>0.1784058</v>
      </c>
      <c r="V6476">
        <v>1.145344E-2</v>
      </c>
      <c r="W6476">
        <v>0.18824160000000001</v>
      </c>
      <c r="X6476">
        <v>0.98205600000000004</v>
      </c>
      <c r="Y6476">
        <v>-2.6455269999999999E-2</v>
      </c>
      <c r="Z6476">
        <v>-9.0308949999999999E-4</v>
      </c>
      <c r="AA6476">
        <v>0.99964960000000003</v>
      </c>
      <c r="AB6476">
        <v>35</v>
      </c>
      <c r="AC6476">
        <v>22.222999999999999</v>
      </c>
      <c r="AD6476">
        <v>-1.1090106884422</v>
      </c>
      <c r="AE6476">
        <v>1.2944099999999901</v>
      </c>
      <c r="AF6476">
        <v>-0.59214956774986305</v>
      </c>
      <c r="AG6476">
        <v>-1.1090106884422</v>
      </c>
      <c r="AH6476">
        <v>22.197655354628498</v>
      </c>
      <c r="AI6476">
        <v>92.859144412059294</v>
      </c>
      <c r="AJ6476">
        <v>91.528072496238593</v>
      </c>
      <c r="AK6476">
        <v>22.233228489369999</v>
      </c>
      <c r="AL6476">
        <v>79.149816635700603</v>
      </c>
      <c r="AM6476">
        <v>89.331805903199907</v>
      </c>
      <c r="AN6476">
        <v>1.00000003419719</v>
      </c>
    </row>
    <row r="6477" spans="1:40" x14ac:dyDescent="0.25">
      <c r="A6477" t="str">
        <f>"20190312173052810"</f>
        <v>20190312173052810</v>
      </c>
      <c r="B6477" t="str">
        <f>"1552383052803927"</f>
        <v>1552383052803927</v>
      </c>
      <c r="C6477" t="s">
        <v>40</v>
      </c>
      <c r="D6477">
        <v>3.2120030000000002</v>
      </c>
      <c r="E6477">
        <v>0.48776829999999999</v>
      </c>
      <c r="F6477" t="s">
        <v>63</v>
      </c>
      <c r="G6477">
        <v>-213.07570000000001</v>
      </c>
      <c r="H6477" s="1">
        <v>-5.5510130000000004E-7</v>
      </c>
      <c r="I6477">
        <v>-61.385629999999999</v>
      </c>
      <c r="J6477">
        <v>-235.43389999999999</v>
      </c>
      <c r="K6477">
        <v>1.1090009999999999</v>
      </c>
      <c r="L6477">
        <v>-62.685580000000002</v>
      </c>
      <c r="M6477">
        <v>0.99947439999999999</v>
      </c>
      <c r="N6477">
        <v>0</v>
      </c>
      <c r="O6477">
        <v>3.1350299999999998E-2</v>
      </c>
      <c r="P6477">
        <v>0.98334429999999995</v>
      </c>
      <c r="Q6477">
        <v>0.18064820000000001</v>
      </c>
      <c r="R6477">
        <v>2.0005289999999998E-2</v>
      </c>
      <c r="S6477">
        <v>3.0746920000000002</v>
      </c>
      <c r="T6477">
        <v>-0.15136640000000001</v>
      </c>
      <c r="U6477">
        <v>0.17813109999999999</v>
      </c>
      <c r="V6477">
        <v>1.093647E-2</v>
      </c>
      <c r="W6477">
        <v>0.18875020000000001</v>
      </c>
      <c r="X6477">
        <v>0.98196419999999995</v>
      </c>
      <c r="Y6477">
        <v>-2.6516149999999999E-2</v>
      </c>
      <c r="Z6477">
        <v>-8.8890589999999895E-4</v>
      </c>
      <c r="AA6477">
        <v>0.99964799999999998</v>
      </c>
      <c r="AB6477">
        <v>35</v>
      </c>
      <c r="AC6477">
        <v>22.358199999999901</v>
      </c>
      <c r="AD6477">
        <v>-1.1090015551012999</v>
      </c>
      <c r="AE6477">
        <v>1.2999499999999899</v>
      </c>
      <c r="AF6477">
        <v>-0.59688725497969497</v>
      </c>
      <c r="AG6477">
        <v>-1.1090015551012999</v>
      </c>
      <c r="AH6477">
        <v>22.333202895802302</v>
      </c>
      <c r="AI6477">
        <v>92.841792690262494</v>
      </c>
      <c r="AJ6477">
        <v>91.530948398049105</v>
      </c>
      <c r="AK6477">
        <v>22.3686859343468</v>
      </c>
      <c r="AL6477">
        <v>79.120143354714102</v>
      </c>
      <c r="AM6477">
        <v>89.361903756530495</v>
      </c>
      <c r="AN6477">
        <v>0.99999996722886897</v>
      </c>
    </row>
    <row r="6478" spans="1:40" x14ac:dyDescent="0.25">
      <c r="A6478" t="str">
        <f>"20190312173052822"</f>
        <v>20190312173052822</v>
      </c>
      <c r="B6478" t="str">
        <f>"1552383052813688"</f>
        <v>1552383052813688</v>
      </c>
      <c r="C6478" t="s">
        <v>40</v>
      </c>
      <c r="D6478">
        <v>3.2085409999999999</v>
      </c>
      <c r="E6478">
        <v>0.48783300000000002</v>
      </c>
      <c r="F6478" t="s">
        <v>63</v>
      </c>
      <c r="G6478">
        <v>-212.7978</v>
      </c>
      <c r="H6478" s="1">
        <v>-4.3155459999999998E-7</v>
      </c>
      <c r="I6478">
        <v>-61.369450000000001</v>
      </c>
      <c r="J6478">
        <v>-235.25149999999999</v>
      </c>
      <c r="K6478">
        <v>1.1089929999999999</v>
      </c>
      <c r="L6478">
        <v>-62.679960000000001</v>
      </c>
      <c r="M6478">
        <v>0.99947949999999997</v>
      </c>
      <c r="N6478">
        <v>0</v>
      </c>
      <c r="O6478">
        <v>3.1182789999999998E-2</v>
      </c>
      <c r="P6478">
        <v>0.98322600000000004</v>
      </c>
      <c r="Q6478">
        <v>0.1812724</v>
      </c>
      <c r="R6478">
        <v>2.0180159999999999E-2</v>
      </c>
      <c r="S6478">
        <v>3.0748289999999998</v>
      </c>
      <c r="T6478">
        <v>-0.15064369999999999</v>
      </c>
      <c r="U6478">
        <v>0.17877199999999999</v>
      </c>
      <c r="V6478">
        <v>1.059978E-2</v>
      </c>
      <c r="W6478">
        <v>0.18939719999999999</v>
      </c>
      <c r="X6478">
        <v>0.98184340000000003</v>
      </c>
      <c r="Y6478">
        <v>-2.688805E-2</v>
      </c>
      <c r="Z6478">
        <v>-8.6733640000000005E-4</v>
      </c>
      <c r="AA6478">
        <v>0.99963809999999997</v>
      </c>
      <c r="AB6478">
        <v>35</v>
      </c>
      <c r="AC6478">
        <v>22.453700000000001</v>
      </c>
      <c r="AD6478">
        <v>-1.1089934315546</v>
      </c>
      <c r="AE6478">
        <v>1.3105099999999901</v>
      </c>
      <c r="AF6478">
        <v>-0.60820110189764698</v>
      </c>
      <c r="AG6478">
        <v>-1.1089934315546</v>
      </c>
      <c r="AH6478">
        <v>22.429119009762999</v>
      </c>
      <c r="AI6478">
        <v>92.829609468797997</v>
      </c>
      <c r="AJ6478">
        <v>91.553285208913707</v>
      </c>
      <c r="AK6478">
        <v>22.464753605719601</v>
      </c>
      <c r="AL6478">
        <v>79.082393067203697</v>
      </c>
      <c r="AM6478">
        <v>89.381470542964294</v>
      </c>
      <c r="AN6478">
        <v>1.0000000584137201</v>
      </c>
    </row>
    <row r="6479" spans="1:40" x14ac:dyDescent="0.25">
      <c r="A6479" t="str">
        <f>"20190312173052834"</f>
        <v>20190312173052834</v>
      </c>
      <c r="B6479" t="str">
        <f>"1552383052824423"</f>
        <v>1552383052824423</v>
      </c>
      <c r="C6479" t="s">
        <v>40</v>
      </c>
      <c r="D6479">
        <v>3.2199119999999999</v>
      </c>
      <c r="E6479">
        <v>0.48783300000000002</v>
      </c>
      <c r="F6479" t="s">
        <v>63</v>
      </c>
      <c r="G6479">
        <v>-212.43389999999999</v>
      </c>
      <c r="H6479" s="1">
        <v>-2.7168359999999899E-7</v>
      </c>
      <c r="I6479">
        <v>-61.35519</v>
      </c>
      <c r="J6479">
        <v>-235.06440000000001</v>
      </c>
      <c r="K6479">
        <v>1.108981</v>
      </c>
      <c r="L6479">
        <v>-62.674259999999997</v>
      </c>
      <c r="M6479">
        <v>0.9994847</v>
      </c>
      <c r="N6479">
        <v>0</v>
      </c>
      <c r="O6479">
        <v>3.1009809999999999E-2</v>
      </c>
      <c r="P6479">
        <v>0.98316820000000005</v>
      </c>
      <c r="Q6479">
        <v>0.18154139999999999</v>
      </c>
      <c r="R6479">
        <v>2.0569239999999999E-2</v>
      </c>
      <c r="S6479">
        <v>3.0750730000000002</v>
      </c>
      <c r="T6479">
        <v>-0.14945629999999999</v>
      </c>
      <c r="U6479">
        <v>0.17852779999999999</v>
      </c>
      <c r="V6479">
        <v>1.0044290000000001E-2</v>
      </c>
      <c r="W6479">
        <v>0.18969359999999999</v>
      </c>
      <c r="X6479">
        <v>0.981792</v>
      </c>
      <c r="Y6479">
        <v>-2.6976969999999999E-2</v>
      </c>
      <c r="Z6479">
        <v>-8.4989609999999998E-4</v>
      </c>
      <c r="AA6479">
        <v>0.99963570000000002</v>
      </c>
      <c r="AB6479">
        <v>35</v>
      </c>
      <c r="AC6479">
        <v>22.630500000000001</v>
      </c>
      <c r="AD6479">
        <v>-1.1089812716836001</v>
      </c>
      <c r="AE6479">
        <v>1.31906999999999</v>
      </c>
      <c r="AF6479">
        <v>-0.61517171157842698</v>
      </c>
      <c r="AG6479">
        <v>-1.1089812716836001</v>
      </c>
      <c r="AH6479">
        <v>22.606418614795</v>
      </c>
      <c r="AI6479">
        <v>92.807414790455994</v>
      </c>
      <c r="AJ6479">
        <v>91.558762892065204</v>
      </c>
      <c r="AK6479">
        <v>22.6419618912104</v>
      </c>
      <c r="AL6479">
        <v>79.065096857480697</v>
      </c>
      <c r="AM6479">
        <v>89.413852070009597</v>
      </c>
      <c r="AN6479">
        <v>1.0000000404532801</v>
      </c>
    </row>
    <row r="6480" spans="1:40" x14ac:dyDescent="0.25">
      <c r="A6480" t="str">
        <f>"20190312173052845"</f>
        <v>20190312173052845</v>
      </c>
      <c r="B6480" t="str">
        <f>"1552383052834183"</f>
        <v>1552383052834183</v>
      </c>
      <c r="C6480" t="s">
        <v>40</v>
      </c>
      <c r="D6480">
        <v>3.2188180000000002</v>
      </c>
      <c r="E6480">
        <v>0.49032209999999898</v>
      </c>
      <c r="F6480" t="s">
        <v>63</v>
      </c>
      <c r="G6480">
        <v>-212.1207</v>
      </c>
      <c r="H6480" s="1">
        <v>-1.316519E-7</v>
      </c>
      <c r="I6480">
        <v>-61.333959999999998</v>
      </c>
      <c r="J6480">
        <v>-234.8887</v>
      </c>
      <c r="K6480">
        <v>1.1089770000000001</v>
      </c>
      <c r="L6480">
        <v>-62.668909999999997</v>
      </c>
      <c r="M6480">
        <v>0.99948939999999997</v>
      </c>
      <c r="N6480">
        <v>0</v>
      </c>
      <c r="O6480">
        <v>3.0847389999999999E-2</v>
      </c>
      <c r="P6480">
        <v>0.98312429999999995</v>
      </c>
      <c r="Q6480">
        <v>0.1817491</v>
      </c>
      <c r="R6480">
        <v>2.0838550000000001E-2</v>
      </c>
      <c r="S6480">
        <v>3.075043</v>
      </c>
      <c r="T6480">
        <v>-0.1486316</v>
      </c>
      <c r="U6480">
        <v>0.17962649999999999</v>
      </c>
      <c r="V6480">
        <v>9.6187970000000001E-3</v>
      </c>
      <c r="W6480">
        <v>0.18992729999999999</v>
      </c>
      <c r="X6480">
        <v>0.98175100000000004</v>
      </c>
      <c r="Y6480">
        <v>-2.749507E-2</v>
      </c>
      <c r="Z6480">
        <v>-8.2487360000000004E-4</v>
      </c>
      <c r="AA6480">
        <v>0.9996216</v>
      </c>
      <c r="AB6480">
        <v>35</v>
      </c>
      <c r="AC6480">
        <v>22.768000000000001</v>
      </c>
      <c r="AD6480">
        <v>-1.1089771316518999</v>
      </c>
      <c r="AE6480">
        <v>1.3349499999999901</v>
      </c>
      <c r="AF6480">
        <v>-0.63046630164844797</v>
      </c>
      <c r="AG6480">
        <v>-1.1089771316518999</v>
      </c>
      <c r="AH6480">
        <v>22.744569964741601</v>
      </c>
      <c r="AI6480">
        <v>92.790340304668803</v>
      </c>
      <c r="AJ6480">
        <v>91.587799224841604</v>
      </c>
      <c r="AK6480">
        <v>22.780315645685501</v>
      </c>
      <c r="AL6480">
        <v>79.051458051202005</v>
      </c>
      <c r="AM6480">
        <v>89.438657216852306</v>
      </c>
      <c r="AN6480">
        <v>0.99999996327100704</v>
      </c>
    </row>
    <row r="6481" spans="1:40" x14ac:dyDescent="0.25">
      <c r="A6481" t="str">
        <f>"20190312173052856"</f>
        <v>20190312173052856</v>
      </c>
      <c r="B6481" t="str">
        <f>"1552383052843943"</f>
        <v>1552383052843943</v>
      </c>
      <c r="C6481" t="s">
        <v>40</v>
      </c>
      <c r="D6481">
        <v>3.1857449999999998</v>
      </c>
      <c r="E6481">
        <v>0.49027720000000002</v>
      </c>
      <c r="F6481" t="s">
        <v>63</v>
      </c>
      <c r="G6481">
        <v>-214.4211</v>
      </c>
      <c r="H6481" s="1">
        <v>-1.189347E-6</v>
      </c>
      <c r="I6481">
        <v>-61.600140000000003</v>
      </c>
      <c r="J6481">
        <v>-234.71369999999999</v>
      </c>
      <c r="K6481">
        <v>1.108973</v>
      </c>
      <c r="L6481">
        <v>-62.663640000000001</v>
      </c>
      <c r="M6481">
        <v>0.9994942</v>
      </c>
      <c r="N6481">
        <v>0</v>
      </c>
      <c r="O6481">
        <v>3.0685520000000001E-2</v>
      </c>
      <c r="P6481">
        <v>0.98306450000000001</v>
      </c>
      <c r="Q6481">
        <v>0.1820195</v>
      </c>
      <c r="R6481">
        <v>2.1292599999999998E-2</v>
      </c>
      <c r="S6481">
        <v>3.0789339999999998</v>
      </c>
      <c r="T6481">
        <v>-0.16682269999999999</v>
      </c>
      <c r="U6481">
        <v>0.16076660000000001</v>
      </c>
      <c r="V6481">
        <v>9.0079759999999991E-3</v>
      </c>
      <c r="W6481">
        <v>0.19022729999999999</v>
      </c>
      <c r="X6481">
        <v>0.98169879999999998</v>
      </c>
      <c r="Y6481">
        <v>-2.1488030000000002E-2</v>
      </c>
      <c r="Z6481">
        <v>-1.078475E-3</v>
      </c>
      <c r="AA6481">
        <v>0.99976849999999995</v>
      </c>
      <c r="AB6481">
        <v>36</v>
      </c>
      <c r="AC6481">
        <v>20.2926</v>
      </c>
      <c r="AD6481">
        <v>-1.108974189347</v>
      </c>
      <c r="AE6481">
        <v>1.0634999999999899</v>
      </c>
      <c r="AF6481">
        <v>-0.43898101160384101</v>
      </c>
      <c r="AG6481">
        <v>-1.108974189347</v>
      </c>
      <c r="AH6481">
        <v>20.255350904181199</v>
      </c>
      <c r="AI6481">
        <v>93.133063235500302</v>
      </c>
      <c r="AJ6481">
        <v>91.241539711199593</v>
      </c>
      <c r="AK6481">
        <v>20.290435390417301</v>
      </c>
      <c r="AL6481">
        <v>79.033951112703605</v>
      </c>
      <c r="AM6481">
        <v>89.474274062248597</v>
      </c>
      <c r="AN6481">
        <v>1.00000005160917</v>
      </c>
    </row>
    <row r="6482" spans="1:40" x14ac:dyDescent="0.25">
      <c r="A6482" t="str">
        <f>"20190312173052867"</f>
        <v>20190312173052867</v>
      </c>
      <c r="B6482" t="str">
        <f>"1552383052864439"</f>
        <v>1552383052864439</v>
      </c>
      <c r="C6482" t="s">
        <v>40</v>
      </c>
      <c r="D6482">
        <v>3.2178089999999999</v>
      </c>
      <c r="E6482">
        <v>0.49006230000000001</v>
      </c>
      <c r="F6482" t="s">
        <v>63</v>
      </c>
      <c r="G6482">
        <v>-214.0419</v>
      </c>
      <c r="H6482" s="1">
        <v>-1.020116E-6</v>
      </c>
      <c r="I6482">
        <v>-61.575519999999997</v>
      </c>
      <c r="J6482">
        <v>-234.541</v>
      </c>
      <c r="K6482">
        <v>1.1089709999999999</v>
      </c>
      <c r="L6482">
        <v>-62.658450000000002</v>
      </c>
      <c r="M6482">
        <v>0.99949880000000002</v>
      </c>
      <c r="N6482">
        <v>0</v>
      </c>
      <c r="O6482">
        <v>3.0526149999999998E-2</v>
      </c>
      <c r="P6482">
        <v>0.98301709999999998</v>
      </c>
      <c r="Q6482">
        <v>0.1822252</v>
      </c>
      <c r="R6482">
        <v>2.1718620000000001E-2</v>
      </c>
      <c r="S6482">
        <v>3.078751</v>
      </c>
      <c r="T6482">
        <v>-0.16516449999999999</v>
      </c>
      <c r="U6482">
        <v>0.16204830000000001</v>
      </c>
      <c r="V6482">
        <v>8.427726E-3</v>
      </c>
      <c r="W6482">
        <v>0.1904623</v>
      </c>
      <c r="X6482">
        <v>0.98165829999999998</v>
      </c>
      <c r="Y6482">
        <v>-2.2064299999999998E-2</v>
      </c>
      <c r="Z6482">
        <v>-1.043853E-3</v>
      </c>
      <c r="AA6482">
        <v>0.99975599999999998</v>
      </c>
      <c r="AB6482">
        <v>36</v>
      </c>
      <c r="AC6482">
        <v>20.499099999999999</v>
      </c>
      <c r="AD6482">
        <v>-1.1089720201159901</v>
      </c>
      <c r="AE6482">
        <v>1.0829299999999999</v>
      </c>
      <c r="AF6482">
        <v>-0.45531584202909098</v>
      </c>
      <c r="AG6482">
        <v>-1.1089720201159901</v>
      </c>
      <c r="AH6482">
        <v>20.4628838086307</v>
      </c>
      <c r="AI6482">
        <v>93.101304951178804</v>
      </c>
      <c r="AJ6482">
        <v>91.274667455999605</v>
      </c>
      <c r="AK6482">
        <v>20.497969295101399</v>
      </c>
      <c r="AL6482">
        <v>79.020234902948104</v>
      </c>
      <c r="AM6482">
        <v>89.508116757386503</v>
      </c>
      <c r="AN6482">
        <v>0.99999996612285402</v>
      </c>
    </row>
    <row r="6483" spans="1:40" x14ac:dyDescent="0.25">
      <c r="A6483" t="str">
        <f>"20190312173052878"</f>
        <v>20190312173052878</v>
      </c>
      <c r="B6483" t="str">
        <f>"1552383052874200"</f>
        <v>1552383052874200</v>
      </c>
      <c r="C6483" t="s">
        <v>40</v>
      </c>
      <c r="D6483">
        <v>3.2277499999999999</v>
      </c>
      <c r="E6483">
        <v>0.48984680000000003</v>
      </c>
      <c r="F6483" t="s">
        <v>63</v>
      </c>
      <c r="G6483">
        <v>-213.73429999999999</v>
      </c>
      <c r="H6483" s="1">
        <v>-8.8070520000000001E-7</v>
      </c>
      <c r="I6483">
        <v>-61.547519999999999</v>
      </c>
      <c r="J6483">
        <v>-234.35910000000001</v>
      </c>
      <c r="K6483">
        <v>1.108968</v>
      </c>
      <c r="L6483">
        <v>-62.65305</v>
      </c>
      <c r="M6483">
        <v>0.99950369999999999</v>
      </c>
      <c r="N6483">
        <v>0</v>
      </c>
      <c r="O6483">
        <v>3.0358719999999999E-2</v>
      </c>
      <c r="P6483">
        <v>0.98295549999999998</v>
      </c>
      <c r="Q6483">
        <v>0.18246290000000001</v>
      </c>
      <c r="R6483">
        <v>2.2504400000000001E-2</v>
      </c>
      <c r="S6483">
        <v>3.0786129999999998</v>
      </c>
      <c r="T6483">
        <v>-0.16408610000000001</v>
      </c>
      <c r="U6483">
        <v>0.16436770000000001</v>
      </c>
      <c r="V6483">
        <v>7.479276E-3</v>
      </c>
      <c r="W6483">
        <v>0.19073380000000001</v>
      </c>
      <c r="X6483">
        <v>0.98161330000000002</v>
      </c>
      <c r="Y6483">
        <v>-2.2983469999999999E-2</v>
      </c>
      <c r="Z6483">
        <v>-1.003704E-3</v>
      </c>
      <c r="AA6483">
        <v>0.99973540000000005</v>
      </c>
      <c r="AB6483">
        <v>36</v>
      </c>
      <c r="AC6483">
        <v>20.6248</v>
      </c>
      <c r="AD6483">
        <v>-1.1089688807052001</v>
      </c>
      <c r="AE6483">
        <v>1.1055299999999999</v>
      </c>
      <c r="AF6483">
        <v>-0.477479252417357</v>
      </c>
      <c r="AG6483">
        <v>-1.1089688807052001</v>
      </c>
      <c r="AH6483">
        <v>20.589501119920602</v>
      </c>
      <c r="AI6483">
        <v>93.082195687704797</v>
      </c>
      <c r="AJ6483">
        <v>91.3284752813518</v>
      </c>
      <c r="AK6483">
        <v>20.6248722367455</v>
      </c>
      <c r="AL6483">
        <v>79.004388943383702</v>
      </c>
      <c r="AM6483">
        <v>89.563450641774494</v>
      </c>
      <c r="AN6483">
        <v>0.99999999638440695</v>
      </c>
    </row>
    <row r="6484" spans="1:40" x14ac:dyDescent="0.25">
      <c r="A6484" t="str">
        <f>"20190312173052890"</f>
        <v>20190312173052890</v>
      </c>
      <c r="B6484" t="str">
        <f>"1552383052883959"</f>
        <v>1552383052883959</v>
      </c>
      <c r="C6484" t="s">
        <v>40</v>
      </c>
      <c r="D6484">
        <v>3.2207379999999999</v>
      </c>
      <c r="E6484">
        <v>0.48982540000000002</v>
      </c>
      <c r="F6484" t="s">
        <v>63</v>
      </c>
      <c r="G6484">
        <v>-213.1566</v>
      </c>
      <c r="H6484" s="1">
        <v>-6.1892879999999999E-7</v>
      </c>
      <c r="I6484">
        <v>-61.495139999999999</v>
      </c>
      <c r="J6484">
        <v>-234.17509999999999</v>
      </c>
      <c r="K6484">
        <v>1.1089659999999999</v>
      </c>
      <c r="L6484">
        <v>-62.647579999999998</v>
      </c>
      <c r="M6484">
        <v>0.99950830000000002</v>
      </c>
      <c r="N6484">
        <v>0</v>
      </c>
      <c r="O6484">
        <v>3.0190149999999999E-2</v>
      </c>
      <c r="P6484">
        <v>0.9829251</v>
      </c>
      <c r="Q6484">
        <v>0.18260689999999999</v>
      </c>
      <c r="R6484">
        <v>2.264774E-2</v>
      </c>
      <c r="S6484">
        <v>3.0780639999999999</v>
      </c>
      <c r="T6484">
        <v>-0.16099379999999999</v>
      </c>
      <c r="U6484">
        <v>0.16809079999999901</v>
      </c>
      <c r="V6484">
        <v>7.1725909999999999E-3</v>
      </c>
      <c r="W6484">
        <v>0.19091449999999999</v>
      </c>
      <c r="X6484">
        <v>0.98158049999999997</v>
      </c>
      <c r="Y6484">
        <v>-2.4364779999999999E-2</v>
      </c>
      <c r="Z6484">
        <v>-9.4008060000000003E-4</v>
      </c>
      <c r="AA6484">
        <v>0.99970270000000006</v>
      </c>
      <c r="AB6484">
        <v>36</v>
      </c>
      <c r="AC6484">
        <v>21.0184999999999</v>
      </c>
      <c r="AD6484">
        <v>-1.1089666189288001</v>
      </c>
      <c r="AE6484">
        <v>1.1524399999999999</v>
      </c>
      <c r="AF6484">
        <v>-0.51590836172112797</v>
      </c>
      <c r="AG6484">
        <v>-1.1089666189288001</v>
      </c>
      <c r="AH6484">
        <v>20.9854684674787</v>
      </c>
      <c r="AI6484">
        <v>93.024041233033699</v>
      </c>
      <c r="AJ6484">
        <v>91.4082801604726</v>
      </c>
      <c r="AK6484">
        <v>21.021081209089498</v>
      </c>
      <c r="AL6484">
        <v>78.993842216150398</v>
      </c>
      <c r="AM6484">
        <v>89.581336550263302</v>
      </c>
      <c r="AN6484">
        <v>1.0000000351760701</v>
      </c>
    </row>
    <row r="6485" spans="1:40" x14ac:dyDescent="0.25">
      <c r="A6485" t="str">
        <f>"20190312173052900"</f>
        <v>20190312173052900</v>
      </c>
      <c r="B6485" t="str">
        <f>"1552383052893719"</f>
        <v>1552383052893719</v>
      </c>
      <c r="C6485" t="s">
        <v>40</v>
      </c>
      <c r="D6485">
        <v>3.409748</v>
      </c>
      <c r="E6485">
        <v>0.48979109999999998</v>
      </c>
      <c r="F6485" t="s">
        <v>63</v>
      </c>
      <c r="G6485">
        <v>-212.64850000000001</v>
      </c>
      <c r="H6485" s="1">
        <v>-3.9385240000000002E-7</v>
      </c>
      <c r="I6485">
        <v>-61.468409999999999</v>
      </c>
      <c r="J6485">
        <v>-233.9984</v>
      </c>
      <c r="K6485">
        <v>1.108965</v>
      </c>
      <c r="L6485">
        <v>-62.642359999999996</v>
      </c>
      <c r="M6485">
        <v>0.99951290000000004</v>
      </c>
      <c r="N6485">
        <v>0</v>
      </c>
      <c r="O6485">
        <v>3.00285E-2</v>
      </c>
      <c r="P6485">
        <v>0.98284760000000004</v>
      </c>
      <c r="Q6485">
        <v>0.1829655</v>
      </c>
      <c r="R6485">
        <v>2.3111679999999999E-2</v>
      </c>
      <c r="S6485">
        <v>3.0776819999999998</v>
      </c>
      <c r="T6485">
        <v>-0.15854969999999999</v>
      </c>
      <c r="U6485">
        <v>0.16857910000000001</v>
      </c>
      <c r="V6485">
        <v>6.5505449999999996E-3</v>
      </c>
      <c r="W6485">
        <v>0.19131049999999999</v>
      </c>
      <c r="X6485">
        <v>0.98150769999999998</v>
      </c>
      <c r="Y6485">
        <v>-2.4690449999999999E-2</v>
      </c>
      <c r="Z6485">
        <v>-9.0925070000000003E-4</v>
      </c>
      <c r="AA6485">
        <v>0.99969470000000005</v>
      </c>
      <c r="AB6485">
        <v>36</v>
      </c>
      <c r="AC6485">
        <v>21.349899999999899</v>
      </c>
      <c r="AD6485">
        <v>-1.10896539385239</v>
      </c>
      <c r="AE6485">
        <v>1.1739499999999901</v>
      </c>
      <c r="AF6485">
        <v>-0.53086396539077296</v>
      </c>
      <c r="AG6485">
        <v>-1.10896539385239</v>
      </c>
      <c r="AH6485">
        <v>21.318181258818999</v>
      </c>
      <c r="AI6485">
        <v>92.976903955771107</v>
      </c>
      <c r="AJ6485">
        <v>91.426480972975099</v>
      </c>
      <c r="AK6485">
        <v>21.3536056200908</v>
      </c>
      <c r="AL6485">
        <v>78.970726540104195</v>
      </c>
      <c r="AM6485">
        <v>89.617615827457598</v>
      </c>
      <c r="AN6485">
        <v>0.99999999110466797</v>
      </c>
    </row>
    <row r="6486" spans="1:40" x14ac:dyDescent="0.25">
      <c r="A6486" t="str">
        <f>"20190312173052913"</f>
        <v>20190312173052913</v>
      </c>
      <c r="B6486" t="str">
        <f>"1552383052904455"</f>
        <v>1552383052904455</v>
      </c>
      <c r="C6486" t="s">
        <v>40</v>
      </c>
      <c r="D6486">
        <v>3.2004890000000001</v>
      </c>
      <c r="E6486">
        <v>0.48983890000000002</v>
      </c>
      <c r="F6486" t="s">
        <v>63</v>
      </c>
      <c r="G6486">
        <v>-212.0641</v>
      </c>
      <c r="H6486" s="1">
        <v>-1.323482E-7</v>
      </c>
      <c r="I6486">
        <v>-61.427889999999998</v>
      </c>
      <c r="J6486">
        <v>-233.815</v>
      </c>
      <c r="K6486">
        <v>1.1089690000000001</v>
      </c>
      <c r="L6486">
        <v>-62.636989999999997</v>
      </c>
      <c r="M6486">
        <v>0.99951760000000001</v>
      </c>
      <c r="N6486">
        <v>0</v>
      </c>
      <c r="O6486">
        <v>2.9861220000000001E-2</v>
      </c>
      <c r="P6486">
        <v>0.9827726</v>
      </c>
      <c r="Q6486">
        <v>0.18336549999999999</v>
      </c>
      <c r="R6486">
        <v>2.3139360000000001E-2</v>
      </c>
      <c r="S6486">
        <v>3.0773160000000002</v>
      </c>
      <c r="T6486">
        <v>-0.155584</v>
      </c>
      <c r="U6486">
        <v>0.17037959999999999</v>
      </c>
      <c r="V6486">
        <v>6.3587579999999999E-3</v>
      </c>
      <c r="W6486">
        <v>0.19175410000000001</v>
      </c>
      <c r="X6486">
        <v>0.98142240000000003</v>
      </c>
      <c r="Y6486">
        <v>-2.544596E-2</v>
      </c>
      <c r="Z6486">
        <v>-8.64842E-4</v>
      </c>
      <c r="AA6486">
        <v>0.9996758</v>
      </c>
      <c r="AB6486">
        <v>36</v>
      </c>
      <c r="AC6486">
        <v>21.750900000000001</v>
      </c>
      <c r="AD6486">
        <v>-1.1089691323481901</v>
      </c>
      <c r="AE6486">
        <v>1.2090999999999901</v>
      </c>
      <c r="AF6486">
        <v>-0.55758373402904704</v>
      </c>
      <c r="AG6486">
        <v>-1.1089691323481901</v>
      </c>
      <c r="AH6486">
        <v>21.721016942751898</v>
      </c>
      <c r="AI6486">
        <v>92.921744379757499</v>
      </c>
      <c r="AJ6486">
        <v>91.470473515174405</v>
      </c>
      <c r="AK6486">
        <v>21.756453966220501</v>
      </c>
      <c r="AL6486">
        <v>78.944830780963301</v>
      </c>
      <c r="AM6486">
        <v>89.628778700794797</v>
      </c>
      <c r="AN6486">
        <v>0.99999999794593597</v>
      </c>
    </row>
    <row r="6487" spans="1:40" x14ac:dyDescent="0.25">
      <c r="A6487" t="str">
        <f>"20190312173052923"</f>
        <v>20190312173052923</v>
      </c>
      <c r="B6487" t="str">
        <f>"1552383052914215"</f>
        <v>1552383052914215</v>
      </c>
      <c r="C6487" t="s">
        <v>40</v>
      </c>
      <c r="D6487">
        <v>3.2016110000000002</v>
      </c>
      <c r="E6487">
        <v>0.4898322</v>
      </c>
      <c r="F6487" t="s">
        <v>63</v>
      </c>
      <c r="G6487">
        <v>-211.5472</v>
      </c>
      <c r="H6487" s="1">
        <v>9.6458000000000003E-8</v>
      </c>
      <c r="I6487">
        <v>-61.401339999999998</v>
      </c>
      <c r="J6487">
        <v>-233.63079999999999</v>
      </c>
      <c r="K6487">
        <v>1.1089739999999999</v>
      </c>
      <c r="L6487">
        <v>-62.631590000000003</v>
      </c>
      <c r="M6487">
        <v>0.99952209999999997</v>
      </c>
      <c r="N6487">
        <v>0</v>
      </c>
      <c r="O6487">
        <v>2.969339E-2</v>
      </c>
      <c r="P6487">
        <v>0.98266949999999997</v>
      </c>
      <c r="Q6487">
        <v>0.18386720000000001</v>
      </c>
      <c r="R6487">
        <v>2.3530309999999999E-2</v>
      </c>
      <c r="S6487">
        <v>3.0771790000000001</v>
      </c>
      <c r="T6487">
        <v>-0.15324749999999901</v>
      </c>
      <c r="U6487">
        <v>0.170745799999999</v>
      </c>
      <c r="V6487">
        <v>5.8026479999999997E-3</v>
      </c>
      <c r="W6487">
        <v>0.1923021</v>
      </c>
      <c r="X6487">
        <v>0.98131860000000004</v>
      </c>
      <c r="Y6487">
        <v>-2.5734139999999999E-2</v>
      </c>
      <c r="Z6487">
        <v>-8.3639899999999896E-4</v>
      </c>
      <c r="AA6487">
        <v>0.99966849999999996</v>
      </c>
      <c r="AB6487">
        <v>36</v>
      </c>
      <c r="AC6487">
        <v>22.083599999999901</v>
      </c>
      <c r="AD6487">
        <v>-1.1089739035420001</v>
      </c>
      <c r="AE6487">
        <v>1.2302499999999901</v>
      </c>
      <c r="AF6487">
        <v>-0.57250706050561795</v>
      </c>
      <c r="AG6487">
        <v>-1.1089739035420001</v>
      </c>
      <c r="AH6487">
        <v>22.0549481434761</v>
      </c>
      <c r="AI6487">
        <v>92.877572555340294</v>
      </c>
      <c r="AJ6487">
        <v>91.486962171664203</v>
      </c>
      <c r="AK6487">
        <v>22.090231439812701</v>
      </c>
      <c r="AL6487">
        <v>78.912837091707502</v>
      </c>
      <c r="AM6487">
        <v>89.661207516513102</v>
      </c>
      <c r="AN6487">
        <v>0.99999998154709002</v>
      </c>
    </row>
    <row r="6488" spans="1:40" x14ac:dyDescent="0.25">
      <c r="A6488" t="str">
        <f>"20190312173052934"</f>
        <v>20190312173052934</v>
      </c>
      <c r="B6488" t="str">
        <f>"1552383052923975"</f>
        <v>1552383052923975</v>
      </c>
      <c r="C6488" t="s">
        <v>40</v>
      </c>
      <c r="D6488">
        <v>3.1588020000000001</v>
      </c>
      <c r="E6488">
        <v>0.4898324</v>
      </c>
      <c r="F6488" t="s">
        <v>63</v>
      </c>
      <c r="G6488">
        <v>-211.0797</v>
      </c>
      <c r="H6488" s="1">
        <v>3.0636780000000002E-7</v>
      </c>
      <c r="I6488">
        <v>-61.366100000000003</v>
      </c>
      <c r="J6488">
        <v>-233.4581</v>
      </c>
      <c r="K6488">
        <v>1.108973</v>
      </c>
      <c r="L6488">
        <v>-62.62659</v>
      </c>
      <c r="M6488">
        <v>0.99952649999999998</v>
      </c>
      <c r="N6488">
        <v>0</v>
      </c>
      <c r="O6488">
        <v>2.9536349999999999E-2</v>
      </c>
      <c r="P6488">
        <v>0.98264629999999997</v>
      </c>
      <c r="Q6488">
        <v>0.1839575</v>
      </c>
      <c r="R6488">
        <v>2.3797240000000001E-2</v>
      </c>
      <c r="S6488">
        <v>3.0770870000000001</v>
      </c>
      <c r="T6488">
        <v>-0.15131889999999901</v>
      </c>
      <c r="U6488">
        <v>0.1726685</v>
      </c>
      <c r="V6488">
        <v>5.3824119999999996E-3</v>
      </c>
      <c r="W6488">
        <v>0.192442</v>
      </c>
      <c r="X6488">
        <v>0.98129359999999999</v>
      </c>
      <c r="Y6488">
        <v>-2.651425E-2</v>
      </c>
      <c r="Z6488">
        <v>-7.9903199999999998E-4</v>
      </c>
      <c r="AA6488">
        <v>0.99964810000000004</v>
      </c>
      <c r="AB6488">
        <v>36</v>
      </c>
      <c r="AC6488">
        <v>22.378399999999999</v>
      </c>
      <c r="AD6488">
        <v>-1.1089726936322</v>
      </c>
      <c r="AE6488">
        <v>1.2604899999999899</v>
      </c>
      <c r="AF6488">
        <v>-0.59747656704377905</v>
      </c>
      <c r="AG6488">
        <v>-1.1089726936322</v>
      </c>
      <c r="AH6488">
        <v>22.351152203445601</v>
      </c>
      <c r="AI6488">
        <v>92.839440149800296</v>
      </c>
      <c r="AJ6488">
        <v>91.531229126568704</v>
      </c>
      <c r="AK6488">
        <v>22.386621082802598</v>
      </c>
      <c r="AL6488">
        <v>78.904669183278003</v>
      </c>
      <c r="AM6488">
        <v>89.685734831469802</v>
      </c>
      <c r="AN6488">
        <v>1.0000000115619401</v>
      </c>
    </row>
    <row r="6489" spans="1:40" x14ac:dyDescent="0.25">
      <c r="A6489" t="str">
        <f>"20190312173052945"</f>
        <v>20190312173052945</v>
      </c>
      <c r="B6489" t="str">
        <f>"1552383052933735"</f>
        <v>1552383052933735</v>
      </c>
      <c r="C6489" t="s">
        <v>40</v>
      </c>
      <c r="D6489">
        <v>3.198223</v>
      </c>
      <c r="E6489">
        <v>0.48982409999999998</v>
      </c>
      <c r="F6489" t="s">
        <v>63</v>
      </c>
      <c r="G6489">
        <v>-210.8288</v>
      </c>
      <c r="H6489" s="1">
        <v>4.1883619999999999E-7</v>
      </c>
      <c r="I6489">
        <v>-61.347920000000002</v>
      </c>
      <c r="J6489">
        <v>-233.28639999999999</v>
      </c>
      <c r="K6489">
        <v>1.108976</v>
      </c>
      <c r="L6489">
        <v>-62.621670000000002</v>
      </c>
      <c r="M6489">
        <v>0.99953060000000005</v>
      </c>
      <c r="N6489">
        <v>0</v>
      </c>
      <c r="O6489">
        <v>2.938025E-2</v>
      </c>
      <c r="P6489">
        <v>0.98262609999999995</v>
      </c>
      <c r="Q6489">
        <v>0.18402650000000001</v>
      </c>
      <c r="R6489">
        <v>2.4093380000000001E-2</v>
      </c>
      <c r="S6489">
        <v>3.0769959999999998</v>
      </c>
      <c r="T6489">
        <v>-0.1507916</v>
      </c>
      <c r="U6489">
        <v>0.1738586</v>
      </c>
      <c r="V6489">
        <v>4.9342220000000003E-3</v>
      </c>
      <c r="W6489">
        <v>0.19256180000000001</v>
      </c>
      <c r="X6489">
        <v>0.98127249999999999</v>
      </c>
      <c r="Y6489">
        <v>-2.7056589999999998E-2</v>
      </c>
      <c r="Z6489">
        <v>-7.7536070000000003E-4</v>
      </c>
      <c r="AA6489">
        <v>0.99963360000000001</v>
      </c>
      <c r="AB6489">
        <v>36</v>
      </c>
      <c r="AC6489">
        <v>22.4575999999999</v>
      </c>
      <c r="AD6489">
        <v>-1.1089755811638</v>
      </c>
      <c r="AE6489">
        <v>1.2737499999999899</v>
      </c>
      <c r="AF6489">
        <v>-0.61187805629551295</v>
      </c>
      <c r="AG6489">
        <v>-1.1089755811638</v>
      </c>
      <c r="AH6489">
        <v>22.430807547831201</v>
      </c>
      <c r="AI6489">
        <v>92.829338912926502</v>
      </c>
      <c r="AJ6489">
        <v>91.562553567231603</v>
      </c>
      <c r="AK6489">
        <v>22.466538425917602</v>
      </c>
      <c r="AL6489">
        <v>78.897674824405499</v>
      </c>
      <c r="AM6489">
        <v>89.711896834907293</v>
      </c>
      <c r="AN6489">
        <v>1.00000005631111</v>
      </c>
    </row>
    <row r="6490" spans="1:40" x14ac:dyDescent="0.25">
      <c r="A6490" t="str">
        <f>"20190312173052956"</f>
        <v>20190312173052956</v>
      </c>
      <c r="B6490" t="str">
        <f>"1552383052954231"</f>
        <v>1552383052954231</v>
      </c>
      <c r="C6490" t="s">
        <v>40</v>
      </c>
      <c r="D6490">
        <v>3.305984</v>
      </c>
      <c r="E6490">
        <v>0.48986619999999997</v>
      </c>
      <c r="F6490" t="s">
        <v>63</v>
      </c>
      <c r="G6490">
        <v>-210.5821</v>
      </c>
      <c r="H6490" s="1">
        <v>5.2946429999999996E-7</v>
      </c>
      <c r="I6490">
        <v>-61.329940000000001</v>
      </c>
      <c r="J6490">
        <v>-233.10509999999999</v>
      </c>
      <c r="K6490">
        <v>1.108984</v>
      </c>
      <c r="L6490">
        <v>-62.616459999999996</v>
      </c>
      <c r="M6490">
        <v>0.99953479999999995</v>
      </c>
      <c r="N6490">
        <v>0</v>
      </c>
      <c r="O6490">
        <v>2.921549E-2</v>
      </c>
      <c r="P6490">
        <v>0.98268739999999999</v>
      </c>
      <c r="Q6490">
        <v>0.18365200000000001</v>
      </c>
      <c r="R6490">
        <v>2.4444509999999999E-2</v>
      </c>
      <c r="S6490">
        <v>3.0769039999999999</v>
      </c>
      <c r="T6490">
        <v>-0.15028929999999999</v>
      </c>
      <c r="U6490">
        <v>0.17504879999999901</v>
      </c>
      <c r="V6490">
        <v>4.4242309999999998E-3</v>
      </c>
      <c r="W6490">
        <v>0.192245</v>
      </c>
      <c r="X6490">
        <v>0.98133700000000001</v>
      </c>
      <c r="Y6490">
        <v>-2.7607590000000001E-2</v>
      </c>
      <c r="Z6490">
        <v>-7.5132539999999998E-4</v>
      </c>
      <c r="AA6490">
        <v>0.99961849999999997</v>
      </c>
      <c r="AB6490">
        <v>36</v>
      </c>
      <c r="AC6490">
        <v>22.523</v>
      </c>
      <c r="AD6490">
        <v>-1.1089834705357</v>
      </c>
      <c r="AE6490">
        <v>1.2865199999999899</v>
      </c>
      <c r="AF6490">
        <v>-0.62641138193451495</v>
      </c>
      <c r="AG6490">
        <v>-1.1089834705357</v>
      </c>
      <c r="AH6490">
        <v>22.4966101858484</v>
      </c>
      <c r="AI6490">
        <v>92.8210525933236</v>
      </c>
      <c r="AJ6490">
        <v>91.594971720272795</v>
      </c>
      <c r="AK6490">
        <v>22.532636450521199</v>
      </c>
      <c r="AL6490">
        <v>78.916171212093005</v>
      </c>
      <c r="AM6490">
        <v>89.741691135171294</v>
      </c>
      <c r="AN6490">
        <v>1.00000001070697</v>
      </c>
    </row>
    <row r="6491" spans="1:40" x14ac:dyDescent="0.25">
      <c r="A6491" t="str">
        <f>"20190312173052968"</f>
        <v>20190312173052968</v>
      </c>
      <c r="B6491" t="str">
        <f>"1552383052963991"</f>
        <v>1552383052963991</v>
      </c>
      <c r="C6491" t="s">
        <v>40</v>
      </c>
      <c r="D6491">
        <v>3.1797979999999999</v>
      </c>
      <c r="E6491">
        <v>0.48988290000000001</v>
      </c>
      <c r="F6491" t="s">
        <v>63</v>
      </c>
      <c r="G6491">
        <v>-210.6371</v>
      </c>
      <c r="H6491" s="1">
        <v>5.04972E-7</v>
      </c>
      <c r="I6491">
        <v>-61.333240000000004</v>
      </c>
      <c r="J6491">
        <v>-232.92420000000001</v>
      </c>
      <c r="K6491">
        <v>1.108992</v>
      </c>
      <c r="L6491">
        <v>-62.6113</v>
      </c>
      <c r="M6491">
        <v>0.99953919999999996</v>
      </c>
      <c r="N6491">
        <v>0</v>
      </c>
      <c r="O6491">
        <v>2.9051069999999998E-2</v>
      </c>
      <c r="P6491">
        <v>0.98273480000000002</v>
      </c>
      <c r="Q6491">
        <v>0.1833263</v>
      </c>
      <c r="R6491">
        <v>2.4987240000000001E-2</v>
      </c>
      <c r="S6491">
        <v>3.0768430000000002</v>
      </c>
      <c r="T6491">
        <v>-0.15186810000000001</v>
      </c>
      <c r="U6491">
        <v>0.17572019999999999</v>
      </c>
      <c r="V6491">
        <v>3.7223920000000001E-3</v>
      </c>
      <c r="W6491">
        <v>0.1919806</v>
      </c>
      <c r="X6491">
        <v>0.98139169999999998</v>
      </c>
      <c r="Y6491">
        <v>-2.798993E-2</v>
      </c>
      <c r="Z6491">
        <v>-7.4169769999999995E-4</v>
      </c>
      <c r="AA6491">
        <v>0.99960789999999999</v>
      </c>
      <c r="AB6491">
        <v>36</v>
      </c>
      <c r="AC6491">
        <v>22.287099999999999</v>
      </c>
      <c r="AD6491">
        <v>-1.108991495028</v>
      </c>
      <c r="AE6491">
        <v>1.27805999999999</v>
      </c>
      <c r="AF6491">
        <v>-0.628480345598187</v>
      </c>
      <c r="AG6491">
        <v>-1.108991495028</v>
      </c>
      <c r="AH6491">
        <v>22.259888309068401</v>
      </c>
      <c r="AI6491">
        <v>92.850993295876094</v>
      </c>
      <c r="AJ6491">
        <v>91.617245656293903</v>
      </c>
      <c r="AK6491">
        <v>22.296355693544399</v>
      </c>
      <c r="AL6491">
        <v>78.931608059691698</v>
      </c>
      <c r="AM6491">
        <v>89.782679710333298</v>
      </c>
      <c r="AN6491">
        <v>1.0000000379037199</v>
      </c>
    </row>
    <row r="6492" spans="1:40" x14ac:dyDescent="0.25">
      <c r="A6492" t="str">
        <f>"20190312173052979"</f>
        <v>20190312173052979</v>
      </c>
      <c r="B6492" t="str">
        <f>"1552383052973751"</f>
        <v>1552383052973751</v>
      </c>
      <c r="C6492" t="s">
        <v>40</v>
      </c>
      <c r="D6492">
        <v>3.370117</v>
      </c>
      <c r="E6492">
        <v>0.48988890000000002</v>
      </c>
      <c r="F6492" t="s">
        <v>63</v>
      </c>
      <c r="G6492">
        <v>-210.6421</v>
      </c>
      <c r="H6492" s="1">
        <v>5.0464750000000005E-7</v>
      </c>
      <c r="I6492">
        <v>-61.326520000000002</v>
      </c>
      <c r="J6492">
        <v>-232.7449</v>
      </c>
      <c r="K6492">
        <v>1.1089990000000001</v>
      </c>
      <c r="L6492">
        <v>-62.606229999999996</v>
      </c>
      <c r="M6492">
        <v>0.99954339999999997</v>
      </c>
      <c r="N6492">
        <v>0</v>
      </c>
      <c r="O6492">
        <v>2.8888069999999998E-2</v>
      </c>
      <c r="P6492">
        <v>0.98277530000000002</v>
      </c>
      <c r="Q6492">
        <v>0.18308050000000001</v>
      </c>
      <c r="R6492">
        <v>2.5189960000000001E-2</v>
      </c>
      <c r="S6492">
        <v>3.0767820000000001</v>
      </c>
      <c r="T6492">
        <v>-0.15313289999999999</v>
      </c>
      <c r="U6492">
        <v>0.17739869999999999</v>
      </c>
      <c r="V6492">
        <v>3.3617899999999999E-3</v>
      </c>
      <c r="W6492">
        <v>0.1917981</v>
      </c>
      <c r="X6492">
        <v>0.98142859999999998</v>
      </c>
      <c r="Y6492">
        <v>-2.869652E-2</v>
      </c>
      <c r="Z6492">
        <v>-7.2221470000000002E-4</v>
      </c>
      <c r="AA6492">
        <v>0.99958789999999997</v>
      </c>
      <c r="AB6492">
        <v>36</v>
      </c>
      <c r="AC6492">
        <v>22.102799999999998</v>
      </c>
      <c r="AD6492">
        <v>-1.1089984953524901</v>
      </c>
      <c r="AE6492">
        <v>1.2797099999999999</v>
      </c>
      <c r="AF6492">
        <v>-0.63904018646961602</v>
      </c>
      <c r="AG6492">
        <v>-1.1089984953524901</v>
      </c>
      <c r="AH6492">
        <v>22.075156274347901</v>
      </c>
      <c r="AI6492">
        <v>92.874770996820104</v>
      </c>
      <c r="AJ6492">
        <v>91.658157369337403</v>
      </c>
      <c r="AK6492">
        <v>22.112231333800299</v>
      </c>
      <c r="AL6492">
        <v>78.942261605807403</v>
      </c>
      <c r="AM6492">
        <v>89.803739543287705</v>
      </c>
      <c r="AN6492">
        <v>0.99999995484678605</v>
      </c>
    </row>
    <row r="6493" spans="1:40" x14ac:dyDescent="0.25">
      <c r="A6493" t="str">
        <f>"20190312173052992"</f>
        <v>20190312173052992</v>
      </c>
      <c r="B6493" t="str">
        <f>"1552383052984487"</f>
        <v>1552383052984487</v>
      </c>
      <c r="C6493" t="s">
        <v>40</v>
      </c>
      <c r="D6493">
        <v>3.189457</v>
      </c>
      <c r="E6493">
        <v>0.48987639999999999</v>
      </c>
      <c r="F6493" t="s">
        <v>63</v>
      </c>
      <c r="G6493">
        <v>-210.68129999999999</v>
      </c>
      <c r="H6493" s="1">
        <v>4.8664369999999899E-7</v>
      </c>
      <c r="I6493">
        <v>-61.331009999999999</v>
      </c>
      <c r="J6493">
        <v>-232.5558</v>
      </c>
      <c r="K6493">
        <v>1.1090100000000001</v>
      </c>
      <c r="L6493">
        <v>-62.60089</v>
      </c>
      <c r="M6493">
        <v>0.99954759999999998</v>
      </c>
      <c r="N6493">
        <v>0</v>
      </c>
      <c r="O6493">
        <v>2.8716080000000001E-2</v>
      </c>
      <c r="P6493">
        <v>0.98280540000000005</v>
      </c>
      <c r="Q6493">
        <v>0.1828748</v>
      </c>
      <c r="R6493">
        <v>2.5510060000000001E-2</v>
      </c>
      <c r="S6493">
        <v>3.0768430000000002</v>
      </c>
      <c r="T6493">
        <v>-0.15465279999999901</v>
      </c>
      <c r="U6493">
        <v>0.17782590000000001</v>
      </c>
      <c r="V6493">
        <v>2.8743760000000001E-3</v>
      </c>
      <c r="W6493">
        <v>0.1916648</v>
      </c>
      <c r="X6493">
        <v>0.9814562</v>
      </c>
      <c r="Y6493">
        <v>-2.9005099999999999E-2</v>
      </c>
      <c r="Z6493">
        <v>-7.1298749999999995E-4</v>
      </c>
      <c r="AA6493">
        <v>0.999579</v>
      </c>
      <c r="AB6493">
        <v>36</v>
      </c>
      <c r="AC6493">
        <v>21.874500000000001</v>
      </c>
      <c r="AD6493">
        <v>-1.1090095133563</v>
      </c>
      <c r="AE6493">
        <v>1.2698799999999999</v>
      </c>
      <c r="AF6493">
        <v>-0.63954292102938903</v>
      </c>
      <c r="AG6493">
        <v>-1.1090095133563</v>
      </c>
      <c r="AH6493">
        <v>21.845982375696199</v>
      </c>
      <c r="AI6493">
        <v>92.904878469301096</v>
      </c>
      <c r="AJ6493">
        <v>91.676859701496298</v>
      </c>
      <c r="AK6493">
        <v>21.883460951316199</v>
      </c>
      <c r="AL6493">
        <v>78.950043622138296</v>
      </c>
      <c r="AM6493">
        <v>89.832199192711997</v>
      </c>
      <c r="AN6493">
        <v>0.99999996505743405</v>
      </c>
    </row>
    <row r="6494" spans="1:40" x14ac:dyDescent="0.25">
      <c r="A6494" t="str">
        <f>"20190312173053001"</f>
        <v>20190312173053001</v>
      </c>
      <c r="B6494" t="str">
        <f>"1552383052994247"</f>
        <v>1552383052994247</v>
      </c>
      <c r="C6494" t="s">
        <v>40</v>
      </c>
      <c r="D6494">
        <v>3.1720869999999999</v>
      </c>
      <c r="E6494">
        <v>0.48987639999999999</v>
      </c>
      <c r="F6494" t="s">
        <v>63</v>
      </c>
      <c r="G6494">
        <v>-210.67089999999999</v>
      </c>
      <c r="H6494" s="1">
        <v>4.9126610000000002E-7</v>
      </c>
      <c r="I6494">
        <v>-61.330350000000003</v>
      </c>
      <c r="J6494">
        <v>-232.39940000000001</v>
      </c>
      <c r="K6494">
        <v>1.1090120000000001</v>
      </c>
      <c r="L6494">
        <v>-62.596530000000001</v>
      </c>
      <c r="M6494">
        <v>0.99955110000000003</v>
      </c>
      <c r="N6494">
        <v>0</v>
      </c>
      <c r="O6494">
        <v>2.857401E-2</v>
      </c>
      <c r="P6494">
        <v>0.9828306</v>
      </c>
      <c r="Q6494">
        <v>0.18269050000000001</v>
      </c>
      <c r="R6494">
        <v>2.5851280000000001E-2</v>
      </c>
      <c r="S6494">
        <v>3.0768430000000002</v>
      </c>
      <c r="T6494">
        <v>-0.155918</v>
      </c>
      <c r="U6494">
        <v>0.17861939999999901</v>
      </c>
      <c r="V6494">
        <v>2.3950719999999998E-3</v>
      </c>
      <c r="W6494">
        <v>0.19154209999999999</v>
      </c>
      <c r="X6494">
        <v>0.98148150000000001</v>
      </c>
      <c r="Y6494">
        <v>-2.940336E-2</v>
      </c>
      <c r="Z6494">
        <v>-7.0154729999999995E-4</v>
      </c>
      <c r="AA6494">
        <v>0.99956739999999999</v>
      </c>
      <c r="AB6494">
        <v>36</v>
      </c>
      <c r="AC6494">
        <v>21.7285</v>
      </c>
      <c r="AD6494">
        <v>-1.1090115087338901</v>
      </c>
      <c r="AE6494">
        <v>1.2661799999999901</v>
      </c>
      <c r="AF6494">
        <v>-0.64309777025501202</v>
      </c>
      <c r="AG6494">
        <v>-1.1090115087338901</v>
      </c>
      <c r="AH6494">
        <v>21.699471940435402</v>
      </c>
      <c r="AI6494">
        <v>92.924431881887301</v>
      </c>
      <c r="AJ6494">
        <v>91.697553101912206</v>
      </c>
      <c r="AK6494">
        <v>21.737308107545299</v>
      </c>
      <c r="AL6494">
        <v>78.957207180862099</v>
      </c>
      <c r="AM6494">
        <v>89.860183564499295</v>
      </c>
      <c r="AN6494">
        <v>1.0000000236422699</v>
      </c>
    </row>
    <row r="6495" spans="1:40" x14ac:dyDescent="0.25">
      <c r="A6495" t="str">
        <f>"20190312173053012"</f>
        <v>20190312173053012</v>
      </c>
      <c r="B6495" t="str">
        <f>"1552383053004007"</f>
        <v>1552383053004007</v>
      </c>
      <c r="C6495" t="s">
        <v>40</v>
      </c>
      <c r="D6495">
        <v>3.184196</v>
      </c>
      <c r="E6495">
        <v>0.48988730000000003</v>
      </c>
      <c r="F6495" t="s">
        <v>63</v>
      </c>
      <c r="G6495">
        <v>-210.5968</v>
      </c>
      <c r="H6495" s="1">
        <v>5.2503209999999897E-7</v>
      </c>
      <c r="I6495">
        <v>-61.322929999999999</v>
      </c>
      <c r="J6495">
        <v>-232.22110000000001</v>
      </c>
      <c r="K6495">
        <v>1.1090230000000001</v>
      </c>
      <c r="L6495">
        <v>-62.59158</v>
      </c>
      <c r="M6495">
        <v>0.99955499999999997</v>
      </c>
      <c r="N6495">
        <v>0</v>
      </c>
      <c r="O6495">
        <v>2.8411949999999998E-2</v>
      </c>
      <c r="P6495">
        <v>0.98279939999999999</v>
      </c>
      <c r="Q6495">
        <v>0.18283140000000001</v>
      </c>
      <c r="R6495">
        <v>2.6040549999999999E-2</v>
      </c>
      <c r="S6495">
        <v>3.0767359999999999</v>
      </c>
      <c r="T6495">
        <v>-0.15650069999999999</v>
      </c>
      <c r="U6495">
        <v>0.17971799999999999</v>
      </c>
      <c r="V6495">
        <v>2.0464179999999999E-3</v>
      </c>
      <c r="W6495">
        <v>0.19176109999999999</v>
      </c>
      <c r="X6495">
        <v>0.98143950000000002</v>
      </c>
      <c r="Y6495">
        <v>-2.9922239999999999E-2</v>
      </c>
      <c r="Z6495">
        <v>-6.8277910000000004E-4</v>
      </c>
      <c r="AA6495">
        <v>0.999552</v>
      </c>
      <c r="AB6495">
        <v>36</v>
      </c>
      <c r="AC6495">
        <v>21.624300000000002</v>
      </c>
      <c r="AD6495">
        <v>-1.1090224749679001</v>
      </c>
      <c r="AE6495">
        <v>1.2686500000000001</v>
      </c>
      <c r="AF6495">
        <v>-0.65201482991177395</v>
      </c>
      <c r="AG6495">
        <v>-1.1090224749679001</v>
      </c>
      <c r="AH6495">
        <v>21.595010450550401</v>
      </c>
      <c r="AI6495">
        <v>92.938533729449702</v>
      </c>
      <c r="AJ6495">
        <v>91.729397277492197</v>
      </c>
      <c r="AK6495">
        <v>21.633296802563098</v>
      </c>
      <c r="AL6495">
        <v>78.944422146805195</v>
      </c>
      <c r="AM6495">
        <v>89.880531663342396</v>
      </c>
      <c r="AN6495">
        <v>0.99999999973004505</v>
      </c>
    </row>
    <row r="6496" spans="1:40" x14ac:dyDescent="0.25">
      <c r="A6496" t="str">
        <f>"20190312173053023"</f>
        <v>20190312173053023</v>
      </c>
      <c r="B6496" t="str">
        <f>"1552383053013768"</f>
        <v>1552383053013768</v>
      </c>
      <c r="C6496" t="s">
        <v>40</v>
      </c>
      <c r="D6496">
        <v>3.2854999999999999</v>
      </c>
      <c r="E6496">
        <v>0.48997079999999998</v>
      </c>
      <c r="F6496" t="s">
        <v>63</v>
      </c>
      <c r="G6496">
        <v>-210.43620000000001</v>
      </c>
      <c r="H6496" s="1">
        <v>5.9642419999999897E-7</v>
      </c>
      <c r="I6496">
        <v>-61.313459999999999</v>
      </c>
      <c r="J6496">
        <v>-232.0394</v>
      </c>
      <c r="K6496">
        <v>1.109035</v>
      </c>
      <c r="L6496">
        <v>-62.586519999999901</v>
      </c>
      <c r="M6496">
        <v>0.99955890000000003</v>
      </c>
      <c r="N6496">
        <v>0</v>
      </c>
      <c r="O6496">
        <v>2.824664E-2</v>
      </c>
      <c r="P6496">
        <v>0.9827034</v>
      </c>
      <c r="Q6496">
        <v>0.1833108</v>
      </c>
      <c r="R6496">
        <v>2.6291419999999999E-2</v>
      </c>
      <c r="S6496">
        <v>3.0768589999999998</v>
      </c>
      <c r="T6496">
        <v>-0.1566362</v>
      </c>
      <c r="U6496">
        <v>0.18051149999999999</v>
      </c>
      <c r="V6496">
        <v>1.631651E-3</v>
      </c>
      <c r="W6496">
        <v>0.1923213</v>
      </c>
      <c r="X6496">
        <v>0.98133060000000005</v>
      </c>
      <c r="Y6496">
        <v>-3.0341340000000001E-2</v>
      </c>
      <c r="Z6496">
        <v>-6.6428869999999999E-4</v>
      </c>
      <c r="AA6496">
        <v>0.99953939999999997</v>
      </c>
      <c r="AB6496">
        <v>36</v>
      </c>
      <c r="AC6496">
        <v>21.603199999999902</v>
      </c>
      <c r="AD6496">
        <v>-1.1090344035758</v>
      </c>
      <c r="AE6496">
        <v>1.2730599999999901</v>
      </c>
      <c r="AF6496">
        <v>-0.66057362105704898</v>
      </c>
      <c r="AG6496">
        <v>-1.1090344035758</v>
      </c>
      <c r="AH6496">
        <v>21.573880431065799</v>
      </c>
      <c r="AI6496">
        <v>92.941400312189003</v>
      </c>
      <c r="AJ6496">
        <v>91.753799433076907</v>
      </c>
      <c r="AK6496">
        <v>21.612464729203801</v>
      </c>
      <c r="AL6496">
        <v>78.911715684384902</v>
      </c>
      <c r="AM6496">
        <v>89.904734826582398</v>
      </c>
      <c r="AN6496">
        <v>0.99999994560751604</v>
      </c>
    </row>
    <row r="6497" spans="1:40" x14ac:dyDescent="0.25">
      <c r="A6497" t="str">
        <f>"20190312173053035"</f>
        <v>20190312173053035</v>
      </c>
      <c r="B6497" t="str">
        <f>"1552383053024503"</f>
        <v>1552383053024503</v>
      </c>
      <c r="C6497" t="s">
        <v>40</v>
      </c>
      <c r="D6497">
        <v>3.199344</v>
      </c>
      <c r="E6497">
        <v>0.4900523</v>
      </c>
      <c r="F6497" t="s">
        <v>63</v>
      </c>
      <c r="G6497">
        <v>-210.10659999999999</v>
      </c>
      <c r="H6497" s="1">
        <v>7.4212159999999996E-7</v>
      </c>
      <c r="I6497">
        <v>-61.297379999999997</v>
      </c>
      <c r="J6497">
        <v>-231.85499999999999</v>
      </c>
      <c r="K6497">
        <v>1.109057</v>
      </c>
      <c r="L6497">
        <v>-62.581479999999999</v>
      </c>
      <c r="M6497">
        <v>0.99956270000000003</v>
      </c>
      <c r="N6497">
        <v>0</v>
      </c>
      <c r="O6497">
        <v>2.8079110000000001E-2</v>
      </c>
      <c r="P6497">
        <v>0.98262760000000005</v>
      </c>
      <c r="Q6497">
        <v>0.18366750000000001</v>
      </c>
      <c r="R6497">
        <v>2.663188E-2</v>
      </c>
      <c r="S6497">
        <v>3.076981</v>
      </c>
      <c r="T6497">
        <v>-0.155588</v>
      </c>
      <c r="U6497">
        <v>0.18084720000000001</v>
      </c>
      <c r="V6497">
        <v>1.1254979999999999E-3</v>
      </c>
      <c r="W6497">
        <v>0.19277330000000001</v>
      </c>
      <c r="X6497">
        <v>0.98124270000000002</v>
      </c>
      <c r="Y6497">
        <v>-3.061467E-2</v>
      </c>
      <c r="Z6497">
        <v>-6.4446860000000003E-4</v>
      </c>
      <c r="AA6497">
        <v>0.99953099999999995</v>
      </c>
      <c r="AB6497">
        <v>36</v>
      </c>
      <c r="AC6497">
        <v>21.7484</v>
      </c>
      <c r="AD6497">
        <v>-1.1090562578784</v>
      </c>
      <c r="AE6497">
        <v>1.2841</v>
      </c>
      <c r="AF6497">
        <v>-0.67115242157972499</v>
      </c>
      <c r="AG6497">
        <v>-1.1090562578784</v>
      </c>
      <c r="AH6497">
        <v>21.719596859869299</v>
      </c>
      <c r="AI6497">
        <v>92.921733041677001</v>
      </c>
      <c r="AJ6497">
        <v>91.769920914632394</v>
      </c>
      <c r="AK6497">
        <v>21.758247611224999</v>
      </c>
      <c r="AL6497">
        <v>78.885325027492001</v>
      </c>
      <c r="AM6497">
        <v>89.934281032643298</v>
      </c>
      <c r="AN6497">
        <v>1.0000000241209599</v>
      </c>
    </row>
    <row r="6498" spans="1:40" x14ac:dyDescent="0.25">
      <c r="A6498" t="str">
        <f>"20190312173053045"</f>
        <v>20190312173053045</v>
      </c>
      <c r="B6498" t="str">
        <f>"1552383053034263"</f>
        <v>1552383053034263</v>
      </c>
      <c r="C6498" t="s">
        <v>40</v>
      </c>
      <c r="D6498">
        <v>3.2133590000000001</v>
      </c>
      <c r="E6498">
        <v>0.49014679999999999</v>
      </c>
      <c r="F6498" t="s">
        <v>54</v>
      </c>
      <c r="G6498">
        <v>-209.8263</v>
      </c>
      <c r="H6498" s="1">
        <v>-2.8740850000000002E-7</v>
      </c>
      <c r="I6498">
        <v>-61.281120000000001</v>
      </c>
      <c r="J6498">
        <v>-231.68100000000001</v>
      </c>
      <c r="K6498">
        <v>1.109073</v>
      </c>
      <c r="L6498">
        <v>-62.576720000000002</v>
      </c>
      <c r="M6498">
        <v>0.99956630000000002</v>
      </c>
      <c r="N6498">
        <v>0</v>
      </c>
      <c r="O6498">
        <v>2.7920830000000001E-2</v>
      </c>
      <c r="P6498">
        <v>0.98257910000000004</v>
      </c>
      <c r="Q6498">
        <v>0.18390860000000001</v>
      </c>
      <c r="R6498">
        <v>2.6758009999999999E-2</v>
      </c>
      <c r="S6498">
        <v>3.0770870000000001</v>
      </c>
      <c r="T6498">
        <v>-0.154919</v>
      </c>
      <c r="U6498">
        <v>0.18164060000000001</v>
      </c>
      <c r="V6498">
        <v>8.4346029999999997E-4</v>
      </c>
      <c r="W6498">
        <v>0.19310740000000001</v>
      </c>
      <c r="X6498">
        <v>0.98117730000000003</v>
      </c>
      <c r="Y6498">
        <v>-3.1027039999999999E-2</v>
      </c>
      <c r="Z6498">
        <v>-6.2335739999999998E-4</v>
      </c>
      <c r="AA6498">
        <v>0.99951829999999997</v>
      </c>
      <c r="AB6498">
        <v>36</v>
      </c>
      <c r="AC6498">
        <v>21.854699999999902</v>
      </c>
      <c r="AD6498">
        <v>-1.1090732874085001</v>
      </c>
      <c r="AE6498">
        <v>1.2956000000000001</v>
      </c>
      <c r="AF6498">
        <v>-0.68311367247730304</v>
      </c>
      <c r="AG6498">
        <v>-1.1090732874085001</v>
      </c>
      <c r="AH6498">
        <v>21.826341831000999</v>
      </c>
      <c r="AI6498">
        <v>92.907477225469705</v>
      </c>
      <c r="AJ6498">
        <v>91.792639304174898</v>
      </c>
      <c r="AK6498">
        <v>21.865175178124598</v>
      </c>
      <c r="AL6498">
        <v>78.865816083548793</v>
      </c>
      <c r="AM6498">
        <v>89.950746207160805</v>
      </c>
      <c r="AN6498">
        <v>1.00000003669766</v>
      </c>
    </row>
    <row r="6499" spans="1:40" x14ac:dyDescent="0.25">
      <c r="A6499" t="str">
        <f>"20190312173053056"</f>
        <v>20190312173053056</v>
      </c>
      <c r="B6499" t="str">
        <f>"1552383053044023"</f>
        <v>1552383053044023</v>
      </c>
      <c r="C6499" t="s">
        <v>40</v>
      </c>
      <c r="D6499">
        <v>3.2850589999999902</v>
      </c>
      <c r="E6499">
        <v>0.49020760000000002</v>
      </c>
      <c r="F6499" t="s">
        <v>54</v>
      </c>
      <c r="G6499">
        <v>-209.584</v>
      </c>
      <c r="H6499" s="1">
        <v>-3.783385E-7</v>
      </c>
      <c r="I6499">
        <v>-61.274999999999999</v>
      </c>
      <c r="J6499">
        <v>-231.50409999999999</v>
      </c>
      <c r="K6499">
        <v>1.109089</v>
      </c>
      <c r="L6499">
        <v>-62.571930000000002</v>
      </c>
      <c r="M6499">
        <v>0.99956979999999995</v>
      </c>
      <c r="N6499">
        <v>0</v>
      </c>
      <c r="O6499">
        <v>2.7759869999999999E-2</v>
      </c>
      <c r="P6499">
        <v>0.98246369999999905</v>
      </c>
      <c r="Q6499">
        <v>0.1844382</v>
      </c>
      <c r="R6499">
        <v>2.734371E-2</v>
      </c>
      <c r="S6499">
        <v>3.0771790000000001</v>
      </c>
      <c r="T6499">
        <v>-0.1544468</v>
      </c>
      <c r="U6499">
        <v>0.1812744</v>
      </c>
      <c r="V6499" s="1">
        <v>9.7675479999999995E-5</v>
      </c>
      <c r="W6499">
        <v>0.19373979999999999</v>
      </c>
      <c r="X6499">
        <v>0.98105290000000001</v>
      </c>
      <c r="Y6499">
        <v>-3.106745E-2</v>
      </c>
      <c r="Z6499">
        <v>-6.1237140000000004E-4</v>
      </c>
      <c r="AA6499">
        <v>0.99951710000000005</v>
      </c>
      <c r="AB6499">
        <v>36</v>
      </c>
      <c r="AC6499">
        <v>21.920099999999898</v>
      </c>
      <c r="AD6499">
        <v>-1.1090893783384901</v>
      </c>
      <c r="AE6499">
        <v>1.2969299999999999</v>
      </c>
      <c r="AF6499">
        <v>-0.68615329733766905</v>
      </c>
      <c r="AG6499">
        <v>-1.1090893783384901</v>
      </c>
      <c r="AH6499">
        <v>21.891807346511399</v>
      </c>
      <c r="AI6499">
        <v>92.898835410889603</v>
      </c>
      <c r="AJ6499">
        <v>91.795229665135594</v>
      </c>
      <c r="AK6499">
        <v>21.930620476706999</v>
      </c>
      <c r="AL6499">
        <v>78.828883886807404</v>
      </c>
      <c r="AM6499">
        <v>89.994295523974799</v>
      </c>
      <c r="AN6499">
        <v>0.99999995612147297</v>
      </c>
    </row>
    <row r="6500" spans="1:40" x14ac:dyDescent="0.25">
      <c r="A6500" t="str">
        <f>"20190312173053069"</f>
        <v>20190312173053069</v>
      </c>
      <c r="B6500" t="str">
        <f>"1552383053064519"</f>
        <v>1552383053064519</v>
      </c>
      <c r="C6500" t="s">
        <v>40</v>
      </c>
      <c r="D6500">
        <v>3.1434129999999998</v>
      </c>
      <c r="E6500">
        <v>0.48948849999999999</v>
      </c>
      <c r="F6500" t="s">
        <v>54</v>
      </c>
      <c r="G6500">
        <v>-209.2681</v>
      </c>
      <c r="H6500" s="1">
        <v>-5.5782150000000004E-7</v>
      </c>
      <c r="I6500">
        <v>-61.252809999999997</v>
      </c>
      <c r="J6500">
        <v>-231.31299999999999</v>
      </c>
      <c r="K6500">
        <v>1.109111</v>
      </c>
      <c r="L6500">
        <v>-62.566769999999998</v>
      </c>
      <c r="M6500">
        <v>0.99957359999999995</v>
      </c>
      <c r="N6500">
        <v>0</v>
      </c>
      <c r="O6500">
        <v>2.7585640000000002E-2</v>
      </c>
      <c r="P6500">
        <v>0.9824311</v>
      </c>
      <c r="Q6500">
        <v>0.1845677</v>
      </c>
      <c r="R6500">
        <v>2.764544E-2</v>
      </c>
      <c r="S6500">
        <v>3.077286</v>
      </c>
      <c r="T6500">
        <v>-0.15348889999999901</v>
      </c>
      <c r="U6500">
        <v>0.1825562</v>
      </c>
      <c r="V6500">
        <v>-3.7498749999999997E-4</v>
      </c>
      <c r="W6500">
        <v>0.1939873</v>
      </c>
      <c r="X6500">
        <v>0.98100390000000004</v>
      </c>
      <c r="Y6500">
        <v>-3.1653580000000001E-2</v>
      </c>
      <c r="Z6500">
        <v>-5.8528189999999998E-4</v>
      </c>
      <c r="AA6500">
        <v>0.99949869999999996</v>
      </c>
      <c r="AB6500">
        <v>36</v>
      </c>
      <c r="AC6500">
        <v>22.044899999999899</v>
      </c>
      <c r="AD6500">
        <v>-1.1091115578215001</v>
      </c>
      <c r="AE6500">
        <v>1.31396</v>
      </c>
      <c r="AF6500">
        <v>-0.70353485901039403</v>
      </c>
      <c r="AG6500">
        <v>-1.1091115578215001</v>
      </c>
      <c r="AH6500">
        <v>22.017224295858501</v>
      </c>
      <c r="AI6500">
        <v>92.882352633140201</v>
      </c>
      <c r="AJ6500">
        <v>91.830197425544</v>
      </c>
      <c r="AK6500">
        <v>22.056365417712801</v>
      </c>
      <c r="AL6500">
        <v>78.814428681207005</v>
      </c>
      <c r="AM6500">
        <v>90.021901238184398</v>
      </c>
      <c r="AN6500">
        <v>0.99999993249606001</v>
      </c>
    </row>
    <row r="6501" spans="1:40" x14ac:dyDescent="0.25">
      <c r="A6501" t="str">
        <f>"20190312173053079"</f>
        <v>20190312173053079</v>
      </c>
      <c r="B6501" t="str">
        <f>"1552383053074279"</f>
        <v>1552383053074279</v>
      </c>
      <c r="C6501" t="s">
        <v>40</v>
      </c>
      <c r="D6501">
        <v>3.2342279999999999</v>
      </c>
      <c r="E6501">
        <v>0.48869760000000001</v>
      </c>
      <c r="F6501" t="s">
        <v>54</v>
      </c>
      <c r="G6501">
        <v>-209.16069999999999</v>
      </c>
      <c r="H6501" s="1">
        <v>-6.1971029999999996E-7</v>
      </c>
      <c r="I6501">
        <v>-61.207149999999999</v>
      </c>
      <c r="J6501">
        <v>-231.14169999999999</v>
      </c>
      <c r="K6501">
        <v>1.109129</v>
      </c>
      <c r="L6501">
        <v>-62.562159999999999</v>
      </c>
      <c r="M6501">
        <v>0.99957669999999998</v>
      </c>
      <c r="N6501">
        <v>0</v>
      </c>
      <c r="O6501">
        <v>2.7429619999999998E-2</v>
      </c>
      <c r="P6501">
        <v>0.98237620000000003</v>
      </c>
      <c r="Q6501">
        <v>0.18478449999999999</v>
      </c>
      <c r="R6501">
        <v>2.814154E-2</v>
      </c>
      <c r="S6501">
        <v>3.0773009999999998</v>
      </c>
      <c r="T6501">
        <v>-0.15407299999999999</v>
      </c>
      <c r="U6501">
        <v>0.18887329999999999</v>
      </c>
      <c r="V6501">
        <v>-1.024664E-3</v>
      </c>
      <c r="W6501">
        <v>0.19431709999999999</v>
      </c>
      <c r="X6501">
        <v>0.98093830000000004</v>
      </c>
      <c r="Y6501">
        <v>-3.3850539999999998E-2</v>
      </c>
      <c r="Z6501">
        <v>-5.2475220000000003E-4</v>
      </c>
      <c r="AA6501">
        <v>0.99942679999999995</v>
      </c>
      <c r="AB6501">
        <v>36</v>
      </c>
      <c r="AC6501">
        <v>21.980999999999899</v>
      </c>
      <c r="AD6501">
        <v>-1.1091296197103</v>
      </c>
      <c r="AE6501">
        <v>1.35501</v>
      </c>
      <c r="AF6501">
        <v>-0.74963987673653798</v>
      </c>
      <c r="AG6501">
        <v>-1.1091296197103</v>
      </c>
      <c r="AH6501">
        <v>21.954212472153401</v>
      </c>
      <c r="AI6501">
        <v>92.890449592735905</v>
      </c>
      <c r="AJ6501">
        <v>91.955639275381799</v>
      </c>
      <c r="AK6501">
        <v>21.9949897415427</v>
      </c>
      <c r="AL6501">
        <v>78.795167514880305</v>
      </c>
      <c r="AM6501">
        <v>90.059849739036395</v>
      </c>
      <c r="AN6501">
        <v>1.0000000668478</v>
      </c>
    </row>
    <row r="6502" spans="1:40" x14ac:dyDescent="0.25">
      <c r="A6502" t="str">
        <f>"20190312173053090"</f>
        <v>20190312173053090</v>
      </c>
      <c r="B6502" t="str">
        <f>"1552383053084039"</f>
        <v>1552383053084039</v>
      </c>
      <c r="C6502" t="s">
        <v>40</v>
      </c>
      <c r="D6502">
        <v>3.1664699999999999</v>
      </c>
      <c r="E6502">
        <v>0.48869760000000001</v>
      </c>
      <c r="F6502" t="s">
        <v>54</v>
      </c>
      <c r="G6502">
        <v>-208.93119999999999</v>
      </c>
      <c r="H6502" s="1">
        <v>-7.5675780000000002E-7</v>
      </c>
      <c r="I6502">
        <v>-61.143810000000002</v>
      </c>
      <c r="J6502">
        <v>-230.9648</v>
      </c>
      <c r="K6502">
        <v>1.1091489999999999</v>
      </c>
      <c r="L6502">
        <v>-62.557499999999997</v>
      </c>
      <c r="M6502">
        <v>0.99957980000000002</v>
      </c>
      <c r="N6502">
        <v>0</v>
      </c>
      <c r="O6502">
        <v>2.726777E-2</v>
      </c>
      <c r="P6502">
        <v>0.98232889999999995</v>
      </c>
      <c r="Q6502">
        <v>0.1849451</v>
      </c>
      <c r="R6502">
        <v>2.8728159999999999E-2</v>
      </c>
      <c r="S6502">
        <v>3.0771030000000001</v>
      </c>
      <c r="T6502">
        <v>-0.1536622</v>
      </c>
      <c r="U6502">
        <v>0.1965027</v>
      </c>
      <c r="V6502">
        <v>-1.769683E-3</v>
      </c>
      <c r="W6502">
        <v>0.19460430000000001</v>
      </c>
      <c r="X6502">
        <v>0.98088030000000004</v>
      </c>
      <c r="Y6502">
        <v>-3.6481039999999999E-2</v>
      </c>
      <c r="Z6502">
        <v>-4.4970239999999999E-4</v>
      </c>
      <c r="AA6502">
        <v>0.99933419999999895</v>
      </c>
      <c r="AB6502">
        <v>36</v>
      </c>
      <c r="AC6502">
        <v>22.0336</v>
      </c>
      <c r="AD6502">
        <v>-1.1091497567577999</v>
      </c>
      <c r="AE6502">
        <v>1.4136899999999999</v>
      </c>
      <c r="AF6502">
        <v>-0.81028325083087305</v>
      </c>
      <c r="AG6502">
        <v>-1.1091497567577999</v>
      </c>
      <c r="AH6502">
        <v>22.008415336493599</v>
      </c>
      <c r="AI6502">
        <v>92.883122729847699</v>
      </c>
      <c r="AJ6502">
        <v>92.108504871873805</v>
      </c>
      <c r="AK6502">
        <v>22.051238463022901</v>
      </c>
      <c r="AL6502">
        <v>78.778391896559597</v>
      </c>
      <c r="AM6502">
        <v>90.103371692713395</v>
      </c>
      <c r="AN6502">
        <v>1.00000006414224</v>
      </c>
    </row>
    <row r="6503" spans="1:40" x14ac:dyDescent="0.25">
      <c r="A6503" t="str">
        <f>"20190312173053101"</f>
        <v>20190312173053101</v>
      </c>
      <c r="B6503" t="str">
        <f>"1552383053093799"</f>
        <v>1552383053093799</v>
      </c>
      <c r="C6503" t="s">
        <v>40</v>
      </c>
      <c r="D6503">
        <v>3.1370290000000001</v>
      </c>
      <c r="E6503">
        <v>0.4659896</v>
      </c>
      <c r="F6503" t="s">
        <v>54</v>
      </c>
      <c r="G6503">
        <v>-208.69069999999999</v>
      </c>
      <c r="H6503" s="1">
        <v>-9.0701549999999996E-7</v>
      </c>
      <c r="I6503">
        <v>-61.125100000000003</v>
      </c>
      <c r="J6503">
        <v>-230.7885</v>
      </c>
      <c r="K6503">
        <v>1.1091690000000001</v>
      </c>
      <c r="L6503">
        <v>-62.55283</v>
      </c>
      <c r="M6503">
        <v>0.999583</v>
      </c>
      <c r="N6503">
        <v>0</v>
      </c>
      <c r="O6503">
        <v>2.71057E-2</v>
      </c>
      <c r="P6503">
        <v>0.98228859999999996</v>
      </c>
      <c r="Q6503">
        <v>0.18509880000000001</v>
      </c>
      <c r="R6503">
        <v>2.9117000000000001E-2</v>
      </c>
      <c r="S6503">
        <v>3.0770110000000002</v>
      </c>
      <c r="T6503">
        <v>-0.1532212</v>
      </c>
      <c r="U6503">
        <v>0.197876</v>
      </c>
      <c r="V6503">
        <v>-2.3167819999999999E-3</v>
      </c>
      <c r="W6503">
        <v>0.19488910000000001</v>
      </c>
      <c r="X6503">
        <v>0.98082259999999999</v>
      </c>
      <c r="Y6503">
        <v>-3.7088219999999998E-2</v>
      </c>
      <c r="Z6503">
        <v>-4.2527590000000001E-4</v>
      </c>
      <c r="AA6503">
        <v>0.99931190000000003</v>
      </c>
      <c r="AB6503">
        <v>36</v>
      </c>
      <c r="AC6503">
        <v>22.097799999999999</v>
      </c>
      <c r="AD6503">
        <v>-1.1091699070154999</v>
      </c>
      <c r="AE6503">
        <v>1.4277299999999999</v>
      </c>
      <c r="AF6503">
        <v>-0.82612664460100205</v>
      </c>
      <c r="AG6503">
        <v>-1.1091699070154999</v>
      </c>
      <c r="AH6503">
        <v>22.0730017400439</v>
      </c>
      <c r="AI6503">
        <v>92.874688014885393</v>
      </c>
      <c r="AJ6503">
        <v>92.1434097573093</v>
      </c>
      <c r="AK6503">
        <v>22.116286960779199</v>
      </c>
      <c r="AL6503">
        <v>78.761755379815298</v>
      </c>
      <c r="AM6503">
        <v>90.135336995475299</v>
      </c>
      <c r="AN6503">
        <v>1.0000000507242</v>
      </c>
    </row>
    <row r="6504" spans="1:40" x14ac:dyDescent="0.25">
      <c r="A6504" t="str">
        <f>"20190312173053113"</f>
        <v>20190312173053113</v>
      </c>
      <c r="B6504" t="str">
        <f>"1552383053104535"</f>
        <v>1552383053104535</v>
      </c>
      <c r="C6504" t="s">
        <v>40</v>
      </c>
      <c r="D6504">
        <v>3.1594000000000002</v>
      </c>
      <c r="E6504">
        <v>0.465951</v>
      </c>
      <c r="F6504" t="s">
        <v>54</v>
      </c>
      <c r="G6504">
        <v>-205.6987</v>
      </c>
      <c r="H6504" s="1">
        <v>-2.9542699999999998E-6</v>
      </c>
      <c r="I6504">
        <v>-59.449080000000002</v>
      </c>
      <c r="J6504">
        <v>-230.60480000000001</v>
      </c>
      <c r="K6504">
        <v>1.1091930000000001</v>
      </c>
      <c r="L6504">
        <v>-62.548000000000002</v>
      </c>
      <c r="M6504">
        <v>0.99958570000000002</v>
      </c>
      <c r="N6504">
        <v>0</v>
      </c>
      <c r="O6504">
        <v>2.6942799999999999E-2</v>
      </c>
      <c r="P6504">
        <v>0.98219990000000001</v>
      </c>
      <c r="Q6504">
        <v>0.1855135</v>
      </c>
      <c r="R6504">
        <v>2.946499E-2</v>
      </c>
      <c r="S6504">
        <v>3.0684049999999998</v>
      </c>
      <c r="T6504">
        <v>-0.1356484</v>
      </c>
      <c r="U6504">
        <v>0.37957760000000001</v>
      </c>
      <c r="V6504">
        <v>-2.8253060000000001E-3</v>
      </c>
      <c r="W6504">
        <v>0.19545599999999999</v>
      </c>
      <c r="X6504">
        <v>0.98070840000000004</v>
      </c>
      <c r="Y6504">
        <v>-9.5918160000000002E-2</v>
      </c>
      <c r="Z6504">
        <v>9.2565409999999996E-4</v>
      </c>
      <c r="AA6504">
        <v>0.99538879999999996</v>
      </c>
      <c r="AB6504">
        <v>36</v>
      </c>
      <c r="AC6504">
        <v>24.906099999999999</v>
      </c>
      <c r="AD6504">
        <v>-1.1091959542700001</v>
      </c>
      <c r="AE6504">
        <v>3.0989200000000001</v>
      </c>
      <c r="AF6504">
        <v>-2.4219899529144202</v>
      </c>
      <c r="AG6504">
        <v>-1.1091959542700001</v>
      </c>
      <c r="AH6504">
        <v>24.931860057346299</v>
      </c>
      <c r="AI6504">
        <v>92.535438041733499</v>
      </c>
      <c r="AJ6504">
        <v>95.548552424864596</v>
      </c>
      <c r="AK6504">
        <v>25.073771094833099</v>
      </c>
      <c r="AL6504">
        <v>78.728636909886404</v>
      </c>
      <c r="AM6504">
        <v>90.165061971326196</v>
      </c>
      <c r="AN6504">
        <v>0.99999999806027595</v>
      </c>
    </row>
    <row r="6505" spans="1:40" x14ac:dyDescent="0.25">
      <c r="A6505" t="str">
        <f>"20190312173053124"</f>
        <v>20190312173053124</v>
      </c>
      <c r="B6505" t="str">
        <f>"1552383053114295"</f>
        <v>1552383053114295</v>
      </c>
      <c r="C6505" t="s">
        <v>40</v>
      </c>
      <c r="D6505">
        <v>3.1900930000000001</v>
      </c>
      <c r="E6505">
        <v>0.46591749999999998</v>
      </c>
      <c r="F6505" t="s">
        <v>54</v>
      </c>
      <c r="G6505">
        <v>-205.31530000000001</v>
      </c>
      <c r="H6505" s="1">
        <v>-3.1975209999999998E-6</v>
      </c>
      <c r="I6505">
        <v>-59.407200000000003</v>
      </c>
      <c r="J6505">
        <v>-230.42429999999999</v>
      </c>
      <c r="K6505">
        <v>1.1092150000000001</v>
      </c>
      <c r="L6505">
        <v>-62.5432699999999</v>
      </c>
      <c r="M6505">
        <v>0.99958829999999999</v>
      </c>
      <c r="N6505">
        <v>0</v>
      </c>
      <c r="O6505">
        <v>2.6784039999999999E-2</v>
      </c>
      <c r="P6505">
        <v>0.98205719999999996</v>
      </c>
      <c r="Q6505">
        <v>0.18621409999999999</v>
      </c>
      <c r="R6505">
        <v>2.980006E-2</v>
      </c>
      <c r="S6505">
        <v>3.0683590000000001</v>
      </c>
      <c r="T6505">
        <v>-0.13457829999999901</v>
      </c>
      <c r="U6505">
        <v>0.381073</v>
      </c>
      <c r="V6505">
        <v>-3.3185549999999999E-3</v>
      </c>
      <c r="W6505">
        <v>0.19630929999999999</v>
      </c>
      <c r="X6505">
        <v>0.98053639999999997</v>
      </c>
      <c r="Y6505">
        <v>-9.6556050000000004E-2</v>
      </c>
      <c r="Z6505">
        <v>9.3920060000000005E-4</v>
      </c>
      <c r="AA6505">
        <v>0.99532710000000002</v>
      </c>
      <c r="AB6505">
        <v>36</v>
      </c>
      <c r="AC6505">
        <v>25.108999999999899</v>
      </c>
      <c r="AD6505">
        <v>-1.109218197521</v>
      </c>
      <c r="AE6505">
        <v>3.1360699999999802</v>
      </c>
      <c r="AF6505">
        <v>-2.4576662009954799</v>
      </c>
      <c r="AG6505">
        <v>-1.109218197521</v>
      </c>
      <c r="AH6505">
        <v>25.135692498529998</v>
      </c>
      <c r="AI6505">
        <v>92.5148011852894</v>
      </c>
      <c r="AJ6505">
        <v>95.584398517751794</v>
      </c>
      <c r="AK6505">
        <v>25.2799035905179</v>
      </c>
      <c r="AL6505">
        <v>78.678780510463994</v>
      </c>
      <c r="AM6505">
        <v>90.193912709016303</v>
      </c>
      <c r="AN6505">
        <v>0.99999999289936803</v>
      </c>
    </row>
    <row r="6506" spans="1:40" x14ac:dyDescent="0.25">
      <c r="A6506" t="str">
        <f>"20190312173053133"</f>
        <v>20190312173053133</v>
      </c>
      <c r="B6506" t="str">
        <f>"1552383053124056"</f>
        <v>1552383053124056</v>
      </c>
      <c r="C6506" t="s">
        <v>40</v>
      </c>
      <c r="D6506">
        <v>3.1106630000000002</v>
      </c>
      <c r="E6506">
        <v>0.46593960000000001</v>
      </c>
      <c r="F6506" t="s">
        <v>54</v>
      </c>
      <c r="G6506">
        <v>-204.76929999999999</v>
      </c>
      <c r="H6506" s="1">
        <v>-3.5032019999999998E-6</v>
      </c>
      <c r="I6506">
        <v>-59.343530000000001</v>
      </c>
      <c r="J6506">
        <v>-230.2551</v>
      </c>
      <c r="K6506">
        <v>1.1092439999999999</v>
      </c>
      <c r="L6506">
        <v>-62.538910000000001</v>
      </c>
      <c r="M6506">
        <v>0.9995908</v>
      </c>
      <c r="N6506">
        <v>0</v>
      </c>
      <c r="O6506">
        <v>2.6635610000000001E-2</v>
      </c>
      <c r="P6506">
        <v>0.98197939999999995</v>
      </c>
      <c r="Q6506">
        <v>0.186526</v>
      </c>
      <c r="R6506">
        <v>3.04088E-2</v>
      </c>
      <c r="S6506">
        <v>3.0683440000000002</v>
      </c>
      <c r="T6506">
        <v>-0.1326629</v>
      </c>
      <c r="U6506">
        <v>0.38269039999999999</v>
      </c>
      <c r="V6506">
        <v>-4.0742010000000004E-3</v>
      </c>
      <c r="W6506">
        <v>0.19677919999999999</v>
      </c>
      <c r="X6506">
        <v>0.98043939999999996</v>
      </c>
      <c r="Y6506">
        <v>-9.722219E-2</v>
      </c>
      <c r="Z6506">
        <v>9.4654120000000003E-4</v>
      </c>
      <c r="AA6506">
        <v>0.99526230000000004</v>
      </c>
      <c r="AB6506">
        <v>36</v>
      </c>
      <c r="AC6506">
        <v>25.485800000000001</v>
      </c>
      <c r="AD6506">
        <v>-1.1092475032019999</v>
      </c>
      <c r="AE6506">
        <v>3.1953799999999899</v>
      </c>
      <c r="AF6506">
        <v>-2.5106969007208102</v>
      </c>
      <c r="AG6506">
        <v>-1.1092475032019999</v>
      </c>
      <c r="AH6506">
        <v>25.514287434832099</v>
      </c>
      <c r="AI6506">
        <v>92.477446532432495</v>
      </c>
      <c r="AJ6506">
        <v>95.6200156723161</v>
      </c>
      <c r="AK6506">
        <v>25.661506040329702</v>
      </c>
      <c r="AL6506">
        <v>78.651322119260101</v>
      </c>
      <c r="AM6506">
        <v>90.238090369020796</v>
      </c>
      <c r="AN6506">
        <v>1.00000003486939</v>
      </c>
    </row>
    <row r="6507" spans="1:40" x14ac:dyDescent="0.25">
      <c r="A6507" t="str">
        <f>"20190312173053146"</f>
        <v>20190312173053146</v>
      </c>
      <c r="B6507" t="str">
        <f>"1552383053133816"</f>
        <v>1552383053133816</v>
      </c>
      <c r="C6507" t="s">
        <v>40</v>
      </c>
      <c r="D6507">
        <v>3.2536</v>
      </c>
      <c r="E6507">
        <v>0.46601300000000001</v>
      </c>
      <c r="F6507" t="s">
        <v>54</v>
      </c>
      <c r="G6507">
        <v>-204.59889999999999</v>
      </c>
      <c r="H6507" s="1">
        <v>-3.5945749999999998E-6</v>
      </c>
      <c r="I6507">
        <v>-59.323180000000001</v>
      </c>
      <c r="J6507">
        <v>-230.07730000000001</v>
      </c>
      <c r="K6507">
        <v>1.1092740000000001</v>
      </c>
      <c r="L6507">
        <v>-62.534300000000002</v>
      </c>
      <c r="M6507">
        <v>0.99959319999999896</v>
      </c>
      <c r="N6507">
        <v>0</v>
      </c>
      <c r="O6507">
        <v>2.647884E-2</v>
      </c>
      <c r="P6507">
        <v>0.98190820000000001</v>
      </c>
      <c r="Q6507">
        <v>0.18684300000000001</v>
      </c>
      <c r="R6507">
        <v>3.0760570000000001E-2</v>
      </c>
      <c r="S6507">
        <v>3.0683440000000002</v>
      </c>
      <c r="T6507">
        <v>-0.1326599</v>
      </c>
      <c r="U6507">
        <v>0.38458249999999999</v>
      </c>
      <c r="V6507">
        <v>-4.5823979999999997E-3</v>
      </c>
      <c r="W6507">
        <v>0.1972621</v>
      </c>
      <c r="X6507">
        <v>0.98034010000000005</v>
      </c>
      <c r="Y6507">
        <v>-9.7981639999999995E-2</v>
      </c>
      <c r="Z6507">
        <v>9.6957200000000003E-4</v>
      </c>
      <c r="AA6507">
        <v>0.99518779999999996</v>
      </c>
      <c r="AB6507">
        <v>36</v>
      </c>
      <c r="AC6507">
        <v>25.478400000000001</v>
      </c>
      <c r="AD6507">
        <v>-1.109277594575</v>
      </c>
      <c r="AE6507">
        <v>3.21111999999999</v>
      </c>
      <c r="AF6507">
        <v>-2.53059573121222</v>
      </c>
      <c r="AG6507">
        <v>-1.109277594575</v>
      </c>
      <c r="AH6507">
        <v>25.506903395109099</v>
      </c>
      <c r="AI6507">
        <v>92.478034142520698</v>
      </c>
      <c r="AJ6507">
        <v>95.665898352248206</v>
      </c>
      <c r="AK6507">
        <v>25.656120757902698</v>
      </c>
      <c r="AL6507">
        <v>78.623100696078197</v>
      </c>
      <c r="AM6507">
        <v>90.267815376832303</v>
      </c>
      <c r="AN6507">
        <v>1.00000002306792</v>
      </c>
    </row>
    <row r="6508" spans="1:40" x14ac:dyDescent="0.25">
      <c r="A6508" t="str">
        <f>"20190312173053157"</f>
        <v>20190312173053157</v>
      </c>
      <c r="B6508" t="str">
        <f>"1552383053154311"</f>
        <v>1552383053154311</v>
      </c>
      <c r="C6508" t="s">
        <v>40</v>
      </c>
      <c r="D6508">
        <v>3.2632970000000001</v>
      </c>
      <c r="E6508">
        <v>0.46613870000000002</v>
      </c>
      <c r="F6508" t="s">
        <v>54</v>
      </c>
      <c r="G6508">
        <v>-204.41030000000001</v>
      </c>
      <c r="H6508" s="1">
        <v>-3.6928629999999999E-6</v>
      </c>
      <c r="I6508">
        <v>-59.313249999999996</v>
      </c>
      <c r="J6508">
        <v>-229.8947</v>
      </c>
      <c r="K6508">
        <v>1.109305</v>
      </c>
      <c r="L6508">
        <v>-62.529629999999997</v>
      </c>
      <c r="M6508">
        <v>0.99959540000000002</v>
      </c>
      <c r="N6508">
        <v>0</v>
      </c>
      <c r="O6508">
        <v>2.6315120000000001E-2</v>
      </c>
      <c r="P6508">
        <v>0.98182769999999997</v>
      </c>
      <c r="Q6508">
        <v>0.18715090000000001</v>
      </c>
      <c r="R6508">
        <v>3.1448770000000001E-2</v>
      </c>
      <c r="S6508">
        <v>3.0684360000000002</v>
      </c>
      <c r="T6508">
        <v>-0.1326119</v>
      </c>
      <c r="U6508">
        <v>0.38507079999999999</v>
      </c>
      <c r="V6508">
        <v>-5.4345069999999999E-3</v>
      </c>
      <c r="W6508">
        <v>0.19774639999999999</v>
      </c>
      <c r="X6508">
        <v>0.9802381</v>
      </c>
      <c r="Y6508">
        <v>-9.8296449999999994E-2</v>
      </c>
      <c r="Z6508">
        <v>9.8299169999999992E-4</v>
      </c>
      <c r="AA6508">
        <v>0.99515670000000001</v>
      </c>
      <c r="AB6508">
        <v>36</v>
      </c>
      <c r="AC6508">
        <v>25.484399999999901</v>
      </c>
      <c r="AD6508">
        <v>-1.109308692863</v>
      </c>
      <c r="AE6508">
        <v>3.21638</v>
      </c>
      <c r="AF6508">
        <v>-2.5398649013377401</v>
      </c>
      <c r="AG6508">
        <v>-1.109308692863</v>
      </c>
      <c r="AH6508">
        <v>25.512635429300001</v>
      </c>
      <c r="AI6508">
        <v>92.477464411418595</v>
      </c>
      <c r="AJ6508">
        <v>95.685246624679394</v>
      </c>
      <c r="AK6508">
        <v>25.6627365267518</v>
      </c>
      <c r="AL6508">
        <v>78.5947939672904</v>
      </c>
      <c r="AM6508">
        <v>90.3176484618252</v>
      </c>
      <c r="AN6508">
        <v>0.99999995263545005</v>
      </c>
    </row>
    <row r="6509" spans="1:40" x14ac:dyDescent="0.25">
      <c r="A6509" t="str">
        <f>"20190312173053168"</f>
        <v>20190312173053168</v>
      </c>
      <c r="B6509" t="str">
        <f>"1552383053164071"</f>
        <v>1552383053164071</v>
      </c>
      <c r="C6509" t="s">
        <v>40</v>
      </c>
      <c r="D6509">
        <v>3.1236039999999998</v>
      </c>
      <c r="E6509">
        <v>0.4662269</v>
      </c>
      <c r="F6509" t="s">
        <v>54</v>
      </c>
      <c r="G6509">
        <v>-204.32550000000001</v>
      </c>
      <c r="H6509" s="1">
        <v>-3.73599E-6</v>
      </c>
      <c r="I6509">
        <v>-59.313569999999999</v>
      </c>
      <c r="J6509">
        <v>-229.70439999999999</v>
      </c>
      <c r="K6509">
        <v>1.1093390000000001</v>
      </c>
      <c r="L6509">
        <v>-62.52478</v>
      </c>
      <c r="M6509">
        <v>0.99959799999999999</v>
      </c>
      <c r="N6509">
        <v>0</v>
      </c>
      <c r="O6509">
        <v>2.6143039999999999E-2</v>
      </c>
      <c r="P6509">
        <v>0.98184680000000002</v>
      </c>
      <c r="Q6509">
        <v>0.18689030000000001</v>
      </c>
      <c r="R6509">
        <v>3.2392400000000002E-2</v>
      </c>
      <c r="S6509">
        <v>3.068527</v>
      </c>
      <c r="T6509">
        <v>-0.13312650000000001</v>
      </c>
      <c r="U6509">
        <v>0.38595580000000002</v>
      </c>
      <c r="V6509">
        <v>-6.5489179999999999E-3</v>
      </c>
      <c r="W6509">
        <v>0.1976735</v>
      </c>
      <c r="X6509">
        <v>0.98024610000000001</v>
      </c>
      <c r="Y6509">
        <v>-9.8745509999999995E-2</v>
      </c>
      <c r="Z6509">
        <v>1.0038789999999901E-3</v>
      </c>
      <c r="AA6509">
        <v>0.9951122</v>
      </c>
      <c r="AB6509">
        <v>36</v>
      </c>
      <c r="AC6509">
        <v>25.378899999999899</v>
      </c>
      <c r="AD6509">
        <v>-1.1093427359900001</v>
      </c>
      <c r="AE6509">
        <v>3.2112099999999999</v>
      </c>
      <c r="AF6509">
        <v>-2.54181074397769</v>
      </c>
      <c r="AG6509">
        <v>-1.1093427359900001</v>
      </c>
      <c r="AH6509">
        <v>25.406402262659402</v>
      </c>
      <c r="AI6509">
        <v>92.487765821391804</v>
      </c>
      <c r="AJ6509">
        <v>95.713206707261506</v>
      </c>
      <c r="AK6509">
        <v>25.557322220767901</v>
      </c>
      <c r="AL6509">
        <v>78.599056164995304</v>
      </c>
      <c r="AM6509">
        <v>90.382781200848001</v>
      </c>
      <c r="AN6509">
        <v>1.00000005874721</v>
      </c>
    </row>
    <row r="6510" spans="1:40" x14ac:dyDescent="0.25">
      <c r="A6510" t="str">
        <f>"20190312173053179"</f>
        <v>20190312173053179</v>
      </c>
      <c r="B6510" t="str">
        <f>"1552383053173832"</f>
        <v>1552383053173832</v>
      </c>
      <c r="C6510" t="s">
        <v>40</v>
      </c>
      <c r="D6510">
        <v>3.2380900000000001</v>
      </c>
      <c r="E6510">
        <v>0.46612900000000002</v>
      </c>
      <c r="F6510" t="s">
        <v>54</v>
      </c>
      <c r="G6510">
        <v>-204.60249999999999</v>
      </c>
      <c r="H6510" s="1">
        <v>-3.5862800000000002E-6</v>
      </c>
      <c r="I6510">
        <v>-59.352209999999999</v>
      </c>
      <c r="J6510">
        <v>-229.52940000000001</v>
      </c>
      <c r="K6510">
        <v>1.109369</v>
      </c>
      <c r="L6510">
        <v>-62.520359999999997</v>
      </c>
      <c r="M6510">
        <v>0.99960020000000005</v>
      </c>
      <c r="N6510">
        <v>0</v>
      </c>
      <c r="O6510">
        <v>2.598367E-2</v>
      </c>
      <c r="P6510">
        <v>0.98180389999999995</v>
      </c>
      <c r="Q6510">
        <v>0.18697939999999999</v>
      </c>
      <c r="R6510">
        <v>3.3168320000000001E-2</v>
      </c>
      <c r="S6510">
        <v>3.0684809999999998</v>
      </c>
      <c r="T6510">
        <v>-0.13560720000000001</v>
      </c>
      <c r="U6510">
        <v>0.38781739999999998</v>
      </c>
      <c r="V6510">
        <v>-7.4842789999999999E-3</v>
      </c>
      <c r="W6510">
        <v>0.19793620000000001</v>
      </c>
      <c r="X6510">
        <v>0.98018629999999995</v>
      </c>
      <c r="Y6510">
        <v>-9.9496769999999998E-2</v>
      </c>
      <c r="Z6510">
        <v>1.046076E-3</v>
      </c>
      <c r="AA6510">
        <v>0.99503730000000001</v>
      </c>
      <c r="AB6510">
        <v>36</v>
      </c>
      <c r="AC6510">
        <v>24.9269</v>
      </c>
      <c r="AD6510">
        <v>-1.1093725862799999</v>
      </c>
      <c r="AE6510">
        <v>3.16814999999999</v>
      </c>
      <c r="AF6510">
        <v>-2.5144464116730898</v>
      </c>
      <c r="AG6510">
        <v>-1.1093725862799999</v>
      </c>
      <c r="AH6510">
        <v>24.952171053291501</v>
      </c>
      <c r="AI6510">
        <v>92.532880703977696</v>
      </c>
      <c r="AJ6510">
        <v>95.754307416277996</v>
      </c>
      <c r="AK6510">
        <v>25.103067313877901</v>
      </c>
      <c r="AL6510">
        <v>78.583700124167194</v>
      </c>
      <c r="AM6510">
        <v>90.437477310245498</v>
      </c>
      <c r="AN6510">
        <v>0.99999996820513903</v>
      </c>
    </row>
    <row r="6511" spans="1:40" x14ac:dyDescent="0.25">
      <c r="A6511" t="str">
        <f>"20190312173053191"</f>
        <v>20190312173053191</v>
      </c>
      <c r="B6511" t="str">
        <f>"1552383053184568"</f>
        <v>1552383053184568</v>
      </c>
      <c r="C6511" t="s">
        <v>40</v>
      </c>
      <c r="D6511">
        <v>3.230899</v>
      </c>
      <c r="E6511">
        <v>0.46606950000000003</v>
      </c>
      <c r="F6511" t="s">
        <v>54</v>
      </c>
      <c r="G6511">
        <v>-204.95079999999999</v>
      </c>
      <c r="H6511" s="1">
        <v>-3.3999829999999998E-6</v>
      </c>
      <c r="I6511">
        <v>-59.392000000000003</v>
      </c>
      <c r="J6511">
        <v>-229.35820000000001</v>
      </c>
      <c r="K6511">
        <v>1.1093980000000001</v>
      </c>
      <c r="L6511">
        <v>-62.51605</v>
      </c>
      <c r="M6511">
        <v>0.99960230000000005</v>
      </c>
      <c r="N6511">
        <v>0</v>
      </c>
      <c r="O6511">
        <v>2.582943E-2</v>
      </c>
      <c r="P6511">
        <v>0.98175009999999996</v>
      </c>
      <c r="Q6511">
        <v>0.1871033</v>
      </c>
      <c r="R6511">
        <v>3.4051980000000003E-2</v>
      </c>
      <c r="S6511">
        <v>3.0687869999999999</v>
      </c>
      <c r="T6511">
        <v>-0.1385121</v>
      </c>
      <c r="U6511">
        <v>0.39059450000000001</v>
      </c>
      <c r="V6511">
        <v>-8.5232299999999997E-3</v>
      </c>
      <c r="W6511">
        <v>0.19823099999999999</v>
      </c>
      <c r="X6511">
        <v>0.9801183</v>
      </c>
      <c r="Y6511">
        <v>-0.1005199</v>
      </c>
      <c r="Z6511">
        <v>1.098206E-3</v>
      </c>
      <c r="AA6511">
        <v>0.9949344</v>
      </c>
      <c r="AB6511">
        <v>36</v>
      </c>
      <c r="AC6511">
        <v>24.407399999999999</v>
      </c>
      <c r="AD6511">
        <v>-1.1094013999829999</v>
      </c>
      <c r="AE6511">
        <v>3.12405</v>
      </c>
      <c r="AF6511">
        <v>-2.4874816186550301</v>
      </c>
      <c r="AG6511">
        <v>-1.1094013999829999</v>
      </c>
      <c r="AH6511">
        <v>24.430293501471802</v>
      </c>
      <c r="AI6511">
        <v>92.586710528121102</v>
      </c>
      <c r="AJ6511">
        <v>95.813795063070103</v>
      </c>
      <c r="AK6511">
        <v>24.581651222761401</v>
      </c>
      <c r="AL6511">
        <v>78.566468570458397</v>
      </c>
      <c r="AM6511">
        <v>90.498238628344595</v>
      </c>
      <c r="AN6511">
        <v>1.0000000284027599</v>
      </c>
    </row>
    <row r="6512" spans="1:40" x14ac:dyDescent="0.25">
      <c r="A6512" t="str">
        <f>"20190312173053202"</f>
        <v>20190312173053202</v>
      </c>
      <c r="B6512" t="str">
        <f>"1552383053194327"</f>
        <v>1552383053194327</v>
      </c>
      <c r="C6512" t="s">
        <v>40</v>
      </c>
      <c r="D6512">
        <v>3.2306900000000001</v>
      </c>
      <c r="E6512">
        <v>0.46600209999999997</v>
      </c>
      <c r="F6512" t="s">
        <v>54</v>
      </c>
      <c r="G6512">
        <v>-205.13820000000001</v>
      </c>
      <c r="H6512" s="1">
        <v>-3.2932819999999998E-6</v>
      </c>
      <c r="I6512">
        <v>-59.4120699999999</v>
      </c>
      <c r="J6512">
        <v>-229.1782</v>
      </c>
      <c r="K6512">
        <v>1.109429</v>
      </c>
      <c r="L6512">
        <v>-62.511539999999997</v>
      </c>
      <c r="M6512">
        <v>0.99960420000000005</v>
      </c>
      <c r="N6512">
        <v>0</v>
      </c>
      <c r="O6512">
        <v>2.5668090000000001E-2</v>
      </c>
      <c r="P6512">
        <v>0.98172510000000002</v>
      </c>
      <c r="Q6512">
        <v>0.18710270000000001</v>
      </c>
      <c r="R6512">
        <v>3.4766890000000002E-2</v>
      </c>
      <c r="S6512">
        <v>3.0689540000000002</v>
      </c>
      <c r="T6512">
        <v>-0.14057410000000001</v>
      </c>
      <c r="U6512">
        <v>0.39331050000000001</v>
      </c>
      <c r="V6512">
        <v>-9.3991720000000008E-3</v>
      </c>
      <c r="W6512">
        <v>0.198411</v>
      </c>
      <c r="X6512">
        <v>0.98007379999999999</v>
      </c>
      <c r="Y6512">
        <v>-0.1015365</v>
      </c>
      <c r="Z6512">
        <v>1.1449419999999999E-3</v>
      </c>
      <c r="AA6512">
        <v>0.99483109999999997</v>
      </c>
      <c r="AB6512">
        <v>36</v>
      </c>
      <c r="AC6512">
        <v>24.0399999999999</v>
      </c>
      <c r="AD6512">
        <v>-1.109432293282</v>
      </c>
      <c r="AE6512">
        <v>3.0994700000000099</v>
      </c>
      <c r="AF6512">
        <v>-2.4761594356423302</v>
      </c>
      <c r="AG6512">
        <v>-1.109432293282</v>
      </c>
      <c r="AH6512">
        <v>24.061234024501399</v>
      </c>
      <c r="AI6512">
        <v>92.626114378497704</v>
      </c>
      <c r="AJ6512">
        <v>95.875667092794004</v>
      </c>
      <c r="AK6512">
        <v>24.213739660488699</v>
      </c>
      <c r="AL6512">
        <v>78.555945551306095</v>
      </c>
      <c r="AM6512">
        <v>90.549465129277095</v>
      </c>
      <c r="AN6512">
        <v>0.999999961400862</v>
      </c>
    </row>
    <row r="6513" spans="1:40" x14ac:dyDescent="0.25">
      <c r="A6513" t="str">
        <f>"20190312173053212"</f>
        <v>20190312173053212</v>
      </c>
      <c r="B6513" t="str">
        <f>"1552383053204088"</f>
        <v>1552383053204088</v>
      </c>
      <c r="C6513" t="s">
        <v>40</v>
      </c>
      <c r="D6513">
        <v>3.2276590000000001</v>
      </c>
      <c r="E6513">
        <v>0.46605010000000002</v>
      </c>
      <c r="F6513" t="s">
        <v>54</v>
      </c>
      <c r="G6513">
        <v>-205.39570000000001</v>
      </c>
      <c r="H6513" s="1">
        <v>-3.1456119999999999E-6</v>
      </c>
      <c r="I6513">
        <v>-59.442959999999999</v>
      </c>
      <c r="J6513">
        <v>-228.9991</v>
      </c>
      <c r="K6513">
        <v>1.1094580000000001</v>
      </c>
      <c r="L6513">
        <v>-62.507080000000002</v>
      </c>
      <c r="M6513">
        <v>0.99960629999999995</v>
      </c>
      <c r="N6513">
        <v>0</v>
      </c>
      <c r="O6513">
        <v>2.5512469999999999E-2</v>
      </c>
      <c r="P6513">
        <v>0.98163520000000004</v>
      </c>
      <c r="Q6513">
        <v>0.18747929999999999</v>
      </c>
      <c r="R6513">
        <v>3.5276380000000003E-2</v>
      </c>
      <c r="S6513">
        <v>3.0691069999999998</v>
      </c>
      <c r="T6513">
        <v>-0.14317099999999999</v>
      </c>
      <c r="U6513">
        <v>0.39599610000000002</v>
      </c>
      <c r="V6513">
        <v>-1.006584E-2</v>
      </c>
      <c r="W6513">
        <v>0.19896340000000001</v>
      </c>
      <c r="X6513">
        <v>0.97995529999999997</v>
      </c>
      <c r="Y6513">
        <v>-0.1025373</v>
      </c>
      <c r="Z6513">
        <v>1.1964E-3</v>
      </c>
      <c r="AA6513">
        <v>0.99472839999999996</v>
      </c>
      <c r="AB6513">
        <v>36</v>
      </c>
      <c r="AC6513">
        <v>23.603399999999901</v>
      </c>
      <c r="AD6513">
        <v>-1.1094611456119901</v>
      </c>
      <c r="AE6513">
        <v>3.06412</v>
      </c>
      <c r="AF6513">
        <v>-2.4555649906483099</v>
      </c>
      <c r="AG6513">
        <v>-1.1094611456119901</v>
      </c>
      <c r="AH6513">
        <v>23.6225679327816</v>
      </c>
      <c r="AI6513">
        <v>92.674596005846496</v>
      </c>
      <c r="AJ6513">
        <v>95.934579680053403</v>
      </c>
      <c r="AK6513">
        <v>23.775752757711</v>
      </c>
      <c r="AL6513">
        <v>78.523652809537694</v>
      </c>
      <c r="AM6513">
        <v>90.588506299444305</v>
      </c>
      <c r="AN6513">
        <v>1.0000000728362699</v>
      </c>
    </row>
    <row r="6514" spans="1:40" x14ac:dyDescent="0.25">
      <c r="A6514" t="str">
        <f>"20190312173053224"</f>
        <v>20190312173053224</v>
      </c>
      <c r="B6514" t="str">
        <f>"1552383053213847"</f>
        <v>1552383053213847</v>
      </c>
      <c r="C6514" t="s">
        <v>40</v>
      </c>
      <c r="D6514">
        <v>3.254785</v>
      </c>
      <c r="E6514">
        <v>0.46597300000000003</v>
      </c>
      <c r="F6514" t="s">
        <v>54</v>
      </c>
      <c r="G6514">
        <v>-205.3202</v>
      </c>
      <c r="H6514" s="1">
        <v>-3.1870109999999998E-6</v>
      </c>
      <c r="I6514">
        <v>-59.442419999999998</v>
      </c>
      <c r="J6514">
        <v>-228.81970000000001</v>
      </c>
      <c r="K6514">
        <v>1.109486</v>
      </c>
      <c r="L6514">
        <v>-62.502659999999999</v>
      </c>
      <c r="M6514">
        <v>0.99960789999999999</v>
      </c>
      <c r="N6514">
        <v>0</v>
      </c>
      <c r="O6514">
        <v>2.5357919999999999E-2</v>
      </c>
      <c r="P6514">
        <v>0.98159839999999998</v>
      </c>
      <c r="Q6514">
        <v>0.1875201</v>
      </c>
      <c r="R6514">
        <v>3.6069169999999998E-2</v>
      </c>
      <c r="S6514">
        <v>3.0693049999999999</v>
      </c>
      <c r="T6514">
        <v>-0.14381050000000001</v>
      </c>
      <c r="U6514">
        <v>0.39724730000000003</v>
      </c>
      <c r="V6514">
        <v>-1.101298E-2</v>
      </c>
      <c r="W6514">
        <v>0.1991802</v>
      </c>
      <c r="X6514">
        <v>0.97990100000000002</v>
      </c>
      <c r="Y6514">
        <v>-0.1030802</v>
      </c>
      <c r="Z6514">
        <v>1.22149E-3</v>
      </c>
      <c r="AA6514">
        <v>0.99467229999999995</v>
      </c>
      <c r="AB6514">
        <v>36</v>
      </c>
      <c r="AC6514">
        <v>23.499500000000001</v>
      </c>
      <c r="AD6514">
        <v>-1.109489187011</v>
      </c>
      <c r="AE6514">
        <v>3.0602399999999998</v>
      </c>
      <c r="AF6514">
        <v>-2.45792774422838</v>
      </c>
      <c r="AG6514">
        <v>-1.109489187011</v>
      </c>
      <c r="AH6514">
        <v>23.517999463436698</v>
      </c>
      <c r="AI6514">
        <v>92.686382892626298</v>
      </c>
      <c r="AJ6514">
        <v>95.966471257529903</v>
      </c>
      <c r="AK6514">
        <v>23.672107506813798</v>
      </c>
      <c r="AL6514">
        <v>78.510976581713606</v>
      </c>
      <c r="AM6514">
        <v>90.643912709879899</v>
      </c>
      <c r="AN6514">
        <v>1.0000000038007599</v>
      </c>
    </row>
    <row r="6515" spans="1:40" x14ac:dyDescent="0.25">
      <c r="A6515" t="str">
        <f>"20190312173053235"</f>
        <v>20190312173053235</v>
      </c>
      <c r="B6515" t="str">
        <f>"1552383053223608"</f>
        <v>1552383053223608</v>
      </c>
      <c r="C6515" t="s">
        <v>40</v>
      </c>
      <c r="D6515">
        <v>3.198753</v>
      </c>
      <c r="E6515">
        <v>0.46606579999999898</v>
      </c>
      <c r="F6515" t="s">
        <v>54</v>
      </c>
      <c r="G6515">
        <v>-205.45949999999999</v>
      </c>
      <c r="H6515" s="1">
        <v>-3.1058579999999999E-6</v>
      </c>
      <c r="I6515">
        <v>-59.450710000000001</v>
      </c>
      <c r="J6515">
        <v>-228.63800000000001</v>
      </c>
      <c r="K6515">
        <v>1.1095029999999999</v>
      </c>
      <c r="L6515">
        <v>-62.498170000000002</v>
      </c>
      <c r="M6515">
        <v>0.99960979999999999</v>
      </c>
      <c r="N6515">
        <v>0</v>
      </c>
      <c r="O6515">
        <v>2.5208580000000001E-2</v>
      </c>
      <c r="P6515">
        <v>0.98159719999999995</v>
      </c>
      <c r="Q6515">
        <v>0.18744540000000001</v>
      </c>
      <c r="R6515">
        <v>3.6487199999999997E-2</v>
      </c>
      <c r="S6515">
        <v>3.0693359999999998</v>
      </c>
      <c r="T6515">
        <v>-0.14577789999999999</v>
      </c>
      <c r="U6515">
        <v>0.401001</v>
      </c>
      <c r="V6515">
        <v>-1.1579529999999999E-2</v>
      </c>
      <c r="W6515">
        <v>0.1992746</v>
      </c>
      <c r="X6515">
        <v>0.9798753</v>
      </c>
      <c r="Y6515">
        <v>-0.1044197</v>
      </c>
      <c r="Z6515">
        <v>1.2767830000000001E-3</v>
      </c>
      <c r="AA6515">
        <v>0.99453250000000004</v>
      </c>
      <c r="AB6515">
        <v>36</v>
      </c>
      <c r="AC6515">
        <v>23.1785</v>
      </c>
      <c r="AD6515">
        <v>-1.109506105858</v>
      </c>
      <c r="AE6515">
        <v>3.0474599999999898</v>
      </c>
      <c r="AF6515">
        <v>-2.4566187576724001</v>
      </c>
      <c r="AG6515">
        <v>-1.109506105858</v>
      </c>
      <c r="AH6515">
        <v>23.195714789817298</v>
      </c>
      <c r="AI6515">
        <v>92.723298597672894</v>
      </c>
      <c r="AJ6515">
        <v>96.045562423347306</v>
      </c>
      <c r="AK6515">
        <v>23.351812866028901</v>
      </c>
      <c r="AL6515">
        <v>78.505457492682098</v>
      </c>
      <c r="AM6515">
        <v>90.6770528009054</v>
      </c>
      <c r="AN6515">
        <v>1.00000002763513</v>
      </c>
    </row>
    <row r="6516" spans="1:40" x14ac:dyDescent="0.25">
      <c r="A6516" t="str">
        <f>"20190312173053247"</f>
        <v>20190312173053247</v>
      </c>
      <c r="B6516" t="str">
        <f>"1552383053244103"</f>
        <v>1552383053244103</v>
      </c>
      <c r="C6516" t="s">
        <v>40</v>
      </c>
      <c r="D6516">
        <v>3.1447090000000002</v>
      </c>
      <c r="E6516">
        <v>0.46620099999999998</v>
      </c>
      <c r="F6516" t="s">
        <v>54</v>
      </c>
      <c r="G6516">
        <v>-205.6763</v>
      </c>
      <c r="H6516" s="1">
        <v>-2.9563570000000001E-6</v>
      </c>
      <c r="I6516">
        <v>-59.494700000000002</v>
      </c>
      <c r="J6516">
        <v>-228.45779999999999</v>
      </c>
      <c r="K6516">
        <v>1.109526</v>
      </c>
      <c r="L6516">
        <v>-62.493769999999998</v>
      </c>
      <c r="M6516">
        <v>0.99961129999999998</v>
      </c>
      <c r="N6516">
        <v>0</v>
      </c>
      <c r="O6516">
        <v>2.5063450000000001E-2</v>
      </c>
      <c r="P6516">
        <v>0.98161609999999999</v>
      </c>
      <c r="Q6516">
        <v>0.18719939999999999</v>
      </c>
      <c r="R6516">
        <v>3.7230480000000003E-2</v>
      </c>
      <c r="S6516">
        <v>3.069626</v>
      </c>
      <c r="T6516">
        <v>-0.14832429999999999</v>
      </c>
      <c r="U6516">
        <v>0.40151979999999998</v>
      </c>
      <c r="V6516">
        <v>-1.246797E-2</v>
      </c>
      <c r="W6516">
        <v>0.1991928</v>
      </c>
      <c r="X6516">
        <v>0.979881</v>
      </c>
      <c r="Y6516">
        <v>-0.10471370000000001</v>
      </c>
      <c r="Z6516">
        <v>1.312962E-3</v>
      </c>
      <c r="AA6516">
        <v>0.99450150000000004</v>
      </c>
      <c r="AB6516">
        <v>36</v>
      </c>
      <c r="AC6516">
        <v>22.781499999999902</v>
      </c>
      <c r="AD6516">
        <v>-1.1095289563570001</v>
      </c>
      <c r="AE6516">
        <v>2.9990699999999899</v>
      </c>
      <c r="AF6516">
        <v>-2.4214563657979502</v>
      </c>
      <c r="AG6516">
        <v>-1.1095289563570001</v>
      </c>
      <c r="AH6516">
        <v>22.796363468635001</v>
      </c>
      <c r="AI6516">
        <v>92.770898373065904</v>
      </c>
      <c r="AJ6516">
        <v>96.063288959235507</v>
      </c>
      <c r="AK6516">
        <v>22.9514420642925</v>
      </c>
      <c r="AL6516">
        <v>78.510239825322003</v>
      </c>
      <c r="AM6516">
        <v>90.7289900633656</v>
      </c>
      <c r="AN6516">
        <v>0.99999999800438</v>
      </c>
    </row>
    <row r="6517" spans="1:40" x14ac:dyDescent="0.25">
      <c r="A6517" t="str">
        <f>"20190312173053257"</f>
        <v>20190312173053257</v>
      </c>
      <c r="B6517" t="str">
        <f>"1552383053253864"</f>
        <v>1552383053253864</v>
      </c>
      <c r="C6517" t="s">
        <v>40</v>
      </c>
      <c r="D6517">
        <v>3.2401260000000001</v>
      </c>
      <c r="E6517">
        <v>0.46887220000000002</v>
      </c>
      <c r="F6517" t="s">
        <v>54</v>
      </c>
      <c r="G6517">
        <v>-205.79339999999999</v>
      </c>
      <c r="H6517" s="1">
        <v>-2.8754579999999999E-6</v>
      </c>
      <c r="I6517">
        <v>-59.518979999999999</v>
      </c>
      <c r="J6517">
        <v>-228.28020000000001</v>
      </c>
      <c r="K6517">
        <v>1.109545</v>
      </c>
      <c r="L6517">
        <v>-62.489409999999999</v>
      </c>
      <c r="M6517">
        <v>0.99961270000000002</v>
      </c>
      <c r="N6517">
        <v>0</v>
      </c>
      <c r="O6517">
        <v>2.4925159999999998E-2</v>
      </c>
      <c r="P6517">
        <v>0.98162510000000003</v>
      </c>
      <c r="Q6517">
        <v>0.18702730000000001</v>
      </c>
      <c r="R6517">
        <v>3.7854359999999997E-2</v>
      </c>
      <c r="S6517">
        <v>3.0695649999999999</v>
      </c>
      <c r="T6517">
        <v>-0.1502696</v>
      </c>
      <c r="U6517">
        <v>0.4028931</v>
      </c>
      <c r="V6517">
        <v>-1.322915E-2</v>
      </c>
      <c r="W6517">
        <v>0.19917370000000001</v>
      </c>
      <c r="X6517">
        <v>0.97987489999999999</v>
      </c>
      <c r="Y6517">
        <v>-0.1052879</v>
      </c>
      <c r="Z6517">
        <v>1.350867E-3</v>
      </c>
      <c r="AA6517">
        <v>0.99444089999999996</v>
      </c>
      <c r="AB6517">
        <v>36</v>
      </c>
      <c r="AC6517">
        <v>22.486799999999999</v>
      </c>
      <c r="AD6517">
        <v>-1.1095478754579999</v>
      </c>
      <c r="AE6517">
        <v>2.9704299999999901</v>
      </c>
      <c r="AF6517">
        <v>-2.4032263111329</v>
      </c>
      <c r="AG6517">
        <v>-1.1095478754579999</v>
      </c>
      <c r="AH6517">
        <v>22.5000166331745</v>
      </c>
      <c r="AI6517">
        <v>92.807209742486094</v>
      </c>
      <c r="AJ6517">
        <v>96.096646866912096</v>
      </c>
      <c r="AK6517">
        <v>22.655183549986599</v>
      </c>
      <c r="AL6517">
        <v>78.511356532877997</v>
      </c>
      <c r="AM6517">
        <v>90.773495079619494</v>
      </c>
      <c r="AN6517">
        <v>0.99999999641571102</v>
      </c>
    </row>
    <row r="6518" spans="1:40" x14ac:dyDescent="0.25">
      <c r="A6518" t="str">
        <f>"20190312173053269"</f>
        <v>20190312173053269</v>
      </c>
      <c r="B6518" t="str">
        <f>"1552383053263624"</f>
        <v>1552383053263624</v>
      </c>
      <c r="C6518" t="s">
        <v>40</v>
      </c>
      <c r="D6518">
        <v>3.208399</v>
      </c>
      <c r="E6518">
        <v>0.46834039999999999</v>
      </c>
      <c r="F6518" t="s">
        <v>54</v>
      </c>
      <c r="G6518">
        <v>-209.66550000000001</v>
      </c>
      <c r="H6518" s="1">
        <v>-2.4254839999999998E-7</v>
      </c>
      <c r="I6518">
        <v>-60.16431</v>
      </c>
      <c r="J6518">
        <v>-228.1037</v>
      </c>
      <c r="K6518">
        <v>1.1095680000000001</v>
      </c>
      <c r="L6518">
        <v>-62.485140000000001</v>
      </c>
      <c r="M6518">
        <v>0.99961440000000001</v>
      </c>
      <c r="N6518">
        <v>0</v>
      </c>
      <c r="O6518">
        <v>2.4792720000000001E-2</v>
      </c>
      <c r="P6518">
        <v>0.98169079999999997</v>
      </c>
      <c r="Q6518">
        <v>0.18648999999999999</v>
      </c>
      <c r="R6518">
        <v>3.8794830000000002E-2</v>
      </c>
      <c r="S6518">
        <v>3.076263</v>
      </c>
      <c r="T6518">
        <v>-0.18336379999999999</v>
      </c>
      <c r="U6518">
        <v>0.3842468</v>
      </c>
      <c r="V6518">
        <v>-1.4300749999999999E-2</v>
      </c>
      <c r="W6518">
        <v>0.19878299999999999</v>
      </c>
      <c r="X6518">
        <v>0.97993920000000001</v>
      </c>
      <c r="Y6518">
        <v>-9.9172389999999999E-2</v>
      </c>
      <c r="Z6518">
        <v>1.4713949999999999E-3</v>
      </c>
      <c r="AA6518">
        <v>0.99506919999999999</v>
      </c>
      <c r="AB6518">
        <v>36</v>
      </c>
      <c r="AC6518">
        <v>18.438199999999899</v>
      </c>
      <c r="AD6518">
        <v>-1.1095682425483999</v>
      </c>
      <c r="AE6518">
        <v>2.3208299999999999</v>
      </c>
      <c r="AF6518">
        <v>-1.85633003740109</v>
      </c>
      <c r="AG6518">
        <v>-1.1095682425483999</v>
      </c>
      <c r="AH6518">
        <v>18.4243949925587</v>
      </c>
      <c r="AI6518">
        <v>93.429029666248198</v>
      </c>
      <c r="AJ6518">
        <v>95.753358740176196</v>
      </c>
      <c r="AK6518">
        <v>18.550887680498001</v>
      </c>
      <c r="AL6518">
        <v>78.534198955486303</v>
      </c>
      <c r="AM6518">
        <v>90.836087033680897</v>
      </c>
      <c r="AN6518">
        <v>1.0000000141181</v>
      </c>
    </row>
    <row r="6519" spans="1:40" x14ac:dyDescent="0.25">
      <c r="A6519" t="str">
        <f>"20190312173053280"</f>
        <v>20190312173053280</v>
      </c>
      <c r="B6519" t="str">
        <f>"1552383053274359"</f>
        <v>1552383053274359</v>
      </c>
      <c r="C6519" t="s">
        <v>40</v>
      </c>
      <c r="D6519">
        <v>3.1700029999999999</v>
      </c>
      <c r="E6519">
        <v>0.46803299999999998</v>
      </c>
      <c r="F6519" t="s">
        <v>54</v>
      </c>
      <c r="G6519">
        <v>-209.28200000000001</v>
      </c>
      <c r="H6519" s="1">
        <v>-5.0556590000000005E-7</v>
      </c>
      <c r="I6519">
        <v>-60.091880000000003</v>
      </c>
      <c r="J6519">
        <v>-227.93010000000001</v>
      </c>
      <c r="K6519">
        <v>1.109586</v>
      </c>
      <c r="L6519">
        <v>-62.480960000000003</v>
      </c>
      <c r="M6519">
        <v>0.99961580000000005</v>
      </c>
      <c r="N6519">
        <v>0</v>
      </c>
      <c r="O6519">
        <v>2.4666710000000001E-2</v>
      </c>
      <c r="P6519">
        <v>0.98168820000000001</v>
      </c>
      <c r="Q6519">
        <v>0.18637029999999999</v>
      </c>
      <c r="R6519">
        <v>3.9431029999999999E-2</v>
      </c>
      <c r="S6519">
        <v>3.0749209999999998</v>
      </c>
      <c r="T6519">
        <v>-0.1812723</v>
      </c>
      <c r="U6519">
        <v>0.39099119999999998</v>
      </c>
      <c r="V6519">
        <v>-1.5063750000000001E-2</v>
      </c>
      <c r="W6519">
        <v>0.19879930000000001</v>
      </c>
      <c r="X6519">
        <v>0.97992440000000003</v>
      </c>
      <c r="Y6519">
        <v>-0.10149809999999999</v>
      </c>
      <c r="Z6519">
        <v>1.5306829999999999E-3</v>
      </c>
      <c r="AA6519">
        <v>0.99483449999999995</v>
      </c>
      <c r="AB6519">
        <v>36</v>
      </c>
      <c r="AC6519">
        <v>18.648099999999999</v>
      </c>
      <c r="AD6519">
        <v>-1.1095865055659</v>
      </c>
      <c r="AE6519">
        <v>2.3890799999999901</v>
      </c>
      <c r="AF6519">
        <v>-1.9216354166867899</v>
      </c>
      <c r="AG6519">
        <v>-1.1095865055659</v>
      </c>
      <c r="AH6519">
        <v>18.636445362691902</v>
      </c>
      <c r="AI6519">
        <v>93.389356039472503</v>
      </c>
      <c r="AJ6519">
        <v>95.887059822263893</v>
      </c>
      <c r="AK6519">
        <v>18.768083563448901</v>
      </c>
      <c r="AL6519">
        <v>78.533245316451499</v>
      </c>
      <c r="AM6519">
        <v>90.880701942820593</v>
      </c>
      <c r="AN6519">
        <v>0.999999953979955</v>
      </c>
    </row>
    <row r="6520" spans="1:40" x14ac:dyDescent="0.25">
      <c r="A6520" t="str">
        <f>"20190312173053291"</f>
        <v>20190312173053291</v>
      </c>
      <c r="B6520" t="str">
        <f>"1552383053284120"</f>
        <v>1552383053284120</v>
      </c>
      <c r="C6520" t="s">
        <v>40</v>
      </c>
      <c r="D6520">
        <v>3.2074349999999998</v>
      </c>
      <c r="E6520">
        <v>0.46784140000000002</v>
      </c>
      <c r="F6520" t="s">
        <v>54</v>
      </c>
      <c r="G6520">
        <v>-208.70930000000001</v>
      </c>
      <c r="H6520" s="1">
        <v>-8.9068559999999901E-7</v>
      </c>
      <c r="I6520">
        <v>-60.012770000000003</v>
      </c>
      <c r="J6520">
        <v>-227.7527</v>
      </c>
      <c r="K6520">
        <v>1.109604</v>
      </c>
      <c r="L6520">
        <v>-62.476719999999901</v>
      </c>
      <c r="M6520">
        <v>0.99961679999999997</v>
      </c>
      <c r="N6520">
        <v>0</v>
      </c>
      <c r="O6520">
        <v>2.4546910000000002E-2</v>
      </c>
      <c r="P6520">
        <v>0.9817245</v>
      </c>
      <c r="Q6520">
        <v>0.18600810000000001</v>
      </c>
      <c r="R6520">
        <v>4.0222500000000001E-2</v>
      </c>
      <c r="S6520">
        <v>3.0737920000000001</v>
      </c>
      <c r="T6520">
        <v>-0.1774454</v>
      </c>
      <c r="U6520">
        <v>0.39471440000000002</v>
      </c>
      <c r="V6520">
        <v>-1.597614E-2</v>
      </c>
      <c r="W6520">
        <v>0.19856760000000001</v>
      </c>
      <c r="X6520">
        <v>0.97995699999999997</v>
      </c>
      <c r="Y6520">
        <v>-0.1028515</v>
      </c>
      <c r="Z6520">
        <v>1.5446049999999999E-3</v>
      </c>
      <c r="AA6520">
        <v>0.99469549999999995</v>
      </c>
      <c r="AB6520">
        <v>36</v>
      </c>
      <c r="AC6520">
        <v>19.043399999999899</v>
      </c>
      <c r="AD6520">
        <v>-1.1096048906856</v>
      </c>
      <c r="AE6520">
        <v>2.4639499999999899</v>
      </c>
      <c r="AF6520">
        <v>-1.98907071681318</v>
      </c>
      <c r="AG6520">
        <v>-1.1096048906856</v>
      </c>
      <c r="AH6520">
        <v>19.034588619010002</v>
      </c>
      <c r="AI6520">
        <v>93.318205167003001</v>
      </c>
      <c r="AJ6520">
        <v>95.965625589549703</v>
      </c>
      <c r="AK6520">
        <v>19.1703726939479</v>
      </c>
      <c r="AL6520">
        <v>78.546791624058002</v>
      </c>
      <c r="AM6520">
        <v>90.934004564680606</v>
      </c>
      <c r="AN6520">
        <v>1.00000002533402</v>
      </c>
    </row>
    <row r="6521" spans="1:40" x14ac:dyDescent="0.25">
      <c r="A6521" t="str">
        <f>"20190312173053302"</f>
        <v>20190312173053302</v>
      </c>
      <c r="B6521" t="str">
        <f>"1552383053293880"</f>
        <v>1552383053293880</v>
      </c>
      <c r="C6521" t="s">
        <v>40</v>
      </c>
      <c r="D6521">
        <v>3.2322250000000001</v>
      </c>
      <c r="E6521">
        <v>0.46773130000000002</v>
      </c>
      <c r="F6521" t="s">
        <v>54</v>
      </c>
      <c r="G6521">
        <v>-208.36490000000001</v>
      </c>
      <c r="H6521" s="1">
        <v>-1.1228380000000001E-6</v>
      </c>
      <c r="I6521">
        <v>-59.962829999999997</v>
      </c>
      <c r="J6521">
        <v>-227.57409999999999</v>
      </c>
      <c r="K6521">
        <v>1.1096250000000001</v>
      </c>
      <c r="L6521">
        <v>-62.472410000000004</v>
      </c>
      <c r="M6521">
        <v>0.99961809999999995</v>
      </c>
      <c r="N6521">
        <v>0</v>
      </c>
      <c r="O6521">
        <v>2.4429280000000001E-2</v>
      </c>
      <c r="P6521">
        <v>0.98172130000000002</v>
      </c>
      <c r="Q6521">
        <v>0.18585889999999999</v>
      </c>
      <c r="R6521">
        <v>4.0984180000000002E-2</v>
      </c>
      <c r="S6521">
        <v>3.072845</v>
      </c>
      <c r="T6521">
        <v>-0.1758661</v>
      </c>
      <c r="U6521">
        <v>0.3984375</v>
      </c>
      <c r="V6521">
        <v>-1.6857509999999999E-2</v>
      </c>
      <c r="W6521">
        <v>0.19854520000000001</v>
      </c>
      <c r="X6521">
        <v>0.97994669999999895</v>
      </c>
      <c r="Y6521">
        <v>-0.1041924</v>
      </c>
      <c r="Z6521">
        <v>1.5761060000000001E-3</v>
      </c>
      <c r="AA6521">
        <v>0.99455590000000005</v>
      </c>
      <c r="AB6521">
        <v>36</v>
      </c>
      <c r="AC6521">
        <v>19.2091999999999</v>
      </c>
      <c r="AD6521">
        <v>-1.109626122838</v>
      </c>
      <c r="AE6521">
        <v>2.5095799999999899</v>
      </c>
      <c r="AF6521">
        <v>-2.0328553661211002</v>
      </c>
      <c r="AG6521">
        <v>-1.109626122838</v>
      </c>
      <c r="AH6521">
        <v>19.2017806780716</v>
      </c>
      <c r="AI6521">
        <v>93.288971820917297</v>
      </c>
      <c r="AJ6521">
        <v>96.043282601848205</v>
      </c>
      <c r="AK6521">
        <v>19.3409449686621</v>
      </c>
      <c r="AL6521">
        <v>78.548100288107705</v>
      </c>
      <c r="AM6521">
        <v>90.985532089140705</v>
      </c>
      <c r="AN6521">
        <v>0.99999995346366299</v>
      </c>
    </row>
    <row r="6522" spans="1:40" x14ac:dyDescent="0.25">
      <c r="A6522" t="str">
        <f>"20190312173053314"</f>
        <v>20190312173053314</v>
      </c>
      <c r="B6522" t="str">
        <f>"1552383053303640"</f>
        <v>1552383053303640</v>
      </c>
      <c r="C6522" t="s">
        <v>40</v>
      </c>
      <c r="D6522">
        <v>3.175694</v>
      </c>
      <c r="E6522">
        <v>0.46785490000000002</v>
      </c>
      <c r="F6522" t="s">
        <v>54</v>
      </c>
      <c r="G6522">
        <v>-208.4091</v>
      </c>
      <c r="H6522" s="1">
        <v>-1.0935429999999999E-6</v>
      </c>
      <c r="I6522">
        <v>-59.967359999999999</v>
      </c>
      <c r="J6522">
        <v>-227.39189999999999</v>
      </c>
      <c r="K6522">
        <v>1.1096469999999901</v>
      </c>
      <c r="L6522">
        <v>-62.468110000000003</v>
      </c>
      <c r="M6522">
        <v>0.99961909999999998</v>
      </c>
      <c r="N6522">
        <v>0</v>
      </c>
      <c r="O6522">
        <v>2.4324060000000002E-2</v>
      </c>
      <c r="P6522">
        <v>0.98169379999999995</v>
      </c>
      <c r="Q6522">
        <v>0.18584149999999999</v>
      </c>
      <c r="R6522">
        <v>4.1717219999999999E-2</v>
      </c>
      <c r="S6522">
        <v>3.0727690000000001</v>
      </c>
      <c r="T6522">
        <v>-0.1779094</v>
      </c>
      <c r="U6522">
        <v>0.40164179999999999</v>
      </c>
      <c r="V6522">
        <v>-1.7700099999999899E-2</v>
      </c>
      <c r="W6522">
        <v>0.19864470000000001</v>
      </c>
      <c r="X6522">
        <v>0.97991170000000005</v>
      </c>
      <c r="Y6522">
        <v>-0.10531500000000001</v>
      </c>
      <c r="Z6522">
        <v>1.632711E-3</v>
      </c>
      <c r="AA6522">
        <v>0.99443760000000003</v>
      </c>
      <c r="AB6522">
        <v>36</v>
      </c>
      <c r="AC6522">
        <v>18.982800000000001</v>
      </c>
      <c r="AD6522">
        <v>-1.10964809354299</v>
      </c>
      <c r="AE6522">
        <v>2.5007499999999898</v>
      </c>
      <c r="AF6522">
        <v>-2.0314089573087402</v>
      </c>
      <c r="AG6522">
        <v>-1.10964809354299</v>
      </c>
      <c r="AH6522">
        <v>18.974286231908099</v>
      </c>
      <c r="AI6522">
        <v>93.327965889628402</v>
      </c>
      <c r="AJ6522">
        <v>96.110875341187196</v>
      </c>
      <c r="AK6522">
        <v>19.114954335642999</v>
      </c>
      <c r="AL6522">
        <v>78.542283748015507</v>
      </c>
      <c r="AM6522">
        <v>91.034818498283101</v>
      </c>
      <c r="AN6522">
        <v>0.99999997508749405</v>
      </c>
    </row>
    <row r="6523" spans="1:40" x14ac:dyDescent="0.25">
      <c r="A6523" t="str">
        <f>"20190312173053325"</f>
        <v>20190312173053325</v>
      </c>
      <c r="B6523" t="str">
        <f>"1552383053314376"</f>
        <v>1552383053314376</v>
      </c>
      <c r="C6523" t="s">
        <v>40</v>
      </c>
      <c r="D6523">
        <v>3.2761979999999999</v>
      </c>
      <c r="E6523">
        <v>0.46775250000000002</v>
      </c>
      <c r="F6523" t="s">
        <v>54</v>
      </c>
      <c r="G6523">
        <v>-208.1318</v>
      </c>
      <c r="H6523" s="1">
        <v>-1.2766749999999999E-6</v>
      </c>
      <c r="I6523">
        <v>-59.94164</v>
      </c>
      <c r="J6523">
        <v>-227.22370000000001</v>
      </c>
      <c r="K6523">
        <v>1.109666</v>
      </c>
      <c r="L6523">
        <v>-62.464080000000003</v>
      </c>
      <c r="M6523">
        <v>0.99962010000000001</v>
      </c>
      <c r="N6523">
        <v>0</v>
      </c>
      <c r="O6523">
        <v>2.4229759999999999E-2</v>
      </c>
      <c r="P6523">
        <v>0.98165539999999996</v>
      </c>
      <c r="Q6523">
        <v>0.18590799999999999</v>
      </c>
      <c r="R6523">
        <v>4.2318370000000001E-2</v>
      </c>
      <c r="S6523">
        <v>3.072327</v>
      </c>
      <c r="T6523">
        <v>-0.177008</v>
      </c>
      <c r="U6523">
        <v>0.40301510000000001</v>
      </c>
      <c r="V6523">
        <v>-1.8400329999999999E-2</v>
      </c>
      <c r="W6523">
        <v>0.1988162</v>
      </c>
      <c r="X6523">
        <v>0.97986410000000002</v>
      </c>
      <c r="Y6523">
        <v>-0.1058645</v>
      </c>
      <c r="Z6523">
        <v>1.645786E-3</v>
      </c>
      <c r="AA6523">
        <v>0.99437920000000002</v>
      </c>
      <c r="AB6523">
        <v>36</v>
      </c>
      <c r="AC6523">
        <v>19.091899999999999</v>
      </c>
      <c r="AD6523">
        <v>-1.109667276675</v>
      </c>
      <c r="AE6523">
        <v>2.52244</v>
      </c>
      <c r="AF6523">
        <v>-2.0522532416483101</v>
      </c>
      <c r="AG6523">
        <v>-1.109667276675</v>
      </c>
      <c r="AH6523">
        <v>19.0840533980506</v>
      </c>
      <c r="AI6523">
        <v>93.308757052633098</v>
      </c>
      <c r="AJ6523">
        <v>96.137862866268193</v>
      </c>
      <c r="AK6523">
        <v>19.226133228822398</v>
      </c>
      <c r="AL6523">
        <v>78.532258457899701</v>
      </c>
      <c r="AM6523">
        <v>91.075799547509305</v>
      </c>
      <c r="AN6523">
        <v>1.0000000539976699</v>
      </c>
    </row>
    <row r="6524" spans="1:40" x14ac:dyDescent="0.25">
      <c r="A6524" t="str">
        <f>"20190312173053334"</f>
        <v>20190312173053334</v>
      </c>
      <c r="B6524" t="str">
        <f>"1552383053324135"</f>
        <v>1552383053324135</v>
      </c>
      <c r="C6524" t="s">
        <v>40</v>
      </c>
      <c r="D6524">
        <v>3.283541</v>
      </c>
      <c r="E6524">
        <v>0.46797159999999899</v>
      </c>
      <c r="F6524" t="s">
        <v>54</v>
      </c>
      <c r="G6524">
        <v>-208.03899999999999</v>
      </c>
      <c r="H6524" s="1">
        <v>-1.3388650000000001E-6</v>
      </c>
      <c r="I6524">
        <v>-59.929510000000001</v>
      </c>
      <c r="J6524">
        <v>-227.04839999999999</v>
      </c>
      <c r="K6524">
        <v>1.1096900000000001</v>
      </c>
      <c r="L6524">
        <v>-62.45993</v>
      </c>
      <c r="M6524">
        <v>0.99962070000000003</v>
      </c>
      <c r="N6524">
        <v>0</v>
      </c>
      <c r="O6524">
        <v>2.4148070000000001E-2</v>
      </c>
      <c r="P6524">
        <v>0.98158769999999995</v>
      </c>
      <c r="Q6524">
        <v>0.18612790000000001</v>
      </c>
      <c r="R6524">
        <v>4.2921870000000001E-2</v>
      </c>
      <c r="S6524">
        <v>3.0722049999999999</v>
      </c>
      <c r="T6524">
        <v>-0.17770089999999999</v>
      </c>
      <c r="U6524">
        <v>0.40588380000000002</v>
      </c>
      <c r="V6524">
        <v>-1.9093840000000001E-2</v>
      </c>
      <c r="W6524">
        <v>0.19913529999999999</v>
      </c>
      <c r="X6524">
        <v>0.97978600000000005</v>
      </c>
      <c r="Y6524">
        <v>-0.1068606</v>
      </c>
      <c r="Z6524">
        <v>1.6855419999999999E-3</v>
      </c>
      <c r="AA6524">
        <v>0.99427259999999995</v>
      </c>
      <c r="AB6524">
        <v>36</v>
      </c>
      <c r="AC6524">
        <v>19.0093999999999</v>
      </c>
      <c r="AD6524">
        <v>-1.109691338865</v>
      </c>
      <c r="AE6524">
        <v>2.5304199999999999</v>
      </c>
      <c r="AF6524">
        <v>-2.0636913148259501</v>
      </c>
      <c r="AG6524">
        <v>-1.109691338865</v>
      </c>
      <c r="AH6524">
        <v>19.0013414535366</v>
      </c>
      <c r="AI6524">
        <v>93.3228206034876</v>
      </c>
      <c r="AJ6524">
        <v>96.198465390316002</v>
      </c>
      <c r="AK6524">
        <v>19.145266092283201</v>
      </c>
      <c r="AL6524">
        <v>78.513601987559696</v>
      </c>
      <c r="AM6524">
        <v>91.116425411403995</v>
      </c>
      <c r="AN6524">
        <v>1.0000000241140099</v>
      </c>
    </row>
    <row r="6525" spans="1:40" x14ac:dyDescent="0.25">
      <c r="A6525" t="str">
        <f>"20190312173053347"</f>
        <v>20190312173053347</v>
      </c>
      <c r="B6525" t="str">
        <f>"1552383053343656"</f>
        <v>1552383053343656</v>
      </c>
      <c r="C6525" t="s">
        <v>40</v>
      </c>
      <c r="D6525">
        <v>3.257803</v>
      </c>
      <c r="E6525">
        <v>0.46804590000000001</v>
      </c>
      <c r="F6525" t="s">
        <v>54</v>
      </c>
      <c r="G6525">
        <v>-207.78450000000001</v>
      </c>
      <c r="H6525" s="1">
        <v>-1.50527E-6</v>
      </c>
      <c r="I6525">
        <v>-59.912260000000003</v>
      </c>
      <c r="J6525">
        <v>-226.86369999999999</v>
      </c>
      <c r="K6525">
        <v>1.109715</v>
      </c>
      <c r="L6525">
        <v>-62.455539999999999</v>
      </c>
      <c r="M6525">
        <v>0.99962130000000005</v>
      </c>
      <c r="N6525">
        <v>0</v>
      </c>
      <c r="O6525">
        <v>2.406939E-2</v>
      </c>
      <c r="P6525">
        <v>0.98153950000000001</v>
      </c>
      <c r="Q6525">
        <v>0.18622900000000001</v>
      </c>
      <c r="R6525">
        <v>4.358037E-2</v>
      </c>
      <c r="S6525">
        <v>3.0720519999999998</v>
      </c>
      <c r="T6525">
        <v>-0.17696400000000001</v>
      </c>
      <c r="U6525">
        <v>0.40628049999999999</v>
      </c>
      <c r="V6525">
        <v>-1.9839119999999998E-2</v>
      </c>
      <c r="W6525">
        <v>0.19933629999999999</v>
      </c>
      <c r="X6525">
        <v>0.97973030000000005</v>
      </c>
      <c r="Y6525">
        <v>-0.1070721</v>
      </c>
      <c r="Z6525">
        <v>1.6891950000000001E-3</v>
      </c>
      <c r="AA6525">
        <v>0.99424979999999996</v>
      </c>
      <c r="AB6525">
        <v>36</v>
      </c>
      <c r="AC6525">
        <v>19.079199999999901</v>
      </c>
      <c r="AD6525">
        <v>-1.10971650527</v>
      </c>
      <c r="AE6525">
        <v>2.5432800000000002</v>
      </c>
      <c r="AF6525">
        <v>-2.0763757231008801</v>
      </c>
      <c r="AG6525">
        <v>-1.10971650527</v>
      </c>
      <c r="AH6525">
        <v>19.071499522912902</v>
      </c>
      <c r="AI6525">
        <v>93.310604864608806</v>
      </c>
      <c r="AJ6525">
        <v>96.213503272987097</v>
      </c>
      <c r="AK6525">
        <v>19.216266570747202</v>
      </c>
      <c r="AL6525">
        <v>78.501849714259905</v>
      </c>
      <c r="AM6525">
        <v>91.160056515181694</v>
      </c>
      <c r="AN6525">
        <v>1.0000000059590699</v>
      </c>
    </row>
    <row r="6526" spans="1:40" x14ac:dyDescent="0.25">
      <c r="A6526" t="str">
        <f>"20190312173053359"</f>
        <v>20190312173053359</v>
      </c>
      <c r="B6526" t="str">
        <f>"1552383053354391"</f>
        <v>1552383053354391</v>
      </c>
      <c r="C6526" t="s">
        <v>40</v>
      </c>
      <c r="D6526">
        <v>3.1969050000000001</v>
      </c>
      <c r="E6526">
        <v>0.46811449999999999</v>
      </c>
      <c r="F6526" t="s">
        <v>54</v>
      </c>
      <c r="G6526">
        <v>-207.6626</v>
      </c>
      <c r="H6526" s="1">
        <v>-1.5839669999999999E-6</v>
      </c>
      <c r="I6526">
        <v>-59.907559999999997</v>
      </c>
      <c r="J6526">
        <v>-226.67939999999999</v>
      </c>
      <c r="K6526">
        <v>1.1097440000000001</v>
      </c>
      <c r="L6526">
        <v>-62.451140000000002</v>
      </c>
      <c r="M6526">
        <v>0.99962139999999999</v>
      </c>
      <c r="N6526">
        <v>0</v>
      </c>
      <c r="O6526">
        <v>2.4004569999999999E-2</v>
      </c>
      <c r="P6526">
        <v>0.98149280000000005</v>
      </c>
      <c r="Q6526">
        <v>0.18627940000000001</v>
      </c>
      <c r="R6526">
        <v>4.4405760000000002E-2</v>
      </c>
      <c r="S6526">
        <v>3.072006</v>
      </c>
      <c r="T6526">
        <v>-0.17754519999999999</v>
      </c>
      <c r="U6526">
        <v>0.40765380000000001</v>
      </c>
      <c r="V6526">
        <v>-2.0738739999999999E-2</v>
      </c>
      <c r="W6526">
        <v>0.1994793</v>
      </c>
      <c r="X6526">
        <v>0.97968259999999996</v>
      </c>
      <c r="Y6526">
        <v>-0.1075734</v>
      </c>
      <c r="Z6526">
        <v>1.712844E-3</v>
      </c>
      <c r="AA6526">
        <v>0.99419559999999996</v>
      </c>
      <c r="AB6526">
        <v>35</v>
      </c>
      <c r="AC6526">
        <v>19.0167999999999</v>
      </c>
      <c r="AD6526">
        <v>-1.1097455839669901</v>
      </c>
      <c r="AE6526">
        <v>2.54358</v>
      </c>
      <c r="AF6526">
        <v>-2.0793588889516399</v>
      </c>
      <c r="AG6526">
        <v>-1.1097455839669901</v>
      </c>
      <c r="AH6526">
        <v>19.008787000359899</v>
      </c>
      <c r="AI6526">
        <v>93.3214049502119</v>
      </c>
      <c r="AJ6526">
        <v>96.242726924379298</v>
      </c>
      <c r="AK6526">
        <v>19.154353340043802</v>
      </c>
      <c r="AL6526">
        <v>78.493488911838099</v>
      </c>
      <c r="AM6526">
        <v>91.212703819148601</v>
      </c>
      <c r="AN6526">
        <v>1.00000004160401</v>
      </c>
    </row>
    <row r="6527" spans="1:40" x14ac:dyDescent="0.25">
      <c r="A6527" t="str">
        <f>"20190312173053370"</f>
        <v>20190312173053370</v>
      </c>
      <c r="B6527" t="str">
        <f>"1552383053364151"</f>
        <v>1552383053364151</v>
      </c>
      <c r="C6527" t="s">
        <v>40</v>
      </c>
      <c r="D6527">
        <v>3.275976</v>
      </c>
      <c r="E6527">
        <v>0.46808100000000002</v>
      </c>
      <c r="F6527" t="s">
        <v>54</v>
      </c>
      <c r="G6527">
        <v>-207.4365</v>
      </c>
      <c r="H6527" s="1">
        <v>-1.7334359999999999E-6</v>
      </c>
      <c r="I6527">
        <v>-59.885869999999997</v>
      </c>
      <c r="J6527">
        <v>-226.49549999999999</v>
      </c>
      <c r="K6527">
        <v>1.1097709999999901</v>
      </c>
      <c r="L6527">
        <v>-62.446809999999999</v>
      </c>
      <c r="M6527">
        <v>0.99962169999999895</v>
      </c>
      <c r="N6527">
        <v>0</v>
      </c>
      <c r="O6527">
        <v>2.39522E-2</v>
      </c>
      <c r="P6527">
        <v>0.98150130000000002</v>
      </c>
      <c r="Q6527">
        <v>0.1860445</v>
      </c>
      <c r="R6527">
        <v>4.5201720000000001E-2</v>
      </c>
      <c r="S6527">
        <v>3.0716549999999998</v>
      </c>
      <c r="T6527">
        <v>-0.1771443</v>
      </c>
      <c r="U6527">
        <v>0.40948489999999999</v>
      </c>
      <c r="V6527">
        <v>-2.1596150000000001E-2</v>
      </c>
      <c r="W6527">
        <v>0.19933020000000001</v>
      </c>
      <c r="X6527">
        <v>0.97969439999999997</v>
      </c>
      <c r="Y6527">
        <v>-0.1082221</v>
      </c>
      <c r="Z6527">
        <v>1.73072E-3</v>
      </c>
      <c r="AA6527">
        <v>0.99412520000000004</v>
      </c>
      <c r="AB6527">
        <v>35</v>
      </c>
      <c r="AC6527">
        <v>19.059000000000001</v>
      </c>
      <c r="AD6527">
        <v>-1.1097727334359999</v>
      </c>
      <c r="AE6527">
        <v>2.56094</v>
      </c>
      <c r="AF6527">
        <v>-2.0966756738933099</v>
      </c>
      <c r="AG6527">
        <v>-1.1097727334359999</v>
      </c>
      <c r="AH6527">
        <v>19.051427911603302</v>
      </c>
      <c r="AI6527">
        <v>93.313830387856498</v>
      </c>
      <c r="AJ6527">
        <v>96.280325224366806</v>
      </c>
      <c r="AK6527">
        <v>19.198555931954601</v>
      </c>
      <c r="AL6527">
        <v>78.502206538087805</v>
      </c>
      <c r="AM6527">
        <v>91.262809998117405</v>
      </c>
      <c r="AN6527">
        <v>1.0000000198591099</v>
      </c>
    </row>
    <row r="6528" spans="1:40" x14ac:dyDescent="0.25">
      <c r="A6528" t="str">
        <f>"20190312173053380"</f>
        <v>20190312173053380</v>
      </c>
      <c r="B6528" t="str">
        <f>"1552383053373912"</f>
        <v>1552383053373912</v>
      </c>
      <c r="C6528" t="s">
        <v>40</v>
      </c>
      <c r="D6528">
        <v>3.2356090000000002</v>
      </c>
      <c r="E6528">
        <v>0.46809099999999998</v>
      </c>
      <c r="F6528" t="s">
        <v>54</v>
      </c>
      <c r="G6528">
        <v>-207.39940000000001</v>
      </c>
      <c r="H6528" s="1">
        <v>-1.757802E-6</v>
      </c>
      <c r="I6528">
        <v>-59.883029999999998</v>
      </c>
      <c r="J6528">
        <v>-226.32239999999999</v>
      </c>
      <c r="K6528">
        <v>1.1097950000000001</v>
      </c>
      <c r="L6528">
        <v>-62.442689999999999</v>
      </c>
      <c r="M6528">
        <v>0.99962150000000005</v>
      </c>
      <c r="N6528">
        <v>0</v>
      </c>
      <c r="O6528">
        <v>2.3909819999999998E-2</v>
      </c>
      <c r="P6528">
        <v>0.98146</v>
      </c>
      <c r="Q6528">
        <v>0.18602779999999999</v>
      </c>
      <c r="R6528">
        <v>4.6157129999999998E-2</v>
      </c>
      <c r="S6528">
        <v>3.071396</v>
      </c>
      <c r="T6528">
        <v>-0.17849409999999999</v>
      </c>
      <c r="U6528">
        <v>0.41235349999999998</v>
      </c>
      <c r="V6528">
        <v>-2.2603040000000001E-2</v>
      </c>
      <c r="W6528">
        <v>0.19939090000000001</v>
      </c>
      <c r="X6528">
        <v>0.97965930000000001</v>
      </c>
      <c r="Y6528">
        <v>-0.1091835</v>
      </c>
      <c r="Z6528">
        <v>1.7741629999999901E-3</v>
      </c>
      <c r="AA6528">
        <v>0.99402000000000001</v>
      </c>
      <c r="AB6528">
        <v>35</v>
      </c>
      <c r="AC6528">
        <v>18.922999999999899</v>
      </c>
      <c r="AD6528">
        <v>-1.109796757802</v>
      </c>
      <c r="AE6528">
        <v>2.5596599999999898</v>
      </c>
      <c r="AF6528">
        <v>-2.0993495288587898</v>
      </c>
      <c r="AG6528">
        <v>-1.109796757802</v>
      </c>
      <c r="AH6528">
        <v>18.914905417589001</v>
      </c>
      <c r="AI6528">
        <v>93.337426678074493</v>
      </c>
      <c r="AJ6528">
        <v>96.333289775105698</v>
      </c>
      <c r="AK6528">
        <v>19.063382812194899</v>
      </c>
      <c r="AL6528">
        <v>78.498657048645001</v>
      </c>
      <c r="AM6528">
        <v>91.321713649421298</v>
      </c>
      <c r="AN6528">
        <v>0.99999998624827002</v>
      </c>
    </row>
    <row r="6529" spans="1:40" x14ac:dyDescent="0.25">
      <c r="A6529" t="str">
        <f>"20190312173053393"</f>
        <v>20190312173053393</v>
      </c>
      <c r="B6529" t="str">
        <f>"1552383053383672"</f>
        <v>1552383053383672</v>
      </c>
      <c r="C6529" t="s">
        <v>40</v>
      </c>
      <c r="D6529">
        <v>3.269771</v>
      </c>
      <c r="E6529">
        <v>0.46808559999999999</v>
      </c>
      <c r="F6529" t="s">
        <v>54</v>
      </c>
      <c r="G6529">
        <v>-207.23419999999999</v>
      </c>
      <c r="H6529" s="1">
        <v>-1.8675389999999999E-6</v>
      </c>
      <c r="I6529">
        <v>-59.86524</v>
      </c>
      <c r="J6529">
        <v>-226.14930000000001</v>
      </c>
      <c r="K6529">
        <v>1.1098190000000001</v>
      </c>
      <c r="L6529">
        <v>-62.438569999999999</v>
      </c>
      <c r="M6529">
        <v>0.99962119999999999</v>
      </c>
      <c r="N6529">
        <v>0</v>
      </c>
      <c r="O6529">
        <v>2.3882150000000001E-2</v>
      </c>
      <c r="P6529">
        <v>0.98144810000000005</v>
      </c>
      <c r="Q6529">
        <v>0.18589059999999999</v>
      </c>
      <c r="R6529">
        <v>4.6951560000000003E-2</v>
      </c>
      <c r="S6529">
        <v>3.0710139999999999</v>
      </c>
      <c r="T6529">
        <v>-0.17855019999999999</v>
      </c>
      <c r="U6529">
        <v>0.41467290000000001</v>
      </c>
      <c r="V6529">
        <v>-2.3433929999999999E-2</v>
      </c>
      <c r="W6529">
        <v>0.19932320000000001</v>
      </c>
      <c r="X6529">
        <v>0.97965360000000001</v>
      </c>
      <c r="Y6529">
        <v>-0.1099632</v>
      </c>
      <c r="Z6529">
        <v>1.7989939999999999E-3</v>
      </c>
      <c r="AA6529">
        <v>0.99393399999999998</v>
      </c>
      <c r="AB6529">
        <v>35</v>
      </c>
      <c r="AC6529">
        <v>18.915099999999999</v>
      </c>
      <c r="AD6529">
        <v>-1.109820867539</v>
      </c>
      <c r="AE6529">
        <v>2.5733299999999901</v>
      </c>
      <c r="AF6529">
        <v>-2.1136760369604199</v>
      </c>
      <c r="AG6529">
        <v>-1.109820867539</v>
      </c>
      <c r="AH6529">
        <v>18.9072588655395</v>
      </c>
      <c r="AI6529">
        <v>93.338551564611706</v>
      </c>
      <c r="AJ6529">
        <v>96.378712454765093</v>
      </c>
      <c r="AK6529">
        <v>19.057380894440001</v>
      </c>
      <c r="AL6529">
        <v>78.502615957992603</v>
      </c>
      <c r="AM6529">
        <v>91.370289748172695</v>
      </c>
      <c r="AN6529">
        <v>1.00000003156322</v>
      </c>
    </row>
    <row r="6530" spans="1:40" x14ac:dyDescent="0.25">
      <c r="A6530" t="str">
        <f>"20190312173053404"</f>
        <v>20190312173053404</v>
      </c>
      <c r="B6530" t="str">
        <f>"1552383053394408"</f>
        <v>1552383053394408</v>
      </c>
      <c r="C6530" t="s">
        <v>40</v>
      </c>
      <c r="D6530">
        <v>3.3065660000000001</v>
      </c>
      <c r="E6530">
        <v>0.46805380000000002</v>
      </c>
      <c r="F6530" t="s">
        <v>54</v>
      </c>
      <c r="G6530">
        <v>-207.13159999999999</v>
      </c>
      <c r="H6530" s="1">
        <v>-1.9349420000000002E-6</v>
      </c>
      <c r="I6530">
        <v>-59.856969999999997</v>
      </c>
      <c r="J6530">
        <v>-225.9659</v>
      </c>
      <c r="K6530">
        <v>1.109839</v>
      </c>
      <c r="L6530">
        <v>-62.434229999999999</v>
      </c>
      <c r="M6530">
        <v>0.99962070000000003</v>
      </c>
      <c r="N6530">
        <v>0</v>
      </c>
      <c r="O6530">
        <v>2.3857639999999999E-2</v>
      </c>
      <c r="P6530">
        <v>0.98142529999999994</v>
      </c>
      <c r="Q6530">
        <v>0.18579889999999999</v>
      </c>
      <c r="R6530">
        <v>4.778487E-2</v>
      </c>
      <c r="S6530">
        <v>3.0707089999999999</v>
      </c>
      <c r="T6530">
        <v>-0.17919839999999901</v>
      </c>
      <c r="U6530">
        <v>0.41683959999999998</v>
      </c>
      <c r="V6530">
        <v>-2.4301030000000001E-2</v>
      </c>
      <c r="W6530">
        <v>0.1993026</v>
      </c>
      <c r="X6530">
        <v>0.97963659999999997</v>
      </c>
      <c r="Y6530">
        <v>-0.11068699999999999</v>
      </c>
      <c r="Z6530">
        <v>1.8280359999999999E-3</v>
      </c>
      <c r="AA6530">
        <v>0.9938536</v>
      </c>
      <c r="AB6530">
        <v>35</v>
      </c>
      <c r="AC6530">
        <v>18.834299999999999</v>
      </c>
      <c r="AD6530">
        <v>-1.109840934942</v>
      </c>
      <c r="AE6530">
        <v>2.5772599999999999</v>
      </c>
      <c r="AF6530">
        <v>-2.1199160343776602</v>
      </c>
      <c r="AG6530">
        <v>-1.109840934942</v>
      </c>
      <c r="AH6530">
        <v>18.826261607118301</v>
      </c>
      <c r="AI6530">
        <v>93.352641860924507</v>
      </c>
      <c r="AJ6530">
        <v>96.424681986819394</v>
      </c>
      <c r="AK6530">
        <v>18.9777215964757</v>
      </c>
      <c r="AL6530">
        <v>78.503819667880194</v>
      </c>
      <c r="AM6530">
        <v>91.420997307190007</v>
      </c>
      <c r="AN6530">
        <v>0.99999996724268903</v>
      </c>
    </row>
    <row r="6531" spans="1:40" x14ac:dyDescent="0.25">
      <c r="A6531" t="str">
        <f>"20190312173053414"</f>
        <v>20190312173053414</v>
      </c>
      <c r="B6531" t="str">
        <f>"1552383053404169"</f>
        <v>1552383053404169</v>
      </c>
      <c r="C6531" t="s">
        <v>40</v>
      </c>
      <c r="D6531">
        <v>3.4875440000000002</v>
      </c>
      <c r="E6531">
        <v>0.46814939999999999</v>
      </c>
      <c r="F6531" t="s">
        <v>54</v>
      </c>
      <c r="G6531">
        <v>-207.12039999999999</v>
      </c>
      <c r="H6531" s="1">
        <v>-1.9410850000000002E-6</v>
      </c>
      <c r="I6531">
        <v>-59.860750000000003</v>
      </c>
      <c r="J6531">
        <v>-225.7971</v>
      </c>
      <c r="K6531">
        <v>1.1098629999999901</v>
      </c>
      <c r="L6531">
        <v>-62.43018</v>
      </c>
      <c r="M6531">
        <v>0.99961999999999995</v>
      </c>
      <c r="N6531">
        <v>0</v>
      </c>
      <c r="O6531">
        <v>2.3858020000000001E-2</v>
      </c>
      <c r="P6531">
        <v>0.98135119999999998</v>
      </c>
      <c r="Q6531">
        <v>0.18599189999999999</v>
      </c>
      <c r="R6531">
        <v>4.8552409999999997E-2</v>
      </c>
      <c r="S6531">
        <v>3.0706020000000001</v>
      </c>
      <c r="T6531">
        <v>-0.1808321</v>
      </c>
      <c r="U6531">
        <v>0.4193115</v>
      </c>
      <c r="V6531">
        <v>-2.507935E-2</v>
      </c>
      <c r="W6531">
        <v>0.19955310000000001</v>
      </c>
      <c r="X6531">
        <v>0.97956600000000005</v>
      </c>
      <c r="Y6531">
        <v>-0.1114728</v>
      </c>
      <c r="Z6531">
        <v>1.867627E-3</v>
      </c>
      <c r="AA6531">
        <v>0.99376569999999997</v>
      </c>
      <c r="AB6531">
        <v>35</v>
      </c>
      <c r="AC6531">
        <v>18.6767</v>
      </c>
      <c r="AD6531">
        <v>-1.1098649410849999</v>
      </c>
      <c r="AE6531">
        <v>2.5694300000000001</v>
      </c>
      <c r="AF6531">
        <v>-2.1157343225309502</v>
      </c>
      <c r="AG6531">
        <v>-1.1098649410849999</v>
      </c>
      <c r="AH6531">
        <v>18.667991582352599</v>
      </c>
      <c r="AI6531">
        <v>93.380798441398099</v>
      </c>
      <c r="AJ6531">
        <v>96.466018794729706</v>
      </c>
      <c r="AK6531">
        <v>18.820256152076499</v>
      </c>
      <c r="AL6531">
        <v>78.489173016727705</v>
      </c>
      <c r="AM6531">
        <v>91.466595477204393</v>
      </c>
      <c r="AN6531">
        <v>0.99999998093601605</v>
      </c>
    </row>
    <row r="6532" spans="1:40" x14ac:dyDescent="0.25">
      <c r="A6532" t="str">
        <f>"20190312173053425"</f>
        <v>20190312173053425</v>
      </c>
      <c r="B6532" t="str">
        <f>"1552383053413928"</f>
        <v>1552383053413928</v>
      </c>
      <c r="C6532" t="s">
        <v>40</v>
      </c>
      <c r="D6532">
        <v>3.3788969999999998</v>
      </c>
      <c r="E6532">
        <v>0.46823530000000002</v>
      </c>
      <c r="F6532" t="s">
        <v>54</v>
      </c>
      <c r="G6532">
        <v>-206.90549999999999</v>
      </c>
      <c r="H6532" s="1">
        <v>-2.0829590000000001E-6</v>
      </c>
      <c r="I6532">
        <v>-59.840829999999997</v>
      </c>
      <c r="J6532">
        <v>-225.62479999999999</v>
      </c>
      <c r="K6532">
        <v>1.109888</v>
      </c>
      <c r="L6532">
        <v>-62.426090000000002</v>
      </c>
      <c r="M6532">
        <v>0.99961889999999998</v>
      </c>
      <c r="N6532">
        <v>0</v>
      </c>
      <c r="O6532">
        <v>2.3865270000000001E-2</v>
      </c>
      <c r="P6532">
        <v>0.98121040000000004</v>
      </c>
      <c r="Q6532">
        <v>0.18646550000000001</v>
      </c>
      <c r="R6532">
        <v>4.9569240000000001E-2</v>
      </c>
      <c r="S6532">
        <v>3.070389</v>
      </c>
      <c r="T6532">
        <v>-0.18038309999999999</v>
      </c>
      <c r="U6532">
        <v>0.42083739999999997</v>
      </c>
      <c r="V6532">
        <v>-2.6102199999999999E-2</v>
      </c>
      <c r="W6532">
        <v>0.2000825</v>
      </c>
      <c r="X6532">
        <v>0.9794313</v>
      </c>
      <c r="Y6532">
        <v>-0.1119595</v>
      </c>
      <c r="Z6532">
        <v>1.8768599999999999E-3</v>
      </c>
      <c r="AA6532">
        <v>0.99371100000000001</v>
      </c>
      <c r="AB6532">
        <v>35</v>
      </c>
      <c r="AC6532">
        <v>18.7193</v>
      </c>
      <c r="AD6532">
        <v>-1.1098900829589999</v>
      </c>
      <c r="AE6532">
        <v>2.5852599999999901</v>
      </c>
      <c r="AF6532">
        <v>-2.1303902755201101</v>
      </c>
      <c r="AG6532">
        <v>-1.1098900829589999</v>
      </c>
      <c r="AH6532">
        <v>18.711124420418599</v>
      </c>
      <c r="AI6532">
        <v>93.372902269951894</v>
      </c>
      <c r="AJ6532">
        <v>96.495547050707202</v>
      </c>
      <c r="AK6532">
        <v>18.864691775872402</v>
      </c>
      <c r="AL6532">
        <v>78.458216569725707</v>
      </c>
      <c r="AM6532">
        <v>91.526591993106393</v>
      </c>
      <c r="AN6532">
        <v>1.00000000153539</v>
      </c>
    </row>
    <row r="6533" spans="1:40" x14ac:dyDescent="0.25">
      <c r="A6533" t="str">
        <f>"20190312173053437"</f>
        <v>20190312173053437</v>
      </c>
      <c r="B6533" t="str">
        <f>"1552383053423688"</f>
        <v>1552383053423688</v>
      </c>
      <c r="C6533" t="s">
        <v>40</v>
      </c>
      <c r="D6533">
        <v>3.2558210000000001</v>
      </c>
      <c r="E6533">
        <v>0.46831089999999997</v>
      </c>
      <c r="F6533" t="s">
        <v>54</v>
      </c>
      <c r="G6533">
        <v>-206.61109999999999</v>
      </c>
      <c r="H6533" s="1">
        <v>-2.2797559999999998E-6</v>
      </c>
      <c r="I6533">
        <v>-59.804499999999997</v>
      </c>
      <c r="J6533">
        <v>-225.4485</v>
      </c>
      <c r="K6533">
        <v>1.109915</v>
      </c>
      <c r="L6533">
        <v>-62.421880000000002</v>
      </c>
      <c r="M6533">
        <v>0.99961739999999999</v>
      </c>
      <c r="N6533">
        <v>0</v>
      </c>
      <c r="O6533">
        <v>2.3894780000000001E-2</v>
      </c>
      <c r="P6533">
        <v>0.98112670000000002</v>
      </c>
      <c r="Q6533">
        <v>0.1867452</v>
      </c>
      <c r="R6533">
        <v>5.0170979999999997E-2</v>
      </c>
      <c r="S6533">
        <v>3.07016</v>
      </c>
      <c r="T6533">
        <v>-0.17921509999999999</v>
      </c>
      <c r="U6533">
        <v>0.4233093</v>
      </c>
      <c r="V6533">
        <v>-2.6688340000000001E-2</v>
      </c>
      <c r="W6533">
        <v>0.20041419999999999</v>
      </c>
      <c r="X6533">
        <v>0.97934770000000004</v>
      </c>
      <c r="Y6533">
        <v>-0.11272600000000001</v>
      </c>
      <c r="Z6533">
        <v>1.8853019999999999E-3</v>
      </c>
      <c r="AA6533">
        <v>0.99362430000000002</v>
      </c>
      <c r="AB6533">
        <v>35</v>
      </c>
      <c r="AC6533">
        <v>18.837399999999999</v>
      </c>
      <c r="AD6533">
        <v>-1.109917279756</v>
      </c>
      <c r="AE6533">
        <v>2.6173799999999998</v>
      </c>
      <c r="AF6533">
        <v>-2.1591195272363</v>
      </c>
      <c r="AG6533">
        <v>-1.109917279756</v>
      </c>
      <c r="AH6533">
        <v>18.830433278870199</v>
      </c>
      <c r="AI6533">
        <v>93.351359177776203</v>
      </c>
      <c r="AJ6533">
        <v>96.541035575920802</v>
      </c>
      <c r="AK6533">
        <v>18.986282705436999</v>
      </c>
      <c r="AL6533">
        <v>78.438818854383996</v>
      </c>
      <c r="AM6533">
        <v>91.560988900881298</v>
      </c>
      <c r="AN6533">
        <v>1.00000001827444</v>
      </c>
    </row>
    <row r="6534" spans="1:40" x14ac:dyDescent="0.25">
      <c r="A6534" t="str">
        <f>"20190312173053449"</f>
        <v>20190312173053449</v>
      </c>
      <c r="B6534" t="str">
        <f>"1552383053444183"</f>
        <v>1552383053444183</v>
      </c>
      <c r="C6534" t="s">
        <v>40</v>
      </c>
      <c r="D6534">
        <v>3.2347540000000001</v>
      </c>
      <c r="E6534">
        <v>0.46844570000000002</v>
      </c>
      <c r="F6534" t="s">
        <v>54</v>
      </c>
      <c r="G6534">
        <v>-206.3683</v>
      </c>
      <c r="H6534" s="1">
        <v>-2.4395539999999999E-6</v>
      </c>
      <c r="I6534">
        <v>-59.783940000000001</v>
      </c>
      <c r="J6534">
        <v>-225.26480000000001</v>
      </c>
      <c r="K6534">
        <v>1.1099490000000001</v>
      </c>
      <c r="L6534">
        <v>-62.417450000000002</v>
      </c>
      <c r="M6534">
        <v>0.99961560000000005</v>
      </c>
      <c r="N6534">
        <v>0</v>
      </c>
      <c r="O6534">
        <v>2.394249E-2</v>
      </c>
      <c r="P6534">
        <v>0.98102</v>
      </c>
      <c r="Q6534">
        <v>0.18709729999999999</v>
      </c>
      <c r="R6534">
        <v>5.0937870000000003E-2</v>
      </c>
      <c r="S6534">
        <v>3.0699619999999999</v>
      </c>
      <c r="T6534">
        <v>-0.17858350000000001</v>
      </c>
      <c r="U6534">
        <v>0.4244385</v>
      </c>
      <c r="V6534">
        <v>-2.7423860000000001E-2</v>
      </c>
      <c r="W6534">
        <v>0.20081679999999999</v>
      </c>
      <c r="X6534">
        <v>0.97924489999999997</v>
      </c>
      <c r="Y6534">
        <v>-0.11304649999999999</v>
      </c>
      <c r="Z6534">
        <v>1.885255E-3</v>
      </c>
      <c r="AA6534">
        <v>0.99358789999999997</v>
      </c>
      <c r="AB6534">
        <v>35</v>
      </c>
      <c r="AC6534">
        <v>18.8965</v>
      </c>
      <c r="AD6534">
        <v>-1.109951439554</v>
      </c>
      <c r="AE6534">
        <v>2.6335099999999998</v>
      </c>
      <c r="AF6534">
        <v>-2.1729272386575</v>
      </c>
      <c r="AG6534">
        <v>-1.109951439554</v>
      </c>
      <c r="AH6534">
        <v>18.890207587774601</v>
      </c>
      <c r="AI6534">
        <v>93.340742025079805</v>
      </c>
      <c r="AJ6534">
        <v>96.5618528992064</v>
      </c>
      <c r="AK6534">
        <v>19.0471401447011</v>
      </c>
      <c r="AL6534">
        <v>78.415272843838594</v>
      </c>
      <c r="AM6534">
        <v>91.604155256452103</v>
      </c>
      <c r="AN6534">
        <v>1.0000000147177699</v>
      </c>
    </row>
    <row r="6535" spans="1:40" x14ac:dyDescent="0.25">
      <c r="A6535" t="str">
        <f>"20190312173053459"</f>
        <v>20190312173053459</v>
      </c>
      <c r="B6535" t="str">
        <f>"1552383053453944"</f>
        <v>1552383053453944</v>
      </c>
      <c r="C6535" t="s">
        <v>40</v>
      </c>
      <c r="D6535">
        <v>3.2968310000000001</v>
      </c>
      <c r="E6535">
        <v>0.46841369999999999</v>
      </c>
      <c r="F6535" t="s">
        <v>54</v>
      </c>
      <c r="G6535">
        <v>-206.11359999999999</v>
      </c>
      <c r="H6535" s="1">
        <v>-2.6073169999999998E-6</v>
      </c>
      <c r="I6535">
        <v>-59.761800000000001</v>
      </c>
      <c r="J6535">
        <v>-225.08269999999999</v>
      </c>
      <c r="K6535">
        <v>1.109985</v>
      </c>
      <c r="L6535">
        <v>-62.413020000000003</v>
      </c>
      <c r="M6535">
        <v>0.99961319999999998</v>
      </c>
      <c r="N6535">
        <v>0</v>
      </c>
      <c r="O6535">
        <v>2.4009220000000001E-2</v>
      </c>
      <c r="P6535">
        <v>0.98092919999999995</v>
      </c>
      <c r="Q6535">
        <v>0.18736749999999999</v>
      </c>
      <c r="R6535">
        <v>5.168209E-2</v>
      </c>
      <c r="S6535">
        <v>3.069855</v>
      </c>
      <c r="T6535">
        <v>-0.17792049999999901</v>
      </c>
      <c r="U6535">
        <v>0.4256897</v>
      </c>
      <c r="V6535">
        <v>-2.811961E-2</v>
      </c>
      <c r="W6535">
        <v>0.20113300000000001</v>
      </c>
      <c r="X6535">
        <v>0.97916020000000004</v>
      </c>
      <c r="Y6535">
        <v>-0.11338280000000001</v>
      </c>
      <c r="Z6535">
        <v>1.884129E-3</v>
      </c>
      <c r="AA6535">
        <v>0.99354960000000003</v>
      </c>
      <c r="AB6535">
        <v>35</v>
      </c>
      <c r="AC6535">
        <v>18.969100000000001</v>
      </c>
      <c r="AD6535">
        <v>-1.1099876073170001</v>
      </c>
      <c r="AE6535">
        <v>2.6512199999999901</v>
      </c>
      <c r="AF6535">
        <v>-2.18763035514838</v>
      </c>
      <c r="AG6535">
        <v>-1.1099876073170001</v>
      </c>
      <c r="AH6535">
        <v>18.963602216258899</v>
      </c>
      <c r="AI6535">
        <v>93.327825074879001</v>
      </c>
      <c r="AJ6535">
        <v>96.580520632156606</v>
      </c>
      <c r="AK6535">
        <v>19.1216110219736</v>
      </c>
      <c r="AL6535">
        <v>78.3967777685085</v>
      </c>
      <c r="AM6535">
        <v>91.644973189479899</v>
      </c>
      <c r="AN6535">
        <v>0.99999994670979397</v>
      </c>
    </row>
    <row r="6536" spans="1:40" x14ac:dyDescent="0.25">
      <c r="A6536" t="str">
        <f>"20190312173053471"</f>
        <v>20190312173053471</v>
      </c>
      <c r="B6536" t="str">
        <f>"1552383053463705"</f>
        <v>1552383053463705</v>
      </c>
      <c r="C6536" t="s">
        <v>40</v>
      </c>
      <c r="D6536">
        <v>3.2290559999999999</v>
      </c>
      <c r="E6536">
        <v>0.46846549999999998</v>
      </c>
      <c r="F6536" t="s">
        <v>54</v>
      </c>
      <c r="G6536">
        <v>-205.9263</v>
      </c>
      <c r="H6536" s="1">
        <v>-2.7320770000000001E-6</v>
      </c>
      <c r="I6536">
        <v>-59.740349999999999</v>
      </c>
      <c r="J6536">
        <v>-224.91149999999999</v>
      </c>
      <c r="K6536">
        <v>1.1100239999999999</v>
      </c>
      <c r="L6536">
        <v>-62.408839999999998</v>
      </c>
      <c r="M6536">
        <v>0.99961029999999995</v>
      </c>
      <c r="N6536">
        <v>0</v>
      </c>
      <c r="O6536">
        <v>2.4102599999999998E-2</v>
      </c>
      <c r="P6536">
        <v>0.98082849999999999</v>
      </c>
      <c r="Q6536">
        <v>0.18763270000000001</v>
      </c>
      <c r="R6536">
        <v>5.2629490000000001E-2</v>
      </c>
      <c r="S6536">
        <v>3.0697329999999998</v>
      </c>
      <c r="T6536">
        <v>-0.1778708</v>
      </c>
      <c r="U6536">
        <v>0.42828369999999999</v>
      </c>
      <c r="V6536">
        <v>-2.8994579999999999E-2</v>
      </c>
      <c r="W6536">
        <v>0.20143710000000001</v>
      </c>
      <c r="X6536">
        <v>0.97907219999999995</v>
      </c>
      <c r="Y6536">
        <v>-0.114118</v>
      </c>
      <c r="Z6536">
        <v>1.899375E-3</v>
      </c>
      <c r="AA6536">
        <v>0.99346540000000005</v>
      </c>
      <c r="AB6536">
        <v>35</v>
      </c>
      <c r="AC6536">
        <v>18.985199999999899</v>
      </c>
      <c r="AD6536">
        <v>-1.1100267320770001</v>
      </c>
      <c r="AE6536">
        <v>2.6684899999999998</v>
      </c>
      <c r="AF6536">
        <v>-2.2026925211013801</v>
      </c>
      <c r="AG6536">
        <v>-1.1100267320770001</v>
      </c>
      <c r="AH6536">
        <v>18.9803799055084</v>
      </c>
      <c r="AI6536">
        <v>93.324745026154005</v>
      </c>
      <c r="AJ6536">
        <v>96.619622516679897</v>
      </c>
      <c r="AK6536">
        <v>19.139980016861799</v>
      </c>
      <c r="AL6536">
        <v>78.378990468886798</v>
      </c>
      <c r="AM6536">
        <v>91.696281100872596</v>
      </c>
      <c r="AN6536">
        <v>0.99999998186931305</v>
      </c>
    </row>
    <row r="6537" spans="1:40" x14ac:dyDescent="0.25">
      <c r="A6537" t="str">
        <f>"20190312173053482"</f>
        <v>20190312173053482</v>
      </c>
      <c r="B6537" t="str">
        <f>"1552383053474441"</f>
        <v>1552383053474441</v>
      </c>
      <c r="C6537" t="s">
        <v>40</v>
      </c>
      <c r="D6537">
        <v>3.2098849999999999</v>
      </c>
      <c r="E6537">
        <v>0.46844390000000002</v>
      </c>
      <c r="F6537" t="s">
        <v>54</v>
      </c>
      <c r="G6537">
        <v>-205.7371</v>
      </c>
      <c r="H6537" s="1">
        <v>-2.8578800000000001E-6</v>
      </c>
      <c r="I6537">
        <v>-59.719580000000001</v>
      </c>
      <c r="J6537">
        <v>-224.73509999999999</v>
      </c>
      <c r="K6537">
        <v>1.1100650000000001</v>
      </c>
      <c r="L6537">
        <v>-62.404510000000002</v>
      </c>
      <c r="M6537">
        <v>0.99960720000000003</v>
      </c>
      <c r="N6537">
        <v>0</v>
      </c>
      <c r="O6537">
        <v>2.421106E-2</v>
      </c>
      <c r="P6537">
        <v>0.9807401</v>
      </c>
      <c r="Q6537">
        <v>0.1878861</v>
      </c>
      <c r="R6537">
        <v>5.3367190000000002E-2</v>
      </c>
      <c r="S6537">
        <v>3.069534</v>
      </c>
      <c r="T6537">
        <v>-0.1776991</v>
      </c>
      <c r="U6537">
        <v>0.43051149999999999</v>
      </c>
      <c r="V6537">
        <v>-2.964636E-2</v>
      </c>
      <c r="W6537">
        <v>0.20172809999999999</v>
      </c>
      <c r="X6537">
        <v>0.9789928</v>
      </c>
      <c r="Y6537">
        <v>-0.1147256</v>
      </c>
      <c r="Z6537">
        <v>1.9088250000000001E-3</v>
      </c>
      <c r="AA6537">
        <v>0.99339540000000004</v>
      </c>
      <c r="AB6537">
        <v>35</v>
      </c>
      <c r="AC6537">
        <v>18.997999999999902</v>
      </c>
      <c r="AD6537">
        <v>-1.1100678578799901</v>
      </c>
      <c r="AE6537">
        <v>2.6849299999999801</v>
      </c>
      <c r="AF6537">
        <v>-2.21671524645211</v>
      </c>
      <c r="AG6537">
        <v>-1.1100678578799901</v>
      </c>
      <c r="AH6537">
        <v>18.993863336870401</v>
      </c>
      <c r="AI6537">
        <v>93.322263294130394</v>
      </c>
      <c r="AJ6537">
        <v>96.656700284717502</v>
      </c>
      <c r="AK6537">
        <v>19.1549711979074</v>
      </c>
      <c r="AL6537">
        <v>78.361968373284697</v>
      </c>
      <c r="AM6537">
        <v>91.734529983596303</v>
      </c>
      <c r="AN6537">
        <v>1.00000001772134</v>
      </c>
    </row>
    <row r="6538" spans="1:40" x14ac:dyDescent="0.25">
      <c r="A6538" t="str">
        <f>"20190312173053492"</f>
        <v>20190312173053492</v>
      </c>
      <c r="B6538" t="str">
        <f>"1552383053484200"</f>
        <v>1552383053484200</v>
      </c>
      <c r="C6538" t="s">
        <v>40</v>
      </c>
      <c r="D6538">
        <v>3.2697440000000002</v>
      </c>
      <c r="E6538">
        <v>0.4684258</v>
      </c>
      <c r="F6538" t="s">
        <v>54</v>
      </c>
      <c r="G6538">
        <v>-205.31200000000001</v>
      </c>
      <c r="H6538" s="1">
        <v>-3.1418250000000002E-6</v>
      </c>
      <c r="I6538">
        <v>-59.666519999999998</v>
      </c>
      <c r="J6538">
        <v>-224.5686</v>
      </c>
      <c r="K6538">
        <v>1.110114</v>
      </c>
      <c r="L6538">
        <v>-62.400359999999999</v>
      </c>
      <c r="M6538">
        <v>0.99960300000000002</v>
      </c>
      <c r="N6538">
        <v>0</v>
      </c>
      <c r="O6538">
        <v>2.4362060000000001E-2</v>
      </c>
      <c r="P6538">
        <v>0.98066719999999996</v>
      </c>
      <c r="Q6538">
        <v>0.1878851</v>
      </c>
      <c r="R6538">
        <v>5.4692860000000003E-2</v>
      </c>
      <c r="S6538">
        <v>3.0689700000000002</v>
      </c>
      <c r="T6538">
        <v>-0.17539730000000001</v>
      </c>
      <c r="U6538">
        <v>0.43261719999999998</v>
      </c>
      <c r="V6538">
        <v>-3.0846800000000001E-2</v>
      </c>
      <c r="W6538">
        <v>0.2017584</v>
      </c>
      <c r="X6538">
        <v>0.97894939999999997</v>
      </c>
      <c r="Y6538">
        <v>-0.11527220000000001</v>
      </c>
      <c r="Z6538">
        <v>1.891352E-3</v>
      </c>
      <c r="AA6538">
        <v>0.99333210000000005</v>
      </c>
      <c r="AB6538">
        <v>35</v>
      </c>
      <c r="AC6538">
        <v>19.256599999999899</v>
      </c>
      <c r="AD6538">
        <v>-1.110117141825</v>
      </c>
      <c r="AE6538">
        <v>2.7338399999999998</v>
      </c>
      <c r="AF6538">
        <v>-2.25649997563798</v>
      </c>
      <c r="AG6538">
        <v>-1.110117141825</v>
      </c>
      <c r="AH6538">
        <v>19.254765756401198</v>
      </c>
      <c r="AI6538">
        <v>93.277307626028602</v>
      </c>
      <c r="AJ6538">
        <v>96.6841051404826</v>
      </c>
      <c r="AK6538">
        <v>19.418294377789898</v>
      </c>
      <c r="AL6538">
        <v>78.360195094722599</v>
      </c>
      <c r="AM6538">
        <v>91.804798960815901</v>
      </c>
      <c r="AN6538">
        <v>0.99999995240057804</v>
      </c>
    </row>
    <row r="6539" spans="1:40" x14ac:dyDescent="0.25">
      <c r="A6539" t="str">
        <f>"20190312173053504"</f>
        <v>20190312173053504</v>
      </c>
      <c r="B6539" t="str">
        <f>"1552383053493960"</f>
        <v>1552383053493960</v>
      </c>
      <c r="C6539" t="s">
        <v>40</v>
      </c>
      <c r="D6539">
        <v>3.265679</v>
      </c>
      <c r="E6539">
        <v>0.46844740000000001</v>
      </c>
      <c r="F6539" t="s">
        <v>54</v>
      </c>
      <c r="G6539">
        <v>-205.24770000000001</v>
      </c>
      <c r="H6539" s="1">
        <v>-3.1806270000000002E-6</v>
      </c>
      <c r="I6539">
        <v>-59.6502699999999</v>
      </c>
      <c r="J6539">
        <v>-224.38640000000001</v>
      </c>
      <c r="K6539">
        <v>1.110174</v>
      </c>
      <c r="L6539">
        <v>-62.395780000000002</v>
      </c>
      <c r="M6539">
        <v>0.99959799999999999</v>
      </c>
      <c r="N6539">
        <v>0</v>
      </c>
      <c r="O6539">
        <v>2.454069E-2</v>
      </c>
      <c r="P6539">
        <v>0.98063869999999997</v>
      </c>
      <c r="Q6539">
        <v>0.18768000000000001</v>
      </c>
      <c r="R6539">
        <v>5.5893569999999997E-2</v>
      </c>
      <c r="S6539">
        <v>3.0685579999999999</v>
      </c>
      <c r="T6539">
        <v>-0.17630879999999999</v>
      </c>
      <c r="U6539">
        <v>0.43676759999999898</v>
      </c>
      <c r="V6539">
        <v>-3.1898240000000001E-2</v>
      </c>
      <c r="W6539">
        <v>0.20158609999999999</v>
      </c>
      <c r="X6539">
        <v>0.97895120000000002</v>
      </c>
      <c r="Y6539">
        <v>-0.116427</v>
      </c>
      <c r="Z6539">
        <v>1.9240329999999999E-3</v>
      </c>
      <c r="AA6539">
        <v>0.99319740000000001</v>
      </c>
      <c r="AB6539">
        <v>35</v>
      </c>
      <c r="AC6539">
        <v>19.1387</v>
      </c>
      <c r="AD6539">
        <v>-1.110177180627</v>
      </c>
      <c r="AE6539">
        <v>2.7455099999999999</v>
      </c>
      <c r="AF6539">
        <v>-2.2674829290849798</v>
      </c>
      <c r="AG6539">
        <v>-1.110177180627</v>
      </c>
      <c r="AH6539">
        <v>19.1372237885389</v>
      </c>
      <c r="AI6539">
        <v>93.297076010403899</v>
      </c>
      <c r="AJ6539">
        <v>96.757213731823896</v>
      </c>
      <c r="AK6539">
        <v>19.303038790270801</v>
      </c>
      <c r="AL6539">
        <v>78.370274257468395</v>
      </c>
      <c r="AM6539">
        <v>91.866270886189298</v>
      </c>
      <c r="AN6539">
        <v>0.99999995270487196</v>
      </c>
    </row>
    <row r="6540" spans="1:40" x14ac:dyDescent="0.25">
      <c r="A6540" t="str">
        <f>"20190312173053515"</f>
        <v>20190312173053515</v>
      </c>
      <c r="B6540" t="str">
        <f>"1552383053503720"</f>
        <v>1552383053503720</v>
      </c>
      <c r="C6540" t="s">
        <v>40</v>
      </c>
      <c r="D6540">
        <v>3.2738619999999998</v>
      </c>
      <c r="E6540">
        <v>0.46845680000000001</v>
      </c>
      <c r="F6540" t="s">
        <v>54</v>
      </c>
      <c r="G6540">
        <v>-205.2491</v>
      </c>
      <c r="H6540" s="1">
        <v>-3.1794809999999999E-6</v>
      </c>
      <c r="I6540">
        <v>-59.651780000000002</v>
      </c>
      <c r="J6540">
        <v>-224.20939999999999</v>
      </c>
      <c r="K6540">
        <v>1.1102379999999901</v>
      </c>
      <c r="L6540">
        <v>-62.391240000000003</v>
      </c>
      <c r="M6540">
        <v>0.99959169999999997</v>
      </c>
      <c r="N6540">
        <v>0</v>
      </c>
      <c r="O6540">
        <v>2.4775829999999999E-2</v>
      </c>
      <c r="P6540">
        <v>0.98056949999999998</v>
      </c>
      <c r="Q6540">
        <v>0.1876448</v>
      </c>
      <c r="R6540">
        <v>5.7210370000000003E-2</v>
      </c>
      <c r="S6540">
        <v>3.0682369999999999</v>
      </c>
      <c r="T6540">
        <v>-0.17799279999999901</v>
      </c>
      <c r="U6540">
        <v>0.43994139999999998</v>
      </c>
      <c r="V6540">
        <v>-3.3015339999999997E-2</v>
      </c>
      <c r="W6540">
        <v>0.20157720000000001</v>
      </c>
      <c r="X6540">
        <v>0.97891600000000001</v>
      </c>
      <c r="Y6540">
        <v>-0.11721090000000001</v>
      </c>
      <c r="Z6540">
        <v>1.9514999999999999E-3</v>
      </c>
      <c r="AA6540">
        <v>0.99310509999999996</v>
      </c>
      <c r="AB6540">
        <v>35</v>
      </c>
      <c r="AC6540">
        <v>18.960299999999901</v>
      </c>
      <c r="AD6540">
        <v>-1.1102411794810001</v>
      </c>
      <c r="AE6540">
        <v>2.7394599999999998</v>
      </c>
      <c r="AF6540">
        <v>-2.2612193807419998</v>
      </c>
      <c r="AG6540">
        <v>-1.1102411794810001</v>
      </c>
      <c r="AH6540">
        <v>18.958681333796399</v>
      </c>
      <c r="AI6540">
        <v>93.327942280752893</v>
      </c>
      <c r="AJ6540">
        <v>96.801589703739396</v>
      </c>
      <c r="AK6540">
        <v>19.12530644149</v>
      </c>
      <c r="AL6540">
        <v>78.370794935624005</v>
      </c>
      <c r="AM6540">
        <v>91.931649805785895</v>
      </c>
      <c r="AN6540">
        <v>0.99999995764557603</v>
      </c>
    </row>
    <row r="6541" spans="1:40" x14ac:dyDescent="0.25">
      <c r="A6541" t="str">
        <f>"20190312173053526"</f>
        <v>20190312173053526</v>
      </c>
      <c r="B6541" t="str">
        <f>"1552383053514457"</f>
        <v>1552383053514457</v>
      </c>
      <c r="C6541" t="s">
        <v>40</v>
      </c>
      <c r="D6541">
        <v>3.298073</v>
      </c>
      <c r="E6541">
        <v>0.46842010000000001</v>
      </c>
      <c r="F6541" t="s">
        <v>54</v>
      </c>
      <c r="G6541">
        <v>-205.19739999999999</v>
      </c>
      <c r="H6541" s="1">
        <v>-3.2100810000000001E-6</v>
      </c>
      <c r="I6541">
        <v>-59.641390000000001</v>
      </c>
      <c r="J6541">
        <v>-224.04820000000001</v>
      </c>
      <c r="K6541">
        <v>1.110298</v>
      </c>
      <c r="L6541">
        <v>-62.387079999999997</v>
      </c>
      <c r="M6541">
        <v>0.99958559999999996</v>
      </c>
      <c r="N6541">
        <v>0</v>
      </c>
      <c r="O6541">
        <v>2.500747E-2</v>
      </c>
      <c r="P6541">
        <v>0.98049649999999999</v>
      </c>
      <c r="Q6541">
        <v>0.1876901</v>
      </c>
      <c r="R6541">
        <v>5.8303670000000002E-2</v>
      </c>
      <c r="S6541">
        <v>3.067841</v>
      </c>
      <c r="T6541">
        <v>-0.1791527</v>
      </c>
      <c r="U6541">
        <v>0.4437256</v>
      </c>
      <c r="V6541">
        <v>-3.3910589999999997E-2</v>
      </c>
      <c r="W6541">
        <v>0.20164489999999999</v>
      </c>
      <c r="X6541">
        <v>0.97887150000000001</v>
      </c>
      <c r="Y6541">
        <v>-0.1181956</v>
      </c>
      <c r="Z6541">
        <v>1.9794270000000002E-3</v>
      </c>
      <c r="AA6541">
        <v>0.99298830000000005</v>
      </c>
      <c r="AB6541">
        <v>35</v>
      </c>
      <c r="AC6541">
        <v>18.8508</v>
      </c>
      <c r="AD6541">
        <v>-1.1103012100809999</v>
      </c>
      <c r="AE6541">
        <v>2.7456900000000002</v>
      </c>
      <c r="AF6541">
        <v>-2.2656757535574399</v>
      </c>
      <c r="AG6541">
        <v>-1.1103012100809999</v>
      </c>
      <c r="AH6541">
        <v>18.849539962376198</v>
      </c>
      <c r="AI6541">
        <v>93.346982961847203</v>
      </c>
      <c r="AJ6541">
        <v>96.853952924225794</v>
      </c>
      <c r="AK6541">
        <v>19.017655275837399</v>
      </c>
      <c r="AL6541">
        <v>78.366835232949597</v>
      </c>
      <c r="AM6541">
        <v>91.984077588696593</v>
      </c>
      <c r="AN6541">
        <v>1.0000000036612</v>
      </c>
    </row>
    <row r="6542" spans="1:40" x14ac:dyDescent="0.25">
      <c r="A6542" t="str">
        <f>"20190312173053537"</f>
        <v>20190312173053537</v>
      </c>
      <c r="B6542" t="str">
        <f>"1552383053533975"</f>
        <v>1552383053533975</v>
      </c>
      <c r="C6542" t="s">
        <v>40</v>
      </c>
      <c r="D6542">
        <v>3.6567599999999998</v>
      </c>
      <c r="E6542">
        <v>0.468474</v>
      </c>
      <c r="F6542" t="s">
        <v>54</v>
      </c>
      <c r="G6542">
        <v>-205.1157</v>
      </c>
      <c r="H6542" s="1">
        <v>-3.258154E-6</v>
      </c>
      <c r="I6542">
        <v>-59.62603</v>
      </c>
      <c r="J6542">
        <v>-223.8655</v>
      </c>
      <c r="K6542">
        <v>1.1103719999999999</v>
      </c>
      <c r="L6542">
        <v>-62.38223</v>
      </c>
      <c r="M6542">
        <v>0.9995773</v>
      </c>
      <c r="N6542">
        <v>0</v>
      </c>
      <c r="O6542">
        <v>2.532299E-2</v>
      </c>
      <c r="P6542">
        <v>0.98036559999999995</v>
      </c>
      <c r="Q6542">
        <v>0.1879092</v>
      </c>
      <c r="R6542">
        <v>5.9781099999999997E-2</v>
      </c>
      <c r="S6542">
        <v>3.06752</v>
      </c>
      <c r="T6542">
        <v>-0.1798961</v>
      </c>
      <c r="U6542">
        <v>0.44735720000000001</v>
      </c>
      <c r="V6542">
        <v>-3.5115830000000001E-2</v>
      </c>
      <c r="W6542">
        <v>0.2018855</v>
      </c>
      <c r="X6542">
        <v>0.97877939999999997</v>
      </c>
      <c r="Y6542">
        <v>-0.119045899999999</v>
      </c>
      <c r="Z6542">
        <v>1.9940790000000002E-3</v>
      </c>
      <c r="AA6542">
        <v>0.99288670000000001</v>
      </c>
      <c r="AB6542">
        <v>35</v>
      </c>
      <c r="AC6542">
        <v>18.7498</v>
      </c>
      <c r="AD6542">
        <v>-1.1103752581539901</v>
      </c>
      <c r="AE6542">
        <v>2.7562000000000002</v>
      </c>
      <c r="AF6542">
        <v>-2.27266469827289</v>
      </c>
      <c r="AG6542">
        <v>-1.1103752581539901</v>
      </c>
      <c r="AH6542">
        <v>18.749224169959898</v>
      </c>
      <c r="AI6542">
        <v>93.364667760400494</v>
      </c>
      <c r="AJ6542">
        <v>96.911321882325396</v>
      </c>
      <c r="AK6542">
        <v>18.919073577215801</v>
      </c>
      <c r="AL6542">
        <v>78.352760304973302</v>
      </c>
      <c r="AM6542">
        <v>92.054728840129002</v>
      </c>
      <c r="AN6542">
        <v>0.99999999524559902</v>
      </c>
    </row>
    <row r="6543" spans="1:40" x14ac:dyDescent="0.25">
      <c r="A6543" t="str">
        <f>"20190312173053549"</f>
        <v>20190312173053549</v>
      </c>
      <c r="B6543" t="str">
        <f>"1552383053544468"</f>
        <v>1552383053544468</v>
      </c>
      <c r="C6543" t="s">
        <v>40</v>
      </c>
      <c r="D6543">
        <v>3.1943730000000001</v>
      </c>
      <c r="E6543">
        <v>0.46855590000000003</v>
      </c>
      <c r="F6543" t="s">
        <v>54</v>
      </c>
      <c r="G6543">
        <v>-204.9828</v>
      </c>
      <c r="H6543" s="1">
        <v>-3.335988E-6</v>
      </c>
      <c r="I6543">
        <v>-59.602910000000001</v>
      </c>
      <c r="J6543">
        <v>-223.6876</v>
      </c>
      <c r="K6543">
        <v>1.1104480000000001</v>
      </c>
      <c r="L6543">
        <v>-62.37744</v>
      </c>
      <c r="M6543">
        <v>0.99956789999999995</v>
      </c>
      <c r="N6543">
        <v>0</v>
      </c>
      <c r="O6543">
        <v>2.567413E-2</v>
      </c>
      <c r="P6543">
        <v>0.98020870000000004</v>
      </c>
      <c r="Q6543">
        <v>0.1883745</v>
      </c>
      <c r="R6543">
        <v>6.0877609999999999E-2</v>
      </c>
      <c r="S6543">
        <v>3.0671390000000001</v>
      </c>
      <c r="T6543">
        <v>-0.1803592</v>
      </c>
      <c r="U6543">
        <v>0.45144649999999997</v>
      </c>
      <c r="V6543">
        <v>-3.5906519999999997E-2</v>
      </c>
      <c r="W6543">
        <v>0.2023693</v>
      </c>
      <c r="X6543">
        <v>0.97865080000000004</v>
      </c>
      <c r="Y6543">
        <v>-0.1200088</v>
      </c>
      <c r="Z6543">
        <v>2.0068999999999998E-3</v>
      </c>
      <c r="AA6543">
        <v>0.99277079999999995</v>
      </c>
      <c r="AB6543">
        <v>35</v>
      </c>
      <c r="AC6543">
        <v>18.704799999999999</v>
      </c>
      <c r="AD6543">
        <v>-1.1104513359879999</v>
      </c>
      <c r="AE6543">
        <v>2.7745299999999999</v>
      </c>
      <c r="AF6543">
        <v>-2.2854549824055499</v>
      </c>
      <c r="AG6543">
        <v>-1.1104513359879999</v>
      </c>
      <c r="AH6543">
        <v>18.705366874522699</v>
      </c>
      <c r="AI6543">
        <v>93.372378444210497</v>
      </c>
      <c r="AJ6543">
        <v>96.965973552325494</v>
      </c>
      <c r="AK6543">
        <v>18.877159652783899</v>
      </c>
      <c r="AL6543">
        <v>78.324456448910098</v>
      </c>
      <c r="AM6543">
        <v>92.101229224580607</v>
      </c>
      <c r="AN6543">
        <v>1.00000000005082</v>
      </c>
    </row>
    <row r="6544" spans="1:40" x14ac:dyDescent="0.25">
      <c r="A6544" t="str">
        <f>"20190312173053560"</f>
        <v>20190312173053560</v>
      </c>
      <c r="B6544" t="str">
        <f>"1552383053554228"</f>
        <v>1552383053554228</v>
      </c>
      <c r="C6544" t="s">
        <v>40</v>
      </c>
      <c r="D6544">
        <v>3.2784789999999999</v>
      </c>
      <c r="E6544">
        <v>0.4686478</v>
      </c>
      <c r="F6544" t="s">
        <v>54</v>
      </c>
      <c r="G6544">
        <v>-204.6842</v>
      </c>
      <c r="H6544" s="1">
        <v>-3.4988170000000001E-6</v>
      </c>
      <c r="I6544">
        <v>-59.558999999999997</v>
      </c>
      <c r="J6544">
        <v>-223.5155</v>
      </c>
      <c r="K6544">
        <v>1.110527</v>
      </c>
      <c r="L6544">
        <v>-62.372680000000003</v>
      </c>
      <c r="M6544">
        <v>0.99955780000000005</v>
      </c>
      <c r="N6544">
        <v>0</v>
      </c>
      <c r="O6544">
        <v>2.60535E-2</v>
      </c>
      <c r="P6544">
        <v>0.98005600000000004</v>
      </c>
      <c r="Q6544">
        <v>0.18868570000000001</v>
      </c>
      <c r="R6544">
        <v>6.2355510000000003E-2</v>
      </c>
      <c r="S6544">
        <v>3.0667420000000001</v>
      </c>
      <c r="T6544">
        <v>-0.1792029</v>
      </c>
      <c r="U6544">
        <v>0.45483400000000002</v>
      </c>
      <c r="V6544">
        <v>-3.7052389999999998E-2</v>
      </c>
      <c r="W6544">
        <v>0.20269519999999999</v>
      </c>
      <c r="X6544">
        <v>0.97854070000000004</v>
      </c>
      <c r="Y6544">
        <v>-0.1207251</v>
      </c>
      <c r="Z6544">
        <v>1.992948E-3</v>
      </c>
      <c r="AA6544">
        <v>0.99268389999999995</v>
      </c>
      <c r="AB6544">
        <v>35</v>
      </c>
      <c r="AC6544">
        <v>18.831299999999999</v>
      </c>
      <c r="AD6544">
        <v>-1.1105304988169999</v>
      </c>
      <c r="AE6544">
        <v>2.8136800000000002</v>
      </c>
      <c r="AF6544">
        <v>-2.3141805979302301</v>
      </c>
      <c r="AG6544">
        <v>-1.1105304988169999</v>
      </c>
      <c r="AH6544">
        <v>18.834149737686499</v>
      </c>
      <c r="AI6544">
        <v>93.349331684589103</v>
      </c>
      <c r="AJ6544">
        <v>97.004908313770599</v>
      </c>
      <c r="AK6544">
        <v>19.008258893708199</v>
      </c>
      <c r="AL6544">
        <v>78.305389326285294</v>
      </c>
      <c r="AM6544">
        <v>92.168465599675898</v>
      </c>
      <c r="AN6544">
        <v>1.0000000626321099</v>
      </c>
    </row>
    <row r="6545" spans="1:40" x14ac:dyDescent="0.25">
      <c r="A6545" t="str">
        <f>"20190312173053570"</f>
        <v>20190312173053570</v>
      </c>
      <c r="B6545" t="str">
        <f>"1552383053563988"</f>
        <v>1552383053563988</v>
      </c>
      <c r="C6545" t="s">
        <v>40</v>
      </c>
      <c r="D6545">
        <v>3.2939400000000001</v>
      </c>
      <c r="E6545">
        <v>0.46875519999999998</v>
      </c>
      <c r="F6545" t="s">
        <v>54</v>
      </c>
      <c r="G6545">
        <v>-204.4375</v>
      </c>
      <c r="H6545" s="1">
        <v>-3.6341169999999999E-6</v>
      </c>
      <c r="I6545">
        <v>-59.515720000000002</v>
      </c>
      <c r="J6545">
        <v>-223.34649999999999</v>
      </c>
      <c r="K6545">
        <v>1.1106100000000001</v>
      </c>
      <c r="L6545">
        <v>-62.367919999999998</v>
      </c>
      <c r="M6545">
        <v>0.99954589999999999</v>
      </c>
      <c r="N6545">
        <v>0</v>
      </c>
      <c r="O6545">
        <v>2.6494050000000002E-2</v>
      </c>
      <c r="P6545">
        <v>0.97994919999999996</v>
      </c>
      <c r="Q6545">
        <v>0.18886020000000001</v>
      </c>
      <c r="R6545">
        <v>6.3496709999999998E-2</v>
      </c>
      <c r="S6545">
        <v>3.0661930000000002</v>
      </c>
      <c r="T6545">
        <v>-0.178483</v>
      </c>
      <c r="U6545">
        <v>0.45916750000000001</v>
      </c>
      <c r="V6545">
        <v>-3.7803049999999998E-2</v>
      </c>
      <c r="W6545">
        <v>0.20288249999999999</v>
      </c>
      <c r="X6545">
        <v>0.97847309999999998</v>
      </c>
      <c r="Y6545">
        <v>-0.12168619999999999</v>
      </c>
      <c r="Z6545">
        <v>1.98745E-3</v>
      </c>
      <c r="AA6545">
        <v>0.99256659999999997</v>
      </c>
      <c r="AB6545">
        <v>35</v>
      </c>
      <c r="AC6545">
        <v>18.908999999999899</v>
      </c>
      <c r="AD6545">
        <v>-1.1106136341169901</v>
      </c>
      <c r="AE6545">
        <v>2.8521999999999998</v>
      </c>
      <c r="AF6545">
        <v>-2.3422704571314599</v>
      </c>
      <c r="AG6545">
        <v>-1.1106136341169901</v>
      </c>
      <c r="AH6545">
        <v>18.914137443426</v>
      </c>
      <c r="AI6545">
        <v>93.335058159961704</v>
      </c>
      <c r="AJ6545">
        <v>97.059398395843502</v>
      </c>
      <c r="AK6545">
        <v>19.090947822657899</v>
      </c>
      <c r="AL6545">
        <v>78.294429300729604</v>
      </c>
      <c r="AM6545">
        <v>92.212506931454499</v>
      </c>
      <c r="AN6545">
        <v>0.99999999340958101</v>
      </c>
    </row>
    <row r="6546" spans="1:40" x14ac:dyDescent="0.25">
      <c r="A6546" t="str">
        <f>"20190312173053582"</f>
        <v>20190312173053582</v>
      </c>
      <c r="B6546" t="str">
        <f>"1552383053573748"</f>
        <v>1552383053573748</v>
      </c>
      <c r="C6546" t="s">
        <v>40</v>
      </c>
      <c r="D6546">
        <v>3.1955830000000001</v>
      </c>
      <c r="E6546">
        <v>0.46885710000000003</v>
      </c>
      <c r="F6546" t="s">
        <v>54</v>
      </c>
      <c r="G6546">
        <v>-204.26740000000001</v>
      </c>
      <c r="H6546" s="1">
        <v>-3.7257449999999999E-6</v>
      </c>
      <c r="I6546">
        <v>-59.493180000000002</v>
      </c>
      <c r="J6546">
        <v>-223.1669</v>
      </c>
      <c r="K6546">
        <v>1.110703</v>
      </c>
      <c r="L6546">
        <v>-62.362729999999999</v>
      </c>
      <c r="M6546">
        <v>0.99953219999999998</v>
      </c>
      <c r="N6546">
        <v>0</v>
      </c>
      <c r="O6546">
        <v>2.6992220000000001E-2</v>
      </c>
      <c r="P6546">
        <v>0.97985630000000001</v>
      </c>
      <c r="Q6546">
        <v>0.18886900000000001</v>
      </c>
      <c r="R6546">
        <v>6.4889069999999993E-2</v>
      </c>
      <c r="S6546">
        <v>3.065842</v>
      </c>
      <c r="T6546">
        <v>-0.17846579999999901</v>
      </c>
      <c r="U6546">
        <v>0.46194459999999998</v>
      </c>
      <c r="V6546">
        <v>-3.8751399999999998E-2</v>
      </c>
      <c r="W6546">
        <v>0.20290349999999999</v>
      </c>
      <c r="X6546">
        <v>0.97843159999999896</v>
      </c>
      <c r="Y6546">
        <v>-0.1220876</v>
      </c>
      <c r="Z6546">
        <v>1.9701839999999998E-3</v>
      </c>
      <c r="AA6546">
        <v>0.99251739999999999</v>
      </c>
      <c r="AB6546">
        <v>35</v>
      </c>
      <c r="AC6546">
        <v>18.8994999999999</v>
      </c>
      <c r="AD6546">
        <v>-1.1107067257449901</v>
      </c>
      <c r="AE6546">
        <v>2.8695499999999998</v>
      </c>
      <c r="AF6546">
        <v>-2.3503771963187798</v>
      </c>
      <c r="AG6546">
        <v>-1.1107067257449901</v>
      </c>
      <c r="AH6546">
        <v>18.906248812396701</v>
      </c>
      <c r="AI6546">
        <v>93.336530148111194</v>
      </c>
      <c r="AJ6546">
        <v>97.086509191204797</v>
      </c>
      <c r="AK6546">
        <v>19.0841344197698</v>
      </c>
      <c r="AL6546">
        <v>78.293200000043598</v>
      </c>
      <c r="AM6546">
        <v>92.2680500514508</v>
      </c>
      <c r="AN6546">
        <v>0.99999994859638297</v>
      </c>
    </row>
    <row r="6547" spans="1:40" x14ac:dyDescent="0.25">
      <c r="A6547" t="str">
        <f>"20190312173053593"</f>
        <v>20190312173053593</v>
      </c>
      <c r="B6547" t="str">
        <f>"1552383053584485"</f>
        <v>1552383053584485</v>
      </c>
      <c r="C6547" t="s">
        <v>40</v>
      </c>
      <c r="D6547">
        <v>3.2878759999999998</v>
      </c>
      <c r="E6547">
        <v>0.46898279999999998</v>
      </c>
      <c r="F6547" t="s">
        <v>54</v>
      </c>
      <c r="G6547">
        <v>-204.12260000000001</v>
      </c>
      <c r="H6547" s="1">
        <v>-3.8046010000000002E-6</v>
      </c>
      <c r="I6547">
        <v>-59.470379999999999</v>
      </c>
      <c r="J6547">
        <v>-222.99010000000001</v>
      </c>
      <c r="K6547">
        <v>1.110806</v>
      </c>
      <c r="L6547">
        <v>-62.357419999999998</v>
      </c>
      <c r="M6547">
        <v>0.9995155</v>
      </c>
      <c r="N6547">
        <v>0</v>
      </c>
      <c r="O6547">
        <v>2.759147E-2</v>
      </c>
      <c r="P6547">
        <v>0.97973480000000002</v>
      </c>
      <c r="Q6547">
        <v>0.18884210000000001</v>
      </c>
      <c r="R6547">
        <v>6.6774680000000003E-2</v>
      </c>
      <c r="S6547">
        <v>3.0653079999999999</v>
      </c>
      <c r="T6547">
        <v>-0.1787755</v>
      </c>
      <c r="U6547">
        <v>0.46554570000000001</v>
      </c>
      <c r="V6547">
        <v>-4.0099870000000003E-2</v>
      </c>
      <c r="W6547">
        <v>0.20288339999999999</v>
      </c>
      <c r="X6547">
        <v>0.97838150000000002</v>
      </c>
      <c r="Y6547">
        <v>-0.1226574</v>
      </c>
      <c r="Z6547">
        <v>1.9555979999999998E-3</v>
      </c>
      <c r="AA6547">
        <v>0.99244710000000003</v>
      </c>
      <c r="AB6547">
        <v>35</v>
      </c>
      <c r="AC6547">
        <v>18.8675</v>
      </c>
      <c r="AD6547">
        <v>-1.110809804601</v>
      </c>
      <c r="AE6547">
        <v>2.8870399999999901</v>
      </c>
      <c r="AF6547">
        <v>-2.3573206008476801</v>
      </c>
      <c r="AG6547">
        <v>-1.110809804601</v>
      </c>
      <c r="AH6547">
        <v>18.8760504279497</v>
      </c>
      <c r="AI6547">
        <v>93.341933498981405</v>
      </c>
      <c r="AJ6547">
        <v>97.118483909550406</v>
      </c>
      <c r="AK6547">
        <v>19.055081700052501</v>
      </c>
      <c r="AL6547">
        <v>78.294376914104205</v>
      </c>
      <c r="AM6547">
        <v>92.347006861081496</v>
      </c>
      <c r="AN6547">
        <v>1.00000001655591</v>
      </c>
    </row>
    <row r="6548" spans="1:40" x14ac:dyDescent="0.25">
      <c r="A6548" t="str">
        <f>"20190312173053604"</f>
        <v>20190312173053604</v>
      </c>
      <c r="B6548" t="str">
        <f>"1552383053594244"</f>
        <v>1552383053594244</v>
      </c>
      <c r="C6548" t="s">
        <v>40</v>
      </c>
      <c r="D6548">
        <v>3.1999789999999999</v>
      </c>
      <c r="E6548">
        <v>0.46908899999999998</v>
      </c>
      <c r="F6548" t="s">
        <v>54</v>
      </c>
      <c r="G6548">
        <v>-204.03120000000001</v>
      </c>
      <c r="H6548" s="1">
        <v>-3.856138E-6</v>
      </c>
      <c r="I6548">
        <v>-59.44811</v>
      </c>
      <c r="J6548">
        <v>-222.82210000000001</v>
      </c>
      <c r="K6548">
        <v>1.110905</v>
      </c>
      <c r="L6548">
        <v>-62.352290000000004</v>
      </c>
      <c r="M6548">
        <v>0.99949880000000002</v>
      </c>
      <c r="N6548">
        <v>0</v>
      </c>
      <c r="O6548">
        <v>2.818317E-2</v>
      </c>
      <c r="P6548">
        <v>0.97964859999999998</v>
      </c>
      <c r="Q6548">
        <v>0.1886979</v>
      </c>
      <c r="R6548">
        <v>6.8426039999999994E-2</v>
      </c>
      <c r="S6548">
        <v>3.0646059999999999</v>
      </c>
      <c r="T6548">
        <v>-0.179556299999999</v>
      </c>
      <c r="U6548">
        <v>0.47027590000000002</v>
      </c>
      <c r="V6548">
        <v>-4.1219770000000003E-2</v>
      </c>
      <c r="W6548">
        <v>0.2027456</v>
      </c>
      <c r="X6548">
        <v>0.97836350000000005</v>
      </c>
      <c r="Y6548">
        <v>-0.1235985</v>
      </c>
      <c r="Z6548">
        <v>1.9573419999999999E-3</v>
      </c>
      <c r="AA6548">
        <v>0.99233039999999995</v>
      </c>
      <c r="AB6548">
        <v>35</v>
      </c>
      <c r="AC6548">
        <v>18.790899999999901</v>
      </c>
      <c r="AD6548">
        <v>-1.1109088561380001</v>
      </c>
      <c r="AE6548">
        <v>2.9041800000000002</v>
      </c>
      <c r="AF6548">
        <v>-2.36530980109699</v>
      </c>
      <c r="AG6548">
        <v>-1.1109088561380001</v>
      </c>
      <c r="AH6548">
        <v>18.801112676035501</v>
      </c>
      <c r="AI6548">
        <v>93.355140770390506</v>
      </c>
      <c r="AJ6548">
        <v>97.170532818897996</v>
      </c>
      <c r="AK6548">
        <v>18.981850457708099</v>
      </c>
      <c r="AL6548">
        <v>78.3024395627274</v>
      </c>
      <c r="AM6548">
        <v>92.412521470825993</v>
      </c>
      <c r="AN6548">
        <v>0.99999999294523101</v>
      </c>
    </row>
    <row r="6549" spans="1:40" x14ac:dyDescent="0.25">
      <c r="A6549" t="str">
        <f>"20190312173053614"</f>
        <v>20190312173053614</v>
      </c>
      <c r="B6549" t="str">
        <f>"1552383053604004"</f>
        <v>1552383053604004</v>
      </c>
      <c r="C6549" t="s">
        <v>40</v>
      </c>
      <c r="D6549">
        <v>3.233959</v>
      </c>
      <c r="E6549">
        <v>0.46921679999999999</v>
      </c>
      <c r="F6549" t="s">
        <v>54</v>
      </c>
      <c r="G6549">
        <v>-203.97389999999999</v>
      </c>
      <c r="H6549" s="1">
        <v>-3.8887310000000004E-6</v>
      </c>
      <c r="I6549">
        <v>-59.432670000000002</v>
      </c>
      <c r="J6549">
        <v>-222.6523</v>
      </c>
      <c r="K6549">
        <v>1.111022</v>
      </c>
      <c r="L6549">
        <v>-62.34686</v>
      </c>
      <c r="M6549">
        <v>0.99947830000000004</v>
      </c>
      <c r="N6549">
        <v>0</v>
      </c>
      <c r="O6549">
        <v>2.8893849999999999E-2</v>
      </c>
      <c r="P6549">
        <v>0.97953000000000001</v>
      </c>
      <c r="Q6549">
        <v>0.18870020000000001</v>
      </c>
      <c r="R6549">
        <v>7.0095080000000004E-2</v>
      </c>
      <c r="S6549">
        <v>3.0639340000000002</v>
      </c>
      <c r="T6549">
        <v>-0.18058730000000001</v>
      </c>
      <c r="U6549">
        <v>0.47460940000000001</v>
      </c>
      <c r="V6549">
        <v>-4.2247920000000001E-2</v>
      </c>
      <c r="W6549">
        <v>0.2027513</v>
      </c>
      <c r="X6549">
        <v>0.97831849999999998</v>
      </c>
      <c r="Y6549">
        <v>-0.12429460000000001</v>
      </c>
      <c r="Z6549">
        <v>1.9476109999999999E-3</v>
      </c>
      <c r="AA6549">
        <v>0.99224349999999994</v>
      </c>
      <c r="AB6549">
        <v>35</v>
      </c>
      <c r="AC6549">
        <v>18.6784</v>
      </c>
      <c r="AD6549">
        <v>-1.1110258887310001</v>
      </c>
      <c r="AE6549">
        <v>2.9141900000000001</v>
      </c>
      <c r="AF6549">
        <v>-2.3650569930623502</v>
      </c>
      <c r="AG6549">
        <v>-1.1110258887310001</v>
      </c>
      <c r="AH6549">
        <v>18.690254420761601</v>
      </c>
      <c r="AI6549">
        <v>93.375043695502299</v>
      </c>
      <c r="AJ6549">
        <v>97.211854311520099</v>
      </c>
      <c r="AK6549">
        <v>18.872029128280399</v>
      </c>
      <c r="AL6549">
        <v>78.3021065123623</v>
      </c>
      <c r="AM6549">
        <v>92.472737116453303</v>
      </c>
      <c r="AN6549">
        <v>1.00000003191913</v>
      </c>
    </row>
    <row r="6550" spans="1:40" x14ac:dyDescent="0.25">
      <c r="A6550" t="str">
        <f>"20190312173053627"</f>
        <v>20190312173053627</v>
      </c>
      <c r="B6550" t="str">
        <f>"1552383053624501"</f>
        <v>1552383053624501</v>
      </c>
      <c r="C6550" t="s">
        <v>40</v>
      </c>
      <c r="D6550">
        <v>3.2747190000000002</v>
      </c>
      <c r="E6550">
        <v>0.46944829999999999</v>
      </c>
      <c r="F6550" t="s">
        <v>54</v>
      </c>
      <c r="G6550">
        <v>-203.87010000000001</v>
      </c>
      <c r="H6550" s="1">
        <v>-3.9461729999999999E-6</v>
      </c>
      <c r="I6550">
        <v>-59.412030000000001</v>
      </c>
      <c r="J6550">
        <v>-222.477</v>
      </c>
      <c r="K6550">
        <v>1.111143</v>
      </c>
      <c r="L6550">
        <v>-62.341189999999997</v>
      </c>
      <c r="M6550">
        <v>0.99945530000000005</v>
      </c>
      <c r="N6550">
        <v>0</v>
      </c>
      <c r="O6550">
        <v>2.9667579999999999E-2</v>
      </c>
      <c r="P6550">
        <v>0.97932300000000005</v>
      </c>
      <c r="Q6550">
        <v>0.18920429999999999</v>
      </c>
      <c r="R6550">
        <v>7.1613099999999999E-2</v>
      </c>
      <c r="S6550">
        <v>3.063339</v>
      </c>
      <c r="T6550">
        <v>-0.1812067</v>
      </c>
      <c r="U6550">
        <v>0.47866819999999999</v>
      </c>
      <c r="V6550">
        <v>-4.3070879999999999E-2</v>
      </c>
      <c r="W6550">
        <v>0.20325599999999999</v>
      </c>
      <c r="X6550">
        <v>0.97817779999999999</v>
      </c>
      <c r="Y6550">
        <v>-0.12483850000000001</v>
      </c>
      <c r="Z6550">
        <v>1.9250459999999999E-3</v>
      </c>
      <c r="AA6550">
        <v>0.99217520000000003</v>
      </c>
      <c r="AB6550">
        <v>35</v>
      </c>
      <c r="AC6550">
        <v>18.6069</v>
      </c>
      <c r="AD6550">
        <v>-1.1111469461729999</v>
      </c>
      <c r="AE6550">
        <v>2.92916</v>
      </c>
      <c r="AF6550">
        <v>-2.3675522202821799</v>
      </c>
      <c r="AG6550">
        <v>-1.1111469461729999</v>
      </c>
      <c r="AH6550">
        <v>18.620819988213601</v>
      </c>
      <c r="AI6550">
        <v>93.387712131779907</v>
      </c>
      <c r="AJ6550">
        <v>97.246017332183897</v>
      </c>
      <c r="AK6550">
        <v>18.803587106858298</v>
      </c>
      <c r="AL6550">
        <v>78.272573504155005</v>
      </c>
      <c r="AM6550">
        <v>92.521204894444097</v>
      </c>
      <c r="AN6550">
        <v>0.99999995532640595</v>
      </c>
    </row>
    <row r="6551" spans="1:40" x14ac:dyDescent="0.25">
      <c r="A6551" t="str">
        <f>"20190312173053638"</f>
        <v>20190312173053638</v>
      </c>
      <c r="B6551" t="str">
        <f>"1552383053634260"</f>
        <v>1552383053634260</v>
      </c>
      <c r="C6551" t="s">
        <v>40</v>
      </c>
      <c r="D6551">
        <v>3.2669679999999999</v>
      </c>
      <c r="E6551">
        <v>0.46950069999999999</v>
      </c>
      <c r="F6551" t="s">
        <v>54</v>
      </c>
      <c r="G6551">
        <v>-203.65520000000001</v>
      </c>
      <c r="H6551" s="1">
        <v>-4.0628539999999997E-6</v>
      </c>
      <c r="I6551">
        <v>-59.379779999999997</v>
      </c>
      <c r="J6551">
        <v>-222.30350000000001</v>
      </c>
      <c r="K6551">
        <v>1.111267</v>
      </c>
      <c r="L6551">
        <v>-62.335270000000001</v>
      </c>
      <c r="M6551">
        <v>0.99942929999999996</v>
      </c>
      <c r="N6551">
        <v>0</v>
      </c>
      <c r="O6551">
        <v>3.052175E-2</v>
      </c>
      <c r="P6551">
        <v>0.97916320000000001</v>
      </c>
      <c r="Q6551">
        <v>0.18945709999999999</v>
      </c>
      <c r="R6551">
        <v>7.3115159999999998E-2</v>
      </c>
      <c r="S6551">
        <v>3.0630190000000002</v>
      </c>
      <c r="T6551">
        <v>-0.18082590000000001</v>
      </c>
      <c r="U6551">
        <v>0.48193359999999902</v>
      </c>
      <c r="V6551">
        <v>-4.3799400000000002E-2</v>
      </c>
      <c r="W6551">
        <v>0.203509</v>
      </c>
      <c r="X6551">
        <v>0.97809290000000004</v>
      </c>
      <c r="Y6551">
        <v>-0.1250405</v>
      </c>
      <c r="Z6551">
        <v>1.8769730000000001E-3</v>
      </c>
      <c r="AA6551">
        <v>0.99214990000000003</v>
      </c>
      <c r="AB6551">
        <v>35</v>
      </c>
      <c r="AC6551">
        <v>18.648299999999999</v>
      </c>
      <c r="AD6551">
        <v>-1.1112710628539999</v>
      </c>
      <c r="AE6551">
        <v>2.95548999999999</v>
      </c>
      <c r="AF6551">
        <v>-2.3766415029532899</v>
      </c>
      <c r="AG6551">
        <v>-1.1112710628539999</v>
      </c>
      <c r="AH6551">
        <v>18.665168551132201</v>
      </c>
      <c r="AI6551">
        <v>93.379980168851901</v>
      </c>
      <c r="AJ6551">
        <v>97.256440657454306</v>
      </c>
      <c r="AK6551">
        <v>18.848656855353699</v>
      </c>
      <c r="AL6551">
        <v>78.257768891931093</v>
      </c>
      <c r="AM6551">
        <v>92.564015489489606</v>
      </c>
      <c r="AN6551">
        <v>1.00000001077588</v>
      </c>
    </row>
    <row r="6552" spans="1:40" x14ac:dyDescent="0.25">
      <c r="A6552" t="str">
        <f>"20190312173053650"</f>
        <v>20190312173053650</v>
      </c>
      <c r="B6552" t="str">
        <f>"1552383053643590"</f>
        <v>1552383053643590</v>
      </c>
      <c r="C6552" t="s">
        <v>40</v>
      </c>
      <c r="D6552">
        <v>3.2783630000000001</v>
      </c>
      <c r="E6552">
        <v>0.46949999999999997</v>
      </c>
      <c r="F6552" t="s">
        <v>54</v>
      </c>
      <c r="G6552">
        <v>-203.41370000000001</v>
      </c>
      <c r="H6552" s="1">
        <v>-4.1968979999999999E-6</v>
      </c>
      <c r="I6552">
        <v>-59.330249999999999</v>
      </c>
      <c r="J6552">
        <v>-222.11869999999999</v>
      </c>
      <c r="K6552">
        <v>1.1114059999999999</v>
      </c>
      <c r="L6552">
        <v>-62.328740000000003</v>
      </c>
      <c r="M6552">
        <v>0.99939840000000002</v>
      </c>
      <c r="N6552">
        <v>0</v>
      </c>
      <c r="O6552">
        <v>3.1513850000000003E-2</v>
      </c>
      <c r="P6552">
        <v>0.97893980000000003</v>
      </c>
      <c r="Q6552">
        <v>0.1899798</v>
      </c>
      <c r="R6552">
        <v>7.4732800000000002E-2</v>
      </c>
      <c r="S6552">
        <v>3.0622859999999998</v>
      </c>
      <c r="T6552">
        <v>-0.1801516</v>
      </c>
      <c r="U6552">
        <v>0.48715209999999998</v>
      </c>
      <c r="V6552">
        <v>-4.4517840000000003E-2</v>
      </c>
      <c r="W6552">
        <v>0.20402909999999999</v>
      </c>
      <c r="X6552">
        <v>0.97795209999999999</v>
      </c>
      <c r="Y6552">
        <v>-0.1257432</v>
      </c>
      <c r="Z6552">
        <v>1.8328470000000001E-3</v>
      </c>
      <c r="AA6552">
        <v>0.99206110000000003</v>
      </c>
      <c r="AB6552">
        <v>35</v>
      </c>
      <c r="AC6552">
        <v>18.704999999999899</v>
      </c>
      <c r="AD6552">
        <v>-1.1114101968979999</v>
      </c>
      <c r="AE6552">
        <v>2.9984899999999999</v>
      </c>
      <c r="AF6552">
        <v>-2.39921384452854</v>
      </c>
      <c r="AG6552">
        <v>-1.1114101968979999</v>
      </c>
      <c r="AH6552">
        <v>18.725756907949599</v>
      </c>
      <c r="AI6552">
        <v>93.369154907203693</v>
      </c>
      <c r="AJ6552">
        <v>97.301171196834503</v>
      </c>
      <c r="AK6552">
        <v>18.9115158428184</v>
      </c>
      <c r="AL6552">
        <v>78.227330733911003</v>
      </c>
      <c r="AM6552">
        <v>92.606390112814196</v>
      </c>
      <c r="AN6552">
        <v>1.00000001080974</v>
      </c>
    </row>
    <row r="6553" spans="1:40" x14ac:dyDescent="0.25">
      <c r="A6553" t="str">
        <f>"20190312173053661"</f>
        <v>20190312173053661</v>
      </c>
      <c r="B6553" t="str">
        <f>"1552383053654326"</f>
        <v>1552383053654326</v>
      </c>
      <c r="C6553" t="s">
        <v>40</v>
      </c>
      <c r="D6553">
        <v>3.1748319999999999</v>
      </c>
      <c r="E6553">
        <v>0.46949999999999997</v>
      </c>
      <c r="F6553" t="s">
        <v>54</v>
      </c>
      <c r="G6553">
        <v>-203.0787</v>
      </c>
      <c r="H6553" s="1">
        <v>-4.3825580000000003E-6</v>
      </c>
      <c r="I6553">
        <v>-59.262700000000002</v>
      </c>
      <c r="J6553">
        <v>-221.94069999999999</v>
      </c>
      <c r="K6553">
        <v>1.111542</v>
      </c>
      <c r="L6553">
        <v>-62.322270000000003</v>
      </c>
      <c r="M6553">
        <v>0.99936530000000001</v>
      </c>
      <c r="N6553">
        <v>0</v>
      </c>
      <c r="O6553">
        <v>3.2534390000000003E-2</v>
      </c>
      <c r="P6553">
        <v>0.97876669999999999</v>
      </c>
      <c r="Q6553">
        <v>0.1902654</v>
      </c>
      <c r="R6553">
        <v>7.6256630000000006E-2</v>
      </c>
      <c r="S6553">
        <v>3.0615839999999999</v>
      </c>
      <c r="T6553">
        <v>-0.17871210000000001</v>
      </c>
      <c r="U6553">
        <v>0.49301149999999999</v>
      </c>
      <c r="V6553">
        <v>-4.5111539999999999E-2</v>
      </c>
      <c r="W6553">
        <v>0.20431240000000001</v>
      </c>
      <c r="X6553">
        <v>0.97786580000000001</v>
      </c>
      <c r="Y6553">
        <v>-0.12661929999999999</v>
      </c>
      <c r="Z6553">
        <v>1.784716E-3</v>
      </c>
      <c r="AA6553">
        <v>0.99194979999999999</v>
      </c>
      <c r="AB6553">
        <v>35</v>
      </c>
      <c r="AC6553">
        <v>18.861999999999899</v>
      </c>
      <c r="AD6553">
        <v>-1.1115463825579901</v>
      </c>
      <c r="AE6553">
        <v>3.0595699999999901</v>
      </c>
      <c r="AF6553">
        <v>-2.4359789213737599</v>
      </c>
      <c r="AG6553">
        <v>-1.1115463825579901</v>
      </c>
      <c r="AH6553">
        <v>18.887652964380699</v>
      </c>
      <c r="AI6553">
        <v>93.340392607455897</v>
      </c>
      <c r="AJ6553">
        <v>97.348984963105195</v>
      </c>
      <c r="AK6553">
        <v>19.076502907211101</v>
      </c>
      <c r="AL6553">
        <v>78.210750214031094</v>
      </c>
      <c r="AM6553">
        <v>92.641333383387405</v>
      </c>
      <c r="AN6553">
        <v>1.00000006532228</v>
      </c>
    </row>
    <row r="6554" spans="1:40" x14ac:dyDescent="0.25">
      <c r="A6554" t="str">
        <f>"20190312173053672"</f>
        <v>20190312173053672</v>
      </c>
      <c r="B6554" t="str">
        <f>"1552383053664086"</f>
        <v>1552383053664086</v>
      </c>
      <c r="C6554" t="s">
        <v>40</v>
      </c>
      <c r="D6554">
        <v>3.2384059999999999</v>
      </c>
      <c r="E6554">
        <v>0.46877760000000002</v>
      </c>
      <c r="F6554" t="s">
        <v>54</v>
      </c>
      <c r="G6554">
        <v>-202.7784</v>
      </c>
      <c r="H6554" s="1">
        <v>-4.5494009999999901E-6</v>
      </c>
      <c r="I6554">
        <v>-59.20035</v>
      </c>
      <c r="J6554">
        <v>-221.7672</v>
      </c>
      <c r="K6554">
        <v>1.111677</v>
      </c>
      <c r="L6554">
        <v>-62.31561</v>
      </c>
      <c r="M6554">
        <v>0.99932810000000005</v>
      </c>
      <c r="N6554">
        <v>0</v>
      </c>
      <c r="O6554">
        <v>3.3654330000000003E-2</v>
      </c>
      <c r="P6554">
        <v>0.97865650000000004</v>
      </c>
      <c r="Q6554">
        <v>0.19014159999999999</v>
      </c>
      <c r="R6554">
        <v>7.796032E-2</v>
      </c>
      <c r="S6554">
        <v>3.0607449999999998</v>
      </c>
      <c r="T6554">
        <v>-0.1775446</v>
      </c>
      <c r="U6554">
        <v>0.49865720000000002</v>
      </c>
      <c r="V6554">
        <v>-4.5785619999999999E-2</v>
      </c>
      <c r="W6554">
        <v>0.20418500000000001</v>
      </c>
      <c r="X6554">
        <v>0.97786099999999998</v>
      </c>
      <c r="Y6554">
        <v>-0.1273359</v>
      </c>
      <c r="Z6554">
        <v>1.7295609999999999E-3</v>
      </c>
      <c r="AA6554">
        <v>0.99185809999999996</v>
      </c>
      <c r="AB6554">
        <v>35</v>
      </c>
      <c r="AC6554">
        <v>18.988800000000001</v>
      </c>
      <c r="AD6554">
        <v>-1.1116815494009999</v>
      </c>
      <c r="AE6554">
        <v>3.1152599999999899</v>
      </c>
      <c r="AF6554">
        <v>-2.4661413107563099</v>
      </c>
      <c r="AG6554">
        <v>-1.1116815494009999</v>
      </c>
      <c r="AH6554">
        <v>19.019415471116201</v>
      </c>
      <c r="AI6554">
        <v>93.317413914941298</v>
      </c>
      <c r="AJ6554">
        <v>97.388003052750804</v>
      </c>
      <c r="AK6554">
        <v>19.210826470894801</v>
      </c>
      <c r="AL6554">
        <v>78.218205945100294</v>
      </c>
      <c r="AM6554">
        <v>92.680757543022693</v>
      </c>
      <c r="AN6554">
        <v>0.99999998627239195</v>
      </c>
    </row>
    <row r="6555" spans="1:40" x14ac:dyDescent="0.25">
      <c r="A6555" t="str">
        <f>"20190312173053683"</f>
        <v>20190312173053683</v>
      </c>
      <c r="B6555" t="str">
        <f>"1552383053673847"</f>
        <v>1552383053673847</v>
      </c>
      <c r="C6555" t="s">
        <v>40</v>
      </c>
      <c r="D6555">
        <v>3.0279959999999999</v>
      </c>
      <c r="E6555">
        <v>0.46877760000000002</v>
      </c>
      <c r="F6555" t="s">
        <v>54</v>
      </c>
      <c r="G6555">
        <v>-202.71039999999999</v>
      </c>
      <c r="H6555" s="1">
        <v>-4.5976349999999997E-6</v>
      </c>
      <c r="I6555">
        <v>-59.139040000000001</v>
      </c>
      <c r="J6555">
        <v>-221.59809999999999</v>
      </c>
      <c r="K6555">
        <v>1.1118129999999999</v>
      </c>
      <c r="L6555">
        <v>-62.309019999999997</v>
      </c>
      <c r="M6555">
        <v>0.9992896</v>
      </c>
      <c r="N6555">
        <v>0</v>
      </c>
      <c r="O6555">
        <v>3.4773859999999997E-2</v>
      </c>
      <c r="P6555">
        <v>0.97851840000000001</v>
      </c>
      <c r="Q6555">
        <v>0.19003800000000001</v>
      </c>
      <c r="R6555">
        <v>7.9921980000000004E-2</v>
      </c>
      <c r="S6555">
        <v>3.0594480000000002</v>
      </c>
      <c r="T6555">
        <v>-0.17847370000000001</v>
      </c>
      <c r="U6555">
        <v>0.50997919999999997</v>
      </c>
      <c r="V6555">
        <v>-4.6717380000000003E-2</v>
      </c>
      <c r="W6555">
        <v>0.2040758</v>
      </c>
      <c r="X6555">
        <v>0.97783980000000004</v>
      </c>
      <c r="Y6555">
        <v>-0.12986059999999999</v>
      </c>
      <c r="Z6555">
        <v>1.7472150000000001E-3</v>
      </c>
      <c r="AA6555">
        <v>0.99153069999999999</v>
      </c>
      <c r="AB6555">
        <v>35</v>
      </c>
      <c r="AC6555">
        <v>18.887699999999899</v>
      </c>
      <c r="AD6555">
        <v>-1.111817597635</v>
      </c>
      <c r="AE6555">
        <v>3.16997999999999</v>
      </c>
      <c r="AF6555">
        <v>-2.5027602556068498</v>
      </c>
      <c r="AG6555">
        <v>-1.111817597635</v>
      </c>
      <c r="AH6555">
        <v>18.9227466484001</v>
      </c>
      <c r="AI6555">
        <v>93.333617661751703</v>
      </c>
      <c r="AJ6555">
        <v>97.534324053364799</v>
      </c>
      <c r="AK6555">
        <v>19.119892467976701</v>
      </c>
      <c r="AL6555">
        <v>78.224598102720194</v>
      </c>
      <c r="AM6555">
        <v>92.735289470639103</v>
      </c>
      <c r="AN6555">
        <v>1.0000000601018699</v>
      </c>
    </row>
    <row r="6556" spans="1:40" x14ac:dyDescent="0.25">
      <c r="A6556" t="str">
        <f>"20190312173053693"</f>
        <v>20190312173053693</v>
      </c>
      <c r="B6556" t="str">
        <f>"1552383053683607"</f>
        <v>1552383053683607</v>
      </c>
      <c r="C6556" t="s">
        <v>40</v>
      </c>
      <c r="D6556">
        <v>3.068044</v>
      </c>
      <c r="E6556">
        <v>0.436222</v>
      </c>
      <c r="F6556" t="s">
        <v>54</v>
      </c>
      <c r="G6556">
        <v>-202.57400000000001</v>
      </c>
      <c r="H6556" s="1">
        <v>-4.6762360000000004E-6</v>
      </c>
      <c r="I6556">
        <v>-59.097920000000002</v>
      </c>
      <c r="J6556">
        <v>-221.42840000000001</v>
      </c>
      <c r="K6556">
        <v>1.1119570000000001</v>
      </c>
      <c r="L6556">
        <v>-62.301909999999999</v>
      </c>
      <c r="M6556">
        <v>0.99924400000000002</v>
      </c>
      <c r="N6556">
        <v>0</v>
      </c>
      <c r="O6556">
        <v>3.60522E-2</v>
      </c>
      <c r="P6556">
        <v>0.97844980000000004</v>
      </c>
      <c r="Q6556">
        <v>0.18937370000000001</v>
      </c>
      <c r="R6556">
        <v>8.2303029999999999E-2</v>
      </c>
      <c r="S6556">
        <v>3.058411</v>
      </c>
      <c r="T6556">
        <v>-0.17874229999999899</v>
      </c>
      <c r="U6556">
        <v>0.51623540000000001</v>
      </c>
      <c r="V6556">
        <v>-4.7911780000000001E-2</v>
      </c>
      <c r="W6556">
        <v>0.203404</v>
      </c>
      <c r="X6556">
        <v>0.97792190000000001</v>
      </c>
      <c r="Y6556">
        <v>-0.13061969999999901</v>
      </c>
      <c r="Z6556">
        <v>1.6981699999999999E-3</v>
      </c>
      <c r="AA6556">
        <v>0.99143110000000001</v>
      </c>
      <c r="AB6556">
        <v>35</v>
      </c>
      <c r="AC6556">
        <v>18.854399999999998</v>
      </c>
      <c r="AD6556">
        <v>-1.1119616762359901</v>
      </c>
      <c r="AE6556">
        <v>3.2039900000000001</v>
      </c>
      <c r="AF6556">
        <v>-2.5135947240604901</v>
      </c>
      <c r="AG6556">
        <v>-1.1119616762359901</v>
      </c>
      <c r="AH6556">
        <v>18.893791542349899</v>
      </c>
      <c r="AI6556">
        <v>93.338809573884802</v>
      </c>
      <c r="AJ6556">
        <v>97.578024346030006</v>
      </c>
      <c r="AK6556">
        <v>19.0926681229213</v>
      </c>
      <c r="AL6556">
        <v>78.263913152305605</v>
      </c>
      <c r="AM6556">
        <v>92.804875826818503</v>
      </c>
      <c r="AN6556">
        <v>0.99999998418918901</v>
      </c>
    </row>
    <row r="6557" spans="1:40" x14ac:dyDescent="0.25">
      <c r="A6557" t="str">
        <f>"20190312173053706"</f>
        <v>20190312173053706</v>
      </c>
      <c r="B6557" t="str">
        <f>"1552383053694343"</f>
        <v>1552383053694343</v>
      </c>
      <c r="C6557" t="s">
        <v>40</v>
      </c>
      <c r="D6557">
        <v>3.0867059999999999</v>
      </c>
      <c r="E6557">
        <v>0.43591869999999999</v>
      </c>
      <c r="F6557" t="s">
        <v>54</v>
      </c>
      <c r="G6557">
        <v>-203.00710000000001</v>
      </c>
      <c r="H6557" s="1">
        <v>-4.7973580000000001E-6</v>
      </c>
      <c r="I6557">
        <v>-57.556570000000001</v>
      </c>
      <c r="J6557">
        <v>-221.26060000000001</v>
      </c>
      <c r="K6557">
        <v>1.112098</v>
      </c>
      <c r="L6557">
        <v>-62.2947699999999</v>
      </c>
      <c r="M6557">
        <v>0.99919659999999999</v>
      </c>
      <c r="N6557">
        <v>0</v>
      </c>
      <c r="O6557">
        <v>3.7342229999999997E-2</v>
      </c>
      <c r="P6557">
        <v>0.97834399999999999</v>
      </c>
      <c r="Q6557">
        <v>0.18895429999999999</v>
      </c>
      <c r="R6557">
        <v>8.4496769999999999E-2</v>
      </c>
      <c r="S6557">
        <v>3.0357669999999999</v>
      </c>
      <c r="T6557">
        <v>-0.18324670000000001</v>
      </c>
      <c r="U6557">
        <v>0.78201290000000001</v>
      </c>
      <c r="V6557">
        <v>-4.8908489999999999E-2</v>
      </c>
      <c r="W6557">
        <v>0.2029763</v>
      </c>
      <c r="X6557">
        <v>0.97796139999999998</v>
      </c>
      <c r="Y6557">
        <v>-0.2128177</v>
      </c>
      <c r="Z6557">
        <v>4.1012949999999996E-3</v>
      </c>
      <c r="AA6557">
        <v>0.97708329999999999</v>
      </c>
      <c r="AB6557">
        <v>35</v>
      </c>
      <c r="AC6557">
        <v>18.253499999999999</v>
      </c>
      <c r="AD6557">
        <v>-1.112102797358</v>
      </c>
      <c r="AE6557">
        <v>4.7381999999999902</v>
      </c>
      <c r="AF6557">
        <v>-4.0391495105089898</v>
      </c>
      <c r="AG6557">
        <v>-1.112102797358</v>
      </c>
      <c r="AH6557">
        <v>18.353892525847499</v>
      </c>
      <c r="AI6557">
        <v>93.386595138963699</v>
      </c>
      <c r="AJ6557">
        <v>102.411268977841</v>
      </c>
      <c r="AK6557">
        <v>18.825962717760198</v>
      </c>
      <c r="AL6557">
        <v>78.2889403536674</v>
      </c>
      <c r="AM6557">
        <v>92.863014179464102</v>
      </c>
      <c r="AN6557">
        <v>0.99999995932286401</v>
      </c>
    </row>
    <row r="6558" spans="1:40" x14ac:dyDescent="0.25">
      <c r="A6558" t="str">
        <f>"20190312173053715"</f>
        <v>20190312173053715</v>
      </c>
      <c r="B6558" t="str">
        <f>"1552383053704103"</f>
        <v>1552383053704103</v>
      </c>
      <c r="C6558" t="s">
        <v>40</v>
      </c>
      <c r="D6558">
        <v>3.1428060000000002</v>
      </c>
      <c r="E6558">
        <v>0.43591439999999998</v>
      </c>
      <c r="F6558" t="s">
        <v>54</v>
      </c>
      <c r="G6558">
        <v>-203.37639999999999</v>
      </c>
      <c r="H6558" s="1">
        <v>-4.5920070000000002E-6</v>
      </c>
      <c r="I6558">
        <v>-57.633940000000003</v>
      </c>
      <c r="J6558">
        <v>-221.09010000000001</v>
      </c>
      <c r="K6558">
        <v>1.1122399999999999</v>
      </c>
      <c r="L6558">
        <v>-62.287109999999998</v>
      </c>
      <c r="M6558">
        <v>0.99914190000000003</v>
      </c>
      <c r="N6558">
        <v>0</v>
      </c>
      <c r="O6558">
        <v>3.8771989999999999E-2</v>
      </c>
      <c r="P6558">
        <v>0.9781379</v>
      </c>
      <c r="Q6558">
        <v>0.1888234</v>
      </c>
      <c r="R6558">
        <v>8.7134459999999997E-2</v>
      </c>
      <c r="S6558">
        <v>3.0345309999999999</v>
      </c>
      <c r="T6558">
        <v>-0.1886977</v>
      </c>
      <c r="U6558">
        <v>0.79083249999999905</v>
      </c>
      <c r="V6558">
        <v>-5.021755E-2</v>
      </c>
      <c r="W6558">
        <v>0.2028334</v>
      </c>
      <c r="X6558">
        <v>0.97792480000000004</v>
      </c>
      <c r="Y6558">
        <v>-0.21415890000000001</v>
      </c>
      <c r="Z6558">
        <v>4.177114E-3</v>
      </c>
      <c r="AA6558">
        <v>0.97678989999999999</v>
      </c>
      <c r="AB6558">
        <v>35</v>
      </c>
      <c r="AC6558">
        <v>17.713699999999999</v>
      </c>
      <c r="AD6558">
        <v>-1.1122445920070001</v>
      </c>
      <c r="AE6558">
        <v>4.6531699999999896</v>
      </c>
      <c r="AF6558">
        <v>-3.9482406879353502</v>
      </c>
      <c r="AG6558">
        <v>-1.1122445920070001</v>
      </c>
      <c r="AH6558">
        <v>17.815105911802501</v>
      </c>
      <c r="AI6558">
        <v>93.488073350527699</v>
      </c>
      <c r="AJ6558">
        <v>102.496096961186</v>
      </c>
      <c r="AK6558">
        <v>18.281238776709198</v>
      </c>
      <c r="AL6558">
        <v>78.297302958467796</v>
      </c>
      <c r="AM6558">
        <v>92.939621347814494</v>
      </c>
      <c r="AN6558">
        <v>1.00000005246929</v>
      </c>
    </row>
    <row r="6559" spans="1:40" x14ac:dyDescent="0.25">
      <c r="A6559" t="str">
        <f>"20190312173053728"</f>
        <v>20190312173053728</v>
      </c>
      <c r="B6559" t="str">
        <f>"1552383053723622"</f>
        <v>1552383053723622</v>
      </c>
      <c r="C6559" t="s">
        <v>40</v>
      </c>
      <c r="D6559">
        <v>3.0875469999999998</v>
      </c>
      <c r="E6559">
        <v>0.43641089999999999</v>
      </c>
      <c r="F6559" t="s">
        <v>54</v>
      </c>
      <c r="G6559">
        <v>-203.15700000000001</v>
      </c>
      <c r="H6559" s="1">
        <v>-4.7191700000000001E-6</v>
      </c>
      <c r="I6559">
        <v>-57.564700000000002</v>
      </c>
      <c r="J6559">
        <v>-220.91290000000001</v>
      </c>
      <c r="K6559">
        <v>1.1123879999999999</v>
      </c>
      <c r="L6559">
        <v>-62.2789</v>
      </c>
      <c r="M6559">
        <v>0.99908070000000004</v>
      </c>
      <c r="N6559">
        <v>0</v>
      </c>
      <c r="O6559">
        <v>4.031237E-2</v>
      </c>
      <c r="P6559">
        <v>0.97790129999999997</v>
      </c>
      <c r="Q6559">
        <v>0.18890899999999999</v>
      </c>
      <c r="R6559">
        <v>8.9568640000000005E-2</v>
      </c>
      <c r="S6559">
        <v>3.0322269999999998</v>
      </c>
      <c r="T6559">
        <v>-0.1880647</v>
      </c>
      <c r="U6559">
        <v>0.79849239999999999</v>
      </c>
      <c r="V6559">
        <v>-5.1218819999999998E-2</v>
      </c>
      <c r="W6559">
        <v>0.2029077</v>
      </c>
      <c r="X6559">
        <v>0.97785739999999999</v>
      </c>
      <c r="Y6559">
        <v>-0.2151459</v>
      </c>
      <c r="Z6559">
        <v>4.1014060000000001E-3</v>
      </c>
      <c r="AA6559">
        <v>0.97657329999999998</v>
      </c>
      <c r="AB6559">
        <v>35</v>
      </c>
      <c r="AC6559">
        <v>17.755899999999901</v>
      </c>
      <c r="AD6559">
        <v>-1.1123927191699901</v>
      </c>
      <c r="AE6559">
        <v>4.7141999999999902</v>
      </c>
      <c r="AF6559">
        <v>-3.9799163576752701</v>
      </c>
      <c r="AG6559">
        <v>-1.1123927191699901</v>
      </c>
      <c r="AH6559">
        <v>17.866019191162</v>
      </c>
      <c r="AI6559">
        <v>93.477781267343502</v>
      </c>
      <c r="AJ6559">
        <v>102.558417067604</v>
      </c>
      <c r="AK6559">
        <v>18.337715057081802</v>
      </c>
      <c r="AL6559">
        <v>78.292954837999602</v>
      </c>
      <c r="AM6559">
        <v>92.998333801458998</v>
      </c>
      <c r="AN6559">
        <v>0.99999999848812104</v>
      </c>
    </row>
    <row r="6560" spans="1:40" x14ac:dyDescent="0.25">
      <c r="A6560" t="str">
        <f>"20190312173053738"</f>
        <v>20190312173053738</v>
      </c>
      <c r="B6560" t="str">
        <f>"1552383053734358"</f>
        <v>1552383053734358</v>
      </c>
      <c r="C6560" t="s">
        <v>40</v>
      </c>
      <c r="D6560">
        <v>3.1079430000000001</v>
      </c>
      <c r="E6560">
        <v>0.43646289999999999</v>
      </c>
      <c r="F6560" t="s">
        <v>54</v>
      </c>
      <c r="G6560">
        <v>-203.25409999999999</v>
      </c>
      <c r="H6560" s="1">
        <v>-4.659953E-6</v>
      </c>
      <c r="I6560">
        <v>-57.608539999999998</v>
      </c>
      <c r="J6560">
        <v>-220.74010000000001</v>
      </c>
      <c r="K6560">
        <v>1.112528</v>
      </c>
      <c r="L6560">
        <v>-62.2705699999999</v>
      </c>
      <c r="M6560">
        <v>0.99901519999999999</v>
      </c>
      <c r="N6560">
        <v>0</v>
      </c>
      <c r="O6560">
        <v>4.1902229999999999E-2</v>
      </c>
      <c r="P6560">
        <v>0.97764240000000002</v>
      </c>
      <c r="Q6560">
        <v>0.18901380000000001</v>
      </c>
      <c r="R6560">
        <v>9.2139289999999999E-2</v>
      </c>
      <c r="S6560">
        <v>3.03125</v>
      </c>
      <c r="T6560">
        <v>-0.19094920000000001</v>
      </c>
      <c r="U6560">
        <v>0.80169679999999999</v>
      </c>
      <c r="V6560">
        <v>-5.2306539999999999E-2</v>
      </c>
      <c r="W6560">
        <v>0.2029987</v>
      </c>
      <c r="X6560">
        <v>0.97778089999999995</v>
      </c>
      <c r="Y6560">
        <v>-0.2146285</v>
      </c>
      <c r="Z6560">
        <v>4.0508970000000004E-3</v>
      </c>
      <c r="AA6560">
        <v>0.97668739999999998</v>
      </c>
      <c r="AB6560">
        <v>35</v>
      </c>
      <c r="AC6560">
        <v>17.486000000000001</v>
      </c>
      <c r="AD6560">
        <v>-1.1125326599530001</v>
      </c>
      <c r="AE6560">
        <v>4.6620299999999801</v>
      </c>
      <c r="AF6560">
        <v>-3.9103753456740402</v>
      </c>
      <c r="AG6560">
        <v>-1.1125326599530001</v>
      </c>
      <c r="AH6560">
        <v>17.599494018818302</v>
      </c>
      <c r="AI6560">
        <v>93.531190643336998</v>
      </c>
      <c r="AJ6560">
        <v>102.526873931807</v>
      </c>
      <c r="AK6560">
        <v>18.062971903370201</v>
      </c>
      <c r="AL6560">
        <v>78.287629736398998</v>
      </c>
      <c r="AM6560">
        <v>93.062127788818103</v>
      </c>
      <c r="AN6560">
        <v>0.99999996736663499</v>
      </c>
    </row>
    <row r="6561" spans="1:40" x14ac:dyDescent="0.25">
      <c r="A6561" t="str">
        <f>"20190312173053750"</f>
        <v>20190312173053750</v>
      </c>
      <c r="B6561" t="str">
        <f>"1552383053743546"</f>
        <v>1552383053743546</v>
      </c>
      <c r="C6561" t="s">
        <v>40</v>
      </c>
      <c r="D6561">
        <v>3.0920209999999999</v>
      </c>
      <c r="E6561">
        <v>0.43651590000000001</v>
      </c>
      <c r="F6561" t="s">
        <v>54</v>
      </c>
      <c r="G6561">
        <v>-203.1901</v>
      </c>
      <c r="H6561" s="1">
        <v>-4.6979859999999998E-6</v>
      </c>
      <c r="I6561">
        <v>-57.584040000000002</v>
      </c>
      <c r="J6561">
        <v>-220.56290000000001</v>
      </c>
      <c r="K6561">
        <v>1.112671</v>
      </c>
      <c r="L6561">
        <v>-62.261569999999899</v>
      </c>
      <c r="M6561">
        <v>0.99894130000000003</v>
      </c>
      <c r="N6561">
        <v>0</v>
      </c>
      <c r="O6561">
        <v>4.3620430000000002E-2</v>
      </c>
      <c r="P6561">
        <v>0.97722940000000003</v>
      </c>
      <c r="Q6561">
        <v>0.18980720000000001</v>
      </c>
      <c r="R6561">
        <v>9.4846029999999998E-2</v>
      </c>
      <c r="S6561">
        <v>3.02948</v>
      </c>
      <c r="T6561">
        <v>-0.19204570000000001</v>
      </c>
      <c r="U6561">
        <v>0.80899049999999995</v>
      </c>
      <c r="V6561">
        <v>-5.3416209999999999E-2</v>
      </c>
      <c r="W6561">
        <v>0.2037756</v>
      </c>
      <c r="X6561">
        <v>0.97755930000000002</v>
      </c>
      <c r="Y6561">
        <v>-0.21528420000000001</v>
      </c>
      <c r="Z6561">
        <v>3.9890300000000002E-3</v>
      </c>
      <c r="AA6561">
        <v>0.9765433</v>
      </c>
      <c r="AB6561">
        <v>35</v>
      </c>
      <c r="AC6561">
        <v>17.372800000000002</v>
      </c>
      <c r="AD6561">
        <v>-1.112675697986</v>
      </c>
      <c r="AE6561">
        <v>4.6775299999999902</v>
      </c>
      <c r="AF6561">
        <v>-3.9002693713385099</v>
      </c>
      <c r="AG6561">
        <v>-1.112675697986</v>
      </c>
      <c r="AH6561">
        <v>17.4934103228899</v>
      </c>
      <c r="AI6561">
        <v>93.552427021008</v>
      </c>
      <c r="AJ6561">
        <v>102.56889215263701</v>
      </c>
      <c r="AK6561">
        <v>17.9574372643449</v>
      </c>
      <c r="AL6561">
        <v>78.242166605665005</v>
      </c>
      <c r="AM6561">
        <v>93.127669906610194</v>
      </c>
      <c r="AN6561">
        <v>0.999999985831306</v>
      </c>
    </row>
    <row r="6562" spans="1:40" x14ac:dyDescent="0.25">
      <c r="A6562" t="str">
        <f>"20190312173053761"</f>
        <v>20190312173053761</v>
      </c>
      <c r="B6562" t="str">
        <f>"1552383053754282"</f>
        <v>1552383053754282</v>
      </c>
      <c r="C6562" t="s">
        <v>40</v>
      </c>
      <c r="D6562">
        <v>3.1534420000000001</v>
      </c>
      <c r="E6562">
        <v>0.43670239999999999</v>
      </c>
      <c r="F6562" t="s">
        <v>54</v>
      </c>
      <c r="G6562">
        <v>-202.86580000000001</v>
      </c>
      <c r="H6562" s="1">
        <v>-4.8851379999999998E-6</v>
      </c>
      <c r="I6562">
        <v>-57.485329999999998</v>
      </c>
      <c r="J6562">
        <v>-220.40350000000001</v>
      </c>
      <c r="K6562">
        <v>1.1128</v>
      </c>
      <c r="L6562">
        <v>-62.253300000000003</v>
      </c>
      <c r="M6562">
        <v>0.99887040000000005</v>
      </c>
      <c r="N6562">
        <v>0</v>
      </c>
      <c r="O6562">
        <v>4.5213389999999999E-2</v>
      </c>
      <c r="P6562">
        <v>0.97685109999999997</v>
      </c>
      <c r="Q6562">
        <v>0.19046060000000001</v>
      </c>
      <c r="R6562">
        <v>9.7401580000000001E-2</v>
      </c>
      <c r="S6562">
        <v>3.0275880000000002</v>
      </c>
      <c r="T6562">
        <v>-0.1903541</v>
      </c>
      <c r="U6562">
        <v>0.81710819999999995</v>
      </c>
      <c r="V6562">
        <v>-5.448882E-2</v>
      </c>
      <c r="W6562">
        <v>0.2044137</v>
      </c>
      <c r="X6562">
        <v>0.97736690000000004</v>
      </c>
      <c r="Y6562">
        <v>-0.21632789999999999</v>
      </c>
      <c r="Z6562">
        <v>3.8892839999999998E-3</v>
      </c>
      <c r="AA6562">
        <v>0.97631310000000004</v>
      </c>
      <c r="AB6562">
        <v>35</v>
      </c>
      <c r="AC6562">
        <v>17.537700000000001</v>
      </c>
      <c r="AD6562">
        <v>-1.1128048851379999</v>
      </c>
      <c r="AE6562">
        <v>4.7679699999999903</v>
      </c>
      <c r="AF6562">
        <v>-3.9552409258208399</v>
      </c>
      <c r="AG6562">
        <v>-1.1128048851379999</v>
      </c>
      <c r="AH6562">
        <v>17.669117621442101</v>
      </c>
      <c r="AI6562">
        <v>93.516929607972699</v>
      </c>
      <c r="AJ6562">
        <v>102.617680503317</v>
      </c>
      <c r="AK6562">
        <v>18.140561816383499</v>
      </c>
      <c r="AL6562">
        <v>78.204820531614303</v>
      </c>
      <c r="AM6562">
        <v>93.190972526785202</v>
      </c>
      <c r="AN6562">
        <v>1.0000000247341401</v>
      </c>
    </row>
    <row r="6563" spans="1:40" x14ac:dyDescent="0.25">
      <c r="A6563" t="str">
        <f>"20190312173053772"</f>
        <v>20190312173053772</v>
      </c>
      <c r="B6563" t="str">
        <f>"1552383053764041"</f>
        <v>1552383053764041</v>
      </c>
      <c r="C6563" t="s">
        <v>40</v>
      </c>
      <c r="D6563">
        <v>3.107351</v>
      </c>
      <c r="E6563">
        <v>0.43684410000000001</v>
      </c>
      <c r="F6563" t="s">
        <v>54</v>
      </c>
      <c r="G6563">
        <v>-202.51410000000001</v>
      </c>
      <c r="H6563" s="1">
        <v>-5.0873439999999999E-6</v>
      </c>
      <c r="I6563">
        <v>-57.381469999999901</v>
      </c>
      <c r="J6563">
        <v>-220.2278</v>
      </c>
      <c r="K6563">
        <v>1.1129389999999999</v>
      </c>
      <c r="L6563">
        <v>-62.243650000000002</v>
      </c>
      <c r="M6563">
        <v>0.99878429999999996</v>
      </c>
      <c r="N6563">
        <v>0</v>
      </c>
      <c r="O6563">
        <v>4.7073950000000003E-2</v>
      </c>
      <c r="P6563">
        <v>0.97647130000000004</v>
      </c>
      <c r="Q6563">
        <v>0.1910075</v>
      </c>
      <c r="R6563">
        <v>0.1001008</v>
      </c>
      <c r="S6563">
        <v>3.0256349999999999</v>
      </c>
      <c r="T6563">
        <v>-0.1882094</v>
      </c>
      <c r="U6563">
        <v>0.823974599999999</v>
      </c>
      <c r="V6563">
        <v>-5.5446750000000003E-2</v>
      </c>
      <c r="W6563">
        <v>0.2049444</v>
      </c>
      <c r="X6563">
        <v>0.97720189999999996</v>
      </c>
      <c r="Y6563">
        <v>-0.21674119999999999</v>
      </c>
      <c r="Z6563">
        <v>3.746334E-3</v>
      </c>
      <c r="AA6563">
        <v>0.97622189999999998</v>
      </c>
      <c r="AB6563">
        <v>35</v>
      </c>
      <c r="AC6563">
        <v>17.7136999999999</v>
      </c>
      <c r="AD6563">
        <v>-1.112944087344</v>
      </c>
      <c r="AE6563">
        <v>4.8621800000000004</v>
      </c>
      <c r="AF6563">
        <v>-4.0081318775710502</v>
      </c>
      <c r="AG6563">
        <v>-1.112944087344</v>
      </c>
      <c r="AH6563">
        <v>17.8574109667797</v>
      </c>
      <c r="AI6563">
        <v>93.479926331616696</v>
      </c>
      <c r="AJ6563">
        <v>102.650495664036</v>
      </c>
      <c r="AK6563">
        <v>18.335509050092298</v>
      </c>
      <c r="AL6563">
        <v>78.173756317293396</v>
      </c>
      <c r="AM6563">
        <v>93.247498869866504</v>
      </c>
      <c r="AN6563">
        <v>1.00000005127026</v>
      </c>
    </row>
    <row r="6564" spans="1:40" x14ac:dyDescent="0.25">
      <c r="A6564" t="str">
        <f>"20190312173053783"</f>
        <v>20190312173053783</v>
      </c>
      <c r="B6564" t="str">
        <f>"1552383053773802"</f>
        <v>1552383053773802</v>
      </c>
      <c r="C6564" t="s">
        <v>40</v>
      </c>
      <c r="D6564">
        <v>3.0888010000000001</v>
      </c>
      <c r="E6564">
        <v>0.43703589999999998</v>
      </c>
      <c r="F6564" t="s">
        <v>54</v>
      </c>
      <c r="G6564">
        <v>-202.27510000000001</v>
      </c>
      <c r="H6564" s="1">
        <v>-5.2255080000000004E-6</v>
      </c>
      <c r="I6564">
        <v>-57.307630000000003</v>
      </c>
      <c r="J6564">
        <v>-220.0498</v>
      </c>
      <c r="K6564">
        <v>1.113076</v>
      </c>
      <c r="L6564">
        <v>-62.233669999999996</v>
      </c>
      <c r="M6564">
        <v>0.99869189999999997</v>
      </c>
      <c r="N6564">
        <v>0</v>
      </c>
      <c r="O6564">
        <v>4.8992689999999998E-2</v>
      </c>
      <c r="P6564">
        <v>0.97598629999999997</v>
      </c>
      <c r="Q6564">
        <v>0.19200390000000001</v>
      </c>
      <c r="R6564">
        <v>0.102885199999999</v>
      </c>
      <c r="S6564">
        <v>3.0237120000000002</v>
      </c>
      <c r="T6564">
        <v>-0.18745010000000001</v>
      </c>
      <c r="U6564">
        <v>0.83135990000000004</v>
      </c>
      <c r="V6564">
        <v>-5.644184E-2</v>
      </c>
      <c r="W6564">
        <v>0.2059221</v>
      </c>
      <c r="X6564">
        <v>0.97693929999999995</v>
      </c>
      <c r="Y6564">
        <v>-0.2172463</v>
      </c>
      <c r="Z6564">
        <v>3.6315369999999998E-3</v>
      </c>
      <c r="AA6564">
        <v>0.97611000000000003</v>
      </c>
      <c r="AB6564">
        <v>35</v>
      </c>
      <c r="AC6564">
        <v>17.7746999999999</v>
      </c>
      <c r="AD6564">
        <v>-1.113081225508</v>
      </c>
      <c r="AE6564">
        <v>4.9260399999999898</v>
      </c>
      <c r="AF6564">
        <v>-4.03450685576989</v>
      </c>
      <c r="AG6564">
        <v>-1.113081225508</v>
      </c>
      <c r="AH6564">
        <v>17.929421503178698</v>
      </c>
      <c r="AI6564">
        <v>93.465988644323701</v>
      </c>
      <c r="AJ6564">
        <v>102.68156065665799</v>
      </c>
      <c r="AK6564">
        <v>18.4114190333738</v>
      </c>
      <c r="AL6564">
        <v>78.116516704656604</v>
      </c>
      <c r="AM6564">
        <v>93.306539452249098</v>
      </c>
      <c r="AN6564">
        <v>0.999999994227742</v>
      </c>
    </row>
    <row r="6565" spans="1:40" x14ac:dyDescent="0.25">
      <c r="A6565" t="str">
        <f>"20190312173053794"</f>
        <v>20190312173053794</v>
      </c>
      <c r="B6565" t="str">
        <f>"1552383053783563"</f>
        <v>1552383053783563</v>
      </c>
      <c r="C6565" t="s">
        <v>40</v>
      </c>
      <c r="D6565">
        <v>3.080003</v>
      </c>
      <c r="E6565">
        <v>0.43719429999999998</v>
      </c>
      <c r="F6565" t="s">
        <v>54</v>
      </c>
      <c r="G6565">
        <v>-201.8723</v>
      </c>
      <c r="H6565" s="1">
        <v>-5.4569250000000003E-6</v>
      </c>
      <c r="I6565">
        <v>-57.189570000000003</v>
      </c>
      <c r="J6565">
        <v>-219.8835</v>
      </c>
      <c r="K6565">
        <v>1.1132</v>
      </c>
      <c r="L6565">
        <v>-62.223719999999901</v>
      </c>
      <c r="M6565">
        <v>0.9985967</v>
      </c>
      <c r="N6565">
        <v>0</v>
      </c>
      <c r="O6565">
        <v>5.0895889999999999E-2</v>
      </c>
      <c r="P6565">
        <v>0.9755277</v>
      </c>
      <c r="Q6565">
        <v>0.19272990000000001</v>
      </c>
      <c r="R6565">
        <v>0.1058365</v>
      </c>
      <c r="S6565">
        <v>3.02182</v>
      </c>
      <c r="T6565">
        <v>-0.1850386</v>
      </c>
      <c r="U6565">
        <v>0.83853149999999999</v>
      </c>
      <c r="V6565">
        <v>-5.7610660000000001E-2</v>
      </c>
      <c r="W6565">
        <v>0.20662990000000001</v>
      </c>
      <c r="X6565">
        <v>0.97672159999999997</v>
      </c>
      <c r="Y6565">
        <v>-0.2177047</v>
      </c>
      <c r="Z6565">
        <v>3.4859610000000001E-3</v>
      </c>
      <c r="AA6565">
        <v>0.97600849999999995</v>
      </c>
      <c r="AB6565">
        <v>35</v>
      </c>
      <c r="AC6565">
        <v>18.011199999999999</v>
      </c>
      <c r="AD6565">
        <v>-1.1132054569250001</v>
      </c>
      <c r="AE6565">
        <v>5.0341499999999897</v>
      </c>
      <c r="AF6565">
        <v>-4.0963157563864998</v>
      </c>
      <c r="AG6565">
        <v>-1.1132054569250001</v>
      </c>
      <c r="AH6565">
        <v>18.179682249700999</v>
      </c>
      <c r="AI6565">
        <v>93.418549626087497</v>
      </c>
      <c r="AJ6565">
        <v>102.698042689769</v>
      </c>
      <c r="AK6565">
        <v>18.668687041820601</v>
      </c>
      <c r="AL6565">
        <v>78.075071417134694</v>
      </c>
      <c r="AM6565">
        <v>93.375606391245995</v>
      </c>
      <c r="AN6565">
        <v>0.99999999381310201</v>
      </c>
    </row>
    <row r="6566" spans="1:40" x14ac:dyDescent="0.25">
      <c r="A6566" t="str">
        <f>"20190312173053805"</f>
        <v>20190312173053805</v>
      </c>
      <c r="B6566" t="str">
        <f>"1552383053794298"</f>
        <v>1552383053794298</v>
      </c>
      <c r="C6566" t="s">
        <v>40</v>
      </c>
      <c r="D6566">
        <v>3.104441</v>
      </c>
      <c r="E6566">
        <v>0.43726749999999998</v>
      </c>
      <c r="F6566" t="s">
        <v>54</v>
      </c>
      <c r="G6566">
        <v>-201.55439999999999</v>
      </c>
      <c r="H6566" s="1">
        <v>-5.6350210000000002E-6</v>
      </c>
      <c r="I6566">
        <v>-57.08616</v>
      </c>
      <c r="J6566">
        <v>-219.73050000000001</v>
      </c>
      <c r="K6566">
        <v>1.113318</v>
      </c>
      <c r="L6566">
        <v>-62.214509999999997</v>
      </c>
      <c r="M6566">
        <v>0.99850510000000003</v>
      </c>
      <c r="N6566">
        <v>0</v>
      </c>
      <c r="O6566">
        <v>5.2659200000000003E-2</v>
      </c>
      <c r="P6566">
        <v>0.97522540000000002</v>
      </c>
      <c r="Q6566">
        <v>0.19291440000000001</v>
      </c>
      <c r="R6566">
        <v>0.1082578</v>
      </c>
      <c r="S6566">
        <v>3.0196839999999998</v>
      </c>
      <c r="T6566">
        <v>-0.1833988</v>
      </c>
      <c r="U6566">
        <v>0.84640499999999996</v>
      </c>
      <c r="V6566">
        <v>-5.8370440000000003E-2</v>
      </c>
      <c r="W6566">
        <v>0.20680019999999999</v>
      </c>
      <c r="X6566">
        <v>0.97664050000000002</v>
      </c>
      <c r="Y6566">
        <v>-0.21852679999999999</v>
      </c>
      <c r="Z6566">
        <v>3.3762990000000001E-3</v>
      </c>
      <c r="AA6566">
        <v>0.9758251</v>
      </c>
      <c r="AB6566">
        <v>35</v>
      </c>
      <c r="AC6566">
        <v>18.176100000000002</v>
      </c>
      <c r="AD6566">
        <v>-1.1133236350210001</v>
      </c>
      <c r="AE6566">
        <v>5.1283499999999904</v>
      </c>
      <c r="AF6566">
        <v>-4.1495710618672303</v>
      </c>
      <c r="AG6566">
        <v>-1.1133236350210001</v>
      </c>
      <c r="AH6566">
        <v>18.357165592242801</v>
      </c>
      <c r="AI6566">
        <v>93.385409631532994</v>
      </c>
      <c r="AJ6566">
        <v>102.737435657833</v>
      </c>
      <c r="AK6566">
        <v>18.853221424860099</v>
      </c>
      <c r="AL6566">
        <v>78.065099207262094</v>
      </c>
      <c r="AM6566">
        <v>93.420302849850799</v>
      </c>
      <c r="AN6566">
        <v>1.00000004861304</v>
      </c>
    </row>
    <row r="6567" spans="1:40" x14ac:dyDescent="0.25">
      <c r="A6567" t="str">
        <f>"20190312173053816"</f>
        <v>20190312173053816</v>
      </c>
      <c r="B6567" t="str">
        <f>"1552383053804058"</f>
        <v>1552383053804058</v>
      </c>
      <c r="C6567" t="s">
        <v>40</v>
      </c>
      <c r="D6567">
        <v>3.1154289999999998</v>
      </c>
      <c r="E6567">
        <v>0.43744519999999998</v>
      </c>
      <c r="F6567" t="s">
        <v>54</v>
      </c>
      <c r="G6567">
        <v>-201.3843</v>
      </c>
      <c r="H6567" s="1">
        <v>-5.7089399999999999E-6</v>
      </c>
      <c r="I6567">
        <v>-57.025100000000002</v>
      </c>
      <c r="J6567">
        <v>-219.54390000000001</v>
      </c>
      <c r="K6567">
        <v>1.113448</v>
      </c>
      <c r="L6567">
        <v>-62.20261</v>
      </c>
      <c r="M6567">
        <v>0.99838380000000004</v>
      </c>
      <c r="N6567">
        <v>0</v>
      </c>
      <c r="O6567">
        <v>5.4906450000000002E-2</v>
      </c>
      <c r="P6567">
        <v>0.97476980000000002</v>
      </c>
      <c r="Q6567">
        <v>0.19340889999999999</v>
      </c>
      <c r="R6567">
        <v>0.11143119999999999</v>
      </c>
      <c r="S6567">
        <v>3.0176699999999999</v>
      </c>
      <c r="T6567">
        <v>-0.18312439999999999</v>
      </c>
      <c r="U6567">
        <v>0.85357669999999997</v>
      </c>
      <c r="V6567">
        <v>-5.9424680000000001E-2</v>
      </c>
      <c r="W6567">
        <v>0.2072765</v>
      </c>
      <c r="X6567">
        <v>0.97647589999999995</v>
      </c>
      <c r="Y6567">
        <v>-0.21865270000000001</v>
      </c>
      <c r="Z6567">
        <v>3.2431439999999999E-3</v>
      </c>
      <c r="AA6567">
        <v>0.97579740000000004</v>
      </c>
      <c r="AB6567">
        <v>35</v>
      </c>
      <c r="AC6567">
        <v>18.159600000000001</v>
      </c>
      <c r="AD6567">
        <v>-1.1134537089399901</v>
      </c>
      <c r="AE6567">
        <v>5.1775099999999901</v>
      </c>
      <c r="AF6567">
        <v>-4.1580545807815197</v>
      </c>
      <c r="AG6567">
        <v>-1.1134537089399901</v>
      </c>
      <c r="AH6567">
        <v>18.352699467754999</v>
      </c>
      <c r="AI6567">
        <v>93.386250039752397</v>
      </c>
      <c r="AJ6567">
        <v>102.76562846012401</v>
      </c>
      <c r="AK6567">
        <v>18.850749980105402</v>
      </c>
      <c r="AL6567">
        <v>78.037204387857301</v>
      </c>
      <c r="AM6567">
        <v>93.482512460958205</v>
      </c>
      <c r="AN6567">
        <v>1.0000000116630801</v>
      </c>
    </row>
    <row r="6568" spans="1:40" x14ac:dyDescent="0.25">
      <c r="A6568" t="str">
        <f>"20190312173053829"</f>
        <v>20190312173053829</v>
      </c>
      <c r="B6568" t="str">
        <f>"1552383053823581"</f>
        <v>1552383053823581</v>
      </c>
      <c r="C6568" t="s">
        <v>40</v>
      </c>
      <c r="D6568">
        <v>3.1681240000000002</v>
      </c>
      <c r="E6568">
        <v>0.43768790000000002</v>
      </c>
      <c r="F6568" t="s">
        <v>54</v>
      </c>
      <c r="G6568">
        <v>-201.0976</v>
      </c>
      <c r="H6568" s="1">
        <v>-5.8327390000000001E-6</v>
      </c>
      <c r="I6568">
        <v>-56.927169999999997</v>
      </c>
      <c r="J6568">
        <v>-219.36709999999999</v>
      </c>
      <c r="K6568">
        <v>1.113564</v>
      </c>
      <c r="L6568">
        <v>-62.190980000000003</v>
      </c>
      <c r="M6568">
        <v>0.99826190000000004</v>
      </c>
      <c r="N6568">
        <v>0</v>
      </c>
      <c r="O6568">
        <v>5.7078240000000002E-2</v>
      </c>
      <c r="P6568">
        <v>0.97435550000000004</v>
      </c>
      <c r="Q6568">
        <v>0.19368270000000001</v>
      </c>
      <c r="R6568">
        <v>0.1145365</v>
      </c>
      <c r="S6568">
        <v>3.0151669999999999</v>
      </c>
      <c r="T6568">
        <v>-0.182001</v>
      </c>
      <c r="U6568">
        <v>0.86230469999999904</v>
      </c>
      <c r="V6568">
        <v>-6.0476839999999997E-2</v>
      </c>
      <c r="W6568">
        <v>0.20753260000000001</v>
      </c>
      <c r="X6568">
        <v>0.97635689999999997</v>
      </c>
      <c r="Y6568">
        <v>-0.2193609</v>
      </c>
      <c r="Z6568">
        <v>3.1178349999999998E-3</v>
      </c>
      <c r="AA6568">
        <v>0.97563880000000003</v>
      </c>
      <c r="AB6568">
        <v>35</v>
      </c>
      <c r="AC6568">
        <v>18.269499999999901</v>
      </c>
      <c r="AD6568">
        <v>-1.113569832739</v>
      </c>
      <c r="AE6568">
        <v>5.2638100000000003</v>
      </c>
      <c r="AF6568">
        <v>-4.1979227927383604</v>
      </c>
      <c r="AG6568">
        <v>-1.113569832739</v>
      </c>
      <c r="AH6568">
        <v>18.4768070318976</v>
      </c>
      <c r="AI6568">
        <v>93.363446696226106</v>
      </c>
      <c r="AJ6568">
        <v>102.80028080484099</v>
      </c>
      <c r="AK6568">
        <v>18.980384391264501</v>
      </c>
      <c r="AL6568">
        <v>78.0222047828196</v>
      </c>
      <c r="AM6568">
        <v>93.544448097618201</v>
      </c>
      <c r="AN6568">
        <v>1.0000000122083701</v>
      </c>
    </row>
    <row r="6569" spans="1:40" x14ac:dyDescent="0.25">
      <c r="A6569" t="str">
        <f>"20190312173053839"</f>
        <v>20190312173053839</v>
      </c>
      <c r="B6569" t="str">
        <f>"1552383053834314"</f>
        <v>1552383053834314</v>
      </c>
      <c r="C6569" t="s">
        <v>40</v>
      </c>
      <c r="D6569">
        <v>3.253485</v>
      </c>
      <c r="E6569">
        <v>0.43789539999999999</v>
      </c>
      <c r="F6569" t="s">
        <v>54</v>
      </c>
      <c r="G6569">
        <v>-200.93049999999999</v>
      </c>
      <c r="H6569" s="1">
        <v>-5.9054149999999996E-6</v>
      </c>
      <c r="I6569">
        <v>-56.866639999999997</v>
      </c>
      <c r="J6569">
        <v>-219.19470000000001</v>
      </c>
      <c r="K6569">
        <v>1.113672</v>
      </c>
      <c r="L6569">
        <v>-62.179229999999997</v>
      </c>
      <c r="M6569">
        <v>0.99813529999999995</v>
      </c>
      <c r="N6569">
        <v>0</v>
      </c>
      <c r="O6569">
        <v>5.9247319999999999E-2</v>
      </c>
      <c r="P6569">
        <v>0.97401309999999997</v>
      </c>
      <c r="Q6569">
        <v>0.19365260000000001</v>
      </c>
      <c r="R6569">
        <v>0.11746139999999999</v>
      </c>
      <c r="S6569">
        <v>3.012848</v>
      </c>
      <c r="T6569">
        <v>-0.1819761</v>
      </c>
      <c r="U6569">
        <v>0.87008669999999999</v>
      </c>
      <c r="V6569">
        <v>-6.1341050000000001E-2</v>
      </c>
      <c r="W6569">
        <v>0.20748730000000001</v>
      </c>
      <c r="X6569">
        <v>0.97631259999999997</v>
      </c>
      <c r="Y6569">
        <v>-0.21976999999999999</v>
      </c>
      <c r="Z6569">
        <v>3.0031789999999999E-3</v>
      </c>
      <c r="AA6569">
        <v>0.9755471</v>
      </c>
      <c r="AB6569">
        <v>34</v>
      </c>
      <c r="AC6569">
        <v>18.264199999999999</v>
      </c>
      <c r="AD6569">
        <v>-1.1136779054149999</v>
      </c>
      <c r="AE6569">
        <v>5.3125900000000001</v>
      </c>
      <c r="AF6569">
        <v>-4.2066135143690104</v>
      </c>
      <c r="AG6569">
        <v>-1.1136779054149999</v>
      </c>
      <c r="AH6569">
        <v>18.4835374599514</v>
      </c>
      <c r="AI6569">
        <v>93.362269294782095</v>
      </c>
      <c r="AJ6569">
        <v>102.821388984899</v>
      </c>
      <c r="AK6569">
        <v>18.988866021163702</v>
      </c>
      <c r="AL6569">
        <v>78.024857868567196</v>
      </c>
      <c r="AM6569">
        <v>93.595128820762099</v>
      </c>
      <c r="AN6569">
        <v>0.99999999849757604</v>
      </c>
    </row>
    <row r="6570" spans="1:40" x14ac:dyDescent="0.25">
      <c r="A6570" t="str">
        <f>"20190312173053851"</f>
        <v>20190312173053851</v>
      </c>
      <c r="B6570" t="str">
        <f>"1552383053844074"</f>
        <v>1552383053844074</v>
      </c>
      <c r="C6570" t="s">
        <v>40</v>
      </c>
      <c r="D6570">
        <v>3.2118370000000001</v>
      </c>
      <c r="E6570">
        <v>0.43789539999999999</v>
      </c>
      <c r="F6570" t="s">
        <v>54</v>
      </c>
      <c r="G6570">
        <v>-200.7491</v>
      </c>
      <c r="H6570" s="1">
        <v>-5.984054E-6</v>
      </c>
      <c r="I6570">
        <v>-56.802660000000003</v>
      </c>
      <c r="J6570">
        <v>-219.01779999999999</v>
      </c>
      <c r="K6570">
        <v>1.1137760000000001</v>
      </c>
      <c r="L6570">
        <v>-62.16666</v>
      </c>
      <c r="M6570">
        <v>0.99799700000000002</v>
      </c>
      <c r="N6570">
        <v>0</v>
      </c>
      <c r="O6570">
        <v>6.1532389999999999E-2</v>
      </c>
      <c r="P6570">
        <v>0.97360769999999996</v>
      </c>
      <c r="Q6570">
        <v>0.1937798</v>
      </c>
      <c r="R6570">
        <v>0.1205724</v>
      </c>
      <c r="S6570">
        <v>3.0103610000000001</v>
      </c>
      <c r="T6570">
        <v>-0.18175540000000001</v>
      </c>
      <c r="U6570">
        <v>0.87747189999999997</v>
      </c>
      <c r="V6570">
        <v>-6.2280380000000003E-2</v>
      </c>
      <c r="W6570">
        <v>0.20759830000000001</v>
      </c>
      <c r="X6570">
        <v>0.97622949999999997</v>
      </c>
      <c r="Y6570">
        <v>-0.21996280000000001</v>
      </c>
      <c r="Z6570">
        <v>2.8723899999999998E-3</v>
      </c>
      <c r="AA6570">
        <v>0.97550400000000004</v>
      </c>
      <c r="AB6570">
        <v>34</v>
      </c>
      <c r="AC6570">
        <v>18.2686999999999</v>
      </c>
      <c r="AD6570">
        <v>-1.113781984054</v>
      </c>
      <c r="AE6570">
        <v>5.3639999999999999</v>
      </c>
      <c r="AF6570">
        <v>-4.2151714182322602</v>
      </c>
      <c r="AG6570">
        <v>-1.113781984054</v>
      </c>
      <c r="AH6570">
        <v>18.500861654137999</v>
      </c>
      <c r="AI6570">
        <v>93.359260287103496</v>
      </c>
      <c r="AJ6570">
        <v>102.834977150295</v>
      </c>
      <c r="AK6570">
        <v>19.007631686736801</v>
      </c>
      <c r="AL6570">
        <v>78.018356107897503</v>
      </c>
      <c r="AM6570">
        <v>93.650344030666503</v>
      </c>
      <c r="AN6570">
        <v>0.99999996828304105</v>
      </c>
    </row>
    <row r="6571" spans="1:40" x14ac:dyDescent="0.25">
      <c r="A6571" t="str">
        <f>"20190312173053862"</f>
        <v>20190312173053862</v>
      </c>
      <c r="B6571" t="str">
        <f>"1552383053853835"</f>
        <v>1552383053853835</v>
      </c>
      <c r="C6571" t="s">
        <v>40</v>
      </c>
      <c r="D6571">
        <v>3.2081330000000001</v>
      </c>
      <c r="E6571">
        <v>0.43793330000000003</v>
      </c>
      <c r="F6571" t="s">
        <v>54</v>
      </c>
      <c r="G6571">
        <v>-200.53630000000001</v>
      </c>
      <c r="H6571" s="1">
        <v>-6.078357E-6</v>
      </c>
      <c r="I6571">
        <v>-56.714689999999997</v>
      </c>
      <c r="J6571">
        <v>-218.8528</v>
      </c>
      <c r="K6571">
        <v>1.1138680000000001</v>
      </c>
      <c r="L6571">
        <v>-62.154690000000002</v>
      </c>
      <c r="M6571">
        <v>0.99786160000000002</v>
      </c>
      <c r="N6571">
        <v>0</v>
      </c>
      <c r="O6571">
        <v>6.3689289999999996E-2</v>
      </c>
      <c r="P6571">
        <v>0.97319169999999999</v>
      </c>
      <c r="Q6571">
        <v>0.1938483</v>
      </c>
      <c r="R6571">
        <v>0.1237772</v>
      </c>
      <c r="S6571">
        <v>3.0075379999999998</v>
      </c>
      <c r="T6571">
        <v>-0.18124779999999999</v>
      </c>
      <c r="U6571">
        <v>0.88720699999999997</v>
      </c>
      <c r="V6571">
        <v>-6.3435030000000003E-2</v>
      </c>
      <c r="W6571">
        <v>0.2076482</v>
      </c>
      <c r="X6571">
        <v>0.97614460000000003</v>
      </c>
      <c r="Y6571">
        <v>-0.22101080000000001</v>
      </c>
      <c r="Z6571">
        <v>2.770247E-3</v>
      </c>
      <c r="AA6571">
        <v>0.97526740000000001</v>
      </c>
      <c r="AB6571">
        <v>34</v>
      </c>
      <c r="AC6571">
        <v>18.316499999999898</v>
      </c>
      <c r="AD6571">
        <v>-1.113874078357</v>
      </c>
      <c r="AE6571">
        <v>5.4399999999999897</v>
      </c>
      <c r="AF6571">
        <v>-4.2478265357557499</v>
      </c>
      <c r="AG6571">
        <v>-1.113874078357</v>
      </c>
      <c r="AH6571">
        <v>18.562728876089999</v>
      </c>
      <c r="AI6571">
        <v>93.347641211478205</v>
      </c>
      <c r="AJ6571">
        <v>102.88942424447301</v>
      </c>
      <c r="AK6571">
        <v>19.075105479853299</v>
      </c>
      <c r="AL6571">
        <v>78.015434097476302</v>
      </c>
      <c r="AM6571">
        <v>93.718154117976496</v>
      </c>
      <c r="AN6571">
        <v>1.0000000290517499</v>
      </c>
    </row>
    <row r="6572" spans="1:40" x14ac:dyDescent="0.25">
      <c r="A6572" t="str">
        <f>"20190312173053874"</f>
        <v>20190312173053874</v>
      </c>
      <c r="B6572" t="str">
        <f>"1552383053864572"</f>
        <v>1552383053864572</v>
      </c>
      <c r="C6572" t="s">
        <v>40</v>
      </c>
      <c r="D6572">
        <v>3.198353</v>
      </c>
      <c r="E6572">
        <v>0.43804979999999899</v>
      </c>
      <c r="F6572" t="s">
        <v>54</v>
      </c>
      <c r="G6572">
        <v>-200.34200000000001</v>
      </c>
      <c r="H6572" s="1">
        <v>-6.1652470000000001E-6</v>
      </c>
      <c r="I6572">
        <v>-56.629100000000001</v>
      </c>
      <c r="J6572">
        <v>-218.6788</v>
      </c>
      <c r="K6572">
        <v>1.1139540000000001</v>
      </c>
      <c r="L6572">
        <v>-62.141419999999997</v>
      </c>
      <c r="M6572">
        <v>0.99770890000000001</v>
      </c>
      <c r="N6572">
        <v>0</v>
      </c>
      <c r="O6572">
        <v>6.6035339999999998E-2</v>
      </c>
      <c r="P6572">
        <v>0.97277029999999998</v>
      </c>
      <c r="Q6572">
        <v>0.19393830000000001</v>
      </c>
      <c r="R6572">
        <v>0.12690889999999999</v>
      </c>
      <c r="S6572">
        <v>3.004562</v>
      </c>
      <c r="T6572">
        <v>-0.18079729999999999</v>
      </c>
      <c r="U6572">
        <v>0.89688109999999999</v>
      </c>
      <c r="V6572">
        <v>-6.4330449999999997E-2</v>
      </c>
      <c r="W6572">
        <v>0.2077215</v>
      </c>
      <c r="X6572">
        <v>0.9760704</v>
      </c>
      <c r="Y6572">
        <v>-0.22186929999999999</v>
      </c>
      <c r="Z6572">
        <v>2.65292E-3</v>
      </c>
      <c r="AA6572">
        <v>0.97507279999999996</v>
      </c>
      <c r="AB6572">
        <v>34</v>
      </c>
      <c r="AC6572">
        <v>18.336799999999901</v>
      </c>
      <c r="AD6572">
        <v>-1.1139601652469999</v>
      </c>
      <c r="AE6572">
        <v>5.5123199999999901</v>
      </c>
      <c r="AF6572">
        <v>-4.2748088878504999</v>
      </c>
      <c r="AG6572">
        <v>-1.1139601652469999</v>
      </c>
      <c r="AH6572">
        <v>18.5978666550686</v>
      </c>
      <c r="AI6572">
        <v>93.340848585923794</v>
      </c>
      <c r="AJ6572">
        <v>102.944862802497</v>
      </c>
      <c r="AK6572">
        <v>19.115322189205099</v>
      </c>
      <c r="AL6572">
        <v>78.011140678625793</v>
      </c>
      <c r="AM6572">
        <v>93.770773346028307</v>
      </c>
      <c r="AN6572">
        <v>1.0000000270578</v>
      </c>
    </row>
    <row r="6573" spans="1:40" x14ac:dyDescent="0.25">
      <c r="A6573" t="str">
        <f>"20190312173053885"</f>
        <v>20190312173053885</v>
      </c>
      <c r="B6573" t="str">
        <f>"1552383053874330"</f>
        <v>1552383053874330</v>
      </c>
      <c r="C6573" t="s">
        <v>40</v>
      </c>
      <c r="D6573">
        <v>3.1523629999999998</v>
      </c>
      <c r="E6573">
        <v>0.43804979999999899</v>
      </c>
      <c r="F6573" t="s">
        <v>54</v>
      </c>
      <c r="G6573">
        <v>-200.13640000000001</v>
      </c>
      <c r="H6573" s="1">
        <v>-6.2557099999999999E-6</v>
      </c>
      <c r="I6573">
        <v>-56.547960000000003</v>
      </c>
      <c r="J6573">
        <v>-218.50970000000001</v>
      </c>
      <c r="K6573">
        <v>1.114039</v>
      </c>
      <c r="L6573">
        <v>-62.128329999999998</v>
      </c>
      <c r="M6573">
        <v>0.99755419999999995</v>
      </c>
      <c r="N6573">
        <v>0</v>
      </c>
      <c r="O6573">
        <v>6.8332279999999995E-2</v>
      </c>
      <c r="P6573">
        <v>0.97233639999999999</v>
      </c>
      <c r="Q6573">
        <v>0.1940614</v>
      </c>
      <c r="R6573">
        <v>0.13000929999999999</v>
      </c>
      <c r="S6573">
        <v>3.0018009999999999</v>
      </c>
      <c r="T6573">
        <v>-0.18033769999999999</v>
      </c>
      <c r="U6573">
        <v>0.90551760000000003</v>
      </c>
      <c r="V6573">
        <v>-6.5243480000000006E-2</v>
      </c>
      <c r="W6573">
        <v>0.20782780000000001</v>
      </c>
      <c r="X6573">
        <v>0.9759871</v>
      </c>
      <c r="Y6573">
        <v>-0.2224476</v>
      </c>
      <c r="Z6573">
        <v>2.5305240000000001E-3</v>
      </c>
      <c r="AA6573">
        <v>0.97494139999999996</v>
      </c>
      <c r="AB6573">
        <v>34</v>
      </c>
      <c r="AC6573">
        <v>18.3733</v>
      </c>
      <c r="AD6573">
        <v>-1.11404525571</v>
      </c>
      <c r="AE6573">
        <v>5.5803700000000003</v>
      </c>
      <c r="AF6573">
        <v>-4.2972340538841696</v>
      </c>
      <c r="AG6573">
        <v>-1.11404525571</v>
      </c>
      <c r="AH6573">
        <v>18.648934139304298</v>
      </c>
      <c r="AI6573">
        <v>93.331558330300595</v>
      </c>
      <c r="AJ6573">
        <v>102.97604544362601</v>
      </c>
      <c r="AK6573">
        <v>19.170030304559798</v>
      </c>
      <c r="AL6573">
        <v>78.004913473638396</v>
      </c>
      <c r="AM6573">
        <v>93.824458952706493</v>
      </c>
      <c r="AN6573">
        <v>0.99999996275087899</v>
      </c>
    </row>
    <row r="6574" spans="1:40" x14ac:dyDescent="0.25">
      <c r="A6574" t="str">
        <f>"20190312173053894"</f>
        <v>20190312173053894</v>
      </c>
      <c r="B6574" t="str">
        <f>"1552383053884090"</f>
        <v>1552383053884090</v>
      </c>
      <c r="C6574" t="s">
        <v>40</v>
      </c>
      <c r="D6574">
        <v>3.2104550000000001</v>
      </c>
      <c r="E6574">
        <v>0.44357669999999999</v>
      </c>
      <c r="F6574" t="s">
        <v>54</v>
      </c>
      <c r="G6574">
        <v>-199.94970000000001</v>
      </c>
      <c r="H6574" s="1">
        <v>-8.6614419999999997E-6</v>
      </c>
      <c r="I6574">
        <v>-56.4651</v>
      </c>
      <c r="J6574">
        <v>-218.35140000000001</v>
      </c>
      <c r="K6574">
        <v>1.114114</v>
      </c>
      <c r="L6574">
        <v>-62.115419999999901</v>
      </c>
      <c r="M6574">
        <v>0.99740039999999996</v>
      </c>
      <c r="N6574">
        <v>0</v>
      </c>
      <c r="O6574">
        <v>7.0540110000000003E-2</v>
      </c>
      <c r="P6574">
        <v>0.97185949999999999</v>
      </c>
      <c r="Q6574">
        <v>0.1942265</v>
      </c>
      <c r="R6574">
        <v>0.13328619999999999</v>
      </c>
      <c r="S6574">
        <v>2.9989469999999998</v>
      </c>
      <c r="T6574">
        <v>-0.180009</v>
      </c>
      <c r="U6574">
        <v>0.91506960000000004</v>
      </c>
      <c r="V6574">
        <v>-6.6418290000000005E-2</v>
      </c>
      <c r="W6574">
        <v>0.2079743</v>
      </c>
      <c r="X6574">
        <v>0.97587670000000004</v>
      </c>
      <c r="Y6574">
        <v>-0.22339239999999999</v>
      </c>
      <c r="Z6574">
        <v>2.4263069999999999E-3</v>
      </c>
      <c r="AA6574">
        <v>0.97472559999999997</v>
      </c>
      <c r="AB6574">
        <v>34</v>
      </c>
      <c r="AC6574">
        <v>18.401700000000002</v>
      </c>
      <c r="AD6574">
        <v>-1.1141226614419999</v>
      </c>
      <c r="AE6574">
        <v>5.65031999999999</v>
      </c>
      <c r="AF6574">
        <v>-4.32356005659127</v>
      </c>
      <c r="AG6574">
        <v>-1.1141226614419999</v>
      </c>
      <c r="AH6574">
        <v>18.691853503688002</v>
      </c>
      <c r="AI6574">
        <v>93.323516985446403</v>
      </c>
      <c r="AJ6574">
        <v>103.023877523186</v>
      </c>
      <c r="AK6574">
        <v>19.217695706588401</v>
      </c>
      <c r="AL6574">
        <v>77.996332788836597</v>
      </c>
      <c r="AM6574">
        <v>93.893553432001198</v>
      </c>
      <c r="AN6574">
        <v>1.00000001615495</v>
      </c>
    </row>
    <row r="6575" spans="1:40" x14ac:dyDescent="0.25">
      <c r="A6575" t="str">
        <f>"20190312173053906"</f>
        <v>20190312173053906</v>
      </c>
      <c r="B6575" t="str">
        <f>"1552383053903610"</f>
        <v>1552383053903610</v>
      </c>
      <c r="C6575" t="s">
        <v>40</v>
      </c>
      <c r="D6575">
        <v>3.2461890000000002</v>
      </c>
      <c r="E6575">
        <v>0.442971</v>
      </c>
      <c r="F6575" t="s">
        <v>54</v>
      </c>
      <c r="G6575">
        <v>-200.08189999999999</v>
      </c>
      <c r="H6575" s="1">
        <v>-6.2447959999999998E-6</v>
      </c>
      <c r="I6575">
        <v>-56.750050000000002</v>
      </c>
      <c r="J6575">
        <v>-218.18170000000001</v>
      </c>
      <c r="K6575">
        <v>1.1141920000000001</v>
      </c>
      <c r="L6575">
        <v>-62.101410000000001</v>
      </c>
      <c r="M6575">
        <v>0.99722889999999997</v>
      </c>
      <c r="N6575">
        <v>0</v>
      </c>
      <c r="O6575">
        <v>7.2923349999999998E-2</v>
      </c>
      <c r="P6575">
        <v>0.97149249999999998</v>
      </c>
      <c r="Q6575">
        <v>0.19409589999999999</v>
      </c>
      <c r="R6575">
        <v>0.13612189999999999</v>
      </c>
      <c r="S6575">
        <v>3.0025179999999998</v>
      </c>
      <c r="T6575">
        <v>-0.18310080000000001</v>
      </c>
      <c r="U6575">
        <v>0.88177490000000003</v>
      </c>
      <c r="V6575">
        <v>-6.6972229999999994E-2</v>
      </c>
      <c r="W6575">
        <v>0.20783160000000001</v>
      </c>
      <c r="X6575">
        <v>0.97586919999999999</v>
      </c>
      <c r="Y6575">
        <v>-0.21081730000000001</v>
      </c>
      <c r="Z6575">
        <v>1.9521479999999999E-3</v>
      </c>
      <c r="AA6575">
        <v>0.97752349999999999</v>
      </c>
      <c r="AB6575">
        <v>34</v>
      </c>
      <c r="AC6575">
        <v>18.099799999999998</v>
      </c>
      <c r="AD6575">
        <v>-1.1141982447959999</v>
      </c>
      <c r="AE6575">
        <v>5.3513599999999899</v>
      </c>
      <c r="AF6575">
        <v>-4.0031178672367203</v>
      </c>
      <c r="AG6575">
        <v>-1.1141982447959999</v>
      </c>
      <c r="AH6575">
        <v>18.377837314415402</v>
      </c>
      <c r="AI6575">
        <v>93.390138617132607</v>
      </c>
      <c r="AJ6575">
        <v>102.288396356268</v>
      </c>
      <c r="AK6575">
        <v>18.841743410385799</v>
      </c>
      <c r="AL6575">
        <v>78.004691032935199</v>
      </c>
      <c r="AM6575">
        <v>93.925955290006598</v>
      </c>
      <c r="AN6575">
        <v>0.99999997452918599</v>
      </c>
    </row>
    <row r="6576" spans="1:40" x14ac:dyDescent="0.25">
      <c r="A6576" t="str">
        <f>"20190312173053917"</f>
        <v>20190312173053917</v>
      </c>
      <c r="B6576" t="str">
        <f>"1552383053914346"</f>
        <v>1552383053914346</v>
      </c>
      <c r="C6576" t="s">
        <v>40</v>
      </c>
      <c r="D6576">
        <v>3.2276560000000001</v>
      </c>
      <c r="E6576">
        <v>0.44257289999999999</v>
      </c>
      <c r="F6576" t="s">
        <v>54</v>
      </c>
      <c r="G6576">
        <v>-199.79140000000001</v>
      </c>
      <c r="H6576" s="1">
        <v>-8.5926790000000008E-6</v>
      </c>
      <c r="I6576">
        <v>-56.610289999999999</v>
      </c>
      <c r="J6576">
        <v>-218.0119</v>
      </c>
      <c r="K6576">
        <v>1.1142669999999999</v>
      </c>
      <c r="L6576">
        <v>-62.086759999999998</v>
      </c>
      <c r="M6576">
        <v>0.99704809999999999</v>
      </c>
      <c r="N6576">
        <v>0</v>
      </c>
      <c r="O6576">
        <v>7.535472E-2</v>
      </c>
      <c r="P6576">
        <v>0.97099049999999998</v>
      </c>
      <c r="Q6576">
        <v>0.19438620000000001</v>
      </c>
      <c r="R6576">
        <v>0.13925309999999999</v>
      </c>
      <c r="S6576">
        <v>2.99884</v>
      </c>
      <c r="T6576">
        <v>-0.1816883</v>
      </c>
      <c r="U6576">
        <v>0.89541630000000005</v>
      </c>
      <c r="V6576">
        <v>-6.7786699999999894E-2</v>
      </c>
      <c r="W6576">
        <v>0.20810529999999999</v>
      </c>
      <c r="X6576">
        <v>0.97575460000000003</v>
      </c>
      <c r="Y6576">
        <v>-0.21284939999999999</v>
      </c>
      <c r="Z6576">
        <v>1.8555539999999999E-3</v>
      </c>
      <c r="AA6576">
        <v>0.97708329999999999</v>
      </c>
      <c r="AB6576">
        <v>34</v>
      </c>
      <c r="AC6576">
        <v>18.220499999999902</v>
      </c>
      <c r="AD6576">
        <v>-1.114275592679</v>
      </c>
      <c r="AE6576">
        <v>5.4764699999999902</v>
      </c>
      <c r="AF6576">
        <v>-4.0737730550764901</v>
      </c>
      <c r="AG6576">
        <v>-1.114275592679</v>
      </c>
      <c r="AH6576">
        <v>18.517889054911802</v>
      </c>
      <c r="AI6576">
        <v>93.363270882424302</v>
      </c>
      <c r="AJ6576">
        <v>102.406938841235</v>
      </c>
      <c r="AK6576">
        <v>18.9934054885039</v>
      </c>
      <c r="AL6576">
        <v>77.988658290111303</v>
      </c>
      <c r="AM6576">
        <v>93.974013206323406</v>
      </c>
      <c r="AN6576">
        <v>0.99999994600306796</v>
      </c>
    </row>
    <row r="6577" spans="1:40" x14ac:dyDescent="0.25">
      <c r="A6577" t="str">
        <f>"20190312173053928"</f>
        <v>20190312173053928</v>
      </c>
      <c r="B6577" t="str">
        <f>"1552383053924109"</f>
        <v>1552383053924109</v>
      </c>
      <c r="C6577" t="s">
        <v>40</v>
      </c>
      <c r="D6577">
        <v>3.2363559999999998</v>
      </c>
      <c r="E6577">
        <v>0.44243939999999998</v>
      </c>
      <c r="F6577" t="s">
        <v>54</v>
      </c>
      <c r="G6577">
        <v>-199.22620000000001</v>
      </c>
      <c r="H6577" s="1">
        <v>-8.6070260000000002E-6</v>
      </c>
      <c r="I6577">
        <v>-56.388289999999998</v>
      </c>
      <c r="J6577">
        <v>-217.83920000000001</v>
      </c>
      <c r="K6577">
        <v>1.1143400000000001</v>
      </c>
      <c r="L6577">
        <v>-62.0715</v>
      </c>
      <c r="M6577">
        <v>0.99685599999999996</v>
      </c>
      <c r="N6577">
        <v>0</v>
      </c>
      <c r="O6577">
        <v>7.7852809999999995E-2</v>
      </c>
      <c r="P6577">
        <v>0.97060639999999998</v>
      </c>
      <c r="Q6577">
        <v>0.1940154</v>
      </c>
      <c r="R6577">
        <v>0.14241300000000001</v>
      </c>
      <c r="S6577">
        <v>2.994904</v>
      </c>
      <c r="T6577">
        <v>-0.1776431</v>
      </c>
      <c r="U6577">
        <v>0.9084778</v>
      </c>
      <c r="V6577">
        <v>-6.8547079999999996E-2</v>
      </c>
      <c r="W6577">
        <v>0.2077215</v>
      </c>
      <c r="X6577">
        <v>0.97578330000000002</v>
      </c>
      <c r="Y6577">
        <v>-0.2146709</v>
      </c>
      <c r="Z6577">
        <v>1.72477E-3</v>
      </c>
      <c r="AA6577">
        <v>0.97668489999999997</v>
      </c>
      <c r="AB6577">
        <v>34</v>
      </c>
      <c r="AC6577">
        <v>18.613</v>
      </c>
      <c r="AD6577">
        <v>-1.11434860702599</v>
      </c>
      <c r="AE6577">
        <v>5.6832099999999901</v>
      </c>
      <c r="AF6577">
        <v>-4.2029452134011898</v>
      </c>
      <c r="AG6577">
        <v>-1.11434860702599</v>
      </c>
      <c r="AH6577">
        <v>18.936908716076701</v>
      </c>
      <c r="AI6577">
        <v>93.287881155240598</v>
      </c>
      <c r="AJ6577">
        <v>102.513650463315</v>
      </c>
      <c r="AK6577">
        <v>19.429694619469799</v>
      </c>
      <c r="AL6577">
        <v>78.011140180888304</v>
      </c>
      <c r="AM6577">
        <v>94.018327647539607</v>
      </c>
      <c r="AN6577">
        <v>0.99999998614883301</v>
      </c>
    </row>
    <row r="6578" spans="1:40" x14ac:dyDescent="0.25">
      <c r="A6578" t="str">
        <f>"20190312173053939"</f>
        <v>20190312173053939</v>
      </c>
      <c r="B6578" t="str">
        <f>"1552383053933865"</f>
        <v>1552383053933865</v>
      </c>
      <c r="C6578" t="s">
        <v>40</v>
      </c>
      <c r="D6578">
        <v>3.2400120000000001</v>
      </c>
      <c r="E6578">
        <v>0.44266749999999999</v>
      </c>
      <c r="F6578" t="s">
        <v>54</v>
      </c>
      <c r="G6578">
        <v>-198.91239999999999</v>
      </c>
      <c r="H6578" s="1">
        <v>-8.6186260000000002E-6</v>
      </c>
      <c r="I6578">
        <v>-56.2547</v>
      </c>
      <c r="J6578">
        <v>-217.66919999999999</v>
      </c>
      <c r="K6578">
        <v>1.114406</v>
      </c>
      <c r="L6578">
        <v>-62.056060000000002</v>
      </c>
      <c r="M6578">
        <v>0.9966583</v>
      </c>
      <c r="N6578">
        <v>0</v>
      </c>
      <c r="O6578">
        <v>8.0342109999999994E-2</v>
      </c>
      <c r="P6578">
        <v>0.97020229999999996</v>
      </c>
      <c r="Q6578">
        <v>0.19388839999999999</v>
      </c>
      <c r="R6578">
        <v>0.14530979999999999</v>
      </c>
      <c r="S6578">
        <v>2.9911650000000001</v>
      </c>
      <c r="T6578">
        <v>-0.1761104</v>
      </c>
      <c r="U6578">
        <v>0.91928100000000001</v>
      </c>
      <c r="V6578">
        <v>-6.905443E-2</v>
      </c>
      <c r="W6578">
        <v>0.2075834</v>
      </c>
      <c r="X6578">
        <v>0.97577689999999995</v>
      </c>
      <c r="Y6578">
        <v>-0.21580279999999999</v>
      </c>
      <c r="Z6578">
        <v>1.6018040000000001E-3</v>
      </c>
      <c r="AA6578">
        <v>0.97643570000000002</v>
      </c>
      <c r="AB6578">
        <v>34</v>
      </c>
      <c r="AC6578">
        <v>18.756799999999998</v>
      </c>
      <c r="AD6578">
        <v>-1.114414618626</v>
      </c>
      <c r="AE6578">
        <v>5.8013599999999901</v>
      </c>
      <c r="AF6578">
        <v>-4.2617469117575002</v>
      </c>
      <c r="AG6578">
        <v>-1.114414618626</v>
      </c>
      <c r="AH6578">
        <v>19.1007578326025</v>
      </c>
      <c r="AI6578">
        <v>93.259120931030907</v>
      </c>
      <c r="AJ6578">
        <v>102.57777609804199</v>
      </c>
      <c r="AK6578">
        <v>19.602126325014101</v>
      </c>
      <c r="AL6578">
        <v>78.019228852501001</v>
      </c>
      <c r="AM6578">
        <v>94.047997180760206</v>
      </c>
      <c r="AN6578">
        <v>0.99999997041589594</v>
      </c>
    </row>
    <row r="6579" spans="1:40" x14ac:dyDescent="0.25">
      <c r="A6579" t="str">
        <f>"20190312173053951"</f>
        <v>20190312173053951</v>
      </c>
      <c r="B6579" t="str">
        <f>"1552383053943626"</f>
        <v>1552383053943626</v>
      </c>
      <c r="C6579" t="s">
        <v>40</v>
      </c>
      <c r="D6579">
        <v>3.2317209999999998</v>
      </c>
      <c r="E6579">
        <v>0.4427758</v>
      </c>
      <c r="F6579" t="s">
        <v>54</v>
      </c>
      <c r="G6579">
        <v>-198.51589999999999</v>
      </c>
      <c r="H6579" s="1">
        <v>-8.621902E-6</v>
      </c>
      <c r="I6579">
        <v>-56.118290000000002</v>
      </c>
      <c r="J6579">
        <v>-217.49940000000001</v>
      </c>
      <c r="K6579">
        <v>1.1144700000000001</v>
      </c>
      <c r="L6579">
        <v>-62.040039999999998</v>
      </c>
      <c r="M6579">
        <v>0.99645159999999999</v>
      </c>
      <c r="N6579">
        <v>0</v>
      </c>
      <c r="O6579">
        <v>8.2866839999999997E-2</v>
      </c>
      <c r="P6579">
        <v>0.96967080000000005</v>
      </c>
      <c r="Q6579">
        <v>0.19414980000000001</v>
      </c>
      <c r="R6579">
        <v>0.14847340000000001</v>
      </c>
      <c r="S6579">
        <v>2.9881440000000001</v>
      </c>
      <c r="T6579">
        <v>-0.17386170000000001</v>
      </c>
      <c r="U6579">
        <v>0.92636110000000005</v>
      </c>
      <c r="V6579">
        <v>-6.9806300000000002E-2</v>
      </c>
      <c r="W6579">
        <v>0.20783009999999999</v>
      </c>
      <c r="X6579">
        <v>0.97567090000000001</v>
      </c>
      <c r="Y6579">
        <v>-0.21572759999999999</v>
      </c>
      <c r="Z6579">
        <v>1.4381559999999999E-3</v>
      </c>
      <c r="AA6579">
        <v>0.97645249999999995</v>
      </c>
      <c r="AB6579">
        <v>34</v>
      </c>
      <c r="AC6579">
        <v>18.983499999999999</v>
      </c>
      <c r="AD6579">
        <v>-1.114478621902</v>
      </c>
      <c r="AE6579">
        <v>5.9217500000000003</v>
      </c>
      <c r="AF6579">
        <v>-4.3145530300121901</v>
      </c>
      <c r="AG6579">
        <v>-1.114478621902</v>
      </c>
      <c r="AH6579">
        <v>19.3481926094206</v>
      </c>
      <c r="AI6579">
        <v>93.217798810093498</v>
      </c>
      <c r="AJ6579">
        <v>102.571002036613</v>
      </c>
      <c r="AK6579">
        <v>19.854722050401499</v>
      </c>
      <c r="AL6579">
        <v>78.004779053560895</v>
      </c>
      <c r="AM6579">
        <v>94.092366224312599</v>
      </c>
      <c r="AN6579">
        <v>0.99999998754625496</v>
      </c>
    </row>
    <row r="6580" spans="1:40" x14ac:dyDescent="0.25">
      <c r="A6580" t="str">
        <f>"20190312173053962"</f>
        <v>20190312173053962</v>
      </c>
      <c r="B6580" t="str">
        <f>"1552383053954362"</f>
        <v>1552383053954362</v>
      </c>
      <c r="C6580" t="s">
        <v>40</v>
      </c>
      <c r="D6580">
        <v>3.2115179999999999</v>
      </c>
      <c r="E6580">
        <v>0.44266650000000002</v>
      </c>
      <c r="F6580" t="s">
        <v>54</v>
      </c>
      <c r="G6580">
        <v>-198.1071</v>
      </c>
      <c r="H6580" s="1">
        <v>-8.6302370000000004E-6</v>
      </c>
      <c r="I6580">
        <v>-55.963549999999998</v>
      </c>
      <c r="J6580">
        <v>-217.3365</v>
      </c>
      <c r="K6580">
        <v>1.1145309999999999</v>
      </c>
      <c r="L6580">
        <v>-62.024479999999997</v>
      </c>
      <c r="M6580">
        <v>0.99624590000000002</v>
      </c>
      <c r="N6580">
        <v>0</v>
      </c>
      <c r="O6580">
        <v>8.5302729999999993E-2</v>
      </c>
      <c r="P6580">
        <v>0.96924580000000005</v>
      </c>
      <c r="Q6580">
        <v>0.1940327</v>
      </c>
      <c r="R6580">
        <v>0.1513729</v>
      </c>
      <c r="S6580">
        <v>2.984985</v>
      </c>
      <c r="T6580">
        <v>-0.17154800000000001</v>
      </c>
      <c r="U6580">
        <v>0.93533330000000003</v>
      </c>
      <c r="V6580">
        <v>-7.0368390000000003E-2</v>
      </c>
      <c r="W6580">
        <v>0.20770140000000001</v>
      </c>
      <c r="X6580">
        <v>0.97565789999999997</v>
      </c>
      <c r="Y6580">
        <v>-0.21631549999999999</v>
      </c>
      <c r="Z6580">
        <v>1.301101E-3</v>
      </c>
      <c r="AA6580">
        <v>0.97632269999999999</v>
      </c>
      <c r="AB6580">
        <v>34</v>
      </c>
      <c r="AC6580">
        <v>19.229399999999998</v>
      </c>
      <c r="AD6580">
        <v>-1.1145396302370001</v>
      </c>
      <c r="AE6580">
        <v>6.0609299999999999</v>
      </c>
      <c r="AF6580">
        <v>-4.3849353016384303</v>
      </c>
      <c r="AG6580">
        <v>-1.1145396302370001</v>
      </c>
      <c r="AH6580">
        <v>19.616421273369401</v>
      </c>
      <c r="AI6580">
        <v>93.173700719680397</v>
      </c>
      <c r="AJ6580">
        <v>102.600405163559</v>
      </c>
      <c r="AK6580">
        <v>20.131414251393899</v>
      </c>
      <c r="AL6580">
        <v>78.012317183397798</v>
      </c>
      <c r="AM6580">
        <v>94.1252599918149</v>
      </c>
      <c r="AN6580">
        <v>0.99999995985278001</v>
      </c>
    </row>
    <row r="6581" spans="1:40" x14ac:dyDescent="0.25">
      <c r="A6581" t="str">
        <f>"20190312173053972"</f>
        <v>20190312173053972</v>
      </c>
      <c r="B6581" t="str">
        <f>"1552383053964122"</f>
        <v>1552383053964122</v>
      </c>
      <c r="C6581" t="s">
        <v>40</v>
      </c>
      <c r="D6581">
        <v>3.2385389999999998</v>
      </c>
      <c r="E6581">
        <v>0.44287850000000001</v>
      </c>
      <c r="F6581" t="s">
        <v>54</v>
      </c>
      <c r="G6581">
        <v>-197.8904</v>
      </c>
      <c r="H6581" s="1">
        <v>-8.6421860000000001E-6</v>
      </c>
      <c r="I6581">
        <v>-55.860069999999901</v>
      </c>
      <c r="J6581">
        <v>-217.1644</v>
      </c>
      <c r="K6581">
        <v>1.1145849999999999</v>
      </c>
      <c r="L6581">
        <v>-62.007260000000002</v>
      </c>
      <c r="M6581">
        <v>0.99601779999999995</v>
      </c>
      <c r="N6581">
        <v>0</v>
      </c>
      <c r="O6581">
        <v>8.7926009999999999E-2</v>
      </c>
      <c r="P6581">
        <v>0.96878109999999995</v>
      </c>
      <c r="Q6581">
        <v>0.19399939999999999</v>
      </c>
      <c r="R6581">
        <v>0.15436129999999901</v>
      </c>
      <c r="S6581">
        <v>2.9817809999999998</v>
      </c>
      <c r="T6581">
        <v>-0.1708983</v>
      </c>
      <c r="U6581">
        <v>0.94522090000000003</v>
      </c>
      <c r="V6581">
        <v>-7.0838499999999999E-2</v>
      </c>
      <c r="W6581">
        <v>0.20765710000000001</v>
      </c>
      <c r="X6581">
        <v>0.97563339999999998</v>
      </c>
      <c r="Y6581">
        <v>-0.21699280000000001</v>
      </c>
      <c r="Z6581">
        <v>1.1707079999999999E-3</v>
      </c>
      <c r="AA6581">
        <v>0.9761725</v>
      </c>
      <c r="AB6581">
        <v>34</v>
      </c>
      <c r="AC6581">
        <v>19.274000000000001</v>
      </c>
      <c r="AD6581">
        <v>-1.1145936421860001</v>
      </c>
      <c r="AE6581">
        <v>6.1471900000000002</v>
      </c>
      <c r="AF6581">
        <v>-4.4151048303420701</v>
      </c>
      <c r="AG6581">
        <v>-1.1145936421860001</v>
      </c>
      <c r="AH6581">
        <v>19.680154966420702</v>
      </c>
      <c r="AI6581">
        <v>93.1630520021954</v>
      </c>
      <c r="AJ6581">
        <v>102.64454850793901</v>
      </c>
      <c r="AK6581">
        <v>20.200098246108801</v>
      </c>
      <c r="AL6581">
        <v>78.014913029358397</v>
      </c>
      <c r="AM6581">
        <v>94.152827430846997</v>
      </c>
      <c r="AN6581">
        <v>1.0000000477291</v>
      </c>
    </row>
    <row r="6582" spans="1:40" x14ac:dyDescent="0.25">
      <c r="A6582" t="str">
        <f>"20190312173053986"</f>
        <v>20190312173053986</v>
      </c>
      <c r="B6582" t="str">
        <f>"1552383053973882"</f>
        <v>1552383053973882</v>
      </c>
      <c r="C6582" t="s">
        <v>40</v>
      </c>
      <c r="D6582">
        <v>3.1994790000000002</v>
      </c>
      <c r="E6582">
        <v>0.4430269</v>
      </c>
      <c r="F6582" t="s">
        <v>54</v>
      </c>
      <c r="G6582">
        <v>-197.62780000000001</v>
      </c>
      <c r="H6582" s="1">
        <v>-8.6483669999999998E-6</v>
      </c>
      <c r="I6582">
        <v>-55.758299999999998</v>
      </c>
      <c r="J6582">
        <v>-216.97989999999999</v>
      </c>
      <c r="K6582">
        <v>1.1146480000000001</v>
      </c>
      <c r="L6582">
        <v>-61.988529999999997</v>
      </c>
      <c r="M6582">
        <v>0.99576399999999998</v>
      </c>
      <c r="N6582">
        <v>0</v>
      </c>
      <c r="O6582">
        <v>9.0755219999999998E-2</v>
      </c>
      <c r="P6582">
        <v>0.96820700000000004</v>
      </c>
      <c r="Q6582">
        <v>0.19431190000000001</v>
      </c>
      <c r="R6582">
        <v>0.1575377</v>
      </c>
      <c r="S6582">
        <v>2.978882</v>
      </c>
      <c r="T6582">
        <v>-0.16994919999999999</v>
      </c>
      <c r="U6582">
        <v>0.95281979999999999</v>
      </c>
      <c r="V6582">
        <v>-7.1308819999999995E-2</v>
      </c>
      <c r="W6582">
        <v>0.207957</v>
      </c>
      <c r="X6582">
        <v>0.97553520000000005</v>
      </c>
      <c r="Y6582">
        <v>-0.21676049999999999</v>
      </c>
      <c r="Z6582">
        <v>1.002717E-3</v>
      </c>
      <c r="AA6582">
        <v>0.97622430000000004</v>
      </c>
      <c r="AB6582">
        <v>34</v>
      </c>
      <c r="AC6582">
        <v>19.352099999999901</v>
      </c>
      <c r="AD6582">
        <v>-1.114656648367</v>
      </c>
      <c r="AE6582">
        <v>6.2302299999999997</v>
      </c>
      <c r="AF6582">
        <v>-4.43468760890336</v>
      </c>
      <c r="AG6582">
        <v>-1.114656648367</v>
      </c>
      <c r="AH6582">
        <v>19.778253894963299</v>
      </c>
      <c r="AI6582">
        <v>93.147654883668395</v>
      </c>
      <c r="AJ6582">
        <v>102.637859877149</v>
      </c>
      <c r="AK6582">
        <v>20.299956669065601</v>
      </c>
      <c r="AL6582">
        <v>77.997345892784395</v>
      </c>
      <c r="AM6582">
        <v>94.180721298443501</v>
      </c>
      <c r="AN6582">
        <v>0.99999999404891604</v>
      </c>
    </row>
    <row r="6583" spans="1:40" x14ac:dyDescent="0.25">
      <c r="A6583" t="str">
        <f>"20190312173053995"</f>
        <v>20190312173053995</v>
      </c>
      <c r="B6583" t="str">
        <f>"1552383053983643"</f>
        <v>1552383053983643</v>
      </c>
      <c r="C6583" t="s">
        <v>40</v>
      </c>
      <c r="D6583">
        <v>3.1365069999999999</v>
      </c>
      <c r="E6583">
        <v>0.44333210000000001</v>
      </c>
      <c r="F6583" t="s">
        <v>54</v>
      </c>
      <c r="G6583">
        <v>-197.26349999999999</v>
      </c>
      <c r="H6583" s="1">
        <v>-8.6569569999999993E-6</v>
      </c>
      <c r="I6583">
        <v>-55.617100000000001</v>
      </c>
      <c r="J6583">
        <v>-216.82839999999999</v>
      </c>
      <c r="K6583">
        <v>1.1147</v>
      </c>
      <c r="L6583">
        <v>-61.972529999999999</v>
      </c>
      <c r="M6583">
        <v>0.99554569999999998</v>
      </c>
      <c r="N6583">
        <v>0</v>
      </c>
      <c r="O6583">
        <v>9.3116779999999996E-2</v>
      </c>
      <c r="P6583">
        <v>0.96780460000000001</v>
      </c>
      <c r="Q6583">
        <v>0.1943811</v>
      </c>
      <c r="R6583">
        <v>0.1599062</v>
      </c>
      <c r="S6583">
        <v>2.9758</v>
      </c>
      <c r="T6583">
        <v>-0.1682352</v>
      </c>
      <c r="U6583">
        <v>0.96163940000000003</v>
      </c>
      <c r="V6583">
        <v>-7.1409719999999996E-2</v>
      </c>
      <c r="W6583">
        <v>0.20802000000000001</v>
      </c>
      <c r="X6583">
        <v>0.9755144</v>
      </c>
      <c r="Y6583">
        <v>-0.21736649999999999</v>
      </c>
      <c r="Z6583">
        <v>8.8125839999999905E-4</v>
      </c>
      <c r="AA6583">
        <v>0.97608969999999995</v>
      </c>
      <c r="AB6583">
        <v>34</v>
      </c>
      <c r="AC6583">
        <v>19.564899999999898</v>
      </c>
      <c r="AD6583">
        <v>-1.1147086569569999</v>
      </c>
      <c r="AE6583">
        <v>6.3554300000000001</v>
      </c>
      <c r="AF6583">
        <v>-4.4926000964463899</v>
      </c>
      <c r="AG6583">
        <v>-1.1147086569569999</v>
      </c>
      <c r="AH6583">
        <v>20.012973270509399</v>
      </c>
      <c r="AI6583">
        <v>93.110780762487906</v>
      </c>
      <c r="AJ6583">
        <v>102.65226162363901</v>
      </c>
      <c r="AK6583">
        <v>20.541303029326301</v>
      </c>
      <c r="AL6583">
        <v>77.993655708107894</v>
      </c>
      <c r="AM6583">
        <v>94.186704833557002</v>
      </c>
      <c r="AN6583">
        <v>1.0000000065589101</v>
      </c>
    </row>
    <row r="6584" spans="1:40" x14ac:dyDescent="0.25">
      <c r="A6584" t="str">
        <f>"20190312173054007"</f>
        <v>20190312173054007</v>
      </c>
      <c r="B6584" t="str">
        <f>"1552383054004138"</f>
        <v>1552383054004138</v>
      </c>
      <c r="C6584" t="s">
        <v>40</v>
      </c>
      <c r="D6584">
        <v>3.1564559999999999</v>
      </c>
      <c r="E6584">
        <v>0.44353900000000002</v>
      </c>
      <c r="F6584" t="s">
        <v>54</v>
      </c>
      <c r="G6584">
        <v>-197.54939999999999</v>
      </c>
      <c r="H6584" s="1">
        <v>-8.6577329999999902E-6</v>
      </c>
      <c r="I6584">
        <v>-55.706499999999998</v>
      </c>
      <c r="J6584">
        <v>-216.66040000000001</v>
      </c>
      <c r="K6584">
        <v>1.114757</v>
      </c>
      <c r="L6584">
        <v>-61.954500000000003</v>
      </c>
      <c r="M6584">
        <v>0.99529579999999995</v>
      </c>
      <c r="N6584">
        <v>0</v>
      </c>
      <c r="O6584">
        <v>9.5751870000000003E-2</v>
      </c>
      <c r="P6584">
        <v>0.96719829999999996</v>
      </c>
      <c r="Q6584">
        <v>0.19466990000000001</v>
      </c>
      <c r="R6584">
        <v>0.1631909</v>
      </c>
      <c r="S6584">
        <v>2.9745940000000002</v>
      </c>
      <c r="T6584">
        <v>-0.17199020000000001</v>
      </c>
      <c r="U6584">
        <v>0.96679689999999996</v>
      </c>
      <c r="V6584">
        <v>-7.2178510000000001E-2</v>
      </c>
      <c r="W6584">
        <v>0.2082938</v>
      </c>
      <c r="X6584">
        <v>0.97539940000000003</v>
      </c>
      <c r="Y6584">
        <v>-0.21642710000000001</v>
      </c>
      <c r="Z6584">
        <v>7.2781880000000003E-4</v>
      </c>
      <c r="AA6584">
        <v>0.97629849999999996</v>
      </c>
      <c r="AB6584">
        <v>34</v>
      </c>
      <c r="AC6584">
        <v>19.111000000000001</v>
      </c>
      <c r="AD6584">
        <v>-1.1147656577330001</v>
      </c>
      <c r="AE6584">
        <v>6.2480000000000002</v>
      </c>
      <c r="AF6584">
        <v>-4.3757215014164101</v>
      </c>
      <c r="AG6584">
        <v>-1.1147656577330001</v>
      </c>
      <c r="AH6584">
        <v>19.561362290375399</v>
      </c>
      <c r="AI6584">
        <v>93.183152443876196</v>
      </c>
      <c r="AJ6584">
        <v>102.60903531115601</v>
      </c>
      <c r="AK6584">
        <v>20.0757698678018</v>
      </c>
      <c r="AL6584">
        <v>77.977616925659902</v>
      </c>
      <c r="AM6584">
        <v>94.232112719628404</v>
      </c>
      <c r="AN6584">
        <v>1.00000001697231</v>
      </c>
    </row>
    <row r="6585" spans="1:40" x14ac:dyDescent="0.25">
      <c r="A6585" t="str">
        <f>"20190312173054017"</f>
        <v>20190312173054017</v>
      </c>
      <c r="B6585" t="str">
        <f>"1552383054013898"</f>
        <v>1552383054013898</v>
      </c>
      <c r="C6585" t="s">
        <v>40</v>
      </c>
      <c r="D6585">
        <v>3.1590560000000001</v>
      </c>
      <c r="E6585">
        <v>0.44383319999999998</v>
      </c>
      <c r="F6585" t="s">
        <v>54</v>
      </c>
      <c r="G6585">
        <v>-197.69489999999999</v>
      </c>
      <c r="H6585" s="1">
        <v>-8.666362E-6</v>
      </c>
      <c r="I6585">
        <v>-55.728549999999998</v>
      </c>
      <c r="J6585">
        <v>-216.49350000000001</v>
      </c>
      <c r="K6585">
        <v>1.1148129999999901</v>
      </c>
      <c r="L6585">
        <v>-61.936070000000001</v>
      </c>
      <c r="M6585">
        <v>0.99503730000000001</v>
      </c>
      <c r="N6585">
        <v>0</v>
      </c>
      <c r="O6585">
        <v>9.8400899999999999E-2</v>
      </c>
      <c r="P6585">
        <v>0.96665190000000001</v>
      </c>
      <c r="Q6585">
        <v>0.1949707</v>
      </c>
      <c r="R6585">
        <v>0.16604530000000001</v>
      </c>
      <c r="S6585">
        <v>2.9722900000000001</v>
      </c>
      <c r="T6585">
        <v>-0.1747078</v>
      </c>
      <c r="U6585">
        <v>0.97573849999999995</v>
      </c>
      <c r="V6585">
        <v>-7.2498549999999995E-2</v>
      </c>
      <c r="W6585">
        <v>0.20858479999999999</v>
      </c>
      <c r="X6585">
        <v>0.97531350000000006</v>
      </c>
      <c r="Y6585">
        <v>-0.21670239999999999</v>
      </c>
      <c r="Z6585">
        <v>5.9766559999999895E-4</v>
      </c>
      <c r="AA6585">
        <v>0.97623749999999998</v>
      </c>
      <c r="AB6585">
        <v>34</v>
      </c>
      <c r="AC6585">
        <v>18.7986</v>
      </c>
      <c r="AD6585">
        <v>-1.1148216663620001</v>
      </c>
      <c r="AE6585">
        <v>6.2075199999999899</v>
      </c>
      <c r="AF6585">
        <v>-4.31370728506392</v>
      </c>
      <c r="AG6585">
        <v>-1.1148216663620001</v>
      </c>
      <c r="AH6585">
        <v>19.2571730776456</v>
      </c>
      <c r="AI6585">
        <v>93.233274864881906</v>
      </c>
      <c r="AJ6585">
        <v>102.626121653542</v>
      </c>
      <c r="AK6585">
        <v>19.7658698981705</v>
      </c>
      <c r="AL6585">
        <v>77.960569703128698</v>
      </c>
      <c r="AM6585">
        <v>94.251182318063698</v>
      </c>
      <c r="AN6585">
        <v>1.0000000409126899</v>
      </c>
    </row>
    <row r="6586" spans="1:40" x14ac:dyDescent="0.25">
      <c r="A6586" t="str">
        <f>"20190312173054029"</f>
        <v>20190312173054029</v>
      </c>
      <c r="B6586" t="str">
        <f>"1552383054023661"</f>
        <v>1552383054023661</v>
      </c>
      <c r="C6586" t="s">
        <v>40</v>
      </c>
      <c r="D6586">
        <v>3.1172119999999999</v>
      </c>
      <c r="E6586">
        <v>0.44409769999999998</v>
      </c>
      <c r="F6586" t="s">
        <v>54</v>
      </c>
      <c r="G6586">
        <v>-197.35</v>
      </c>
      <c r="H6586" s="1">
        <v>-8.6713579999999998E-6</v>
      </c>
      <c r="I6586">
        <v>-55.603789999999996</v>
      </c>
      <c r="J6586">
        <v>-216.32599999999999</v>
      </c>
      <c r="K6586">
        <v>1.1148670000000001</v>
      </c>
      <c r="L6586">
        <v>-61.917079999999999</v>
      </c>
      <c r="M6586">
        <v>0.99476810000000004</v>
      </c>
      <c r="N6586">
        <v>0</v>
      </c>
      <c r="O6586">
        <v>0.10108499999999999</v>
      </c>
      <c r="P6586">
        <v>0.9661227</v>
      </c>
      <c r="Q6586">
        <v>0.19499349999999999</v>
      </c>
      <c r="R6586">
        <v>0.16906889999999999</v>
      </c>
      <c r="S6586">
        <v>2.9696500000000001</v>
      </c>
      <c r="T6586">
        <v>-0.1729376</v>
      </c>
      <c r="U6586">
        <v>0.98229979999999995</v>
      </c>
      <c r="V6586">
        <v>-7.2946650000000002E-2</v>
      </c>
      <c r="W6586">
        <v>0.20859730000000001</v>
      </c>
      <c r="X6586">
        <v>0.97527739999999996</v>
      </c>
      <c r="Y6586">
        <v>-0.21627969999999999</v>
      </c>
      <c r="Z6586">
        <v>4.2972250000000001E-4</v>
      </c>
      <c r="AA6586">
        <v>0.97633139999999996</v>
      </c>
      <c r="AB6586">
        <v>34</v>
      </c>
      <c r="AC6586">
        <v>18.975999999999999</v>
      </c>
      <c r="AD6586">
        <v>-1.1148756713579999</v>
      </c>
      <c r="AE6586">
        <v>6.3132900000000003</v>
      </c>
      <c r="AF6586">
        <v>-4.3490307641180701</v>
      </c>
      <c r="AG6586">
        <v>-1.1148756713579999</v>
      </c>
      <c r="AH6586">
        <v>19.456561441587699</v>
      </c>
      <c r="AI6586">
        <v>93.200691342096704</v>
      </c>
      <c r="AJ6586">
        <v>102.59992712283901</v>
      </c>
      <c r="AK6586">
        <v>19.967844137014598</v>
      </c>
      <c r="AL6586">
        <v>77.959837228943599</v>
      </c>
      <c r="AM6586">
        <v>94.277518600863601</v>
      </c>
      <c r="AN6586">
        <v>1.0000000271321301</v>
      </c>
    </row>
    <row r="6587" spans="1:40" x14ac:dyDescent="0.25">
      <c r="A6587" t="str">
        <f>"20190312173054040"</f>
        <v>20190312173054040</v>
      </c>
      <c r="B6587" t="str">
        <f>"1552383054034394"</f>
        <v>1552383054034394</v>
      </c>
      <c r="C6587" t="s">
        <v>40</v>
      </c>
      <c r="D6587">
        <v>3.181155</v>
      </c>
      <c r="E6587">
        <v>0.44426539999999998</v>
      </c>
      <c r="F6587" t="s">
        <v>54</v>
      </c>
      <c r="G6587">
        <v>-197.44929999999999</v>
      </c>
      <c r="H6587" s="1">
        <v>-8.6763080000000005E-6</v>
      </c>
      <c r="I6587">
        <v>-55.621519999999997</v>
      </c>
      <c r="J6587">
        <v>-216.15710000000001</v>
      </c>
      <c r="K6587">
        <v>1.1149199999999999</v>
      </c>
      <c r="L6587">
        <v>-61.897519999999901</v>
      </c>
      <c r="M6587">
        <v>0.99448669999999995</v>
      </c>
      <c r="N6587">
        <v>0</v>
      </c>
      <c r="O6587">
        <v>0.1038159</v>
      </c>
      <c r="P6587">
        <v>0.96555139999999995</v>
      </c>
      <c r="Q6587">
        <v>0.19520180000000001</v>
      </c>
      <c r="R6587">
        <v>0.1720662</v>
      </c>
      <c r="S6587">
        <v>2.9673919999999998</v>
      </c>
      <c r="T6587">
        <v>-0.175257</v>
      </c>
      <c r="U6587">
        <v>0.98965449999999999</v>
      </c>
      <c r="V6587">
        <v>-7.3329939999999996E-2</v>
      </c>
      <c r="W6587">
        <v>0.20879510000000001</v>
      </c>
      <c r="X6587">
        <v>0.97520629999999997</v>
      </c>
      <c r="Y6587">
        <v>-0.21599969999999999</v>
      </c>
      <c r="Z6587">
        <v>2.7274709999999998E-4</v>
      </c>
      <c r="AA6587">
        <v>0.97639339999999997</v>
      </c>
      <c r="AB6587">
        <v>34</v>
      </c>
      <c r="AC6587">
        <v>18.707799999999999</v>
      </c>
      <c r="AD6587">
        <v>-1.114928676308</v>
      </c>
      <c r="AE6587">
        <v>6.27599999999999</v>
      </c>
      <c r="AF6587">
        <v>-4.2860179839538803</v>
      </c>
      <c r="AG6587">
        <v>-1.114928676308</v>
      </c>
      <c r="AH6587">
        <v>19.1970239825141</v>
      </c>
      <c r="AI6587">
        <v>93.244205125217206</v>
      </c>
      <c r="AJ6587">
        <v>102.58571442308001</v>
      </c>
      <c r="AK6587">
        <v>19.7012371666668</v>
      </c>
      <c r="AL6587">
        <v>77.948248633243196</v>
      </c>
      <c r="AM6587">
        <v>94.300222586543697</v>
      </c>
      <c r="AN6587">
        <v>1.00000000072205</v>
      </c>
    </row>
    <row r="6588" spans="1:40" x14ac:dyDescent="0.25">
      <c r="A6588" t="str">
        <f>"20190312173054051"</f>
        <v>20190312173054051</v>
      </c>
      <c r="B6588" t="str">
        <f>"1552383054044154"</f>
        <v>1552383054044154</v>
      </c>
      <c r="C6588" t="s">
        <v>40</v>
      </c>
      <c r="D6588">
        <v>3.1940170000000001</v>
      </c>
      <c r="E6588">
        <v>0.44443240000000001</v>
      </c>
      <c r="F6588" t="s">
        <v>54</v>
      </c>
      <c r="G6588">
        <v>-197.19149999999999</v>
      </c>
      <c r="H6588" s="1">
        <v>-8.6848700000000001E-6</v>
      </c>
      <c r="I6588">
        <v>-55.514510000000001</v>
      </c>
      <c r="J6588">
        <v>-215.98310000000001</v>
      </c>
      <c r="K6588">
        <v>1.1149720000000001</v>
      </c>
      <c r="L6588">
        <v>-61.876710000000003</v>
      </c>
      <c r="M6588">
        <v>0.99418470000000003</v>
      </c>
      <c r="N6588">
        <v>0</v>
      </c>
      <c r="O6588">
        <v>0.106669</v>
      </c>
      <c r="P6588">
        <v>0.96492480000000003</v>
      </c>
      <c r="Q6588">
        <v>0.19543949999999999</v>
      </c>
      <c r="R6588">
        <v>0.1752813</v>
      </c>
      <c r="S6588">
        <v>2.9644620000000002</v>
      </c>
      <c r="T6588">
        <v>-0.1742715</v>
      </c>
      <c r="U6588">
        <v>0.99771120000000002</v>
      </c>
      <c r="V6588">
        <v>-7.3816419999999994E-2</v>
      </c>
      <c r="W6588">
        <v>0.20902119999999999</v>
      </c>
      <c r="X6588">
        <v>0.97512109999999996</v>
      </c>
      <c r="Y6588">
        <v>-0.21587980000000001</v>
      </c>
      <c r="Z6588">
        <v>1.070979E-4</v>
      </c>
      <c r="AA6588">
        <v>0.97641990000000001</v>
      </c>
      <c r="AB6588">
        <v>34</v>
      </c>
      <c r="AC6588">
        <v>18.791599999999999</v>
      </c>
      <c r="AD6588">
        <v>-1.1149806848699999</v>
      </c>
      <c r="AE6588">
        <v>6.3621999999999996</v>
      </c>
      <c r="AF6588">
        <v>-4.3075874367430202</v>
      </c>
      <c r="AG6588">
        <v>-1.1149806848699999</v>
      </c>
      <c r="AH6588">
        <v>19.3021210308086</v>
      </c>
      <c r="AI6588">
        <v>93.226795764525406</v>
      </c>
      <c r="AJ6588">
        <v>102.580356309499</v>
      </c>
      <c r="AK6588">
        <v>19.8083408628992</v>
      </c>
      <c r="AL6588">
        <v>77.935001059447202</v>
      </c>
      <c r="AM6588">
        <v>94.329019499588995</v>
      </c>
      <c r="AN6588">
        <v>0.99999994278813098</v>
      </c>
    </row>
    <row r="6589" spans="1:40" x14ac:dyDescent="0.25">
      <c r="A6589" t="str">
        <f>"20190312173054063"</f>
        <v>20190312173054063</v>
      </c>
      <c r="B6589" t="str">
        <f>"1552383054053914"</f>
        <v>1552383054053914</v>
      </c>
      <c r="C6589" t="s">
        <v>40</v>
      </c>
      <c r="D6589">
        <v>3.1379079999999999</v>
      </c>
      <c r="E6589">
        <v>0.44453219999999999</v>
      </c>
      <c r="F6589" t="s">
        <v>54</v>
      </c>
      <c r="G6589">
        <v>-196.89240000000001</v>
      </c>
      <c r="H6589" s="1">
        <v>-8.6953510000000008E-6</v>
      </c>
      <c r="I6589">
        <v>-55.38879</v>
      </c>
      <c r="J6589">
        <v>-215.81010000000001</v>
      </c>
      <c r="K6589">
        <v>1.1150249999999999</v>
      </c>
      <c r="L6589">
        <v>-61.855739999999997</v>
      </c>
      <c r="M6589">
        <v>0.9938747</v>
      </c>
      <c r="N6589">
        <v>0</v>
      </c>
      <c r="O6589">
        <v>0.109519699999999</v>
      </c>
      <c r="P6589">
        <v>0.96437799999999996</v>
      </c>
      <c r="Q6589">
        <v>0.19533890000000001</v>
      </c>
      <c r="R6589">
        <v>0.17837629999999999</v>
      </c>
      <c r="S6589">
        <v>2.9612729999999998</v>
      </c>
      <c r="T6589">
        <v>-0.17295099999999999</v>
      </c>
      <c r="U6589">
        <v>1.006378</v>
      </c>
      <c r="V6589">
        <v>-7.4172959999999996E-2</v>
      </c>
      <c r="W6589">
        <v>0.20891119999999999</v>
      </c>
      <c r="X6589">
        <v>0.97511769999999998</v>
      </c>
      <c r="Y6589">
        <v>-0.2159683</v>
      </c>
      <c r="Z6589" s="1">
        <v>-5.0592700000000001E-5</v>
      </c>
      <c r="AA6589">
        <v>0.97640039999999995</v>
      </c>
      <c r="AB6589">
        <v>34</v>
      </c>
      <c r="AC6589">
        <v>18.9177</v>
      </c>
      <c r="AD6589">
        <v>-1.1150336953509901</v>
      </c>
      <c r="AE6589">
        <v>6.4669499999999998</v>
      </c>
      <c r="AF6589">
        <v>-4.3424456000605396</v>
      </c>
      <c r="AG6589">
        <v>-1.1150336953509901</v>
      </c>
      <c r="AH6589">
        <v>19.451707784382499</v>
      </c>
      <c r="AI6589">
        <v>93.202133410431699</v>
      </c>
      <c r="AJ6589">
        <v>102.584495939532</v>
      </c>
      <c r="AK6589">
        <v>19.9616900502002</v>
      </c>
      <c r="AL6589">
        <v>77.941446862549597</v>
      </c>
      <c r="AM6589">
        <v>94.349864104530695</v>
      </c>
      <c r="AN6589">
        <v>1.0000000231669399</v>
      </c>
    </row>
    <row r="6590" spans="1:40" x14ac:dyDescent="0.25">
      <c r="A6590" t="str">
        <f>"20190312173054074"</f>
        <v>20190312173054074</v>
      </c>
      <c r="B6590" t="str">
        <f>"1552383054063674"</f>
        <v>1552383054063674</v>
      </c>
      <c r="C6590" t="s">
        <v>40</v>
      </c>
      <c r="D6590">
        <v>3.1734990000000001</v>
      </c>
      <c r="E6590">
        <v>0.44475409999999999</v>
      </c>
      <c r="F6590" t="s">
        <v>54</v>
      </c>
      <c r="G6590">
        <v>-196.69319999999999</v>
      </c>
      <c r="H6590" s="1">
        <v>-8.7051530000000007E-6</v>
      </c>
      <c r="I6590">
        <v>-55.297040000000003</v>
      </c>
      <c r="J6590">
        <v>-215.64429999999999</v>
      </c>
      <c r="K6590">
        <v>1.1150719999999901</v>
      </c>
      <c r="L6590">
        <v>-61.834809999999997</v>
      </c>
      <c r="M6590">
        <v>0.993564</v>
      </c>
      <c r="N6590">
        <v>0</v>
      </c>
      <c r="O6590">
        <v>0.112303399999999</v>
      </c>
      <c r="P6590">
        <v>0.96380169999999998</v>
      </c>
      <c r="Q6590">
        <v>0.19533700000000001</v>
      </c>
      <c r="R6590">
        <v>0.1814665</v>
      </c>
      <c r="S6590">
        <v>2.9580540000000002</v>
      </c>
      <c r="T6590">
        <v>-0.17253489999999999</v>
      </c>
      <c r="U6590">
        <v>1.0148619999999999</v>
      </c>
      <c r="V6590">
        <v>-7.4593019999999996E-2</v>
      </c>
      <c r="W6590">
        <v>0.20889949999999999</v>
      </c>
      <c r="X6590">
        <v>0.97508810000000001</v>
      </c>
      <c r="Y6590">
        <v>-0.21606939999999999</v>
      </c>
      <c r="Z6590">
        <v>-2.029547E-4</v>
      </c>
      <c r="AA6590">
        <v>0.97637799999999997</v>
      </c>
      <c r="AB6590">
        <v>34</v>
      </c>
      <c r="AC6590">
        <v>18.9511</v>
      </c>
      <c r="AD6590">
        <v>-1.1150807051529901</v>
      </c>
      <c r="AE6590">
        <v>6.5377699999999903</v>
      </c>
      <c r="AF6590">
        <v>-4.3544249788668399</v>
      </c>
      <c r="AG6590">
        <v>-1.1150807051529901</v>
      </c>
      <c r="AH6590">
        <v>19.505135079980299</v>
      </c>
      <c r="AI6590">
        <v>93.193513039194698</v>
      </c>
      <c r="AJ6590">
        <v>102.584641834164</v>
      </c>
      <c r="AK6590">
        <v>20.0163612168611</v>
      </c>
      <c r="AL6590">
        <v>77.942131589952794</v>
      </c>
      <c r="AM6590">
        <v>94.374535396781297</v>
      </c>
      <c r="AN6590">
        <v>0.99999996124728896</v>
      </c>
    </row>
    <row r="6591" spans="1:40" x14ac:dyDescent="0.25">
      <c r="A6591" t="str">
        <f>"20190312173054086"</f>
        <v>20190312173054086</v>
      </c>
      <c r="B6591" t="str">
        <f>"1552383054074410"</f>
        <v>1552383054074410</v>
      </c>
      <c r="C6591" t="s">
        <v>40</v>
      </c>
      <c r="D6591">
        <v>3.0790160000000002</v>
      </c>
      <c r="E6591">
        <v>0.44491249999999999</v>
      </c>
      <c r="F6591" t="s">
        <v>54</v>
      </c>
      <c r="G6591">
        <v>-196.54519999999999</v>
      </c>
      <c r="H6591" s="1">
        <v>-8.7140410000000004E-6</v>
      </c>
      <c r="I6591">
        <v>-55.224299999999999</v>
      </c>
      <c r="J6591">
        <v>-215.47649999999999</v>
      </c>
      <c r="K6591">
        <v>1.1151230000000001</v>
      </c>
      <c r="L6591">
        <v>-61.813389999999998</v>
      </c>
      <c r="M6591">
        <v>0.99324009999999996</v>
      </c>
      <c r="N6591">
        <v>0</v>
      </c>
      <c r="O6591">
        <v>0.1151306</v>
      </c>
      <c r="P6591">
        <v>0.96317419999999998</v>
      </c>
      <c r="Q6591">
        <v>0.1954814</v>
      </c>
      <c r="R6591">
        <v>0.18461420000000001</v>
      </c>
      <c r="S6591">
        <v>2.955063</v>
      </c>
      <c r="T6591">
        <v>-0.1725285</v>
      </c>
      <c r="U6591">
        <v>1.022797</v>
      </c>
      <c r="V6591">
        <v>-7.50358E-2</v>
      </c>
      <c r="W6591">
        <v>0.20903289999999999</v>
      </c>
      <c r="X6591">
        <v>0.97502560000000005</v>
      </c>
      <c r="Y6591">
        <v>-0.21594140000000001</v>
      </c>
      <c r="Z6591">
        <v>-3.64433E-4</v>
      </c>
      <c r="AA6591">
        <v>0.97640629999999995</v>
      </c>
      <c r="AB6591">
        <v>34</v>
      </c>
      <c r="AC6591">
        <v>18.9313</v>
      </c>
      <c r="AD6591">
        <v>-1.11513171404099</v>
      </c>
      <c r="AE6591">
        <v>6.5890899999999997</v>
      </c>
      <c r="AF6591">
        <v>-4.3519861442170997</v>
      </c>
      <c r="AG6591">
        <v>-1.11513171404099</v>
      </c>
      <c r="AH6591">
        <v>19.5037151249449</v>
      </c>
      <c r="AI6591">
        <v>93.193964573191593</v>
      </c>
      <c r="AJ6591">
        <v>102.57870431729999</v>
      </c>
      <c r="AK6591">
        <v>20.014449925344501</v>
      </c>
      <c r="AL6591">
        <v>77.934316533512899</v>
      </c>
      <c r="AM6591">
        <v>94.400681665219196</v>
      </c>
      <c r="AN6591">
        <v>1.0000000226096999</v>
      </c>
    </row>
    <row r="6592" spans="1:40" x14ac:dyDescent="0.25">
      <c r="A6592" t="str">
        <f>"20190312173054096"</f>
        <v>20190312173054096</v>
      </c>
      <c r="B6592" t="str">
        <f>"1552383054084169"</f>
        <v>1552383054084169</v>
      </c>
      <c r="C6592" t="s">
        <v>40</v>
      </c>
      <c r="D6592">
        <v>3.0891280000000001</v>
      </c>
      <c r="E6592">
        <v>0.44509710000000002</v>
      </c>
      <c r="F6592" t="s">
        <v>54</v>
      </c>
      <c r="G6592">
        <v>-196.31720000000001</v>
      </c>
      <c r="H6592" s="1">
        <v>-8.7250060000000001E-6</v>
      </c>
      <c r="I6592">
        <v>-55.119979999999998</v>
      </c>
      <c r="J6592">
        <v>-215.30959999999999</v>
      </c>
      <c r="K6592">
        <v>1.1151719999999901</v>
      </c>
      <c r="L6592">
        <v>-61.791379999999997</v>
      </c>
      <c r="M6592">
        <v>0.99290560000000005</v>
      </c>
      <c r="N6592">
        <v>0</v>
      </c>
      <c r="O6592">
        <v>0.1179814</v>
      </c>
      <c r="P6592">
        <v>0.96261390000000002</v>
      </c>
      <c r="Q6592">
        <v>0.19531899999999999</v>
      </c>
      <c r="R6592">
        <v>0.1876843</v>
      </c>
      <c r="S6592">
        <v>2.9518740000000001</v>
      </c>
      <c r="T6592">
        <v>-0.17180790000000001</v>
      </c>
      <c r="U6592">
        <v>1.03125</v>
      </c>
      <c r="V6592">
        <v>-7.5364979999999998E-2</v>
      </c>
      <c r="W6592">
        <v>0.20886179999999999</v>
      </c>
      <c r="X6592">
        <v>0.97503689999999998</v>
      </c>
      <c r="Y6592">
        <v>-0.2159642</v>
      </c>
      <c r="Z6592">
        <v>-5.2084539999999995E-4</v>
      </c>
      <c r="AA6592">
        <v>0.97640119999999997</v>
      </c>
      <c r="AB6592">
        <v>34</v>
      </c>
      <c r="AC6592">
        <v>18.9923999999999</v>
      </c>
      <c r="AD6592">
        <v>-1.11518072500599</v>
      </c>
      <c r="AE6592">
        <v>6.6713999999999896</v>
      </c>
      <c r="AF6592">
        <v>-4.3703873789553498</v>
      </c>
      <c r="AG6592">
        <v>-1.11518072500599</v>
      </c>
      <c r="AH6592">
        <v>19.586799056821501</v>
      </c>
      <c r="AI6592">
        <v>93.180588423840604</v>
      </c>
      <c r="AJ6592">
        <v>102.578320329265</v>
      </c>
      <c r="AK6592">
        <v>20.099418180232501</v>
      </c>
      <c r="AL6592">
        <v>77.944341377026603</v>
      </c>
      <c r="AM6592">
        <v>94.419859980993607</v>
      </c>
      <c r="AN6592">
        <v>1.00000004403562</v>
      </c>
    </row>
    <row r="6593" spans="1:40" x14ac:dyDescent="0.25">
      <c r="A6593" t="str">
        <f>"20190312173054107"</f>
        <v>20190312173054107</v>
      </c>
      <c r="B6593" t="str">
        <f>"1552383054103690"</f>
        <v>1552383054103690</v>
      </c>
      <c r="C6593" t="s">
        <v>40</v>
      </c>
      <c r="D6593">
        <v>3.1021730000000001</v>
      </c>
      <c r="E6593">
        <v>0.44538640000000002</v>
      </c>
      <c r="F6593" t="s">
        <v>54</v>
      </c>
      <c r="G6593">
        <v>-196.20330000000001</v>
      </c>
      <c r="H6593" s="1">
        <v>-8.7338059999999906E-6</v>
      </c>
      <c r="I6593">
        <v>-55.058419999999998</v>
      </c>
      <c r="J6593">
        <v>-215.15700000000001</v>
      </c>
      <c r="K6593">
        <v>1.115211</v>
      </c>
      <c r="L6593">
        <v>-61.770899999999997</v>
      </c>
      <c r="M6593">
        <v>0.99259010000000003</v>
      </c>
      <c r="N6593">
        <v>0</v>
      </c>
      <c r="O6593">
        <v>0.1206063</v>
      </c>
      <c r="P6593">
        <v>0.96205359999999995</v>
      </c>
      <c r="Q6593">
        <v>0.1952711</v>
      </c>
      <c r="R6593">
        <v>0.19058369999999999</v>
      </c>
      <c r="S6593">
        <v>2.9488370000000002</v>
      </c>
      <c r="T6593">
        <v>-0.17211509999999999</v>
      </c>
      <c r="U6593">
        <v>1.0391539999999999</v>
      </c>
      <c r="V6593">
        <v>-7.57467E-2</v>
      </c>
      <c r="W6593">
        <v>0.20880489999999999</v>
      </c>
      <c r="X6593">
        <v>0.97501950000000004</v>
      </c>
      <c r="Y6593">
        <v>-0.21602879999999999</v>
      </c>
      <c r="Z6593">
        <v>-6.6628770000000002E-4</v>
      </c>
      <c r="AA6593">
        <v>0.9763868</v>
      </c>
      <c r="AB6593">
        <v>34</v>
      </c>
      <c r="AC6593">
        <v>18.953700000000001</v>
      </c>
      <c r="AD6593">
        <v>-1.1152197338059999</v>
      </c>
      <c r="AE6593">
        <v>6.7124799999999896</v>
      </c>
      <c r="AF6593">
        <v>-4.3638607513571701</v>
      </c>
      <c r="AG6593">
        <v>-1.1152197338059999</v>
      </c>
      <c r="AH6593">
        <v>19.5647860093021</v>
      </c>
      <c r="AI6593">
        <v>93.184326551018302</v>
      </c>
      <c r="AJ6593">
        <v>102.573815352582</v>
      </c>
      <c r="AK6593">
        <v>20.076549686180901</v>
      </c>
      <c r="AL6593">
        <v>77.947674924365501</v>
      </c>
      <c r="AM6593">
        <v>94.442235939114994</v>
      </c>
      <c r="AN6593">
        <v>1.0000000371025699</v>
      </c>
    </row>
    <row r="6594" spans="1:40" x14ac:dyDescent="0.25">
      <c r="A6594" t="str">
        <f>"20190312173054118"</f>
        <v>20190312173054118</v>
      </c>
      <c r="B6594" t="str">
        <f>"1552383054114426"</f>
        <v>1552383054114426</v>
      </c>
      <c r="C6594" t="s">
        <v>40</v>
      </c>
      <c r="D6594">
        <v>3.1028959999999999</v>
      </c>
      <c r="E6594">
        <v>0.4455268</v>
      </c>
      <c r="F6594" t="s">
        <v>54</v>
      </c>
      <c r="G6594">
        <v>-196.09549999999999</v>
      </c>
      <c r="H6594" s="1">
        <v>-8.740891E-6</v>
      </c>
      <c r="I6594">
        <v>-55.003680000000003</v>
      </c>
      <c r="J6594">
        <v>-214.99119999999999</v>
      </c>
      <c r="K6594">
        <v>1.115259</v>
      </c>
      <c r="L6594">
        <v>-61.748170000000002</v>
      </c>
      <c r="M6594">
        <v>0.99223570000000005</v>
      </c>
      <c r="N6594">
        <v>0</v>
      </c>
      <c r="O6594">
        <v>0.1234875</v>
      </c>
      <c r="P6594">
        <v>0.96144070000000004</v>
      </c>
      <c r="Q6594">
        <v>0.1951551</v>
      </c>
      <c r="R6594">
        <v>0.19376869999999999</v>
      </c>
      <c r="S6594">
        <v>2.9461059999999999</v>
      </c>
      <c r="T6594">
        <v>-0.17236609999999999</v>
      </c>
      <c r="U6594">
        <v>1.0459290000000001</v>
      </c>
      <c r="V6594">
        <v>-7.6165360000000001E-2</v>
      </c>
      <c r="W6594">
        <v>0.208679</v>
      </c>
      <c r="X6594">
        <v>0.97501380000000004</v>
      </c>
      <c r="Y6594">
        <v>-0.215478</v>
      </c>
      <c r="Z6594">
        <v>-8.4381919999999995E-4</v>
      </c>
      <c r="AA6594">
        <v>0.9765083</v>
      </c>
      <c r="AB6594">
        <v>34</v>
      </c>
      <c r="AC6594">
        <v>18.895700000000001</v>
      </c>
      <c r="AD6594">
        <v>-1.1152677408909999</v>
      </c>
      <c r="AE6594">
        <v>6.7444899999999901</v>
      </c>
      <c r="AF6594">
        <v>-4.3457903441990098</v>
      </c>
      <c r="AG6594">
        <v>-1.1152677408909999</v>
      </c>
      <c r="AH6594">
        <v>19.523666885527799</v>
      </c>
      <c r="AI6594">
        <v>93.191464494776696</v>
      </c>
      <c r="AJ6594">
        <v>102.548935093273</v>
      </c>
      <c r="AK6594">
        <v>20.032555615963201</v>
      </c>
      <c r="AL6594">
        <v>77.955050480894599</v>
      </c>
      <c r="AM6594">
        <v>94.466715565074594</v>
      </c>
      <c r="AN6594">
        <v>0.99999999864768396</v>
      </c>
    </row>
    <row r="6595" spans="1:40" x14ac:dyDescent="0.25">
      <c r="A6595" t="str">
        <f>"20190312173054130"</f>
        <v>20190312173054130</v>
      </c>
      <c r="B6595" t="str">
        <f>"1552383054124190"</f>
        <v>1552383054124190</v>
      </c>
      <c r="C6595" t="s">
        <v>40</v>
      </c>
      <c r="D6595">
        <v>3.0717919999999999</v>
      </c>
      <c r="E6595">
        <v>0.44568469999999999</v>
      </c>
      <c r="F6595" t="s">
        <v>54</v>
      </c>
      <c r="G6595">
        <v>-196.01050000000001</v>
      </c>
      <c r="H6595" s="1">
        <v>-8.7522730000000004E-6</v>
      </c>
      <c r="I6595">
        <v>-54.944029999999998</v>
      </c>
      <c r="J6595">
        <v>-214.8192</v>
      </c>
      <c r="K6595">
        <v>1.1153059999999999</v>
      </c>
      <c r="L6595">
        <v>-61.723939999999999</v>
      </c>
      <c r="M6595">
        <v>0.99185509999999999</v>
      </c>
      <c r="N6595">
        <v>0</v>
      </c>
      <c r="O6595">
        <v>0.1265076</v>
      </c>
      <c r="P6595">
        <v>0.96080270000000001</v>
      </c>
      <c r="Q6595">
        <v>0.19497249999999999</v>
      </c>
      <c r="R6595">
        <v>0.1970894</v>
      </c>
      <c r="S6595">
        <v>2.9428100000000001</v>
      </c>
      <c r="T6595">
        <v>-0.17291400000000001</v>
      </c>
      <c r="U6595">
        <v>1.054932</v>
      </c>
      <c r="V6595">
        <v>-7.6585139999999996E-2</v>
      </c>
      <c r="W6595">
        <v>0.20848630000000001</v>
      </c>
      <c r="X6595">
        <v>0.9750221</v>
      </c>
      <c r="Y6595">
        <v>-0.21550330000000001</v>
      </c>
      <c r="Z6595">
        <v>-1.0150269999999999E-3</v>
      </c>
      <c r="AA6595">
        <v>0.9765026</v>
      </c>
      <c r="AB6595">
        <v>34</v>
      </c>
      <c r="AC6595">
        <v>18.808699999999899</v>
      </c>
      <c r="AD6595">
        <v>-1.11531475227299</v>
      </c>
      <c r="AE6595">
        <v>6.7799099999999903</v>
      </c>
      <c r="AF6595">
        <v>-4.3322398948593204</v>
      </c>
      <c r="AG6595">
        <v>-1.11531475227299</v>
      </c>
      <c r="AH6595">
        <v>19.454813894523198</v>
      </c>
      <c r="AI6595">
        <v>93.202808854495501</v>
      </c>
      <c r="AJ6595">
        <v>102.553917397929</v>
      </c>
      <c r="AK6595">
        <v>19.9625152015917</v>
      </c>
      <c r="AL6595">
        <v>77.966339192874599</v>
      </c>
      <c r="AM6595">
        <v>94.491195031281507</v>
      </c>
      <c r="AN6595">
        <v>0.99999995822245902</v>
      </c>
    </row>
    <row r="6596" spans="1:40" x14ac:dyDescent="0.25">
      <c r="A6596" t="str">
        <f>"20190312173054140"</f>
        <v>20190312173054140</v>
      </c>
      <c r="B6596" t="str">
        <f>"1552383054133946"</f>
        <v>1552383054133946</v>
      </c>
      <c r="C6596" t="s">
        <v>40</v>
      </c>
      <c r="D6596">
        <v>3.1680419999999998</v>
      </c>
      <c r="E6596">
        <v>0.44593430000000001</v>
      </c>
      <c r="F6596" t="s">
        <v>54</v>
      </c>
      <c r="G6596">
        <v>-195.95179999999999</v>
      </c>
      <c r="H6596" s="1">
        <v>-8.7627979999999997E-6</v>
      </c>
      <c r="I6596">
        <v>-54.895229999999998</v>
      </c>
      <c r="J6596">
        <v>-214.65729999999999</v>
      </c>
      <c r="K6596">
        <v>1.115351</v>
      </c>
      <c r="L6596">
        <v>-61.700839999999999</v>
      </c>
      <c r="M6596">
        <v>0.99148559999999997</v>
      </c>
      <c r="N6596">
        <v>0</v>
      </c>
      <c r="O6596">
        <v>0.12937109999999999</v>
      </c>
      <c r="P6596">
        <v>0.96019169999999998</v>
      </c>
      <c r="Q6596">
        <v>0.19464799999999999</v>
      </c>
      <c r="R6596">
        <v>0.2003597</v>
      </c>
      <c r="S6596">
        <v>2.9394230000000001</v>
      </c>
      <c r="T6596">
        <v>-0.17375969999999999</v>
      </c>
      <c r="U6596">
        <v>1.0638729999999901</v>
      </c>
      <c r="V6596">
        <v>-7.7101249999999996E-2</v>
      </c>
      <c r="W6596">
        <v>0.20815149999999999</v>
      </c>
      <c r="X6596">
        <v>0.97505299999999995</v>
      </c>
      <c r="Y6596">
        <v>-0.2156728</v>
      </c>
      <c r="Z6596">
        <v>-1.176498E-3</v>
      </c>
      <c r="AA6596">
        <v>0.97646500000000003</v>
      </c>
      <c r="AB6596">
        <v>34</v>
      </c>
      <c r="AC6596">
        <v>18.705500000000001</v>
      </c>
      <c r="AD6596">
        <v>-1.1153597627980001</v>
      </c>
      <c r="AE6596">
        <v>6.8056099999999899</v>
      </c>
      <c r="AF6596">
        <v>-4.3146409640466299</v>
      </c>
      <c r="AG6596">
        <v>-1.1153597627980001</v>
      </c>
      <c r="AH6596">
        <v>19.368003134219599</v>
      </c>
      <c r="AI6596">
        <v>93.217202942164505</v>
      </c>
      <c r="AJ6596">
        <v>102.55879973942599</v>
      </c>
      <c r="AK6596">
        <v>19.874096192185402</v>
      </c>
      <c r="AL6596">
        <v>77.985952634141</v>
      </c>
      <c r="AM6596">
        <v>94.521193590941195</v>
      </c>
      <c r="AN6596">
        <v>1.0000000012564001</v>
      </c>
    </row>
    <row r="6597" spans="1:40" x14ac:dyDescent="0.25">
      <c r="A6597" t="str">
        <f>"20190312173054152"</f>
        <v>20190312173054152</v>
      </c>
      <c r="B6597" t="str">
        <f>"1552383054143706"</f>
        <v>1552383054143706</v>
      </c>
      <c r="C6597" t="s">
        <v>40</v>
      </c>
      <c r="D6597">
        <v>3.0651760000000001</v>
      </c>
      <c r="E6597">
        <v>0.44621759999999999</v>
      </c>
      <c r="F6597" t="s">
        <v>54</v>
      </c>
      <c r="G6597">
        <v>-195.92869999999999</v>
      </c>
      <c r="H6597" s="1">
        <v>-8.7711710000000007E-6</v>
      </c>
      <c r="I6597">
        <v>-54.863990000000001</v>
      </c>
      <c r="J6597">
        <v>-214.49359999999999</v>
      </c>
      <c r="K6597">
        <v>1.1153979999999999</v>
      </c>
      <c r="L6597">
        <v>-61.676699999999997</v>
      </c>
      <c r="M6597">
        <v>0.99109789999999998</v>
      </c>
      <c r="N6597">
        <v>0</v>
      </c>
      <c r="O6597">
        <v>0.13230799999999901</v>
      </c>
      <c r="P6597">
        <v>0.95949300000000004</v>
      </c>
      <c r="Q6597">
        <v>0.19471040000000001</v>
      </c>
      <c r="R6597">
        <v>0.20362050000000001</v>
      </c>
      <c r="S6597">
        <v>2.9361419999999998</v>
      </c>
      <c r="T6597">
        <v>-0.17485919999999999</v>
      </c>
      <c r="U6597">
        <v>1.0718379999999901</v>
      </c>
      <c r="V6597">
        <v>-7.7551830000000002E-2</v>
      </c>
      <c r="W6597">
        <v>0.20820240000000001</v>
      </c>
      <c r="X6597">
        <v>0.97500640000000005</v>
      </c>
      <c r="Y6597">
        <v>-0.21547150000000001</v>
      </c>
      <c r="Z6597">
        <v>-1.3564009999999999E-3</v>
      </c>
      <c r="AA6597">
        <v>0.97650919999999997</v>
      </c>
      <c r="AB6597">
        <v>34</v>
      </c>
      <c r="AC6597">
        <v>18.564899999999898</v>
      </c>
      <c r="AD6597">
        <v>-1.1154067711709901</v>
      </c>
      <c r="AE6597">
        <v>6.8127099999999903</v>
      </c>
      <c r="AF6597">
        <v>-4.2826248240945803</v>
      </c>
      <c r="AG6597">
        <v>-1.1154067711709901</v>
      </c>
      <c r="AH6597">
        <v>19.241912940064999</v>
      </c>
      <c r="AI6597">
        <v>93.238516307936806</v>
      </c>
      <c r="AJ6597">
        <v>102.547659364623</v>
      </c>
      <c r="AK6597">
        <v>19.744270592811699</v>
      </c>
      <c r="AL6597">
        <v>77.982970973571298</v>
      </c>
      <c r="AM6597">
        <v>94.547721395614801</v>
      </c>
      <c r="AN6597">
        <v>1.0000000028715299</v>
      </c>
    </row>
    <row r="6598" spans="1:40" x14ac:dyDescent="0.25">
      <c r="A6598" t="str">
        <f>"20190312173054164"</f>
        <v>20190312173054164</v>
      </c>
      <c r="B6598" t="str">
        <f>"1552383054154442"</f>
        <v>1552383054154442</v>
      </c>
      <c r="C6598" t="s">
        <v>40</v>
      </c>
      <c r="D6598">
        <v>3.1374620000000002</v>
      </c>
      <c r="E6598">
        <v>0.44653920000000002</v>
      </c>
      <c r="F6598" t="s">
        <v>54</v>
      </c>
      <c r="G6598">
        <v>-195.8271</v>
      </c>
      <c r="H6598" s="1">
        <v>-8.7801139999999907E-6</v>
      </c>
      <c r="I6598">
        <v>-54.805929999999996</v>
      </c>
      <c r="J6598">
        <v>-214.31819999999999</v>
      </c>
      <c r="K6598">
        <v>1.115448</v>
      </c>
      <c r="L6598">
        <v>-61.650539999999999</v>
      </c>
      <c r="M6598">
        <v>0.99067059999999996</v>
      </c>
      <c r="N6598">
        <v>0</v>
      </c>
      <c r="O6598">
        <v>0.13546989999999901</v>
      </c>
      <c r="P6598">
        <v>0.95879139999999996</v>
      </c>
      <c r="Q6598">
        <v>0.19432430000000001</v>
      </c>
      <c r="R6598">
        <v>0.20726169999999999</v>
      </c>
      <c r="S6598">
        <v>2.9331209999999999</v>
      </c>
      <c r="T6598">
        <v>-0.17526649999999999</v>
      </c>
      <c r="U6598">
        <v>1.07962</v>
      </c>
      <c r="V6598">
        <v>-7.8153680000000003E-2</v>
      </c>
      <c r="W6598">
        <v>0.20780409999999999</v>
      </c>
      <c r="X6598">
        <v>0.97504329999999995</v>
      </c>
      <c r="Y6598">
        <v>-0.2149682</v>
      </c>
      <c r="Z6598">
        <v>-1.5538959999999999E-3</v>
      </c>
      <c r="AA6598">
        <v>0.97661980000000004</v>
      </c>
      <c r="AB6598">
        <v>34</v>
      </c>
      <c r="AC6598">
        <v>18.4910999999999</v>
      </c>
      <c r="AD6598">
        <v>-1.1154567801140001</v>
      </c>
      <c r="AE6598">
        <v>6.8446099999999896</v>
      </c>
      <c r="AF6598">
        <v>-4.2625938397936096</v>
      </c>
      <c r="AG6598">
        <v>-1.1154567801140001</v>
      </c>
      <c r="AH6598">
        <v>19.186536088369198</v>
      </c>
      <c r="AI6598">
        <v>93.248264577530904</v>
      </c>
      <c r="AJ6598">
        <v>102.525731886038</v>
      </c>
      <c r="AK6598">
        <v>19.685962438794899</v>
      </c>
      <c r="AL6598">
        <v>78.006302014155807</v>
      </c>
      <c r="AM6598">
        <v>94.582692055160905</v>
      </c>
      <c r="AN6598">
        <v>0.99999998927462097</v>
      </c>
    </row>
    <row r="6599" spans="1:40" x14ac:dyDescent="0.25">
      <c r="A6599" t="str">
        <f>"20190312173054173"</f>
        <v>20190312173054173</v>
      </c>
      <c r="B6599" t="str">
        <f>"1552383054164202"</f>
        <v>1552383054164202</v>
      </c>
      <c r="C6599" t="s">
        <v>40</v>
      </c>
      <c r="D6599">
        <v>3.1726190000000001</v>
      </c>
      <c r="E6599">
        <v>0.44679340000000001</v>
      </c>
      <c r="F6599" t="s">
        <v>54</v>
      </c>
      <c r="G6599">
        <v>-195.81790000000001</v>
      </c>
      <c r="H6599" s="1">
        <v>-8.7891750000000004E-6</v>
      </c>
      <c r="I6599">
        <v>-54.777160000000002</v>
      </c>
      <c r="J6599">
        <v>-214.15819999999999</v>
      </c>
      <c r="K6599">
        <v>1.1154900000000001</v>
      </c>
      <c r="L6599">
        <v>-61.625819999999997</v>
      </c>
      <c r="M6599">
        <v>0.99026429999999999</v>
      </c>
      <c r="N6599">
        <v>0</v>
      </c>
      <c r="O6599">
        <v>0.138408</v>
      </c>
      <c r="P6599">
        <v>0.95810740000000005</v>
      </c>
      <c r="Q6599">
        <v>0.19430030000000001</v>
      </c>
      <c r="R6599">
        <v>0.21042279999999999</v>
      </c>
      <c r="S6599">
        <v>2.9294739999999999</v>
      </c>
      <c r="T6599">
        <v>-0.17662929999999999</v>
      </c>
      <c r="U6599">
        <v>1.088379</v>
      </c>
      <c r="V6599">
        <v>-7.8502020000000006E-2</v>
      </c>
      <c r="W6599">
        <v>0.2077705</v>
      </c>
      <c r="X6599">
        <v>0.97502250000000001</v>
      </c>
      <c r="Y6599">
        <v>-0.2150359</v>
      </c>
      <c r="Z6599">
        <v>-1.73263E-3</v>
      </c>
      <c r="AA6599">
        <v>0.97660460000000004</v>
      </c>
      <c r="AB6599">
        <v>34</v>
      </c>
      <c r="AC6599">
        <v>18.3402999999999</v>
      </c>
      <c r="AD6599">
        <v>-1.1154987891749999</v>
      </c>
      <c r="AE6599">
        <v>6.8486599999999997</v>
      </c>
      <c r="AF6599">
        <v>-4.2302716702353003</v>
      </c>
      <c r="AG6599">
        <v>-1.1154987891749999</v>
      </c>
      <c r="AH6599">
        <v>19.049906609629701</v>
      </c>
      <c r="AI6599">
        <v>93.271705630934093</v>
      </c>
      <c r="AJ6599">
        <v>102.520091772326</v>
      </c>
      <c r="AK6599">
        <v>19.545804608361799</v>
      </c>
      <c r="AL6599">
        <v>78.008270380352101</v>
      </c>
      <c r="AM6599">
        <v>94.603127837511494</v>
      </c>
      <c r="AN6599">
        <v>1.0000000116602901</v>
      </c>
    </row>
    <row r="6600" spans="1:40" x14ac:dyDescent="0.25">
      <c r="A6600" t="str">
        <f>"20190312173054184"</f>
        <v>20190312173054184</v>
      </c>
      <c r="B6600" t="str">
        <f>"1552383054173963"</f>
        <v>1552383054173963</v>
      </c>
      <c r="C6600" t="s">
        <v>40</v>
      </c>
      <c r="D6600">
        <v>3.1616930000000001</v>
      </c>
      <c r="E6600">
        <v>0.44708779999999998</v>
      </c>
      <c r="F6600" t="s">
        <v>54</v>
      </c>
      <c r="G6600">
        <v>-195.70679999999999</v>
      </c>
      <c r="H6600" s="1">
        <v>-8.7987320000000002E-6</v>
      </c>
      <c r="I6600">
        <v>-54.714350000000003</v>
      </c>
      <c r="J6600">
        <v>-213.999</v>
      </c>
      <c r="K6600">
        <v>1.1155360000000001</v>
      </c>
      <c r="L6600">
        <v>-61.601039999999998</v>
      </c>
      <c r="M6600">
        <v>0.98985000000000001</v>
      </c>
      <c r="N6600">
        <v>0</v>
      </c>
      <c r="O6600">
        <v>0.14133989999999999</v>
      </c>
      <c r="P6600">
        <v>0.95742459999999996</v>
      </c>
      <c r="Q6600">
        <v>0.19416410000000001</v>
      </c>
      <c r="R6600">
        <v>0.21363199999999999</v>
      </c>
      <c r="S6600">
        <v>2.9263150000000002</v>
      </c>
      <c r="T6600">
        <v>-0.176913299999999</v>
      </c>
      <c r="U6600">
        <v>1.0961299999999901</v>
      </c>
      <c r="V6600">
        <v>-7.8901100000000002E-2</v>
      </c>
      <c r="W6600">
        <v>0.207624</v>
      </c>
      <c r="X6600">
        <v>0.97502149999999999</v>
      </c>
      <c r="Y6600">
        <v>-0.21476319999999999</v>
      </c>
      <c r="Z6600">
        <v>-1.9118830000000001E-3</v>
      </c>
      <c r="AA6600">
        <v>0.97666430000000004</v>
      </c>
      <c r="AB6600">
        <v>34</v>
      </c>
      <c r="AC6600">
        <v>18.292200000000001</v>
      </c>
      <c r="AD6600">
        <v>-1.115544798732</v>
      </c>
      <c r="AE6600">
        <v>6.8866899999999998</v>
      </c>
      <c r="AF6600">
        <v>-4.2180977611278996</v>
      </c>
      <c r="AG6600">
        <v>-1.115544798732</v>
      </c>
      <c r="AH6600">
        <v>19.020040991304899</v>
      </c>
      <c r="AI6600">
        <v>93.277168107355394</v>
      </c>
      <c r="AJ6600">
        <v>102.504181049018</v>
      </c>
      <c r="AK6600">
        <v>19.514065394769201</v>
      </c>
      <c r="AL6600">
        <v>78.016851402985907</v>
      </c>
      <c r="AM6600">
        <v>94.626432112867505</v>
      </c>
      <c r="AN6600">
        <v>1.0000000172097201</v>
      </c>
    </row>
    <row r="6601" spans="1:40" x14ac:dyDescent="0.25">
      <c r="A6601" t="str">
        <f>"20190312173054196"</f>
        <v>20190312173054196</v>
      </c>
      <c r="B6601" t="str">
        <f>"1552383054183722"</f>
        <v>1552383054183722</v>
      </c>
      <c r="C6601" t="s">
        <v>40</v>
      </c>
      <c r="D6601">
        <v>3.1852710000000002</v>
      </c>
      <c r="E6601">
        <v>0.44708779999999998</v>
      </c>
      <c r="F6601" t="s">
        <v>54</v>
      </c>
      <c r="G6601">
        <v>-195.6636</v>
      </c>
      <c r="H6601" s="1">
        <v>-8.8064850000000001E-6</v>
      </c>
      <c r="I6601">
        <v>-54.67841</v>
      </c>
      <c r="J6601">
        <v>-213.83430000000001</v>
      </c>
      <c r="K6601">
        <v>1.1155820000000001</v>
      </c>
      <c r="L6601">
        <v>-61.574620000000003</v>
      </c>
      <c r="M6601">
        <v>0.98940550000000005</v>
      </c>
      <c r="N6601">
        <v>0</v>
      </c>
      <c r="O6601">
        <v>0.14441860000000001</v>
      </c>
      <c r="P6601">
        <v>0.95667939999999996</v>
      </c>
      <c r="Q6601">
        <v>0.19409960000000001</v>
      </c>
      <c r="R6601">
        <v>0.2170019</v>
      </c>
      <c r="S6601">
        <v>2.923203</v>
      </c>
      <c r="T6601">
        <v>-0.17785020000000001</v>
      </c>
      <c r="U6601">
        <v>1.1036680000000001</v>
      </c>
      <c r="V6601">
        <v>-7.9324069999999997E-2</v>
      </c>
      <c r="W6601">
        <v>0.20754929999999999</v>
      </c>
      <c r="X6601">
        <v>0.97500310000000001</v>
      </c>
      <c r="Y6601">
        <v>-0.21427679999999999</v>
      </c>
      <c r="Z6601">
        <v>-2.114192E-3</v>
      </c>
      <c r="AA6601">
        <v>0.97677069999999999</v>
      </c>
      <c r="AB6601">
        <v>34</v>
      </c>
      <c r="AC6601">
        <v>18.1707</v>
      </c>
      <c r="AD6601">
        <v>-1.115590806485</v>
      </c>
      <c r="AE6601">
        <v>6.8962099999999902</v>
      </c>
      <c r="AF6601">
        <v>-4.1856323367539501</v>
      </c>
      <c r="AG6601">
        <v>-1.115590806485</v>
      </c>
      <c r="AH6601">
        <v>18.913902155680599</v>
      </c>
      <c r="AI6601">
        <v>93.295981494655607</v>
      </c>
      <c r="AJ6601">
        <v>102.47840396997699</v>
      </c>
      <c r="AK6601">
        <v>19.403601615696299</v>
      </c>
      <c r="AL6601">
        <v>78.021226892483</v>
      </c>
      <c r="AM6601">
        <v>94.651212178258007</v>
      </c>
      <c r="AN6601">
        <v>1.0000000325107301</v>
      </c>
    </row>
    <row r="6602" spans="1:40" x14ac:dyDescent="0.25">
      <c r="A6602" t="str">
        <f>"20190312173054208"</f>
        <v>20190312173054208</v>
      </c>
      <c r="B6602" t="str">
        <f>"1552383054204218"</f>
        <v>1552383054204218</v>
      </c>
      <c r="C6602" t="s">
        <v>40</v>
      </c>
      <c r="D6602">
        <v>3.1656819999999999</v>
      </c>
      <c r="E6602">
        <v>0.45850030000000003</v>
      </c>
      <c r="F6602" t="s">
        <v>54</v>
      </c>
      <c r="G6602">
        <v>-195.5378</v>
      </c>
      <c r="H6602" s="1">
        <v>-8.8253029999999999E-6</v>
      </c>
      <c r="I6602">
        <v>-54.592059999999996</v>
      </c>
      <c r="J6602">
        <v>-213.6644</v>
      </c>
      <c r="K6602">
        <v>1.1156349999999999</v>
      </c>
      <c r="L6602">
        <v>-61.546909999999997</v>
      </c>
      <c r="M6602">
        <v>0.98893319999999996</v>
      </c>
      <c r="N6602">
        <v>0</v>
      </c>
      <c r="O6602">
        <v>0.14761779999999999</v>
      </c>
      <c r="P6602">
        <v>0.95596159999999997</v>
      </c>
      <c r="Q6602">
        <v>0.1938146</v>
      </c>
      <c r="R6602">
        <v>0.22039429999999999</v>
      </c>
      <c r="S6602">
        <v>2.919235</v>
      </c>
      <c r="T6602">
        <v>-0.17799379999999901</v>
      </c>
      <c r="U6602">
        <v>1.1140749999999999</v>
      </c>
      <c r="V6602">
        <v>-7.964388E-2</v>
      </c>
      <c r="W6602">
        <v>0.20725550000000001</v>
      </c>
      <c r="X6602">
        <v>0.97503949999999995</v>
      </c>
      <c r="Y6602">
        <v>-0.21460360000000001</v>
      </c>
      <c r="Z6602">
        <v>-2.2914060000000002E-3</v>
      </c>
      <c r="AA6602">
        <v>0.97669850000000002</v>
      </c>
      <c r="AB6602">
        <v>34</v>
      </c>
      <c r="AC6602">
        <v>18.1266</v>
      </c>
      <c r="AD6602">
        <v>-1.1156438253030001</v>
      </c>
      <c r="AE6602">
        <v>6.9548500000000004</v>
      </c>
      <c r="AF6602">
        <v>-4.1887047595274902</v>
      </c>
      <c r="AG6602">
        <v>-1.1156438253030001</v>
      </c>
      <c r="AH6602">
        <v>18.892360141589101</v>
      </c>
      <c r="AI6602">
        <v>93.299599432777299</v>
      </c>
      <c r="AJ6602">
        <v>102.501067670906</v>
      </c>
      <c r="AK6602">
        <v>19.3832706328661</v>
      </c>
      <c r="AL6602">
        <v>78.0384342657172</v>
      </c>
      <c r="AM6602">
        <v>94.669708083960302</v>
      </c>
      <c r="AN6602">
        <v>1.0000000082309699</v>
      </c>
    </row>
    <row r="6603" spans="1:40" x14ac:dyDescent="0.25">
      <c r="A6603" t="str">
        <f>"20190312173054218"</f>
        <v>20190312173054218</v>
      </c>
      <c r="B6603" t="str">
        <f>"1552383054213978"</f>
        <v>1552383054213978</v>
      </c>
      <c r="C6603" t="s">
        <v>40</v>
      </c>
      <c r="D6603">
        <v>3.2351930000000002</v>
      </c>
      <c r="E6603">
        <v>0.45909680000000003</v>
      </c>
      <c r="F6603" t="s">
        <v>54</v>
      </c>
      <c r="G6603">
        <v>-197.89830000000001</v>
      </c>
      <c r="H6603" s="1">
        <v>-8.5997449999999998E-6</v>
      </c>
      <c r="I6603">
        <v>-55.983510000000003</v>
      </c>
      <c r="J6603">
        <v>-213.49700000000001</v>
      </c>
      <c r="K6603">
        <v>1.115683</v>
      </c>
      <c r="L6603">
        <v>-61.519010000000002</v>
      </c>
      <c r="M6603">
        <v>0.98845260000000001</v>
      </c>
      <c r="N6603">
        <v>0</v>
      </c>
      <c r="O6603">
        <v>0.1508023</v>
      </c>
      <c r="P6603">
        <v>0.9551731</v>
      </c>
      <c r="Q6603">
        <v>0.19389799999999999</v>
      </c>
      <c r="R6603">
        <v>0.2237142</v>
      </c>
      <c r="S6603">
        <v>2.9411320000000001</v>
      </c>
      <c r="T6603">
        <v>-0.20812149999999999</v>
      </c>
      <c r="U6603">
        <v>1.0378419999999999</v>
      </c>
      <c r="V6603">
        <v>-7.9920640000000001E-2</v>
      </c>
      <c r="W6603">
        <v>0.20732919999999999</v>
      </c>
      <c r="X6603">
        <v>0.97500120000000001</v>
      </c>
      <c r="Y6603">
        <v>-0.18665100000000001</v>
      </c>
      <c r="Z6603">
        <v>-3.84885E-3</v>
      </c>
      <c r="AA6603">
        <v>0.98241869999999998</v>
      </c>
      <c r="AB6603">
        <v>34</v>
      </c>
      <c r="AC6603">
        <v>15.598699999999999</v>
      </c>
      <c r="AD6603">
        <v>-1.1156915997450001</v>
      </c>
      <c r="AE6603">
        <v>5.5354999999999901</v>
      </c>
      <c r="AF6603">
        <v>-3.1054928084715998</v>
      </c>
      <c r="AG6603">
        <v>-1.1156915997450001</v>
      </c>
      <c r="AH6603">
        <v>16.181608257663601</v>
      </c>
      <c r="AI6603">
        <v>93.873723547957994</v>
      </c>
      <c r="AJ6603">
        <v>100.863826429753</v>
      </c>
      <c r="AK6603">
        <v>16.5146389344029</v>
      </c>
      <c r="AL6603">
        <v>78.0341179877896</v>
      </c>
      <c r="AM6603">
        <v>94.686046287828106</v>
      </c>
      <c r="AN6603">
        <v>1.00000002293604</v>
      </c>
    </row>
    <row r="6604" spans="1:40" x14ac:dyDescent="0.25">
      <c r="A6604" t="str">
        <f>"20190312173054230"</f>
        <v>20190312173054230</v>
      </c>
      <c r="B6604" t="str">
        <f>"1552383054223738"</f>
        <v>1552383054223738</v>
      </c>
      <c r="C6604" t="s">
        <v>40</v>
      </c>
      <c r="D6604">
        <v>3.2397309999999999</v>
      </c>
      <c r="E6604">
        <v>0.45961249999999998</v>
      </c>
      <c r="F6604" t="s">
        <v>54</v>
      </c>
      <c r="G6604">
        <v>-197.64500000000001</v>
      </c>
      <c r="H6604" s="1">
        <v>-8.6054719999999993E-6</v>
      </c>
      <c r="I6604">
        <v>-55.886020000000002</v>
      </c>
      <c r="J6604">
        <v>-213.33359999999999</v>
      </c>
      <c r="K6604">
        <v>1.115731</v>
      </c>
      <c r="L6604">
        <v>-61.491149999999998</v>
      </c>
      <c r="M6604">
        <v>0.98796709999999999</v>
      </c>
      <c r="N6604">
        <v>0</v>
      </c>
      <c r="O6604">
        <v>0.15394910000000001</v>
      </c>
      <c r="P6604">
        <v>0.95433820000000003</v>
      </c>
      <c r="Q6604">
        <v>0.19397739999999999</v>
      </c>
      <c r="R6604">
        <v>0.22718160000000001</v>
      </c>
      <c r="S6604">
        <v>2.9382320000000002</v>
      </c>
      <c r="T6604">
        <v>-0.2067977</v>
      </c>
      <c r="U6604">
        <v>1.044098</v>
      </c>
      <c r="V6604">
        <v>-8.038671E-2</v>
      </c>
      <c r="W6604">
        <v>0.20739640000000001</v>
      </c>
      <c r="X6604">
        <v>0.97494860000000005</v>
      </c>
      <c r="Y6604">
        <v>-0.1856949</v>
      </c>
      <c r="Z6604">
        <v>-4.0688510000000001E-3</v>
      </c>
      <c r="AA6604">
        <v>0.982599</v>
      </c>
      <c r="AB6604">
        <v>34</v>
      </c>
      <c r="AC6604">
        <v>15.6885999999999</v>
      </c>
      <c r="AD6604">
        <v>-1.1157396054719999</v>
      </c>
      <c r="AE6604">
        <v>5.6051299999999999</v>
      </c>
      <c r="AF6604">
        <v>-3.1088389070145599</v>
      </c>
      <c r="AG6604">
        <v>-1.1157396054719999</v>
      </c>
      <c r="AH6604">
        <v>16.291460162881801</v>
      </c>
      <c r="AI6604">
        <v>93.848618244628696</v>
      </c>
      <c r="AJ6604">
        <v>100.80365357253901</v>
      </c>
      <c r="AK6604">
        <v>16.622918770653701</v>
      </c>
      <c r="AL6604">
        <v>78.030182263948802</v>
      </c>
      <c r="AM6604">
        <v>94.7135040961344</v>
      </c>
      <c r="AN6604">
        <v>1.0000000312597701</v>
      </c>
    </row>
    <row r="6605" spans="1:40" x14ac:dyDescent="0.25">
      <c r="A6605" t="str">
        <f>"20190312173054241"</f>
        <v>20190312173054241</v>
      </c>
      <c r="B6605" t="str">
        <f>"1552383054234474"</f>
        <v>1552383054234474</v>
      </c>
      <c r="C6605" t="s">
        <v>40</v>
      </c>
      <c r="D6605">
        <v>3.1392090000000001</v>
      </c>
      <c r="E6605">
        <v>0.45953949999999999</v>
      </c>
      <c r="F6605" t="s">
        <v>54</v>
      </c>
      <c r="G6605">
        <v>-197.4718</v>
      </c>
      <c r="H6605" s="1">
        <v>-8.6113569999999993E-6</v>
      </c>
      <c r="I6605">
        <v>-55.813769999999998</v>
      </c>
      <c r="J6605">
        <v>-213.1747</v>
      </c>
      <c r="K6605">
        <v>1.1157859999999999</v>
      </c>
      <c r="L6605">
        <v>-61.463749999999997</v>
      </c>
      <c r="M6605">
        <v>0.98748239999999998</v>
      </c>
      <c r="N6605">
        <v>0</v>
      </c>
      <c r="O6605">
        <v>0.1570281</v>
      </c>
      <c r="P6605">
        <v>0.95360250000000002</v>
      </c>
      <c r="Q6605">
        <v>0.19385949999999999</v>
      </c>
      <c r="R6605">
        <v>0.23034979999999999</v>
      </c>
      <c r="S6605">
        <v>2.9353790000000002</v>
      </c>
      <c r="T6605">
        <v>-0.20647940000000001</v>
      </c>
      <c r="U6605">
        <v>1.050659</v>
      </c>
      <c r="V6605">
        <v>-8.0605079999999996E-2</v>
      </c>
      <c r="W6605">
        <v>0.20727039999999999</v>
      </c>
      <c r="X6605">
        <v>0.97495730000000003</v>
      </c>
      <c r="Y6605">
        <v>-0.18489</v>
      </c>
      <c r="Z6605">
        <v>-4.2969289999999997E-3</v>
      </c>
      <c r="AA6605">
        <v>0.98274980000000001</v>
      </c>
      <c r="AB6605">
        <v>34</v>
      </c>
      <c r="AC6605">
        <v>15.7029</v>
      </c>
      <c r="AD6605">
        <v>-1.1157946113570001</v>
      </c>
      <c r="AE6605">
        <v>5.6499799999999896</v>
      </c>
      <c r="AF6605">
        <v>-3.0999451327713001</v>
      </c>
      <c r="AG6605">
        <v>-1.1157946113570001</v>
      </c>
      <c r="AH6605">
        <v>16.3223860076574</v>
      </c>
      <c r="AI6605">
        <v>93.842174827142799</v>
      </c>
      <c r="AJ6605">
        <v>100.753534874358</v>
      </c>
      <c r="AK6605">
        <v>16.651574773092701</v>
      </c>
      <c r="AL6605">
        <v>78.037561111389905</v>
      </c>
      <c r="AM6605">
        <v>94.726208391266198</v>
      </c>
      <c r="AN6605">
        <v>0.99999996723062701</v>
      </c>
    </row>
    <row r="6606" spans="1:40" x14ac:dyDescent="0.25">
      <c r="A6606" t="str">
        <f>"20190312173054253"</f>
        <v>20190312173054253</v>
      </c>
      <c r="B6606" t="str">
        <f>"1552383054244234"</f>
        <v>1552383054244234</v>
      </c>
      <c r="C6606" t="s">
        <v>40</v>
      </c>
      <c r="D6606">
        <v>3.082039</v>
      </c>
      <c r="E6606">
        <v>0.45953949999999999</v>
      </c>
      <c r="F6606" t="s">
        <v>54</v>
      </c>
      <c r="G6606">
        <v>-197.25</v>
      </c>
      <c r="H6606" s="1">
        <v>-8.6266249999999998E-6</v>
      </c>
      <c r="I6606">
        <v>-55.699190000000002</v>
      </c>
      <c r="J6606">
        <v>-213.0061</v>
      </c>
      <c r="K6606">
        <v>1.1158399999999999</v>
      </c>
      <c r="L6606">
        <v>-61.433720000000001</v>
      </c>
      <c r="M6606">
        <v>0.98694839999999995</v>
      </c>
      <c r="N6606">
        <v>0</v>
      </c>
      <c r="O6606">
        <v>0.16035050000000001</v>
      </c>
      <c r="P6606">
        <v>0.95272480000000004</v>
      </c>
      <c r="Q6606">
        <v>0.19395799999999999</v>
      </c>
      <c r="R6606">
        <v>0.23387179999999999</v>
      </c>
      <c r="S6606">
        <v>2.931381</v>
      </c>
      <c r="T6606">
        <v>-0.2053931</v>
      </c>
      <c r="U6606">
        <v>1.0611269999999999</v>
      </c>
      <c r="V6606">
        <v>-8.0959180000000006E-2</v>
      </c>
      <c r="W6606">
        <v>0.20735809999999999</v>
      </c>
      <c r="X6606">
        <v>0.97490940000000004</v>
      </c>
      <c r="Y6606">
        <v>-0.18512110000000001</v>
      </c>
      <c r="Z6606">
        <v>-4.4889079999999998E-3</v>
      </c>
      <c r="AA6606">
        <v>0.98270550000000001</v>
      </c>
      <c r="AB6606">
        <v>34</v>
      </c>
      <c r="AC6606">
        <v>15.7561</v>
      </c>
      <c r="AD6606">
        <v>-1.1158486266249901</v>
      </c>
      <c r="AE6606">
        <v>5.7345299999999897</v>
      </c>
      <c r="AF6606">
        <v>-3.1197156212405899</v>
      </c>
      <c r="AG6606">
        <v>-1.1158486266249901</v>
      </c>
      <c r="AH6606">
        <v>16.399180032661899</v>
      </c>
      <c r="AI6606">
        <v>93.824199604782706</v>
      </c>
      <c r="AJ6606">
        <v>100.771021272971</v>
      </c>
      <c r="AK6606">
        <v>16.7305364366661</v>
      </c>
      <c r="AL6606">
        <v>78.032425737142006</v>
      </c>
      <c r="AM6606">
        <v>94.747108225805903</v>
      </c>
      <c r="AN6606">
        <v>1.00000005433511</v>
      </c>
    </row>
    <row r="6607" spans="1:40" x14ac:dyDescent="0.25">
      <c r="A6607" t="str">
        <f>"20190312173054264"</f>
        <v>20190312173054264</v>
      </c>
      <c r="B6607" t="str">
        <f>"1552383054253994"</f>
        <v>1552383054253994</v>
      </c>
      <c r="C6607" t="s">
        <v>40</v>
      </c>
      <c r="D6607">
        <v>3.1568390000000002</v>
      </c>
      <c r="E6607">
        <v>0.43808079999999999</v>
      </c>
      <c r="F6607" t="s">
        <v>54</v>
      </c>
      <c r="G6607">
        <v>-197.07910000000001</v>
      </c>
      <c r="H6607" s="1">
        <v>-8.641425E-6</v>
      </c>
      <c r="I6607">
        <v>-55.602249999999998</v>
      </c>
      <c r="J6607">
        <v>-212.83260000000001</v>
      </c>
      <c r="K6607">
        <v>1.115896</v>
      </c>
      <c r="L6607">
        <v>-61.402529999999999</v>
      </c>
      <c r="M6607">
        <v>0.98638369999999997</v>
      </c>
      <c r="N6607">
        <v>0</v>
      </c>
      <c r="O6607">
        <v>0.16378690000000001</v>
      </c>
      <c r="P6607">
        <v>0.95185319999999995</v>
      </c>
      <c r="Q6607">
        <v>0.19394159999999999</v>
      </c>
      <c r="R6607">
        <v>0.23740739999999999</v>
      </c>
      <c r="S6607">
        <v>2.927505</v>
      </c>
      <c r="T6607">
        <v>-0.20510149999999999</v>
      </c>
      <c r="U6607">
        <v>1.071869</v>
      </c>
      <c r="V6607">
        <v>-8.121159E-2</v>
      </c>
      <c r="W6607">
        <v>0.20733199999999999</v>
      </c>
      <c r="X6607">
        <v>0.97489389999999998</v>
      </c>
      <c r="Y6607">
        <v>-0.18530530000000001</v>
      </c>
      <c r="Z6607">
        <v>-4.7056859999999997E-3</v>
      </c>
      <c r="AA6607">
        <v>0.98266969999999998</v>
      </c>
      <c r="AB6607">
        <v>34</v>
      </c>
      <c r="AC6607">
        <v>15.753500000000001</v>
      </c>
      <c r="AD6607">
        <v>-1.115904641425</v>
      </c>
      <c r="AE6607">
        <v>5.8002799999999999</v>
      </c>
      <c r="AF6607">
        <v>-3.1276121521965901</v>
      </c>
      <c r="AG6607">
        <v>-1.115904641425</v>
      </c>
      <c r="AH6607">
        <v>16.418281771847301</v>
      </c>
      <c r="AI6607">
        <v>93.819773072173405</v>
      </c>
      <c r="AJ6607">
        <v>100.785376788115</v>
      </c>
      <c r="AK6607">
        <v>16.750736619118999</v>
      </c>
      <c r="AL6607">
        <v>78.033953698475102</v>
      </c>
      <c r="AM6607">
        <v>94.7619159016933</v>
      </c>
      <c r="AN6607">
        <v>0.99999999841576903</v>
      </c>
    </row>
    <row r="6608" spans="1:40" x14ac:dyDescent="0.25">
      <c r="A6608" t="str">
        <f>"20190312173054275"</f>
        <v>20190312173054275</v>
      </c>
      <c r="B6608" t="str">
        <f>"1552383054263754"</f>
        <v>1552383054263754</v>
      </c>
      <c r="C6608" t="s">
        <v>40</v>
      </c>
      <c r="D6608">
        <v>3.0988540000000002</v>
      </c>
      <c r="E6608">
        <v>0.43133250000000001</v>
      </c>
      <c r="F6608" t="s">
        <v>54</v>
      </c>
      <c r="G6608">
        <v>-197.52619999999999</v>
      </c>
      <c r="H6608" s="1">
        <v>-8.9838700000000001E-6</v>
      </c>
      <c r="I6608">
        <v>-54.769910000000003</v>
      </c>
      <c r="J6608">
        <v>-212.6797</v>
      </c>
      <c r="K6608">
        <v>1.1159479999999999</v>
      </c>
      <c r="L6608">
        <v>-61.374180000000003</v>
      </c>
      <c r="M6608">
        <v>0.98586689999999999</v>
      </c>
      <c r="N6608">
        <v>0</v>
      </c>
      <c r="O6608">
        <v>0.1668692</v>
      </c>
      <c r="P6608">
        <v>0.95101449999999998</v>
      </c>
      <c r="Q6608">
        <v>0.1940046</v>
      </c>
      <c r="R6608">
        <v>0.24069470000000001</v>
      </c>
      <c r="S6608">
        <v>2.8829959999999999</v>
      </c>
      <c r="T6608">
        <v>-0.21018290000000001</v>
      </c>
      <c r="U6608">
        <v>1.249268</v>
      </c>
      <c r="V6608">
        <v>-8.1562090000000004E-2</v>
      </c>
      <c r="W6608">
        <v>0.20738470000000001</v>
      </c>
      <c r="X6608">
        <v>0.97485350000000004</v>
      </c>
      <c r="Y6608">
        <v>-0.23873359999999999</v>
      </c>
      <c r="Z6608">
        <v>-3.1717870000000001E-3</v>
      </c>
      <c r="AA6608">
        <v>0.9710799</v>
      </c>
      <c r="AB6608">
        <v>34</v>
      </c>
      <c r="AC6608">
        <v>15.153499999999999</v>
      </c>
      <c r="AD6608">
        <v>-1.1159569838700001</v>
      </c>
      <c r="AE6608">
        <v>6.6042699999999996</v>
      </c>
      <c r="AF6608">
        <v>-3.9646495742130199</v>
      </c>
      <c r="AG6608">
        <v>-1.1159569838700001</v>
      </c>
      <c r="AH6608">
        <v>15.9703695380711</v>
      </c>
      <c r="AI6608">
        <v>93.879755860036695</v>
      </c>
      <c r="AJ6608">
        <v>103.941853193729</v>
      </c>
      <c r="AK6608">
        <v>16.492923010149099</v>
      </c>
      <c r="AL6608">
        <v>78.030867962159107</v>
      </c>
      <c r="AM6608">
        <v>94.782569942828005</v>
      </c>
      <c r="AN6608">
        <v>1.0000000673907501</v>
      </c>
    </row>
    <row r="6609" spans="1:40" x14ac:dyDescent="0.25">
      <c r="A6609" t="str">
        <f>"20190312173054286"</f>
        <v>20190312173054286</v>
      </c>
      <c r="B6609" t="str">
        <f>"1552383054284249"</f>
        <v>1552383054284249</v>
      </c>
      <c r="C6609" t="s">
        <v>40</v>
      </c>
      <c r="D6609">
        <v>3.1903990000000002</v>
      </c>
      <c r="E6609">
        <v>0.42577140000000002</v>
      </c>
      <c r="F6609" t="s">
        <v>54</v>
      </c>
      <c r="G6609">
        <v>-196.6046</v>
      </c>
      <c r="H6609" s="1">
        <v>-9.1452349999999992E-6</v>
      </c>
      <c r="I6609">
        <v>-54.014879999999998</v>
      </c>
      <c r="J6609">
        <v>-212.51859999999999</v>
      </c>
      <c r="K6609">
        <v>1.1160030000000001</v>
      </c>
      <c r="L6609">
        <v>-61.343989999999998</v>
      </c>
      <c r="M6609">
        <v>0.98530930000000005</v>
      </c>
      <c r="N6609">
        <v>0</v>
      </c>
      <c r="O6609">
        <v>0.1701308</v>
      </c>
      <c r="P6609">
        <v>0.95008210000000004</v>
      </c>
      <c r="Q6609">
        <v>0.19416320000000001</v>
      </c>
      <c r="R6609">
        <v>0.2442231</v>
      </c>
      <c r="S6609">
        <v>2.863327</v>
      </c>
      <c r="T6609">
        <v>-0.19877639999999999</v>
      </c>
      <c r="U6609">
        <v>1.3108519999999999</v>
      </c>
      <c r="V6609">
        <v>-8.1990880000000002E-2</v>
      </c>
      <c r="W6609">
        <v>0.2075302</v>
      </c>
      <c r="X6609">
        <v>0.9747865</v>
      </c>
      <c r="Y6609">
        <v>-0.25531300000000001</v>
      </c>
      <c r="Z6609">
        <v>-2.6632629999999999E-3</v>
      </c>
      <c r="AA6609">
        <v>0.96685480000000001</v>
      </c>
      <c r="AB6609">
        <v>34</v>
      </c>
      <c r="AC6609">
        <v>15.9139999999999</v>
      </c>
      <c r="AD6609">
        <v>-1.116012145235</v>
      </c>
      <c r="AE6609">
        <v>7.32911</v>
      </c>
      <c r="AF6609">
        <v>-4.4962350811823999</v>
      </c>
      <c r="AG6609">
        <v>-1.116012145235</v>
      </c>
      <c r="AH6609">
        <v>16.860582186663699</v>
      </c>
      <c r="AI6609">
        <v>93.659402035240404</v>
      </c>
      <c r="AJ6609">
        <v>104.931670451085</v>
      </c>
      <c r="AK6609">
        <v>17.485446653912099</v>
      </c>
      <c r="AL6609">
        <v>78.022345258814994</v>
      </c>
      <c r="AM6609">
        <v>94.807924322412703</v>
      </c>
      <c r="AN6609">
        <v>1.0000000044487301</v>
      </c>
    </row>
    <row r="6610" spans="1:40" x14ac:dyDescent="0.25">
      <c r="A6610" t="str">
        <f>"20190312173054295"</f>
        <v>20190312173054295</v>
      </c>
      <c r="B6610" t="str">
        <f>"1552383054294010"</f>
        <v>1552383054294010</v>
      </c>
      <c r="C6610" t="s">
        <v>40</v>
      </c>
      <c r="D6610">
        <v>3.2234029999999998</v>
      </c>
      <c r="E6610">
        <v>0.42526029999999998</v>
      </c>
      <c r="F6610" t="s">
        <v>54</v>
      </c>
      <c r="G6610">
        <v>-195.8946</v>
      </c>
      <c r="H6610" s="1">
        <v>-9.3027050000000002E-6</v>
      </c>
      <c r="I6610">
        <v>-53.377079999999999</v>
      </c>
      <c r="J6610">
        <v>-212.36609999999999</v>
      </c>
      <c r="K6610">
        <v>1.116055</v>
      </c>
      <c r="L6610">
        <v>-61.314729999999997</v>
      </c>
      <c r="M6610">
        <v>0.98476370000000002</v>
      </c>
      <c r="N6610">
        <v>0</v>
      </c>
      <c r="O6610">
        <v>0.1732609</v>
      </c>
      <c r="P6610">
        <v>0.94916560000000005</v>
      </c>
      <c r="Q6610">
        <v>0.19407250000000001</v>
      </c>
      <c r="R6610">
        <v>0.247832</v>
      </c>
      <c r="S6610">
        <v>2.846069</v>
      </c>
      <c r="T6610">
        <v>-0.1910636</v>
      </c>
      <c r="U6610">
        <v>1.363953</v>
      </c>
      <c r="V6610">
        <v>-8.262071E-2</v>
      </c>
      <c r="W6610">
        <v>0.20742530000000001</v>
      </c>
      <c r="X6610">
        <v>0.97475560000000006</v>
      </c>
      <c r="Y6610">
        <v>-0.2692001</v>
      </c>
      <c r="Z6610">
        <v>-2.3119E-3</v>
      </c>
      <c r="AA6610">
        <v>0.96308150000000003</v>
      </c>
      <c r="AB6610">
        <v>34</v>
      </c>
      <c r="AC6610">
        <v>16.471499999999899</v>
      </c>
      <c r="AD6610">
        <v>-1.1160643027049999</v>
      </c>
      <c r="AE6610">
        <v>7.9376499999999899</v>
      </c>
      <c r="AF6610">
        <v>-4.94496744093796</v>
      </c>
      <c r="AG6610">
        <v>-1.1160643027049999</v>
      </c>
      <c r="AH6610">
        <v>17.532442826845301</v>
      </c>
      <c r="AI6610">
        <v>93.505947912911594</v>
      </c>
      <c r="AJ6610">
        <v>105.750929867715</v>
      </c>
      <c r="AK6610">
        <v>18.250612427979199</v>
      </c>
      <c r="AL6610">
        <v>78.028488720549007</v>
      </c>
      <c r="AM6610">
        <v>94.844835117142495</v>
      </c>
      <c r="AN6610">
        <v>0.99999995826617605</v>
      </c>
    </row>
    <row r="6611" spans="1:40" x14ac:dyDescent="0.25">
      <c r="A6611" t="str">
        <f>"20190312173054307"</f>
        <v>20190312173054307</v>
      </c>
      <c r="B6611" t="str">
        <f>"1552383054303773"</f>
        <v>1552383054303773</v>
      </c>
      <c r="C6611" t="s">
        <v>40</v>
      </c>
      <c r="D6611">
        <v>3.2346279999999998</v>
      </c>
      <c r="E6611">
        <v>0.42523680000000003</v>
      </c>
      <c r="F6611" t="s">
        <v>54</v>
      </c>
      <c r="G6611">
        <v>-195.76</v>
      </c>
      <c r="H6611" s="1">
        <v>-9.335094E-6</v>
      </c>
      <c r="I6611">
        <v>-53.25103</v>
      </c>
      <c r="J6611">
        <v>-212.20310000000001</v>
      </c>
      <c r="K6611">
        <v>1.1161099999999999</v>
      </c>
      <c r="L6611">
        <v>-61.282989999999998</v>
      </c>
      <c r="M6611">
        <v>0.98416440000000005</v>
      </c>
      <c r="N6611">
        <v>0</v>
      </c>
      <c r="O6611">
        <v>0.17663219999999999</v>
      </c>
      <c r="P6611">
        <v>0.94819699999999996</v>
      </c>
      <c r="Q6611">
        <v>0.1942634</v>
      </c>
      <c r="R6611">
        <v>0.2513647</v>
      </c>
      <c r="S6611">
        <v>2.8396759999999999</v>
      </c>
      <c r="T6611">
        <v>-0.19084889999999999</v>
      </c>
      <c r="U6611">
        <v>1.378906</v>
      </c>
      <c r="V6611">
        <v>-8.2949350000000005E-2</v>
      </c>
      <c r="W6611">
        <v>0.20760480000000001</v>
      </c>
      <c r="X6611">
        <v>0.97468949999999999</v>
      </c>
      <c r="Y6611">
        <v>-0.270862099999999</v>
      </c>
      <c r="Z6611">
        <v>-2.4651069999999998E-3</v>
      </c>
      <c r="AA6611">
        <v>0.962615</v>
      </c>
      <c r="AB6611">
        <v>34</v>
      </c>
      <c r="AC6611">
        <v>16.443100000000001</v>
      </c>
      <c r="AD6611">
        <v>-1.116119335094</v>
      </c>
      <c r="AE6611">
        <v>8.0319599999999909</v>
      </c>
      <c r="AF6611">
        <v>-4.9824083943382096</v>
      </c>
      <c r="AG6611">
        <v>-1.116119335094</v>
      </c>
      <c r="AH6611">
        <v>17.5381274330629</v>
      </c>
      <c r="AI6611">
        <v>93.503114960137594</v>
      </c>
      <c r="AJ6611">
        <v>105.859323425711</v>
      </c>
      <c r="AK6611">
        <v>18.266253847915699</v>
      </c>
      <c r="AL6611">
        <v>78.017975588366895</v>
      </c>
      <c r="AM6611">
        <v>94.864342397208006</v>
      </c>
      <c r="AN6611">
        <v>0.99999998452935601</v>
      </c>
    </row>
    <row r="6612" spans="1:40" x14ac:dyDescent="0.25">
      <c r="A6612" t="str">
        <f>"20190312173054319"</f>
        <v>20190312173054319</v>
      </c>
      <c r="B6612" t="str">
        <f>"1552383054313530"</f>
        <v>1552383054313530</v>
      </c>
      <c r="C6612" t="s">
        <v>40</v>
      </c>
      <c r="D6612">
        <v>3.2243490000000001</v>
      </c>
      <c r="E6612">
        <v>0.42526150000000001</v>
      </c>
      <c r="F6612" t="s">
        <v>54</v>
      </c>
      <c r="G6612">
        <v>-195.71809999999999</v>
      </c>
      <c r="H6612" s="1">
        <v>-9.3494069999999998E-6</v>
      </c>
      <c r="I6612">
        <v>-53.200130000000001</v>
      </c>
      <c r="J6612">
        <v>-212.03579999999999</v>
      </c>
      <c r="K6612">
        <v>1.1161620000000001</v>
      </c>
      <c r="L6612">
        <v>-61.24973</v>
      </c>
      <c r="M6612">
        <v>0.98353069999999998</v>
      </c>
      <c r="N6612">
        <v>0</v>
      </c>
      <c r="O6612">
        <v>0.18012709999999901</v>
      </c>
      <c r="P6612">
        <v>0.94716659999999997</v>
      </c>
      <c r="Q6612">
        <v>0.19446150000000001</v>
      </c>
      <c r="R6612">
        <v>0.25506899999999999</v>
      </c>
      <c r="S6612">
        <v>2.8347470000000001</v>
      </c>
      <c r="T6612">
        <v>-0.19192719999999999</v>
      </c>
      <c r="U6612">
        <v>1.389923</v>
      </c>
      <c r="V6612">
        <v>-8.3335450000000005E-2</v>
      </c>
      <c r="W6612">
        <v>0.207791</v>
      </c>
      <c r="X6612">
        <v>0.97461690000000001</v>
      </c>
      <c r="Y6612">
        <v>-0.27112449999999999</v>
      </c>
      <c r="Z6612">
        <v>-2.6879859999999998E-3</v>
      </c>
      <c r="AA6612">
        <v>0.96254050000000002</v>
      </c>
      <c r="AB6612">
        <v>33</v>
      </c>
      <c r="AC6612">
        <v>16.317699999999999</v>
      </c>
      <c r="AD6612">
        <v>-1.116171349407</v>
      </c>
      <c r="AE6612">
        <v>8.0495999999999999</v>
      </c>
      <c r="AF6612">
        <v>-4.9596564562916798</v>
      </c>
      <c r="AG6612">
        <v>-1.116171349407</v>
      </c>
      <c r="AH6612">
        <v>17.435237849927699</v>
      </c>
      <c r="AI6612">
        <v>93.523556075720293</v>
      </c>
      <c r="AJ6612">
        <v>105.87901967292601</v>
      </c>
      <c r="AK6612">
        <v>18.161265086144802</v>
      </c>
      <c r="AL6612">
        <v>78.007069460601898</v>
      </c>
      <c r="AM6612">
        <v>94.887237064422095</v>
      </c>
      <c r="AN6612">
        <v>0.99999999933665595</v>
      </c>
    </row>
    <row r="6613" spans="1:40" x14ac:dyDescent="0.25">
      <c r="A6613" t="str">
        <f>"20190312173054330"</f>
        <v>20190312173054330</v>
      </c>
      <c r="B6613" t="str">
        <f>"1552383054324266"</f>
        <v>1552383054324266</v>
      </c>
      <c r="C6613" t="s">
        <v>40</v>
      </c>
      <c r="D6613">
        <v>3.2376070000000001</v>
      </c>
      <c r="E6613">
        <v>0.42535400000000001</v>
      </c>
      <c r="F6613" t="s">
        <v>54</v>
      </c>
      <c r="G6613">
        <v>-195.63120000000001</v>
      </c>
      <c r="H6613" s="1">
        <v>-9.3675419999999996E-6</v>
      </c>
      <c r="I6613">
        <v>-53.126379999999997</v>
      </c>
      <c r="J6613">
        <v>-211.87569999999999</v>
      </c>
      <c r="K6613">
        <v>1.116214</v>
      </c>
      <c r="L6613">
        <v>-61.217219999999998</v>
      </c>
      <c r="M6613">
        <v>0.98290469999999996</v>
      </c>
      <c r="N6613">
        <v>0</v>
      </c>
      <c r="O6613">
        <v>0.18351219999999999</v>
      </c>
      <c r="P6613">
        <v>0.9461465</v>
      </c>
      <c r="Q6613">
        <v>0.19457949999999999</v>
      </c>
      <c r="R6613">
        <v>0.25873829999999998</v>
      </c>
      <c r="S6613">
        <v>2.8295439999999998</v>
      </c>
      <c r="T6613">
        <v>-0.19252279999999999</v>
      </c>
      <c r="U6613">
        <v>1.401154</v>
      </c>
      <c r="V6613">
        <v>-8.3791270000000001E-2</v>
      </c>
      <c r="W6613">
        <v>0.20789589999999999</v>
      </c>
      <c r="X6613">
        <v>0.97455539999999996</v>
      </c>
      <c r="Y6613">
        <v>-0.27158719999999997</v>
      </c>
      <c r="Z6613">
        <v>-2.8928959999999998E-3</v>
      </c>
      <c r="AA6613">
        <v>0.96240950000000003</v>
      </c>
      <c r="AB6613">
        <v>33</v>
      </c>
      <c r="AC6613">
        <v>16.244499999999899</v>
      </c>
      <c r="AD6613">
        <v>-1.1162233675419999</v>
      </c>
      <c r="AE6613">
        <v>8.0908399999999894</v>
      </c>
      <c r="AF6613">
        <v>-4.9532728738989098</v>
      </c>
      <c r="AG6613">
        <v>-1.1162233675419999</v>
      </c>
      <c r="AH6613">
        <v>17.3877175209293</v>
      </c>
      <c r="AI6613">
        <v>93.532945012615002</v>
      </c>
      <c r="AJ6613">
        <v>105.900765761757</v>
      </c>
      <c r="AK6613">
        <v>18.1139059111275</v>
      </c>
      <c r="AL6613">
        <v>78.000924409213795</v>
      </c>
      <c r="AM6613">
        <v>94.914146830188699</v>
      </c>
      <c r="AN6613">
        <v>0.99999995491709004</v>
      </c>
    </row>
    <row r="6614" spans="1:40" x14ac:dyDescent="0.25">
      <c r="A6614" t="str">
        <f>"20190312173054340"</f>
        <v>20190312173054340</v>
      </c>
      <c r="B6614" t="str">
        <f>"1552383054334026"</f>
        <v>1552383054334026</v>
      </c>
      <c r="C6614" t="s">
        <v>40</v>
      </c>
      <c r="D6614">
        <v>3.211786</v>
      </c>
      <c r="E6614">
        <v>0.42530420000000002</v>
      </c>
      <c r="F6614" t="s">
        <v>54</v>
      </c>
      <c r="G6614">
        <v>-195.56309999999999</v>
      </c>
      <c r="H6614" s="1">
        <v>-9.3833140000000004E-6</v>
      </c>
      <c r="I6614">
        <v>-53.06429</v>
      </c>
      <c r="J6614">
        <v>-211.71369999999999</v>
      </c>
      <c r="K6614">
        <v>1.1162609999999999</v>
      </c>
      <c r="L6614">
        <v>-61.183900000000001</v>
      </c>
      <c r="M6614">
        <v>0.98225479999999998</v>
      </c>
      <c r="N6614">
        <v>0</v>
      </c>
      <c r="O6614">
        <v>0.18695919999999999</v>
      </c>
      <c r="P6614">
        <v>0.94510090000000002</v>
      </c>
      <c r="Q6614">
        <v>0.19452079999999999</v>
      </c>
      <c r="R6614">
        <v>0.26257599999999998</v>
      </c>
      <c r="S6614">
        <v>2.8244630000000002</v>
      </c>
      <c r="T6614">
        <v>-0.1932702</v>
      </c>
      <c r="U6614">
        <v>1.4116519999999999</v>
      </c>
      <c r="V6614">
        <v>-8.4353040000000004E-2</v>
      </c>
      <c r="W6614">
        <v>0.20782320000000001</v>
      </c>
      <c r="X6614">
        <v>0.97452249999999996</v>
      </c>
      <c r="Y6614">
        <v>-0.27177020000000002</v>
      </c>
      <c r="Z6614">
        <v>-3.1144699999999998E-3</v>
      </c>
      <c r="AA6614">
        <v>0.96235720000000002</v>
      </c>
      <c r="AB6614">
        <v>33</v>
      </c>
      <c r="AC6614">
        <v>16.150599999999901</v>
      </c>
      <c r="AD6614">
        <v>-1.116270383314</v>
      </c>
      <c r="AE6614">
        <v>8.1196099999999998</v>
      </c>
      <c r="AF6614">
        <v>-4.9377433583873396</v>
      </c>
      <c r="AG6614">
        <v>-1.116270383314</v>
      </c>
      <c r="AH6614">
        <v>17.3179300387255</v>
      </c>
      <c r="AI6614">
        <v>93.547060449624098</v>
      </c>
      <c r="AJ6614">
        <v>105.914079445299</v>
      </c>
      <c r="AK6614">
        <v>18.042673578717601</v>
      </c>
      <c r="AL6614">
        <v>78.005183497462895</v>
      </c>
      <c r="AM6614">
        <v>94.9470964537215</v>
      </c>
      <c r="AN6614">
        <v>1.00000001041086</v>
      </c>
    </row>
    <row r="6615" spans="1:40" x14ac:dyDescent="0.25">
      <c r="A6615" t="str">
        <f>"20190312173054352"</f>
        <v>20190312173054352</v>
      </c>
      <c r="B6615" t="str">
        <f>"1552383054343787"</f>
        <v>1552383054343787</v>
      </c>
      <c r="C6615" t="s">
        <v>40</v>
      </c>
      <c r="D6615">
        <v>3.2001590000000002</v>
      </c>
      <c r="E6615">
        <v>0.42532940000000002</v>
      </c>
      <c r="F6615" t="s">
        <v>54</v>
      </c>
      <c r="G6615">
        <v>-195.51130000000001</v>
      </c>
      <c r="H6615" s="1">
        <v>-9.4010679999999996E-6</v>
      </c>
      <c r="I6615">
        <v>-53.001220000000004</v>
      </c>
      <c r="J6615">
        <v>-211.54939999999999</v>
      </c>
      <c r="K6615">
        <v>1.1163160000000001</v>
      </c>
      <c r="L6615">
        <v>-61.1492</v>
      </c>
      <c r="M6615">
        <v>0.98157220000000001</v>
      </c>
      <c r="N6615">
        <v>0</v>
      </c>
      <c r="O6615">
        <v>0.1905095</v>
      </c>
      <c r="P6615">
        <v>0.94401049999999997</v>
      </c>
      <c r="Q6615">
        <v>0.1944524</v>
      </c>
      <c r="R6615">
        <v>0.26651909999999901</v>
      </c>
      <c r="S6615">
        <v>2.818756</v>
      </c>
      <c r="T6615">
        <v>-0.1941996</v>
      </c>
      <c r="U6615">
        <v>1.4235530000000001</v>
      </c>
      <c r="V6615">
        <v>-8.4922869999999998E-2</v>
      </c>
      <c r="W6615">
        <v>0.20774010000000001</v>
      </c>
      <c r="X6615">
        <v>0.97449070000000004</v>
      </c>
      <c r="Y6615">
        <v>-0.27231650000000002</v>
      </c>
      <c r="Z6615">
        <v>-3.335682E-3</v>
      </c>
      <c r="AA6615">
        <v>0.962202</v>
      </c>
      <c r="AB6615">
        <v>33</v>
      </c>
      <c r="AC6615">
        <v>16.038099999999901</v>
      </c>
      <c r="AD6615">
        <v>-1.1163254010679999</v>
      </c>
      <c r="AE6615">
        <v>8.1479800000000004</v>
      </c>
      <c r="AF6615">
        <v>-4.9240075691214003</v>
      </c>
      <c r="AG6615">
        <v>-1.1163254010679999</v>
      </c>
      <c r="AH6615">
        <v>17.230389939240201</v>
      </c>
      <c r="AI6615">
        <v>93.564599071061295</v>
      </c>
      <c r="AJ6615">
        <v>105.948590104988</v>
      </c>
      <c r="AK6615">
        <v>17.954898228619999</v>
      </c>
      <c r="AL6615">
        <v>78.010050683876301</v>
      </c>
      <c r="AM6615">
        <v>94.980509749764906</v>
      </c>
      <c r="AN6615">
        <v>0.99999998369176801</v>
      </c>
    </row>
    <row r="6616" spans="1:40" x14ac:dyDescent="0.25">
      <c r="A6616" t="str">
        <f>"20190312173054364"</f>
        <v>20190312173054364</v>
      </c>
      <c r="B6616" t="str">
        <f>"1552383054354523"</f>
        <v>1552383054354523</v>
      </c>
      <c r="C6616" t="s">
        <v>40</v>
      </c>
      <c r="D6616">
        <v>3.2021600000000001</v>
      </c>
      <c r="E6616">
        <v>0.4253885</v>
      </c>
      <c r="F6616" t="s">
        <v>54</v>
      </c>
      <c r="G6616">
        <v>-195.44820000000001</v>
      </c>
      <c r="H6616" s="1">
        <v>-9.4190680000000001E-6</v>
      </c>
      <c r="I6616">
        <v>-52.934399999999997</v>
      </c>
      <c r="J6616">
        <v>-211.3845</v>
      </c>
      <c r="K6616">
        <v>1.1163700000000001</v>
      </c>
      <c r="L6616">
        <v>-61.114040000000003</v>
      </c>
      <c r="M6616">
        <v>0.98087040000000003</v>
      </c>
      <c r="N6616">
        <v>0</v>
      </c>
      <c r="O6616">
        <v>0.19409080000000001</v>
      </c>
      <c r="P6616">
        <v>0.94292860000000001</v>
      </c>
      <c r="Q6616">
        <v>0.19430269999999999</v>
      </c>
      <c r="R6616">
        <v>0.27042959999999999</v>
      </c>
      <c r="S6616">
        <v>2.8129270000000002</v>
      </c>
      <c r="T6616">
        <v>-0.19502539999999999</v>
      </c>
      <c r="U6616">
        <v>1.4351499999999999</v>
      </c>
      <c r="V6616">
        <v>-8.5426340000000003E-2</v>
      </c>
      <c r="W6616">
        <v>0.20757690000000001</v>
      </c>
      <c r="X6616">
        <v>0.9744815</v>
      </c>
      <c r="Y6616">
        <v>-0.2727637</v>
      </c>
      <c r="Z6616">
        <v>-3.5624440000000001E-3</v>
      </c>
      <c r="AA6616">
        <v>0.96207450000000005</v>
      </c>
      <c r="AB6616">
        <v>33</v>
      </c>
      <c r="AC6616">
        <v>15.9362999999999</v>
      </c>
      <c r="AD6616">
        <v>-1.1163794190680001</v>
      </c>
      <c r="AE6616">
        <v>8.1796399999999991</v>
      </c>
      <c r="AF6616">
        <v>-4.9115479254513401</v>
      </c>
      <c r="AG6616">
        <v>-1.1163794190680001</v>
      </c>
      <c r="AH6616">
        <v>17.154320350054501</v>
      </c>
      <c r="AI6616">
        <v>93.580027062407595</v>
      </c>
      <c r="AJ6616">
        <v>105.97723846719801</v>
      </c>
      <c r="AK6616">
        <v>17.878487427733301</v>
      </c>
      <c r="AL6616">
        <v>78.019610066235799</v>
      </c>
      <c r="AM6616">
        <v>95.009934205774698</v>
      </c>
      <c r="AN6616">
        <v>1.0000000114108201</v>
      </c>
    </row>
    <row r="6617" spans="1:40" x14ac:dyDescent="0.25">
      <c r="A6617" t="str">
        <f>"20190312173054375"</f>
        <v>20190312173054375</v>
      </c>
      <c r="B6617" t="str">
        <f>"1552383054364283"</f>
        <v>1552383054364283</v>
      </c>
      <c r="C6617" t="s">
        <v>40</v>
      </c>
      <c r="D6617">
        <v>3.204475</v>
      </c>
      <c r="E6617">
        <v>0.42546410000000001</v>
      </c>
      <c r="F6617" t="s">
        <v>54</v>
      </c>
      <c r="G6617">
        <v>-195.3792</v>
      </c>
      <c r="H6617" s="1">
        <v>-9.4365289999999995E-6</v>
      </c>
      <c r="I6617">
        <v>-52.86741</v>
      </c>
      <c r="J6617">
        <v>-211.22409999999999</v>
      </c>
      <c r="K6617">
        <v>1.11642</v>
      </c>
      <c r="L6617">
        <v>-61.078830000000004</v>
      </c>
      <c r="M6617">
        <v>0.98016190000000003</v>
      </c>
      <c r="N6617">
        <v>0</v>
      </c>
      <c r="O6617">
        <v>0.1976366</v>
      </c>
      <c r="P6617">
        <v>0.94183110000000003</v>
      </c>
      <c r="Q6617">
        <v>0.1941321</v>
      </c>
      <c r="R6617">
        <v>0.27434829999999999</v>
      </c>
      <c r="S6617">
        <v>2.8071139999999999</v>
      </c>
      <c r="T6617">
        <v>-0.195798</v>
      </c>
      <c r="U6617">
        <v>1.44635</v>
      </c>
      <c r="V6617">
        <v>-8.5974380000000003E-2</v>
      </c>
      <c r="W6617">
        <v>0.20739170000000001</v>
      </c>
      <c r="X6617">
        <v>0.97447269999999997</v>
      </c>
      <c r="Y6617">
        <v>-0.27313359999999998</v>
      </c>
      <c r="Z6617">
        <v>-3.7904670000000001E-3</v>
      </c>
      <c r="AA6617">
        <v>0.96196870000000001</v>
      </c>
      <c r="AB6617">
        <v>33</v>
      </c>
      <c r="AC6617">
        <v>15.8448999999999</v>
      </c>
      <c r="AD6617">
        <v>-1.116429436529</v>
      </c>
      <c r="AE6617">
        <v>8.2114200000000004</v>
      </c>
      <c r="AF6617">
        <v>-4.8983658639838596</v>
      </c>
      <c r="AG6617">
        <v>-1.116429436529</v>
      </c>
      <c r="AH6617">
        <v>17.0884760756154</v>
      </c>
      <c r="AI6617">
        <v>93.5936310323968</v>
      </c>
      <c r="AJ6617">
        <v>105.99480798269001</v>
      </c>
      <c r="AK6617">
        <v>17.811693277481201</v>
      </c>
      <c r="AL6617">
        <v>78.030456881965705</v>
      </c>
      <c r="AM6617">
        <v>95.041954848864506</v>
      </c>
      <c r="AN6617">
        <v>0.99999997714528199</v>
      </c>
    </row>
    <row r="6618" spans="1:40" x14ac:dyDescent="0.25">
      <c r="A6618" t="str">
        <f>"20190312173054386"</f>
        <v>20190312173054386</v>
      </c>
      <c r="B6618" t="str">
        <f>"1552383054374043"</f>
        <v>1552383054374043</v>
      </c>
      <c r="C6618" t="s">
        <v>40</v>
      </c>
      <c r="D6618">
        <v>3.0364610000000001</v>
      </c>
      <c r="E6618">
        <v>0.42469079999999898</v>
      </c>
      <c r="F6618" t="s">
        <v>54</v>
      </c>
      <c r="G6618">
        <v>-195.3004</v>
      </c>
      <c r="H6618" s="1">
        <v>-9.4554049999999996E-6</v>
      </c>
      <c r="I6618">
        <v>-52.79383</v>
      </c>
      <c r="J6618">
        <v>-211.06469999999999</v>
      </c>
      <c r="K6618">
        <v>1.116476</v>
      </c>
      <c r="L6618">
        <v>-61.043489999999998</v>
      </c>
      <c r="M6618">
        <v>0.97944149999999996</v>
      </c>
      <c r="N6618">
        <v>0</v>
      </c>
      <c r="O6618">
        <v>0.2011763</v>
      </c>
      <c r="P6618">
        <v>0.94065129999999997</v>
      </c>
      <c r="Q6618">
        <v>0.19425210000000001</v>
      </c>
      <c r="R6618">
        <v>0.27828309999999901</v>
      </c>
      <c r="S6618">
        <v>2.8012239999999999</v>
      </c>
      <c r="T6618">
        <v>-0.19639709999999999</v>
      </c>
      <c r="U6618">
        <v>1.4574579999999999</v>
      </c>
      <c r="V6618">
        <v>-8.6564390000000005E-2</v>
      </c>
      <c r="W6618">
        <v>0.20749619999999999</v>
      </c>
      <c r="X6618">
        <v>0.97439830000000005</v>
      </c>
      <c r="Y6618">
        <v>-0.2734935</v>
      </c>
      <c r="Z6618">
        <v>-4.0167680000000004E-3</v>
      </c>
      <c r="AA6618">
        <v>0.96186550000000004</v>
      </c>
      <c r="AB6618">
        <v>33</v>
      </c>
      <c r="AC6618">
        <v>15.764299999999899</v>
      </c>
      <c r="AD6618">
        <v>-1.1164854554050001</v>
      </c>
      <c r="AE6618">
        <v>8.2496599999999898</v>
      </c>
      <c r="AF6618">
        <v>-4.8899469965696403</v>
      </c>
      <c r="AG6618">
        <v>-1.1164854554050001</v>
      </c>
      <c r="AH6618">
        <v>17.0346714610384</v>
      </c>
      <c r="AI6618">
        <v>93.6047403468895</v>
      </c>
      <c r="AJ6618">
        <v>106.01657498188</v>
      </c>
      <c r="AK6618">
        <v>17.757763180843099</v>
      </c>
      <c r="AL6618">
        <v>78.024337300458498</v>
      </c>
      <c r="AM6618">
        <v>95.076761297974798</v>
      </c>
      <c r="AN6618">
        <v>1.00000005683669</v>
      </c>
    </row>
    <row r="6619" spans="1:40" x14ac:dyDescent="0.25">
      <c r="A6619" t="str">
        <f>"20190312173054397"</f>
        <v>20190312173054397</v>
      </c>
      <c r="B6619" t="str">
        <f>"1552383054394540"</f>
        <v>1552383054394540</v>
      </c>
      <c r="C6619" t="s">
        <v>40</v>
      </c>
      <c r="D6619">
        <v>3.14819</v>
      </c>
      <c r="E6619">
        <v>0.42408170000000001</v>
      </c>
      <c r="F6619" t="s">
        <v>54</v>
      </c>
      <c r="G6619">
        <v>-195.01050000000001</v>
      </c>
      <c r="H6619" s="1">
        <v>-9.5094000000000008E-6</v>
      </c>
      <c r="I6619">
        <v>-52.565669999999997</v>
      </c>
      <c r="J6619">
        <v>-210.89789999999999</v>
      </c>
      <c r="K6619">
        <v>1.11653</v>
      </c>
      <c r="L6619">
        <v>-61.005650000000003</v>
      </c>
      <c r="M6619">
        <v>0.97866359999999997</v>
      </c>
      <c r="N6619">
        <v>0</v>
      </c>
      <c r="O6619">
        <v>0.2049269</v>
      </c>
      <c r="P6619">
        <v>0.93946980000000002</v>
      </c>
      <c r="Q6619">
        <v>0.1940162</v>
      </c>
      <c r="R6619">
        <v>0.2824081</v>
      </c>
      <c r="S6619">
        <v>2.7930600000000001</v>
      </c>
      <c r="T6619">
        <v>-0.19424269999999999</v>
      </c>
      <c r="U6619">
        <v>1.474945</v>
      </c>
      <c r="V6619">
        <v>-8.712433E-2</v>
      </c>
      <c r="W6619">
        <v>0.2072457</v>
      </c>
      <c r="X6619">
        <v>0.97440170000000004</v>
      </c>
      <c r="Y6619">
        <v>-0.27568520000000002</v>
      </c>
      <c r="Z6619">
        <v>-4.1389139999999996E-3</v>
      </c>
      <c r="AA6619">
        <v>0.96123910000000001</v>
      </c>
      <c r="AB6619">
        <v>33</v>
      </c>
      <c r="AC6619">
        <v>15.8873999999999</v>
      </c>
      <c r="AD6619">
        <v>-1.1165395093999999</v>
      </c>
      <c r="AE6619">
        <v>8.4399800000000003</v>
      </c>
      <c r="AF6619">
        <v>-4.9854984779802498</v>
      </c>
      <c r="AG6619">
        <v>-1.1165395093999999</v>
      </c>
      <c r="AH6619">
        <v>17.213615476597599</v>
      </c>
      <c r="AI6619">
        <v>93.565106233473898</v>
      </c>
      <c r="AJ6619">
        <v>106.152353547723</v>
      </c>
      <c r="AK6619">
        <v>17.955790523565199</v>
      </c>
      <c r="AL6619">
        <v>78.039008745427395</v>
      </c>
      <c r="AM6619">
        <v>95.1094092226908</v>
      </c>
      <c r="AN6619">
        <v>1.0000000510046601</v>
      </c>
    </row>
    <row r="6620" spans="1:40" x14ac:dyDescent="0.25">
      <c r="A6620" t="str">
        <f>"20190312173054409"</f>
        <v>20190312173054409</v>
      </c>
      <c r="B6620" t="str">
        <f>"1552383054404299"</f>
        <v>1552383054404299</v>
      </c>
      <c r="C6620" t="s">
        <v>40</v>
      </c>
      <c r="D6620">
        <v>3.1150880000000001</v>
      </c>
      <c r="E6620">
        <v>0.42393409999999898</v>
      </c>
      <c r="F6620" t="s">
        <v>54</v>
      </c>
      <c r="G6620">
        <v>-194.8321</v>
      </c>
      <c r="H6620" s="1">
        <v>-9.5518129999999995E-6</v>
      </c>
      <c r="I6620">
        <v>-52.400019999999998</v>
      </c>
      <c r="J6620">
        <v>-210.7372</v>
      </c>
      <c r="K6620">
        <v>1.116584</v>
      </c>
      <c r="L6620">
        <v>-60.968629999999997</v>
      </c>
      <c r="M6620">
        <v>0.97789250000000005</v>
      </c>
      <c r="N6620">
        <v>0</v>
      </c>
      <c r="O6620">
        <v>0.20857439999999999</v>
      </c>
      <c r="P6620">
        <v>0.93819949999999996</v>
      </c>
      <c r="Q6620">
        <v>0.1940383</v>
      </c>
      <c r="R6620">
        <v>0.28658460000000002</v>
      </c>
      <c r="S6620">
        <v>2.7848359999999999</v>
      </c>
      <c r="T6620">
        <v>-0.19354099999999999</v>
      </c>
      <c r="U6620">
        <v>1.4916990000000001</v>
      </c>
      <c r="V6620">
        <v>-8.7856959999999998E-2</v>
      </c>
      <c r="W6620">
        <v>0.20724989999999999</v>
      </c>
      <c r="X6620">
        <v>0.97433499999999995</v>
      </c>
      <c r="Y6620">
        <v>-0.27778049999999999</v>
      </c>
      <c r="Z6620">
        <v>-4.2865430000000003E-3</v>
      </c>
      <c r="AA6620">
        <v>0.96063500000000002</v>
      </c>
      <c r="AB6620">
        <v>33</v>
      </c>
      <c r="AC6620">
        <v>15.905099999999999</v>
      </c>
      <c r="AD6620">
        <v>-1.1165935518129999</v>
      </c>
      <c r="AE6620">
        <v>8.5686099999999996</v>
      </c>
      <c r="AF6620">
        <v>-5.0430832510391399</v>
      </c>
      <c r="AG6620">
        <v>-1.1165935518129999</v>
      </c>
      <c r="AH6620">
        <v>17.2766098399544</v>
      </c>
      <c r="AI6620">
        <v>93.550149501848793</v>
      </c>
      <c r="AJ6620">
        <v>106.272649622625</v>
      </c>
      <c r="AK6620">
        <v>18.0322133250157</v>
      </c>
      <c r="AL6620">
        <v>78.0387624996293</v>
      </c>
      <c r="AM6620">
        <v>95.152494856180098</v>
      </c>
      <c r="AN6620">
        <v>1.00000002934772</v>
      </c>
    </row>
    <row r="6621" spans="1:40" x14ac:dyDescent="0.25">
      <c r="A6621" t="str">
        <f>"20190312173054418"</f>
        <v>20190312173054418</v>
      </c>
      <c r="B6621" t="str">
        <f>"1552383054414058"</f>
        <v>1552383054414058</v>
      </c>
      <c r="C6621" t="s">
        <v>40</v>
      </c>
      <c r="D6621">
        <v>3.114487</v>
      </c>
      <c r="E6621">
        <v>0.42384369999999999</v>
      </c>
      <c r="F6621" t="s">
        <v>54</v>
      </c>
      <c r="G6621">
        <v>-194.68430000000001</v>
      </c>
      <c r="H6621" s="1">
        <v>-9.5844779999999993E-6</v>
      </c>
      <c r="I6621">
        <v>-52.269579999999998</v>
      </c>
      <c r="J6621">
        <v>-210.58340000000001</v>
      </c>
      <c r="K6621">
        <v>1.116638</v>
      </c>
      <c r="L6621">
        <v>-60.932619999999901</v>
      </c>
      <c r="M6621">
        <v>0.97713519999999998</v>
      </c>
      <c r="N6621">
        <v>0</v>
      </c>
      <c r="O6621">
        <v>0.21209359999999999</v>
      </c>
      <c r="P6621">
        <v>0.93706</v>
      </c>
      <c r="Q6621">
        <v>0.1938732</v>
      </c>
      <c r="R6621">
        <v>0.29039949999999998</v>
      </c>
      <c r="S6621">
        <v>2.777771</v>
      </c>
      <c r="T6621">
        <v>-0.19321489999999999</v>
      </c>
      <c r="U6621">
        <v>1.50528</v>
      </c>
      <c r="V6621">
        <v>-8.8332369999999993E-2</v>
      </c>
      <c r="W6621">
        <v>0.2070717</v>
      </c>
      <c r="X6621">
        <v>0.97432989999999997</v>
      </c>
      <c r="Y6621">
        <v>-0.27898050000000002</v>
      </c>
      <c r="Z6621">
        <v>-4.4625659999999899E-3</v>
      </c>
      <c r="AA6621">
        <v>0.96028639999999998</v>
      </c>
      <c r="AB6621">
        <v>33</v>
      </c>
      <c r="AC6621">
        <v>15.899100000000001</v>
      </c>
      <c r="AD6621">
        <v>-1.1166475844779999</v>
      </c>
      <c r="AE6621">
        <v>8.6630399999999899</v>
      </c>
      <c r="AF6621">
        <v>-5.0741326946967096</v>
      </c>
      <c r="AG6621">
        <v>-1.1166475844779999</v>
      </c>
      <c r="AH6621">
        <v>17.309048863918001</v>
      </c>
      <c r="AI6621">
        <v>93.542496826292293</v>
      </c>
      <c r="AJ6621">
        <v>106.338453402997</v>
      </c>
      <c r="AK6621">
        <v>18.071992059671</v>
      </c>
      <c r="AL6621">
        <v>78.049198958080396</v>
      </c>
      <c r="AM6621">
        <v>95.180251624735007</v>
      </c>
      <c r="AN6621">
        <v>1.00000002528235</v>
      </c>
    </row>
    <row r="6622" spans="1:40" x14ac:dyDescent="0.25">
      <c r="A6622" t="str">
        <f>"20190312173054431"</f>
        <v>20190312173054431</v>
      </c>
      <c r="B6622" t="str">
        <f>"1552383054423818"</f>
        <v>1552383054423818</v>
      </c>
      <c r="C6622" t="s">
        <v>40</v>
      </c>
      <c r="D6622">
        <v>3.1005509999999998</v>
      </c>
      <c r="E6622">
        <v>0.42382989999999998</v>
      </c>
      <c r="F6622" t="s">
        <v>54</v>
      </c>
      <c r="G6622">
        <v>-194.58949999999999</v>
      </c>
      <c r="H6622" s="1">
        <v>-9.6092210000000002E-6</v>
      </c>
      <c r="I6622">
        <v>-52.175460000000001</v>
      </c>
      <c r="J6622">
        <v>-210.42339999999999</v>
      </c>
      <c r="K6622">
        <v>1.11669</v>
      </c>
      <c r="L6622">
        <v>-60.894289999999998</v>
      </c>
      <c r="M6622">
        <v>0.97632269999999999</v>
      </c>
      <c r="N6622">
        <v>0</v>
      </c>
      <c r="O6622">
        <v>0.21580250000000001</v>
      </c>
      <c r="P6622">
        <v>0.93578280000000003</v>
      </c>
      <c r="Q6622">
        <v>0.19368659999999999</v>
      </c>
      <c r="R6622">
        <v>0.29461209999999999</v>
      </c>
      <c r="S6622">
        <v>2.7712859999999999</v>
      </c>
      <c r="T6622">
        <v>-0.19348299999999999</v>
      </c>
      <c r="U6622">
        <v>1.5173650000000001</v>
      </c>
      <c r="V6622">
        <v>-8.9034569999999993E-2</v>
      </c>
      <c r="W6622">
        <v>0.20686740000000001</v>
      </c>
      <c r="X6622">
        <v>0.97430939999999999</v>
      </c>
      <c r="Y6622">
        <v>-0.27950779999999997</v>
      </c>
      <c r="Z6622">
        <v>-4.685898E-3</v>
      </c>
      <c r="AA6622">
        <v>0.96013199999999999</v>
      </c>
      <c r="AB6622">
        <v>33</v>
      </c>
      <c r="AC6622">
        <v>15.8339</v>
      </c>
      <c r="AD6622">
        <v>-1.116699609221</v>
      </c>
      <c r="AE6622">
        <v>8.7188300000000005</v>
      </c>
      <c r="AF6622">
        <v>-5.0765897475618003</v>
      </c>
      <c r="AG6622">
        <v>-1.116699609221</v>
      </c>
      <c r="AH6622">
        <v>17.276538782009698</v>
      </c>
      <c r="AI6622">
        <v>93.548647114662302</v>
      </c>
      <c r="AJ6622">
        <v>106.37505528989701</v>
      </c>
      <c r="AK6622">
        <v>18.041551312694001</v>
      </c>
      <c r="AL6622">
        <v>78.061163745315596</v>
      </c>
      <c r="AM6622">
        <v>95.221314679803399</v>
      </c>
      <c r="AN6622">
        <v>1.0000000413831001</v>
      </c>
    </row>
    <row r="6623" spans="1:40" x14ac:dyDescent="0.25">
      <c r="A6623" t="str">
        <f>"20190312173054441"</f>
        <v>20190312173054441</v>
      </c>
      <c r="B6623" t="str">
        <f>"1552383054433579"</f>
        <v>1552383054433579</v>
      </c>
      <c r="C6623" t="s">
        <v>40</v>
      </c>
      <c r="D6623">
        <v>3.1087760000000002</v>
      </c>
      <c r="E6623">
        <v>0.42374450000000002</v>
      </c>
      <c r="F6623" t="s">
        <v>54</v>
      </c>
      <c r="G6623">
        <v>-194.5307</v>
      </c>
      <c r="H6623" s="1">
        <v>-9.6315420000000008E-6</v>
      </c>
      <c r="I6623">
        <v>-52.097929999999998</v>
      </c>
      <c r="J6623">
        <v>-210.27109999999999</v>
      </c>
      <c r="K6623">
        <v>1.116741</v>
      </c>
      <c r="L6623">
        <v>-60.857480000000002</v>
      </c>
      <c r="M6623">
        <v>0.9755315</v>
      </c>
      <c r="N6623">
        <v>0</v>
      </c>
      <c r="O6623">
        <v>0.2193513</v>
      </c>
      <c r="P6623">
        <v>0.93454519999999996</v>
      </c>
      <c r="Q6623">
        <v>0.19381229999999999</v>
      </c>
      <c r="R6623">
        <v>0.29843330000000001</v>
      </c>
      <c r="S6623">
        <v>2.7643589999999998</v>
      </c>
      <c r="T6623">
        <v>-0.19423760000000001</v>
      </c>
      <c r="U6623">
        <v>1.5300290000000001</v>
      </c>
      <c r="V6623">
        <v>-8.9509519999999995E-2</v>
      </c>
      <c r="W6623">
        <v>0.2069793</v>
      </c>
      <c r="X6623">
        <v>0.9742421</v>
      </c>
      <c r="Y6623">
        <v>-0.28040680000000001</v>
      </c>
      <c r="Z6623">
        <v>-4.9003509999999998E-3</v>
      </c>
      <c r="AA6623">
        <v>0.95986870000000002</v>
      </c>
      <c r="AB6623">
        <v>33</v>
      </c>
      <c r="AC6623">
        <v>15.7403999999999</v>
      </c>
      <c r="AD6623">
        <v>-1.1167506315419999</v>
      </c>
      <c r="AE6623">
        <v>8.7595500000000008</v>
      </c>
      <c r="AF6623">
        <v>-5.0736087131891798</v>
      </c>
      <c r="AG6623">
        <v>-1.1167506315419999</v>
      </c>
      <c r="AH6623">
        <v>17.212450297474799</v>
      </c>
      <c r="AI6623">
        <v>93.561102409528601</v>
      </c>
      <c r="AJ6623">
        <v>106.42361306880601</v>
      </c>
      <c r="AK6623">
        <v>17.979351562018</v>
      </c>
      <c r="AL6623">
        <v>78.0546103443167</v>
      </c>
      <c r="AM6623">
        <v>95.249372894803898</v>
      </c>
      <c r="AN6623">
        <v>1.0000000271057601</v>
      </c>
    </row>
    <row r="6624" spans="1:40" x14ac:dyDescent="0.25">
      <c r="A6624" t="str">
        <f>"20190312173054454"</f>
        <v>20190312173054454</v>
      </c>
      <c r="B6624" t="str">
        <f>"1552383054444314"</f>
        <v>1552383054444314</v>
      </c>
      <c r="C6624" t="s">
        <v>40</v>
      </c>
      <c r="D6624">
        <v>3.1064090000000002</v>
      </c>
      <c r="E6624">
        <v>0.42379699999999998</v>
      </c>
      <c r="F6624" t="s">
        <v>54</v>
      </c>
      <c r="G6624">
        <v>-194.352</v>
      </c>
      <c r="H6624" s="1">
        <v>-9.6653179999999997E-6</v>
      </c>
      <c r="I6624">
        <v>-51.955919999999999</v>
      </c>
      <c r="J6624">
        <v>-210.1011</v>
      </c>
      <c r="K6624">
        <v>1.1168009999999999</v>
      </c>
      <c r="L6624">
        <v>-60.815280000000001</v>
      </c>
      <c r="M6624">
        <v>0.97461620000000004</v>
      </c>
      <c r="N6624">
        <v>0</v>
      </c>
      <c r="O6624">
        <v>0.223382</v>
      </c>
      <c r="P6624">
        <v>0.93301160000000005</v>
      </c>
      <c r="Q6624">
        <v>0.19382279999999999</v>
      </c>
      <c r="R6624">
        <v>0.30318689999999998</v>
      </c>
      <c r="S6624">
        <v>2.7577970000000001</v>
      </c>
      <c r="T6624">
        <v>-0.1934631</v>
      </c>
      <c r="U6624">
        <v>1.542084</v>
      </c>
      <c r="V6624">
        <v>-9.0476470000000003E-2</v>
      </c>
      <c r="W6624">
        <v>0.20696619999999999</v>
      </c>
      <c r="X6624">
        <v>0.97415549999999995</v>
      </c>
      <c r="Y6624">
        <v>-0.28061580000000003</v>
      </c>
      <c r="Z6624">
        <v>-5.1286220000000002E-3</v>
      </c>
      <c r="AA6624">
        <v>0.95980650000000001</v>
      </c>
      <c r="AB6624">
        <v>33</v>
      </c>
      <c r="AC6624">
        <v>15.7491</v>
      </c>
      <c r="AD6624">
        <v>-1.1168106653180001</v>
      </c>
      <c r="AE6624">
        <v>8.8593600000000006</v>
      </c>
      <c r="AF6624">
        <v>-5.0975110836784499</v>
      </c>
      <c r="AG6624">
        <v>-1.1168106653180001</v>
      </c>
      <c r="AH6624">
        <v>17.2643412761016</v>
      </c>
      <c r="AI6624">
        <v>93.550137562998202</v>
      </c>
      <c r="AJ6624">
        <v>106.449889772809</v>
      </c>
      <c r="AK6624">
        <v>18.035780133060499</v>
      </c>
      <c r="AL6624">
        <v>78.055376825305899</v>
      </c>
      <c r="AM6624">
        <v>95.306227673506001</v>
      </c>
      <c r="AN6624">
        <v>0.99999996887317399</v>
      </c>
    </row>
    <row r="6625" spans="1:40" x14ac:dyDescent="0.25">
      <c r="A6625" t="str">
        <f>"20190312173054464"</f>
        <v>20190312173054464</v>
      </c>
      <c r="B6625" t="str">
        <f>"1552383054454074"</f>
        <v>1552383054454074</v>
      </c>
      <c r="C6625" t="s">
        <v>40</v>
      </c>
      <c r="D6625">
        <v>3.1160999999999999</v>
      </c>
      <c r="E6625">
        <v>0.42386459999999998</v>
      </c>
      <c r="F6625" t="s">
        <v>54</v>
      </c>
      <c r="G6625">
        <v>-194.2501</v>
      </c>
      <c r="H6625" s="1">
        <v>-9.6945979999999998E-6</v>
      </c>
      <c r="I6625">
        <v>-51.8474</v>
      </c>
      <c r="J6625">
        <v>-209.9392</v>
      </c>
      <c r="K6625">
        <v>1.1168629999999999</v>
      </c>
      <c r="L6625">
        <v>-60.774720000000002</v>
      </c>
      <c r="M6625">
        <v>0.97372449999999999</v>
      </c>
      <c r="N6625">
        <v>0</v>
      </c>
      <c r="O6625">
        <v>0.22723699999999999</v>
      </c>
      <c r="P6625">
        <v>0.93166680000000002</v>
      </c>
      <c r="Q6625">
        <v>0.19371859999999999</v>
      </c>
      <c r="R6625">
        <v>0.30736010000000002</v>
      </c>
      <c r="S6625">
        <v>2.7500610000000001</v>
      </c>
      <c r="T6625">
        <v>-0.1937604</v>
      </c>
      <c r="U6625">
        <v>1.5558780000000001</v>
      </c>
      <c r="V6625">
        <v>-9.1006950000000003E-2</v>
      </c>
      <c r="W6625">
        <v>0.2068468</v>
      </c>
      <c r="X6625">
        <v>0.97413150000000004</v>
      </c>
      <c r="Y6625">
        <v>-0.2816263</v>
      </c>
      <c r="Z6625">
        <v>-5.3484099999999996E-3</v>
      </c>
      <c r="AA6625">
        <v>0.95950930000000001</v>
      </c>
      <c r="AB6625">
        <v>33</v>
      </c>
      <c r="AC6625">
        <v>15.6890999999999</v>
      </c>
      <c r="AD6625">
        <v>-1.1168726945980001</v>
      </c>
      <c r="AE6625">
        <v>8.9273199999999893</v>
      </c>
      <c r="AF6625">
        <v>-5.10862351770231</v>
      </c>
      <c r="AG6625">
        <v>-1.1168726945980001</v>
      </c>
      <c r="AH6625">
        <v>17.241412672445101</v>
      </c>
      <c r="AI6625">
        <v>93.554043416232005</v>
      </c>
      <c r="AJ6625">
        <v>106.504534902586</v>
      </c>
      <c r="AK6625">
        <v>18.016985036434701</v>
      </c>
      <c r="AL6625">
        <v>78.062369889645296</v>
      </c>
      <c r="AM6625">
        <v>95.337290645117605</v>
      </c>
      <c r="AN6625">
        <v>1.0000000214553899</v>
      </c>
    </row>
    <row r="6626" spans="1:40" x14ac:dyDescent="0.25">
      <c r="A6626" t="str">
        <f>"20190312173054475"</f>
        <v>20190312173054475</v>
      </c>
      <c r="B6626" t="str">
        <f>"1552383054463835"</f>
        <v>1552383054463835</v>
      </c>
      <c r="C6626" t="s">
        <v>40</v>
      </c>
      <c r="D6626">
        <v>3.108727</v>
      </c>
      <c r="E6626">
        <v>0.42390230000000001</v>
      </c>
      <c r="F6626" t="s">
        <v>54</v>
      </c>
      <c r="G6626">
        <v>-194.15549999999999</v>
      </c>
      <c r="H6626" s="1">
        <v>-9.7192210000000008E-6</v>
      </c>
      <c r="I6626">
        <v>-51.753700000000002</v>
      </c>
      <c r="J6626">
        <v>-209.78110000000001</v>
      </c>
      <c r="K6626">
        <v>1.116922</v>
      </c>
      <c r="L6626">
        <v>-60.734070000000003</v>
      </c>
      <c r="M6626">
        <v>0.97282299999999999</v>
      </c>
      <c r="N6626">
        <v>0</v>
      </c>
      <c r="O6626">
        <v>0.2310653</v>
      </c>
      <c r="P6626">
        <v>0.93027689999999996</v>
      </c>
      <c r="Q6626">
        <v>0.19397629999999999</v>
      </c>
      <c r="R6626">
        <v>0.31138080000000001</v>
      </c>
      <c r="S6626">
        <v>2.743179</v>
      </c>
      <c r="T6626">
        <v>-0.1941109</v>
      </c>
      <c r="U6626">
        <v>1.567841</v>
      </c>
      <c r="V6626">
        <v>-9.1430410000000004E-2</v>
      </c>
      <c r="W6626">
        <v>0.20708979999999999</v>
      </c>
      <c r="X6626">
        <v>0.97404020000000002</v>
      </c>
      <c r="Y6626">
        <v>-0.28204869999999999</v>
      </c>
      <c r="Z6626">
        <v>-5.5877030000000003E-3</v>
      </c>
      <c r="AA6626">
        <v>0.95938380000000001</v>
      </c>
      <c r="AB6626">
        <v>33</v>
      </c>
      <c r="AC6626">
        <v>15.6256</v>
      </c>
      <c r="AD6626">
        <v>-1.116931719221</v>
      </c>
      <c r="AE6626">
        <v>8.98036999999999</v>
      </c>
      <c r="AF6626">
        <v>-5.1067370563632499</v>
      </c>
      <c r="AG6626">
        <v>-1.116931719221</v>
      </c>
      <c r="AH6626">
        <v>17.2118240167501</v>
      </c>
      <c r="AI6626">
        <v>93.559938211656998</v>
      </c>
      <c r="AJ6626">
        <v>106.52558873472201</v>
      </c>
      <c r="AK6626">
        <v>17.9881401432113</v>
      </c>
      <c r="AL6626">
        <v>78.048138719646701</v>
      </c>
      <c r="AM6626">
        <v>95.362480582568494</v>
      </c>
      <c r="AN6626">
        <v>1.00000000817642</v>
      </c>
    </row>
    <row r="6627" spans="1:40" x14ac:dyDescent="0.25">
      <c r="A6627" t="str">
        <f>"20190312173054487"</f>
        <v>20190312173054487</v>
      </c>
      <c r="B6627" t="str">
        <f>"1552383054484330"</f>
        <v>1552383054484330</v>
      </c>
      <c r="C6627" t="s">
        <v>40</v>
      </c>
      <c r="D6627">
        <v>3.1815799999999999</v>
      </c>
      <c r="E6627">
        <v>0.42423749999999999</v>
      </c>
      <c r="F6627" t="s">
        <v>54</v>
      </c>
      <c r="G6627">
        <v>-193.96080000000001</v>
      </c>
      <c r="H6627" s="1">
        <v>-9.754594E-6</v>
      </c>
      <c r="I6627">
        <v>-51.602890000000002</v>
      </c>
      <c r="J6627">
        <v>-209.62809999999999</v>
      </c>
      <c r="K6627">
        <v>1.116981</v>
      </c>
      <c r="L6627">
        <v>-60.694310000000002</v>
      </c>
      <c r="M6627">
        <v>0.97193039999999997</v>
      </c>
      <c r="N6627">
        <v>0</v>
      </c>
      <c r="O6627">
        <v>0.23479130000000001</v>
      </c>
      <c r="P6627">
        <v>0.92888630000000005</v>
      </c>
      <c r="Q6627">
        <v>0.19406860000000001</v>
      </c>
      <c r="R6627">
        <v>0.31544840000000002</v>
      </c>
      <c r="S6627">
        <v>2.7364809999999999</v>
      </c>
      <c r="T6627">
        <v>-0.19319800000000001</v>
      </c>
      <c r="U6627">
        <v>1.579437</v>
      </c>
      <c r="V6627">
        <v>-9.1996949999999994E-2</v>
      </c>
      <c r="W6627">
        <v>0.2071655</v>
      </c>
      <c r="X6627">
        <v>0.97397080000000003</v>
      </c>
      <c r="Y6627">
        <v>-0.28244570000000002</v>
      </c>
      <c r="Z6627">
        <v>-5.7844649999999999E-3</v>
      </c>
      <c r="AA6627">
        <v>0.9592659</v>
      </c>
      <c r="AB6627">
        <v>33</v>
      </c>
      <c r="AC6627">
        <v>15.6672999999999</v>
      </c>
      <c r="AD6627">
        <v>-1.1169907545939901</v>
      </c>
      <c r="AE6627">
        <v>9.0914199999999905</v>
      </c>
      <c r="AF6627">
        <v>-5.1387204183375701</v>
      </c>
      <c r="AG6627">
        <v>-1.1169907545939901</v>
      </c>
      <c r="AH6627">
        <v>17.298282678403101</v>
      </c>
      <c r="AI6627">
        <v>93.542024609481999</v>
      </c>
      <c r="AJ6627">
        <v>106.54486028471</v>
      </c>
      <c r="AK6627">
        <v>18.0799529729927</v>
      </c>
      <c r="AL6627">
        <v>78.043705807705507</v>
      </c>
      <c r="AM6627">
        <v>95.395895383602195</v>
      </c>
      <c r="AN6627">
        <v>1.00000005122609</v>
      </c>
    </row>
    <row r="6628" spans="1:40" x14ac:dyDescent="0.25">
      <c r="A6628" t="str">
        <f>"20190312173054497"</f>
        <v>20190312173054497</v>
      </c>
      <c r="B6628" t="str">
        <f>"1552383054494090"</f>
        <v>1552383054494090</v>
      </c>
      <c r="C6628" t="s">
        <v>40</v>
      </c>
      <c r="D6628">
        <v>3.1652749999999998</v>
      </c>
      <c r="E6628">
        <v>0.42447639999999998</v>
      </c>
      <c r="F6628" t="s">
        <v>54</v>
      </c>
      <c r="G6628">
        <v>-193.7869</v>
      </c>
      <c r="H6628" s="1">
        <v>-9.7836670000000006E-6</v>
      </c>
      <c r="I6628">
        <v>-51.475180000000002</v>
      </c>
      <c r="J6628">
        <v>-209.47370000000001</v>
      </c>
      <c r="K6628">
        <v>1.11704</v>
      </c>
      <c r="L6628">
        <v>-60.653350000000003</v>
      </c>
      <c r="M6628">
        <v>0.97100339999999996</v>
      </c>
      <c r="N6628">
        <v>0</v>
      </c>
      <c r="O6628">
        <v>0.23859610000000001</v>
      </c>
      <c r="P6628">
        <v>0.92746519999999999</v>
      </c>
      <c r="Q6628">
        <v>0.1940384</v>
      </c>
      <c r="R6628">
        <v>0.3196213</v>
      </c>
      <c r="S6628">
        <v>2.7303009999999999</v>
      </c>
      <c r="T6628">
        <v>-0.19251860000000001</v>
      </c>
      <c r="U6628">
        <v>1.588959</v>
      </c>
      <c r="V6628">
        <v>-9.2590450000000005E-2</v>
      </c>
      <c r="W6628">
        <v>0.20711930000000001</v>
      </c>
      <c r="X6628">
        <v>0.97392429999999997</v>
      </c>
      <c r="Y6628">
        <v>-0.28213850000000001</v>
      </c>
      <c r="Z6628">
        <v>-6.0146690000000003E-3</v>
      </c>
      <c r="AA6628">
        <v>0.95935479999999995</v>
      </c>
      <c r="AB6628">
        <v>33</v>
      </c>
      <c r="AC6628">
        <v>15.6868</v>
      </c>
      <c r="AD6628">
        <v>-1.1170497836669999</v>
      </c>
      <c r="AE6628">
        <v>9.1781699999999997</v>
      </c>
      <c r="AF6628">
        <v>-5.1503487733820199</v>
      </c>
      <c r="AG6628">
        <v>-1.1170497836669999</v>
      </c>
      <c r="AH6628">
        <v>17.358193341739199</v>
      </c>
      <c r="AI6628">
        <v>93.530358016594704</v>
      </c>
      <c r="AJ6628">
        <v>106.5261470395</v>
      </c>
      <c r="AK6628">
        <v>18.140583474515601</v>
      </c>
      <c r="AL6628">
        <v>78.046410560687704</v>
      </c>
      <c r="AM6628">
        <v>95.430756216941106</v>
      </c>
      <c r="AN6628">
        <v>0.99999996899708998</v>
      </c>
    </row>
    <row r="6629" spans="1:40" x14ac:dyDescent="0.25">
      <c r="A6629" t="str">
        <f>"20190312173054509"</f>
        <v>20190312173054509</v>
      </c>
      <c r="B6629" t="str">
        <f>"1552383054503850"</f>
        <v>1552383054503850</v>
      </c>
      <c r="C6629" t="s">
        <v>40</v>
      </c>
      <c r="D6629">
        <v>3.2035680000000002</v>
      </c>
      <c r="E6629">
        <v>0.42474200000000001</v>
      </c>
      <c r="F6629" t="s">
        <v>54</v>
      </c>
      <c r="G6629">
        <v>-193.6823</v>
      </c>
      <c r="H6629" s="1">
        <v>-9.8076129999999996E-6</v>
      </c>
      <c r="I6629">
        <v>-51.380580000000002</v>
      </c>
      <c r="J6629">
        <v>-209.31</v>
      </c>
      <c r="K6629">
        <v>1.117108</v>
      </c>
      <c r="L6629">
        <v>-60.609219999999901</v>
      </c>
      <c r="M6629">
        <v>0.96999340000000001</v>
      </c>
      <c r="N6629">
        <v>0</v>
      </c>
      <c r="O6629">
        <v>0.242669</v>
      </c>
      <c r="P6629">
        <v>0.9259809</v>
      </c>
      <c r="Q6629">
        <v>0.1940115</v>
      </c>
      <c r="R6629">
        <v>0.32391180000000003</v>
      </c>
      <c r="S6629">
        <v>2.7237399999999998</v>
      </c>
      <c r="T6629">
        <v>-0.19267210000000001</v>
      </c>
      <c r="U6629">
        <v>1.59939599999999</v>
      </c>
      <c r="V6629">
        <v>-9.3043130000000002E-2</v>
      </c>
      <c r="W6629">
        <v>0.20707819999999999</v>
      </c>
      <c r="X6629">
        <v>0.97388989999999998</v>
      </c>
      <c r="Y6629">
        <v>-0.281862</v>
      </c>
      <c r="Z6629">
        <v>-6.2859889999999996E-3</v>
      </c>
      <c r="AA6629">
        <v>0.95943440000000002</v>
      </c>
      <c r="AB6629">
        <v>33</v>
      </c>
      <c r="AC6629">
        <v>15.627700000000001</v>
      </c>
      <c r="AD6629">
        <v>-1.1171178076129999</v>
      </c>
      <c r="AE6629">
        <v>9.2286399999999897</v>
      </c>
      <c r="AF6629">
        <v>-5.1404655554245799</v>
      </c>
      <c r="AG6629">
        <v>-1.1171178076129999</v>
      </c>
      <c r="AH6629">
        <v>17.334550061896699</v>
      </c>
      <c r="AI6629">
        <v>93.535534814144896</v>
      </c>
      <c r="AJ6629">
        <v>106.517434024491</v>
      </c>
      <c r="AK6629">
        <v>18.115158408664101</v>
      </c>
      <c r="AL6629">
        <v>78.048817627822302</v>
      </c>
      <c r="AM6629">
        <v>95.457339190865</v>
      </c>
      <c r="AN6629">
        <v>0.99999997113872297</v>
      </c>
    </row>
    <row r="6630" spans="1:40" x14ac:dyDescent="0.25">
      <c r="A6630" t="str">
        <f>"20190312173054520"</f>
        <v>20190312173054520</v>
      </c>
      <c r="B6630" t="str">
        <f>"1552383054513611"</f>
        <v>1552383054513611</v>
      </c>
      <c r="C6630" t="s">
        <v>40</v>
      </c>
      <c r="D6630">
        <v>3.1947260000000002</v>
      </c>
      <c r="E6630">
        <v>0.42501460000000002</v>
      </c>
      <c r="F6630" t="s">
        <v>54</v>
      </c>
      <c r="G6630">
        <v>-193.56489999999999</v>
      </c>
      <c r="H6630" s="1">
        <v>-9.8335589999999997E-6</v>
      </c>
      <c r="I6630">
        <v>-51.276960000000003</v>
      </c>
      <c r="J6630">
        <v>-209.1568</v>
      </c>
      <c r="K6630">
        <v>1.117162</v>
      </c>
      <c r="L6630">
        <v>-60.56738</v>
      </c>
      <c r="M6630">
        <v>0.96902449999999996</v>
      </c>
      <c r="N6630">
        <v>0</v>
      </c>
      <c r="O6630">
        <v>0.24650859999999999</v>
      </c>
      <c r="P6630">
        <v>0.92435520000000004</v>
      </c>
      <c r="Q6630">
        <v>0.19424420000000001</v>
      </c>
      <c r="R6630">
        <v>0.32838529999999999</v>
      </c>
      <c r="S6630">
        <v>2.7168730000000001</v>
      </c>
      <c r="T6630">
        <v>-0.1927634</v>
      </c>
      <c r="U6630">
        <v>1.6103209999999999</v>
      </c>
      <c r="V6630">
        <v>-9.3942979999999995E-2</v>
      </c>
      <c r="W6630">
        <v>0.20728769999999999</v>
      </c>
      <c r="X6630">
        <v>0.97375900000000004</v>
      </c>
      <c r="Y6630">
        <v>-0.28198679999999998</v>
      </c>
      <c r="Z6630">
        <v>-6.5283959999999997E-3</v>
      </c>
      <c r="AA6630">
        <v>0.95939609999999997</v>
      </c>
      <c r="AB6630">
        <v>33</v>
      </c>
      <c r="AC6630">
        <v>15.591900000000001</v>
      </c>
      <c r="AD6630">
        <v>-1.117171833559</v>
      </c>
      <c r="AE6630">
        <v>9.2904200000000099</v>
      </c>
      <c r="AF6630">
        <v>-5.1402129669474803</v>
      </c>
      <c r="AG6630">
        <v>-1.117171833559</v>
      </c>
      <c r="AH6630">
        <v>17.335380833798698</v>
      </c>
      <c r="AI6630">
        <v>93.535564017985806</v>
      </c>
      <c r="AJ6630">
        <v>106.515918214785</v>
      </c>
      <c r="AK6630">
        <v>18.115885043356499</v>
      </c>
      <c r="AL6630">
        <v>78.036548676262498</v>
      </c>
      <c r="AM6630">
        <v>95.510531734625602</v>
      </c>
      <c r="AN6630">
        <v>1.0000000320717799</v>
      </c>
    </row>
    <row r="6631" spans="1:40" x14ac:dyDescent="0.25">
      <c r="A6631" t="str">
        <f>"20190312173054531"</f>
        <v>20190312173054531</v>
      </c>
      <c r="B6631" t="str">
        <f>"1552383054524346"</f>
        <v>1552383054524346</v>
      </c>
      <c r="C6631" t="s">
        <v>40</v>
      </c>
      <c r="D6631">
        <v>3.172329</v>
      </c>
      <c r="E6631">
        <v>0.42531459999999999</v>
      </c>
      <c r="F6631" t="s">
        <v>54</v>
      </c>
      <c r="G6631">
        <v>-193.43549999999999</v>
      </c>
      <c r="H6631" s="1">
        <v>-9.8625739999999999E-6</v>
      </c>
      <c r="I6631">
        <v>-51.1616</v>
      </c>
      <c r="J6631">
        <v>-209.00640000000001</v>
      </c>
      <c r="K6631">
        <v>1.117219</v>
      </c>
      <c r="L6631">
        <v>-60.525390000000002</v>
      </c>
      <c r="M6631">
        <v>0.96804420000000002</v>
      </c>
      <c r="N6631">
        <v>0</v>
      </c>
      <c r="O6631">
        <v>0.25033040000000001</v>
      </c>
      <c r="P6631">
        <v>0.92298420000000003</v>
      </c>
      <c r="Q6631">
        <v>0.19419690000000001</v>
      </c>
      <c r="R6631">
        <v>0.3322466</v>
      </c>
      <c r="S6631">
        <v>2.709991</v>
      </c>
      <c r="T6631">
        <v>-0.19257450000000001</v>
      </c>
      <c r="U6631">
        <v>1.6213379999999999</v>
      </c>
      <c r="V6631">
        <v>-9.4197210000000003E-2</v>
      </c>
      <c r="W6631">
        <v>0.20722979999999999</v>
      </c>
      <c r="X6631">
        <v>0.97374669999999997</v>
      </c>
      <c r="Y6631">
        <v>-0.28215259999999998</v>
      </c>
      <c r="Z6631">
        <v>-6.7588149999999996E-3</v>
      </c>
      <c r="AA6631">
        <v>0.95934580000000003</v>
      </c>
      <c r="AB6631">
        <v>33</v>
      </c>
      <c r="AC6631">
        <v>15.5709</v>
      </c>
      <c r="AD6631">
        <v>-1.1172288625739999</v>
      </c>
      <c r="AE6631">
        <v>9.3637899999999998</v>
      </c>
      <c r="AF6631">
        <v>-5.1478112911603704</v>
      </c>
      <c r="AG6631">
        <v>-1.1172288625739999</v>
      </c>
      <c r="AH6631">
        <v>17.353708973330001</v>
      </c>
      <c r="AI6631">
        <v>93.531899476357495</v>
      </c>
      <c r="AJ6631">
        <v>106.52248455809899</v>
      </c>
      <c r="AK6631">
        <v>18.1355831599593</v>
      </c>
      <c r="AL6631">
        <v>78.039938982183799</v>
      </c>
      <c r="AM6631">
        <v>95.525421624482703</v>
      </c>
      <c r="AN6631">
        <v>0.99999997007035601</v>
      </c>
    </row>
    <row r="6632" spans="1:40" x14ac:dyDescent="0.25">
      <c r="A6632" t="str">
        <f>"20190312173054541"</f>
        <v>20190312173054541</v>
      </c>
      <c r="B6632" t="str">
        <f>"1552383054534106"</f>
        <v>1552383054534106</v>
      </c>
      <c r="C6632" t="s">
        <v>40</v>
      </c>
      <c r="D6632">
        <v>3.180104</v>
      </c>
      <c r="E6632">
        <v>0.4255777</v>
      </c>
      <c r="F6632" t="s">
        <v>54</v>
      </c>
      <c r="G6632">
        <v>-193.35329999999999</v>
      </c>
      <c r="H6632" s="1">
        <v>-9.8817019999999994E-6</v>
      </c>
      <c r="I6632">
        <v>-51.086399999999998</v>
      </c>
      <c r="J6632">
        <v>-208.846</v>
      </c>
      <c r="K6632">
        <v>1.1172799999999901</v>
      </c>
      <c r="L6632">
        <v>-60.48019</v>
      </c>
      <c r="M6632">
        <v>0.96697560000000005</v>
      </c>
      <c r="N6632">
        <v>0</v>
      </c>
      <c r="O6632">
        <v>0.25442670000000001</v>
      </c>
      <c r="P6632">
        <v>0.92141989999999996</v>
      </c>
      <c r="Q6632">
        <v>0.1941707</v>
      </c>
      <c r="R6632">
        <v>0.33657579999999998</v>
      </c>
      <c r="S6632">
        <v>2.7039789999999999</v>
      </c>
      <c r="T6632">
        <v>-0.192994</v>
      </c>
      <c r="U6632">
        <v>1.6305240000000001</v>
      </c>
      <c r="V6632">
        <v>-9.4676330000000003E-2</v>
      </c>
      <c r="W6632">
        <v>0.20718790000000001</v>
      </c>
      <c r="X6632">
        <v>0.97370919999999905</v>
      </c>
      <c r="Y6632">
        <v>-0.2814316</v>
      </c>
      <c r="Z6632">
        <v>-7.056601E-3</v>
      </c>
      <c r="AA6632">
        <v>0.95955539999999995</v>
      </c>
      <c r="AB6632">
        <v>33</v>
      </c>
      <c r="AC6632">
        <v>15.4926999999999</v>
      </c>
      <c r="AD6632">
        <v>-1.1172898817019901</v>
      </c>
      <c r="AE6632">
        <v>9.3937899999999992</v>
      </c>
      <c r="AF6632">
        <v>-5.1229069297649703</v>
      </c>
      <c r="AG6632">
        <v>-1.1172898817019901</v>
      </c>
      <c r="AH6632">
        <v>17.307234463380698</v>
      </c>
      <c r="AI6632">
        <v>93.542170595352403</v>
      </c>
      <c r="AJ6632">
        <v>106.488648781013</v>
      </c>
      <c r="AK6632">
        <v>18.084050344467101</v>
      </c>
      <c r="AL6632">
        <v>78.042393537232698</v>
      </c>
      <c r="AM6632">
        <v>95.5535631477983</v>
      </c>
      <c r="AN6632">
        <v>1.0000000197666501</v>
      </c>
    </row>
    <row r="6633" spans="1:40" x14ac:dyDescent="0.25">
      <c r="A6633" t="str">
        <f>"20190312173054553"</f>
        <v>20190312173054553</v>
      </c>
      <c r="B6633" t="str">
        <f>"1552383054543867"</f>
        <v>1552383054543867</v>
      </c>
      <c r="C6633" t="s">
        <v>40</v>
      </c>
      <c r="D6633">
        <v>3.160247</v>
      </c>
      <c r="E6633">
        <v>0.42581540000000001</v>
      </c>
      <c r="F6633" t="s">
        <v>54</v>
      </c>
      <c r="G6633">
        <v>-193.2433</v>
      </c>
      <c r="H6633" s="1">
        <v>-9.9075089999999992E-6</v>
      </c>
      <c r="I6633">
        <v>-50.985199999999999</v>
      </c>
      <c r="J6633">
        <v>-208.68520000000001</v>
      </c>
      <c r="K6633">
        <v>1.117343</v>
      </c>
      <c r="L6633">
        <v>-60.433619999999998</v>
      </c>
      <c r="M6633">
        <v>0.965866</v>
      </c>
      <c r="N6633">
        <v>0</v>
      </c>
      <c r="O6633">
        <v>0.25860660000000002</v>
      </c>
      <c r="P6633">
        <v>0.91977469999999995</v>
      </c>
      <c r="Q6633">
        <v>0.19414090000000001</v>
      </c>
      <c r="R6633">
        <v>0.3410629</v>
      </c>
      <c r="S6633">
        <v>2.6970209999999999</v>
      </c>
      <c r="T6633">
        <v>-0.1931303</v>
      </c>
      <c r="U6633">
        <v>1.6412659999999999</v>
      </c>
      <c r="V6633">
        <v>-9.5241839999999994E-2</v>
      </c>
      <c r="W6633">
        <v>0.20714170000000001</v>
      </c>
      <c r="X6633">
        <v>0.97366390000000003</v>
      </c>
      <c r="Y6633">
        <v>-0.2811768</v>
      </c>
      <c r="Z6633">
        <v>-7.3356259999999996E-3</v>
      </c>
      <c r="AA6633">
        <v>0.95962789999999998</v>
      </c>
      <c r="AB6633">
        <v>33</v>
      </c>
      <c r="AC6633">
        <v>15.4419</v>
      </c>
      <c r="AD6633">
        <v>-1.1173529075090001</v>
      </c>
      <c r="AE6633">
        <v>9.4484200000000005</v>
      </c>
      <c r="AF6633">
        <v>-5.1136286410427001</v>
      </c>
      <c r="AG6633">
        <v>-1.1173529075090001</v>
      </c>
      <c r="AH6633">
        <v>17.294304247086799</v>
      </c>
      <c r="AI6633">
        <v>93.545314818570503</v>
      </c>
      <c r="AJ6633">
        <v>106.47204314587199</v>
      </c>
      <c r="AK6633">
        <v>18.069051850864099</v>
      </c>
      <c r="AL6633">
        <v>78.045099559239802</v>
      </c>
      <c r="AM6633">
        <v>95.586784111657096</v>
      </c>
      <c r="AN6633">
        <v>1.0000000410643399</v>
      </c>
    </row>
    <row r="6634" spans="1:40" x14ac:dyDescent="0.25">
      <c r="A6634" t="str">
        <f>"20190312173054564"</f>
        <v>20190312173054564</v>
      </c>
      <c r="B6634" t="str">
        <f>"1552383054553627"</f>
        <v>1552383054553627</v>
      </c>
      <c r="C6634" t="s">
        <v>40</v>
      </c>
      <c r="D6634">
        <v>3.1410119999999999</v>
      </c>
      <c r="E6634">
        <v>0.42607230000000001</v>
      </c>
      <c r="F6634" t="s">
        <v>54</v>
      </c>
      <c r="G6634">
        <v>-193.1328</v>
      </c>
      <c r="H6634" s="1">
        <v>-9.9359810000000008E-6</v>
      </c>
      <c r="I6634">
        <v>-50.876530000000002</v>
      </c>
      <c r="J6634">
        <v>-208.5326</v>
      </c>
      <c r="K6634">
        <v>1.1174029999999999</v>
      </c>
      <c r="L6634">
        <v>-60.389220000000002</v>
      </c>
      <c r="M6634">
        <v>0.96479210000000004</v>
      </c>
      <c r="N6634">
        <v>0</v>
      </c>
      <c r="O6634">
        <v>0.26258369999999998</v>
      </c>
      <c r="P6634">
        <v>0.91827389999999998</v>
      </c>
      <c r="Q6634">
        <v>0.19405359999999999</v>
      </c>
      <c r="R6634">
        <v>0.34513240000000001</v>
      </c>
      <c r="S6634">
        <v>2.689575</v>
      </c>
      <c r="T6634">
        <v>-0.19323109999999999</v>
      </c>
      <c r="U6634">
        <v>1.652771</v>
      </c>
      <c r="V6634">
        <v>-9.5567029999999997E-2</v>
      </c>
      <c r="W6634">
        <v>0.20704230000000001</v>
      </c>
      <c r="X6634">
        <v>0.97365310000000005</v>
      </c>
      <c r="Y6634">
        <v>-0.28139380000000003</v>
      </c>
      <c r="Z6634">
        <v>-7.5860930000000003E-3</v>
      </c>
      <c r="AA6634">
        <v>0.95956240000000004</v>
      </c>
      <c r="AB6634">
        <v>33</v>
      </c>
      <c r="AC6634">
        <v>15.399800000000001</v>
      </c>
      <c r="AD6634">
        <v>-1.1174129359810001</v>
      </c>
      <c r="AE6634">
        <v>9.5126899999999992</v>
      </c>
      <c r="AF6634">
        <v>-5.1151189197481397</v>
      </c>
      <c r="AG6634">
        <v>-1.1174129359810001</v>
      </c>
      <c r="AH6634">
        <v>17.291548480715601</v>
      </c>
      <c r="AI6634">
        <v>93.545940176828694</v>
      </c>
      <c r="AJ6634">
        <v>106.479066818991</v>
      </c>
      <c r="AK6634">
        <v>18.066839848008801</v>
      </c>
      <c r="AL6634">
        <v>78.050920038677802</v>
      </c>
      <c r="AM6634">
        <v>95.605799898885607</v>
      </c>
      <c r="AN6634">
        <v>0.99999996517595902</v>
      </c>
    </row>
    <row r="6635" spans="1:40" x14ac:dyDescent="0.25">
      <c r="A6635" t="str">
        <f>"20190312173054575"</f>
        <v>20190312173054575</v>
      </c>
      <c r="B6635" t="str">
        <f>"1552383054564362"</f>
        <v>1552383054564362</v>
      </c>
      <c r="C6635" t="s">
        <v>40</v>
      </c>
      <c r="D6635">
        <v>3.1620300000000001</v>
      </c>
      <c r="E6635">
        <v>0.42634759999999999</v>
      </c>
      <c r="F6635" t="s">
        <v>54</v>
      </c>
      <c r="G6635">
        <v>-193.0275</v>
      </c>
      <c r="H6635" s="1">
        <v>-9.9607189999999997E-6</v>
      </c>
      <c r="I6635">
        <v>-50.77955</v>
      </c>
      <c r="J6635">
        <v>-208.37960000000001</v>
      </c>
      <c r="K6635">
        <v>1.1174679999999999</v>
      </c>
      <c r="L6635">
        <v>-60.343510000000002</v>
      </c>
      <c r="M6635">
        <v>0.96367879999999995</v>
      </c>
      <c r="N6635">
        <v>0</v>
      </c>
      <c r="O6635">
        <v>0.26664060000000001</v>
      </c>
      <c r="P6635">
        <v>0.91653050000000003</v>
      </c>
      <c r="Q6635">
        <v>0.1941686</v>
      </c>
      <c r="R6635">
        <v>0.34967209999999899</v>
      </c>
      <c r="S6635">
        <v>2.6828919999999998</v>
      </c>
      <c r="T6635">
        <v>-0.1933483</v>
      </c>
      <c r="U6635">
        <v>1.6627810000000001</v>
      </c>
      <c r="V6635">
        <v>-9.6330639999999995E-2</v>
      </c>
      <c r="W6635">
        <v>0.20713599999999999</v>
      </c>
      <c r="X6635">
        <v>0.97355789999999998</v>
      </c>
      <c r="Y6635">
        <v>-0.2810204</v>
      </c>
      <c r="Z6635">
        <v>-7.861481E-3</v>
      </c>
      <c r="AA6635">
        <v>0.95966960000000001</v>
      </c>
      <c r="AB6635">
        <v>33</v>
      </c>
      <c r="AC6635">
        <v>15.3521</v>
      </c>
      <c r="AD6635">
        <v>-1.117477960719</v>
      </c>
      <c r="AE6635">
        <v>9.5639599999999891</v>
      </c>
      <c r="AF6635">
        <v>-5.1041885389671497</v>
      </c>
      <c r="AG6635">
        <v>-1.117477960719</v>
      </c>
      <c r="AH6635">
        <v>17.280633025657401</v>
      </c>
      <c r="AI6635">
        <v>93.5488090437143</v>
      </c>
      <c r="AJ6635">
        <v>106.45558380161199</v>
      </c>
      <c r="AK6635">
        <v>18.053303725397701</v>
      </c>
      <c r="AL6635">
        <v>78.045432276690903</v>
      </c>
      <c r="AM6635">
        <v>95.650852202896999</v>
      </c>
      <c r="AN6635">
        <v>0.99999994967560801</v>
      </c>
    </row>
    <row r="6636" spans="1:40" x14ac:dyDescent="0.25">
      <c r="A6636" t="str">
        <f>"20190312173054586"</f>
        <v>20190312173054586</v>
      </c>
      <c r="B6636" t="str">
        <f>"1552383054583882"</f>
        <v>1552383054583882</v>
      </c>
      <c r="C6636" t="s">
        <v>40</v>
      </c>
      <c r="D6636">
        <v>3.0651600000000001</v>
      </c>
      <c r="E6636">
        <v>0.42676059999999999</v>
      </c>
      <c r="F6636" t="s">
        <v>54</v>
      </c>
      <c r="G6636">
        <v>-192.90219999999999</v>
      </c>
      <c r="H6636" s="1">
        <v>-9.9923420000000008E-6</v>
      </c>
      <c r="I6636">
        <v>-50.658169999999998</v>
      </c>
      <c r="J6636">
        <v>-208.22620000000001</v>
      </c>
      <c r="K6636">
        <v>1.117532</v>
      </c>
      <c r="L6636">
        <v>-60.29721</v>
      </c>
      <c r="M6636">
        <v>0.96253840000000002</v>
      </c>
      <c r="N6636">
        <v>0</v>
      </c>
      <c r="O6636">
        <v>0.27072800000000002</v>
      </c>
      <c r="P6636">
        <v>0.91496840000000002</v>
      </c>
      <c r="Q6636">
        <v>0.19398219999999999</v>
      </c>
      <c r="R6636">
        <v>0.35384159999999998</v>
      </c>
      <c r="S6636">
        <v>2.6753999999999998</v>
      </c>
      <c r="T6636">
        <v>-0.1931658</v>
      </c>
      <c r="U6636">
        <v>1.674194</v>
      </c>
      <c r="V6636">
        <v>-9.6649529999999997E-2</v>
      </c>
      <c r="W6636">
        <v>0.20693780000000001</v>
      </c>
      <c r="X6636">
        <v>0.97356849999999995</v>
      </c>
      <c r="Y6636">
        <v>-0.28110449999999998</v>
      </c>
      <c r="Z6636">
        <v>-8.1121860000000004E-3</v>
      </c>
      <c r="AA6636">
        <v>0.95964289999999997</v>
      </c>
      <c r="AB6636">
        <v>33</v>
      </c>
      <c r="AC6636">
        <v>15.324</v>
      </c>
      <c r="AD6636">
        <v>-1.117541992342</v>
      </c>
      <c r="AE6636">
        <v>9.6390399999999996</v>
      </c>
      <c r="AF6636">
        <v>-5.1104162305461802</v>
      </c>
      <c r="AG6636">
        <v>-1.117541992342</v>
      </c>
      <c r="AH6636">
        <v>17.295552005421499</v>
      </c>
      <c r="AI6636">
        <v>93.545857156932598</v>
      </c>
      <c r="AJ6636">
        <v>106.461132287433</v>
      </c>
      <c r="AK6636">
        <v>18.069349001176501</v>
      </c>
      <c r="AL6636">
        <v>78.057040463316696</v>
      </c>
      <c r="AM6636">
        <v>95.669375618251607</v>
      </c>
      <c r="AN6636">
        <v>1.00000000445515</v>
      </c>
    </row>
    <row r="6637" spans="1:40" x14ac:dyDescent="0.25">
      <c r="A6637" t="str">
        <f>"20190312173054598"</f>
        <v>20190312173054598</v>
      </c>
      <c r="B6637" t="str">
        <f>"1552383054593642"</f>
        <v>1552383054593642</v>
      </c>
      <c r="C6637" t="s">
        <v>40</v>
      </c>
      <c r="D6637">
        <v>3.0528909999999998</v>
      </c>
      <c r="E6637">
        <v>0.42703289999999999</v>
      </c>
      <c r="F6637" t="s">
        <v>54</v>
      </c>
      <c r="G6637">
        <v>-192.87139999999999</v>
      </c>
      <c r="H6637" s="1">
        <v>-1.0005909999999999E-5</v>
      </c>
      <c r="I6637">
        <v>-50.612380000000002</v>
      </c>
      <c r="J6637">
        <v>-208.065</v>
      </c>
      <c r="K6637">
        <v>1.11759599999999</v>
      </c>
      <c r="L6637">
        <v>-60.247619999999998</v>
      </c>
      <c r="M6637">
        <v>0.96130490000000002</v>
      </c>
      <c r="N6637">
        <v>0</v>
      </c>
      <c r="O6637">
        <v>0.27507549999999997</v>
      </c>
      <c r="P6637">
        <v>0.91322029999999998</v>
      </c>
      <c r="Q6637">
        <v>0.19401450000000001</v>
      </c>
      <c r="R6637">
        <v>0.3583114</v>
      </c>
      <c r="S6637">
        <v>2.6689609999999999</v>
      </c>
      <c r="T6637">
        <v>-0.19425029999999999</v>
      </c>
      <c r="U6637">
        <v>1.683411</v>
      </c>
      <c r="V6637">
        <v>-9.7046519999999997E-2</v>
      </c>
      <c r="W6637">
        <v>0.206956</v>
      </c>
      <c r="X6637">
        <v>0.97352519999999998</v>
      </c>
      <c r="Y6637">
        <v>-0.28019090000000002</v>
      </c>
      <c r="Z6637">
        <v>-8.4660289999999999E-3</v>
      </c>
      <c r="AA6637">
        <v>0.95990699999999995</v>
      </c>
      <c r="AB6637">
        <v>33</v>
      </c>
      <c r="AC6637">
        <v>15.1936</v>
      </c>
      <c r="AD6637">
        <v>-1.1176060059099999</v>
      </c>
      <c r="AE6637">
        <v>9.6352399999999907</v>
      </c>
      <c r="AF6637">
        <v>-5.0640503220332604</v>
      </c>
      <c r="AG6637">
        <v>-1.1176060059099999</v>
      </c>
      <c r="AH6637">
        <v>17.1917138276103</v>
      </c>
      <c r="AI6637">
        <v>93.568303970581894</v>
      </c>
      <c r="AJ6637">
        <v>106.41304581677301</v>
      </c>
      <c r="AK6637">
        <v>17.956855882335802</v>
      </c>
      <c r="AL6637">
        <v>78.055975328438507</v>
      </c>
      <c r="AM6637">
        <v>95.692761591875495</v>
      </c>
      <c r="AN6637">
        <v>1.0000000640075699</v>
      </c>
    </row>
    <row r="6638" spans="1:40" x14ac:dyDescent="0.25">
      <c r="A6638" t="str">
        <f>"20190312173054610"</f>
        <v>20190312173054610</v>
      </c>
      <c r="B6638" t="str">
        <f>"1552383054604378"</f>
        <v>1552383054604378</v>
      </c>
      <c r="C6638" t="s">
        <v>40</v>
      </c>
      <c r="D6638">
        <v>3.033112</v>
      </c>
      <c r="E6638">
        <v>0.42703289999999999</v>
      </c>
      <c r="F6638" t="s">
        <v>54</v>
      </c>
      <c r="G6638">
        <v>-192.76830000000001</v>
      </c>
      <c r="H6638" s="1">
        <v>-1.003367E-5</v>
      </c>
      <c r="I6638">
        <v>-50.5077</v>
      </c>
      <c r="J6638">
        <v>-207.9042</v>
      </c>
      <c r="K6638">
        <v>1.117661</v>
      </c>
      <c r="L6638">
        <v>-60.197330000000001</v>
      </c>
      <c r="M6638">
        <v>0.96004100000000003</v>
      </c>
      <c r="N6638">
        <v>0</v>
      </c>
      <c r="O6638">
        <v>0.27945360000000002</v>
      </c>
      <c r="P6638">
        <v>0.91142299999999998</v>
      </c>
      <c r="Q6638">
        <v>0.1937709</v>
      </c>
      <c r="R6638">
        <v>0.3629889</v>
      </c>
      <c r="S6638">
        <v>2.6614529999999998</v>
      </c>
      <c r="T6638">
        <v>-0.1944515</v>
      </c>
      <c r="U6638">
        <v>1.6946410000000001</v>
      </c>
      <c r="V6638">
        <v>-9.7616460000000002E-2</v>
      </c>
      <c r="W6638">
        <v>0.20669609999999999</v>
      </c>
      <c r="X6638">
        <v>0.97352340000000004</v>
      </c>
      <c r="Y6638">
        <v>-0.27993230000000002</v>
      </c>
      <c r="Z6638">
        <v>-8.7644579999999993E-3</v>
      </c>
      <c r="AA6638">
        <v>0.95997969999999999</v>
      </c>
      <c r="AB6638">
        <v>33</v>
      </c>
      <c r="AC6638">
        <v>15.1358999999999</v>
      </c>
      <c r="AD6638">
        <v>-1.11767103367</v>
      </c>
      <c r="AE6638">
        <v>9.6896299999999993</v>
      </c>
      <c r="AF6638">
        <v>-5.0536902110691697</v>
      </c>
      <c r="AG6638">
        <v>-1.11767103367</v>
      </c>
      <c r="AH6638">
        <v>17.174418662111901</v>
      </c>
      <c r="AI6638">
        <v>93.572391314537995</v>
      </c>
      <c r="AJ6638">
        <v>106.39688040332599</v>
      </c>
      <c r="AK6638">
        <v>17.937380791811801</v>
      </c>
      <c r="AL6638">
        <v>78.071195193962893</v>
      </c>
      <c r="AM6638">
        <v>95.725983345031594</v>
      </c>
      <c r="AN6638">
        <v>1.00000003068285</v>
      </c>
    </row>
    <row r="6639" spans="1:40" x14ac:dyDescent="0.25">
      <c r="A6639" t="str">
        <f>"20190312173054619"</f>
        <v>20190312173054619</v>
      </c>
      <c r="B6639" t="str">
        <f>"1552383054614138"</f>
        <v>1552383054614138</v>
      </c>
      <c r="C6639" t="s">
        <v>40</v>
      </c>
      <c r="D6639">
        <v>3.0882179999999999</v>
      </c>
      <c r="E6639">
        <v>0.43858419999999998</v>
      </c>
      <c r="F6639" t="s">
        <v>54</v>
      </c>
      <c r="G6639">
        <v>-192.73009999999999</v>
      </c>
      <c r="H6639" s="1">
        <v>-1.00586899999999E-5</v>
      </c>
      <c r="I6639">
        <v>-50.428400000000003</v>
      </c>
      <c r="J6639">
        <v>-207.76079999999999</v>
      </c>
      <c r="K6639">
        <v>1.1177170000000001</v>
      </c>
      <c r="L6639">
        <v>-60.151919999999997</v>
      </c>
      <c r="M6639">
        <v>0.9588873</v>
      </c>
      <c r="N6639">
        <v>0</v>
      </c>
      <c r="O6639">
        <v>0.2833869</v>
      </c>
      <c r="P6639">
        <v>0.90983820000000004</v>
      </c>
      <c r="Q6639">
        <v>0.19359889999999999</v>
      </c>
      <c r="R6639">
        <v>0.36703400000000003</v>
      </c>
      <c r="S6639">
        <v>2.652908</v>
      </c>
      <c r="T6639">
        <v>-0.1954041</v>
      </c>
      <c r="U6639">
        <v>1.707916</v>
      </c>
      <c r="V6639">
        <v>-9.7966650000000002E-2</v>
      </c>
      <c r="W6639">
        <v>0.20651230000000001</v>
      </c>
      <c r="X6639">
        <v>0.97352720000000004</v>
      </c>
      <c r="Y6639">
        <v>-0.28080519999999998</v>
      </c>
      <c r="Z6639">
        <v>-9.0334400000000002E-3</v>
      </c>
      <c r="AA6639">
        <v>0.95972230000000003</v>
      </c>
      <c r="AB6639">
        <v>33</v>
      </c>
      <c r="AC6639">
        <v>15.0306999999999</v>
      </c>
      <c r="AD6639">
        <v>-1.1177270586900001</v>
      </c>
      <c r="AE6639">
        <v>9.7235199999999899</v>
      </c>
      <c r="AF6639">
        <v>-5.0451632426422597</v>
      </c>
      <c r="AG6639">
        <v>-1.1177270586900001</v>
      </c>
      <c r="AH6639">
        <v>17.1035382116387</v>
      </c>
      <c r="AI6639">
        <v>93.586637605833701</v>
      </c>
      <c r="AJ6639">
        <v>106.43488652059099</v>
      </c>
      <c r="AK6639">
        <v>17.867120788745499</v>
      </c>
      <c r="AL6639">
        <v>78.081958029224893</v>
      </c>
      <c r="AM6639">
        <v>95.746365271786104</v>
      </c>
      <c r="AN6639">
        <v>1.0000000018516699</v>
      </c>
    </row>
    <row r="6640" spans="1:40" x14ac:dyDescent="0.25">
      <c r="A6640" t="str">
        <f>"20190312173054632"</f>
        <v>20190312173054632</v>
      </c>
      <c r="B6640" t="str">
        <f>"1552383054623899"</f>
        <v>1552383054623899</v>
      </c>
      <c r="C6640" t="s">
        <v>40</v>
      </c>
      <c r="D6640">
        <v>3.065769</v>
      </c>
      <c r="E6640">
        <v>0.43858019999999998</v>
      </c>
      <c r="F6640" t="s">
        <v>54</v>
      </c>
      <c r="G6640">
        <v>-192.83619999999999</v>
      </c>
      <c r="H6640" s="1">
        <v>-9.8431360000000008E-6</v>
      </c>
      <c r="I6640">
        <v>-51.050420000000003</v>
      </c>
      <c r="J6640">
        <v>-207.60130000000001</v>
      </c>
      <c r="K6640">
        <v>1.117775</v>
      </c>
      <c r="L6640">
        <v>-60.10031</v>
      </c>
      <c r="M6640">
        <v>0.95756540000000001</v>
      </c>
      <c r="N6640">
        <v>0</v>
      </c>
      <c r="O6640">
        <v>0.2878212</v>
      </c>
      <c r="P6640">
        <v>0.90798409999999996</v>
      </c>
      <c r="Q6640">
        <v>0.1933706</v>
      </c>
      <c r="R6640">
        <v>0.37171609999999999</v>
      </c>
      <c r="S6640">
        <v>2.6805729999999999</v>
      </c>
      <c r="T6640">
        <v>-0.20075299999999999</v>
      </c>
      <c r="U6640">
        <v>1.6347050000000001</v>
      </c>
      <c r="V6640">
        <v>-9.8492209999999997E-2</v>
      </c>
      <c r="W6640">
        <v>0.2062678</v>
      </c>
      <c r="X6640">
        <v>0.973526</v>
      </c>
      <c r="Y6640">
        <v>-0.25291449999999999</v>
      </c>
      <c r="Z6640">
        <v>-1.0522470000000001E-2</v>
      </c>
      <c r="AA6640">
        <v>0.96743140000000005</v>
      </c>
      <c r="AB6640">
        <v>33</v>
      </c>
      <c r="AC6640">
        <v>14.7651</v>
      </c>
      <c r="AD6640">
        <v>-1.117784843136</v>
      </c>
      <c r="AE6640">
        <v>9.0498899999999907</v>
      </c>
      <c r="AF6640">
        <v>-4.3983312850648604</v>
      </c>
      <c r="AG6640">
        <v>-1.117784843136</v>
      </c>
      <c r="AH6640">
        <v>16.675731244986899</v>
      </c>
      <c r="AI6640">
        <v>93.708385201402805</v>
      </c>
      <c r="AJ6640">
        <v>104.775630390174</v>
      </c>
      <c r="AK6640">
        <v>17.2822097430785</v>
      </c>
      <c r="AL6640">
        <v>78.096275034592196</v>
      </c>
      <c r="AM6640">
        <v>95.776991814897997</v>
      </c>
      <c r="AN6640">
        <v>0.99999999671176198</v>
      </c>
    </row>
    <row r="6641" spans="1:40" x14ac:dyDescent="0.25">
      <c r="A6641" t="str">
        <f>"20190312173054642"</f>
        <v>20190312173054642</v>
      </c>
      <c r="B6641" t="str">
        <f>"1552383054633658"</f>
        <v>1552383054633658</v>
      </c>
      <c r="C6641" t="s">
        <v>40</v>
      </c>
      <c r="D6641">
        <v>3.0222359999999999</v>
      </c>
      <c r="E6641">
        <v>0.43860169999999998</v>
      </c>
      <c r="F6641" t="s">
        <v>54</v>
      </c>
      <c r="G6641">
        <v>-192.43369999999999</v>
      </c>
      <c r="H6641" s="1">
        <v>-9.9147879999999992E-6</v>
      </c>
      <c r="I6641">
        <v>-50.742730000000002</v>
      </c>
      <c r="J6641">
        <v>-207.45189999999999</v>
      </c>
      <c r="K6641">
        <v>1.1178349999999999</v>
      </c>
      <c r="L6641">
        <v>-60.051639999999999</v>
      </c>
      <c r="M6641">
        <v>0.95630280000000001</v>
      </c>
      <c r="N6641">
        <v>0</v>
      </c>
      <c r="O6641">
        <v>0.291989</v>
      </c>
      <c r="P6641">
        <v>0.9062576</v>
      </c>
      <c r="Q6641">
        <v>0.1929303</v>
      </c>
      <c r="R6641">
        <v>0.37613180000000002</v>
      </c>
      <c r="S6641">
        <v>2.6712950000000002</v>
      </c>
      <c r="T6641">
        <v>-0.19686229999999999</v>
      </c>
      <c r="U6641">
        <v>1.6480410000000001</v>
      </c>
      <c r="V6641">
        <v>-9.8987450000000005E-2</v>
      </c>
      <c r="W6641">
        <v>0.20581289999999999</v>
      </c>
      <c r="X6641">
        <v>0.97357210000000005</v>
      </c>
      <c r="Y6641">
        <v>-0.25370290000000001</v>
      </c>
      <c r="Z6641">
        <v>-1.056852E-2</v>
      </c>
      <c r="AA6641">
        <v>0.96722450000000004</v>
      </c>
      <c r="AB6641">
        <v>33</v>
      </c>
      <c r="AC6641">
        <v>15.0182</v>
      </c>
      <c r="AD6641">
        <v>-1.1178449147880001</v>
      </c>
      <c r="AE6641">
        <v>9.3089099999999902</v>
      </c>
      <c r="AF6641">
        <v>-4.49949207188744</v>
      </c>
      <c r="AG6641">
        <v>-1.1178449147880001</v>
      </c>
      <c r="AH6641">
        <v>17.013890727889098</v>
      </c>
      <c r="AI6641">
        <v>93.634444034554306</v>
      </c>
      <c r="AJ6641">
        <v>104.813309019618</v>
      </c>
      <c r="AK6641">
        <v>17.634270153852299</v>
      </c>
      <c r="AL6641">
        <v>78.122911022457401</v>
      </c>
      <c r="AM6641">
        <v>95.805568790835807</v>
      </c>
      <c r="AN6641">
        <v>1.0000000494811601</v>
      </c>
    </row>
    <row r="6642" spans="1:40" x14ac:dyDescent="0.25">
      <c r="A6642" t="str">
        <f>"20190312173054655"</f>
        <v>20190312173054655</v>
      </c>
      <c r="B6642" t="str">
        <f>"1552383054644394"</f>
        <v>1552383054644394</v>
      </c>
      <c r="C6642" t="s">
        <v>40</v>
      </c>
      <c r="D6642">
        <v>3.0200849999999999</v>
      </c>
      <c r="E6642">
        <v>0.43891269999999999</v>
      </c>
      <c r="F6642" t="s">
        <v>54</v>
      </c>
      <c r="G6642">
        <v>-192.70400000000001</v>
      </c>
      <c r="H6642" s="1">
        <v>-9.9008539999999995E-6</v>
      </c>
      <c r="I6642">
        <v>-50.855330000000002</v>
      </c>
      <c r="J6642">
        <v>-207.28270000000001</v>
      </c>
      <c r="K6642">
        <v>1.117902</v>
      </c>
      <c r="L6642">
        <v>-59.994959999999999</v>
      </c>
      <c r="M6642">
        <v>0.95482020000000001</v>
      </c>
      <c r="N6642">
        <v>0</v>
      </c>
      <c r="O6642">
        <v>0.29680060000000003</v>
      </c>
      <c r="P6642">
        <v>0.90415290000000004</v>
      </c>
      <c r="Q6642">
        <v>0.19266720000000001</v>
      </c>
      <c r="R6642">
        <v>0.38129649999999998</v>
      </c>
      <c r="S6642">
        <v>2.6638790000000001</v>
      </c>
      <c r="T6642">
        <v>-0.20191310000000001</v>
      </c>
      <c r="U6642">
        <v>1.6611020000000001</v>
      </c>
      <c r="V6642">
        <v>-9.9656400000000006E-2</v>
      </c>
      <c r="W6642">
        <v>0.20553009999999999</v>
      </c>
      <c r="X6642">
        <v>0.97356359999999997</v>
      </c>
      <c r="Y6642">
        <v>-0.25346920000000001</v>
      </c>
      <c r="Z6642">
        <v>-1.1166000000000001E-2</v>
      </c>
      <c r="AA6642">
        <v>0.967279</v>
      </c>
      <c r="AB6642">
        <v>33</v>
      </c>
      <c r="AC6642">
        <v>14.5786999999999</v>
      </c>
      <c r="AD6642">
        <v>-1.1179119008539999</v>
      </c>
      <c r="AE6642">
        <v>9.1396299999999897</v>
      </c>
      <c r="AF6642">
        <v>-4.3817421492203703</v>
      </c>
      <c r="AG6642">
        <v>-1.1179119008539999</v>
      </c>
      <c r="AH6642">
        <v>16.564659632751901</v>
      </c>
      <c r="AI6642">
        <v>93.732899133171401</v>
      </c>
      <c r="AJ6642">
        <v>104.816715365405</v>
      </c>
      <c r="AK6642">
        <v>17.170828169580101</v>
      </c>
      <c r="AL6642">
        <v>78.139468269669393</v>
      </c>
      <c r="AM6642">
        <v>95.844582386745401</v>
      </c>
      <c r="AN6642">
        <v>1.00000005165596</v>
      </c>
    </row>
    <row r="6643" spans="1:40" x14ac:dyDescent="0.25">
      <c r="A6643" t="str">
        <f>"20190312173054666"</f>
        <v>20190312173054666</v>
      </c>
      <c r="B6643" t="str">
        <f>"1552383054654529"</f>
        <v>1552383054654529</v>
      </c>
      <c r="C6643" t="s">
        <v>40</v>
      </c>
      <c r="D6643">
        <v>2.9706950000000001</v>
      </c>
      <c r="E6643">
        <v>0.43928800000000001</v>
      </c>
      <c r="F6643" t="s">
        <v>54</v>
      </c>
      <c r="G6643">
        <v>-192.5933</v>
      </c>
      <c r="H6643" s="1">
        <v>-9.9339050000000002E-6</v>
      </c>
      <c r="I6643">
        <v>-50.734029999999997</v>
      </c>
      <c r="J6643">
        <v>-207.1302</v>
      </c>
      <c r="K6643">
        <v>1.11796299999999</v>
      </c>
      <c r="L6643">
        <v>-59.943510000000003</v>
      </c>
      <c r="M6643">
        <v>0.95345590000000002</v>
      </c>
      <c r="N6643">
        <v>0</v>
      </c>
      <c r="O6643">
        <v>0.30115380000000003</v>
      </c>
      <c r="P6643">
        <v>0.90232469999999998</v>
      </c>
      <c r="Q6643">
        <v>0.1923107</v>
      </c>
      <c r="R6643">
        <v>0.38578079999999998</v>
      </c>
      <c r="S6643">
        <v>2.655151</v>
      </c>
      <c r="T6643">
        <v>-0.202067</v>
      </c>
      <c r="U6643">
        <v>1.67395</v>
      </c>
      <c r="V6643">
        <v>-0.1000515</v>
      </c>
      <c r="W6643">
        <v>0.20516000000000001</v>
      </c>
      <c r="X6643">
        <v>0.9736011</v>
      </c>
      <c r="Y6643">
        <v>-0.25384630000000002</v>
      </c>
      <c r="Z6643">
        <v>-1.145561E-2</v>
      </c>
      <c r="AA6643">
        <v>0.9671767</v>
      </c>
      <c r="AB6643">
        <v>33</v>
      </c>
      <c r="AC6643">
        <v>14.536899999999999</v>
      </c>
      <c r="AD6643">
        <v>-1.11797293390499</v>
      </c>
      <c r="AE6643">
        <v>9.2094799999999992</v>
      </c>
      <c r="AF6643">
        <v>-4.3849857604057503</v>
      </c>
      <c r="AG6643">
        <v>-1.11797293390499</v>
      </c>
      <c r="AH6643">
        <v>16.565744572160199</v>
      </c>
      <c r="AI6643">
        <v>93.732694268151306</v>
      </c>
      <c r="AJ6643">
        <v>104.826272224912</v>
      </c>
      <c r="AK6643">
        <v>17.1727067415117</v>
      </c>
      <c r="AL6643">
        <v>78.161134726832799</v>
      </c>
      <c r="AM6643">
        <v>95.867368171389302</v>
      </c>
      <c r="AN6643">
        <v>1.0000000150867201</v>
      </c>
    </row>
    <row r="6644" spans="1:40" x14ac:dyDescent="0.25">
      <c r="A6644" t="str">
        <f>"20190312173054677"</f>
        <v>20190312173054677</v>
      </c>
      <c r="B6644" t="str">
        <f>"1552383054674049"</f>
        <v>1552383054674049</v>
      </c>
      <c r="C6644" t="s">
        <v>40</v>
      </c>
      <c r="D6644">
        <v>3.0561739999999999</v>
      </c>
      <c r="E6644">
        <v>0.43941770000000002</v>
      </c>
      <c r="F6644" t="s">
        <v>54</v>
      </c>
      <c r="G6644">
        <v>-192.66329999999999</v>
      </c>
      <c r="H6644" s="1">
        <v>-9.9378259999999994E-6</v>
      </c>
      <c r="I6644">
        <v>-50.742460000000001</v>
      </c>
      <c r="J6644">
        <v>-206.9744</v>
      </c>
      <c r="K6644">
        <v>1.1180300000000001</v>
      </c>
      <c r="L6644">
        <v>-59.889769999999999</v>
      </c>
      <c r="M6644">
        <v>0.95201899999999995</v>
      </c>
      <c r="N6644">
        <v>0</v>
      </c>
      <c r="O6644">
        <v>0.30566559999999998</v>
      </c>
      <c r="P6644">
        <v>0.90034629999999904</v>
      </c>
      <c r="Q6644">
        <v>0.1920925</v>
      </c>
      <c r="R6644">
        <v>0.39048339999999998</v>
      </c>
      <c r="S6644">
        <v>2.6482389999999998</v>
      </c>
      <c r="T6644">
        <v>-0.20465</v>
      </c>
      <c r="U6644">
        <v>1.684296</v>
      </c>
      <c r="V6644">
        <v>-0.1005379</v>
      </c>
      <c r="W6644">
        <v>0.20492669999999999</v>
      </c>
      <c r="X6644">
        <v>0.97360009999999997</v>
      </c>
      <c r="Y6644">
        <v>-0.25311070000000002</v>
      </c>
      <c r="Z6644">
        <v>-1.1932730000000001E-2</v>
      </c>
      <c r="AA6644">
        <v>0.96736369999999905</v>
      </c>
      <c r="AB6644">
        <v>33</v>
      </c>
      <c r="AC6644">
        <v>14.3111</v>
      </c>
      <c r="AD6644">
        <v>-1.11803993782599</v>
      </c>
      <c r="AE6644">
        <v>9.1473099999999992</v>
      </c>
      <c r="AF6644">
        <v>-4.3157961722331502</v>
      </c>
      <c r="AG6644">
        <v>-1.11803993782599</v>
      </c>
      <c r="AH6644">
        <v>16.351479936828699</v>
      </c>
      <c r="AI6644">
        <v>93.782402003553202</v>
      </c>
      <c r="AJ6644">
        <v>104.785419771718</v>
      </c>
      <c r="AK6644">
        <v>16.9483629306004</v>
      </c>
      <c r="AL6644">
        <v>78.174791687419003</v>
      </c>
      <c r="AM6644">
        <v>95.895697932114103</v>
      </c>
      <c r="AN6644">
        <v>0.99999998821465397</v>
      </c>
    </row>
    <row r="6645" spans="1:40" x14ac:dyDescent="0.25">
      <c r="A6645" t="str">
        <f>"20190312173054689"</f>
        <v>20190312173054689</v>
      </c>
      <c r="B6645" t="str">
        <f>"1552383054683809"</f>
        <v>1552383054683809</v>
      </c>
      <c r="C6645" t="s">
        <v>40</v>
      </c>
      <c r="D6645">
        <v>2.9811040000000002</v>
      </c>
      <c r="E6645">
        <v>0.4164812</v>
      </c>
      <c r="F6645" t="s">
        <v>54</v>
      </c>
      <c r="G6645">
        <v>-192.52189999999999</v>
      </c>
      <c r="H6645" s="1">
        <v>-9.9760870000000004E-6</v>
      </c>
      <c r="I6645">
        <v>-50.598370000000003</v>
      </c>
      <c r="J6645">
        <v>-206.8186</v>
      </c>
      <c r="K6645">
        <v>1.118096</v>
      </c>
      <c r="L6645">
        <v>-59.835209999999996</v>
      </c>
      <c r="M6645">
        <v>0.95054510000000003</v>
      </c>
      <c r="N6645">
        <v>0</v>
      </c>
      <c r="O6645">
        <v>0.31021769999999999</v>
      </c>
      <c r="P6645">
        <v>0.89830659999999896</v>
      </c>
      <c r="Q6645">
        <v>0.19206200000000001</v>
      </c>
      <c r="R6645">
        <v>0.39516760000000001</v>
      </c>
      <c r="S6645">
        <v>2.6396329999999999</v>
      </c>
      <c r="T6645">
        <v>-0.20419999999999999</v>
      </c>
      <c r="U6645">
        <v>1.6969909999999999</v>
      </c>
      <c r="V6645">
        <v>-0.1009823</v>
      </c>
      <c r="W6645">
        <v>0.20488049999999999</v>
      </c>
      <c r="X6645">
        <v>0.97356379999999998</v>
      </c>
      <c r="Y6645">
        <v>-0.25321539999999998</v>
      </c>
      <c r="Z6645">
        <v>-1.221291E-2</v>
      </c>
      <c r="AA6645">
        <v>0.96733279999999999</v>
      </c>
      <c r="AB6645">
        <v>33</v>
      </c>
      <c r="AC6645">
        <v>14.2967</v>
      </c>
      <c r="AD6645">
        <v>-1.118105976087</v>
      </c>
      <c r="AE6645">
        <v>9.2368399999999902</v>
      </c>
      <c r="AF6645">
        <v>-4.3267705393754996</v>
      </c>
      <c r="AG6645">
        <v>-1.118105976087</v>
      </c>
      <c r="AH6645">
        <v>16.3862646775607</v>
      </c>
      <c r="AI6645">
        <v>93.7745166006208</v>
      </c>
      <c r="AJ6645">
        <v>104.791281683531</v>
      </c>
      <c r="AK6645">
        <v>16.984721792164901</v>
      </c>
      <c r="AL6645">
        <v>78.177495777814897</v>
      </c>
      <c r="AM6645">
        <v>95.921792681223806</v>
      </c>
      <c r="AN6645">
        <v>0.99999995843198897</v>
      </c>
    </row>
    <row r="6646" spans="1:40" x14ac:dyDescent="0.25">
      <c r="A6646" t="str">
        <f>"20190312173054699"</f>
        <v>20190312173054699</v>
      </c>
      <c r="B6646" t="str">
        <f>"1552383054693570"</f>
        <v>1552383054693570</v>
      </c>
      <c r="C6646" t="s">
        <v>40</v>
      </c>
      <c r="D6646">
        <v>3.1179619999999999</v>
      </c>
      <c r="E6646">
        <v>0.41651110000000002</v>
      </c>
      <c r="F6646" t="s">
        <v>54</v>
      </c>
      <c r="G6646">
        <v>-191.94040000000001</v>
      </c>
      <c r="H6646" s="1">
        <v>-2.1907329999999999E-6</v>
      </c>
      <c r="I6646">
        <v>-48.902430000000003</v>
      </c>
      <c r="J6646">
        <v>-206.6722</v>
      </c>
      <c r="K6646">
        <v>1.1181540000000001</v>
      </c>
      <c r="L6646">
        <v>-59.783290000000001</v>
      </c>
      <c r="M6646">
        <v>0.94912819999999998</v>
      </c>
      <c r="N6646">
        <v>0</v>
      </c>
      <c r="O6646">
        <v>0.31452619999999998</v>
      </c>
      <c r="P6646">
        <v>0.89637619999999896</v>
      </c>
      <c r="Q6646">
        <v>0.19158790000000001</v>
      </c>
      <c r="R6646">
        <v>0.39975470000000002</v>
      </c>
      <c r="S6646">
        <v>2.5548099999999998</v>
      </c>
      <c r="T6646">
        <v>-0.1919941</v>
      </c>
      <c r="U6646">
        <v>1.877319</v>
      </c>
      <c r="V6646">
        <v>-0.10153470000000001</v>
      </c>
      <c r="W6646">
        <v>0.2043904</v>
      </c>
      <c r="X6646">
        <v>0.97360939999999996</v>
      </c>
      <c r="Y6646">
        <v>-0.30859259999999999</v>
      </c>
      <c r="Z6646">
        <v>-9.9480909999999992E-3</v>
      </c>
      <c r="AA6646">
        <v>0.9511423</v>
      </c>
      <c r="AB6646">
        <v>33</v>
      </c>
      <c r="AC6646">
        <v>14.7317999999999</v>
      </c>
      <c r="AD6646">
        <v>-1.118156190733</v>
      </c>
      <c r="AE6646">
        <v>10.88086</v>
      </c>
      <c r="AF6646">
        <v>-5.6732986436934496</v>
      </c>
      <c r="AG6646">
        <v>-1.118156190733</v>
      </c>
      <c r="AH6646">
        <v>17.342032566813099</v>
      </c>
      <c r="AI6646">
        <v>93.506745990383294</v>
      </c>
      <c r="AJ6646">
        <v>108.115068909825</v>
      </c>
      <c r="AK6646">
        <v>18.280664219765502</v>
      </c>
      <c r="AL6646">
        <v>78.206183989113597</v>
      </c>
      <c r="AM6646">
        <v>95.953677528230699</v>
      </c>
      <c r="AN6646">
        <v>0.99999999734230405</v>
      </c>
    </row>
    <row r="6647" spans="1:40" x14ac:dyDescent="0.25">
      <c r="A6647" t="str">
        <f>"20190312173054711"</f>
        <v>20190312173054711</v>
      </c>
      <c r="B6647" t="str">
        <f>"1552383054704305"</f>
        <v>1552383054704305</v>
      </c>
      <c r="C6647" t="s">
        <v>40</v>
      </c>
      <c r="D6647">
        <v>3.0999110000000001</v>
      </c>
      <c r="E6647">
        <v>0.41640690000000002</v>
      </c>
      <c r="F6647" t="s">
        <v>54</v>
      </c>
      <c r="G6647">
        <v>-191.8914</v>
      </c>
      <c r="H6647" s="1">
        <v>-2.2374730000000001E-6</v>
      </c>
      <c r="I6647">
        <v>-48.805070000000001</v>
      </c>
      <c r="J6647">
        <v>-206.52379999999999</v>
      </c>
      <c r="K6647">
        <v>1.1182160000000001</v>
      </c>
      <c r="L6647">
        <v>-59.729640000000003</v>
      </c>
      <c r="M6647">
        <v>0.9476504</v>
      </c>
      <c r="N6647">
        <v>0</v>
      </c>
      <c r="O6647">
        <v>0.31895059999999997</v>
      </c>
      <c r="P6647">
        <v>0.89437060000000002</v>
      </c>
      <c r="Q6647">
        <v>0.1911196</v>
      </c>
      <c r="R6647">
        <v>0.40444360000000001</v>
      </c>
      <c r="S6647">
        <v>2.5449679999999999</v>
      </c>
      <c r="T6647">
        <v>-0.19252379999999999</v>
      </c>
      <c r="U6647">
        <v>1.890228</v>
      </c>
      <c r="V6647">
        <v>-0.1020842</v>
      </c>
      <c r="W6647">
        <v>0.20390630000000001</v>
      </c>
      <c r="X6647">
        <v>0.9736534</v>
      </c>
      <c r="Y6647">
        <v>-0.30903130000000001</v>
      </c>
      <c r="Z6647">
        <v>-1.0245270000000001E-2</v>
      </c>
      <c r="AA6647">
        <v>0.95099670000000003</v>
      </c>
      <c r="AB6647">
        <v>33</v>
      </c>
      <c r="AC6647">
        <v>14.632399999999899</v>
      </c>
      <c r="AD6647">
        <v>-1.1182182374730001</v>
      </c>
      <c r="AE6647">
        <v>10.924569999999999</v>
      </c>
      <c r="AF6647">
        <v>-5.6650687954936796</v>
      </c>
      <c r="AG6647">
        <v>-1.1182182374730001</v>
      </c>
      <c r="AH6647">
        <v>17.2879590362135</v>
      </c>
      <c r="AI6647">
        <v>93.517313886438302</v>
      </c>
      <c r="AJ6647">
        <v>108.143385224422</v>
      </c>
      <c r="AK6647">
        <v>18.226819363840999</v>
      </c>
      <c r="AL6647">
        <v>78.234517056130002</v>
      </c>
      <c r="AM6647">
        <v>95.985396655056803</v>
      </c>
      <c r="AN6647">
        <v>0.99999995320044399</v>
      </c>
    </row>
    <row r="6648" spans="1:40" x14ac:dyDescent="0.25">
      <c r="A6648" t="str">
        <f>"20190312173054721"</f>
        <v>20190312173054721</v>
      </c>
      <c r="B6648" t="str">
        <f>"1552383054714066"</f>
        <v>1552383054714066</v>
      </c>
      <c r="C6648" t="s">
        <v>40</v>
      </c>
      <c r="D6648">
        <v>3.0990139999999999</v>
      </c>
      <c r="E6648">
        <v>0.41649910000000001</v>
      </c>
      <c r="F6648" t="s">
        <v>54</v>
      </c>
      <c r="G6648">
        <v>-191.84200000000001</v>
      </c>
      <c r="H6648" s="1">
        <v>-2.2893720000000001E-6</v>
      </c>
      <c r="I6648">
        <v>-48.698830000000001</v>
      </c>
      <c r="J6648">
        <v>-206.3698</v>
      </c>
      <c r="K6648">
        <v>1.1182810000000001</v>
      </c>
      <c r="L6648">
        <v>-59.673459999999999</v>
      </c>
      <c r="M6648">
        <v>0.94608530000000002</v>
      </c>
      <c r="N6648">
        <v>0</v>
      </c>
      <c r="O6648">
        <v>0.32356259999999998</v>
      </c>
      <c r="P6648">
        <v>0.89229150000000002</v>
      </c>
      <c r="Q6648">
        <v>0.1906486</v>
      </c>
      <c r="R6648">
        <v>0.40922969999999997</v>
      </c>
      <c r="S6648">
        <v>2.5344699999999998</v>
      </c>
      <c r="T6648">
        <v>-0.1930336</v>
      </c>
      <c r="U6648">
        <v>1.9042049999999999</v>
      </c>
      <c r="V6648">
        <v>-0.10255110000000001</v>
      </c>
      <c r="W6648">
        <v>0.2034203</v>
      </c>
      <c r="X6648">
        <v>0.97370599999999996</v>
      </c>
      <c r="Y6648">
        <v>-0.30964910000000001</v>
      </c>
      <c r="Z6648">
        <v>-1.054896E-2</v>
      </c>
      <c r="AA6648">
        <v>0.95079239999999998</v>
      </c>
      <c r="AB6648">
        <v>33</v>
      </c>
      <c r="AC6648">
        <v>14.5277999999999</v>
      </c>
      <c r="AD6648">
        <v>-1.1182832893719901</v>
      </c>
      <c r="AE6648">
        <v>10.9746299999999</v>
      </c>
      <c r="AF6648">
        <v>-5.6615786307850904</v>
      </c>
      <c r="AG6648">
        <v>-1.1182832893719901</v>
      </c>
      <c r="AH6648">
        <v>17.232497523873398</v>
      </c>
      <c r="AI6648">
        <v>93.527921939706403</v>
      </c>
      <c r="AJ6648">
        <v>108.187462118079</v>
      </c>
      <c r="AK6648">
        <v>18.173139547644301</v>
      </c>
      <c r="AL6648">
        <v>78.262959006852398</v>
      </c>
      <c r="AM6648">
        <v>96.012249412538097</v>
      </c>
      <c r="AN6648">
        <v>0.99999996049964901</v>
      </c>
    </row>
    <row r="6649" spans="1:40" x14ac:dyDescent="0.25">
      <c r="A6649" t="str">
        <f>"20190312173054733"</f>
        <v>20190312173054733</v>
      </c>
      <c r="B6649" t="str">
        <f>"1552383054723826"</f>
        <v>1552383054723826</v>
      </c>
      <c r="C6649" t="s">
        <v>40</v>
      </c>
      <c r="D6649">
        <v>3.116908</v>
      </c>
      <c r="E6649">
        <v>0.41672169999999997</v>
      </c>
      <c r="F6649" t="s">
        <v>54</v>
      </c>
      <c r="G6649">
        <v>-191.81469999999999</v>
      </c>
      <c r="H6649" s="1">
        <v>-2.3293810000000002E-6</v>
      </c>
      <c r="I6649">
        <v>-48.620989999999999</v>
      </c>
      <c r="J6649">
        <v>-206.2141</v>
      </c>
      <c r="K6649">
        <v>1.118349</v>
      </c>
      <c r="L6649">
        <v>-59.615200000000002</v>
      </c>
      <c r="M6649">
        <v>0.94444950000000005</v>
      </c>
      <c r="N6649">
        <v>0</v>
      </c>
      <c r="O6649">
        <v>0.3283066</v>
      </c>
      <c r="P6649">
        <v>0.89019389999999998</v>
      </c>
      <c r="Q6649">
        <v>0.18997910000000001</v>
      </c>
      <c r="R6649">
        <v>0.41408089999999997</v>
      </c>
      <c r="S6649">
        <v>2.524429</v>
      </c>
      <c r="T6649">
        <v>-0.19395419999999999</v>
      </c>
      <c r="U6649">
        <v>1.9169309999999999</v>
      </c>
      <c r="V6649">
        <v>-0.1029397</v>
      </c>
      <c r="W6649">
        <v>0.20273869999999999</v>
      </c>
      <c r="X6649">
        <v>0.97380719999999998</v>
      </c>
      <c r="Y6649">
        <v>-0.30974580000000002</v>
      </c>
      <c r="Z6649">
        <v>-1.090315E-2</v>
      </c>
      <c r="AA6649">
        <v>0.95075690000000002</v>
      </c>
      <c r="AB6649">
        <v>33</v>
      </c>
      <c r="AC6649">
        <v>14.3994</v>
      </c>
      <c r="AD6649">
        <v>-1.1183513293809999</v>
      </c>
      <c r="AE6649">
        <v>10.994210000000001</v>
      </c>
      <c r="AF6649">
        <v>-5.6352345750553097</v>
      </c>
      <c r="AG6649">
        <v>-1.1183513293809999</v>
      </c>
      <c r="AH6649">
        <v>17.145620766752199</v>
      </c>
      <c r="AI6649">
        <v>93.545833089410394</v>
      </c>
      <c r="AJ6649">
        <v>108.194092893365</v>
      </c>
      <c r="AK6649">
        <v>18.082557614704601</v>
      </c>
      <c r="AL6649">
        <v>78.302843520588397</v>
      </c>
      <c r="AM6649">
        <v>96.0342414720959</v>
      </c>
      <c r="AN6649">
        <v>1.0000000125428099</v>
      </c>
    </row>
    <row r="6650" spans="1:40" x14ac:dyDescent="0.25">
      <c r="A6650" t="str">
        <f>"20190312173054744"</f>
        <v>20190312173054744</v>
      </c>
      <c r="B6650" t="str">
        <f>"1552383054733587"</f>
        <v>1552383054733587</v>
      </c>
      <c r="C6650" t="s">
        <v>40</v>
      </c>
      <c r="D6650">
        <v>3.0847600000000002</v>
      </c>
      <c r="E6650">
        <v>0.4167093</v>
      </c>
      <c r="F6650" t="s">
        <v>54</v>
      </c>
      <c r="G6650">
        <v>-191.8991</v>
      </c>
      <c r="H6650" s="1">
        <v>-2.3398469999999998E-6</v>
      </c>
      <c r="I6650">
        <v>-48.635010000000001</v>
      </c>
      <c r="J6650">
        <v>-206.0684</v>
      </c>
      <c r="K6650">
        <v>1.1184099999999999</v>
      </c>
      <c r="L6650">
        <v>-59.560389999999998</v>
      </c>
      <c r="M6650">
        <v>0.94289080000000003</v>
      </c>
      <c r="N6650">
        <v>0</v>
      </c>
      <c r="O6650">
        <v>0.3327563</v>
      </c>
      <c r="P6650">
        <v>0.88811589999999996</v>
      </c>
      <c r="Q6650">
        <v>0.18932769999999999</v>
      </c>
      <c r="R6650">
        <v>0.41881429999999997</v>
      </c>
      <c r="S6650">
        <v>2.5147249999999999</v>
      </c>
      <c r="T6650">
        <v>-0.1964611</v>
      </c>
      <c r="U6650">
        <v>1.9288940000000001</v>
      </c>
      <c r="V6650">
        <v>-0.1035069</v>
      </c>
      <c r="W6650">
        <v>0.20207040000000001</v>
      </c>
      <c r="X6650">
        <v>0.97388600000000003</v>
      </c>
      <c r="Y6650">
        <v>-0.30988890000000002</v>
      </c>
      <c r="Z6650">
        <v>-1.133172E-2</v>
      </c>
      <c r="AA6650">
        <v>0.95070520000000003</v>
      </c>
      <c r="AB6650">
        <v>33</v>
      </c>
      <c r="AC6650">
        <v>14.1692999999999</v>
      </c>
      <c r="AD6650">
        <v>-1.1184123398469901</v>
      </c>
      <c r="AE6650">
        <v>10.925380000000001</v>
      </c>
      <c r="AF6650">
        <v>-5.5654139442954396</v>
      </c>
      <c r="AG6650">
        <v>-1.1184123398469901</v>
      </c>
      <c r="AH6650">
        <v>16.931392503501801</v>
      </c>
      <c r="AI6650">
        <v>93.590739278649394</v>
      </c>
      <c r="AJ6650">
        <v>108.19589345634699</v>
      </c>
      <c r="AK6650">
        <v>17.857679878442099</v>
      </c>
      <c r="AL6650">
        <v>78.341943824906195</v>
      </c>
      <c r="AM6650">
        <v>96.066755690753695</v>
      </c>
      <c r="AN6650">
        <v>1.0000000329498799</v>
      </c>
    </row>
    <row r="6651" spans="1:40" x14ac:dyDescent="0.25">
      <c r="A6651" t="str">
        <f>"20190312173054755"</f>
        <v>20190312173054755</v>
      </c>
      <c r="B6651" t="str">
        <f>"1552383054744322"</f>
        <v>1552383054744322</v>
      </c>
      <c r="C6651" t="s">
        <v>40</v>
      </c>
      <c r="D6651">
        <v>3.1027360000000002</v>
      </c>
      <c r="E6651">
        <v>0.41703630000000003</v>
      </c>
      <c r="F6651" t="s">
        <v>54</v>
      </c>
      <c r="G6651">
        <v>-191.8707</v>
      </c>
      <c r="H6651" s="1">
        <v>-2.383901E-6</v>
      </c>
      <c r="I6651">
        <v>-48.549930000000003</v>
      </c>
      <c r="J6651">
        <v>-205.92359999999999</v>
      </c>
      <c r="K6651">
        <v>1.118474</v>
      </c>
      <c r="L6651">
        <v>-59.504579999999997</v>
      </c>
      <c r="M6651">
        <v>0.94129119999999999</v>
      </c>
      <c r="N6651">
        <v>0</v>
      </c>
      <c r="O6651">
        <v>0.33725379999999999</v>
      </c>
      <c r="P6651">
        <v>0.88603379999999998</v>
      </c>
      <c r="Q6651">
        <v>0.18868969999999999</v>
      </c>
      <c r="R6651">
        <v>0.42348580000000002</v>
      </c>
      <c r="S6651">
        <v>2.504181</v>
      </c>
      <c r="T6651">
        <v>-0.19726479999999999</v>
      </c>
      <c r="U6651">
        <v>1.9420170000000001</v>
      </c>
      <c r="V6651">
        <v>-0.10396089999999999</v>
      </c>
      <c r="W6651">
        <v>0.20141890000000001</v>
      </c>
      <c r="X6651">
        <v>0.97397259999999997</v>
      </c>
      <c r="Y6651">
        <v>-0.310405599999999</v>
      </c>
      <c r="Z6651">
        <v>-1.165834E-2</v>
      </c>
      <c r="AA6651">
        <v>0.95053270000000001</v>
      </c>
      <c r="AB6651">
        <v>33</v>
      </c>
      <c r="AC6651">
        <v>14.0528999999999</v>
      </c>
      <c r="AD6651">
        <v>-1.1184763839009999</v>
      </c>
      <c r="AE6651">
        <v>10.954650000000001</v>
      </c>
      <c r="AF6651">
        <v>-5.5508927075179599</v>
      </c>
      <c r="AG6651">
        <v>-1.1184763839009999</v>
      </c>
      <c r="AH6651">
        <v>16.8578965690728</v>
      </c>
      <c r="AI6651">
        <v>93.605948299792402</v>
      </c>
      <c r="AJ6651">
        <v>108.225448850597</v>
      </c>
      <c r="AK6651">
        <v>17.783477612808898</v>
      </c>
      <c r="AL6651">
        <v>78.380055684527093</v>
      </c>
      <c r="AM6651">
        <v>96.092628142080997</v>
      </c>
      <c r="AN6651">
        <v>1.0000000337783801</v>
      </c>
    </row>
    <row r="6652" spans="1:40" x14ac:dyDescent="0.25">
      <c r="A6652" t="str">
        <f>"20190312173054766"</f>
        <v>20190312173054766</v>
      </c>
      <c r="B6652" t="str">
        <f>"1552383054763842"</f>
        <v>1552383054763842</v>
      </c>
      <c r="C6652" t="s">
        <v>40</v>
      </c>
      <c r="D6652">
        <v>3.0697049999999999</v>
      </c>
      <c r="E6652">
        <v>0.41742400000000002</v>
      </c>
      <c r="F6652" t="s">
        <v>54</v>
      </c>
      <c r="G6652">
        <v>-191.95500000000001</v>
      </c>
      <c r="H6652" s="1">
        <v>-2.3900029999999999E-6</v>
      </c>
      <c r="I6652">
        <v>-48.571289999999998</v>
      </c>
      <c r="J6652">
        <v>-205.77459999999999</v>
      </c>
      <c r="K6652">
        <v>1.1185389999999999</v>
      </c>
      <c r="L6652">
        <v>-59.446660000000001</v>
      </c>
      <c r="M6652">
        <v>0.93961340000000004</v>
      </c>
      <c r="N6652">
        <v>0</v>
      </c>
      <c r="O6652">
        <v>0.34190009999999998</v>
      </c>
      <c r="P6652">
        <v>0.88377320000000004</v>
      </c>
      <c r="Q6652">
        <v>0.18815770000000001</v>
      </c>
      <c r="R6652">
        <v>0.42841760000000001</v>
      </c>
      <c r="S6652">
        <v>2.4950410000000001</v>
      </c>
      <c r="T6652">
        <v>-0.19978000000000001</v>
      </c>
      <c r="U6652">
        <v>1.9528810000000001</v>
      </c>
      <c r="V6652">
        <v>-0.1045623</v>
      </c>
      <c r="W6652">
        <v>0.20086870000000001</v>
      </c>
      <c r="X6652">
        <v>0.97402180000000005</v>
      </c>
      <c r="Y6652">
        <v>-0.30997459999999999</v>
      </c>
      <c r="Z6652">
        <v>-1.213185E-2</v>
      </c>
      <c r="AA6652">
        <v>0.95066740000000005</v>
      </c>
      <c r="AB6652">
        <v>33</v>
      </c>
      <c r="AC6652">
        <v>13.8195999999999</v>
      </c>
      <c r="AD6652">
        <v>-1.1185413900029999</v>
      </c>
      <c r="AE6652">
        <v>10.875369999999901</v>
      </c>
      <c r="AF6652">
        <v>-5.4722167147177201</v>
      </c>
      <c r="AG6652">
        <v>-1.1185413900029999</v>
      </c>
      <c r="AH6652">
        <v>16.637989505095</v>
      </c>
      <c r="AI6652">
        <v>93.654099726746097</v>
      </c>
      <c r="AJ6652">
        <v>108.205979384801</v>
      </c>
      <c r="AK6652">
        <v>17.550469662822099</v>
      </c>
      <c r="AL6652">
        <v>78.412237026638394</v>
      </c>
      <c r="AM6652">
        <v>96.127298651494499</v>
      </c>
      <c r="AN6652">
        <v>0.99999998804810997</v>
      </c>
    </row>
    <row r="6653" spans="1:40" x14ac:dyDescent="0.25">
      <c r="A6653" t="str">
        <f>"20190312173054778"</f>
        <v>20190312173054778</v>
      </c>
      <c r="B6653" t="str">
        <f>"1552383054773601"</f>
        <v>1552383054773601</v>
      </c>
      <c r="C6653" t="s">
        <v>40</v>
      </c>
      <c r="D6653">
        <v>3.0323769999999999</v>
      </c>
      <c r="E6653">
        <v>0.41762539999999998</v>
      </c>
      <c r="F6653" t="s">
        <v>54</v>
      </c>
      <c r="G6653">
        <v>-191.9751</v>
      </c>
      <c r="H6653" s="1">
        <v>-2.4114290000000001E-6</v>
      </c>
      <c r="I6653">
        <v>-48.542639999999999</v>
      </c>
      <c r="J6653">
        <v>-205.61779999999999</v>
      </c>
      <c r="K6653">
        <v>1.1186049999999901</v>
      </c>
      <c r="L6653">
        <v>-59.38449</v>
      </c>
      <c r="M6653">
        <v>0.93779710000000005</v>
      </c>
      <c r="N6653">
        <v>0</v>
      </c>
      <c r="O6653">
        <v>0.34685060000000001</v>
      </c>
      <c r="P6653">
        <v>0.88148700000000002</v>
      </c>
      <c r="Q6653">
        <v>0.18790229999999999</v>
      </c>
      <c r="R6653">
        <v>0.43321290000000001</v>
      </c>
      <c r="S6653">
        <v>2.4853969999999999</v>
      </c>
      <c r="T6653">
        <v>-0.201458</v>
      </c>
      <c r="U6653">
        <v>1.9638979999999999</v>
      </c>
      <c r="V6653">
        <v>-0.1047278</v>
      </c>
      <c r="W6653">
        <v>0.20060520000000001</v>
      </c>
      <c r="X6653">
        <v>0.97405830000000004</v>
      </c>
      <c r="Y6653">
        <v>-0.30935849999999998</v>
      </c>
      <c r="Z6653">
        <v>-1.2589100000000001E-2</v>
      </c>
      <c r="AA6653">
        <v>0.95086219999999999</v>
      </c>
      <c r="AB6653">
        <v>33</v>
      </c>
      <c r="AC6653">
        <v>13.6426999999999</v>
      </c>
      <c r="AD6653">
        <v>-1.1186074114290001</v>
      </c>
      <c r="AE6653">
        <v>10.8418499999999</v>
      </c>
      <c r="AF6653">
        <v>-5.4137976105150303</v>
      </c>
      <c r="AG6653">
        <v>-1.1186074114290001</v>
      </c>
      <c r="AH6653">
        <v>16.4885593192888</v>
      </c>
      <c r="AI6653">
        <v>93.687954983551407</v>
      </c>
      <c r="AJ6653">
        <v>108.17690151677</v>
      </c>
      <c r="AK6653">
        <v>17.390603081383599</v>
      </c>
      <c r="AL6653">
        <v>78.427647886071895</v>
      </c>
      <c r="AM6653">
        <v>96.136694713270103</v>
      </c>
      <c r="AN6653">
        <v>0.99999996507938405</v>
      </c>
    </row>
    <row r="6654" spans="1:40" x14ac:dyDescent="0.25">
      <c r="A6654" t="str">
        <f>"20190312173054790"</f>
        <v>20190312173054790</v>
      </c>
      <c r="B6654" t="str">
        <f>"1552383054784337"</f>
        <v>1552383054784337</v>
      </c>
      <c r="C6654" t="s">
        <v>40</v>
      </c>
      <c r="D6654">
        <v>3.031406</v>
      </c>
      <c r="E6654">
        <v>0.41778140000000002</v>
      </c>
      <c r="F6654" t="s">
        <v>54</v>
      </c>
      <c r="G6654">
        <v>-191.94040000000001</v>
      </c>
      <c r="H6654" s="1">
        <v>-2.44887E-6</v>
      </c>
      <c r="I6654">
        <v>-48.466369999999998</v>
      </c>
      <c r="J6654">
        <v>-205.4633</v>
      </c>
      <c r="K6654">
        <v>1.1186720000000001</v>
      </c>
      <c r="L6654">
        <v>-59.322299999999998</v>
      </c>
      <c r="M6654">
        <v>0.93596199999999996</v>
      </c>
      <c r="N6654">
        <v>0</v>
      </c>
      <c r="O6654">
        <v>0.35177190000000003</v>
      </c>
      <c r="P6654">
        <v>0.87893180000000004</v>
      </c>
      <c r="Q6654">
        <v>0.18740970000000001</v>
      </c>
      <c r="R6654">
        <v>0.4385849</v>
      </c>
      <c r="S6654">
        <v>2.4753880000000001</v>
      </c>
      <c r="T6654">
        <v>-0.20245079999999999</v>
      </c>
      <c r="U6654">
        <v>1.976013</v>
      </c>
      <c r="V6654">
        <v>-0.105545</v>
      </c>
      <c r="W6654">
        <v>0.2000904</v>
      </c>
      <c r="X6654">
        <v>0.97407600000000005</v>
      </c>
      <c r="Y6654">
        <v>-0.30908980000000003</v>
      </c>
      <c r="Z6654">
        <v>-1.2993620000000001E-2</v>
      </c>
      <c r="AA6654">
        <v>0.95094409999999896</v>
      </c>
      <c r="AB6654">
        <v>33</v>
      </c>
      <c r="AC6654">
        <v>13.5228999999999</v>
      </c>
      <c r="AD6654">
        <v>-1.11867444886999</v>
      </c>
      <c r="AE6654">
        <v>10.855930000000001</v>
      </c>
      <c r="AF6654">
        <v>-5.3819908622231996</v>
      </c>
      <c r="AG6654">
        <v>-1.11867444886999</v>
      </c>
      <c r="AH6654">
        <v>16.409353643126199</v>
      </c>
      <c r="AI6654">
        <v>93.706315252827494</v>
      </c>
      <c r="AJ6654">
        <v>108.158616802739</v>
      </c>
      <c r="AK6654">
        <v>17.3056102217976</v>
      </c>
      <c r="AL6654">
        <v>78.457754391562005</v>
      </c>
      <c r="AM6654">
        <v>96.184098743760103</v>
      </c>
      <c r="AN6654">
        <v>0.99999998448657901</v>
      </c>
    </row>
    <row r="6655" spans="1:40" x14ac:dyDescent="0.25">
      <c r="A6655" t="str">
        <f>"20190312173054801"</f>
        <v>20190312173054801</v>
      </c>
      <c r="B6655" t="str">
        <f>"1552383054794098"</f>
        <v>1552383054794098</v>
      </c>
      <c r="C6655" t="s">
        <v>40</v>
      </c>
      <c r="D6655">
        <v>3.0439859999999999</v>
      </c>
      <c r="E6655">
        <v>0.41792119999999999</v>
      </c>
      <c r="F6655" t="s">
        <v>54</v>
      </c>
      <c r="G6655">
        <v>-191.959</v>
      </c>
      <c r="H6655" s="1">
        <v>-2.4828030000000001E-6</v>
      </c>
      <c r="I6655">
        <v>-48.41601</v>
      </c>
      <c r="J6655">
        <v>-205.3047</v>
      </c>
      <c r="K6655">
        <v>1.1187400000000001</v>
      </c>
      <c r="L6655">
        <v>-59.2577199999999</v>
      </c>
      <c r="M6655">
        <v>0.93403539999999996</v>
      </c>
      <c r="N6655">
        <v>0</v>
      </c>
      <c r="O6655">
        <v>0.356855599999999</v>
      </c>
      <c r="P6655">
        <v>0.87626909999999902</v>
      </c>
      <c r="Q6655">
        <v>0.18711140000000001</v>
      </c>
      <c r="R6655">
        <v>0.44400679999999998</v>
      </c>
      <c r="S6655">
        <v>2.4638369999999998</v>
      </c>
      <c r="T6655">
        <v>-0.20410059999999999</v>
      </c>
      <c r="U6655">
        <v>1.989838</v>
      </c>
      <c r="V6655">
        <v>-0.1062734</v>
      </c>
      <c r="W6655">
        <v>0.19977039999999999</v>
      </c>
      <c r="X6655">
        <v>0.97406250000000005</v>
      </c>
      <c r="Y6655">
        <v>-0.30933650000000001</v>
      </c>
      <c r="Z6655">
        <v>-1.3439599999999999E-2</v>
      </c>
      <c r="AA6655">
        <v>0.95085770000000003</v>
      </c>
      <c r="AB6655">
        <v>32</v>
      </c>
      <c r="AC6655">
        <v>13.3456999999999</v>
      </c>
      <c r="AD6655">
        <v>-1.1187424828029999</v>
      </c>
      <c r="AE6655">
        <v>10.8417099999999</v>
      </c>
      <c r="AF6655">
        <v>-5.3420606765847198</v>
      </c>
      <c r="AG6655">
        <v>-1.1187424828029999</v>
      </c>
      <c r="AH6655">
        <v>16.2673110350763</v>
      </c>
      <c r="AI6655">
        <v>93.738361303510104</v>
      </c>
      <c r="AJ6655">
        <v>108.17978510074801</v>
      </c>
      <c r="AK6655">
        <v>17.158514076896498</v>
      </c>
      <c r="AL6655">
        <v>78.476467037799907</v>
      </c>
      <c r="AM6655">
        <v>96.226528733340402</v>
      </c>
      <c r="AN6655">
        <v>1.0000000010849801</v>
      </c>
    </row>
    <row r="6656" spans="1:40" x14ac:dyDescent="0.25">
      <c r="A6656" t="str">
        <f>"20190312173054812"</f>
        <v>20190312173054812</v>
      </c>
      <c r="B6656" t="str">
        <f>"1552383054803858"</f>
        <v>1552383054803858</v>
      </c>
      <c r="C6656" t="s">
        <v>40</v>
      </c>
      <c r="D6656">
        <v>3.0017070000000001</v>
      </c>
      <c r="E6656">
        <v>0.4180275</v>
      </c>
      <c r="F6656" t="s">
        <v>54</v>
      </c>
      <c r="G6656">
        <v>-191.88759999999999</v>
      </c>
      <c r="H6656" s="1">
        <v>-2.5403519999999998E-6</v>
      </c>
      <c r="I6656">
        <v>-48.29195</v>
      </c>
      <c r="J6656">
        <v>-205.16730000000001</v>
      </c>
      <c r="K6656">
        <v>1.118798</v>
      </c>
      <c r="L6656">
        <v>-59.200409999999998</v>
      </c>
      <c r="M6656">
        <v>0.93231430000000004</v>
      </c>
      <c r="N6656">
        <v>0</v>
      </c>
      <c r="O6656">
        <v>0.36132809999999999</v>
      </c>
      <c r="P6656">
        <v>0.87403090000000005</v>
      </c>
      <c r="Q6656">
        <v>0.18658230000000001</v>
      </c>
      <c r="R6656">
        <v>0.44861689999999999</v>
      </c>
      <c r="S6656">
        <v>2.4518740000000001</v>
      </c>
      <c r="T6656">
        <v>-0.20444119999999999</v>
      </c>
      <c r="U6656">
        <v>2.0039060000000002</v>
      </c>
      <c r="V6656">
        <v>-0.10671460000000001</v>
      </c>
      <c r="W6656">
        <v>0.19922790000000001</v>
      </c>
      <c r="X6656">
        <v>0.97412540000000003</v>
      </c>
      <c r="Y6656">
        <v>-0.31032870000000001</v>
      </c>
      <c r="Z6656">
        <v>-1.3737559999999999E-2</v>
      </c>
      <c r="AA6656">
        <v>0.95053010000000004</v>
      </c>
      <c r="AB6656">
        <v>32</v>
      </c>
      <c r="AC6656">
        <v>13.2797</v>
      </c>
      <c r="AD6656">
        <v>-1.1188005403520001</v>
      </c>
      <c r="AE6656">
        <v>10.9084599999999</v>
      </c>
      <c r="AF6656">
        <v>-5.3497348973662397</v>
      </c>
      <c r="AG6656">
        <v>-1.1188005403520001</v>
      </c>
      <c r="AH6656">
        <v>16.255388776568001</v>
      </c>
      <c r="AI6656">
        <v>93.740499916681898</v>
      </c>
      <c r="AJ6656">
        <v>108.21665031153699</v>
      </c>
      <c r="AK6656">
        <v>17.149607645615799</v>
      </c>
      <c r="AL6656">
        <v>78.508187965146107</v>
      </c>
      <c r="AM6656">
        <v>96.251773710551305</v>
      </c>
      <c r="AN6656">
        <v>1.0000000284583599</v>
      </c>
    </row>
    <row r="6657" spans="1:40" x14ac:dyDescent="0.25">
      <c r="A6657" t="str">
        <f>"20190312173054823"</f>
        <v>20190312173054823</v>
      </c>
      <c r="B6657" t="str">
        <f>"1552383054814594"</f>
        <v>1552383054814594</v>
      </c>
      <c r="C6657" t="s">
        <v>40</v>
      </c>
      <c r="D6657">
        <v>2.9698039999999999</v>
      </c>
      <c r="E6657">
        <v>0.41810629999999999</v>
      </c>
      <c r="F6657" t="s">
        <v>54</v>
      </c>
      <c r="G6657">
        <v>-191.8663</v>
      </c>
      <c r="H6657" s="1">
        <v>-2.580126E-6</v>
      </c>
      <c r="I6657">
        <v>-48.216769999999997</v>
      </c>
      <c r="J6657">
        <v>-205.0224</v>
      </c>
      <c r="K6657">
        <v>1.118859</v>
      </c>
      <c r="L6657">
        <v>-59.139800000000001</v>
      </c>
      <c r="M6657">
        <v>0.93047150000000001</v>
      </c>
      <c r="N6657">
        <v>0</v>
      </c>
      <c r="O6657">
        <v>0.3660466</v>
      </c>
      <c r="P6657">
        <v>0.87163459999999904</v>
      </c>
      <c r="Q6657">
        <v>0.18630849999999999</v>
      </c>
      <c r="R6657">
        <v>0.45336769999999998</v>
      </c>
      <c r="S6657">
        <v>2.4414370000000001</v>
      </c>
      <c r="T6657">
        <v>-0.2053595</v>
      </c>
      <c r="U6657">
        <v>2.0160830000000001</v>
      </c>
      <c r="V6657">
        <v>-0.107086</v>
      </c>
      <c r="W6657">
        <v>0.19894100000000001</v>
      </c>
      <c r="X6657">
        <v>0.97414330000000005</v>
      </c>
      <c r="Y6657">
        <v>-0.31033500000000003</v>
      </c>
      <c r="Z6657">
        <v>-1.412501E-2</v>
      </c>
      <c r="AA6657">
        <v>0.95052230000000004</v>
      </c>
      <c r="AB6657">
        <v>32</v>
      </c>
      <c r="AC6657">
        <v>13.1561</v>
      </c>
      <c r="AD6657">
        <v>-1.118861580126</v>
      </c>
      <c r="AE6657">
        <v>10.923029999999899</v>
      </c>
      <c r="AF6657">
        <v>-5.3256436843615198</v>
      </c>
      <c r="AG6657">
        <v>-1.118861580126</v>
      </c>
      <c r="AH6657">
        <v>16.172363960013801</v>
      </c>
      <c r="AI6657">
        <v>93.759629714599797</v>
      </c>
      <c r="AJ6657">
        <v>108.22698332017499</v>
      </c>
      <c r="AK6657">
        <v>17.063402003803802</v>
      </c>
      <c r="AL6657">
        <v>78.524962159897498</v>
      </c>
      <c r="AM6657">
        <v>96.273244292228696</v>
      </c>
      <c r="AN6657">
        <v>1.0000000509059399</v>
      </c>
    </row>
    <row r="6658" spans="1:40" x14ac:dyDescent="0.25">
      <c r="A6658" t="str">
        <f>"20190312173054834"</f>
        <v>20190312173054834</v>
      </c>
      <c r="B6658" t="str">
        <f>"1552383054824354"</f>
        <v>1552383054824354</v>
      </c>
      <c r="C6658" t="s">
        <v>40</v>
      </c>
      <c r="D6658">
        <v>2.9689800000000002</v>
      </c>
      <c r="E6658">
        <v>0.41823729999999998</v>
      </c>
      <c r="F6658" t="s">
        <v>54</v>
      </c>
      <c r="G6658">
        <v>-191.7465</v>
      </c>
      <c r="H6658" s="1">
        <v>-2.6475110000000002E-6</v>
      </c>
      <c r="I6658">
        <v>-48.05791</v>
      </c>
      <c r="J6658">
        <v>-204.87469999999999</v>
      </c>
      <c r="K6658">
        <v>1.1189229999999999</v>
      </c>
      <c r="L6658">
        <v>-59.076320000000003</v>
      </c>
      <c r="M6658">
        <v>0.92853050000000004</v>
      </c>
      <c r="N6658">
        <v>0</v>
      </c>
      <c r="O6658">
        <v>0.37094240000000001</v>
      </c>
      <c r="P6658">
        <v>0.86893980000000004</v>
      </c>
      <c r="Q6658">
        <v>0.18613399999999999</v>
      </c>
      <c r="R6658">
        <v>0.4585824</v>
      </c>
      <c r="S6658">
        <v>2.430374</v>
      </c>
      <c r="T6658">
        <v>-0.20482539999999999</v>
      </c>
      <c r="U6658">
        <v>2.0287169999999999</v>
      </c>
      <c r="V6658">
        <v>-0.107808</v>
      </c>
      <c r="W6658">
        <v>0.19874559999999999</v>
      </c>
      <c r="X6658">
        <v>0.97410350000000001</v>
      </c>
      <c r="Y6658">
        <v>-0.31037609999999999</v>
      </c>
      <c r="Z6658">
        <v>-1.44253E-2</v>
      </c>
      <c r="AA6658">
        <v>0.95050440000000003</v>
      </c>
      <c r="AB6658">
        <v>32</v>
      </c>
      <c r="AC6658">
        <v>13.1281999999999</v>
      </c>
      <c r="AD6658">
        <v>-1.1189256475110001</v>
      </c>
      <c r="AE6658">
        <v>11.0184099999999</v>
      </c>
      <c r="AF6658">
        <v>-5.3389930142943802</v>
      </c>
      <c r="AG6658">
        <v>-1.1189256475110001</v>
      </c>
      <c r="AH6658">
        <v>16.2099375756329</v>
      </c>
      <c r="AI6658">
        <v>93.751087284562203</v>
      </c>
      <c r="AJ6658">
        <v>108.23009599568699</v>
      </c>
      <c r="AK6658">
        <v>17.103184417448599</v>
      </c>
      <c r="AL6658">
        <v>78.536385321091501</v>
      </c>
      <c r="AM6658">
        <v>96.315455384288796</v>
      </c>
      <c r="AN6658">
        <v>1.0000000035478001</v>
      </c>
    </row>
    <row r="6659" spans="1:40" x14ac:dyDescent="0.25">
      <c r="A6659" t="str">
        <f>"20190312173054845"</f>
        <v>20190312173054845</v>
      </c>
      <c r="B6659" t="str">
        <f>"1552383054834114"</f>
        <v>1552383054834114</v>
      </c>
      <c r="C6659" t="s">
        <v>40</v>
      </c>
      <c r="D6659">
        <v>2.975066</v>
      </c>
      <c r="E6659">
        <v>0.41836909999999999</v>
      </c>
      <c r="F6659" t="s">
        <v>54</v>
      </c>
      <c r="G6659">
        <v>-191.6703</v>
      </c>
      <c r="H6659" s="1">
        <v>-2.7093579999999898E-6</v>
      </c>
      <c r="I6659">
        <v>-47.924799999999998</v>
      </c>
      <c r="J6659">
        <v>-204.7303</v>
      </c>
      <c r="K6659">
        <v>1.1189849999999999</v>
      </c>
      <c r="L6659">
        <v>-59.013890000000004</v>
      </c>
      <c r="M6659">
        <v>0.92659860000000005</v>
      </c>
      <c r="N6659">
        <v>0</v>
      </c>
      <c r="O6659">
        <v>0.37574160000000001</v>
      </c>
      <c r="P6659">
        <v>0.866382599999999</v>
      </c>
      <c r="Q6659">
        <v>0.18591060000000001</v>
      </c>
      <c r="R6659">
        <v>0.46348529999999999</v>
      </c>
      <c r="S6659">
        <v>2.418488</v>
      </c>
      <c r="T6659">
        <v>-0.20493910000000001</v>
      </c>
      <c r="U6659">
        <v>2.0424799999999999</v>
      </c>
      <c r="V6659">
        <v>-0.10828160000000001</v>
      </c>
      <c r="W6659">
        <v>0.19850680000000001</v>
      </c>
      <c r="X6659">
        <v>0.97409959999999995</v>
      </c>
      <c r="Y6659">
        <v>-0.31092509999999901</v>
      </c>
      <c r="Z6659">
        <v>-1.474688E-2</v>
      </c>
      <c r="AA6659">
        <v>0.95032000000000005</v>
      </c>
      <c r="AB6659">
        <v>32</v>
      </c>
      <c r="AC6659">
        <v>13.06</v>
      </c>
      <c r="AD6659">
        <v>-1.1189877093580001</v>
      </c>
      <c r="AE6659">
        <v>11.089090000000001</v>
      </c>
      <c r="AF6659">
        <v>-5.3457724578152597</v>
      </c>
      <c r="AG6659">
        <v>-1.1189877093580001</v>
      </c>
      <c r="AH6659">
        <v>16.200799366032602</v>
      </c>
      <c r="AI6659">
        <v>93.752732254284993</v>
      </c>
      <c r="AJ6659">
        <v>108.26132292544899</v>
      </c>
      <c r="AK6659">
        <v>17.0966463601162</v>
      </c>
      <c r="AL6659">
        <v>78.550345002605596</v>
      </c>
      <c r="AM6659">
        <v>96.342998698616896</v>
      </c>
      <c r="AN6659">
        <v>0.99999994263247804</v>
      </c>
    </row>
    <row r="6660" spans="1:40" x14ac:dyDescent="0.25">
      <c r="A6660" t="str">
        <f>"20190312173054857"</f>
        <v>20190312173054857</v>
      </c>
      <c r="B6660" t="str">
        <f>"1552383054854611"</f>
        <v>1552383054854611</v>
      </c>
      <c r="C6660" t="s">
        <v>40</v>
      </c>
      <c r="D6660">
        <v>2.9376679999999999</v>
      </c>
      <c r="E6660">
        <v>0.41868689999999997</v>
      </c>
      <c r="F6660" t="s">
        <v>54</v>
      </c>
      <c r="G6660">
        <v>-191.55369999999999</v>
      </c>
      <c r="H6660" s="1">
        <v>-2.7788150000000002E-6</v>
      </c>
      <c r="I6660">
        <v>-47.763660000000002</v>
      </c>
      <c r="J6660">
        <v>-204.57740000000001</v>
      </c>
      <c r="K6660">
        <v>1.1190519999999999</v>
      </c>
      <c r="L6660">
        <v>-58.94641</v>
      </c>
      <c r="M6660">
        <v>0.92449539999999997</v>
      </c>
      <c r="N6660">
        <v>0</v>
      </c>
      <c r="O6660">
        <v>0.38088650000000002</v>
      </c>
      <c r="P6660">
        <v>0.86351669999999903</v>
      </c>
      <c r="Q6660">
        <v>0.18601490000000001</v>
      </c>
      <c r="R6660">
        <v>0.4687616</v>
      </c>
      <c r="S6660">
        <v>2.4070740000000002</v>
      </c>
      <c r="T6660">
        <v>-0.20441509999999999</v>
      </c>
      <c r="U6660">
        <v>2.0551759999999999</v>
      </c>
      <c r="V6660">
        <v>-0.1088533</v>
      </c>
      <c r="W6660">
        <v>0.1985923</v>
      </c>
      <c r="X6660">
        <v>0.97401850000000001</v>
      </c>
      <c r="Y6660">
        <v>-0.3107741</v>
      </c>
      <c r="Z6660">
        <v>-1.5069849999999999E-2</v>
      </c>
      <c r="AA6660">
        <v>0.9503644</v>
      </c>
      <c r="AB6660">
        <v>32</v>
      </c>
      <c r="AC6660">
        <v>13.0237</v>
      </c>
      <c r="AD6660">
        <v>-1.119054778815</v>
      </c>
      <c r="AE6660">
        <v>11.18275</v>
      </c>
      <c r="AF6660">
        <v>-5.3557174287992</v>
      </c>
      <c r="AG6660">
        <v>-1.119054778815</v>
      </c>
      <c r="AH6660">
        <v>16.232629443658201</v>
      </c>
      <c r="AI6660">
        <v>93.745656653350196</v>
      </c>
      <c r="AJ6660">
        <v>108.25954677591599</v>
      </c>
      <c r="AK6660">
        <v>17.129922691893601</v>
      </c>
      <c r="AL6660">
        <v>78.545347256283307</v>
      </c>
      <c r="AM6660">
        <v>96.376739588088896</v>
      </c>
      <c r="AN6660">
        <v>0.99999999044121501</v>
      </c>
    </row>
    <row r="6661" spans="1:40" x14ac:dyDescent="0.25">
      <c r="A6661" t="str">
        <f>"20190312173054869"</f>
        <v>20190312173054869</v>
      </c>
      <c r="B6661" t="str">
        <f>"1552383054864369"</f>
        <v>1552383054864369</v>
      </c>
      <c r="C6661" t="s">
        <v>40</v>
      </c>
      <c r="D6661">
        <v>3.003927</v>
      </c>
      <c r="E6661">
        <v>0.41896260000000002</v>
      </c>
      <c r="F6661" t="s">
        <v>54</v>
      </c>
      <c r="G6661">
        <v>-191.36920000000001</v>
      </c>
      <c r="H6661" s="1">
        <v>-2.868089E-6</v>
      </c>
      <c r="I6661">
        <v>-47.543520000000001</v>
      </c>
      <c r="J6661">
        <v>-204.42850000000001</v>
      </c>
      <c r="K6661">
        <v>1.1191089999999999</v>
      </c>
      <c r="L6661">
        <v>-58.87979</v>
      </c>
      <c r="M6661">
        <v>0.92240009999999995</v>
      </c>
      <c r="N6661">
        <v>0</v>
      </c>
      <c r="O6661">
        <v>0.38593270000000002</v>
      </c>
      <c r="P6661">
        <v>0.86072909999999903</v>
      </c>
      <c r="Q6661">
        <v>0.1859188</v>
      </c>
      <c r="R6661">
        <v>0.47389819999999999</v>
      </c>
      <c r="S6661">
        <v>2.3952939999999998</v>
      </c>
      <c r="T6661">
        <v>-0.20293939999999999</v>
      </c>
      <c r="U6661">
        <v>2.0679020000000001</v>
      </c>
      <c r="V6661">
        <v>-0.10935639999999899</v>
      </c>
      <c r="W6661">
        <v>0.1984802</v>
      </c>
      <c r="X6661">
        <v>0.97398499999999999</v>
      </c>
      <c r="Y6661">
        <v>-0.31079109999999999</v>
      </c>
      <c r="Z6661">
        <v>-1.530842E-2</v>
      </c>
      <c r="AA6661">
        <v>0.9503549</v>
      </c>
      <c r="AB6661">
        <v>32</v>
      </c>
      <c r="AC6661">
        <v>13.0593</v>
      </c>
      <c r="AD6661">
        <v>-1.119111868089</v>
      </c>
      <c r="AE6661">
        <v>11.336270000000001</v>
      </c>
      <c r="AF6661">
        <v>-5.3946075826233404</v>
      </c>
      <c r="AG6661">
        <v>-1.119111868089</v>
      </c>
      <c r="AH6661">
        <v>16.354368459831299</v>
      </c>
      <c r="AI6661">
        <v>93.718128333257496</v>
      </c>
      <c r="AJ6661">
        <v>108.255515698889</v>
      </c>
      <c r="AK6661">
        <v>17.257449697557298</v>
      </c>
      <c r="AL6661">
        <v>78.551900632284799</v>
      </c>
      <c r="AM6661">
        <v>96.406185770197993</v>
      </c>
      <c r="AN6661">
        <v>0.99999999611900003</v>
      </c>
    </row>
    <row r="6662" spans="1:40" x14ac:dyDescent="0.25">
      <c r="A6662" t="str">
        <f>"20190312173054879"</f>
        <v>20190312173054879</v>
      </c>
      <c r="B6662" t="str">
        <f>"1552383054874130"</f>
        <v>1552383054874130</v>
      </c>
      <c r="C6662" t="s">
        <v>40</v>
      </c>
      <c r="D6662">
        <v>2.986783</v>
      </c>
      <c r="E6662">
        <v>0.41928880000000002</v>
      </c>
      <c r="F6662" t="s">
        <v>54</v>
      </c>
      <c r="G6662">
        <v>-191.25880000000001</v>
      </c>
      <c r="H6662" s="1">
        <v>-2.9385759999999999E-6</v>
      </c>
      <c r="I6662">
        <v>-47.382950000000001</v>
      </c>
      <c r="J6662">
        <v>-204.28479999999999</v>
      </c>
      <c r="K6662">
        <v>1.1191690000000001</v>
      </c>
      <c r="L6662">
        <v>-58.814639999999997</v>
      </c>
      <c r="M6662">
        <v>0.9203327</v>
      </c>
      <c r="N6662">
        <v>0</v>
      </c>
      <c r="O6662">
        <v>0.39083649999999998</v>
      </c>
      <c r="P6662">
        <v>0.85793750000000002</v>
      </c>
      <c r="Q6662">
        <v>0.18597549999999999</v>
      </c>
      <c r="R6662">
        <v>0.47891149999999999</v>
      </c>
      <c r="S6662">
        <v>2.3835449999999998</v>
      </c>
      <c r="T6662">
        <v>-0.2025448</v>
      </c>
      <c r="U6662">
        <v>2.0807799999999999</v>
      </c>
      <c r="V6662">
        <v>-0.1098915</v>
      </c>
      <c r="W6662">
        <v>0.1985199</v>
      </c>
      <c r="X6662">
        <v>0.97391669999999997</v>
      </c>
      <c r="Y6662">
        <v>-0.31097419999999998</v>
      </c>
      <c r="Z6662">
        <v>-1.560957E-2</v>
      </c>
      <c r="AA6662">
        <v>0.95029019999999997</v>
      </c>
      <c r="AB6662">
        <v>32</v>
      </c>
      <c r="AC6662">
        <v>13.0259999999999</v>
      </c>
      <c r="AD6662">
        <v>-1.1191719385759999</v>
      </c>
      <c r="AE6662">
        <v>11.43169</v>
      </c>
      <c r="AF6662">
        <v>-5.4080066095224497</v>
      </c>
      <c r="AG6662">
        <v>-1.1191719385759999</v>
      </c>
      <c r="AH6662">
        <v>16.389758031498399</v>
      </c>
      <c r="AI6662">
        <v>93.710205112370502</v>
      </c>
      <c r="AJ6662">
        <v>108.260955721416</v>
      </c>
      <c r="AK6662">
        <v>17.295179954189599</v>
      </c>
      <c r="AL6662">
        <v>78.549580032415705</v>
      </c>
      <c r="AM6662">
        <v>96.437717516824605</v>
      </c>
      <c r="AN6662">
        <v>1.00000001550357</v>
      </c>
    </row>
    <row r="6663" spans="1:40" x14ac:dyDescent="0.25">
      <c r="A6663" t="str">
        <f>"20190312173054891"</f>
        <v>20190312173054891</v>
      </c>
      <c r="B6663" t="str">
        <f>"1552383054883890"</f>
        <v>1552383054883890</v>
      </c>
      <c r="C6663" t="s">
        <v>40</v>
      </c>
      <c r="D6663">
        <v>2.9962810000000002</v>
      </c>
      <c r="E6663">
        <v>0.41928880000000002</v>
      </c>
      <c r="F6663" t="s">
        <v>54</v>
      </c>
      <c r="G6663">
        <v>-191.13399999999999</v>
      </c>
      <c r="H6663" s="1">
        <v>-3.0096930000000002E-6</v>
      </c>
      <c r="I6663">
        <v>-47.215940000000003</v>
      </c>
      <c r="J6663">
        <v>-204.13839999999999</v>
      </c>
      <c r="K6663">
        <v>1.1192279999999999</v>
      </c>
      <c r="L6663">
        <v>-58.747039999999998</v>
      </c>
      <c r="M6663">
        <v>0.91817400000000005</v>
      </c>
      <c r="N6663">
        <v>0</v>
      </c>
      <c r="O6663">
        <v>0.39588099999999998</v>
      </c>
      <c r="P6663">
        <v>0.85499309999999995</v>
      </c>
      <c r="Q6663">
        <v>0.18590519999999999</v>
      </c>
      <c r="R6663">
        <v>0.48417569999999999</v>
      </c>
      <c r="S6663">
        <v>2.3724669999999999</v>
      </c>
      <c r="T6663">
        <v>-0.2019048</v>
      </c>
      <c r="U6663">
        <v>2.0924680000000002</v>
      </c>
      <c r="V6663">
        <v>-0.11055669999999999</v>
      </c>
      <c r="W6663">
        <v>0.1984302</v>
      </c>
      <c r="X6663">
        <v>0.97385969999999999</v>
      </c>
      <c r="Y6663">
        <v>-0.31060079999999901</v>
      </c>
      <c r="Z6663">
        <v>-1.5918669999999999E-2</v>
      </c>
      <c r="AA6663">
        <v>0.95040709999999995</v>
      </c>
      <c r="AB6663">
        <v>32</v>
      </c>
      <c r="AC6663">
        <v>13.004399999999899</v>
      </c>
      <c r="AD6663">
        <v>-1.119231009693</v>
      </c>
      <c r="AE6663">
        <v>11.5311</v>
      </c>
      <c r="AF6663">
        <v>-5.4175342561506596</v>
      </c>
      <c r="AG6663">
        <v>-1.119231009693</v>
      </c>
      <c r="AH6663">
        <v>16.4390130867145</v>
      </c>
      <c r="AI6663">
        <v>93.699762949263999</v>
      </c>
      <c r="AJ6663">
        <v>108.23981652327601</v>
      </c>
      <c r="AK6663">
        <v>17.3448409256122</v>
      </c>
      <c r="AL6663">
        <v>78.554823855538004</v>
      </c>
      <c r="AM6663">
        <v>96.476732329255199</v>
      </c>
      <c r="AN6663">
        <v>1.0000000217355001</v>
      </c>
    </row>
    <row r="6664" spans="1:40" x14ac:dyDescent="0.25">
      <c r="A6664" t="str">
        <f>"20190312173054901"</f>
        <v>20190312173054901</v>
      </c>
      <c r="B6664" t="str">
        <f>"1552383054894626"</f>
        <v>1552383054894626</v>
      </c>
      <c r="C6664" t="s">
        <v>40</v>
      </c>
      <c r="D6664">
        <v>3.0058259999999999</v>
      </c>
      <c r="E6664">
        <v>0.42837310000000001</v>
      </c>
      <c r="F6664" t="s">
        <v>54</v>
      </c>
      <c r="G6664">
        <v>-191.06790000000001</v>
      </c>
      <c r="H6664" s="1">
        <v>-3.0784020000000001E-6</v>
      </c>
      <c r="I6664">
        <v>-47.075040000000001</v>
      </c>
      <c r="J6664">
        <v>-204.00309999999999</v>
      </c>
      <c r="K6664">
        <v>1.119283</v>
      </c>
      <c r="L6664">
        <v>-58.684049999999999</v>
      </c>
      <c r="M6664">
        <v>0.91614300000000004</v>
      </c>
      <c r="N6664">
        <v>0</v>
      </c>
      <c r="O6664">
        <v>0.40055829999999998</v>
      </c>
      <c r="P6664">
        <v>0.85237839999999998</v>
      </c>
      <c r="Q6664">
        <v>0.18592729999999999</v>
      </c>
      <c r="R6664">
        <v>0.48875560000000001</v>
      </c>
      <c r="S6664">
        <v>2.3595120000000001</v>
      </c>
      <c r="T6664">
        <v>-0.20204630000000001</v>
      </c>
      <c r="U6664">
        <v>2.107056</v>
      </c>
      <c r="V6664">
        <v>-0.110843899999999</v>
      </c>
      <c r="W6664">
        <v>0.1984409</v>
      </c>
      <c r="X6664">
        <v>0.97382489999999999</v>
      </c>
      <c r="Y6664">
        <v>-0.31162079999999998</v>
      </c>
      <c r="Z6664">
        <v>-1.6216660000000001E-2</v>
      </c>
      <c r="AA6664">
        <v>0.95006820000000003</v>
      </c>
      <c r="AB6664">
        <v>32</v>
      </c>
      <c r="AC6664">
        <v>12.935199999999901</v>
      </c>
      <c r="AD6664">
        <v>-1.119286078402</v>
      </c>
      <c r="AE6664">
        <v>11.6090099999999</v>
      </c>
      <c r="AF6664">
        <v>-5.4323240785321696</v>
      </c>
      <c r="AG6664">
        <v>-1.119286078402</v>
      </c>
      <c r="AH6664">
        <v>16.434362340407699</v>
      </c>
      <c r="AI6664">
        <v>93.699897794032694</v>
      </c>
      <c r="AJ6664">
        <v>108.291132297893</v>
      </c>
      <c r="AK6664">
        <v>17.345063036936899</v>
      </c>
      <c r="AL6664">
        <v>78.554198661345794</v>
      </c>
      <c r="AM6664">
        <v>96.493643887501804</v>
      </c>
      <c r="AN6664">
        <v>1.00000004841001</v>
      </c>
    </row>
    <row r="6665" spans="1:40" x14ac:dyDescent="0.25">
      <c r="A6665" t="str">
        <f>"20190312173054913"</f>
        <v>20190312173054913</v>
      </c>
      <c r="B6665" t="str">
        <f>"1552383054904385"</f>
        <v>1552383054904385</v>
      </c>
      <c r="C6665" t="s">
        <v>40</v>
      </c>
      <c r="D6665">
        <v>2.9867859999999999</v>
      </c>
      <c r="E6665">
        <v>0.42906699999999998</v>
      </c>
      <c r="F6665" t="s">
        <v>54</v>
      </c>
      <c r="G6665">
        <v>-190.64449999999999</v>
      </c>
      <c r="H6665" s="1">
        <v>-2.9337570000000001E-6</v>
      </c>
      <c r="I6665">
        <v>-47.160339999999998</v>
      </c>
      <c r="J6665">
        <v>-203.85550000000001</v>
      </c>
      <c r="K6665">
        <v>1.1193379999999999</v>
      </c>
      <c r="L6665">
        <v>-58.61374</v>
      </c>
      <c r="M6665">
        <v>0.91386369999999895</v>
      </c>
      <c r="N6665">
        <v>0</v>
      </c>
      <c r="O6665">
        <v>0.40573120000000001</v>
      </c>
      <c r="P6665">
        <v>0.84935869999999902</v>
      </c>
      <c r="Q6665">
        <v>0.18604409999999999</v>
      </c>
      <c r="R6665">
        <v>0.49394080000000001</v>
      </c>
      <c r="S6665">
        <v>2.3839419999999998</v>
      </c>
      <c r="T6665">
        <v>-0.19974449999999999</v>
      </c>
      <c r="U6665">
        <v>2.0564879999999999</v>
      </c>
      <c r="V6665">
        <v>-0.1113147</v>
      </c>
      <c r="W6665">
        <v>0.19854279999999999</v>
      </c>
      <c r="X6665">
        <v>0.97375040000000002</v>
      </c>
      <c r="Y6665">
        <v>-0.28992059999999997</v>
      </c>
      <c r="Z6665">
        <v>-1.7133869999999999E-2</v>
      </c>
      <c r="AA6665">
        <v>0.95689729999999995</v>
      </c>
      <c r="AB6665">
        <v>32</v>
      </c>
      <c r="AC6665">
        <v>13.211</v>
      </c>
      <c r="AD6665">
        <v>-1.1193409337569999</v>
      </c>
      <c r="AE6665">
        <v>11.453399999999901</v>
      </c>
      <c r="AF6665">
        <v>-5.0864861792878804</v>
      </c>
      <c r="AG6665">
        <v>-1.1193409337569999</v>
      </c>
      <c r="AH6665">
        <v>16.653769058082599</v>
      </c>
      <c r="AI6665">
        <v>93.677974608257202</v>
      </c>
      <c r="AJ6665">
        <v>106.984009095207</v>
      </c>
      <c r="AK6665">
        <v>17.449163006231</v>
      </c>
      <c r="AL6665">
        <v>78.548241406170405</v>
      </c>
      <c r="AM6665">
        <v>96.521482630307503</v>
      </c>
      <c r="AN6665">
        <v>1.0000000236840401</v>
      </c>
    </row>
    <row r="6666" spans="1:40" x14ac:dyDescent="0.25">
      <c r="A6666" t="str">
        <f>"20190312173054923"</f>
        <v>20190312173054923</v>
      </c>
      <c r="B6666" t="str">
        <f>"1552383054914146"</f>
        <v>1552383054914146</v>
      </c>
      <c r="C6666" t="s">
        <v>40</v>
      </c>
      <c r="D6666">
        <v>2.984731</v>
      </c>
      <c r="E6666">
        <v>0.4300254</v>
      </c>
      <c r="F6666" t="s">
        <v>54</v>
      </c>
      <c r="G6666">
        <v>-190.61199999999999</v>
      </c>
      <c r="H6666" s="1">
        <v>-2.9698599999999999E-6</v>
      </c>
      <c r="I6666">
        <v>-47.087110000000003</v>
      </c>
      <c r="J6666">
        <v>-203.71459999999999</v>
      </c>
      <c r="K6666">
        <v>1.119391</v>
      </c>
      <c r="L6666">
        <v>-58.546259999999997</v>
      </c>
      <c r="M6666">
        <v>0.91165370000000001</v>
      </c>
      <c r="N6666">
        <v>0</v>
      </c>
      <c r="O6666">
        <v>0.41067229999999999</v>
      </c>
      <c r="P6666">
        <v>0.84648419999999902</v>
      </c>
      <c r="Q6666">
        <v>0.18592639999999999</v>
      </c>
      <c r="R6666">
        <v>0.49889450000000002</v>
      </c>
      <c r="S6666">
        <v>2.3742679999999998</v>
      </c>
      <c r="T6666">
        <v>-0.20067270000000001</v>
      </c>
      <c r="U6666">
        <v>2.0664669999999998</v>
      </c>
      <c r="V6666">
        <v>-0.11174679999999999</v>
      </c>
      <c r="W6666">
        <v>0.19841049999999999</v>
      </c>
      <c r="X6666">
        <v>0.97372780000000003</v>
      </c>
      <c r="Y6666">
        <v>-0.28896939999999999</v>
      </c>
      <c r="Z6666">
        <v>-1.7582469999999999E-2</v>
      </c>
      <c r="AA6666">
        <v>0.9571769</v>
      </c>
      <c r="AB6666">
        <v>32</v>
      </c>
      <c r="AC6666">
        <v>13.102599999999899</v>
      </c>
      <c r="AD6666">
        <v>-1.1193939698599999</v>
      </c>
      <c r="AE6666">
        <v>11.459149999999999</v>
      </c>
      <c r="AF6666">
        <v>-5.0456323197386403</v>
      </c>
      <c r="AG6666">
        <v>-1.1193939698599999</v>
      </c>
      <c r="AH6666">
        <v>16.5843665897081</v>
      </c>
      <c r="AI6666">
        <v>93.694716070358993</v>
      </c>
      <c r="AJ6666">
        <v>106.92187328919999</v>
      </c>
      <c r="AK6666">
        <v>17.371029432580499</v>
      </c>
      <c r="AL6666">
        <v>78.555974661480604</v>
      </c>
      <c r="AM6666">
        <v>96.546728930232106</v>
      </c>
      <c r="AN6666">
        <v>0.99999995115666296</v>
      </c>
    </row>
    <row r="6667" spans="1:40" x14ac:dyDescent="0.25">
      <c r="A6667" t="str">
        <f>"20190312173054934"</f>
        <v>20190312173054934</v>
      </c>
      <c r="B6667" t="str">
        <f>"1552383054923906"</f>
        <v>1552383054923906</v>
      </c>
      <c r="C6667" t="s">
        <v>40</v>
      </c>
      <c r="D6667">
        <v>2.9570509999999999</v>
      </c>
      <c r="E6667">
        <v>0.43006309999999898</v>
      </c>
      <c r="F6667" t="s">
        <v>54</v>
      </c>
      <c r="G6667">
        <v>-190.68870000000001</v>
      </c>
      <c r="H6667" s="1">
        <v>-2.9628210000000002E-6</v>
      </c>
      <c r="I6667">
        <v>-47.127830000000003</v>
      </c>
      <c r="J6667">
        <v>-203.57470000000001</v>
      </c>
      <c r="K6667">
        <v>1.1194390000000001</v>
      </c>
      <c r="L6667">
        <v>-58.477629999999998</v>
      </c>
      <c r="M6667">
        <v>0.90939769999999998</v>
      </c>
      <c r="N6667">
        <v>0</v>
      </c>
      <c r="O6667">
        <v>0.41564400000000001</v>
      </c>
      <c r="P6667">
        <v>0.84355119999999895</v>
      </c>
      <c r="Q6667">
        <v>0.1858513</v>
      </c>
      <c r="R6667">
        <v>0.50386609999999998</v>
      </c>
      <c r="S6667">
        <v>2.3662260000000002</v>
      </c>
      <c r="T6667">
        <v>-0.20334369999999999</v>
      </c>
      <c r="U6667">
        <v>2.0742189999999998</v>
      </c>
      <c r="V6667">
        <v>-0.1121764</v>
      </c>
      <c r="W6667">
        <v>0.1983222</v>
      </c>
      <c r="X6667">
        <v>0.97369640000000002</v>
      </c>
      <c r="Y6667">
        <v>-0.28714299999999998</v>
      </c>
      <c r="Z6667">
        <v>-1.8220859999999998E-2</v>
      </c>
      <c r="AA6667">
        <v>0.95771439999999997</v>
      </c>
      <c r="AB6667">
        <v>32</v>
      </c>
      <c r="AC6667">
        <v>12.8859999999999</v>
      </c>
      <c r="AD6667">
        <v>-1.1194419628209999</v>
      </c>
      <c r="AE6667">
        <v>11.3498</v>
      </c>
      <c r="AF6667">
        <v>-4.9450632421817602</v>
      </c>
      <c r="AG6667">
        <v>-1.1194419628209999</v>
      </c>
      <c r="AH6667">
        <v>16.368350317842498</v>
      </c>
      <c r="AI6667">
        <v>93.745705486893101</v>
      </c>
      <c r="AJ6667">
        <v>106.810158864586</v>
      </c>
      <c r="AK6667">
        <v>17.135626422892098</v>
      </c>
      <c r="AL6667">
        <v>78.561136551821093</v>
      </c>
      <c r="AM6667">
        <v>96.571887543021305</v>
      </c>
      <c r="AN6667">
        <v>0.99999995955137899</v>
      </c>
    </row>
    <row r="6668" spans="1:40" x14ac:dyDescent="0.25">
      <c r="A6668" t="str">
        <f>"20190312173054946"</f>
        <v>20190312173054946</v>
      </c>
      <c r="B6668" t="str">
        <f>"1552383054934642"</f>
        <v>1552383054934642</v>
      </c>
      <c r="C6668" t="s">
        <v>40</v>
      </c>
      <c r="D6668">
        <v>2.9748320000000001</v>
      </c>
      <c r="E6668">
        <v>0.43052469999999998</v>
      </c>
      <c r="F6668" t="s">
        <v>54</v>
      </c>
      <c r="G6668">
        <v>-190.62809999999999</v>
      </c>
      <c r="H6668" s="1">
        <v>-3.027398E-6</v>
      </c>
      <c r="I6668">
        <v>-46.995959999999997</v>
      </c>
      <c r="J6668">
        <v>-203.4348</v>
      </c>
      <c r="K6668">
        <v>1.119489</v>
      </c>
      <c r="L6668">
        <v>-58.40851</v>
      </c>
      <c r="M6668">
        <v>0.90710349999999995</v>
      </c>
      <c r="N6668">
        <v>0</v>
      </c>
      <c r="O6668">
        <v>0.42062650000000001</v>
      </c>
      <c r="P6668">
        <v>0.84063650000000001</v>
      </c>
      <c r="Q6668">
        <v>0.18584039999999999</v>
      </c>
      <c r="R6668">
        <v>0.50871759999999999</v>
      </c>
      <c r="S6668">
        <v>2.354187</v>
      </c>
      <c r="T6668">
        <v>-0.20355670000000001</v>
      </c>
      <c r="U6668">
        <v>2.087799</v>
      </c>
      <c r="V6668">
        <v>-0.112469</v>
      </c>
      <c r="W6668">
        <v>0.19830120000000001</v>
      </c>
      <c r="X6668">
        <v>0.97366699999999995</v>
      </c>
      <c r="Y6668">
        <v>-0.28742030000000002</v>
      </c>
      <c r="Z6668">
        <v>-1.8575120000000001E-2</v>
      </c>
      <c r="AA6668">
        <v>0.95762440000000004</v>
      </c>
      <c r="AB6668">
        <v>32</v>
      </c>
      <c r="AC6668">
        <v>12.806699999999999</v>
      </c>
      <c r="AD6668">
        <v>-1.119492027398</v>
      </c>
      <c r="AE6668">
        <v>11.41255</v>
      </c>
      <c r="AF6668">
        <v>-4.9450528617215603</v>
      </c>
      <c r="AG6668">
        <v>-1.119492027398</v>
      </c>
      <c r="AH6668">
        <v>16.349731266939202</v>
      </c>
      <c r="AI6668">
        <v>93.749770496486903</v>
      </c>
      <c r="AJ6668">
        <v>106.82818739375</v>
      </c>
      <c r="AK6668">
        <v>17.117842232762801</v>
      </c>
      <c r="AL6668">
        <v>78.562365011934006</v>
      </c>
      <c r="AM6668">
        <v>96.5890762660256</v>
      </c>
      <c r="AN6668">
        <v>1.0000000343857101</v>
      </c>
    </row>
    <row r="6669" spans="1:40" x14ac:dyDescent="0.25">
      <c r="A6669" t="str">
        <f>"20190312173054957"</f>
        <v>20190312173054957</v>
      </c>
      <c r="B6669" t="str">
        <f>"1552383054954163"</f>
        <v>1552383054954163</v>
      </c>
      <c r="C6669" t="s">
        <v>40</v>
      </c>
      <c r="D6669">
        <v>2.8681510000000001</v>
      </c>
      <c r="E6669">
        <v>0.43139189999999999</v>
      </c>
      <c r="F6669" t="s">
        <v>54</v>
      </c>
      <c r="G6669">
        <v>-190.60589999999999</v>
      </c>
      <c r="H6669" s="1">
        <v>-3.066101E-6</v>
      </c>
      <c r="I6669">
        <v>-46.922229999999999</v>
      </c>
      <c r="J6669">
        <v>-203.29310000000001</v>
      </c>
      <c r="K6669">
        <v>1.119537</v>
      </c>
      <c r="L6669">
        <v>-58.33719</v>
      </c>
      <c r="M6669">
        <v>0.90472529999999995</v>
      </c>
      <c r="N6669">
        <v>0</v>
      </c>
      <c r="O6669">
        <v>0.42571740000000002</v>
      </c>
      <c r="P6669">
        <v>0.837657599999999</v>
      </c>
      <c r="Q6669">
        <v>0.18586320000000001</v>
      </c>
      <c r="R6669">
        <v>0.5135999</v>
      </c>
      <c r="S6669">
        <v>2.3439480000000001</v>
      </c>
      <c r="T6669">
        <v>-0.20454</v>
      </c>
      <c r="U6669">
        <v>2.098633</v>
      </c>
      <c r="V6669">
        <v>-0.1126892</v>
      </c>
      <c r="W6669">
        <v>0.1983161</v>
      </c>
      <c r="X6669">
        <v>0.97363849999999996</v>
      </c>
      <c r="Y6669">
        <v>-0.28658489999999998</v>
      </c>
      <c r="Z6669">
        <v>-1.9046549999999999E-2</v>
      </c>
      <c r="AA6669">
        <v>0.95786550000000004</v>
      </c>
      <c r="AB6669">
        <v>32</v>
      </c>
      <c r="AC6669">
        <v>12.687200000000001</v>
      </c>
      <c r="AD6669">
        <v>-1.119540066101</v>
      </c>
      <c r="AE6669">
        <v>11.414960000000001</v>
      </c>
      <c r="AF6669">
        <v>-4.9057146039361097</v>
      </c>
      <c r="AG6669">
        <v>-1.119540066101</v>
      </c>
      <c r="AH6669">
        <v>16.269900676302999</v>
      </c>
      <c r="AI6669">
        <v>93.769248798725499</v>
      </c>
      <c r="AJ6669">
        <v>106.779155156567</v>
      </c>
      <c r="AK6669">
        <v>17.0302399792734</v>
      </c>
      <c r="AL6669">
        <v>78.561493955495607</v>
      </c>
      <c r="AM6669">
        <v>96.602054609306407</v>
      </c>
      <c r="AN6669">
        <v>1.0000000299990399</v>
      </c>
    </row>
    <row r="6670" spans="1:40" x14ac:dyDescent="0.25">
      <c r="A6670" t="str">
        <f>"20190312173054968"</f>
        <v>20190312173054968</v>
      </c>
      <c r="B6670" t="str">
        <f>"1552383054963925"</f>
        <v>1552383054963925</v>
      </c>
      <c r="C6670" t="s">
        <v>40</v>
      </c>
      <c r="D6670">
        <v>2.8277809999999999</v>
      </c>
      <c r="E6670">
        <v>0.43157689999999999</v>
      </c>
      <c r="F6670" t="s">
        <v>54</v>
      </c>
      <c r="G6670">
        <v>-190.3853</v>
      </c>
      <c r="H6670" s="1">
        <v>-3.1511070000000002E-6</v>
      </c>
      <c r="I6670">
        <v>-46.695770000000003</v>
      </c>
      <c r="J6670">
        <v>-203.14940000000001</v>
      </c>
      <c r="K6670">
        <v>1.119586</v>
      </c>
      <c r="L6670">
        <v>-58.263950000000001</v>
      </c>
      <c r="M6670">
        <v>0.90226430000000002</v>
      </c>
      <c r="N6670">
        <v>0</v>
      </c>
      <c r="O6670">
        <v>0.43090850000000003</v>
      </c>
      <c r="P6670">
        <v>0.83442479999999997</v>
      </c>
      <c r="Q6670">
        <v>0.18604499999999999</v>
      </c>
      <c r="R6670">
        <v>0.51877019999999996</v>
      </c>
      <c r="S6670">
        <v>2.335083</v>
      </c>
      <c r="T6670">
        <v>-0.20252999999999999</v>
      </c>
      <c r="U6670">
        <v>2.105988</v>
      </c>
      <c r="V6670">
        <v>-0.1131625</v>
      </c>
      <c r="W6670">
        <v>0.1984834</v>
      </c>
      <c r="X6670">
        <v>0.97354949999999996</v>
      </c>
      <c r="Y6670">
        <v>-0.28455819999999998</v>
      </c>
      <c r="Z6670">
        <v>-1.928962E-2</v>
      </c>
      <c r="AA6670">
        <v>0.95846469999999995</v>
      </c>
      <c r="AB6670">
        <v>32</v>
      </c>
      <c r="AC6670">
        <v>12.764099999999999</v>
      </c>
      <c r="AD6670">
        <v>-1.119589151107</v>
      </c>
      <c r="AE6670">
        <v>11.5681799999999</v>
      </c>
      <c r="AF6670">
        <v>-4.91721104746662</v>
      </c>
      <c r="AG6670">
        <v>-1.119589151107</v>
      </c>
      <c r="AH6670">
        <v>16.4339559623171</v>
      </c>
      <c r="AI6670">
        <v>93.734261074660097</v>
      </c>
      <c r="AJ6670">
        <v>106.657731579637</v>
      </c>
      <c r="AK6670">
        <v>17.1903273070638</v>
      </c>
      <c r="AL6670">
        <v>78.551713843586597</v>
      </c>
      <c r="AM6670">
        <v>96.630137894016698</v>
      </c>
      <c r="AN6670">
        <v>1.00000002021602</v>
      </c>
    </row>
    <row r="6671" spans="1:40" x14ac:dyDescent="0.25">
      <c r="A6671" t="str">
        <f>"20190312173054979"</f>
        <v>20190312173054979</v>
      </c>
      <c r="B6671" t="str">
        <f>"1552383054974658"</f>
        <v>1552383054974658</v>
      </c>
      <c r="C6671" t="s">
        <v>40</v>
      </c>
      <c r="D6671">
        <v>2.8854709999999999</v>
      </c>
      <c r="E6671">
        <v>0.43188599999999999</v>
      </c>
      <c r="F6671" t="s">
        <v>54</v>
      </c>
      <c r="G6671">
        <v>-190.25700000000001</v>
      </c>
      <c r="H6671" s="1">
        <v>-3.2376390000000002E-6</v>
      </c>
      <c r="I6671">
        <v>-46.501370000000001</v>
      </c>
      <c r="J6671">
        <v>-203.00649999999999</v>
      </c>
      <c r="K6671">
        <v>1.119631</v>
      </c>
      <c r="L6671">
        <v>-58.190190000000001</v>
      </c>
      <c r="M6671">
        <v>0.89977039999999997</v>
      </c>
      <c r="N6671">
        <v>0</v>
      </c>
      <c r="O6671">
        <v>0.43609160000000002</v>
      </c>
      <c r="P6671">
        <v>0.83142479999999996</v>
      </c>
      <c r="Q6671">
        <v>0.18626860000000001</v>
      </c>
      <c r="R6671">
        <v>0.52348539999999999</v>
      </c>
      <c r="S6671">
        <v>2.3227540000000002</v>
      </c>
      <c r="T6671">
        <v>-0.20171049999999999</v>
      </c>
      <c r="U6671">
        <v>2.119202</v>
      </c>
      <c r="V6671">
        <v>-0.113122</v>
      </c>
      <c r="W6671">
        <v>0.19870499999999999</v>
      </c>
      <c r="X6671">
        <v>0.97350899999999996</v>
      </c>
      <c r="Y6671">
        <v>-0.28455859999999999</v>
      </c>
      <c r="Z6671">
        <v>-1.9568530000000001E-2</v>
      </c>
      <c r="AA6671">
        <v>0.9584589</v>
      </c>
      <c r="AB6671">
        <v>32</v>
      </c>
      <c r="AC6671">
        <v>12.7494999999999</v>
      </c>
      <c r="AD6671">
        <v>-1.1196342376390001</v>
      </c>
      <c r="AE6671">
        <v>11.68882</v>
      </c>
      <c r="AF6671">
        <v>-4.9372055044101799</v>
      </c>
      <c r="AG6671">
        <v>-1.1196342376390001</v>
      </c>
      <c r="AH6671">
        <v>16.501841522458999</v>
      </c>
      <c r="AI6671">
        <v>93.719111152566398</v>
      </c>
      <c r="AJ6671">
        <v>106.656719418203</v>
      </c>
      <c r="AK6671">
        <v>17.2609487761022</v>
      </c>
      <c r="AL6671">
        <v>78.538759043244596</v>
      </c>
      <c r="AM6671">
        <v>96.628059409321395</v>
      </c>
      <c r="AN6671">
        <v>1.00000001849499</v>
      </c>
    </row>
    <row r="6672" spans="1:40" x14ac:dyDescent="0.25">
      <c r="A6672" t="str">
        <f>"20190312173054992"</f>
        <v>20190312173054992</v>
      </c>
      <c r="B6672" t="str">
        <f>"1552383054984417"</f>
        <v>1552383054984417</v>
      </c>
      <c r="C6672" t="s">
        <v>40</v>
      </c>
      <c r="D6672">
        <v>2.9427789999999998</v>
      </c>
      <c r="E6672">
        <v>0.43222840000000001</v>
      </c>
      <c r="F6672" t="s">
        <v>54</v>
      </c>
      <c r="G6672">
        <v>-190.14670000000001</v>
      </c>
      <c r="H6672" s="1">
        <v>-3.3099599999999998E-6</v>
      </c>
      <c r="I6672">
        <v>-46.337739999999997</v>
      </c>
      <c r="J6672">
        <v>-202.85759999999999</v>
      </c>
      <c r="K6672">
        <v>1.1196759999999999</v>
      </c>
      <c r="L6672">
        <v>-58.111719999999998</v>
      </c>
      <c r="M6672">
        <v>0.89710679999999998</v>
      </c>
      <c r="N6672">
        <v>0</v>
      </c>
      <c r="O6672">
        <v>0.44154470000000001</v>
      </c>
      <c r="P6672">
        <v>0.82815450000000002</v>
      </c>
      <c r="Q6672">
        <v>0.18625890000000001</v>
      </c>
      <c r="R6672">
        <v>0.52864709999999904</v>
      </c>
      <c r="S6672">
        <v>2.3118129999999999</v>
      </c>
      <c r="T6672">
        <v>-0.20127590000000001</v>
      </c>
      <c r="U6672">
        <v>2.1307070000000001</v>
      </c>
      <c r="V6672">
        <v>-0.1132904</v>
      </c>
      <c r="W6672">
        <v>0.19868959999999999</v>
      </c>
      <c r="X6672">
        <v>0.97349260000000004</v>
      </c>
      <c r="Y6672">
        <v>-0.28358860000000002</v>
      </c>
      <c r="Z6672">
        <v>-1.9931250000000001E-2</v>
      </c>
      <c r="AA6672">
        <v>0.95873889999999995</v>
      </c>
      <c r="AB6672">
        <v>32</v>
      </c>
      <c r="AC6672">
        <v>12.710899999999899</v>
      </c>
      <c r="AD6672">
        <v>-1.11967930996</v>
      </c>
      <c r="AE6672">
        <v>11.7739799999999</v>
      </c>
      <c r="AF6672">
        <v>-4.9300860914399598</v>
      </c>
      <c r="AG6672">
        <v>-1.11967930996</v>
      </c>
      <c r="AH6672">
        <v>16.5346935715027</v>
      </c>
      <c r="AI6672">
        <v>93.712932055376001</v>
      </c>
      <c r="AJ6672">
        <v>106.602799973827</v>
      </c>
      <c r="AK6672">
        <v>17.290330307129899</v>
      </c>
      <c r="AL6672">
        <v>78.539659797567595</v>
      </c>
      <c r="AM6672">
        <v>96.637949165433199</v>
      </c>
      <c r="AN6672">
        <v>1.00000005706753</v>
      </c>
    </row>
    <row r="6673" spans="1:40" x14ac:dyDescent="0.25">
      <c r="A6673" t="str">
        <f>"20190312173055001"</f>
        <v>20190312173055001</v>
      </c>
      <c r="B6673" t="str">
        <f>"1552383054994178"</f>
        <v>1552383054994178</v>
      </c>
      <c r="C6673" t="s">
        <v>40</v>
      </c>
      <c r="D6673">
        <v>2.876674</v>
      </c>
      <c r="E6673">
        <v>0.43254809999999999</v>
      </c>
      <c r="F6673" t="s">
        <v>54</v>
      </c>
      <c r="G6673">
        <v>-190.01740000000001</v>
      </c>
      <c r="H6673" s="1">
        <v>-3.3938360000000002E-6</v>
      </c>
      <c r="I6673">
        <v>-46.147489999999998</v>
      </c>
      <c r="J6673">
        <v>-202.73079999999999</v>
      </c>
      <c r="K6673">
        <v>1.119707</v>
      </c>
      <c r="L6673">
        <v>-58.044589999999999</v>
      </c>
      <c r="M6673">
        <v>0.8948062</v>
      </c>
      <c r="N6673">
        <v>0</v>
      </c>
      <c r="O6673">
        <v>0.44618809999999898</v>
      </c>
      <c r="P6673">
        <v>0.82538659999999997</v>
      </c>
      <c r="Q6673">
        <v>0.18606</v>
      </c>
      <c r="R6673">
        <v>0.53302780000000005</v>
      </c>
      <c r="S6673">
        <v>2.299728</v>
      </c>
      <c r="T6673">
        <v>-0.20053989999999999</v>
      </c>
      <c r="U6673">
        <v>2.1428530000000001</v>
      </c>
      <c r="V6673">
        <v>-0.11339730000000001</v>
      </c>
      <c r="W6673">
        <v>0.19848669999999999</v>
      </c>
      <c r="X6673">
        <v>0.97352150000000004</v>
      </c>
      <c r="Y6673">
        <v>-0.28384609999999999</v>
      </c>
      <c r="Z6673">
        <v>-2.017161E-2</v>
      </c>
      <c r="AA6673">
        <v>0.9586576</v>
      </c>
      <c r="AB6673">
        <v>32</v>
      </c>
      <c r="AC6673">
        <v>12.713399999999901</v>
      </c>
      <c r="AD6673">
        <v>-1.119710393836</v>
      </c>
      <c r="AE6673">
        <v>11.897099999999901</v>
      </c>
      <c r="AF6673">
        <v>-4.9531395848737798</v>
      </c>
      <c r="AG6673">
        <v>-1.119710393836</v>
      </c>
      <c r="AH6673">
        <v>16.617638299467298</v>
      </c>
      <c r="AI6673">
        <v>93.6946550295945</v>
      </c>
      <c r="AJ6673">
        <v>106.597487205646</v>
      </c>
      <c r="AK6673">
        <v>17.376226453555201</v>
      </c>
      <c r="AL6673">
        <v>78.551520861134705</v>
      </c>
      <c r="AM6673">
        <v>96.643961236106705</v>
      </c>
      <c r="AN6673">
        <v>1.00000001434321</v>
      </c>
    </row>
    <row r="6674" spans="1:40" x14ac:dyDescent="0.25">
      <c r="A6674" t="str">
        <f>"20190312173055013"</f>
        <v>20190312173055013</v>
      </c>
      <c r="B6674" t="str">
        <f>"1552383055003938"</f>
        <v>1552383055003938</v>
      </c>
      <c r="C6674" t="s">
        <v>40</v>
      </c>
      <c r="D6674">
        <v>2.996461</v>
      </c>
      <c r="E6674">
        <v>0.43236479999999999</v>
      </c>
      <c r="F6674" t="s">
        <v>54</v>
      </c>
      <c r="G6674">
        <v>-190.01920000000001</v>
      </c>
      <c r="H6674" s="1">
        <v>-3.4269219999999999E-6</v>
      </c>
      <c r="I6674">
        <v>-46.09225</v>
      </c>
      <c r="J6674">
        <v>-202.58539999999999</v>
      </c>
      <c r="K6674">
        <v>1.1197459999999999</v>
      </c>
      <c r="L6674">
        <v>-57.965789999999998</v>
      </c>
      <c r="M6674">
        <v>0.89210319999999899</v>
      </c>
      <c r="N6674">
        <v>0</v>
      </c>
      <c r="O6674">
        <v>0.45156790000000002</v>
      </c>
      <c r="P6674">
        <v>0.82221100000000003</v>
      </c>
      <c r="Q6674">
        <v>0.18599940000000001</v>
      </c>
      <c r="R6674">
        <v>0.53793440000000003</v>
      </c>
      <c r="S6674">
        <v>2.289749</v>
      </c>
      <c r="T6674">
        <v>-0.2016945</v>
      </c>
      <c r="U6674">
        <v>2.1529850000000001</v>
      </c>
      <c r="V6674">
        <v>-0.1133453</v>
      </c>
      <c r="W6674">
        <v>0.1984264</v>
      </c>
      <c r="X6674">
        <v>0.97353979999999996</v>
      </c>
      <c r="Y6674">
        <v>-0.28242220000000001</v>
      </c>
      <c r="Z6674">
        <v>-2.0702950000000001E-2</v>
      </c>
      <c r="AA6674">
        <v>0.95906670000000005</v>
      </c>
      <c r="AB6674">
        <v>32</v>
      </c>
      <c r="AC6674">
        <v>12.566199999999901</v>
      </c>
      <c r="AD6674">
        <v>-1.1197494269220001</v>
      </c>
      <c r="AE6674">
        <v>11.87354</v>
      </c>
      <c r="AF6674">
        <v>-4.8979697088735197</v>
      </c>
      <c r="AG6674">
        <v>-1.1197494269220001</v>
      </c>
      <c r="AH6674">
        <v>16.504794498227302</v>
      </c>
      <c r="AI6674">
        <v>93.721296888407494</v>
      </c>
      <c r="AJ6674">
        <v>106.528804331662</v>
      </c>
      <c r="AK6674">
        <v>17.252599441152299</v>
      </c>
      <c r="AL6674">
        <v>78.555045370080805</v>
      </c>
      <c r="AM6674">
        <v>96.640818052217398</v>
      </c>
      <c r="AN6674">
        <v>0.99999996771654398</v>
      </c>
    </row>
    <row r="6675" spans="1:40" x14ac:dyDescent="0.25">
      <c r="A6675" t="str">
        <f>"20190312173055024"</f>
        <v>20190312173055024</v>
      </c>
      <c r="B6675" t="str">
        <f>"1552383055014675"</f>
        <v>1552383055014675</v>
      </c>
      <c r="C6675" t="s">
        <v>40</v>
      </c>
      <c r="D6675">
        <v>2.9497089999999999</v>
      </c>
      <c r="E6675">
        <v>0.43236479999999999</v>
      </c>
      <c r="F6675" t="s">
        <v>54</v>
      </c>
      <c r="G6675">
        <v>-189.93440000000001</v>
      </c>
      <c r="H6675" s="1">
        <v>-5.7768710000000004E-6</v>
      </c>
      <c r="I6675">
        <v>-45.918140000000001</v>
      </c>
      <c r="J6675">
        <v>-202.45400000000001</v>
      </c>
      <c r="K6675">
        <v>1.1197790000000001</v>
      </c>
      <c r="L6675">
        <v>-57.894129999999997</v>
      </c>
      <c r="M6675">
        <v>0.88962509999999995</v>
      </c>
      <c r="N6675">
        <v>0</v>
      </c>
      <c r="O6675">
        <v>0.45643030000000001</v>
      </c>
      <c r="P6675">
        <v>0.81929149999999995</v>
      </c>
      <c r="Q6675">
        <v>0.1859017</v>
      </c>
      <c r="R6675">
        <v>0.54240390000000005</v>
      </c>
      <c r="S6675">
        <v>2.2761230000000001</v>
      </c>
      <c r="T6675">
        <v>-0.2014618</v>
      </c>
      <c r="U6675">
        <v>2.1675719999999998</v>
      </c>
      <c r="V6675">
        <v>-0.1133374</v>
      </c>
      <c r="W6675">
        <v>0.19832830000000001</v>
      </c>
      <c r="X6675">
        <v>0.9735608</v>
      </c>
      <c r="Y6675">
        <v>-0.28328300000000001</v>
      </c>
      <c r="Z6675">
        <v>-2.098626E-2</v>
      </c>
      <c r="AA6675">
        <v>0.95880670000000001</v>
      </c>
      <c r="AB6675">
        <v>32</v>
      </c>
      <c r="AC6675">
        <v>12.519599999999899</v>
      </c>
      <c r="AD6675">
        <v>-1.1197847768709901</v>
      </c>
      <c r="AE6675">
        <v>11.975989999999999</v>
      </c>
      <c r="AF6675">
        <v>-4.9198534935709501</v>
      </c>
      <c r="AG6675">
        <v>-1.1197847768709901</v>
      </c>
      <c r="AH6675">
        <v>16.536854409145501</v>
      </c>
      <c r="AI6675">
        <v>93.713463221755802</v>
      </c>
      <c r="AJ6675">
        <v>106.568185057867</v>
      </c>
      <c r="AK6675">
        <v>17.289489006156</v>
      </c>
      <c r="AL6675">
        <v>78.560781083260807</v>
      </c>
      <c r="AM6675">
        <v>96.640217375291599</v>
      </c>
      <c r="AN6675">
        <v>1.0000000560581399</v>
      </c>
    </row>
    <row r="6676" spans="1:40" x14ac:dyDescent="0.25">
      <c r="A6676" t="str">
        <f>"20190312173055035"</f>
        <v>20190312173055035</v>
      </c>
      <c r="B6676" t="str">
        <f>"1552383055024435"</f>
        <v>1552383055024435</v>
      </c>
      <c r="C6676" t="s">
        <v>40</v>
      </c>
      <c r="D6676">
        <v>2.972264</v>
      </c>
      <c r="E6676">
        <v>0.41241830000000002</v>
      </c>
      <c r="F6676" t="s">
        <v>54</v>
      </c>
      <c r="G6676">
        <v>-189.89099999999999</v>
      </c>
      <c r="H6676" s="1">
        <v>-5.8286179999999996E-6</v>
      </c>
      <c r="I6676">
        <v>-45.799939999999999</v>
      </c>
      <c r="J6676">
        <v>-202.31739999999999</v>
      </c>
      <c r="K6676">
        <v>1.1198109999999999</v>
      </c>
      <c r="L6676">
        <v>-57.818019999999997</v>
      </c>
      <c r="M6676">
        <v>0.88698889999999997</v>
      </c>
      <c r="N6676">
        <v>0</v>
      </c>
      <c r="O6676">
        <v>0.46153230000000001</v>
      </c>
      <c r="P6676">
        <v>0.81611040000000001</v>
      </c>
      <c r="Q6676">
        <v>0.18562439999999999</v>
      </c>
      <c r="R6676">
        <v>0.54727289999999995</v>
      </c>
      <c r="S6676">
        <v>2.2643430000000002</v>
      </c>
      <c r="T6676">
        <v>-0.20182820000000001</v>
      </c>
      <c r="U6676">
        <v>2.17984</v>
      </c>
      <c r="V6676">
        <v>-0.1135246</v>
      </c>
      <c r="W6676">
        <v>0.19804640000000001</v>
      </c>
      <c r="X6676">
        <v>0.97359629999999997</v>
      </c>
      <c r="Y6676">
        <v>-0.28297290000000003</v>
      </c>
      <c r="Z6676">
        <v>-2.1385459999999998E-2</v>
      </c>
      <c r="AA6676">
        <v>0.95888949999999995</v>
      </c>
      <c r="AB6676">
        <v>32</v>
      </c>
      <c r="AC6676">
        <v>12.426399999999999</v>
      </c>
      <c r="AD6676">
        <v>-1.1198168286179999</v>
      </c>
      <c r="AE6676">
        <v>12.0180799999999</v>
      </c>
      <c r="AF6676">
        <v>-4.9047257771873802</v>
      </c>
      <c r="AG6676">
        <v>-1.1198168286179999</v>
      </c>
      <c r="AH6676">
        <v>16.501546806712302</v>
      </c>
      <c r="AI6676">
        <v>93.721776745986901</v>
      </c>
      <c r="AJ6676">
        <v>106.55343613017099</v>
      </c>
      <c r="AK6676">
        <v>17.251416512657102</v>
      </c>
      <c r="AL6676">
        <v>78.577258786940803</v>
      </c>
      <c r="AM6676">
        <v>96.650846530369094</v>
      </c>
      <c r="AN6676">
        <v>0.99999998336590401</v>
      </c>
    </row>
    <row r="6677" spans="1:40" x14ac:dyDescent="0.25">
      <c r="A6677" t="str">
        <f>"20190312173055047"</f>
        <v>20190312173055047</v>
      </c>
      <c r="B6677" t="str">
        <f>"1552383055043954"</f>
        <v>1552383055043954</v>
      </c>
      <c r="C6677" t="s">
        <v>40</v>
      </c>
      <c r="D6677">
        <v>2.9662310000000001</v>
      </c>
      <c r="E6677">
        <v>0.41204400000000002</v>
      </c>
      <c r="F6677" t="s">
        <v>54</v>
      </c>
      <c r="G6677">
        <v>-189.26499999999999</v>
      </c>
      <c r="H6677" s="1">
        <v>-6.5077800000000001E-6</v>
      </c>
      <c r="I6677">
        <v>-43.783329999999999</v>
      </c>
      <c r="J6677">
        <v>-202.1797</v>
      </c>
      <c r="K6677">
        <v>1.119842</v>
      </c>
      <c r="L6677">
        <v>-57.740720000000003</v>
      </c>
      <c r="M6677">
        <v>0.88429210000000003</v>
      </c>
      <c r="N6677">
        <v>0</v>
      </c>
      <c r="O6677">
        <v>0.46667819999999999</v>
      </c>
      <c r="P6677">
        <v>0.81304500000000002</v>
      </c>
      <c r="Q6677">
        <v>0.1855714</v>
      </c>
      <c r="R6677">
        <v>0.5518343</v>
      </c>
      <c r="S6677">
        <v>2.1603699999999999</v>
      </c>
      <c r="T6677">
        <v>-0.18534780000000001</v>
      </c>
      <c r="U6677">
        <v>2.3229679999999999</v>
      </c>
      <c r="V6677">
        <v>-0.113328</v>
      </c>
      <c r="W6677">
        <v>0.1979978</v>
      </c>
      <c r="X6677">
        <v>0.97362910000000003</v>
      </c>
      <c r="Y6677">
        <v>-0.32992709999999997</v>
      </c>
      <c r="Z6677">
        <v>-1.8481029999999999E-2</v>
      </c>
      <c r="AA6677">
        <v>0.94382549999999998</v>
      </c>
      <c r="AB6677">
        <v>32</v>
      </c>
      <c r="AC6677">
        <v>12.9147</v>
      </c>
      <c r="AD6677">
        <v>-1.11984850778</v>
      </c>
      <c r="AE6677">
        <v>13.957389999999901</v>
      </c>
      <c r="AF6677">
        <v>-6.29432601322757</v>
      </c>
      <c r="AG6677">
        <v>-1.11984850778</v>
      </c>
      <c r="AH6677">
        <v>17.8741304110277</v>
      </c>
      <c r="AI6677">
        <v>93.381952936140195</v>
      </c>
      <c r="AJ6677">
        <v>109.399575266036</v>
      </c>
      <c r="AK6677">
        <v>18.983075056259899</v>
      </c>
      <c r="AL6677">
        <v>78.580099744705393</v>
      </c>
      <c r="AM6677">
        <v>96.639209951039106</v>
      </c>
      <c r="AN6677">
        <v>0.99999999437782505</v>
      </c>
    </row>
    <row r="6678" spans="1:40" x14ac:dyDescent="0.25">
      <c r="A6678" t="str">
        <f>"20190312173055059"</f>
        <v>20190312173055059</v>
      </c>
      <c r="B6678" t="str">
        <f>"1552383055054275"</f>
        <v>1552383055054275</v>
      </c>
      <c r="C6678" t="s">
        <v>40</v>
      </c>
      <c r="D6678">
        <v>2.958342</v>
      </c>
      <c r="E6678">
        <v>0.41181709999999999</v>
      </c>
      <c r="F6678" t="s">
        <v>54</v>
      </c>
      <c r="G6678">
        <v>-189.25200000000001</v>
      </c>
      <c r="H6678" s="1">
        <v>-6.5476260000000001E-6</v>
      </c>
      <c r="I6678">
        <v>-43.65992</v>
      </c>
      <c r="J6678">
        <v>-202.03829999999999</v>
      </c>
      <c r="K6678">
        <v>1.1198709999999901</v>
      </c>
      <c r="L6678">
        <v>-57.659970000000001</v>
      </c>
      <c r="M6678">
        <v>0.88146809999999998</v>
      </c>
      <c r="N6678">
        <v>0</v>
      </c>
      <c r="O6678">
        <v>0.47199020000000003</v>
      </c>
      <c r="P6678">
        <v>0.80957060000000003</v>
      </c>
      <c r="Q6678">
        <v>0.18564610000000001</v>
      </c>
      <c r="R6678">
        <v>0.55689409999999995</v>
      </c>
      <c r="S6678">
        <v>2.1458740000000001</v>
      </c>
      <c r="T6678">
        <v>-0.1858842</v>
      </c>
      <c r="U6678">
        <v>2.3372799999999998</v>
      </c>
      <c r="V6678">
        <v>-0.1135668</v>
      </c>
      <c r="W6678">
        <v>0.19806609999999999</v>
      </c>
      <c r="X6678">
        <v>0.97358739999999999</v>
      </c>
      <c r="Y6678">
        <v>-0.33031149999999998</v>
      </c>
      <c r="Z6678">
        <v>-1.885854E-2</v>
      </c>
      <c r="AA6678">
        <v>0.94368359999999996</v>
      </c>
      <c r="AB6678">
        <v>32</v>
      </c>
      <c r="AC6678">
        <v>12.786299999999899</v>
      </c>
      <c r="AD6678">
        <v>-1.1198775476259999</v>
      </c>
      <c r="AE6678">
        <v>14.0000499999999</v>
      </c>
      <c r="AF6678">
        <v>-6.2844196591900303</v>
      </c>
      <c r="AG6678">
        <v>-1.1198775476259999</v>
      </c>
      <c r="AH6678">
        <v>17.818578801321799</v>
      </c>
      <c r="AI6678">
        <v>93.391984841459603</v>
      </c>
      <c r="AJ6678">
        <v>109.42719398105901</v>
      </c>
      <c r="AK6678">
        <v>18.9274881237159</v>
      </c>
      <c r="AL6678">
        <v>78.576107577301201</v>
      </c>
      <c r="AM6678">
        <v>96.653356934954303</v>
      </c>
      <c r="AN6678">
        <v>1.0000000117351</v>
      </c>
    </row>
    <row r="6679" spans="1:40" x14ac:dyDescent="0.25">
      <c r="A6679" t="str">
        <f>"20190312173055087"</f>
        <v>20190312173055087</v>
      </c>
      <c r="B6679" t="str">
        <f>"1552383055084531"</f>
        <v>1552383055084531</v>
      </c>
      <c r="C6679" t="s">
        <v>40</v>
      </c>
      <c r="D6679">
        <v>2.9823819999999999</v>
      </c>
      <c r="E6679">
        <v>0.41277130000000001</v>
      </c>
      <c r="F6679" t="s">
        <v>54</v>
      </c>
      <c r="G6679">
        <v>-189.22659999999999</v>
      </c>
      <c r="H6679" s="1">
        <v>-6.5943240000000004E-6</v>
      </c>
      <c r="I6679">
        <v>-43.511859999999999</v>
      </c>
      <c r="J6679">
        <v>-201.69880000000001</v>
      </c>
      <c r="K6679">
        <v>1.119931</v>
      </c>
      <c r="L6679">
        <v>-57.461579999999998</v>
      </c>
      <c r="M6679">
        <v>0.874480699999999</v>
      </c>
      <c r="N6679">
        <v>0</v>
      </c>
      <c r="O6679">
        <v>0.4848131</v>
      </c>
      <c r="P6679">
        <v>0.80138390000000004</v>
      </c>
      <c r="Q6679">
        <v>0.18550259999999999</v>
      </c>
      <c r="R6679">
        <v>0.56865869999999996</v>
      </c>
      <c r="S6679">
        <v>2.130188</v>
      </c>
      <c r="T6679">
        <v>-0.18620049999999999</v>
      </c>
      <c r="U6679">
        <v>2.3523860000000001</v>
      </c>
      <c r="V6679">
        <v>-0.1135767</v>
      </c>
      <c r="W6679">
        <v>0.1979235</v>
      </c>
      <c r="X6679">
        <v>0.97361520000000001</v>
      </c>
      <c r="Y6679">
        <v>-0.32301729999999901</v>
      </c>
      <c r="Z6679">
        <v>-1.9911379999999999E-2</v>
      </c>
      <c r="AA6679">
        <v>0.94618360000000001</v>
      </c>
      <c r="AB6679">
        <v>32</v>
      </c>
      <c r="AC6679">
        <v>12.472200000000001</v>
      </c>
      <c r="AD6679">
        <v>-1.119937594324</v>
      </c>
      <c r="AE6679">
        <v>13.949719999999999</v>
      </c>
      <c r="AF6679">
        <v>-6.13085153590605</v>
      </c>
      <c r="AG6679">
        <v>-1.119937594324</v>
      </c>
      <c r="AH6679">
        <v>17.608748233592799</v>
      </c>
      <c r="AI6679">
        <v>93.437324478604495</v>
      </c>
      <c r="AJ6679">
        <v>109.196623914616</v>
      </c>
      <c r="AK6679">
        <v>18.679122439894201</v>
      </c>
      <c r="AL6679">
        <v>78.584442466359505</v>
      </c>
      <c r="AM6679">
        <v>96.653743441231896</v>
      </c>
      <c r="AN6679">
        <v>0.999999968153089</v>
      </c>
    </row>
    <row r="6680" spans="1:40" x14ac:dyDescent="0.25">
      <c r="A6680" t="str">
        <f>"20190312173055098"</f>
        <v>20190312173055098</v>
      </c>
      <c r="B6680" t="str">
        <f>"1552383055094292"</f>
        <v>1552383055094292</v>
      </c>
      <c r="C6680" t="s">
        <v>40</v>
      </c>
      <c r="D6680">
        <v>2.952467</v>
      </c>
      <c r="E6680">
        <v>0.41309370000000001</v>
      </c>
      <c r="F6680" t="s">
        <v>54</v>
      </c>
      <c r="G6680">
        <v>-189.35040000000001</v>
      </c>
      <c r="H6680" s="1">
        <v>-6.6179620000000002E-6</v>
      </c>
      <c r="I6680">
        <v>-43.482869999999998</v>
      </c>
      <c r="J6680">
        <v>-201.56110000000001</v>
      </c>
      <c r="K6680">
        <v>1.1199490000000001</v>
      </c>
      <c r="L6680">
        <v>-57.379060000000003</v>
      </c>
      <c r="M6680">
        <v>0.87156069999999997</v>
      </c>
      <c r="N6680">
        <v>0</v>
      </c>
      <c r="O6680">
        <v>0.4900429</v>
      </c>
      <c r="P6680">
        <v>0.79804269999999999</v>
      </c>
      <c r="Q6680">
        <v>0.18572459999999999</v>
      </c>
      <c r="R6680">
        <v>0.57326630000000001</v>
      </c>
      <c r="S6680">
        <v>2.100403</v>
      </c>
      <c r="T6680">
        <v>-0.19049640000000001</v>
      </c>
      <c r="U6680">
        <v>2.3777159999999999</v>
      </c>
      <c r="V6680">
        <v>-0.1133931</v>
      </c>
      <c r="W6680">
        <v>0.19815070000000001</v>
      </c>
      <c r="X6680">
        <v>0.97359039999999997</v>
      </c>
      <c r="Y6680">
        <v>-0.32900489999999999</v>
      </c>
      <c r="Z6680">
        <v>-2.0548480000000001E-2</v>
      </c>
      <c r="AA6680">
        <v>0.94410459999999996</v>
      </c>
      <c r="AB6680">
        <v>32</v>
      </c>
      <c r="AC6680">
        <v>12.210699999999999</v>
      </c>
      <c r="AD6680">
        <v>-1.119955617962</v>
      </c>
      <c r="AE6680">
        <v>13.896189999999899</v>
      </c>
      <c r="AF6680">
        <v>-6.1059609348530701</v>
      </c>
      <c r="AG6680">
        <v>-1.119955617962</v>
      </c>
      <c r="AH6680">
        <v>17.390447266615599</v>
      </c>
      <c r="AI6680">
        <v>93.477245528628103</v>
      </c>
      <c r="AJ6680">
        <v>109.346687258649</v>
      </c>
      <c r="AK6680">
        <v>18.465229910756399</v>
      </c>
      <c r="AL6680">
        <v>78.571161984453994</v>
      </c>
      <c r="AM6680">
        <v>96.643251391067594</v>
      </c>
      <c r="AN6680">
        <v>0.99999998100512899</v>
      </c>
    </row>
    <row r="6681" spans="1:40" x14ac:dyDescent="0.25">
      <c r="A6681" t="str">
        <f>"20190312173055112"</f>
        <v>20190312173055112</v>
      </c>
      <c r="B6681" t="str">
        <f>"1552383055104052"</f>
        <v>1552383055104052</v>
      </c>
      <c r="C6681" t="s">
        <v>40</v>
      </c>
      <c r="D6681">
        <v>2.9654720000000001</v>
      </c>
      <c r="E6681">
        <v>0.41337839999999998</v>
      </c>
      <c r="F6681" t="s">
        <v>54</v>
      </c>
      <c r="G6681">
        <v>-189.29230000000001</v>
      </c>
      <c r="H6681" s="1">
        <v>-6.6563979999999999E-6</v>
      </c>
      <c r="I6681">
        <v>-43.348529999999997</v>
      </c>
      <c r="J6681">
        <v>-201.38829999999999</v>
      </c>
      <c r="K6681">
        <v>1.11996299999999</v>
      </c>
      <c r="L6681">
        <v>-57.273829999999997</v>
      </c>
      <c r="M6681">
        <v>0.86782819999999905</v>
      </c>
      <c r="N6681">
        <v>0</v>
      </c>
      <c r="O6681">
        <v>0.49662269999999997</v>
      </c>
      <c r="P6681">
        <v>0.79354950000000002</v>
      </c>
      <c r="Q6681">
        <v>0.18556239999999999</v>
      </c>
      <c r="R6681">
        <v>0.57952219999999999</v>
      </c>
      <c r="S6681">
        <v>2.0881500000000002</v>
      </c>
      <c r="T6681">
        <v>-0.1906168</v>
      </c>
      <c r="U6681">
        <v>2.3879999999999999</v>
      </c>
      <c r="V6681">
        <v>-0.11366759999999999</v>
      </c>
      <c r="W6681">
        <v>0.19798379999999999</v>
      </c>
      <c r="X6681">
        <v>0.97359229999999997</v>
      </c>
      <c r="Y6681">
        <v>-0.32663130000000001</v>
      </c>
      <c r="Z6681">
        <v>-2.1063829999999999E-2</v>
      </c>
      <c r="AA6681">
        <v>0.94491709999999995</v>
      </c>
      <c r="AB6681">
        <v>32</v>
      </c>
      <c r="AC6681">
        <v>12.095999999999901</v>
      </c>
      <c r="AD6681">
        <v>-1.11996965639799</v>
      </c>
      <c r="AE6681">
        <v>13.9253</v>
      </c>
      <c r="AF6681">
        <v>-6.0560226007591504</v>
      </c>
      <c r="AG6681">
        <v>-1.11996965639799</v>
      </c>
      <c r="AH6681">
        <v>17.350992122146199</v>
      </c>
      <c r="AI6681">
        <v>93.487432216852696</v>
      </c>
      <c r="AJ6681">
        <v>109.240536664453</v>
      </c>
      <c r="AK6681">
        <v>18.411590626421699</v>
      </c>
      <c r="AL6681">
        <v>78.580917427203303</v>
      </c>
      <c r="AM6681">
        <v>96.659176114959294</v>
      </c>
      <c r="AN6681">
        <v>0.99999993748574301</v>
      </c>
    </row>
    <row r="6682" spans="1:40" x14ac:dyDescent="0.25">
      <c r="A6682" t="str">
        <f>"20190312173055123"</f>
        <v>20190312173055123</v>
      </c>
      <c r="B6682" t="str">
        <f>"1552383055113812"</f>
        <v>1552383055113812</v>
      </c>
      <c r="C6682" t="s">
        <v>40</v>
      </c>
      <c r="D6682">
        <v>2.955997</v>
      </c>
      <c r="E6682">
        <v>0.4135799</v>
      </c>
      <c r="F6682" t="s">
        <v>54</v>
      </c>
      <c r="G6682">
        <v>-189.28550000000001</v>
      </c>
      <c r="H6682" s="1">
        <v>-6.6958520000000001E-6</v>
      </c>
      <c r="I6682">
        <v>-43.228380000000001</v>
      </c>
      <c r="J6682">
        <v>-201.25290000000001</v>
      </c>
      <c r="K6682">
        <v>1.1199709999999901</v>
      </c>
      <c r="L6682">
        <v>-57.190640000000002</v>
      </c>
      <c r="M6682">
        <v>0.86485800000000002</v>
      </c>
      <c r="N6682">
        <v>0</v>
      </c>
      <c r="O6682">
        <v>0.50177700000000003</v>
      </c>
      <c r="P6682">
        <v>0.7901726</v>
      </c>
      <c r="Q6682">
        <v>0.18550169999999999</v>
      </c>
      <c r="R6682">
        <v>0.58413740000000003</v>
      </c>
      <c r="S6682">
        <v>2.0705110000000002</v>
      </c>
      <c r="T6682">
        <v>-0.19160179999999999</v>
      </c>
      <c r="U6682">
        <v>2.402863</v>
      </c>
      <c r="V6682">
        <v>-0.1135473</v>
      </c>
      <c r="W6682">
        <v>0.19792770000000001</v>
      </c>
      <c r="X6682">
        <v>0.97361779999999998</v>
      </c>
      <c r="Y6682">
        <v>-0.3278855</v>
      </c>
      <c r="Z6682">
        <v>-2.1480079999999999E-2</v>
      </c>
      <c r="AA6682">
        <v>0.94447329999999996</v>
      </c>
      <c r="AB6682">
        <v>32</v>
      </c>
      <c r="AC6682">
        <v>11.9673999999999</v>
      </c>
      <c r="AD6682">
        <v>-1.11997769585199</v>
      </c>
      <c r="AE6682">
        <v>13.962260000000001</v>
      </c>
      <c r="AF6682">
        <v>-6.0486997790628401</v>
      </c>
      <c r="AG6682">
        <v>-1.11997769585199</v>
      </c>
      <c r="AH6682">
        <v>17.293981252035898</v>
      </c>
      <c r="AI6682">
        <v>93.498135133188995</v>
      </c>
      <c r="AJ6682">
        <v>109.27766774089</v>
      </c>
      <c r="AK6682">
        <v>18.355459858096999</v>
      </c>
      <c r="AL6682">
        <v>78.584197244671202</v>
      </c>
      <c r="AM6682">
        <v>96.652018913330195</v>
      </c>
      <c r="AN6682">
        <v>0.99999999212071</v>
      </c>
    </row>
    <row r="6683" spans="1:40" x14ac:dyDescent="0.25">
      <c r="A6683" t="str">
        <f>"20190312173055134"</f>
        <v>20190312173055134</v>
      </c>
      <c r="B6683" t="str">
        <f>"1552383055124548"</f>
        <v>1552383055124548</v>
      </c>
      <c r="C6683" t="s">
        <v>40</v>
      </c>
      <c r="D6683">
        <v>2.9429620000000001</v>
      </c>
      <c r="E6683">
        <v>0.41373890000000002</v>
      </c>
      <c r="F6683" t="s">
        <v>54</v>
      </c>
      <c r="G6683">
        <v>-189.32980000000001</v>
      </c>
      <c r="H6683" s="1">
        <v>-6.7081080000000004E-6</v>
      </c>
      <c r="I6683">
        <v>-43.206629999999997</v>
      </c>
      <c r="J6683">
        <v>-201.12209999999999</v>
      </c>
      <c r="K6683">
        <v>1.119982</v>
      </c>
      <c r="L6683">
        <v>-57.108400000000003</v>
      </c>
      <c r="M6683">
        <v>0.86193249999999999</v>
      </c>
      <c r="N6683">
        <v>0</v>
      </c>
      <c r="O6683">
        <v>0.50678599999999996</v>
      </c>
      <c r="P6683">
        <v>0.78673059999999995</v>
      </c>
      <c r="Q6683">
        <v>0.18543570000000001</v>
      </c>
      <c r="R6683">
        <v>0.58878580000000003</v>
      </c>
      <c r="S6683">
        <v>2.0578310000000002</v>
      </c>
      <c r="T6683">
        <v>-0.193298</v>
      </c>
      <c r="U6683">
        <v>2.413513</v>
      </c>
      <c r="V6683">
        <v>-0.113633399999999</v>
      </c>
      <c r="W6683">
        <v>0.19786139999999999</v>
      </c>
      <c r="X6683">
        <v>0.97362119999999996</v>
      </c>
      <c r="Y6683">
        <v>-0.32734669999999999</v>
      </c>
      <c r="Z6683">
        <v>-2.202117E-2</v>
      </c>
      <c r="AA6683">
        <v>0.94464760000000003</v>
      </c>
      <c r="AB6683">
        <v>32</v>
      </c>
      <c r="AC6683">
        <v>11.7922999999999</v>
      </c>
      <c r="AD6683">
        <v>-1.119988708108</v>
      </c>
      <c r="AE6683">
        <v>13.901770000000001</v>
      </c>
      <c r="AF6683">
        <v>-5.9843479666401098</v>
      </c>
      <c r="AG6683">
        <v>-1.119988708108</v>
      </c>
      <c r="AH6683">
        <v>17.146734722997898</v>
      </c>
      <c r="AI6683">
        <v>93.528955576637799</v>
      </c>
      <c r="AJ6683">
        <v>109.239397014456</v>
      </c>
      <c r="AK6683">
        <v>18.195529861836398</v>
      </c>
      <c r="AL6683">
        <v>78.588072249849105</v>
      </c>
      <c r="AM6683">
        <v>96.656994674769805</v>
      </c>
      <c r="AN6683">
        <v>0.99999996214747899</v>
      </c>
    </row>
    <row r="6684" spans="1:40" x14ac:dyDescent="0.25">
      <c r="A6684" t="str">
        <f>"20190312173055146"</f>
        <v>20190312173055146</v>
      </c>
      <c r="B6684" t="str">
        <f>"1552383055134307"</f>
        <v>1552383055134307</v>
      </c>
      <c r="C6684" t="s">
        <v>40</v>
      </c>
      <c r="D6684">
        <v>2.9389850000000002</v>
      </c>
      <c r="E6684">
        <v>0.4140085</v>
      </c>
      <c r="F6684" t="s">
        <v>54</v>
      </c>
      <c r="G6684">
        <v>-189.3246</v>
      </c>
      <c r="H6684" s="1">
        <v>-6.7388599999999997E-6</v>
      </c>
      <c r="I6684">
        <v>-43.113019999999999</v>
      </c>
      <c r="J6684">
        <v>-200.99600000000001</v>
      </c>
      <c r="K6684">
        <v>1.119988</v>
      </c>
      <c r="L6684">
        <v>-57.028779999999998</v>
      </c>
      <c r="M6684">
        <v>0.85908220000000002</v>
      </c>
      <c r="N6684">
        <v>0</v>
      </c>
      <c r="O6684">
        <v>0.51160260000000002</v>
      </c>
      <c r="P6684">
        <v>0.78334209999999904</v>
      </c>
      <c r="Q6684">
        <v>0.18525549999999999</v>
      </c>
      <c r="R6684">
        <v>0.5933427</v>
      </c>
      <c r="S6684">
        <v>2.0441590000000001</v>
      </c>
      <c r="T6684">
        <v>-0.19406119999999999</v>
      </c>
      <c r="U6684">
        <v>2.4249879999999999</v>
      </c>
      <c r="V6684">
        <v>-0.1138127</v>
      </c>
      <c r="W6684">
        <v>0.19767860000000001</v>
      </c>
      <c r="X6684">
        <v>0.97363739999999999</v>
      </c>
      <c r="Y6684">
        <v>-0.32738220000000001</v>
      </c>
      <c r="Z6684">
        <v>-2.2431110000000001E-2</v>
      </c>
      <c r="AA6684">
        <v>0.94462570000000001</v>
      </c>
      <c r="AB6684">
        <v>32</v>
      </c>
      <c r="AC6684">
        <v>11.671399999999901</v>
      </c>
      <c r="AD6684">
        <v>-1.11999473886</v>
      </c>
      <c r="AE6684">
        <v>13.915760000000001</v>
      </c>
      <c r="AF6684">
        <v>-5.9617124998710596</v>
      </c>
      <c r="AG6684">
        <v>-1.11999473886</v>
      </c>
      <c r="AH6684">
        <v>17.083132027122701</v>
      </c>
      <c r="AI6684">
        <v>93.542108124428196</v>
      </c>
      <c r="AJ6684">
        <v>109.23808863565699</v>
      </c>
      <c r="AK6684">
        <v>18.1281494919448</v>
      </c>
      <c r="AL6684">
        <v>78.598757085190897</v>
      </c>
      <c r="AM6684">
        <v>96.667294186889507</v>
      </c>
      <c r="AN6684">
        <v>0.99999997312900402</v>
      </c>
    </row>
    <row r="6685" spans="1:40" x14ac:dyDescent="0.25">
      <c r="A6685" t="str">
        <f>"20190312173055157"</f>
        <v>20190312173055157</v>
      </c>
      <c r="B6685" t="str">
        <f>"1552383055154420"</f>
        <v>1552383055154420</v>
      </c>
      <c r="C6685" t="s">
        <v>40</v>
      </c>
      <c r="D6685">
        <v>2.960601</v>
      </c>
      <c r="E6685">
        <v>0.41426069999999998</v>
      </c>
      <c r="F6685" t="s">
        <v>54</v>
      </c>
      <c r="G6685">
        <v>-189.36770000000001</v>
      </c>
      <c r="H6685" s="1">
        <v>-6.7520620000000003E-6</v>
      </c>
      <c r="I6685">
        <v>-43.088070000000002</v>
      </c>
      <c r="J6685">
        <v>-200.85990000000001</v>
      </c>
      <c r="K6685">
        <v>1.1199889999999999</v>
      </c>
      <c r="L6685">
        <v>-56.941189999999999</v>
      </c>
      <c r="M6685">
        <v>0.85595140000000003</v>
      </c>
      <c r="N6685">
        <v>0</v>
      </c>
      <c r="O6685">
        <v>0.51682359999999905</v>
      </c>
      <c r="P6685">
        <v>0.77971769999999996</v>
      </c>
      <c r="Q6685">
        <v>0.18518589999999999</v>
      </c>
      <c r="R6685">
        <v>0.59811930000000002</v>
      </c>
      <c r="S6685">
        <v>2.0313569999999999</v>
      </c>
      <c r="T6685">
        <v>-0.19565189999999999</v>
      </c>
      <c r="U6685">
        <v>2.4353030000000002</v>
      </c>
      <c r="V6685">
        <v>-0.11382730000000001</v>
      </c>
      <c r="W6685">
        <v>0.1976108</v>
      </c>
      <c r="X6685">
        <v>0.97364949999999995</v>
      </c>
      <c r="Y6685">
        <v>-0.32653739999999998</v>
      </c>
      <c r="Z6685">
        <v>-2.2995160000000001E-2</v>
      </c>
      <c r="AA6685">
        <v>0.94490450000000004</v>
      </c>
      <c r="AB6685">
        <v>32</v>
      </c>
      <c r="AC6685">
        <v>11.492199999999899</v>
      </c>
      <c r="AD6685">
        <v>-1.1199957520620001</v>
      </c>
      <c r="AE6685">
        <v>13.853119999999899</v>
      </c>
      <c r="AF6685">
        <v>-5.8960408630419803</v>
      </c>
      <c r="AG6685">
        <v>-1.1199957520620001</v>
      </c>
      <c r="AH6685">
        <v>16.932867778699499</v>
      </c>
      <c r="AI6685">
        <v>93.574329148413497</v>
      </c>
      <c r="AJ6685">
        <v>109.198166481778</v>
      </c>
      <c r="AK6685">
        <v>17.9649575439025</v>
      </c>
      <c r="AL6685">
        <v>78.602720402368803</v>
      </c>
      <c r="AM6685">
        <v>96.668059650152003</v>
      </c>
      <c r="AN6685">
        <v>1.00000001567608</v>
      </c>
    </row>
    <row r="6686" spans="1:40" x14ac:dyDescent="0.25">
      <c r="A6686" t="str">
        <f>"20190312173055169"</f>
        <v>20190312173055169</v>
      </c>
      <c r="B6686" t="str">
        <f>"1552383055164178"</f>
        <v>1552383055164178</v>
      </c>
      <c r="C6686" t="s">
        <v>40</v>
      </c>
      <c r="D6686">
        <v>2.949538</v>
      </c>
      <c r="E6686">
        <v>0.4194484</v>
      </c>
      <c r="F6686" t="s">
        <v>54</v>
      </c>
      <c r="G6686">
        <v>-189.352</v>
      </c>
      <c r="H6686" s="1">
        <v>-6.7828880000000004E-6</v>
      </c>
      <c r="I6686">
        <v>-42.99071</v>
      </c>
      <c r="J6686">
        <v>-200.7302</v>
      </c>
      <c r="K6686">
        <v>1.119991</v>
      </c>
      <c r="L6686">
        <v>-56.856810000000003</v>
      </c>
      <c r="M6686">
        <v>0.852927399999999</v>
      </c>
      <c r="N6686">
        <v>0</v>
      </c>
      <c r="O6686">
        <v>0.52179880000000001</v>
      </c>
      <c r="P6686">
        <v>0.77647790000000005</v>
      </c>
      <c r="Q6686">
        <v>0.18500810000000001</v>
      </c>
      <c r="R6686">
        <v>0.60237379999999996</v>
      </c>
      <c r="S6686">
        <v>2.017792</v>
      </c>
      <c r="T6686">
        <v>-0.1963799</v>
      </c>
      <c r="U6686">
        <v>2.446075</v>
      </c>
      <c r="V6686">
        <v>-0.1134555</v>
      </c>
      <c r="W6686">
        <v>0.19744490000000001</v>
      </c>
      <c r="X6686">
        <v>0.97372650000000005</v>
      </c>
      <c r="Y6686">
        <v>-0.32620329999999997</v>
      </c>
      <c r="Z6686">
        <v>-2.3431839999999999E-2</v>
      </c>
      <c r="AA6686">
        <v>0.94500919999999999</v>
      </c>
      <c r="AB6686">
        <v>32</v>
      </c>
      <c r="AC6686">
        <v>11.3781999999999</v>
      </c>
      <c r="AD6686">
        <v>-1.1199977828879999</v>
      </c>
      <c r="AE6686">
        <v>13.8660999999999</v>
      </c>
      <c r="AF6686">
        <v>-5.86747834819655</v>
      </c>
      <c r="AG6686">
        <v>-1.1199977828879999</v>
      </c>
      <c r="AH6686">
        <v>16.876334570008598</v>
      </c>
      <c r="AI6686">
        <v>93.586861936831994</v>
      </c>
      <c r="AJ6686">
        <v>109.171281437098</v>
      </c>
      <c r="AK6686">
        <v>17.9023005705718</v>
      </c>
      <c r="AL6686">
        <v>78.612416266623796</v>
      </c>
      <c r="AM6686">
        <v>96.645953718534003</v>
      </c>
      <c r="AN6686">
        <v>0.99999996790925405</v>
      </c>
    </row>
    <row r="6687" spans="1:40" x14ac:dyDescent="0.25">
      <c r="A6687" t="str">
        <f>"20190312173055180"</f>
        <v>20190312173055180</v>
      </c>
      <c r="B6687" t="str">
        <f>"1552383055173938"</f>
        <v>1552383055173938</v>
      </c>
      <c r="C6687" t="s">
        <v>40</v>
      </c>
      <c r="D6687">
        <v>2.95208</v>
      </c>
      <c r="E6687">
        <v>0.41999189999999997</v>
      </c>
      <c r="F6687" t="s">
        <v>54</v>
      </c>
      <c r="G6687">
        <v>-190.1062</v>
      </c>
      <c r="H6687" s="1">
        <v>-4.4255600000000002E-6</v>
      </c>
      <c r="I6687">
        <v>-44.167659999999998</v>
      </c>
      <c r="J6687">
        <v>-200.58519999999999</v>
      </c>
      <c r="K6687">
        <v>1.119991</v>
      </c>
      <c r="L6687">
        <v>-56.761409999999998</v>
      </c>
      <c r="M6687">
        <v>0.84949940000000002</v>
      </c>
      <c r="N6687">
        <v>0</v>
      </c>
      <c r="O6687">
        <v>0.52736130000000003</v>
      </c>
      <c r="P6687">
        <v>0.77255790000000002</v>
      </c>
      <c r="Q6687">
        <v>0.18494840000000001</v>
      </c>
      <c r="R6687">
        <v>0.60741129999999999</v>
      </c>
      <c r="S6687">
        <v>2.0319060000000002</v>
      </c>
      <c r="T6687">
        <v>-0.21420610000000001</v>
      </c>
      <c r="U6687">
        <v>2.4268800000000001</v>
      </c>
      <c r="V6687">
        <v>-0.1134178</v>
      </c>
      <c r="W6687">
        <v>0.1973888</v>
      </c>
      <c r="X6687">
        <v>0.97374229999999995</v>
      </c>
      <c r="Y6687">
        <v>-0.31317729999999999</v>
      </c>
      <c r="Z6687">
        <v>-2.641889E-2</v>
      </c>
      <c r="AA6687">
        <v>0.94932709999999998</v>
      </c>
      <c r="AB6687">
        <v>32</v>
      </c>
      <c r="AC6687">
        <v>10.4789999999999</v>
      </c>
      <c r="AD6687">
        <v>-1.11999542556</v>
      </c>
      <c r="AE6687">
        <v>12.59375</v>
      </c>
      <c r="AF6687">
        <v>-5.1487250001472997</v>
      </c>
      <c r="AG6687">
        <v>-1.11999542556</v>
      </c>
      <c r="AH6687">
        <v>15.472921804873</v>
      </c>
      <c r="AI6687">
        <v>93.928993765448894</v>
      </c>
      <c r="AJ6687">
        <v>108.40523089676999</v>
      </c>
      <c r="AK6687">
        <v>16.345490756172801</v>
      </c>
      <c r="AL6687">
        <v>78.615695473188495</v>
      </c>
      <c r="AM6687">
        <v>96.643658249158094</v>
      </c>
      <c r="AN6687">
        <v>1.0000000012657799</v>
      </c>
    </row>
    <row r="6688" spans="1:40" x14ac:dyDescent="0.25">
      <c r="A6688" t="str">
        <f>"20190312173055191"</f>
        <v>20190312173055191</v>
      </c>
      <c r="B6688" t="str">
        <f>"1552383055184674"</f>
        <v>1552383055184674</v>
      </c>
      <c r="C6688" t="s">
        <v>40</v>
      </c>
      <c r="D6688">
        <v>2.9719120000000001</v>
      </c>
      <c r="E6688">
        <v>0.42055209999999998</v>
      </c>
      <c r="F6688" t="s">
        <v>54</v>
      </c>
      <c r="G6688">
        <v>-189.9726</v>
      </c>
      <c r="H6688" s="1">
        <v>-4.5031579999999996E-6</v>
      </c>
      <c r="I6688">
        <v>-43.950009999999999</v>
      </c>
      <c r="J6688">
        <v>-200.46449999999999</v>
      </c>
      <c r="K6688">
        <v>1.119988</v>
      </c>
      <c r="L6688">
        <v>-56.68045</v>
      </c>
      <c r="M6688">
        <v>0.84659709999999999</v>
      </c>
      <c r="N6688">
        <v>0</v>
      </c>
      <c r="O6688">
        <v>0.53200789999999998</v>
      </c>
      <c r="P6688">
        <v>0.76931149999999904</v>
      </c>
      <c r="Q6688">
        <v>0.1848342</v>
      </c>
      <c r="R6688">
        <v>0.61155219999999999</v>
      </c>
      <c r="S6688">
        <v>2.0184329999999999</v>
      </c>
      <c r="T6688">
        <v>-0.21301329999999999</v>
      </c>
      <c r="U6688">
        <v>2.4366150000000002</v>
      </c>
      <c r="V6688">
        <v>-0.11329409999999999</v>
      </c>
      <c r="W6688">
        <v>0.19727990000000001</v>
      </c>
      <c r="X6688">
        <v>0.97377880000000006</v>
      </c>
      <c r="Y6688">
        <v>-0.31295299999999998</v>
      </c>
      <c r="Z6688">
        <v>-2.663213E-2</v>
      </c>
      <c r="AA6688">
        <v>0.94939510000000005</v>
      </c>
      <c r="AB6688">
        <v>32</v>
      </c>
      <c r="AC6688">
        <v>10.4918999999999</v>
      </c>
      <c r="AD6688">
        <v>-1.119992503158</v>
      </c>
      <c r="AE6688">
        <v>12.73044</v>
      </c>
      <c r="AF6688">
        <v>-5.1725642585449902</v>
      </c>
      <c r="AG6688">
        <v>-1.119992503158</v>
      </c>
      <c r="AH6688">
        <v>15.5851570455195</v>
      </c>
      <c r="AI6688">
        <v>93.901785754333005</v>
      </c>
      <c r="AJ6688">
        <v>108.36051088726499</v>
      </c>
      <c r="AK6688">
        <v>16.4592504188196</v>
      </c>
      <c r="AL6688">
        <v>78.622060487474897</v>
      </c>
      <c r="AM6688">
        <v>96.636230426690403</v>
      </c>
      <c r="AN6688">
        <v>1.00000003168412</v>
      </c>
    </row>
    <row r="6689" spans="1:40" x14ac:dyDescent="0.25">
      <c r="A6689" t="str">
        <f>"20190312173055202"</f>
        <v>20190312173055202</v>
      </c>
      <c r="B6689" t="str">
        <f>"1552383055194434"</f>
        <v>1552383055194434</v>
      </c>
      <c r="C6689" t="s">
        <v>40</v>
      </c>
      <c r="D6689">
        <v>3.0470329999999999</v>
      </c>
      <c r="E6689">
        <v>0.42055209999999998</v>
      </c>
      <c r="F6689" t="s">
        <v>54</v>
      </c>
      <c r="G6689">
        <v>-189.9402</v>
      </c>
      <c r="H6689" s="1">
        <v>-6.553638E-6</v>
      </c>
      <c r="I6689">
        <v>-43.873199999999997</v>
      </c>
      <c r="J6689">
        <v>-200.33930000000001</v>
      </c>
      <c r="K6689">
        <v>1.1199889999999999</v>
      </c>
      <c r="L6689">
        <v>-56.59619</v>
      </c>
      <c r="M6689">
        <v>0.84355780000000002</v>
      </c>
      <c r="N6689">
        <v>0</v>
      </c>
      <c r="O6689">
        <v>0.53681389999999995</v>
      </c>
      <c r="P6689">
        <v>0.76593580000000006</v>
      </c>
      <c r="Q6689">
        <v>0.18457119999999999</v>
      </c>
      <c r="R6689">
        <v>0.61585369999999995</v>
      </c>
      <c r="S6689">
        <v>2.0082239999999998</v>
      </c>
      <c r="T6689">
        <v>-0.21371470000000001</v>
      </c>
      <c r="U6689">
        <v>2.443848</v>
      </c>
      <c r="V6689">
        <v>-0.11317190000000001</v>
      </c>
      <c r="W6689">
        <v>0.1970228</v>
      </c>
      <c r="X6689">
        <v>0.97384510000000002</v>
      </c>
      <c r="Y6689">
        <v>-0.31130829999999998</v>
      </c>
      <c r="Z6689">
        <v>-2.7134829999999999E-2</v>
      </c>
      <c r="AA6689">
        <v>0.94992149999999997</v>
      </c>
      <c r="AB6689">
        <v>32</v>
      </c>
      <c r="AC6689">
        <v>10.399100000000001</v>
      </c>
      <c r="AD6689">
        <v>-1.119995553638</v>
      </c>
      <c r="AE6689">
        <v>12.722989999999999</v>
      </c>
      <c r="AF6689">
        <v>-5.1269988519999696</v>
      </c>
      <c r="AG6689">
        <v>-1.119995553638</v>
      </c>
      <c r="AH6689">
        <v>15.531845757331901</v>
      </c>
      <c r="AI6689">
        <v>93.917237130064294</v>
      </c>
      <c r="AJ6689">
        <v>108.267845685273</v>
      </c>
      <c r="AK6689">
        <v>16.394472845996901</v>
      </c>
      <c r="AL6689">
        <v>78.637086589059194</v>
      </c>
      <c r="AM6689">
        <v>96.628688974385298</v>
      </c>
      <c r="AN6689">
        <v>1.00000007073172</v>
      </c>
    </row>
    <row r="6690" spans="1:40" x14ac:dyDescent="0.25">
      <c r="A6690" t="str">
        <f>"20190312173055216"</f>
        <v>20190312173055216</v>
      </c>
      <c r="B6690" t="str">
        <f>"1552383055213954"</f>
        <v>1552383055213954</v>
      </c>
      <c r="C6690" t="s">
        <v>40</v>
      </c>
      <c r="D6690">
        <v>3.0212810000000001</v>
      </c>
      <c r="E6690">
        <v>0.42637520000000001</v>
      </c>
      <c r="F6690" t="s">
        <v>54</v>
      </c>
      <c r="G6690">
        <v>-189.929</v>
      </c>
      <c r="H6690" s="1">
        <v>-6.5819950000000003E-6</v>
      </c>
      <c r="I6690">
        <v>-43.78472</v>
      </c>
      <c r="J6690">
        <v>-200.17150000000001</v>
      </c>
      <c r="K6690">
        <v>1.119983</v>
      </c>
      <c r="L6690">
        <v>-56.480710000000002</v>
      </c>
      <c r="M6690">
        <v>0.839408499999999</v>
      </c>
      <c r="N6690">
        <v>0</v>
      </c>
      <c r="O6690">
        <v>0.54327939999999997</v>
      </c>
      <c r="P6690">
        <v>0.76119519999999996</v>
      </c>
      <c r="Q6690">
        <v>0.1843765</v>
      </c>
      <c r="R6690">
        <v>0.62176129999999996</v>
      </c>
      <c r="S6690">
        <v>1.994705</v>
      </c>
      <c r="T6690">
        <v>-0.2145994</v>
      </c>
      <c r="U6690">
        <v>2.4547729999999999</v>
      </c>
      <c r="V6690">
        <v>-0.1131921</v>
      </c>
      <c r="W6690">
        <v>0.19683059999999999</v>
      </c>
      <c r="X6690">
        <v>0.97388149999999996</v>
      </c>
      <c r="Y6690">
        <v>-0.30924269999999998</v>
      </c>
      <c r="Z6690">
        <v>-2.7793640000000001E-2</v>
      </c>
      <c r="AA6690">
        <v>0.95057689999999995</v>
      </c>
      <c r="AB6690">
        <v>32</v>
      </c>
      <c r="AC6690">
        <v>10.2425</v>
      </c>
      <c r="AD6690">
        <v>-1.1199895819950001</v>
      </c>
      <c r="AE6690">
        <v>12.695989999999901</v>
      </c>
      <c r="AF6690">
        <v>-5.0692994941518696</v>
      </c>
      <c r="AG6690">
        <v>-1.1199895819950001</v>
      </c>
      <c r="AH6690">
        <v>15.4242680905492</v>
      </c>
      <c r="AI6690">
        <v>93.946132350430702</v>
      </c>
      <c r="AJ6690">
        <v>108.193490233204</v>
      </c>
      <c r="AK6690">
        <v>16.274526725970301</v>
      </c>
      <c r="AL6690">
        <v>78.648317467492106</v>
      </c>
      <c r="AM6690">
        <v>96.629616000785603</v>
      </c>
      <c r="AN6690">
        <v>0.99999995632050798</v>
      </c>
    </row>
    <row r="6691" spans="1:40" x14ac:dyDescent="0.25">
      <c r="A6691" t="str">
        <f>"20190312173055228"</f>
        <v>20190312173055228</v>
      </c>
      <c r="B6691" t="str">
        <f>"1552383055224690"</f>
        <v>1552383055224690</v>
      </c>
      <c r="C6691" t="s">
        <v>40</v>
      </c>
      <c r="D6691">
        <v>3.0256319999999999</v>
      </c>
      <c r="E6691">
        <v>0.42679309999999998</v>
      </c>
      <c r="F6691" t="s">
        <v>54</v>
      </c>
      <c r="G6691">
        <v>-190.11359999999999</v>
      </c>
      <c r="H6691" s="1">
        <v>-4.3784969999999998E-6</v>
      </c>
      <c r="I6691">
        <v>-44.271540000000002</v>
      </c>
      <c r="J6691">
        <v>-200.0471</v>
      </c>
      <c r="K6691">
        <v>1.11998</v>
      </c>
      <c r="L6691">
        <v>-56.394129999999997</v>
      </c>
      <c r="M6691">
        <v>0.83628639999999999</v>
      </c>
      <c r="N6691">
        <v>0</v>
      </c>
      <c r="O6691">
        <v>0.54807309999999998</v>
      </c>
      <c r="P6691">
        <v>0.75766089999999997</v>
      </c>
      <c r="Q6691">
        <v>0.1839722</v>
      </c>
      <c r="R6691">
        <v>0.62618229999999997</v>
      </c>
      <c r="S6691">
        <v>2.006119</v>
      </c>
      <c r="T6691">
        <v>-0.22339000000000001</v>
      </c>
      <c r="U6691">
        <v>2.4352109999999998</v>
      </c>
      <c r="V6691">
        <v>-0.1132247</v>
      </c>
      <c r="W6691">
        <v>0.19642850000000001</v>
      </c>
      <c r="X6691">
        <v>0.97395889999999996</v>
      </c>
      <c r="Y6691">
        <v>-0.297454</v>
      </c>
      <c r="Z6691">
        <v>-2.9748940000000001E-2</v>
      </c>
      <c r="AA6691">
        <v>0.95427260000000003</v>
      </c>
      <c r="AB6691">
        <v>32</v>
      </c>
      <c r="AC6691">
        <v>9.9335000000000093</v>
      </c>
      <c r="AD6691">
        <v>-1.1199843784970001</v>
      </c>
      <c r="AE6691">
        <v>12.122590000000001</v>
      </c>
      <c r="AF6691">
        <v>-4.6703883112218598</v>
      </c>
      <c r="AG6691">
        <v>-1.1199843784970001</v>
      </c>
      <c r="AH6691">
        <v>14.8771449046962</v>
      </c>
      <c r="AI6691">
        <v>94.108274553043998</v>
      </c>
      <c r="AJ6691">
        <v>107.428659548092</v>
      </c>
      <c r="AK6691">
        <v>15.633180498574299</v>
      </c>
      <c r="AL6691">
        <v>78.6718149039488</v>
      </c>
      <c r="AM6691">
        <v>96.630986056588</v>
      </c>
      <c r="AN6691">
        <v>0.99999996359577403</v>
      </c>
    </row>
    <row r="6692" spans="1:40" x14ac:dyDescent="0.25">
      <c r="A6692" t="str">
        <f>"20190312173055236"</f>
        <v>20190312173055236</v>
      </c>
      <c r="B6692" t="str">
        <f>"1552383055234449"</f>
        <v>1552383055234449</v>
      </c>
      <c r="C6692" t="s">
        <v>40</v>
      </c>
      <c r="D6692">
        <v>3.0071050000000001</v>
      </c>
      <c r="E6692">
        <v>0.42728529999999998</v>
      </c>
      <c r="F6692" t="s">
        <v>54</v>
      </c>
      <c r="G6692">
        <v>-190.1276</v>
      </c>
      <c r="H6692" s="1">
        <v>-4.3969740000000001E-6</v>
      </c>
      <c r="I6692">
        <v>-44.237200000000001</v>
      </c>
      <c r="J6692">
        <v>-199.94239999999999</v>
      </c>
      <c r="K6692">
        <v>1.119972</v>
      </c>
      <c r="L6692">
        <v>-56.320430000000002</v>
      </c>
      <c r="M6692">
        <v>0.83362930000000002</v>
      </c>
      <c r="N6692">
        <v>0</v>
      </c>
      <c r="O6692">
        <v>0.55210609999999904</v>
      </c>
      <c r="P6692">
        <v>0.75476160000000003</v>
      </c>
      <c r="Q6692">
        <v>0.18351899999999999</v>
      </c>
      <c r="R6692">
        <v>0.62980599999999998</v>
      </c>
      <c r="S6692">
        <v>1.9942629999999999</v>
      </c>
      <c r="T6692">
        <v>-0.22516729999999999</v>
      </c>
      <c r="U6692">
        <v>2.4440919999999999</v>
      </c>
      <c r="V6692">
        <v>-0.1131138</v>
      </c>
      <c r="W6692">
        <v>0.19598109999999999</v>
      </c>
      <c r="X6692">
        <v>0.97406199999999998</v>
      </c>
      <c r="Y6692">
        <v>-0.29733330000000002</v>
      </c>
      <c r="Z6692">
        <v>-3.031089E-2</v>
      </c>
      <c r="AA6692">
        <v>0.95429249999999999</v>
      </c>
      <c r="AB6692">
        <v>32</v>
      </c>
      <c r="AC6692">
        <v>9.8147999999999893</v>
      </c>
      <c r="AD6692">
        <v>-1.119976396974</v>
      </c>
      <c r="AE6692">
        <v>12.08323</v>
      </c>
      <c r="AF6692">
        <v>-4.6307156295697904</v>
      </c>
      <c r="AG6692">
        <v>-1.119976396974</v>
      </c>
      <c r="AH6692">
        <v>14.7784257978168</v>
      </c>
      <c r="AI6692">
        <v>94.136284724768203</v>
      </c>
      <c r="AJ6692">
        <v>107.398014950283</v>
      </c>
      <c r="AK6692">
        <v>15.5273868836098</v>
      </c>
      <c r="AL6692">
        <v>78.697958173125301</v>
      </c>
      <c r="AM6692">
        <v>96.623854024778396</v>
      </c>
      <c r="AN6692">
        <v>1.0000000515758201</v>
      </c>
    </row>
    <row r="6693" spans="1:40" x14ac:dyDescent="0.25">
      <c r="A6693" t="str">
        <f>"20190312173055247"</f>
        <v>20190312173055247</v>
      </c>
      <c r="B6693" t="str">
        <f>"1552383055244210"</f>
        <v>1552383055244210</v>
      </c>
      <c r="C6693" t="s">
        <v>40</v>
      </c>
      <c r="D6693">
        <v>3.0230190000000001</v>
      </c>
      <c r="E6693">
        <v>0.42760009999999998</v>
      </c>
      <c r="F6693" t="s">
        <v>54</v>
      </c>
      <c r="G6693">
        <v>-190.19460000000001</v>
      </c>
      <c r="H6693" s="1">
        <v>-4.3855060000000004E-6</v>
      </c>
      <c r="I6693">
        <v>-44.287430000000001</v>
      </c>
      <c r="J6693">
        <v>-199.83359999999999</v>
      </c>
      <c r="K6693">
        <v>1.1199669999999999</v>
      </c>
      <c r="L6693">
        <v>-56.243070000000003</v>
      </c>
      <c r="M6693">
        <v>0.830835199999999</v>
      </c>
      <c r="N6693">
        <v>0</v>
      </c>
      <c r="O6693">
        <v>0.55630190000000002</v>
      </c>
      <c r="P6693">
        <v>0.75169980000000003</v>
      </c>
      <c r="Q6693">
        <v>0.18329590000000001</v>
      </c>
      <c r="R6693">
        <v>0.63352189999999997</v>
      </c>
      <c r="S6693">
        <v>1.9852749999999999</v>
      </c>
      <c r="T6693">
        <v>-0.22809840000000001</v>
      </c>
      <c r="U6693">
        <v>2.4506839999999999</v>
      </c>
      <c r="V6693">
        <v>-0.1129701</v>
      </c>
      <c r="W6693">
        <v>0.1957641</v>
      </c>
      <c r="X6693">
        <v>0.97412220000000005</v>
      </c>
      <c r="Y6693">
        <v>-0.29590919999999998</v>
      </c>
      <c r="Z6693">
        <v>-3.1088669999999999E-2</v>
      </c>
      <c r="AA6693">
        <v>0.95471010000000001</v>
      </c>
      <c r="AB6693">
        <v>32</v>
      </c>
      <c r="AC6693">
        <v>9.6389999999999798</v>
      </c>
      <c r="AD6693">
        <v>-1.1199713855059901</v>
      </c>
      <c r="AE6693">
        <v>11.955639999999899</v>
      </c>
      <c r="AF6693">
        <v>-4.5473389500897499</v>
      </c>
      <c r="AG6693">
        <v>-1.1199713855059901</v>
      </c>
      <c r="AH6693">
        <v>14.5835715012963</v>
      </c>
      <c r="AI6693">
        <v>94.193156750246899</v>
      </c>
      <c r="AJ6693">
        <v>107.318127930023</v>
      </c>
      <c r="AK6693">
        <v>15.3170880119158</v>
      </c>
      <c r="AL6693">
        <v>78.710635715972103</v>
      </c>
      <c r="AM6693">
        <v>96.6151084946369</v>
      </c>
      <c r="AN6693">
        <v>0.99999994343782805</v>
      </c>
    </row>
    <row r="6694" spans="1:40" x14ac:dyDescent="0.25">
      <c r="A6694" t="str">
        <f>"20190312173055258"</f>
        <v>20190312173055258</v>
      </c>
      <c r="B6694" t="str">
        <f>"1552383055254534"</f>
        <v>1552383055254534</v>
      </c>
      <c r="C6694" t="s">
        <v>40</v>
      </c>
      <c r="D6694">
        <v>3.02061</v>
      </c>
      <c r="E6694">
        <v>0.4280622</v>
      </c>
      <c r="F6694" t="s">
        <v>54</v>
      </c>
      <c r="G6694">
        <v>-190.18020000000001</v>
      </c>
      <c r="H6694" s="1">
        <v>-4.4119239999999999E-6</v>
      </c>
      <c r="I6694">
        <v>-44.225230000000003</v>
      </c>
      <c r="J6694">
        <v>-199.70330000000001</v>
      </c>
      <c r="K6694">
        <v>1.1199589999999999</v>
      </c>
      <c r="L6694">
        <v>-56.149169999999998</v>
      </c>
      <c r="M6694">
        <v>0.82744599999999902</v>
      </c>
      <c r="N6694">
        <v>0</v>
      </c>
      <c r="O6694">
        <v>0.56133060000000001</v>
      </c>
      <c r="P6694">
        <v>0.74793189999999998</v>
      </c>
      <c r="Q6694">
        <v>0.18302299999999999</v>
      </c>
      <c r="R6694">
        <v>0.63804430000000001</v>
      </c>
      <c r="S6694">
        <v>1.9748079999999999</v>
      </c>
      <c r="T6694">
        <v>-0.22911599999999999</v>
      </c>
      <c r="U6694">
        <v>2.4585270000000001</v>
      </c>
      <c r="V6694">
        <v>-0.1128908</v>
      </c>
      <c r="W6694">
        <v>0.19549569999999999</v>
      </c>
      <c r="X6694">
        <v>0.97418530000000003</v>
      </c>
      <c r="Y6694">
        <v>-0.29408899999999999</v>
      </c>
      <c r="Z6694">
        <v>-3.1691669999999998E-2</v>
      </c>
      <c r="AA6694">
        <v>0.95525249999999995</v>
      </c>
      <c r="AB6694">
        <v>31</v>
      </c>
      <c r="AC6694">
        <v>9.5230999999999995</v>
      </c>
      <c r="AD6694">
        <v>-1.1199634119239901</v>
      </c>
      <c r="AE6694">
        <v>11.92394</v>
      </c>
      <c r="AF6694">
        <v>-4.4971309255616303</v>
      </c>
      <c r="AG6694">
        <v>-1.1199634119239901</v>
      </c>
      <c r="AH6694">
        <v>14.496795510707701</v>
      </c>
      <c r="AI6694">
        <v>94.2200399584829</v>
      </c>
      <c r="AJ6694">
        <v>107.23470113653001</v>
      </c>
      <c r="AK6694">
        <v>15.219578991712201</v>
      </c>
      <c r="AL6694">
        <v>78.726316975123694</v>
      </c>
      <c r="AM6694">
        <v>96.610081707437502</v>
      </c>
      <c r="AN6694">
        <v>0.99999995008960796</v>
      </c>
    </row>
    <row r="6695" spans="1:40" x14ac:dyDescent="0.25">
      <c r="A6695" t="str">
        <f>"20190312173055271"</f>
        <v>20190312173055271</v>
      </c>
      <c r="B6695" t="str">
        <f>"1552383055264296"</f>
        <v>1552383055264296</v>
      </c>
      <c r="C6695" t="s">
        <v>40</v>
      </c>
      <c r="D6695">
        <v>3.0185019999999998</v>
      </c>
      <c r="E6695">
        <v>0.4280622</v>
      </c>
      <c r="F6695" t="s">
        <v>54</v>
      </c>
      <c r="G6695">
        <v>-190.13030000000001</v>
      </c>
      <c r="H6695" s="1">
        <v>-4.456275E-6</v>
      </c>
      <c r="I6695">
        <v>-44.110939999999999</v>
      </c>
      <c r="J6695">
        <v>-199.56950000000001</v>
      </c>
      <c r="K6695">
        <v>1.1199539999999999</v>
      </c>
      <c r="L6695">
        <v>-56.051540000000003</v>
      </c>
      <c r="M6695">
        <v>0.82391979999999998</v>
      </c>
      <c r="N6695">
        <v>0</v>
      </c>
      <c r="O6695">
        <v>0.56649380000000005</v>
      </c>
      <c r="P6695">
        <v>0.74394289999999996</v>
      </c>
      <c r="Q6695">
        <v>0.18285380000000001</v>
      </c>
      <c r="R6695">
        <v>0.64273910000000001</v>
      </c>
      <c r="S6695">
        <v>1.962234</v>
      </c>
      <c r="T6695">
        <v>-0.22956660000000001</v>
      </c>
      <c r="U6695">
        <v>2.4675600000000002</v>
      </c>
      <c r="V6695">
        <v>-0.11289929999999999</v>
      </c>
      <c r="W6695">
        <v>0.19532869999999999</v>
      </c>
      <c r="X6695">
        <v>0.97421780000000002</v>
      </c>
      <c r="Y6695">
        <v>-0.29281010000000002</v>
      </c>
      <c r="Z6695">
        <v>-3.221632E-2</v>
      </c>
      <c r="AA6695">
        <v>0.95562769999999997</v>
      </c>
      <c r="AB6695">
        <v>31</v>
      </c>
      <c r="AC6695">
        <v>9.4391999999999996</v>
      </c>
      <c r="AD6695">
        <v>-1.119958456275</v>
      </c>
      <c r="AE6695">
        <v>11.9406</v>
      </c>
      <c r="AF6695">
        <v>-4.4672039421394203</v>
      </c>
      <c r="AG6695">
        <v>-1.119958456275</v>
      </c>
      <c r="AH6695">
        <v>14.464858333374201</v>
      </c>
      <c r="AI6695">
        <v>94.230952718825804</v>
      </c>
      <c r="AJ6695">
        <v>107.162335886094</v>
      </c>
      <c r="AK6695">
        <v>15.1803275527583</v>
      </c>
      <c r="AL6695">
        <v>78.7360733195287</v>
      </c>
      <c r="AM6695">
        <v>96.610356424386794</v>
      </c>
      <c r="AN6695">
        <v>0.99999993741050797</v>
      </c>
    </row>
    <row r="6696" spans="1:40" x14ac:dyDescent="0.25">
      <c r="A6696" t="str">
        <f>"20190312173055282"</f>
        <v>20190312173055282</v>
      </c>
      <c r="B6696" t="str">
        <f>"1552383055274053"</f>
        <v>1552383055274053</v>
      </c>
      <c r="C6696" t="s">
        <v>40</v>
      </c>
      <c r="D6696">
        <v>3.0204789999999999</v>
      </c>
      <c r="E6696">
        <v>0.43249870000000001</v>
      </c>
      <c r="F6696" t="s">
        <v>54</v>
      </c>
      <c r="G6696">
        <v>-190.10069999999999</v>
      </c>
      <c r="H6696" s="1">
        <v>-4.506847E-6</v>
      </c>
      <c r="I6696">
        <v>-43.991059999999997</v>
      </c>
      <c r="J6696">
        <v>-199.43430000000001</v>
      </c>
      <c r="K6696">
        <v>1.1199460000000001</v>
      </c>
      <c r="L6696">
        <v>-55.951929999999997</v>
      </c>
      <c r="M6696">
        <v>0.82030899999999995</v>
      </c>
      <c r="N6696">
        <v>0</v>
      </c>
      <c r="O6696">
        <v>0.57170980000000005</v>
      </c>
      <c r="P6696">
        <v>0.74001890000000003</v>
      </c>
      <c r="Q6696">
        <v>0.18266209999999999</v>
      </c>
      <c r="R6696">
        <v>0.64730730000000003</v>
      </c>
      <c r="S6696">
        <v>1.946823</v>
      </c>
      <c r="T6696">
        <v>-0.230267</v>
      </c>
      <c r="U6696">
        <v>2.4796749999999999</v>
      </c>
      <c r="V6696">
        <v>-0.112681</v>
      </c>
      <c r="W6696">
        <v>0.1951454</v>
      </c>
      <c r="X6696">
        <v>0.97427989999999998</v>
      </c>
      <c r="Y6696">
        <v>-0.29269849999999997</v>
      </c>
      <c r="Z6696">
        <v>-3.2737780000000001E-2</v>
      </c>
      <c r="AA6696">
        <v>0.95564420000000005</v>
      </c>
      <c r="AB6696">
        <v>31</v>
      </c>
      <c r="AC6696">
        <v>9.3336000000000094</v>
      </c>
      <c r="AD6696">
        <v>-1.1199505068469999</v>
      </c>
      <c r="AE6696">
        <v>11.96087</v>
      </c>
      <c r="AF6696">
        <v>-4.4517795784851097</v>
      </c>
      <c r="AG6696">
        <v>-1.1199505068469999</v>
      </c>
      <c r="AH6696">
        <v>14.4177646353439</v>
      </c>
      <c r="AI6696">
        <v>94.244764912234402</v>
      </c>
      <c r="AJ6696">
        <v>107.159141980717</v>
      </c>
      <c r="AK6696">
        <v>15.1309143026249</v>
      </c>
      <c r="AL6696">
        <v>78.746782754632406</v>
      </c>
      <c r="AM6696">
        <v>96.597270732976597</v>
      </c>
      <c r="AN6696">
        <v>1.00000002922308</v>
      </c>
    </row>
    <row r="6697" spans="1:40" x14ac:dyDescent="0.25">
      <c r="A6697" t="str">
        <f>"20190312173055293"</f>
        <v>20190312173055293</v>
      </c>
      <c r="B6697" t="str">
        <f>"1552383055283813"</f>
        <v>1552383055283813</v>
      </c>
      <c r="C6697" t="s">
        <v>40</v>
      </c>
      <c r="D6697">
        <v>2.976413</v>
      </c>
      <c r="E6697">
        <v>0.43322310000000003</v>
      </c>
      <c r="F6697" t="s">
        <v>54</v>
      </c>
      <c r="G6697">
        <v>-190.03059999999999</v>
      </c>
      <c r="H6697" s="1">
        <v>-4.4465560000000004E-6</v>
      </c>
      <c r="I6697">
        <v>-44.093710000000002</v>
      </c>
      <c r="J6697">
        <v>-199.3202</v>
      </c>
      <c r="K6697">
        <v>1.119939</v>
      </c>
      <c r="L6697">
        <v>-55.866120000000002</v>
      </c>
      <c r="M6697">
        <v>0.8172123</v>
      </c>
      <c r="N6697">
        <v>0</v>
      </c>
      <c r="O6697">
        <v>0.57612759999999996</v>
      </c>
      <c r="P6697">
        <v>0.73651080000000002</v>
      </c>
      <c r="Q6697">
        <v>0.1825707</v>
      </c>
      <c r="R6697">
        <v>0.65132179999999995</v>
      </c>
      <c r="S6697">
        <v>1.9550019999999999</v>
      </c>
      <c r="T6697">
        <v>-0.2328354</v>
      </c>
      <c r="U6697">
        <v>2.4653019999999999</v>
      </c>
      <c r="V6697">
        <v>-0.112703</v>
      </c>
      <c r="W6697">
        <v>0.19505510000000001</v>
      </c>
      <c r="X6697">
        <v>0.97429540000000003</v>
      </c>
      <c r="Y6697">
        <v>-0.28291280000000002</v>
      </c>
      <c r="Z6697">
        <v>-3.3842179999999999E-2</v>
      </c>
      <c r="AA6697">
        <v>0.95854839999999997</v>
      </c>
      <c r="AB6697">
        <v>31</v>
      </c>
      <c r="AC6697">
        <v>9.2896000000000001</v>
      </c>
      <c r="AD6697">
        <v>-1.1199434465559901</v>
      </c>
      <c r="AE6697">
        <v>11.772410000000001</v>
      </c>
      <c r="AF6697">
        <v>-4.2453997015031604</v>
      </c>
      <c r="AG6697">
        <v>-1.1199434465559901</v>
      </c>
      <c r="AH6697">
        <v>14.295984461914401</v>
      </c>
      <c r="AI6697">
        <v>94.294753680177905</v>
      </c>
      <c r="AJ6697">
        <v>106.53954971925</v>
      </c>
      <c r="AK6697">
        <v>14.955028040238</v>
      </c>
      <c r="AL6697">
        <v>78.752057514772005</v>
      </c>
      <c r="AM6697">
        <v>96.598443385444099</v>
      </c>
      <c r="AN6697">
        <v>0.99999999235308501</v>
      </c>
    </row>
    <row r="6698" spans="1:40" x14ac:dyDescent="0.25">
      <c r="A6698" t="str">
        <f>"20190312173055305"</f>
        <v>20190312173055305</v>
      </c>
      <c r="B6698" t="str">
        <f>"1552383055294549"</f>
        <v>1552383055294549</v>
      </c>
      <c r="C6698" t="s">
        <v>40</v>
      </c>
      <c r="D6698">
        <v>2.967346</v>
      </c>
      <c r="E6698">
        <v>0.43336000000000002</v>
      </c>
      <c r="F6698" t="s">
        <v>54</v>
      </c>
      <c r="G6698">
        <v>-189.91249999999999</v>
      </c>
      <c r="H6698" s="1">
        <v>-6.5370529999999901E-6</v>
      </c>
      <c r="I6698">
        <v>-43.913449999999997</v>
      </c>
      <c r="J6698">
        <v>-199.1867</v>
      </c>
      <c r="K6698">
        <v>1.1199319999999999</v>
      </c>
      <c r="L6698">
        <v>-55.765320000000003</v>
      </c>
      <c r="M6698">
        <v>0.81355379999999999</v>
      </c>
      <c r="N6698">
        <v>0</v>
      </c>
      <c r="O6698">
        <v>0.58128239999999998</v>
      </c>
      <c r="P6698">
        <v>0.73246029999999995</v>
      </c>
      <c r="Q6698">
        <v>0.1822454</v>
      </c>
      <c r="R6698">
        <v>0.65596399999999999</v>
      </c>
      <c r="S6698">
        <v>1.94516</v>
      </c>
      <c r="T6698">
        <v>-0.23156379999999999</v>
      </c>
      <c r="U6698">
        <v>2.4713750000000001</v>
      </c>
      <c r="V6698">
        <v>-0.11264250000000001</v>
      </c>
      <c r="W6698">
        <v>0.19473380000000001</v>
      </c>
      <c r="X6698">
        <v>0.97436670000000003</v>
      </c>
      <c r="Y6698">
        <v>-0.28035710000000003</v>
      </c>
      <c r="Z6698">
        <v>-3.4170979999999997E-2</v>
      </c>
      <c r="AA6698">
        <v>0.95928729999999995</v>
      </c>
      <c r="AB6698">
        <v>31</v>
      </c>
      <c r="AC6698">
        <v>9.2742000000000004</v>
      </c>
      <c r="AD6698">
        <v>-1.1199385370529999</v>
      </c>
      <c r="AE6698">
        <v>11.8518699999999</v>
      </c>
      <c r="AF6698">
        <v>-4.2283001008343799</v>
      </c>
      <c r="AG6698">
        <v>-1.1199385370529999</v>
      </c>
      <c r="AH6698">
        <v>14.3565750693949</v>
      </c>
      <c r="AI6698">
        <v>94.279510134497897</v>
      </c>
      <c r="AJ6698">
        <v>106.410761625457</v>
      </c>
      <c r="AK6698">
        <v>15.0081321886724</v>
      </c>
      <c r="AL6698">
        <v>78.770826941270997</v>
      </c>
      <c r="AM6698">
        <v>96.594454153594697</v>
      </c>
      <c r="AN6698">
        <v>1.00000002586878</v>
      </c>
    </row>
    <row r="6699" spans="1:40" x14ac:dyDescent="0.25">
      <c r="A6699" t="str">
        <f>"20190312173055315"</f>
        <v>20190312173055315</v>
      </c>
      <c r="B6699" t="str">
        <f>"1552383055304308"</f>
        <v>1552383055304308</v>
      </c>
      <c r="C6699" t="s">
        <v>40</v>
      </c>
      <c r="D6699">
        <v>2.9641120000000001</v>
      </c>
      <c r="E6699">
        <v>0.43374819999999997</v>
      </c>
      <c r="F6699" t="s">
        <v>54</v>
      </c>
      <c r="G6699">
        <v>-189.9735</v>
      </c>
      <c r="H6699" s="1">
        <v>-4.5189689999999996E-6</v>
      </c>
      <c r="I6699">
        <v>-43.916440000000001</v>
      </c>
      <c r="J6699">
        <v>-199.07550000000001</v>
      </c>
      <c r="K6699">
        <v>1.1199239999999999</v>
      </c>
      <c r="L6699">
        <v>-55.679720000000003</v>
      </c>
      <c r="M6699">
        <v>0.81045789999999995</v>
      </c>
      <c r="N6699">
        <v>0</v>
      </c>
      <c r="O6699">
        <v>0.58559130000000004</v>
      </c>
      <c r="P6699">
        <v>0.72911579999999998</v>
      </c>
      <c r="Q6699">
        <v>0.18223500000000001</v>
      </c>
      <c r="R6699">
        <v>0.659682199999999</v>
      </c>
      <c r="S6699">
        <v>1.9305730000000001</v>
      </c>
      <c r="T6699">
        <v>-0.23467759999999999</v>
      </c>
      <c r="U6699">
        <v>2.4828800000000002</v>
      </c>
      <c r="V6699">
        <v>-0.1124237</v>
      </c>
      <c r="W6699">
        <v>0.19473099999999999</v>
      </c>
      <c r="X6699">
        <v>0.97439249999999999</v>
      </c>
      <c r="Y6699">
        <v>-0.28095179999999997</v>
      </c>
      <c r="Z6699">
        <v>-3.4962489999999999E-2</v>
      </c>
      <c r="AA6699">
        <v>0.95908479999999996</v>
      </c>
      <c r="AB6699">
        <v>31</v>
      </c>
      <c r="AC6699">
        <v>9.1020000000000003</v>
      </c>
      <c r="AD6699">
        <v>-1.11992851896899</v>
      </c>
      <c r="AE6699">
        <v>11.7632799999999</v>
      </c>
      <c r="AF6699">
        <v>-4.1803961854229099</v>
      </c>
      <c r="AG6699">
        <v>-1.11992851896899</v>
      </c>
      <c r="AH6699">
        <v>14.186547901916301</v>
      </c>
      <c r="AI6699">
        <v>94.330388840928606</v>
      </c>
      <c r="AJ6699">
        <v>106.41883513157499</v>
      </c>
      <c r="AK6699">
        <v>14.831995601673601</v>
      </c>
      <c r="AL6699">
        <v>78.770990176381403</v>
      </c>
      <c r="AM6699">
        <v>96.581584652145807</v>
      </c>
      <c r="AN6699">
        <v>0.99999999736946998</v>
      </c>
    </row>
    <row r="6700" spans="1:40" x14ac:dyDescent="0.25">
      <c r="A6700" t="str">
        <f>"20190312173055325"</f>
        <v>20190312173055325</v>
      </c>
      <c r="B6700" t="str">
        <f>"1552383055314069"</f>
        <v>1552383055314069</v>
      </c>
      <c r="C6700" t="s">
        <v>40</v>
      </c>
      <c r="D6700">
        <v>2.956296</v>
      </c>
      <c r="E6700">
        <v>0.43418489999999998</v>
      </c>
      <c r="F6700" t="s">
        <v>54</v>
      </c>
      <c r="G6700">
        <v>-189.9982</v>
      </c>
      <c r="H6700" s="1">
        <v>-4.5283920000000003E-6</v>
      </c>
      <c r="I6700">
        <v>-43.905619999999999</v>
      </c>
      <c r="J6700">
        <v>-198.95930000000001</v>
      </c>
      <c r="K6700">
        <v>1.1199140000000001</v>
      </c>
      <c r="L6700">
        <v>-55.589840000000002</v>
      </c>
      <c r="M6700">
        <v>0.80719410000000003</v>
      </c>
      <c r="N6700">
        <v>0</v>
      </c>
      <c r="O6700">
        <v>0.590082</v>
      </c>
      <c r="P6700">
        <v>0.72545749999999998</v>
      </c>
      <c r="Q6700">
        <v>0.18230080000000001</v>
      </c>
      <c r="R6700">
        <v>0.66368499999999997</v>
      </c>
      <c r="S6700">
        <v>1.920258</v>
      </c>
      <c r="T6700">
        <v>-0.2369153</v>
      </c>
      <c r="U6700">
        <v>2.4907530000000002</v>
      </c>
      <c r="V6700">
        <v>-0.1123832</v>
      </c>
      <c r="W6700">
        <v>0.19479930000000001</v>
      </c>
      <c r="X6700">
        <v>0.97438349999999996</v>
      </c>
      <c r="Y6700">
        <v>-0.27960180000000001</v>
      </c>
      <c r="Z6700">
        <v>-3.5711699999999999E-2</v>
      </c>
      <c r="AA6700">
        <v>0.95945170000000002</v>
      </c>
      <c r="AB6700">
        <v>31</v>
      </c>
      <c r="AC6700">
        <v>8.9611000000000107</v>
      </c>
      <c r="AD6700">
        <v>-1.1199185283919999</v>
      </c>
      <c r="AE6700">
        <v>11.68422</v>
      </c>
      <c r="AF6700">
        <v>-4.1203147385056598</v>
      </c>
      <c r="AG6700">
        <v>-1.1199185283919999</v>
      </c>
      <c r="AH6700">
        <v>14.0484333719895</v>
      </c>
      <c r="AI6700">
        <v>94.374385577599199</v>
      </c>
      <c r="AJ6700">
        <v>106.346072109937</v>
      </c>
      <c r="AK6700">
        <v>14.682972834607099</v>
      </c>
      <c r="AL6700">
        <v>78.767000250963093</v>
      </c>
      <c r="AM6700">
        <v>96.579294701557799</v>
      </c>
      <c r="AN6700">
        <v>0.99999997799748896</v>
      </c>
    </row>
    <row r="6701" spans="1:40" x14ac:dyDescent="0.25">
      <c r="A6701" t="str">
        <f>"20190312173055336"</f>
        <v>20190312173055336</v>
      </c>
      <c r="B6701" t="str">
        <f>"1552383055323829"</f>
        <v>1552383055323829</v>
      </c>
      <c r="C6701" t="s">
        <v>40</v>
      </c>
      <c r="D6701">
        <v>2.938008</v>
      </c>
      <c r="E6701">
        <v>0.4346662</v>
      </c>
      <c r="F6701" t="s">
        <v>54</v>
      </c>
      <c r="G6701">
        <v>-189.9734</v>
      </c>
      <c r="H6701" s="1">
        <v>-4.5609900000000002E-6</v>
      </c>
      <c r="I6701">
        <v>-43.826169999999998</v>
      </c>
      <c r="J6701">
        <v>-198.8451</v>
      </c>
      <c r="K6701">
        <v>1.119907</v>
      </c>
      <c r="L6701">
        <v>-55.50009</v>
      </c>
      <c r="M6701">
        <v>0.80394049999999995</v>
      </c>
      <c r="N6701">
        <v>0</v>
      </c>
      <c r="O6701">
        <v>0.59450700000000001</v>
      </c>
      <c r="P6701">
        <v>0.72182480000000004</v>
      </c>
      <c r="Q6701">
        <v>0.1822723</v>
      </c>
      <c r="R6701">
        <v>0.66764199999999996</v>
      </c>
      <c r="S6701">
        <v>1.9089050000000001</v>
      </c>
      <c r="T6701">
        <v>-0.2379076</v>
      </c>
      <c r="U6701">
        <v>2.498993</v>
      </c>
      <c r="V6701">
        <v>-0.1123494</v>
      </c>
      <c r="W6701">
        <v>0.1947731</v>
      </c>
      <c r="X6701">
        <v>0.9743927</v>
      </c>
      <c r="Y6701">
        <v>-0.27862100000000001</v>
      </c>
      <c r="Z6701">
        <v>-3.6265470000000001E-2</v>
      </c>
      <c r="AA6701">
        <v>0.95971620000000002</v>
      </c>
      <c r="AB6701">
        <v>31</v>
      </c>
      <c r="AC6701">
        <v>8.8717000000000006</v>
      </c>
      <c r="AD6701">
        <v>-1.1199115609900001</v>
      </c>
      <c r="AE6701">
        <v>11.673920000000001</v>
      </c>
      <c r="AF6701">
        <v>-4.0874991762253696</v>
      </c>
      <c r="AG6701">
        <v>-1.1199115609900001</v>
      </c>
      <c r="AH6701">
        <v>13.992612217072001</v>
      </c>
      <c r="AI6701">
        <v>94.393127308910394</v>
      </c>
      <c r="AJ6701">
        <v>106.284053849255</v>
      </c>
      <c r="AK6701">
        <v>14.620364156799701</v>
      </c>
      <c r="AL6701">
        <v>78.768531432043005</v>
      </c>
      <c r="AM6701">
        <v>96.5772717181746</v>
      </c>
      <c r="AN6701">
        <v>1.0000000409886201</v>
      </c>
    </row>
    <row r="6702" spans="1:40" x14ac:dyDescent="0.25">
      <c r="A6702" t="str">
        <f>"20190312173055349"</f>
        <v>20190312173055349</v>
      </c>
      <c r="B6702" t="str">
        <f>"1552383055344325"</f>
        <v>1552383055344325</v>
      </c>
      <c r="C6702" t="s">
        <v>40</v>
      </c>
      <c r="D6702">
        <v>2.9827789999999998</v>
      </c>
      <c r="E6702">
        <v>0.43470199999999998</v>
      </c>
      <c r="F6702" t="s">
        <v>54</v>
      </c>
      <c r="G6702">
        <v>-189.96029999999999</v>
      </c>
      <c r="H6702" s="1">
        <v>-4.5872940000000004E-6</v>
      </c>
      <c r="I6702">
        <v>-43.764710000000001</v>
      </c>
      <c r="J6702">
        <v>-198.71180000000001</v>
      </c>
      <c r="K6702">
        <v>1.1198999999999999</v>
      </c>
      <c r="L6702">
        <v>-55.394170000000003</v>
      </c>
      <c r="M6702">
        <v>0.80009449999999904</v>
      </c>
      <c r="N6702">
        <v>0</v>
      </c>
      <c r="O6702">
        <v>0.59967320000000002</v>
      </c>
      <c r="P6702">
        <v>0.71765140000000005</v>
      </c>
      <c r="Q6702">
        <v>0.18224280000000001</v>
      </c>
      <c r="R6702">
        <v>0.67213389999999995</v>
      </c>
      <c r="S6702">
        <v>1.897888</v>
      </c>
      <c r="T6702">
        <v>-0.23922550000000001</v>
      </c>
      <c r="U6702">
        <v>2.5068049999999999</v>
      </c>
      <c r="V6702">
        <v>-0.1121436</v>
      </c>
      <c r="W6702">
        <v>0.1947507</v>
      </c>
      <c r="X6702">
        <v>0.97442079999999998</v>
      </c>
      <c r="Y6702">
        <v>-0.27657419999999999</v>
      </c>
      <c r="Z6702">
        <v>-3.6970259999999998E-2</v>
      </c>
      <c r="AA6702">
        <v>0.96028119999999995</v>
      </c>
      <c r="AB6702">
        <v>31</v>
      </c>
      <c r="AC6702">
        <v>8.7515000000000196</v>
      </c>
      <c r="AD6702">
        <v>-1.1199045872940001</v>
      </c>
      <c r="AE6702">
        <v>11.6294599999999</v>
      </c>
      <c r="AF6702">
        <v>-4.0332362529575603</v>
      </c>
      <c r="AG6702">
        <v>-1.1199045872940001</v>
      </c>
      <c r="AH6702">
        <v>13.895316731587799</v>
      </c>
      <c r="AI6702">
        <v>94.425939107056195</v>
      </c>
      <c r="AJ6702">
        <v>106.18582941760501</v>
      </c>
      <c r="AK6702">
        <v>14.512098677584801</v>
      </c>
      <c r="AL6702">
        <v>78.769838979417003</v>
      </c>
      <c r="AM6702">
        <v>96.565141172327401</v>
      </c>
      <c r="AN6702">
        <v>0.99999995882204396</v>
      </c>
    </row>
    <row r="6703" spans="1:40" x14ac:dyDescent="0.25">
      <c r="A6703" t="str">
        <f>"20190312173055360"</f>
        <v>20190312173055360</v>
      </c>
      <c r="B6703" t="str">
        <f>"1552383055354345"</f>
        <v>1552383055354345</v>
      </c>
      <c r="C6703" t="s">
        <v>40</v>
      </c>
      <c r="D6703">
        <v>2.9540160000000002</v>
      </c>
      <c r="E6703">
        <v>0.42116880000000001</v>
      </c>
      <c r="F6703" t="s">
        <v>54</v>
      </c>
      <c r="G6703">
        <v>-189.84270000000001</v>
      </c>
      <c r="H6703" s="1">
        <v>-6.658129E-6</v>
      </c>
      <c r="I6703">
        <v>-43.528289999999998</v>
      </c>
      <c r="J6703">
        <v>-198.58879999999999</v>
      </c>
      <c r="K6703">
        <v>1.119891</v>
      </c>
      <c r="L6703">
        <v>-55.295349999999999</v>
      </c>
      <c r="M6703">
        <v>0.79650120000000002</v>
      </c>
      <c r="N6703">
        <v>0</v>
      </c>
      <c r="O6703">
        <v>0.60443780000000003</v>
      </c>
      <c r="P6703">
        <v>0.71376249999999997</v>
      </c>
      <c r="Q6703">
        <v>0.1820592</v>
      </c>
      <c r="R6703">
        <v>0.67631180000000002</v>
      </c>
      <c r="S6703">
        <v>1.8822019999999999</v>
      </c>
      <c r="T6703">
        <v>-0.23766780000000001</v>
      </c>
      <c r="U6703">
        <v>2.5181879999999999</v>
      </c>
      <c r="V6703">
        <v>-0.1119776</v>
      </c>
      <c r="W6703">
        <v>0.19457389999999999</v>
      </c>
      <c r="X6703">
        <v>0.97447530000000004</v>
      </c>
      <c r="Y6703">
        <v>-0.27675809999999901</v>
      </c>
      <c r="Z6703">
        <v>-3.712592E-2</v>
      </c>
      <c r="AA6703">
        <v>0.96022220000000003</v>
      </c>
      <c r="AB6703">
        <v>31</v>
      </c>
      <c r="AC6703">
        <v>8.7460999999999807</v>
      </c>
      <c r="AD6703">
        <v>-1.1198976581290001</v>
      </c>
      <c r="AE6703">
        <v>11.767059999999899</v>
      </c>
      <c r="AF6703">
        <v>-4.0627916498781298</v>
      </c>
      <c r="AG6703">
        <v>-1.1198976581290001</v>
      </c>
      <c r="AH6703">
        <v>13.998754642759399</v>
      </c>
      <c r="AI6703">
        <v>94.393376120623898</v>
      </c>
      <c r="AJ6703">
        <v>106.18406141784899</v>
      </c>
      <c r="AK6703">
        <v>14.6193562889473</v>
      </c>
      <c r="AL6703">
        <v>78.780167446834298</v>
      </c>
      <c r="AM6703">
        <v>96.555144364168896</v>
      </c>
      <c r="AN6703">
        <v>1.0000000478865201</v>
      </c>
    </row>
    <row r="6704" spans="1:40" x14ac:dyDescent="0.25">
      <c r="A6704" t="str">
        <f>"20190312173055371"</f>
        <v>20190312173055371</v>
      </c>
      <c r="B6704" t="str">
        <f>"1552383055364103"</f>
        <v>1552383055364103</v>
      </c>
      <c r="C6704" t="s">
        <v>40</v>
      </c>
      <c r="D6704">
        <v>3.007447</v>
      </c>
      <c r="E6704">
        <v>0.42020639999999998</v>
      </c>
      <c r="F6704" t="s">
        <v>54</v>
      </c>
      <c r="G6704">
        <v>-189.10929999999999</v>
      </c>
      <c r="H6704" s="1">
        <v>-7.2512500000000002E-6</v>
      </c>
      <c r="I6704">
        <v>-41.509990000000002</v>
      </c>
      <c r="J6704">
        <v>-198.47229999999999</v>
      </c>
      <c r="K6704">
        <v>1.1198779999999999</v>
      </c>
      <c r="L6704">
        <v>-55.200290000000003</v>
      </c>
      <c r="M6704">
        <v>0.79304980000000003</v>
      </c>
      <c r="N6704">
        <v>0</v>
      </c>
      <c r="O6704">
        <v>0.60895909999999998</v>
      </c>
      <c r="P6704">
        <v>0.70985390000000004</v>
      </c>
      <c r="Q6704">
        <v>0.18221029999999999</v>
      </c>
      <c r="R6704">
        <v>0.68037250000000005</v>
      </c>
      <c r="S6704">
        <v>1.790222</v>
      </c>
      <c r="T6704">
        <v>-0.21149519999999999</v>
      </c>
      <c r="U6704">
        <v>2.6033940000000002</v>
      </c>
      <c r="V6704">
        <v>-0.112015</v>
      </c>
      <c r="W6704">
        <v>0.19472539999999999</v>
      </c>
      <c r="X6704">
        <v>0.97444070000000005</v>
      </c>
      <c r="Y6704">
        <v>-0.3088708</v>
      </c>
      <c r="Z6704">
        <v>-3.2312460000000001E-2</v>
      </c>
      <c r="AA6704">
        <v>0.95055500000000004</v>
      </c>
      <c r="AB6704">
        <v>31</v>
      </c>
      <c r="AC6704">
        <v>9.3629999999999995</v>
      </c>
      <c r="AD6704">
        <v>-1.1198852512499999</v>
      </c>
      <c r="AE6704">
        <v>13.690300000000001</v>
      </c>
      <c r="AF6704">
        <v>-5.1326267407428903</v>
      </c>
      <c r="AG6704">
        <v>-1.1198852512499999</v>
      </c>
      <c r="AH6704">
        <v>15.6925137952572</v>
      </c>
      <c r="AI6704">
        <v>93.880337103553501</v>
      </c>
      <c r="AJ6704">
        <v>108.111619447694</v>
      </c>
      <c r="AK6704">
        <v>16.5485041453931</v>
      </c>
      <c r="AL6704">
        <v>78.771317435215593</v>
      </c>
      <c r="AM6704">
        <v>96.557545493645705</v>
      </c>
      <c r="AN6704">
        <v>1.0000000097233199</v>
      </c>
    </row>
    <row r="6705" spans="1:40" x14ac:dyDescent="0.25">
      <c r="A6705" t="str">
        <f>"20190312173055382"</f>
        <v>20190312173055382</v>
      </c>
      <c r="B6705" t="str">
        <f>"1552383055373864"</f>
        <v>1552383055373864</v>
      </c>
      <c r="C6705" t="s">
        <v>40</v>
      </c>
      <c r="D6705">
        <v>2.9747849999999998</v>
      </c>
      <c r="E6705">
        <v>0.4196703</v>
      </c>
      <c r="F6705" t="s">
        <v>54</v>
      </c>
      <c r="G6705">
        <v>-188.83269999999999</v>
      </c>
      <c r="H6705" s="1">
        <v>-7.4122599999999999E-6</v>
      </c>
      <c r="I6705">
        <v>-40.936070000000001</v>
      </c>
      <c r="J6705">
        <v>-198.35339999999999</v>
      </c>
      <c r="K6705">
        <v>1.119866</v>
      </c>
      <c r="L6705">
        <v>-55.102690000000003</v>
      </c>
      <c r="M6705">
        <v>0.78948999999999903</v>
      </c>
      <c r="N6705">
        <v>0</v>
      </c>
      <c r="O6705">
        <v>0.61356709999999903</v>
      </c>
      <c r="P6705">
        <v>0.70588430000000002</v>
      </c>
      <c r="Q6705">
        <v>0.18229619999999999</v>
      </c>
      <c r="R6705">
        <v>0.6844673</v>
      </c>
      <c r="S6705">
        <v>1.7694240000000001</v>
      </c>
      <c r="T6705">
        <v>-0.20556440000000001</v>
      </c>
      <c r="U6705">
        <v>2.6183169999999998</v>
      </c>
      <c r="V6705">
        <v>-0.1119879</v>
      </c>
      <c r="W6705">
        <v>0.19481290000000001</v>
      </c>
      <c r="X6705">
        <v>0.97442629999999997</v>
      </c>
      <c r="Y6705">
        <v>-0.31101020000000001</v>
      </c>
      <c r="Z6705">
        <v>-3.1679550000000001E-2</v>
      </c>
      <c r="AA6705">
        <v>0.94987849999999996</v>
      </c>
      <c r="AB6705">
        <v>31</v>
      </c>
      <c r="AC6705">
        <v>9.5206999999999997</v>
      </c>
      <c r="AD6705">
        <v>-1.11987341226</v>
      </c>
      <c r="AE6705">
        <v>14.16662</v>
      </c>
      <c r="AF6705">
        <v>-5.3205569587453398</v>
      </c>
      <c r="AG6705">
        <v>-1.11987341226</v>
      </c>
      <c r="AH6705">
        <v>16.141139822003499</v>
      </c>
      <c r="AI6705">
        <v>93.769918687752906</v>
      </c>
      <c r="AJ6705">
        <v>108.2436199409</v>
      </c>
      <c r="AK6705">
        <v>17.0322880895142</v>
      </c>
      <c r="AL6705">
        <v>78.766205887260895</v>
      </c>
      <c r="AM6705">
        <v>96.556068867498297</v>
      </c>
      <c r="AN6705">
        <v>0.99999998494225395</v>
      </c>
    </row>
    <row r="6706" spans="1:40" x14ac:dyDescent="0.25">
      <c r="A6706" t="str">
        <f>"20190312173055394"</f>
        <v>20190312173055394</v>
      </c>
      <c r="B6706" t="str">
        <f>"1552383055384600"</f>
        <v>1552383055384600</v>
      </c>
      <c r="C6706" t="s">
        <v>40</v>
      </c>
      <c r="D6706">
        <v>2.9921989999999998</v>
      </c>
      <c r="E6706">
        <v>0.41972470000000001</v>
      </c>
      <c r="F6706" t="s">
        <v>54</v>
      </c>
      <c r="G6706">
        <v>-188.6191</v>
      </c>
      <c r="H6706" s="1">
        <v>-7.542814E-6</v>
      </c>
      <c r="I6706">
        <v>-40.474260000000001</v>
      </c>
      <c r="J6706">
        <v>-198.2312</v>
      </c>
      <c r="K6706">
        <v>1.1198549999999901</v>
      </c>
      <c r="L6706">
        <v>-55.000340000000001</v>
      </c>
      <c r="M6706">
        <v>0.78577339999999996</v>
      </c>
      <c r="N6706">
        <v>0</v>
      </c>
      <c r="O6706">
        <v>0.61831979999999997</v>
      </c>
      <c r="P6706">
        <v>0.70208660000000001</v>
      </c>
      <c r="Q6706">
        <v>0.18215770000000001</v>
      </c>
      <c r="R6706">
        <v>0.68839890000000004</v>
      </c>
      <c r="S6706">
        <v>1.750793</v>
      </c>
      <c r="T6706">
        <v>-0.2014185</v>
      </c>
      <c r="U6706">
        <v>2.6310419999999999</v>
      </c>
      <c r="V6706">
        <v>-0.1115173</v>
      </c>
      <c r="W6706">
        <v>0.194688</v>
      </c>
      <c r="X6706">
        <v>0.97450519999999996</v>
      </c>
      <c r="Y6706">
        <v>-0.31204579999999998</v>
      </c>
      <c r="Z6706">
        <v>-3.1352659999999997E-2</v>
      </c>
      <c r="AA6706">
        <v>0.94954959999999999</v>
      </c>
      <c r="AB6706">
        <v>31</v>
      </c>
      <c r="AC6706">
        <v>9.6120999999999892</v>
      </c>
      <c r="AD6706">
        <v>-1.1198625428140001</v>
      </c>
      <c r="AE6706">
        <v>14.526079999999901</v>
      </c>
      <c r="AF6706">
        <v>-5.4489910674614199</v>
      </c>
      <c r="AG6706">
        <v>-1.1198625428140001</v>
      </c>
      <c r="AH6706">
        <v>16.4686139270182</v>
      </c>
      <c r="AI6706">
        <v>93.693763931385803</v>
      </c>
      <c r="AJ6706">
        <v>108.307895501403</v>
      </c>
      <c r="AK6706">
        <v>17.382774244787601</v>
      </c>
      <c r="AL6706">
        <v>78.773501488470103</v>
      </c>
      <c r="AM6706">
        <v>96.528233017087501</v>
      </c>
      <c r="AN6706">
        <v>0.99999995518516305</v>
      </c>
    </row>
    <row r="6707" spans="1:40" x14ac:dyDescent="0.25">
      <c r="A6707" t="str">
        <f>"20190312173055405"</f>
        <v>20190312173055405</v>
      </c>
      <c r="B6707" t="str">
        <f>"1552383055394360"</f>
        <v>1552383055394360</v>
      </c>
      <c r="C6707" t="s">
        <v>40</v>
      </c>
      <c r="D6707">
        <v>2.9662410000000001</v>
      </c>
      <c r="E6707">
        <v>0.41999769999999997</v>
      </c>
      <c r="F6707" t="s">
        <v>41</v>
      </c>
      <c r="G6707">
        <v>-188.51910000000001</v>
      </c>
      <c r="H6707" s="1">
        <v>-4.3568910000000002E-7</v>
      </c>
      <c r="I6707">
        <v>-40.229500000000002</v>
      </c>
      <c r="J6707">
        <v>-198.11680000000001</v>
      </c>
      <c r="K6707">
        <v>1.119842</v>
      </c>
      <c r="L6707">
        <v>-54.904139999999998</v>
      </c>
      <c r="M6707">
        <v>0.78226260000000003</v>
      </c>
      <c r="N6707">
        <v>0</v>
      </c>
      <c r="O6707">
        <v>0.62275550000000002</v>
      </c>
      <c r="P6707">
        <v>0.69794860000000003</v>
      </c>
      <c r="Q6707">
        <v>0.18204619999999999</v>
      </c>
      <c r="R6707">
        <v>0.69262330000000005</v>
      </c>
      <c r="S6707">
        <v>1.7360529999999901</v>
      </c>
      <c r="T6707">
        <v>-0.20017670000000001</v>
      </c>
      <c r="U6707">
        <v>2.64032</v>
      </c>
      <c r="V6707">
        <v>-0.1118601</v>
      </c>
      <c r="W6707">
        <v>0.1945701</v>
      </c>
      <c r="X6707">
        <v>0.97448950000000001</v>
      </c>
      <c r="Y6707">
        <v>-0.31190370000000001</v>
      </c>
      <c r="Z6707">
        <v>-3.1483549999999999E-2</v>
      </c>
      <c r="AA6707">
        <v>0.94959190000000004</v>
      </c>
      <c r="AB6707">
        <v>31</v>
      </c>
      <c r="AC6707">
        <v>9.5976999999999997</v>
      </c>
      <c r="AD6707">
        <v>-1.1198424356890999</v>
      </c>
      <c r="AE6707">
        <v>14.67464</v>
      </c>
      <c r="AF6707">
        <v>-5.4807099358398004</v>
      </c>
      <c r="AG6707">
        <v>-1.1198424356890999</v>
      </c>
      <c r="AH6707">
        <v>16.5810099376958</v>
      </c>
      <c r="AI6707">
        <v>93.669088121947794</v>
      </c>
      <c r="AJ6707">
        <v>108.29085810073801</v>
      </c>
      <c r="AK6707">
        <v>17.4992033828843</v>
      </c>
      <c r="AL6707">
        <v>78.780388819814803</v>
      </c>
      <c r="AM6707">
        <v>96.548231120755602</v>
      </c>
      <c r="AN6707">
        <v>0.99999999569813502</v>
      </c>
    </row>
    <row r="6708" spans="1:40" x14ac:dyDescent="0.25">
      <c r="A6708" t="str">
        <f>"20190312173055415"</f>
        <v>20190312173055415</v>
      </c>
      <c r="B6708" t="str">
        <f>"1552383055404120"</f>
        <v>1552383055404120</v>
      </c>
      <c r="C6708" t="s">
        <v>40</v>
      </c>
      <c r="D6708">
        <v>2.9291900000000002</v>
      </c>
      <c r="E6708">
        <v>0.42046119999999998</v>
      </c>
      <c r="F6708" t="s">
        <v>41</v>
      </c>
      <c r="G6708">
        <v>-188.52780000000001</v>
      </c>
      <c r="H6708" s="1">
        <v>-4.6107580000000001E-7</v>
      </c>
      <c r="I6708">
        <v>-40.148110000000003</v>
      </c>
      <c r="J6708">
        <v>-197.9974</v>
      </c>
      <c r="K6708">
        <v>1.119831</v>
      </c>
      <c r="L6708">
        <v>-54.8018199999999</v>
      </c>
      <c r="M6708">
        <v>0.77853859999999997</v>
      </c>
      <c r="N6708">
        <v>0</v>
      </c>
      <c r="O6708">
        <v>0.62740490000000004</v>
      </c>
      <c r="P6708">
        <v>0.6940674</v>
      </c>
      <c r="Q6708">
        <v>0.1818612</v>
      </c>
      <c r="R6708">
        <v>0.69656079999999998</v>
      </c>
      <c r="S6708">
        <v>1.7216340000000001</v>
      </c>
      <c r="T6708">
        <v>-0.2010584</v>
      </c>
      <c r="U6708">
        <v>2.6493229999999999</v>
      </c>
      <c r="V6708">
        <v>-0.11152620000000001</v>
      </c>
      <c r="W6708">
        <v>0.1943957</v>
      </c>
      <c r="X6708">
        <v>0.97456259999999995</v>
      </c>
      <c r="Y6708">
        <v>-0.31136069999999999</v>
      </c>
      <c r="Z6708">
        <v>-3.1972970000000003E-2</v>
      </c>
      <c r="AA6708">
        <v>0.94975379999999998</v>
      </c>
      <c r="AB6708">
        <v>31</v>
      </c>
      <c r="AC6708">
        <v>9.4695999999999803</v>
      </c>
      <c r="AD6708">
        <v>-1.1198314610758</v>
      </c>
      <c r="AE6708">
        <v>14.653709999999901</v>
      </c>
      <c r="AF6708">
        <v>-5.44543068040569</v>
      </c>
      <c r="AG6708">
        <v>-1.1198314610758</v>
      </c>
      <c r="AH6708">
        <v>16.5002786072716</v>
      </c>
      <c r="AI6708">
        <v>93.6875248728104</v>
      </c>
      <c r="AJ6708">
        <v>108.26395066720499</v>
      </c>
      <c r="AK6708">
        <v>17.411660802861501</v>
      </c>
      <c r="AL6708">
        <v>78.790576005039497</v>
      </c>
      <c r="AM6708">
        <v>96.528368313803</v>
      </c>
      <c r="AN6708">
        <v>1.0000000213918401</v>
      </c>
    </row>
    <row r="6709" spans="1:40" x14ac:dyDescent="0.25">
      <c r="A6709" t="str">
        <f>"20190312173055426"</f>
        <v>20190312173055426</v>
      </c>
      <c r="B6709" t="str">
        <f>"1552383055424615"</f>
        <v>1552383055424615</v>
      </c>
      <c r="C6709" t="s">
        <v>40</v>
      </c>
      <c r="D6709">
        <v>2.9846889999999999</v>
      </c>
      <c r="E6709">
        <v>0.42138759999999997</v>
      </c>
      <c r="F6709" t="s">
        <v>41</v>
      </c>
      <c r="G6709">
        <v>-188.53030000000001</v>
      </c>
      <c r="H6709" s="1">
        <v>-4.7996999999999998E-7</v>
      </c>
      <c r="I6709">
        <v>-40.090649999999997</v>
      </c>
      <c r="J6709">
        <v>-197.89259999999999</v>
      </c>
      <c r="K6709">
        <v>1.1198189999999999</v>
      </c>
      <c r="L6709">
        <v>-54.711519999999901</v>
      </c>
      <c r="M6709">
        <v>0.77524090000000001</v>
      </c>
      <c r="N6709">
        <v>0</v>
      </c>
      <c r="O6709">
        <v>0.63147519999999902</v>
      </c>
      <c r="P6709">
        <v>0.69033140000000004</v>
      </c>
      <c r="Q6709">
        <v>0.18195430000000001</v>
      </c>
      <c r="R6709">
        <v>0.70023939999999996</v>
      </c>
      <c r="S6709">
        <v>1.7094419999999999</v>
      </c>
      <c r="T6709">
        <v>-0.20220389999999999</v>
      </c>
      <c r="U6709">
        <v>2.656342</v>
      </c>
      <c r="V6709">
        <v>-0.1116119</v>
      </c>
      <c r="W6709">
        <v>0.1944874</v>
      </c>
      <c r="X6709">
        <v>0.97453449999999997</v>
      </c>
      <c r="Y6709">
        <v>-0.310616</v>
      </c>
      <c r="Z6709">
        <v>-3.2475549999999999E-2</v>
      </c>
      <c r="AA6709">
        <v>0.94998059999999995</v>
      </c>
      <c r="AB6709">
        <v>31</v>
      </c>
      <c r="AC6709">
        <v>9.3622999999999692</v>
      </c>
      <c r="AD6709">
        <v>-1.1198194799700001</v>
      </c>
      <c r="AE6709">
        <v>14.620869999999901</v>
      </c>
      <c r="AF6709">
        <v>-5.40081985501907</v>
      </c>
      <c r="AG6709">
        <v>-1.1198194799700001</v>
      </c>
      <c r="AH6709">
        <v>16.424409239882898</v>
      </c>
      <c r="AI6709">
        <v>93.705780280982907</v>
      </c>
      <c r="AJ6709">
        <v>108.202357486797</v>
      </c>
      <c r="AK6709">
        <v>17.3258208940656</v>
      </c>
      <c r="AL6709">
        <v>78.785219832200397</v>
      </c>
      <c r="AM6709">
        <v>96.533528302738901</v>
      </c>
      <c r="AN6709">
        <v>1.0000000283353001</v>
      </c>
    </row>
    <row r="6710" spans="1:40" x14ac:dyDescent="0.25">
      <c r="A6710" t="str">
        <f>"20190312173055437"</f>
        <v>20190312173055437</v>
      </c>
      <c r="B6710" t="str">
        <f>"1552383055434375"</f>
        <v>1552383055434375</v>
      </c>
      <c r="C6710" t="s">
        <v>40</v>
      </c>
      <c r="D6710">
        <v>2.9714529999999999</v>
      </c>
      <c r="E6710">
        <v>0.42186570000000001</v>
      </c>
      <c r="F6710" t="s">
        <v>41</v>
      </c>
      <c r="G6710">
        <v>-188.53319999999999</v>
      </c>
      <c r="H6710" s="1">
        <v>-4.8615889999999999E-7</v>
      </c>
      <c r="I6710">
        <v>-40.070149999999998</v>
      </c>
      <c r="J6710">
        <v>-197.78290000000001</v>
      </c>
      <c r="K6710">
        <v>1.119807</v>
      </c>
      <c r="L6710">
        <v>-54.615479999999998</v>
      </c>
      <c r="M6710">
        <v>0.7717406</v>
      </c>
      <c r="N6710">
        <v>0</v>
      </c>
      <c r="O6710">
        <v>0.63574830000000004</v>
      </c>
      <c r="P6710">
        <v>0.6864749</v>
      </c>
      <c r="Q6710">
        <v>0.18177189999999999</v>
      </c>
      <c r="R6710">
        <v>0.70406759999999902</v>
      </c>
      <c r="S6710">
        <v>1.700699</v>
      </c>
      <c r="T6710">
        <v>-0.2034831</v>
      </c>
      <c r="U6710">
        <v>2.6604920000000001</v>
      </c>
      <c r="V6710">
        <v>-0.1116072</v>
      </c>
      <c r="W6710">
        <v>0.1943068</v>
      </c>
      <c r="X6710">
        <v>0.97457099999999997</v>
      </c>
      <c r="Y6710">
        <v>-0.30826500000000001</v>
      </c>
      <c r="Z6710">
        <v>-3.3066650000000003E-2</v>
      </c>
      <c r="AA6710">
        <v>0.95072570000000001</v>
      </c>
      <c r="AB6710">
        <v>31</v>
      </c>
      <c r="AC6710">
        <v>9.2497000000000096</v>
      </c>
      <c r="AD6710">
        <v>-1.1198074861589</v>
      </c>
      <c r="AE6710">
        <v>14.54533</v>
      </c>
      <c r="AF6710">
        <v>-5.3229189525622402</v>
      </c>
      <c r="AG6710">
        <v>-1.1198074861589</v>
      </c>
      <c r="AH6710">
        <v>16.3186383881756</v>
      </c>
      <c r="AI6710">
        <v>93.732600169686506</v>
      </c>
      <c r="AJ6710">
        <v>108.06562516839</v>
      </c>
      <c r="AK6710">
        <v>17.201319537339099</v>
      </c>
      <c r="AL6710">
        <v>78.795767993113103</v>
      </c>
      <c r="AM6710">
        <v>96.533012982594002</v>
      </c>
      <c r="AN6710">
        <v>0.99999996682953896</v>
      </c>
    </row>
    <row r="6711" spans="1:40" x14ac:dyDescent="0.25">
      <c r="A6711" t="str">
        <f>"20190312173055449"</f>
        <v>20190312173055449</v>
      </c>
      <c r="B6711" t="str">
        <f>"1552383055444136"</f>
        <v>1552383055444136</v>
      </c>
      <c r="C6711" t="s">
        <v>40</v>
      </c>
      <c r="D6711">
        <v>2.946482</v>
      </c>
      <c r="E6711">
        <v>0.42186570000000001</v>
      </c>
      <c r="F6711" t="s">
        <v>41</v>
      </c>
      <c r="G6711">
        <v>-188.5796</v>
      </c>
      <c r="H6711" s="1">
        <v>-4.7089660000000002E-7</v>
      </c>
      <c r="I6711">
        <v>-40.078719999999997</v>
      </c>
      <c r="J6711">
        <v>-197.66040000000001</v>
      </c>
      <c r="K6711">
        <v>1.119794</v>
      </c>
      <c r="L6711">
        <v>-54.507289999999998</v>
      </c>
      <c r="M6711">
        <v>0.76779010000000003</v>
      </c>
      <c r="N6711">
        <v>0</v>
      </c>
      <c r="O6711">
        <v>0.64051369999999996</v>
      </c>
      <c r="P6711">
        <v>0.68216319999999997</v>
      </c>
      <c r="Q6711">
        <v>0.1816093</v>
      </c>
      <c r="R6711">
        <v>0.70828780000000002</v>
      </c>
      <c r="S6711">
        <v>1.688766</v>
      </c>
      <c r="T6711">
        <v>-0.2054812</v>
      </c>
      <c r="U6711">
        <v>2.6674500000000001</v>
      </c>
      <c r="V6711">
        <v>-0.1115466</v>
      </c>
      <c r="W6711">
        <v>0.19414729999999999</v>
      </c>
      <c r="X6711">
        <v>0.97460970000000002</v>
      </c>
      <c r="Y6711">
        <v>-0.30654759999999998</v>
      </c>
      <c r="Z6711">
        <v>-3.3792179999999998E-2</v>
      </c>
      <c r="AA6711">
        <v>0.95125530000000003</v>
      </c>
      <c r="AB6711">
        <v>31</v>
      </c>
      <c r="AC6711">
        <v>9.0808</v>
      </c>
      <c r="AD6711">
        <v>-1.1197944708965999</v>
      </c>
      <c r="AE6711">
        <v>14.428570000000001</v>
      </c>
      <c r="AF6711">
        <v>-5.2397632745852798</v>
      </c>
      <c r="AG6711">
        <v>-1.1197944708965999</v>
      </c>
      <c r="AH6711">
        <v>16.146135739107201</v>
      </c>
      <c r="AI6711">
        <v>93.774163710464506</v>
      </c>
      <c r="AJ6711">
        <v>107.97934547879601</v>
      </c>
      <c r="AK6711">
        <v>17.011959268009601</v>
      </c>
      <c r="AL6711">
        <v>78.805083806633505</v>
      </c>
      <c r="AM6711">
        <v>96.529239320600297</v>
      </c>
      <c r="AN6711">
        <v>0.99999994270146797</v>
      </c>
    </row>
    <row r="6712" spans="1:40" x14ac:dyDescent="0.25">
      <c r="A6712" t="str">
        <f>"20190312173055459"</f>
        <v>20190312173055459</v>
      </c>
      <c r="B6712" t="str">
        <f>"1552383055453895"</f>
        <v>1552383055453895</v>
      </c>
      <c r="C6712" t="s">
        <v>40</v>
      </c>
      <c r="D6712">
        <v>3.0697990000000002</v>
      </c>
      <c r="E6712">
        <v>0.43015429999999999</v>
      </c>
      <c r="F6712" t="s">
        <v>41</v>
      </c>
      <c r="G6712">
        <v>-188.56700000000001</v>
      </c>
      <c r="H6712" s="1">
        <v>-5.1965799999999998E-7</v>
      </c>
      <c r="I6712">
        <v>-39.945309999999999</v>
      </c>
      <c r="J6712">
        <v>-197.5488</v>
      </c>
      <c r="K6712">
        <v>1.11978</v>
      </c>
      <c r="L6712">
        <v>-54.407559999999997</v>
      </c>
      <c r="M6712">
        <v>0.76414169999999904</v>
      </c>
      <c r="N6712">
        <v>0</v>
      </c>
      <c r="O6712">
        <v>0.64486189999999999</v>
      </c>
      <c r="P6712">
        <v>0.67803819999999904</v>
      </c>
      <c r="Q6712">
        <v>0.18156430000000001</v>
      </c>
      <c r="R6712">
        <v>0.71224889999999996</v>
      </c>
      <c r="S6712">
        <v>1.6722109999999999</v>
      </c>
      <c r="T6712">
        <v>-0.20592079999999999</v>
      </c>
      <c r="U6712">
        <v>2.677826</v>
      </c>
      <c r="V6712">
        <v>-0.1116764</v>
      </c>
      <c r="W6712">
        <v>0.19410050000000001</v>
      </c>
      <c r="X6712">
        <v>0.97460420000000003</v>
      </c>
      <c r="Y6712">
        <v>-0.30703799999999998</v>
      </c>
      <c r="Z6712">
        <v>-3.4171739999999999E-2</v>
      </c>
      <c r="AA6712">
        <v>0.95108360000000003</v>
      </c>
      <c r="AB6712">
        <v>31</v>
      </c>
      <c r="AC6712">
        <v>8.9817999999999891</v>
      </c>
      <c r="AD6712">
        <v>-1.119780519658</v>
      </c>
      <c r="AE6712">
        <v>14.4622499999999</v>
      </c>
      <c r="AF6712">
        <v>-5.2371625735549596</v>
      </c>
      <c r="AG6712">
        <v>-1.119780519658</v>
      </c>
      <c r="AH6712">
        <v>16.121721337555499</v>
      </c>
      <c r="AI6712">
        <v>93.779450276994794</v>
      </c>
      <c r="AJ6712">
        <v>107.996456737504</v>
      </c>
      <c r="AK6712">
        <v>16.987986317390298</v>
      </c>
      <c r="AL6712">
        <v>78.807817721751803</v>
      </c>
      <c r="AM6712">
        <v>96.536807850362393</v>
      </c>
      <c r="AN6712">
        <v>0.999999984537424</v>
      </c>
    </row>
    <row r="6713" spans="1:40" x14ac:dyDescent="0.25">
      <c r="A6713" t="str">
        <f>"20190312173055472"</f>
        <v>20190312173055472</v>
      </c>
      <c r="B6713" t="str">
        <f>"1552383055463655"</f>
        <v>1552383055463655</v>
      </c>
      <c r="C6713" t="s">
        <v>40</v>
      </c>
      <c r="D6713">
        <v>3.007946</v>
      </c>
      <c r="E6713">
        <v>0.43101</v>
      </c>
      <c r="F6713" t="s">
        <v>54</v>
      </c>
      <c r="G6713">
        <v>-189.05250000000001</v>
      </c>
      <c r="H6713" s="1">
        <v>-7.33616099999999E-6</v>
      </c>
      <c r="I6713">
        <v>-41.237250000000003</v>
      </c>
      <c r="J6713">
        <v>-197.42859999999999</v>
      </c>
      <c r="K6713">
        <v>1.119758</v>
      </c>
      <c r="L6713">
        <v>-54.298520000000003</v>
      </c>
      <c r="M6713">
        <v>0.76016130000000004</v>
      </c>
      <c r="N6713">
        <v>0</v>
      </c>
      <c r="O6713">
        <v>0.64954940000000005</v>
      </c>
      <c r="P6713">
        <v>0.67383990000000005</v>
      </c>
      <c r="Q6713">
        <v>0.1814086</v>
      </c>
      <c r="R6713">
        <v>0.71626160000000005</v>
      </c>
      <c r="S6713">
        <v>1.7063140000000001</v>
      </c>
      <c r="T6713">
        <v>-0.22488920000000001</v>
      </c>
      <c r="U6713">
        <v>2.6450200000000001</v>
      </c>
      <c r="V6713">
        <v>-0.11143110000000001</v>
      </c>
      <c r="W6713">
        <v>0.19395219999999999</v>
      </c>
      <c r="X6713">
        <v>0.97466180000000002</v>
      </c>
      <c r="Y6713">
        <v>-0.28724939999999999</v>
      </c>
      <c r="Z6713">
        <v>-3.8373150000000002E-2</v>
      </c>
      <c r="AA6713">
        <v>0.95708689999999996</v>
      </c>
      <c r="AB6713">
        <v>31</v>
      </c>
      <c r="AC6713">
        <v>8.3760999999999797</v>
      </c>
      <c r="AD6713">
        <v>-1.119765336161</v>
      </c>
      <c r="AE6713">
        <v>13.061269999999899</v>
      </c>
      <c r="AF6713">
        <v>-4.4652653129930799</v>
      </c>
      <c r="AG6713">
        <v>-1.119765336161</v>
      </c>
      <c r="AH6713">
        <v>14.775958099120899</v>
      </c>
      <c r="AI6713">
        <v>94.149130840564197</v>
      </c>
      <c r="AJ6713">
        <v>106.81471311590801</v>
      </c>
      <c r="AK6713">
        <v>15.4764791367567</v>
      </c>
      <c r="AL6713">
        <v>78.816479294648005</v>
      </c>
      <c r="AM6713">
        <v>96.522191307952795</v>
      </c>
      <c r="AN6713">
        <v>0.99999998515564403</v>
      </c>
    </row>
    <row r="6714" spans="1:40" x14ac:dyDescent="0.25">
      <c r="A6714" t="str">
        <f>"20190312173055485"</f>
        <v>20190312173055485</v>
      </c>
      <c r="B6714" t="str">
        <f>"1552383055474392"</f>
        <v>1552383055474392</v>
      </c>
      <c r="C6714" t="s">
        <v>40</v>
      </c>
      <c r="D6714">
        <v>3.076416</v>
      </c>
      <c r="E6714">
        <v>0.43175210000000003</v>
      </c>
      <c r="F6714" t="s">
        <v>54</v>
      </c>
      <c r="G6714">
        <v>-188.97810000000001</v>
      </c>
      <c r="H6714" s="1">
        <v>-7.3774540000000001E-6</v>
      </c>
      <c r="I6714">
        <v>-41.088909999999998</v>
      </c>
      <c r="J6714">
        <v>-197.3014</v>
      </c>
      <c r="K6714">
        <v>1.1197440000000001</v>
      </c>
      <c r="L6714">
        <v>-54.182220000000001</v>
      </c>
      <c r="M6714">
        <v>0.75590029999999997</v>
      </c>
      <c r="N6714">
        <v>0</v>
      </c>
      <c r="O6714">
        <v>0.65450319999999995</v>
      </c>
      <c r="P6714">
        <v>0.66905890000000001</v>
      </c>
      <c r="Q6714">
        <v>0.1813844</v>
      </c>
      <c r="R6714">
        <v>0.72073569999999998</v>
      </c>
      <c r="S6714">
        <v>1.69543499999999</v>
      </c>
      <c r="T6714">
        <v>-0.22466050000000001</v>
      </c>
      <c r="U6714">
        <v>2.6502690000000002</v>
      </c>
      <c r="V6714">
        <v>-0.1115442</v>
      </c>
      <c r="W6714">
        <v>0.19392699999999999</v>
      </c>
      <c r="X6714">
        <v>0.97465389999999996</v>
      </c>
      <c r="Y6714">
        <v>-0.28464590000000001</v>
      </c>
      <c r="Z6714">
        <v>-3.8824160000000003E-2</v>
      </c>
      <c r="AA6714">
        <v>0.95784619999999998</v>
      </c>
      <c r="AB6714">
        <v>31</v>
      </c>
      <c r="AC6714">
        <v>8.3232999999999802</v>
      </c>
      <c r="AD6714">
        <v>-1.119751377454</v>
      </c>
      <c r="AE6714">
        <v>13.093309999999899</v>
      </c>
      <c r="AF6714">
        <v>-4.4270849791451896</v>
      </c>
      <c r="AG6714">
        <v>-1.119751377454</v>
      </c>
      <c r="AH6714">
        <v>14.785965647808</v>
      </c>
      <c r="AI6714">
        <v>94.149458252159206</v>
      </c>
      <c r="AJ6714">
        <v>106.668293472342</v>
      </c>
      <c r="AK6714">
        <v>15.4750671952674</v>
      </c>
      <c r="AL6714">
        <v>78.817951343844499</v>
      </c>
      <c r="AM6714">
        <v>96.528806518122494</v>
      </c>
      <c r="AN6714">
        <v>1.0000000073339199</v>
      </c>
    </row>
    <row r="6715" spans="1:40" x14ac:dyDescent="0.25">
      <c r="A6715" t="str">
        <f>"20190312173055496"</f>
        <v>20190312173055496</v>
      </c>
      <c r="B6715" t="str">
        <f>"1552383055484151"</f>
        <v>1552383055484151</v>
      </c>
      <c r="C6715" t="s">
        <v>40</v>
      </c>
      <c r="D6715">
        <v>2.9724339999999998</v>
      </c>
      <c r="E6715">
        <v>0.43215189999999998</v>
      </c>
      <c r="F6715" t="s">
        <v>54</v>
      </c>
      <c r="G6715">
        <v>-188.9316</v>
      </c>
      <c r="H6715" s="1">
        <v>-7.4166100000000001E-6</v>
      </c>
      <c r="I6715">
        <v>-40.956299999999999</v>
      </c>
      <c r="J6715">
        <v>-197.18090000000001</v>
      </c>
      <c r="K6715">
        <v>1.119729</v>
      </c>
      <c r="L6715">
        <v>-54.070039999999999</v>
      </c>
      <c r="M6715">
        <v>0.75180009999999997</v>
      </c>
      <c r="N6715">
        <v>0</v>
      </c>
      <c r="O6715">
        <v>0.65920900000000004</v>
      </c>
      <c r="P6715">
        <v>0.66475229999999996</v>
      </c>
      <c r="Q6715">
        <v>0.1811383</v>
      </c>
      <c r="R6715">
        <v>0.72477119999999995</v>
      </c>
      <c r="S6715">
        <v>1.6819</v>
      </c>
      <c r="T6715">
        <v>-0.22501370000000001</v>
      </c>
      <c r="U6715">
        <v>2.6577449999999998</v>
      </c>
      <c r="V6715">
        <v>-0.11130130000000001</v>
      </c>
      <c r="W6715">
        <v>0.19368840000000001</v>
      </c>
      <c r="X6715">
        <v>0.97472910000000001</v>
      </c>
      <c r="Y6715">
        <v>-0.28337190000000001</v>
      </c>
      <c r="Z6715">
        <v>-3.9311459999999999E-2</v>
      </c>
      <c r="AA6715">
        <v>0.95820399999999994</v>
      </c>
      <c r="AB6715">
        <v>31</v>
      </c>
      <c r="AC6715">
        <v>8.2492999999999999</v>
      </c>
      <c r="AD6715">
        <v>-1.1197364166099999</v>
      </c>
      <c r="AE6715">
        <v>13.11374</v>
      </c>
      <c r="AF6715">
        <v>-4.3984526689340502</v>
      </c>
      <c r="AG6715">
        <v>-1.1197364166099999</v>
      </c>
      <c r="AH6715">
        <v>14.7711419632675</v>
      </c>
      <c r="AI6715">
        <v>94.1554115775306</v>
      </c>
      <c r="AJ6715">
        <v>106.582129777389</v>
      </c>
      <c r="AK6715">
        <v>15.452728898888299</v>
      </c>
      <c r="AL6715">
        <v>78.831886214015597</v>
      </c>
      <c r="AM6715">
        <v>96.514213374971803</v>
      </c>
      <c r="AN6715">
        <v>0.99999999703152997</v>
      </c>
    </row>
    <row r="6716" spans="1:40" x14ac:dyDescent="0.25">
      <c r="A6716" t="str">
        <f>"20190312173055508"</f>
        <v>20190312173055508</v>
      </c>
      <c r="B6716" t="str">
        <f>"1552383055504648"</f>
        <v>1552383055504648</v>
      </c>
      <c r="C6716" t="s">
        <v>40</v>
      </c>
      <c r="D6716">
        <v>2.9792640000000001</v>
      </c>
      <c r="E6716">
        <v>0.43296459999999998</v>
      </c>
      <c r="F6716" t="s">
        <v>54</v>
      </c>
      <c r="G6716">
        <v>-188.92179999999999</v>
      </c>
      <c r="H6716" s="1">
        <v>-7.4442999999999899E-6</v>
      </c>
      <c r="I6716">
        <v>-40.870269999999998</v>
      </c>
      <c r="J6716">
        <v>-197.06890000000001</v>
      </c>
      <c r="K6716">
        <v>1.11972</v>
      </c>
      <c r="L6716">
        <v>-53.964750000000002</v>
      </c>
      <c r="M6716">
        <v>0.74794229999999995</v>
      </c>
      <c r="N6716">
        <v>0</v>
      </c>
      <c r="O6716">
        <v>0.66358289999999998</v>
      </c>
      <c r="P6716">
        <v>0.66060269999999899</v>
      </c>
      <c r="Q6716">
        <v>0.1810467</v>
      </c>
      <c r="R6716">
        <v>0.72857819999999995</v>
      </c>
      <c r="S6716">
        <v>1.668045</v>
      </c>
      <c r="T6716">
        <v>-0.22614509999999999</v>
      </c>
      <c r="U6716">
        <v>2.6658629999999999</v>
      </c>
      <c r="V6716">
        <v>-0.11119080000000001</v>
      </c>
      <c r="W6716">
        <v>0.19360140000000001</v>
      </c>
      <c r="X6716">
        <v>0.97475900000000004</v>
      </c>
      <c r="Y6716">
        <v>-0.28268149999999997</v>
      </c>
      <c r="Z6716">
        <v>-3.9888189999999997E-2</v>
      </c>
      <c r="AA6716">
        <v>0.95838409999999996</v>
      </c>
      <c r="AB6716">
        <v>31</v>
      </c>
      <c r="AC6716">
        <v>8.1471000000000195</v>
      </c>
      <c r="AD6716">
        <v>-1.1197274443</v>
      </c>
      <c r="AE6716">
        <v>13.094480000000001</v>
      </c>
      <c r="AF6716">
        <v>-4.3651548219658904</v>
      </c>
      <c r="AG6716">
        <v>-1.1197274443</v>
      </c>
      <c r="AH6716">
        <v>14.707079212425599</v>
      </c>
      <c r="AI6716">
        <v>94.174513631140499</v>
      </c>
      <c r="AJ6716">
        <v>106.531224173197</v>
      </c>
      <c r="AK6716">
        <v>15.382020190138</v>
      </c>
      <c r="AL6716">
        <v>78.836967176955397</v>
      </c>
      <c r="AM6716">
        <v>96.507603657392494</v>
      </c>
      <c r="AN6716">
        <v>1.0000000020838</v>
      </c>
    </row>
    <row r="6717" spans="1:40" x14ac:dyDescent="0.25">
      <c r="A6717" t="str">
        <f>"20190312173055519"</f>
        <v>20190312173055519</v>
      </c>
      <c r="B6717" t="str">
        <f>"1552383055514407"</f>
        <v>1552383055514407</v>
      </c>
      <c r="C6717" t="s">
        <v>40</v>
      </c>
      <c r="D6717">
        <v>3.0016250000000002</v>
      </c>
      <c r="E6717">
        <v>0.43344579999999999</v>
      </c>
      <c r="F6717" t="s">
        <v>54</v>
      </c>
      <c r="G6717">
        <v>-188.91329999999999</v>
      </c>
      <c r="H6717" s="1">
        <v>-7.4585800000000003E-6</v>
      </c>
      <c r="I6717">
        <v>-40.824759999999998</v>
      </c>
      <c r="J6717">
        <v>-196.95060000000001</v>
      </c>
      <c r="K6717">
        <v>1.1197079999999999</v>
      </c>
      <c r="L6717">
        <v>-53.852260000000001</v>
      </c>
      <c r="M6717">
        <v>0.74381919999999901</v>
      </c>
      <c r="N6717">
        <v>0</v>
      </c>
      <c r="O6717">
        <v>0.66820119999999905</v>
      </c>
      <c r="P6717">
        <v>0.65614749999999999</v>
      </c>
      <c r="Q6717">
        <v>0.18071419999999999</v>
      </c>
      <c r="R6717">
        <v>0.73267510000000002</v>
      </c>
      <c r="S6717">
        <v>1.6578219999999999</v>
      </c>
      <c r="T6717">
        <v>-0.2276118</v>
      </c>
      <c r="U6717">
        <v>2.6710210000000001</v>
      </c>
      <c r="V6717">
        <v>-0.1111461</v>
      </c>
      <c r="W6717">
        <v>0.1932721</v>
      </c>
      <c r="X6717">
        <v>0.97482939999999996</v>
      </c>
      <c r="Y6717">
        <v>-0.28023579999999998</v>
      </c>
      <c r="Z6717">
        <v>-4.0605330000000002E-2</v>
      </c>
      <c r="AA6717">
        <v>0.95907200000000004</v>
      </c>
      <c r="AB6717">
        <v>31</v>
      </c>
      <c r="AC6717">
        <v>8.0373000000000108</v>
      </c>
      <c r="AD6717">
        <v>-1.11971545858</v>
      </c>
      <c r="AE6717">
        <v>13.0275</v>
      </c>
      <c r="AF6717">
        <v>-4.2970970708814704</v>
      </c>
      <c r="AG6717">
        <v>-1.11971545858</v>
      </c>
      <c r="AH6717">
        <v>14.606894334065</v>
      </c>
      <c r="AI6717">
        <v>94.205985469810201</v>
      </c>
      <c r="AJ6717">
        <v>106.392976036462</v>
      </c>
      <c r="AK6717">
        <v>15.2669632878088</v>
      </c>
      <c r="AL6717">
        <v>78.856197413588504</v>
      </c>
      <c r="AM6717">
        <v>96.504544201306302</v>
      </c>
      <c r="AN6717">
        <v>0.99999995964398902</v>
      </c>
    </row>
    <row r="6718" spans="1:40" x14ac:dyDescent="0.25">
      <c r="A6718" t="str">
        <f>"20190312173055538"</f>
        <v>20190312173055538</v>
      </c>
      <c r="B6718" t="str">
        <f>"1552383055533928"</f>
        <v>1552383055533928</v>
      </c>
      <c r="C6718" t="s">
        <v>40</v>
      </c>
      <c r="D6718">
        <v>3.0352760000000001</v>
      </c>
      <c r="E6718">
        <v>0.43869520000000001</v>
      </c>
      <c r="F6718" t="s">
        <v>54</v>
      </c>
      <c r="G6718">
        <v>-188.93129999999999</v>
      </c>
      <c r="H6718" s="1">
        <v>-7.474117E-6</v>
      </c>
      <c r="I6718">
        <v>-40.784399999999998</v>
      </c>
      <c r="J6718">
        <v>-196.7698</v>
      </c>
      <c r="K6718">
        <v>1.1196889999999999</v>
      </c>
      <c r="L6718">
        <v>-53.677309999999999</v>
      </c>
      <c r="M6718">
        <v>0.73740319999999904</v>
      </c>
      <c r="N6718">
        <v>0</v>
      </c>
      <c r="O6718">
        <v>0.67527510000000002</v>
      </c>
      <c r="P6718">
        <v>0.64931219999999901</v>
      </c>
      <c r="Q6718">
        <v>0.18086060000000001</v>
      </c>
      <c r="R6718">
        <v>0.73870369999999996</v>
      </c>
      <c r="S6718">
        <v>1.64396699999999</v>
      </c>
      <c r="T6718">
        <v>-0.22954260000000001</v>
      </c>
      <c r="U6718">
        <v>2.678925</v>
      </c>
      <c r="V6718">
        <v>-0.1108586</v>
      </c>
      <c r="W6718">
        <v>0.19342690000000001</v>
      </c>
      <c r="X6718">
        <v>0.97483149999999996</v>
      </c>
      <c r="Y6718">
        <v>-0.27595520000000001</v>
      </c>
      <c r="Z6718">
        <v>-4.1659710000000003E-2</v>
      </c>
      <c r="AA6718">
        <v>0.96026719999999999</v>
      </c>
      <c r="AB6718">
        <v>31</v>
      </c>
      <c r="AC6718">
        <v>7.8385000000000096</v>
      </c>
      <c r="AD6718">
        <v>-1.1196964741169999</v>
      </c>
      <c r="AE6718">
        <v>12.892910000000001</v>
      </c>
      <c r="AF6718">
        <v>-4.1915532460559</v>
      </c>
      <c r="AG6718">
        <v>-1.1196964741169999</v>
      </c>
      <c r="AH6718">
        <v>14.4087894112788</v>
      </c>
      <c r="AI6718">
        <v>94.267285856991094</v>
      </c>
      <c r="AJ6718">
        <v>106.219846937461</v>
      </c>
      <c r="AK6718">
        <v>15.0477922336551</v>
      </c>
      <c r="AL6718">
        <v>78.847158170036394</v>
      </c>
      <c r="AM6718">
        <v>96.487848772082003</v>
      </c>
      <c r="AN6718">
        <v>1.0000000241149001</v>
      </c>
    </row>
    <row r="6719" spans="1:40" x14ac:dyDescent="0.25">
      <c r="A6719" t="str">
        <f>"20190312173055551"</f>
        <v>20190312173055551</v>
      </c>
      <c r="B6719" t="str">
        <f>"1552383055544664"</f>
        <v>1552383055544664</v>
      </c>
      <c r="C6719" t="s">
        <v>40</v>
      </c>
      <c r="D6719">
        <v>3.0163720000000001</v>
      </c>
      <c r="E6719">
        <v>0.43941180000000002</v>
      </c>
      <c r="F6719" t="s">
        <v>54</v>
      </c>
      <c r="G6719">
        <v>-188.75</v>
      </c>
      <c r="H6719" s="1">
        <v>-7.474517E-6</v>
      </c>
      <c r="I6719">
        <v>-40.722290000000001</v>
      </c>
      <c r="J6719">
        <v>-196.6541</v>
      </c>
      <c r="K6719">
        <v>1.1196759999999999</v>
      </c>
      <c r="L6719">
        <v>-53.563630000000003</v>
      </c>
      <c r="M6719">
        <v>0.73323249999999995</v>
      </c>
      <c r="N6719">
        <v>0</v>
      </c>
      <c r="O6719">
        <v>0.67980160000000001</v>
      </c>
      <c r="P6719">
        <v>0.64476480000000003</v>
      </c>
      <c r="Q6719">
        <v>0.18104990000000001</v>
      </c>
      <c r="R6719">
        <v>0.74263000000000001</v>
      </c>
      <c r="S6719">
        <v>1.6507419999999999</v>
      </c>
      <c r="T6719">
        <v>-0.2304727</v>
      </c>
      <c r="U6719">
        <v>2.666595</v>
      </c>
      <c r="V6719">
        <v>-0.1108065</v>
      </c>
      <c r="W6719">
        <v>0.19361729999999999</v>
      </c>
      <c r="X6719">
        <v>0.97479959999999999</v>
      </c>
      <c r="Y6719">
        <v>-0.2663102</v>
      </c>
      <c r="Z6719">
        <v>-4.2569370000000002E-2</v>
      </c>
      <c r="AA6719">
        <v>0.96294690000000005</v>
      </c>
      <c r="AB6719">
        <v>31</v>
      </c>
      <c r="AC6719">
        <v>7.9040999999999997</v>
      </c>
      <c r="AD6719">
        <v>-1.1196834745169999</v>
      </c>
      <c r="AE6719">
        <v>12.841340000000001</v>
      </c>
      <c r="AF6719">
        <v>-4.0207833061418201</v>
      </c>
      <c r="AG6719">
        <v>-1.1196834745169999</v>
      </c>
      <c r="AH6719">
        <v>14.4471905747256</v>
      </c>
      <c r="AI6719">
        <v>94.270017586875895</v>
      </c>
      <c r="AJ6719">
        <v>105.552364161303</v>
      </c>
      <c r="AK6719">
        <v>15.0380086773646</v>
      </c>
      <c r="AL6719">
        <v>78.836038577656694</v>
      </c>
      <c r="AM6719">
        <v>96.485036075177405</v>
      </c>
      <c r="AN6719">
        <v>0.99999999973084996</v>
      </c>
    </row>
    <row r="6720" spans="1:40" x14ac:dyDescent="0.25">
      <c r="A6720" t="str">
        <f>"20190312173055561"</f>
        <v>20190312173055561</v>
      </c>
      <c r="B6720" t="str">
        <f>"1552383055554423"</f>
        <v>1552383055554423</v>
      </c>
      <c r="C6720" t="s">
        <v>40</v>
      </c>
      <c r="D6720">
        <v>3.0123120000000001</v>
      </c>
      <c r="E6720">
        <v>0.4395</v>
      </c>
      <c r="F6720" t="s">
        <v>54</v>
      </c>
      <c r="G6720">
        <v>-188.7764</v>
      </c>
      <c r="H6720" s="1">
        <v>-7.480094E-6</v>
      </c>
      <c r="I6720">
        <v>-40.714489999999998</v>
      </c>
      <c r="J6720">
        <v>-196.54990000000001</v>
      </c>
      <c r="K6720">
        <v>1.119664</v>
      </c>
      <c r="L6720">
        <v>-53.460239999999999</v>
      </c>
      <c r="M6720">
        <v>0.72943169999999902</v>
      </c>
      <c r="N6720">
        <v>0</v>
      </c>
      <c r="O6720">
        <v>0.6838784</v>
      </c>
      <c r="P6720">
        <v>0.64065139999999998</v>
      </c>
      <c r="Q6720">
        <v>0.18124499999999999</v>
      </c>
      <c r="R6720">
        <v>0.74613399999999996</v>
      </c>
      <c r="S6720">
        <v>1.6390690000000001</v>
      </c>
      <c r="T6720">
        <v>-0.23296459999999999</v>
      </c>
      <c r="U6720">
        <v>2.6734309999999999</v>
      </c>
      <c r="V6720">
        <v>-0.1107235</v>
      </c>
      <c r="W6720">
        <v>0.19381519999999999</v>
      </c>
      <c r="X6720">
        <v>0.97476969999999996</v>
      </c>
      <c r="Y6720">
        <v>-0.26511190000000001</v>
      </c>
      <c r="Z6720">
        <v>-4.3406239999999999E-2</v>
      </c>
      <c r="AA6720">
        <v>0.96324010000000004</v>
      </c>
      <c r="AB6720">
        <v>31</v>
      </c>
      <c r="AC6720">
        <v>7.7735000000000101</v>
      </c>
      <c r="AD6720">
        <v>-1.119671480094</v>
      </c>
      <c r="AE6720">
        <v>12.7457499999999</v>
      </c>
      <c r="AF6720">
        <v>-3.9592327133345102</v>
      </c>
      <c r="AG6720">
        <v>-1.119671480094</v>
      </c>
      <c r="AH6720">
        <v>14.3080253872652</v>
      </c>
      <c r="AI6720">
        <v>94.313112938883407</v>
      </c>
      <c r="AJ6720">
        <v>105.46751816289</v>
      </c>
      <c r="AK6720">
        <v>14.887873534669</v>
      </c>
      <c r="AL6720">
        <v>78.824480775822394</v>
      </c>
      <c r="AM6720">
        <v>96.480416853796797</v>
      </c>
      <c r="AN6720">
        <v>0.99999999662068995</v>
      </c>
    </row>
    <row r="6721" spans="1:40" x14ac:dyDescent="0.25">
      <c r="A6721" t="str">
        <f>"20190312173055572"</f>
        <v>20190312173055572</v>
      </c>
      <c r="B6721" t="str">
        <f>"1552383055564184"</f>
        <v>1552383055564184</v>
      </c>
      <c r="C6721" t="s">
        <v>40</v>
      </c>
      <c r="D6721">
        <v>3.003825</v>
      </c>
      <c r="E6721">
        <v>0.4398743</v>
      </c>
      <c r="F6721" t="s">
        <v>41</v>
      </c>
      <c r="G6721">
        <v>-188.56979999999999</v>
      </c>
      <c r="H6721" s="1">
        <v>-4.0055449999999999E-7</v>
      </c>
      <c r="I6721">
        <v>-40.293080000000003</v>
      </c>
      <c r="J6721">
        <v>-196.44110000000001</v>
      </c>
      <c r="K6721">
        <v>1.1196549999999901</v>
      </c>
      <c r="L6721">
        <v>-53.350560000000002</v>
      </c>
      <c r="M6721">
        <v>0.72540789999999999</v>
      </c>
      <c r="N6721">
        <v>0</v>
      </c>
      <c r="O6721">
        <v>0.68814509999999995</v>
      </c>
      <c r="P6721">
        <v>0.63645209999999997</v>
      </c>
      <c r="Q6721">
        <v>0.18098819999999999</v>
      </c>
      <c r="R6721">
        <v>0.74978129999999998</v>
      </c>
      <c r="S6721">
        <v>1.624817</v>
      </c>
      <c r="T6721">
        <v>-0.22797519999999999</v>
      </c>
      <c r="U6721">
        <v>2.6809690000000002</v>
      </c>
      <c r="V6721">
        <v>-0.1105111</v>
      </c>
      <c r="W6721">
        <v>0.1935654</v>
      </c>
      <c r="X6721">
        <v>0.97484340000000003</v>
      </c>
      <c r="Y6721">
        <v>-0.26437959999999999</v>
      </c>
      <c r="Z6721">
        <v>-4.2862709999999998E-2</v>
      </c>
      <c r="AA6721">
        <v>0.96346580000000004</v>
      </c>
      <c r="AB6721">
        <v>31</v>
      </c>
      <c r="AC6721">
        <v>7.8713000000000104</v>
      </c>
      <c r="AD6721">
        <v>-1.1196554005545001</v>
      </c>
      <c r="AE6721">
        <v>13.0574799999999</v>
      </c>
      <c r="AF6721">
        <v>-4.0341327116415702</v>
      </c>
      <c r="AG6721">
        <v>-1.1196554005545001</v>
      </c>
      <c r="AH6721">
        <v>14.6182694604557</v>
      </c>
      <c r="AI6721">
        <v>94.222658690351807</v>
      </c>
      <c r="AJ6721">
        <v>105.427648837516</v>
      </c>
      <c r="AK6721">
        <v>15.205974384090601</v>
      </c>
      <c r="AL6721">
        <v>78.839069129302899</v>
      </c>
      <c r="AM6721">
        <v>96.467606113756105</v>
      </c>
      <c r="AN6721">
        <v>0.99999996091196397</v>
      </c>
    </row>
    <row r="6722" spans="1:40" x14ac:dyDescent="0.25">
      <c r="A6722" t="str">
        <f>"20190312173055584"</f>
        <v>20190312173055584</v>
      </c>
      <c r="B6722" t="str">
        <f>"1552383055573944"</f>
        <v>1552383055573944</v>
      </c>
      <c r="C6722" t="s">
        <v>40</v>
      </c>
      <c r="D6722">
        <v>2.9933640000000001</v>
      </c>
      <c r="E6722">
        <v>0.44052459999999999</v>
      </c>
      <c r="F6722" t="s">
        <v>41</v>
      </c>
      <c r="G6722">
        <v>-188.55459999999999</v>
      </c>
      <c r="H6722" s="1">
        <v>-4.3668550000000001E-7</v>
      </c>
      <c r="I6722">
        <v>-40.198860000000003</v>
      </c>
      <c r="J6722">
        <v>-196.33349999999999</v>
      </c>
      <c r="K6722">
        <v>1.1196429999999999</v>
      </c>
      <c r="L6722">
        <v>-53.241489999999999</v>
      </c>
      <c r="M6722">
        <v>0.72138990000000003</v>
      </c>
      <c r="N6722">
        <v>0</v>
      </c>
      <c r="O6722">
        <v>0.69235619999999998</v>
      </c>
      <c r="P6722">
        <v>0.63212999999999997</v>
      </c>
      <c r="Q6722">
        <v>0.18104819999999999</v>
      </c>
      <c r="R6722">
        <v>0.75341449999999999</v>
      </c>
      <c r="S6722">
        <v>1.6119540000000001</v>
      </c>
      <c r="T6722">
        <v>-0.22884930000000001</v>
      </c>
      <c r="U6722">
        <v>2.68811</v>
      </c>
      <c r="V6722">
        <v>-0.110427</v>
      </c>
      <c r="W6722">
        <v>0.1936281</v>
      </c>
      <c r="X6722">
        <v>0.9748405</v>
      </c>
      <c r="Y6722">
        <v>-0.26329740000000001</v>
      </c>
      <c r="Z6722">
        <v>-4.3409530000000002E-2</v>
      </c>
      <c r="AA6722">
        <v>0.96373750000000002</v>
      </c>
      <c r="AB6722">
        <v>31</v>
      </c>
      <c r="AC6722">
        <v>7.7788999999999904</v>
      </c>
      <c r="AD6722">
        <v>-1.1196434366854999</v>
      </c>
      <c r="AE6722">
        <v>13.042630000000001</v>
      </c>
      <c r="AF6722">
        <v>-4.0017810697055198</v>
      </c>
      <c r="AG6722">
        <v>-1.1196434366854999</v>
      </c>
      <c r="AH6722">
        <v>14.564351121392001</v>
      </c>
      <c r="AI6722">
        <v>94.239486138822699</v>
      </c>
      <c r="AJ6722">
        <v>105.363758745127</v>
      </c>
      <c r="AK6722">
        <v>15.1455662404005</v>
      </c>
      <c r="AL6722">
        <v>78.835407646153001</v>
      </c>
      <c r="AM6722">
        <v>96.462744923699901</v>
      </c>
      <c r="AN6722">
        <v>0.99999998193942896</v>
      </c>
    </row>
    <row r="6723" spans="1:40" x14ac:dyDescent="0.25">
      <c r="A6723" t="str">
        <f>"20190312173055594"</f>
        <v>20190312173055594</v>
      </c>
      <c r="B6723" t="str">
        <f>"1552383055583704"</f>
        <v>1552383055583704</v>
      </c>
      <c r="C6723" t="s">
        <v>40</v>
      </c>
      <c r="D6723">
        <v>3.005744</v>
      </c>
      <c r="E6723">
        <v>0.44093579999999999</v>
      </c>
      <c r="F6723" t="s">
        <v>41</v>
      </c>
      <c r="G6723">
        <v>-188.5453</v>
      </c>
      <c r="H6723" s="1">
        <v>-4.6268299999999999E-7</v>
      </c>
      <c r="I6723">
        <v>-40.129649999999998</v>
      </c>
      <c r="J6723">
        <v>-196.23230000000001</v>
      </c>
      <c r="K6723">
        <v>1.119632</v>
      </c>
      <c r="L6723">
        <v>-53.136899999999997</v>
      </c>
      <c r="M6723">
        <v>0.71755150000000001</v>
      </c>
      <c r="N6723">
        <v>0</v>
      </c>
      <c r="O6723">
        <v>0.69633350000000005</v>
      </c>
      <c r="P6723">
        <v>0.62797550000000002</v>
      </c>
      <c r="Q6723">
        <v>0.1813292</v>
      </c>
      <c r="R6723">
        <v>0.75681350000000003</v>
      </c>
      <c r="S6723">
        <v>1.600403</v>
      </c>
      <c r="T6723">
        <v>-0.23007949999999999</v>
      </c>
      <c r="U6723">
        <v>2.6943969999999999</v>
      </c>
      <c r="V6723">
        <v>-0.1103538</v>
      </c>
      <c r="W6723">
        <v>0.19391059999999999</v>
      </c>
      <c r="X6723">
        <v>0.97479269999999996</v>
      </c>
      <c r="Y6723">
        <v>-0.26201980000000002</v>
      </c>
      <c r="Z6723">
        <v>-4.4013400000000001E-2</v>
      </c>
      <c r="AA6723">
        <v>0.96405830000000003</v>
      </c>
      <c r="AB6723">
        <v>31</v>
      </c>
      <c r="AC6723">
        <v>7.68700000000001</v>
      </c>
      <c r="AD6723">
        <v>-1.1196324626830001</v>
      </c>
      <c r="AE6723">
        <v>13.007250000000001</v>
      </c>
      <c r="AF6723">
        <v>-3.9593901693021198</v>
      </c>
      <c r="AG6723">
        <v>-1.1196324626830001</v>
      </c>
      <c r="AH6723">
        <v>14.4953474942001</v>
      </c>
      <c r="AI6723">
        <v>94.261300587565998</v>
      </c>
      <c r="AJ6723">
        <v>105.277608477546</v>
      </c>
      <c r="AK6723">
        <v>15.0680272876668</v>
      </c>
      <c r="AL6723">
        <v>78.818909602839099</v>
      </c>
      <c r="AM6723">
        <v>96.458811122841496</v>
      </c>
      <c r="AN6723">
        <v>1.0000000449700399</v>
      </c>
    </row>
    <row r="6724" spans="1:40" x14ac:dyDescent="0.25">
      <c r="A6724" t="str">
        <f>"20190312173055606"</f>
        <v>20190312173055606</v>
      </c>
      <c r="B6724" t="str">
        <f>"1552383055594440"</f>
        <v>1552383055594440</v>
      </c>
      <c r="C6724" t="s">
        <v>40</v>
      </c>
      <c r="D6724">
        <v>2.9957549999999999</v>
      </c>
      <c r="E6724">
        <v>0.44138840000000001</v>
      </c>
      <c r="F6724" t="s">
        <v>41</v>
      </c>
      <c r="G6724">
        <v>-188.50479999999999</v>
      </c>
      <c r="H6724" s="1">
        <v>-5.1881869999999998E-7</v>
      </c>
      <c r="I6724">
        <v>-39.996389999999998</v>
      </c>
      <c r="J6724">
        <v>-196.12370000000001</v>
      </c>
      <c r="K6724">
        <v>1.119618</v>
      </c>
      <c r="L6724">
        <v>-53.024140000000003</v>
      </c>
      <c r="M6724">
        <v>0.71339759999999997</v>
      </c>
      <c r="N6724">
        <v>0</v>
      </c>
      <c r="O6724">
        <v>0.70058860000000001</v>
      </c>
      <c r="P6724">
        <v>0.62348719999999902</v>
      </c>
      <c r="Q6724">
        <v>0.18120720000000001</v>
      </c>
      <c r="R6724">
        <v>0.76054429999999995</v>
      </c>
      <c r="S6724">
        <v>1.588425</v>
      </c>
      <c r="T6724">
        <v>-0.23014709999999999</v>
      </c>
      <c r="U6724">
        <v>2.701111</v>
      </c>
      <c r="V6724">
        <v>-0.1103346</v>
      </c>
      <c r="W6724">
        <v>0.1937904</v>
      </c>
      <c r="X6724">
        <v>0.97481879999999999</v>
      </c>
      <c r="Y6724">
        <v>-0.26051200000000002</v>
      </c>
      <c r="Z6724">
        <v>-4.4424400000000003E-2</v>
      </c>
      <c r="AA6724">
        <v>0.96444799999999997</v>
      </c>
      <c r="AB6724">
        <v>31</v>
      </c>
      <c r="AC6724">
        <v>7.6189000000000204</v>
      </c>
      <c r="AD6724">
        <v>-1.1196185188187</v>
      </c>
      <c r="AE6724">
        <v>13.0277499999999</v>
      </c>
      <c r="AF6724">
        <v>-3.9350680135434399</v>
      </c>
      <c r="AG6724">
        <v>-1.1196185188187</v>
      </c>
      <c r="AH6724">
        <v>14.484426181373999</v>
      </c>
      <c r="AI6724">
        <v>94.266036491189297</v>
      </c>
      <c r="AJ6724">
        <v>105.199029395431</v>
      </c>
      <c r="AK6724">
        <v>15.0511430696332</v>
      </c>
      <c r="AL6724">
        <v>78.825929979446698</v>
      </c>
      <c r="AM6724">
        <v>96.457525435180997</v>
      </c>
      <c r="AN6724">
        <v>1.0000000679613701</v>
      </c>
    </row>
    <row r="6725" spans="1:40" x14ac:dyDescent="0.25">
      <c r="A6725" t="str">
        <f>"20190312173055617"</f>
        <v>20190312173055617</v>
      </c>
      <c r="B6725" t="str">
        <f>"1552383055613959"</f>
        <v>1552383055613959</v>
      </c>
      <c r="C6725" t="s">
        <v>40</v>
      </c>
      <c r="D6725">
        <v>2.9682569999999999</v>
      </c>
      <c r="E6725">
        <v>0.4423897</v>
      </c>
      <c r="F6725" t="s">
        <v>41</v>
      </c>
      <c r="G6725">
        <v>-188.5087</v>
      </c>
      <c r="H6725" s="1">
        <v>-5.3886409999999899E-7</v>
      </c>
      <c r="I6725">
        <v>-39.934469999999997</v>
      </c>
      <c r="J6725">
        <v>-196.01320000000001</v>
      </c>
      <c r="K6725">
        <v>1.119607</v>
      </c>
      <c r="L6725">
        <v>-52.907589999999999</v>
      </c>
      <c r="M6725">
        <v>0.70910930000000005</v>
      </c>
      <c r="N6725">
        <v>0</v>
      </c>
      <c r="O6725">
        <v>0.70492880000000002</v>
      </c>
      <c r="P6725">
        <v>0.61892269999999905</v>
      </c>
      <c r="Q6725">
        <v>0.18125930000000001</v>
      </c>
      <c r="R6725">
        <v>0.76425109999999996</v>
      </c>
      <c r="S6725">
        <v>1.5754999999999999</v>
      </c>
      <c r="T6725">
        <v>-0.23164119999999999</v>
      </c>
      <c r="U6725">
        <v>2.7081599999999999</v>
      </c>
      <c r="V6725">
        <v>-0.1102083</v>
      </c>
      <c r="W6725">
        <v>0.19384609999999999</v>
      </c>
      <c r="X6725">
        <v>0.97482190000000002</v>
      </c>
      <c r="Y6725">
        <v>-0.25916679999999997</v>
      </c>
      <c r="Z6725">
        <v>-4.5116719999999999E-2</v>
      </c>
      <c r="AA6725">
        <v>0.96477820000000003</v>
      </c>
      <c r="AB6725">
        <v>31</v>
      </c>
      <c r="AC6725">
        <v>7.5045000000000002</v>
      </c>
      <c r="AD6725">
        <v>-1.1196075388641</v>
      </c>
      <c r="AE6725">
        <v>12.9731199999999</v>
      </c>
      <c r="AF6725">
        <v>-3.8879923489384298</v>
      </c>
      <c r="AG6725">
        <v>-1.1196075388641</v>
      </c>
      <c r="AH6725">
        <v>14.3880737936669</v>
      </c>
      <c r="AI6725">
        <v>94.296025241250007</v>
      </c>
      <c r="AJ6725">
        <v>105.121497675646</v>
      </c>
      <c r="AK6725">
        <v>14.946125686561301</v>
      </c>
      <c r="AL6725">
        <v>78.822675676887599</v>
      </c>
      <c r="AM6725">
        <v>96.450175499668703</v>
      </c>
      <c r="AN6725">
        <v>0.99999995829685395</v>
      </c>
    </row>
    <row r="6726" spans="1:40" x14ac:dyDescent="0.25">
      <c r="A6726" t="str">
        <f>"20190312173055630"</f>
        <v>20190312173055630</v>
      </c>
      <c r="B6726" t="str">
        <f>"1552383055623720"</f>
        <v>1552383055623720</v>
      </c>
      <c r="C6726" t="s">
        <v>40</v>
      </c>
      <c r="D6726">
        <v>2.959441</v>
      </c>
      <c r="E6726">
        <v>0.4423897</v>
      </c>
      <c r="F6726" t="s">
        <v>41</v>
      </c>
      <c r="G6726">
        <v>-188.48159999999999</v>
      </c>
      <c r="H6726" s="1">
        <v>-5.7346040000000002E-7</v>
      </c>
      <c r="I6726">
        <v>-39.853960000000001</v>
      </c>
      <c r="J6726">
        <v>-195.90860000000001</v>
      </c>
      <c r="K6726">
        <v>1.11959599999999</v>
      </c>
      <c r="L6726">
        <v>-52.795929999999998</v>
      </c>
      <c r="M6726">
        <v>0.70499579999999995</v>
      </c>
      <c r="N6726">
        <v>0</v>
      </c>
      <c r="O6726">
        <v>0.70904279999999997</v>
      </c>
      <c r="P6726">
        <v>0.61448049999999999</v>
      </c>
      <c r="Q6726">
        <v>0.1813015</v>
      </c>
      <c r="R6726">
        <v>0.76781739999999998</v>
      </c>
      <c r="S6726">
        <v>1.5653079999999999</v>
      </c>
      <c r="T6726">
        <v>-0.23268939999999999</v>
      </c>
      <c r="U6726">
        <v>2.712952</v>
      </c>
      <c r="V6726">
        <v>-0.1101771</v>
      </c>
      <c r="W6726">
        <v>0.1938896</v>
      </c>
      <c r="X6726">
        <v>0.97481680000000004</v>
      </c>
      <c r="Y6726">
        <v>-0.25701800000000002</v>
      </c>
      <c r="Z6726">
        <v>-4.5737899999999998E-2</v>
      </c>
      <c r="AA6726">
        <v>0.96532370000000001</v>
      </c>
      <c r="AB6726">
        <v>31</v>
      </c>
      <c r="AC6726">
        <v>7.42700000000002</v>
      </c>
      <c r="AD6726">
        <v>-1.1195965734604001</v>
      </c>
      <c r="AE6726">
        <v>12.94197</v>
      </c>
      <c r="AF6726">
        <v>-3.83683466634541</v>
      </c>
      <c r="AG6726">
        <v>-1.1195965734604001</v>
      </c>
      <c r="AH6726">
        <v>14.3334446712849</v>
      </c>
      <c r="AI6726">
        <v>94.315031812053405</v>
      </c>
      <c r="AJ6726">
        <v>104.985825704452</v>
      </c>
      <c r="AK6726">
        <v>14.8802699198959</v>
      </c>
      <c r="AL6726">
        <v>78.820135377783004</v>
      </c>
      <c r="AM6726">
        <v>96.448398288083297</v>
      </c>
      <c r="AN6726">
        <v>0.99999998195740403</v>
      </c>
    </row>
    <row r="6727" spans="1:40" x14ac:dyDescent="0.25">
      <c r="A6727" t="str">
        <f>"20190312173055643"</f>
        <v>20190312173055643</v>
      </c>
      <c r="B6727" t="str">
        <f>"1552383055634456"</f>
        <v>1552383055634456</v>
      </c>
      <c r="C6727" t="s">
        <v>40</v>
      </c>
      <c r="D6727">
        <v>2.9867020000000002</v>
      </c>
      <c r="E6727">
        <v>0.44787650000000001</v>
      </c>
      <c r="F6727" t="s">
        <v>41</v>
      </c>
      <c r="G6727">
        <v>-188.4469</v>
      </c>
      <c r="H6727" s="1">
        <v>-6.3948909999999898E-7</v>
      </c>
      <c r="I6727">
        <v>-39.687049999999999</v>
      </c>
      <c r="J6727">
        <v>-195.7818</v>
      </c>
      <c r="K6727">
        <v>1.119578</v>
      </c>
      <c r="L6727">
        <v>-52.659329999999997</v>
      </c>
      <c r="M6727">
        <v>0.69995430000000003</v>
      </c>
      <c r="N6727">
        <v>0</v>
      </c>
      <c r="O6727">
        <v>0.71402019999999899</v>
      </c>
      <c r="P6727">
        <v>0.60895659999999996</v>
      </c>
      <c r="Q6727">
        <v>0.1811362</v>
      </c>
      <c r="R6727">
        <v>0.7722445</v>
      </c>
      <c r="S6727">
        <v>1.549423</v>
      </c>
      <c r="T6727">
        <v>-0.23248579999999999</v>
      </c>
      <c r="U6727">
        <v>2.7220759999999999</v>
      </c>
      <c r="V6727">
        <v>-0.1102794</v>
      </c>
      <c r="W6727">
        <v>0.19372300000000001</v>
      </c>
      <c r="X6727">
        <v>0.97483839999999999</v>
      </c>
      <c r="Y6727">
        <v>-0.25582379999999999</v>
      </c>
      <c r="Z6727">
        <v>-4.614741E-2</v>
      </c>
      <c r="AA6727">
        <v>0.96562139999999996</v>
      </c>
      <c r="AB6727">
        <v>31</v>
      </c>
      <c r="AC6727">
        <v>7.3349000000000002</v>
      </c>
      <c r="AD6727">
        <v>-1.1195786394891001</v>
      </c>
      <c r="AE6727">
        <v>12.97228</v>
      </c>
      <c r="AF6727">
        <v>-3.8216261316769402</v>
      </c>
      <c r="AG6727">
        <v>-1.1195786394891001</v>
      </c>
      <c r="AH6727">
        <v>14.3174764858848</v>
      </c>
      <c r="AI6727">
        <v>94.3205771717695</v>
      </c>
      <c r="AJ6727">
        <v>104.944987436302</v>
      </c>
      <c r="AK6727">
        <v>14.8609695358069</v>
      </c>
      <c r="AL6727">
        <v>78.8298658400915</v>
      </c>
      <c r="AM6727">
        <v>96.454193352350202</v>
      </c>
      <c r="AN6727">
        <v>1.0000000264539499</v>
      </c>
    </row>
    <row r="6728" spans="1:40" x14ac:dyDescent="0.25">
      <c r="A6728" t="str">
        <f>"20190312173055662"</f>
        <v>20190312173055662</v>
      </c>
      <c r="B6728" t="str">
        <f>"1552383055653975"</f>
        <v>1552383055653975</v>
      </c>
      <c r="C6728" t="s">
        <v>40</v>
      </c>
      <c r="D6728">
        <v>2.9738500000000001</v>
      </c>
      <c r="E6728">
        <v>0.44839600000000002</v>
      </c>
      <c r="F6728" t="s">
        <v>41</v>
      </c>
      <c r="G6728">
        <v>-188.28020000000001</v>
      </c>
      <c r="H6728" s="1">
        <v>-6.8646539999999997E-7</v>
      </c>
      <c r="I6728">
        <v>-39.679380000000002</v>
      </c>
      <c r="J6728">
        <v>-195.6011</v>
      </c>
      <c r="K6728">
        <v>1.1195550000000001</v>
      </c>
      <c r="L6728">
        <v>-52.460630000000002</v>
      </c>
      <c r="M6728">
        <v>0.69262619999999997</v>
      </c>
      <c r="N6728">
        <v>0</v>
      </c>
      <c r="O6728">
        <v>0.72113099999999997</v>
      </c>
      <c r="P6728">
        <v>0.60110129999999995</v>
      </c>
      <c r="Q6728">
        <v>0.18091080000000001</v>
      </c>
      <c r="R6728">
        <v>0.77842699999999998</v>
      </c>
      <c r="S6728">
        <v>1.564011</v>
      </c>
      <c r="T6728">
        <v>-0.2334224</v>
      </c>
      <c r="U6728">
        <v>2.706207</v>
      </c>
      <c r="V6728">
        <v>-0.1102211</v>
      </c>
      <c r="W6728">
        <v>0.19350029999999999</v>
      </c>
      <c r="X6728">
        <v>0.97488920000000001</v>
      </c>
      <c r="Y6728">
        <v>-0.23961399999999999</v>
      </c>
      <c r="Z6728">
        <v>-4.746765E-2</v>
      </c>
      <c r="AA6728">
        <v>0.96970710000000004</v>
      </c>
      <c r="AB6728">
        <v>31</v>
      </c>
      <c r="AC6728">
        <v>7.3208999999999902</v>
      </c>
      <c r="AD6728">
        <v>-1.1195556864653999</v>
      </c>
      <c r="AE6728">
        <v>12.78125</v>
      </c>
      <c r="AF6728">
        <v>-3.5532001517801501</v>
      </c>
      <c r="AG6728">
        <v>-1.1195556864653999</v>
      </c>
      <c r="AH6728">
        <v>14.2072321260667</v>
      </c>
      <c r="AI6728">
        <v>94.371600587471605</v>
      </c>
      <c r="AJ6728">
        <v>104.04152732374401</v>
      </c>
      <c r="AK6728">
        <v>14.687548499925001</v>
      </c>
      <c r="AL6728">
        <v>78.8428714569839</v>
      </c>
      <c r="AM6728">
        <v>96.450476756474501</v>
      </c>
      <c r="AN6728">
        <v>1.0000000046309701</v>
      </c>
    </row>
    <row r="6729" spans="1:40" x14ac:dyDescent="0.25">
      <c r="A6729" t="str">
        <f>"20190312173055674"</f>
        <v>20190312173055674</v>
      </c>
      <c r="B6729" t="str">
        <f>"1552383055663736"</f>
        <v>1552383055663736</v>
      </c>
      <c r="C6729" t="s">
        <v>40</v>
      </c>
      <c r="D6729">
        <v>2.9798800000000001</v>
      </c>
      <c r="E6729">
        <v>0.448436</v>
      </c>
      <c r="F6729" t="s">
        <v>41</v>
      </c>
      <c r="G6729">
        <v>-187.91380000000001</v>
      </c>
      <c r="H6729" s="1">
        <v>-1.0540410000000001E-6</v>
      </c>
      <c r="I6729">
        <v>-38.885680000000001</v>
      </c>
      <c r="J6729">
        <v>-195.5027</v>
      </c>
      <c r="K6729">
        <v>1.1195489999999999</v>
      </c>
      <c r="L6729">
        <v>-52.350189999999998</v>
      </c>
      <c r="M6729">
        <v>0.68855759999999999</v>
      </c>
      <c r="N6729">
        <v>0</v>
      </c>
      <c r="O6729">
        <v>0.72501680000000002</v>
      </c>
      <c r="P6729">
        <v>0.59653069999999997</v>
      </c>
      <c r="Q6729">
        <v>0.18075340000000001</v>
      </c>
      <c r="R6729">
        <v>0.78197150000000004</v>
      </c>
      <c r="S6729">
        <v>1.538956</v>
      </c>
      <c r="T6729">
        <v>-0.22413060000000001</v>
      </c>
      <c r="U6729">
        <v>2.717651</v>
      </c>
      <c r="V6729">
        <v>-0.11046309999999999</v>
      </c>
      <c r="W6729">
        <v>0.19333800000000001</v>
      </c>
      <c r="X6729">
        <v>0.97489400000000004</v>
      </c>
      <c r="Y6729">
        <v>-0.2426094</v>
      </c>
      <c r="Z6729">
        <v>-4.585844E-2</v>
      </c>
      <c r="AA6729">
        <v>0.9690396</v>
      </c>
      <c r="AB6729">
        <v>31</v>
      </c>
      <c r="AC6729">
        <v>7.58889999999999</v>
      </c>
      <c r="AD6729">
        <v>-1.1195500540409999</v>
      </c>
      <c r="AE6729">
        <v>13.464510000000001</v>
      </c>
      <c r="AF6729">
        <v>-3.7497867164410801</v>
      </c>
      <c r="AG6729">
        <v>-1.1195500540409999</v>
      </c>
      <c r="AH6729">
        <v>14.910946974338099</v>
      </c>
      <c r="AI6729">
        <v>94.1646561740545</v>
      </c>
      <c r="AJ6729">
        <v>104.115959406052</v>
      </c>
      <c r="AK6729">
        <v>15.415921393605499</v>
      </c>
      <c r="AL6729">
        <v>78.852349435032906</v>
      </c>
      <c r="AM6729">
        <v>96.464488021590597</v>
      </c>
      <c r="AN6729">
        <v>0.99999999497080405</v>
      </c>
    </row>
    <row r="6730" spans="1:40" x14ac:dyDescent="0.25">
      <c r="A6730" t="str">
        <f>"20190312173055690"</f>
        <v>20190312173055690</v>
      </c>
      <c r="B6730" t="str">
        <f>"1552383055684232"</f>
        <v>1552383055684232</v>
      </c>
      <c r="C6730" t="s">
        <v>40</v>
      </c>
      <c r="D6730">
        <v>2.9847429999999999</v>
      </c>
      <c r="E6730">
        <v>0.44859569999999999</v>
      </c>
      <c r="F6730" t="s">
        <v>41</v>
      </c>
      <c r="G6730">
        <v>-187.70429999999999</v>
      </c>
      <c r="H6730" s="1">
        <v>-1.276148E-6</v>
      </c>
      <c r="I6730">
        <v>-38.396830000000001</v>
      </c>
      <c r="J6730">
        <v>-195.37090000000001</v>
      </c>
      <c r="K6730">
        <v>1.119532</v>
      </c>
      <c r="L6730">
        <v>-52.20102</v>
      </c>
      <c r="M6730">
        <v>0.68304679999999995</v>
      </c>
      <c r="N6730">
        <v>0</v>
      </c>
      <c r="O6730">
        <v>0.7302111</v>
      </c>
      <c r="P6730">
        <v>0.59049649999999998</v>
      </c>
      <c r="Q6730">
        <v>0.1806045</v>
      </c>
      <c r="R6730">
        <v>0.7865723</v>
      </c>
      <c r="S6730">
        <v>1.5230410000000001</v>
      </c>
      <c r="T6730">
        <v>-0.21865119999999999</v>
      </c>
      <c r="U6730">
        <v>2.7251280000000002</v>
      </c>
      <c r="V6730">
        <v>-0.1105925</v>
      </c>
      <c r="W6730">
        <v>0.19318689999999999</v>
      </c>
      <c r="X6730">
        <v>0.97490929999999998</v>
      </c>
      <c r="Y6730">
        <v>-0.24068039999999999</v>
      </c>
      <c r="Z6730">
        <v>-4.5218389999999997E-2</v>
      </c>
      <c r="AA6730">
        <v>0.96955049999999998</v>
      </c>
      <c r="AB6730">
        <v>31</v>
      </c>
      <c r="AC6730">
        <v>7.6666000000000096</v>
      </c>
      <c r="AD6730">
        <v>-1.1195332761479999</v>
      </c>
      <c r="AE6730">
        <v>13.804189999999901</v>
      </c>
      <c r="AF6730">
        <v>-3.8119667304326401</v>
      </c>
      <c r="AG6730">
        <v>-1.1195332761479999</v>
      </c>
      <c r="AH6730">
        <v>15.241830356166799</v>
      </c>
      <c r="AI6730">
        <v>94.075815291667098</v>
      </c>
      <c r="AJ6730">
        <v>104.041582670292</v>
      </c>
      <c r="AK6730">
        <v>15.7511217923199</v>
      </c>
      <c r="AL6730">
        <v>78.861173364889297</v>
      </c>
      <c r="AM6730">
        <v>96.471895806519697</v>
      </c>
      <c r="AN6730">
        <v>1.0000000113071701</v>
      </c>
    </row>
    <row r="6731" spans="1:40" x14ac:dyDescent="0.25">
      <c r="A6731" t="str">
        <f>"20190312173055710"</f>
        <v>20190312173055710</v>
      </c>
      <c r="B6731" t="str">
        <f>"1552383055703752"</f>
        <v>1552383055703752</v>
      </c>
      <c r="C6731" t="s">
        <v>40</v>
      </c>
      <c r="D6731">
        <v>3.034621</v>
      </c>
      <c r="E6731">
        <v>0.44916279999999997</v>
      </c>
      <c r="F6731" t="s">
        <v>41</v>
      </c>
      <c r="G6731">
        <v>-187.50899999999999</v>
      </c>
      <c r="H6731" s="1">
        <v>-1.504132E-6</v>
      </c>
      <c r="I6731">
        <v>-37.891030000000001</v>
      </c>
      <c r="J6731">
        <v>-195.1876</v>
      </c>
      <c r="K6731">
        <v>1.119513</v>
      </c>
      <c r="L6731">
        <v>-51.989620000000002</v>
      </c>
      <c r="M6731">
        <v>0.67523279999999997</v>
      </c>
      <c r="N6731">
        <v>0</v>
      </c>
      <c r="O6731">
        <v>0.73744290000000001</v>
      </c>
      <c r="P6731">
        <v>0.58217289999999999</v>
      </c>
      <c r="Q6731">
        <v>0.18067739999999999</v>
      </c>
      <c r="R6731">
        <v>0.79273609999999906</v>
      </c>
      <c r="S6731">
        <v>1.50264</v>
      </c>
      <c r="T6731">
        <v>-0.2139771</v>
      </c>
      <c r="U6731">
        <v>2.735077</v>
      </c>
      <c r="V6731">
        <v>-0.1104667</v>
      </c>
      <c r="W6731">
        <v>0.19326360000000001</v>
      </c>
      <c r="X6731">
        <v>0.97490840000000001</v>
      </c>
      <c r="Y6731">
        <v>-0.2373702</v>
      </c>
      <c r="Z6731">
        <v>-4.4911819999999998E-2</v>
      </c>
      <c r="AA6731">
        <v>0.97038049999999998</v>
      </c>
      <c r="AB6731">
        <v>31</v>
      </c>
      <c r="AC6731">
        <v>7.6785999999999799</v>
      </c>
      <c r="AD6731">
        <v>-1.119514504132</v>
      </c>
      <c r="AE6731">
        <v>14.09859</v>
      </c>
      <c r="AF6731">
        <v>-3.8390926716359899</v>
      </c>
      <c r="AG6731">
        <v>-1.119514504132</v>
      </c>
      <c r="AH6731">
        <v>15.5081928737249</v>
      </c>
      <c r="AI6731">
        <v>94.0083568872667</v>
      </c>
      <c r="AJ6731">
        <v>103.90418776753</v>
      </c>
      <c r="AK6731">
        <v>16.015492233304101</v>
      </c>
      <c r="AL6731">
        <v>78.856694802046704</v>
      </c>
      <c r="AM6731">
        <v>96.464602236989094</v>
      </c>
      <c r="AN6731">
        <v>1.0000000496421999</v>
      </c>
    </row>
    <row r="6732" spans="1:40" x14ac:dyDescent="0.25">
      <c r="A6732" t="str">
        <f>"20190312173055723"</f>
        <v>20190312173055723</v>
      </c>
      <c r="B6732" t="str">
        <f>"1552383055714488"</f>
        <v>1552383055714488</v>
      </c>
      <c r="C6732" t="s">
        <v>40</v>
      </c>
      <c r="D6732">
        <v>2.9836580000000001</v>
      </c>
      <c r="E6732">
        <v>0.44916279999999997</v>
      </c>
      <c r="F6732" t="s">
        <v>41</v>
      </c>
      <c r="G6732">
        <v>-187.4074</v>
      </c>
      <c r="H6732" s="1">
        <v>-1.682799E-6</v>
      </c>
      <c r="I6732">
        <v>-37.516590000000001</v>
      </c>
      <c r="J6732">
        <v>-195.072</v>
      </c>
      <c r="K6732">
        <v>1.1194980000000001</v>
      </c>
      <c r="L6732">
        <v>-51.854340000000001</v>
      </c>
      <c r="M6732">
        <v>0.67022309999999996</v>
      </c>
      <c r="N6732">
        <v>0</v>
      </c>
      <c r="O6732">
        <v>0.74199899999999996</v>
      </c>
      <c r="P6732">
        <v>0.57698739999999904</v>
      </c>
      <c r="Q6732">
        <v>0.18048539999999999</v>
      </c>
      <c r="R6732">
        <v>0.79656169999999904</v>
      </c>
      <c r="S6732">
        <v>1.4772190000000001</v>
      </c>
      <c r="T6732">
        <v>-0.212559</v>
      </c>
      <c r="U6732">
        <v>2.7479550000000001</v>
      </c>
      <c r="V6732">
        <v>-0.11024299999999999</v>
      </c>
      <c r="W6732">
        <v>0.19307840000000001</v>
      </c>
      <c r="X6732">
        <v>0.97497040000000001</v>
      </c>
      <c r="Y6732">
        <v>-0.23964479999999999</v>
      </c>
      <c r="Z6732">
        <v>-4.4923369999999997E-2</v>
      </c>
      <c r="AA6732">
        <v>0.96982069999999998</v>
      </c>
      <c r="AB6732">
        <v>31</v>
      </c>
      <c r="AC6732">
        <v>7.6646000000000001</v>
      </c>
      <c r="AD6732">
        <v>-1.11949968279899</v>
      </c>
      <c r="AE6732">
        <v>14.33775</v>
      </c>
      <c r="AF6732">
        <v>-3.9043208753959999</v>
      </c>
      <c r="AG6732">
        <v>-1.11949968279899</v>
      </c>
      <c r="AH6732">
        <v>15.7030125503479</v>
      </c>
      <c r="AI6732">
        <v>93.957735705073006</v>
      </c>
      <c r="AJ6732">
        <v>103.96261970972201</v>
      </c>
      <c r="AK6732">
        <v>16.219790510183099</v>
      </c>
      <c r="AL6732">
        <v>78.867509503204801</v>
      </c>
      <c r="AM6732">
        <v>96.4512148050988</v>
      </c>
      <c r="AN6732">
        <v>1.0000000342358499</v>
      </c>
    </row>
    <row r="6733" spans="1:40" x14ac:dyDescent="0.25">
      <c r="A6733" t="str">
        <f>"20190312173055740"</f>
        <v>20190312173055740</v>
      </c>
      <c r="B6733" t="str">
        <f>"1552383055734007"</f>
        <v>1552383055734007</v>
      </c>
      <c r="C6733" t="s">
        <v>40</v>
      </c>
      <c r="D6733">
        <v>2.9894850000000002</v>
      </c>
      <c r="E6733">
        <v>0.45912589999999998</v>
      </c>
      <c r="F6733" t="s">
        <v>41</v>
      </c>
      <c r="G6733">
        <v>-187.4084</v>
      </c>
      <c r="H6733" s="1">
        <v>-1.7436590000000001E-6</v>
      </c>
      <c r="I6733">
        <v>-37.374299999999998</v>
      </c>
      <c r="J6733">
        <v>-194.92420000000001</v>
      </c>
      <c r="K6733">
        <v>1.1194809999999999</v>
      </c>
      <c r="L6733">
        <v>-51.677700000000002</v>
      </c>
      <c r="M6733">
        <v>0.66368879999999997</v>
      </c>
      <c r="N6733">
        <v>0</v>
      </c>
      <c r="O6733">
        <v>0.74784930000000005</v>
      </c>
      <c r="P6733">
        <v>0.57007089999999905</v>
      </c>
      <c r="Q6733">
        <v>0.18013379999999901</v>
      </c>
      <c r="R6733">
        <v>0.80160520000000002</v>
      </c>
      <c r="S6733">
        <v>1.4593659999999999</v>
      </c>
      <c r="T6733">
        <v>-0.2131826</v>
      </c>
      <c r="U6733">
        <v>2.7573850000000002</v>
      </c>
      <c r="V6733">
        <v>-0.1101646</v>
      </c>
      <c r="W6733">
        <v>0.19273019999999999</v>
      </c>
      <c r="X6733">
        <v>0.97504809999999997</v>
      </c>
      <c r="Y6733">
        <v>-0.23741709999999999</v>
      </c>
      <c r="Z6733">
        <v>-4.556135E-2</v>
      </c>
      <c r="AA6733">
        <v>0.97033879999999995</v>
      </c>
      <c r="AB6733">
        <v>31</v>
      </c>
      <c r="AC6733">
        <v>7.5158000000000103</v>
      </c>
      <c r="AD6733">
        <v>-1.119482743659</v>
      </c>
      <c r="AE6733">
        <v>14.3034</v>
      </c>
      <c r="AF6733">
        <v>-3.85428087749602</v>
      </c>
      <c r="AG6733">
        <v>-1.119482743659</v>
      </c>
      <c r="AH6733">
        <v>15.611869521444801</v>
      </c>
      <c r="AI6733">
        <v>93.982331752894197</v>
      </c>
      <c r="AJ6733">
        <v>103.86795091250499</v>
      </c>
      <c r="AK6733">
        <v>16.119528301119701</v>
      </c>
      <c r="AL6733">
        <v>78.887841208189599</v>
      </c>
      <c r="AM6733">
        <v>96.446156219314602</v>
      </c>
      <c r="AN6733">
        <v>0.99999998319940397</v>
      </c>
    </row>
    <row r="6734" spans="1:40" x14ac:dyDescent="0.25">
      <c r="A6734" t="str">
        <f>"20190312173055752"</f>
        <v>20190312173055752</v>
      </c>
      <c r="B6734" t="str">
        <f>"1552383055743768"</f>
        <v>1552383055743768</v>
      </c>
      <c r="C6734" t="s">
        <v>40</v>
      </c>
      <c r="D6734">
        <v>3.0148860000000002</v>
      </c>
      <c r="E6734">
        <v>0.45912589999999998</v>
      </c>
      <c r="F6734" t="s">
        <v>41</v>
      </c>
      <c r="G6734">
        <v>-188.3021</v>
      </c>
      <c r="H6734" s="1">
        <v>-6.9307550000000004E-7</v>
      </c>
      <c r="I6734">
        <v>-39.64284</v>
      </c>
      <c r="J6734">
        <v>-194.8278</v>
      </c>
      <c r="K6734">
        <v>1.119469</v>
      </c>
      <c r="L6734">
        <v>-51.56073</v>
      </c>
      <c r="M6734">
        <v>0.65935980000000005</v>
      </c>
      <c r="N6734">
        <v>0</v>
      </c>
      <c r="O6734">
        <v>0.75166899999999903</v>
      </c>
      <c r="P6734">
        <v>0.56577719999999998</v>
      </c>
      <c r="Q6734">
        <v>0.17975559999999999</v>
      </c>
      <c r="R6734">
        <v>0.8047261</v>
      </c>
      <c r="S6734">
        <v>1.50267</v>
      </c>
      <c r="T6734">
        <v>-0.25403029999999999</v>
      </c>
      <c r="U6734">
        <v>2.7309269999999999</v>
      </c>
      <c r="V6734">
        <v>-0.1097882</v>
      </c>
      <c r="W6734">
        <v>0.1923629</v>
      </c>
      <c r="X6734">
        <v>0.97516309999999995</v>
      </c>
      <c r="Y6734">
        <v>-0.21628839999999999</v>
      </c>
      <c r="Z6734">
        <v>-5.5237649999999999E-2</v>
      </c>
      <c r="AA6734">
        <v>0.97476569999999996</v>
      </c>
      <c r="AB6734">
        <v>30</v>
      </c>
      <c r="AC6734">
        <v>6.5256999999999996</v>
      </c>
      <c r="AD6734">
        <v>-1.1194696930754999</v>
      </c>
      <c r="AE6734">
        <v>11.91789</v>
      </c>
      <c r="AF6734">
        <v>-2.93345082977015</v>
      </c>
      <c r="AG6734">
        <v>-1.1194696930754999</v>
      </c>
      <c r="AH6734">
        <v>13.173253033627001</v>
      </c>
      <c r="AI6734">
        <v>94.741759605244695</v>
      </c>
      <c r="AJ6734">
        <v>102.55392754205999</v>
      </c>
      <c r="AK6734">
        <v>13.542265011893599</v>
      </c>
      <c r="AL6734">
        <v>78.909287471291194</v>
      </c>
      <c r="AM6734">
        <v>96.423564766549802</v>
      </c>
      <c r="AN6734">
        <v>1.00000000287862</v>
      </c>
    </row>
    <row r="6735" spans="1:40" x14ac:dyDescent="0.25">
      <c r="A6735" t="str">
        <f>"20190312173055764"</f>
        <v>20190312173055764</v>
      </c>
      <c r="B6735" t="str">
        <f>"1552383055754504"</f>
        <v>1552383055754504</v>
      </c>
      <c r="C6735" t="s">
        <v>40</v>
      </c>
      <c r="D6735">
        <v>3.119745</v>
      </c>
      <c r="E6735">
        <v>0.45304129999999998</v>
      </c>
      <c r="F6735" t="s">
        <v>41</v>
      </c>
      <c r="G6735">
        <v>-188.3005</v>
      </c>
      <c r="H6735" s="1">
        <v>-7.2656710000000004E-7</v>
      </c>
      <c r="I6735">
        <v>-39.545670000000001</v>
      </c>
      <c r="J6735">
        <v>-194.7252</v>
      </c>
      <c r="K6735">
        <v>1.119453</v>
      </c>
      <c r="L6735">
        <v>-51.435490000000001</v>
      </c>
      <c r="M6735">
        <v>0.65471290000000004</v>
      </c>
      <c r="N6735">
        <v>0</v>
      </c>
      <c r="O6735">
        <v>0.75572010000000001</v>
      </c>
      <c r="P6735">
        <v>0.56091590000000002</v>
      </c>
      <c r="Q6735">
        <v>0.17962259999999999</v>
      </c>
      <c r="R6735">
        <v>0.80815170000000003</v>
      </c>
      <c r="S6735">
        <v>1.4879150000000001</v>
      </c>
      <c r="T6735">
        <v>-0.25518580000000002</v>
      </c>
      <c r="U6735">
        <v>2.738861</v>
      </c>
      <c r="V6735">
        <v>-0.1096636</v>
      </c>
      <c r="W6735">
        <v>0.19223380000000001</v>
      </c>
      <c r="X6735">
        <v>0.97520260000000003</v>
      </c>
      <c r="Y6735">
        <v>-0.2155244</v>
      </c>
      <c r="Z6735">
        <v>-5.5882569999999999E-2</v>
      </c>
      <c r="AA6735">
        <v>0.97489820000000005</v>
      </c>
      <c r="AB6735">
        <v>30</v>
      </c>
      <c r="AC6735">
        <v>6.4246999999999996</v>
      </c>
      <c r="AD6735">
        <v>-1.1194537265671001</v>
      </c>
      <c r="AE6735">
        <v>11.88982</v>
      </c>
      <c r="AF6735">
        <v>-2.9095293438376801</v>
      </c>
      <c r="AG6735">
        <v>-1.1194537265671001</v>
      </c>
      <c r="AH6735">
        <v>13.1033750102248</v>
      </c>
      <c r="AI6735">
        <v>94.767504233652701</v>
      </c>
      <c r="AJ6735">
        <v>102.519091260877</v>
      </c>
      <c r="AK6735">
        <v>13.4691118603701</v>
      </c>
      <c r="AL6735">
        <v>78.916825282330194</v>
      </c>
      <c r="AM6735">
        <v>96.416077691772799</v>
      </c>
      <c r="AN6735">
        <v>1.00000002503707</v>
      </c>
    </row>
    <row r="6736" spans="1:40" x14ac:dyDescent="0.25">
      <c r="A6736" t="str">
        <f>"20190312173055774"</f>
        <v>20190312173055774</v>
      </c>
      <c r="B6736" t="str">
        <f>"1552383055764263"</f>
        <v>1552383055764263</v>
      </c>
      <c r="C6736" t="s">
        <v>40</v>
      </c>
      <c r="D6736">
        <v>3.073601</v>
      </c>
      <c r="E6736">
        <v>0.44943929999999999</v>
      </c>
      <c r="F6736" t="s">
        <v>41</v>
      </c>
      <c r="G6736">
        <v>-188.2285</v>
      </c>
      <c r="H6736" s="1">
        <v>-9.8652549999999996E-7</v>
      </c>
      <c r="I6736">
        <v>-38.838090000000001</v>
      </c>
      <c r="J6736">
        <v>-194.6326</v>
      </c>
      <c r="K6736">
        <v>1.119434</v>
      </c>
      <c r="L6736">
        <v>-51.320099999999996</v>
      </c>
      <c r="M6736">
        <v>0.65044089999999999</v>
      </c>
      <c r="N6736">
        <v>0</v>
      </c>
      <c r="O6736">
        <v>0.75940010000000002</v>
      </c>
      <c r="P6736">
        <v>0.55666479999999996</v>
      </c>
      <c r="Q6736">
        <v>0.17925949999999999</v>
      </c>
      <c r="R6736">
        <v>0.81116599999999905</v>
      </c>
      <c r="S6736">
        <v>1.4306179999999999</v>
      </c>
      <c r="T6736">
        <v>-0.24651000000000001</v>
      </c>
      <c r="U6736">
        <v>2.7740170000000002</v>
      </c>
      <c r="V6736">
        <v>-0.1093216</v>
      </c>
      <c r="W6736">
        <v>0.19188050000000001</v>
      </c>
      <c r="X6736">
        <v>0.97531060000000003</v>
      </c>
      <c r="Y6736">
        <v>-0.23088330000000001</v>
      </c>
      <c r="Z6736">
        <v>-5.3836080000000001E-2</v>
      </c>
      <c r="AA6736">
        <v>0.97149090000000005</v>
      </c>
      <c r="AB6736">
        <v>30</v>
      </c>
      <c r="AC6736">
        <v>6.4040999999999997</v>
      </c>
      <c r="AD6736">
        <v>-1.1194349865255</v>
      </c>
      <c r="AE6736">
        <v>12.482009999999899</v>
      </c>
      <c r="AF6736">
        <v>-3.2353235866436001</v>
      </c>
      <c r="AG6736">
        <v>-1.1194349865255</v>
      </c>
      <c r="AH6736">
        <v>13.559617154494299</v>
      </c>
      <c r="AI6736">
        <v>94.591135080159404</v>
      </c>
      <c r="AJ6736">
        <v>103.419859561477</v>
      </c>
      <c r="AK6736">
        <v>13.985123194874101</v>
      </c>
      <c r="AL6736">
        <v>78.937452178222301</v>
      </c>
      <c r="AM6736">
        <v>96.395532005213894</v>
      </c>
      <c r="AN6736">
        <v>1.00000005248958</v>
      </c>
    </row>
    <row r="6737" spans="1:40" x14ac:dyDescent="0.25">
      <c r="A6737" t="str">
        <f>"20190312173055786"</f>
        <v>20190312173055786</v>
      </c>
      <c r="B6737" t="str">
        <f>"1552383055774024"</f>
        <v>1552383055774024</v>
      </c>
      <c r="C6737" t="s">
        <v>40</v>
      </c>
      <c r="D6737">
        <v>3.0548160000000002</v>
      </c>
      <c r="E6737">
        <v>0.446413</v>
      </c>
      <c r="F6737" t="s">
        <v>41</v>
      </c>
      <c r="G6737">
        <v>-188.35820000000001</v>
      </c>
      <c r="H6737" s="1">
        <v>-1.0022450000000001E-6</v>
      </c>
      <c r="I6737">
        <v>-38.709800000000001</v>
      </c>
      <c r="J6737">
        <v>-194.53720000000001</v>
      </c>
      <c r="K6737">
        <v>1.1194230000000001</v>
      </c>
      <c r="L6737">
        <v>-51.200560000000003</v>
      </c>
      <c r="M6737">
        <v>0.64600369999999996</v>
      </c>
      <c r="N6737">
        <v>0</v>
      </c>
      <c r="O6737">
        <v>0.76317829999999998</v>
      </c>
      <c r="P6737">
        <v>0.5522648</v>
      </c>
      <c r="Q6737">
        <v>0.1788602</v>
      </c>
      <c r="R6737">
        <v>0.81425590000000003</v>
      </c>
      <c r="S6737">
        <v>1.39212</v>
      </c>
      <c r="T6737">
        <v>-0.24837480000000001</v>
      </c>
      <c r="U6737">
        <v>2.7979129999999999</v>
      </c>
      <c r="V6737">
        <v>-0.1089585</v>
      </c>
      <c r="W6737">
        <v>0.1914911</v>
      </c>
      <c r="X6737">
        <v>0.97542770000000001</v>
      </c>
      <c r="Y6737">
        <v>-0.23925150000000001</v>
      </c>
      <c r="Z6737">
        <v>-5.4290129999999999E-2</v>
      </c>
      <c r="AA6737">
        <v>0.96943869999999999</v>
      </c>
      <c r="AB6737">
        <v>30</v>
      </c>
      <c r="AC6737">
        <v>6.1790000000000003</v>
      </c>
      <c r="AD6737">
        <v>-1.1194240022449999</v>
      </c>
      <c r="AE6737">
        <v>12.4907599999999</v>
      </c>
      <c r="AF6737">
        <v>-3.3322954302079899</v>
      </c>
      <c r="AG6737">
        <v>-1.1194240022449999</v>
      </c>
      <c r="AH6737">
        <v>13.439224835260299</v>
      </c>
      <c r="AI6737">
        <v>94.622143596862003</v>
      </c>
      <c r="AJ6737">
        <v>103.92580228483099</v>
      </c>
      <c r="AK6737">
        <v>13.8913666391635</v>
      </c>
      <c r="AL6737">
        <v>78.960184077617399</v>
      </c>
      <c r="AM6737">
        <v>96.373706114274199</v>
      </c>
      <c r="AN6737">
        <v>0.99999999701437503</v>
      </c>
    </row>
    <row r="6738" spans="1:40" x14ac:dyDescent="0.25">
      <c r="A6738" t="str">
        <f>"20190312173055798"</f>
        <v>20190312173055798</v>
      </c>
      <c r="B6738" t="str">
        <f>"1552383055794520"</f>
        <v>1552383055794520</v>
      </c>
      <c r="C6738" t="s">
        <v>40</v>
      </c>
      <c r="D6738">
        <v>3.0730620000000002</v>
      </c>
      <c r="E6738">
        <v>0.44251940000000001</v>
      </c>
      <c r="F6738" t="s">
        <v>41</v>
      </c>
      <c r="G6738">
        <v>-188.46960000000001</v>
      </c>
      <c r="H6738" s="1">
        <v>-1.032297E-6</v>
      </c>
      <c r="I6738">
        <v>-38.593719999999998</v>
      </c>
      <c r="J6738">
        <v>-194.4341</v>
      </c>
      <c r="K6738">
        <v>1.1194090000000001</v>
      </c>
      <c r="L6738">
        <v>-51.069400000000002</v>
      </c>
      <c r="M6738">
        <v>0.6411384</v>
      </c>
      <c r="N6738">
        <v>0</v>
      </c>
      <c r="O6738">
        <v>0.76727019999999901</v>
      </c>
      <c r="P6738">
        <v>0.54724379999999995</v>
      </c>
      <c r="Q6738">
        <v>0.17879890000000001</v>
      </c>
      <c r="R6738">
        <v>0.81765219999999905</v>
      </c>
      <c r="S6738">
        <v>1.3567959999999999</v>
      </c>
      <c r="T6738">
        <v>-0.25031829999999999</v>
      </c>
      <c r="U6738">
        <v>2.819061</v>
      </c>
      <c r="V6738">
        <v>-0.1087587</v>
      </c>
      <c r="W6738">
        <v>0.19143540000000001</v>
      </c>
      <c r="X6738">
        <v>0.97546089999999996</v>
      </c>
      <c r="Y6738">
        <v>-0.2458012</v>
      </c>
      <c r="Z6738">
        <v>-5.4850139999999999E-2</v>
      </c>
      <c r="AA6738">
        <v>0.96776709999999999</v>
      </c>
      <c r="AB6738">
        <v>30</v>
      </c>
      <c r="AC6738">
        <v>5.9644999999999797</v>
      </c>
      <c r="AD6738">
        <v>-1.119410032297</v>
      </c>
      <c r="AE6738">
        <v>12.475679999999899</v>
      </c>
      <c r="AF6738">
        <v>-3.4003785312402202</v>
      </c>
      <c r="AG6738">
        <v>-1.119410032297</v>
      </c>
      <c r="AH6738">
        <v>13.310655177314899</v>
      </c>
      <c r="AI6738">
        <v>94.658283712349402</v>
      </c>
      <c r="AJ6738">
        <v>104.33045182353899</v>
      </c>
      <c r="AK6738">
        <v>13.783656779879101</v>
      </c>
      <c r="AL6738">
        <v>78.9634352746302</v>
      </c>
      <c r="AM6738">
        <v>96.361899646661101</v>
      </c>
      <c r="AN6738">
        <v>0.99999996731382901</v>
      </c>
    </row>
    <row r="6739" spans="1:40" x14ac:dyDescent="0.25">
      <c r="A6739" t="str">
        <f>"20190312173055810"</f>
        <v>20190312173055810</v>
      </c>
      <c r="B6739" t="str">
        <f>"1552383055804280"</f>
        <v>1552383055804280</v>
      </c>
      <c r="C6739" t="s">
        <v>40</v>
      </c>
      <c r="D6739">
        <v>3.0548150000000001</v>
      </c>
      <c r="E6739">
        <v>0.44119659999999999</v>
      </c>
      <c r="F6739" t="s">
        <v>41</v>
      </c>
      <c r="G6739">
        <v>-188.52799999999999</v>
      </c>
      <c r="H6739" s="1">
        <v>-1.156614E-6</v>
      </c>
      <c r="I6739">
        <v>-38.279769999999999</v>
      </c>
      <c r="J6739">
        <v>-194.34059999999999</v>
      </c>
      <c r="K6739">
        <v>1.1194040000000001</v>
      </c>
      <c r="L6739">
        <v>-50.94894</v>
      </c>
      <c r="M6739">
        <v>0.63666750000000005</v>
      </c>
      <c r="N6739">
        <v>0</v>
      </c>
      <c r="O6739">
        <v>0.77098409999999995</v>
      </c>
      <c r="P6739">
        <v>0.5428328</v>
      </c>
      <c r="Q6739">
        <v>0.17865339999999999</v>
      </c>
      <c r="R6739">
        <v>0.82061899999999999</v>
      </c>
      <c r="S6739">
        <v>1.3134920000000001</v>
      </c>
      <c r="T6739">
        <v>-0.24895229999999999</v>
      </c>
      <c r="U6739">
        <v>2.84436</v>
      </c>
      <c r="V6739">
        <v>-0.1083518</v>
      </c>
      <c r="W6739">
        <v>0.1913002</v>
      </c>
      <c r="X6739">
        <v>0.97553279999999998</v>
      </c>
      <c r="Y6739">
        <v>-0.25558029999999998</v>
      </c>
      <c r="Z6739">
        <v>-5.4554859999999997E-2</v>
      </c>
      <c r="AA6739">
        <v>0.96524730000000003</v>
      </c>
      <c r="AB6739">
        <v>30</v>
      </c>
      <c r="AC6739">
        <v>5.8125999999999998</v>
      </c>
      <c r="AD6739">
        <v>-1.119405156614</v>
      </c>
      <c r="AE6739">
        <v>12.669169999999999</v>
      </c>
      <c r="AF6739">
        <v>-3.5620802380735999</v>
      </c>
      <c r="AG6739">
        <v>-1.119405156614</v>
      </c>
      <c r="AH6739">
        <v>13.3837092527219</v>
      </c>
      <c r="AI6739">
        <v>94.620924752326403</v>
      </c>
      <c r="AJ6739">
        <v>104.903800206509</v>
      </c>
      <c r="AK6739">
        <v>13.8947888392923</v>
      </c>
      <c r="AL6739">
        <v>78.971328577277902</v>
      </c>
      <c r="AM6739">
        <v>96.337828527484504</v>
      </c>
      <c r="AN6739">
        <v>1.0000000614795499</v>
      </c>
    </row>
    <row r="6740" spans="1:40" x14ac:dyDescent="0.25">
      <c r="A6740" t="str">
        <f>"20190312173055821"</f>
        <v>20190312173055821</v>
      </c>
      <c r="B6740" t="str">
        <f>"1552383055814040"</f>
        <v>1552383055814040</v>
      </c>
      <c r="C6740" t="s">
        <v>40</v>
      </c>
      <c r="D6740">
        <v>3.077998</v>
      </c>
      <c r="E6740">
        <v>0.4404092</v>
      </c>
      <c r="F6740" t="s">
        <v>41</v>
      </c>
      <c r="G6740">
        <v>-188.5496</v>
      </c>
      <c r="H6740" s="1">
        <v>-1.222508E-6</v>
      </c>
      <c r="I6740">
        <v>-38.117240000000002</v>
      </c>
      <c r="J6740">
        <v>-194.2449</v>
      </c>
      <c r="K6740">
        <v>1.1193930000000001</v>
      </c>
      <c r="L6740">
        <v>-50.824649999999998</v>
      </c>
      <c r="M6740">
        <v>0.63204499999999997</v>
      </c>
      <c r="N6740">
        <v>0</v>
      </c>
      <c r="O6740">
        <v>0.77477819999999997</v>
      </c>
      <c r="P6740">
        <v>0.5382361</v>
      </c>
      <c r="Q6740">
        <v>0.17866899999999999</v>
      </c>
      <c r="R6740">
        <v>0.82363790000000003</v>
      </c>
      <c r="S6740">
        <v>1.2894289999999999</v>
      </c>
      <c r="T6740">
        <v>-0.24924760000000001</v>
      </c>
      <c r="U6740">
        <v>2.8571170000000001</v>
      </c>
      <c r="V6740">
        <v>-0.1079624</v>
      </c>
      <c r="W6740">
        <v>0.191325</v>
      </c>
      <c r="X6740">
        <v>0.97557099999999997</v>
      </c>
      <c r="Y6740">
        <v>-0.25817469999999998</v>
      </c>
      <c r="Z6740">
        <v>-5.4870910000000002E-2</v>
      </c>
      <c r="AA6740">
        <v>0.96453880000000003</v>
      </c>
      <c r="AB6740">
        <v>30</v>
      </c>
      <c r="AC6740">
        <v>5.6952999999999996</v>
      </c>
      <c r="AD6740">
        <v>-1.119394222508</v>
      </c>
      <c r="AE6740">
        <v>12.7074099999999</v>
      </c>
      <c r="AF6740">
        <v>-3.5962527950132199</v>
      </c>
      <c r="AG6740">
        <v>-1.119394222508</v>
      </c>
      <c r="AH6740">
        <v>13.360376986686701</v>
      </c>
      <c r="AI6740">
        <v>94.625436529549305</v>
      </c>
      <c r="AJ6740">
        <v>105.06540204890599</v>
      </c>
      <c r="AK6740">
        <v>13.8811293062708</v>
      </c>
      <c r="AL6740">
        <v>78.969879721314399</v>
      </c>
      <c r="AM6740">
        <v>96.314990401336601</v>
      </c>
      <c r="AN6740">
        <v>0.99999995573987899</v>
      </c>
    </row>
    <row r="6741" spans="1:40" x14ac:dyDescent="0.25">
      <c r="A6741" t="str">
        <f>"20190312173055842"</f>
        <v>20190312173055842</v>
      </c>
      <c r="B6741" t="str">
        <f>"1552383055834535"</f>
        <v>1552383055834535</v>
      </c>
      <c r="C6741" t="s">
        <v>40</v>
      </c>
      <c r="D6741">
        <v>3.087564</v>
      </c>
      <c r="E6741">
        <v>0.439579</v>
      </c>
      <c r="F6741" t="s">
        <v>41</v>
      </c>
      <c r="G6741">
        <v>-188.56530000000001</v>
      </c>
      <c r="H6741" s="1">
        <v>-1.277889E-6</v>
      </c>
      <c r="I6741">
        <v>-37.981639999999999</v>
      </c>
      <c r="J6741">
        <v>-194.08580000000001</v>
      </c>
      <c r="K6741">
        <v>1.11937</v>
      </c>
      <c r="L6741">
        <v>-50.61365</v>
      </c>
      <c r="M6741">
        <v>0.62420410000000004</v>
      </c>
      <c r="N6741">
        <v>0</v>
      </c>
      <c r="O6741">
        <v>0.78110930000000001</v>
      </c>
      <c r="P6741">
        <v>0.53043180000000001</v>
      </c>
      <c r="Q6741">
        <v>0.1790216</v>
      </c>
      <c r="R6741">
        <v>0.82860929999999999</v>
      </c>
      <c r="S6741">
        <v>1.2682340000000001</v>
      </c>
      <c r="T6741">
        <v>-0.2499567</v>
      </c>
      <c r="U6741">
        <v>2.8677980000000001</v>
      </c>
      <c r="V6741">
        <v>-0.107294</v>
      </c>
      <c r="W6741">
        <v>0.1916938</v>
      </c>
      <c r="X6741">
        <v>0.97557240000000001</v>
      </c>
      <c r="Y6741">
        <v>-0.25574590000000003</v>
      </c>
      <c r="Z6741">
        <v>-5.5654740000000001E-2</v>
      </c>
      <c r="AA6741">
        <v>0.96514069999999996</v>
      </c>
      <c r="AB6741">
        <v>30</v>
      </c>
      <c r="AC6741">
        <v>5.5204999999999904</v>
      </c>
      <c r="AD6741">
        <v>-1.1193712778889999</v>
      </c>
      <c r="AE6741">
        <v>12.6320099999999</v>
      </c>
      <c r="AF6741">
        <v>-3.5498580373340598</v>
      </c>
      <c r="AG6741">
        <v>-1.1193712778889999</v>
      </c>
      <c r="AH6741">
        <v>13.227270626060999</v>
      </c>
      <c r="AI6741">
        <v>94.672613454400206</v>
      </c>
      <c r="AJ6741">
        <v>105.022716961955</v>
      </c>
      <c r="AK6741">
        <v>13.741003324286201</v>
      </c>
      <c r="AL6741">
        <v>78.948351172710005</v>
      </c>
      <c r="AM6741">
        <v>96.276198038959507</v>
      </c>
      <c r="AN6741">
        <v>1.00000001151809</v>
      </c>
    </row>
    <row r="6742" spans="1:40" x14ac:dyDescent="0.25">
      <c r="A6742" t="str">
        <f>"20190312173055855"</f>
        <v>20190312173055855</v>
      </c>
      <c r="B6742" t="str">
        <f>"1552383055844295"</f>
        <v>1552383055844295</v>
      </c>
      <c r="C6742" t="s">
        <v>40</v>
      </c>
      <c r="D6742">
        <v>3.03518</v>
      </c>
      <c r="E6742">
        <v>0.43930730000000001</v>
      </c>
      <c r="F6742" t="s">
        <v>41</v>
      </c>
      <c r="G6742">
        <v>-188.57509999999999</v>
      </c>
      <c r="H6742" s="1">
        <v>-1.370905E-6</v>
      </c>
      <c r="I6742">
        <v>-37.76079</v>
      </c>
      <c r="J6742">
        <v>-193.98480000000001</v>
      </c>
      <c r="K6742">
        <v>1.119359</v>
      </c>
      <c r="L6742">
        <v>-50.477020000000003</v>
      </c>
      <c r="M6742">
        <v>0.61912780000000001</v>
      </c>
      <c r="N6742">
        <v>0</v>
      </c>
      <c r="O6742">
        <v>0.78513900000000003</v>
      </c>
      <c r="P6742">
        <v>0.52521249999999997</v>
      </c>
      <c r="Q6742">
        <v>0.1789829</v>
      </c>
      <c r="R6742">
        <v>0.8319356</v>
      </c>
      <c r="S6742">
        <v>1.236267</v>
      </c>
      <c r="T6742">
        <v>-0.25111820000000001</v>
      </c>
      <c r="U6742">
        <v>2.8833920000000002</v>
      </c>
      <c r="V6742">
        <v>-0.1070998</v>
      </c>
      <c r="W6742">
        <v>0.19165960000000001</v>
      </c>
      <c r="X6742">
        <v>0.97560040000000003</v>
      </c>
      <c r="Y6742">
        <v>-0.26041769999999997</v>
      </c>
      <c r="Z6742">
        <v>-5.6137010000000001E-2</v>
      </c>
      <c r="AA6742">
        <v>0.96386269999999996</v>
      </c>
      <c r="AB6742">
        <v>30</v>
      </c>
      <c r="AC6742">
        <v>5.4097000000000097</v>
      </c>
      <c r="AD6742">
        <v>-1.119360370905</v>
      </c>
      <c r="AE6742">
        <v>12.716229999999999</v>
      </c>
      <c r="AF6742">
        <v>-3.6023997798867602</v>
      </c>
      <c r="AG6742">
        <v>-1.119360370905</v>
      </c>
      <c r="AH6742">
        <v>13.2479654595542</v>
      </c>
      <c r="AI6742">
        <v>94.661155458610395</v>
      </c>
      <c r="AJ6742">
        <v>105.212111121139</v>
      </c>
      <c r="AK6742">
        <v>13.7745722485899</v>
      </c>
      <c r="AL6742">
        <v>78.950347075004998</v>
      </c>
      <c r="AM6742">
        <v>96.2647502801386</v>
      </c>
      <c r="AN6742">
        <v>0.99999995495617899</v>
      </c>
    </row>
    <row r="6743" spans="1:40" x14ac:dyDescent="0.25">
      <c r="A6743" t="str">
        <f>"20190312173055866"</f>
        <v>20190312173055866</v>
      </c>
      <c r="B6743" t="str">
        <f>"1552383055854055"</f>
        <v>1552383055854055</v>
      </c>
      <c r="C6743" t="s">
        <v>40</v>
      </c>
      <c r="D6743">
        <v>3.052969</v>
      </c>
      <c r="E6743">
        <v>0.43917830000000002</v>
      </c>
      <c r="F6743" t="s">
        <v>41</v>
      </c>
      <c r="G6743">
        <v>-188.5814</v>
      </c>
      <c r="H6743" s="1">
        <v>-1.4249070000000001E-6</v>
      </c>
      <c r="I6743">
        <v>-37.632280000000002</v>
      </c>
      <c r="J6743">
        <v>-193.8931</v>
      </c>
      <c r="K6743">
        <v>1.119348</v>
      </c>
      <c r="L6743">
        <v>-50.352110000000003</v>
      </c>
      <c r="M6743">
        <v>0.61447649999999998</v>
      </c>
      <c r="N6743">
        <v>0</v>
      </c>
      <c r="O6743">
        <v>0.78878470000000001</v>
      </c>
      <c r="P6743">
        <v>0.52040050000000004</v>
      </c>
      <c r="Q6743">
        <v>0.1789683</v>
      </c>
      <c r="R6743">
        <v>0.83495739999999996</v>
      </c>
      <c r="S6743">
        <v>1.2166440000000001</v>
      </c>
      <c r="T6743">
        <v>-0.2520405</v>
      </c>
      <c r="U6743">
        <v>2.8921809999999999</v>
      </c>
      <c r="V6743">
        <v>-0.106961899999999</v>
      </c>
      <c r="W6743">
        <v>0.19164880000000001</v>
      </c>
      <c r="X6743">
        <v>0.97561770000000003</v>
      </c>
      <c r="Y6743">
        <v>-0.26132450000000002</v>
      </c>
      <c r="Z6743">
        <v>-5.6652010000000003E-2</v>
      </c>
      <c r="AA6743">
        <v>0.96358699999999997</v>
      </c>
      <c r="AB6743">
        <v>30</v>
      </c>
      <c r="AC6743">
        <v>5.3117000000000001</v>
      </c>
      <c r="AD6743">
        <v>-1.119349424907</v>
      </c>
      <c r="AE6743">
        <v>12.7198299999999</v>
      </c>
      <c r="AF6743">
        <v>-3.6029211009664301</v>
      </c>
      <c r="AG6743">
        <v>-1.119349424907</v>
      </c>
      <c r="AH6743">
        <v>13.2115811141966</v>
      </c>
      <c r="AI6743">
        <v>94.672960003155197</v>
      </c>
      <c r="AJ6743">
        <v>105.25416048444301</v>
      </c>
      <c r="AK6743">
        <v>13.739718306130699</v>
      </c>
      <c r="AL6743">
        <v>78.950978100933</v>
      </c>
      <c r="AM6743">
        <v>96.256637835112002</v>
      </c>
      <c r="AN6743">
        <v>1.00000000357317</v>
      </c>
    </row>
    <row r="6744" spans="1:40" x14ac:dyDescent="0.25">
      <c r="A6744" t="str">
        <f>"20190312173055878"</f>
        <v>20190312173055878</v>
      </c>
      <c r="B6744" t="str">
        <f>"1552383055874553"</f>
        <v>1552383055874553</v>
      </c>
      <c r="C6744" t="s">
        <v>40</v>
      </c>
      <c r="D6744">
        <v>3.0887829999999998</v>
      </c>
      <c r="E6744">
        <v>0.43899579999999999</v>
      </c>
      <c r="F6744" t="s">
        <v>41</v>
      </c>
      <c r="G6744">
        <v>-188.58459999999999</v>
      </c>
      <c r="H6744" s="1">
        <v>-1.475909E-6</v>
      </c>
      <c r="I6744">
        <v>-37.512070000000001</v>
      </c>
      <c r="J6744">
        <v>-193.7953</v>
      </c>
      <c r="K6744">
        <v>1.1193360000000001</v>
      </c>
      <c r="L6744">
        <v>-50.216610000000003</v>
      </c>
      <c r="M6744">
        <v>0.60943349999999996</v>
      </c>
      <c r="N6744">
        <v>0</v>
      </c>
      <c r="O6744">
        <v>0.79268749999999999</v>
      </c>
      <c r="P6744">
        <v>0.51520900000000003</v>
      </c>
      <c r="Q6744">
        <v>0.17919689999999999</v>
      </c>
      <c r="R6744">
        <v>0.83812180000000003</v>
      </c>
      <c r="S6744">
        <v>1.1989289999999999</v>
      </c>
      <c r="T6744">
        <v>-0.25280580000000002</v>
      </c>
      <c r="U6744">
        <v>2.8999329999999999</v>
      </c>
      <c r="V6744">
        <v>-0.10676239999999999</v>
      </c>
      <c r="W6744">
        <v>0.19188189999999999</v>
      </c>
      <c r="X6744">
        <v>0.97559370000000001</v>
      </c>
      <c r="Y6744">
        <v>-0.26111590000000001</v>
      </c>
      <c r="Z6744">
        <v>-5.7189400000000001E-2</v>
      </c>
      <c r="AA6744">
        <v>0.96361189999999997</v>
      </c>
      <c r="AB6744">
        <v>30</v>
      </c>
      <c r="AC6744">
        <v>5.2107000000000001</v>
      </c>
      <c r="AD6744">
        <v>-1.119337475909</v>
      </c>
      <c r="AE6744">
        <v>12.7045399999999</v>
      </c>
      <c r="AF6744">
        <v>-3.5886981623214198</v>
      </c>
      <c r="AG6744">
        <v>-1.119337475909</v>
      </c>
      <c r="AH6744">
        <v>13.160429339649101</v>
      </c>
      <c r="AI6744">
        <v>94.691016665856694</v>
      </c>
      <c r="AJ6744">
        <v>105.253052693821</v>
      </c>
      <c r="AK6744">
        <v>13.6868028147234</v>
      </c>
      <c r="AL6744">
        <v>78.937369527380795</v>
      </c>
      <c r="AM6744">
        <v>96.245212974565206</v>
      </c>
      <c r="AN6744">
        <v>0.99999997054052903</v>
      </c>
    </row>
    <row r="6745" spans="1:40" x14ac:dyDescent="0.25">
      <c r="A6745" t="str">
        <f>"20190312173055898"</f>
        <v>20190312173055898</v>
      </c>
      <c r="B6745" t="str">
        <f>"1552383055894072"</f>
        <v>1552383055894072</v>
      </c>
      <c r="C6745" t="s">
        <v>40</v>
      </c>
      <c r="D6745">
        <v>3.0730390000000001</v>
      </c>
      <c r="E6745">
        <v>0.43902790000000003</v>
      </c>
      <c r="F6745" t="s">
        <v>41</v>
      </c>
      <c r="G6745">
        <v>-188.5461</v>
      </c>
      <c r="H6745" s="1">
        <v>-1.582759E-6</v>
      </c>
      <c r="I6745">
        <v>-37.278939999999999</v>
      </c>
      <c r="J6745">
        <v>-193.6412</v>
      </c>
      <c r="K6745">
        <v>1.119316</v>
      </c>
      <c r="L6745">
        <v>-49.999540000000003</v>
      </c>
      <c r="M6745">
        <v>0.60134659999999995</v>
      </c>
      <c r="N6745">
        <v>0</v>
      </c>
      <c r="O6745">
        <v>0.79883990000000005</v>
      </c>
      <c r="P6745">
        <v>0.50723609999999997</v>
      </c>
      <c r="Q6745">
        <v>0.1788245</v>
      </c>
      <c r="R6745">
        <v>0.84304999999999997</v>
      </c>
      <c r="S6745">
        <v>1.1798550000000001</v>
      </c>
      <c r="T6745">
        <v>-0.25158989999999998</v>
      </c>
      <c r="U6745">
        <v>2.907959</v>
      </c>
      <c r="V6745">
        <v>-0.1061289</v>
      </c>
      <c r="W6745">
        <v>0.19152569999999999</v>
      </c>
      <c r="X6745">
        <v>0.97573279999999996</v>
      </c>
      <c r="Y6745">
        <v>-0.25766299999999998</v>
      </c>
      <c r="Z6745">
        <v>-5.7576710000000003E-2</v>
      </c>
      <c r="AA6745">
        <v>0.96451790000000004</v>
      </c>
      <c r="AB6745">
        <v>30</v>
      </c>
      <c r="AC6745">
        <v>5.0951000000000004</v>
      </c>
      <c r="AD6745">
        <v>-1.1193175827590001</v>
      </c>
      <c r="AE6745">
        <v>12.7205999999999</v>
      </c>
      <c r="AF6745">
        <v>-3.55601813718655</v>
      </c>
      <c r="AG6745">
        <v>-1.1193175827590001</v>
      </c>
      <c r="AH6745">
        <v>13.1395417276781</v>
      </c>
      <c r="AI6745">
        <v>94.700788138450704</v>
      </c>
      <c r="AJ6745">
        <v>105.143473365616</v>
      </c>
      <c r="AK6745">
        <v>13.6581731449147</v>
      </c>
      <c r="AL6745">
        <v>78.958163924141303</v>
      </c>
      <c r="AM6745">
        <v>96.207567604484098</v>
      </c>
      <c r="AN6745">
        <v>0.99999996708576899</v>
      </c>
    </row>
    <row r="6746" spans="1:40" x14ac:dyDescent="0.25">
      <c r="A6746" t="str">
        <f>"20190312173055921"</f>
        <v>20190312173055921</v>
      </c>
      <c r="B6746" t="str">
        <f>"1552383055914568"</f>
        <v>1552383055914568</v>
      </c>
      <c r="C6746" t="s">
        <v>40</v>
      </c>
      <c r="D6746">
        <v>3.2386569999999999</v>
      </c>
      <c r="E6746">
        <v>0.43929279999999998</v>
      </c>
      <c r="F6746" t="s">
        <v>41</v>
      </c>
      <c r="G6746">
        <v>-188.5299</v>
      </c>
      <c r="H6746" s="1">
        <v>-1.681978E-6</v>
      </c>
      <c r="I6746">
        <v>-37.054340000000003</v>
      </c>
      <c r="J6746">
        <v>-193.47239999999999</v>
      </c>
      <c r="K6746">
        <v>1.119294</v>
      </c>
      <c r="L6746">
        <v>-49.75638</v>
      </c>
      <c r="M6746">
        <v>0.59227980000000002</v>
      </c>
      <c r="N6746">
        <v>0</v>
      </c>
      <c r="O6746">
        <v>0.80558529999999995</v>
      </c>
      <c r="P6746">
        <v>0.49827779999999999</v>
      </c>
      <c r="Q6746">
        <v>0.17856</v>
      </c>
      <c r="R6746">
        <v>0.84843119999999905</v>
      </c>
      <c r="S6746">
        <v>1.1524049999999999</v>
      </c>
      <c r="T6746">
        <v>-0.25236540000000002</v>
      </c>
      <c r="U6746">
        <v>2.9186709999999998</v>
      </c>
      <c r="V6746">
        <v>-0.10544920000000001</v>
      </c>
      <c r="W6746">
        <v>0.19127859999999999</v>
      </c>
      <c r="X6746">
        <v>0.97585500000000003</v>
      </c>
      <c r="Y6746">
        <v>-0.25581379999999998</v>
      </c>
      <c r="Z6746">
        <v>-5.8439499999999998E-2</v>
      </c>
      <c r="AA6746">
        <v>0.96495810000000004</v>
      </c>
      <c r="AB6746">
        <v>30</v>
      </c>
      <c r="AC6746">
        <v>4.9424999999999901</v>
      </c>
      <c r="AD6746">
        <v>-1.119295681978</v>
      </c>
      <c r="AE6746">
        <v>12.702039999999901</v>
      </c>
      <c r="AF6746">
        <v>-3.5182491830363198</v>
      </c>
      <c r="AG6746">
        <v>-1.119295681978</v>
      </c>
      <c r="AH6746">
        <v>13.073313441112701</v>
      </c>
      <c r="AI6746">
        <v>94.726198606028802</v>
      </c>
      <c r="AJ6746">
        <v>105.062403060205</v>
      </c>
      <c r="AK6746">
        <v>13.5846392836619</v>
      </c>
      <c r="AL6746">
        <v>78.972588861641697</v>
      </c>
      <c r="AM6746">
        <v>96.1673523764061</v>
      </c>
      <c r="AN6746">
        <v>1.0000000088118</v>
      </c>
    </row>
    <row r="6747" spans="1:40" x14ac:dyDescent="0.25">
      <c r="A6747" t="str">
        <f>"20190312173055942"</f>
        <v>20190312173055942</v>
      </c>
      <c r="B6747" t="str">
        <f>"1552383055934090"</f>
        <v>1552383055934090</v>
      </c>
      <c r="C6747" t="s">
        <v>40</v>
      </c>
      <c r="D6747">
        <v>3.1695489999999999</v>
      </c>
      <c r="E6747">
        <v>0.43956200000000001</v>
      </c>
      <c r="F6747" t="s">
        <v>41</v>
      </c>
      <c r="G6747">
        <v>-188.50309999999999</v>
      </c>
      <c r="H6747" s="1">
        <v>-1.800234E-6</v>
      </c>
      <c r="I6747">
        <v>-36.789749999999998</v>
      </c>
      <c r="J6747">
        <v>-193.31299999999999</v>
      </c>
      <c r="K6747">
        <v>1.11927</v>
      </c>
      <c r="L6747">
        <v>-49.521270000000001</v>
      </c>
      <c r="M6747">
        <v>0.58350429999999998</v>
      </c>
      <c r="N6747">
        <v>0</v>
      </c>
      <c r="O6747">
        <v>0.81196429999999997</v>
      </c>
      <c r="P6747">
        <v>0.48969040000000003</v>
      </c>
      <c r="Q6747">
        <v>0.1782001</v>
      </c>
      <c r="R6747">
        <v>0.85349169999999996</v>
      </c>
      <c r="S6747">
        <v>1.122787</v>
      </c>
      <c r="T6747">
        <v>-0.25290240000000003</v>
      </c>
      <c r="U6747">
        <v>2.9297789999999999</v>
      </c>
      <c r="V6747">
        <v>-0.1047317</v>
      </c>
      <c r="W6747">
        <v>0.19093650000000001</v>
      </c>
      <c r="X6747">
        <v>0.97599919999999996</v>
      </c>
      <c r="Y6747">
        <v>-0.25506390000000001</v>
      </c>
      <c r="Z6747">
        <v>-5.9192429999999997E-2</v>
      </c>
      <c r="AA6747">
        <v>0.96511069999999999</v>
      </c>
      <c r="AB6747">
        <v>30</v>
      </c>
      <c r="AC6747">
        <v>4.8098999999999901</v>
      </c>
      <c r="AD6747">
        <v>-1.1192718002339901</v>
      </c>
      <c r="AE6747">
        <v>12.73152</v>
      </c>
      <c r="AF6747">
        <v>-3.5001734616460598</v>
      </c>
      <c r="AG6747">
        <v>-1.1192718002339901</v>
      </c>
      <c r="AH6747">
        <v>13.057380223765399</v>
      </c>
      <c r="AI6747">
        <v>94.733085250448198</v>
      </c>
      <c r="AJ6747">
        <v>105.005972965149</v>
      </c>
      <c r="AK6747">
        <v>13.5646290746334</v>
      </c>
      <c r="AL6747">
        <v>78.992557217949695</v>
      </c>
      <c r="AM6747">
        <v>96.124810289405303</v>
      </c>
      <c r="AN6747">
        <v>0.99999995720888901</v>
      </c>
    </row>
    <row r="6748" spans="1:40" x14ac:dyDescent="0.25">
      <c r="A6748" t="str">
        <f>"20190312173055965"</f>
        <v>20190312173055965</v>
      </c>
      <c r="B6748" t="str">
        <f>"1552383055954583"</f>
        <v>1552383055954583</v>
      </c>
      <c r="C6748" t="s">
        <v>40</v>
      </c>
      <c r="D6748">
        <v>3.099313</v>
      </c>
      <c r="E6748">
        <v>0.43999280000000002</v>
      </c>
      <c r="F6748" t="s">
        <v>41</v>
      </c>
      <c r="G6748">
        <v>-188.4632</v>
      </c>
      <c r="H6748" s="1">
        <v>-1.9309279999999999E-6</v>
      </c>
      <c r="I6748">
        <v>-36.501609999999999</v>
      </c>
      <c r="J6748">
        <v>-193.1534</v>
      </c>
      <c r="K6748">
        <v>1.119243</v>
      </c>
      <c r="L6748">
        <v>-49.279820000000001</v>
      </c>
      <c r="M6748">
        <v>0.57448699999999997</v>
      </c>
      <c r="N6748">
        <v>0</v>
      </c>
      <c r="O6748">
        <v>0.81836919999999902</v>
      </c>
      <c r="P6748">
        <v>0.48100540000000003</v>
      </c>
      <c r="Q6748">
        <v>0.17771229999999999</v>
      </c>
      <c r="R6748">
        <v>0.85851749999999905</v>
      </c>
      <c r="S6748">
        <v>1.0949549999999999</v>
      </c>
      <c r="T6748">
        <v>-0.25270120000000001</v>
      </c>
      <c r="U6748">
        <v>2.9394840000000002</v>
      </c>
      <c r="V6748">
        <v>-0.1038724</v>
      </c>
      <c r="W6748">
        <v>0.1904708</v>
      </c>
      <c r="X6748">
        <v>0.97618199999999999</v>
      </c>
      <c r="Y6748">
        <v>-0.25344109999999997</v>
      </c>
      <c r="Z6748">
        <v>-5.9806789999999999E-2</v>
      </c>
      <c r="AA6748">
        <v>0.96550029999999998</v>
      </c>
      <c r="AB6748">
        <v>30</v>
      </c>
      <c r="AC6748">
        <v>4.6901999999999999</v>
      </c>
      <c r="AD6748">
        <v>-1.1192449309279999</v>
      </c>
      <c r="AE6748">
        <v>12.77821</v>
      </c>
      <c r="AF6748">
        <v>-3.4794892990155399</v>
      </c>
      <c r="AG6748">
        <v>-1.1192449309279999</v>
      </c>
      <c r="AH6748">
        <v>13.064973966197</v>
      </c>
      <c r="AI6748">
        <v>94.732276224194194</v>
      </c>
      <c r="AJ6748">
        <v>104.912975861443</v>
      </c>
      <c r="AK6748">
        <v>13.566617107251799</v>
      </c>
      <c r="AL6748">
        <v>79.019738618206006</v>
      </c>
      <c r="AM6748">
        <v>96.073805824043703</v>
      </c>
      <c r="AN6748">
        <v>0.99999994912919798</v>
      </c>
    </row>
    <row r="6749" spans="1:40" x14ac:dyDescent="0.25">
      <c r="A6749" t="str">
        <f>"20190312173055976"</f>
        <v>20190312173055976</v>
      </c>
      <c r="B6749" t="str">
        <f>"1552383055964344"</f>
        <v>1552383055964344</v>
      </c>
      <c r="C6749" t="s">
        <v>40</v>
      </c>
      <c r="D6749">
        <v>3.1387520000000002</v>
      </c>
      <c r="E6749">
        <v>0.44032359999999998</v>
      </c>
      <c r="F6749" t="s">
        <v>41</v>
      </c>
      <c r="G6749">
        <v>-188.4639</v>
      </c>
      <c r="H6749" s="1">
        <v>-2.0035540000000002E-6</v>
      </c>
      <c r="I6749">
        <v>-36.33202</v>
      </c>
      <c r="J6749">
        <v>-193.06720000000001</v>
      </c>
      <c r="K6749">
        <v>1.1192329999999999</v>
      </c>
      <c r="L6749">
        <v>-49.14667</v>
      </c>
      <c r="M6749">
        <v>0.56951619999999903</v>
      </c>
      <c r="N6749">
        <v>0</v>
      </c>
      <c r="O6749">
        <v>0.82183629999999996</v>
      </c>
      <c r="P6749">
        <v>0.47605530000000001</v>
      </c>
      <c r="Q6749">
        <v>0.17747299999999999</v>
      </c>
      <c r="R6749">
        <v>0.86132149999999996</v>
      </c>
      <c r="S6749">
        <v>1.067993</v>
      </c>
      <c r="T6749">
        <v>-0.25490210000000002</v>
      </c>
      <c r="U6749">
        <v>2.9487920000000001</v>
      </c>
      <c r="V6749">
        <v>-0.1035904</v>
      </c>
      <c r="W6749">
        <v>0.19023860000000001</v>
      </c>
      <c r="X6749">
        <v>0.97625729999999999</v>
      </c>
      <c r="Y6749">
        <v>-0.25636949999999997</v>
      </c>
      <c r="Z6749">
        <v>-6.059672E-2</v>
      </c>
      <c r="AA6749">
        <v>0.96467749999999997</v>
      </c>
      <c r="AB6749">
        <v>30</v>
      </c>
      <c r="AC6749">
        <v>4.6033000000000097</v>
      </c>
      <c r="AD6749">
        <v>-1.119235003554</v>
      </c>
      <c r="AE6749">
        <v>12.81465</v>
      </c>
      <c r="AF6749">
        <v>-3.4918149351540002</v>
      </c>
      <c r="AG6749">
        <v>-1.119235003554</v>
      </c>
      <c r="AH6749">
        <v>13.0664702340092</v>
      </c>
      <c r="AI6749">
        <v>94.730624318753399</v>
      </c>
      <c r="AJ6749">
        <v>104.961800858636</v>
      </c>
      <c r="AK6749">
        <v>13.571223338770601</v>
      </c>
      <c r="AL6749">
        <v>79.033291119541403</v>
      </c>
      <c r="AM6749">
        <v>96.056975251672995</v>
      </c>
      <c r="AN6749">
        <v>1.0000000058527001</v>
      </c>
    </row>
    <row r="6750" spans="1:40" x14ac:dyDescent="0.25">
      <c r="A6750" t="str">
        <f>"20190312173055999"</f>
        <v>20190312173055999</v>
      </c>
      <c r="B6750" t="str">
        <f>"1552383055994600"</f>
        <v>1552383055994600</v>
      </c>
      <c r="C6750" t="s">
        <v>40</v>
      </c>
      <c r="D6750">
        <v>3.1261649999999999</v>
      </c>
      <c r="E6750">
        <v>0.4410599</v>
      </c>
      <c r="F6750" t="s">
        <v>41</v>
      </c>
      <c r="G6750">
        <v>-188.46520000000001</v>
      </c>
      <c r="H6750" s="1">
        <v>-2.0422070000000001E-6</v>
      </c>
      <c r="I6750">
        <v>-36.241390000000003</v>
      </c>
      <c r="J6750">
        <v>-192.90700000000001</v>
      </c>
      <c r="K6750">
        <v>1.11921</v>
      </c>
      <c r="L6750">
        <v>-48.895200000000003</v>
      </c>
      <c r="M6750">
        <v>0.56011109999999997</v>
      </c>
      <c r="N6750">
        <v>0</v>
      </c>
      <c r="O6750">
        <v>0.82827489999999904</v>
      </c>
      <c r="P6750">
        <v>0.46682030000000002</v>
      </c>
      <c r="Q6750">
        <v>0.1773972</v>
      </c>
      <c r="R6750">
        <v>0.86637699999999995</v>
      </c>
      <c r="S6750">
        <v>1.0532680000000001</v>
      </c>
      <c r="T6750">
        <v>-0.25616299999999997</v>
      </c>
      <c r="U6750">
        <v>2.9536739999999999</v>
      </c>
      <c r="V6750">
        <v>-0.10289239999999999</v>
      </c>
      <c r="W6750">
        <v>0.1901796</v>
      </c>
      <c r="X6750">
        <v>0.97634259999999995</v>
      </c>
      <c r="Y6750">
        <v>-0.25013760000000002</v>
      </c>
      <c r="Z6750">
        <v>-6.1675010000000002E-2</v>
      </c>
      <c r="AA6750">
        <v>0.96624399999999999</v>
      </c>
      <c r="AB6750">
        <v>30</v>
      </c>
      <c r="AC6750">
        <v>4.4417999999999997</v>
      </c>
      <c r="AD6750">
        <v>-1.119212042207</v>
      </c>
      <c r="AE6750">
        <v>12.65381</v>
      </c>
      <c r="AF6750">
        <v>-3.38533201660259</v>
      </c>
      <c r="AG6750">
        <v>-1.119212042207</v>
      </c>
      <c r="AH6750">
        <v>12.880554466574701</v>
      </c>
      <c r="AI6750">
        <v>94.803709082985606</v>
      </c>
      <c r="AJ6750">
        <v>104.72572444211301</v>
      </c>
      <c r="AK6750">
        <v>13.364946383149199</v>
      </c>
      <c r="AL6750">
        <v>79.036734361446307</v>
      </c>
      <c r="AM6750">
        <v>96.015941460626607</v>
      </c>
      <c r="AN6750">
        <v>0.99999999940433904</v>
      </c>
    </row>
    <row r="6751" spans="1:40" x14ac:dyDescent="0.25">
      <c r="A6751" t="str">
        <f>"20190312173056020"</f>
        <v>20190312173056020</v>
      </c>
      <c r="B6751" t="str">
        <f>"1552383056014120"</f>
        <v>1552383056014120</v>
      </c>
      <c r="C6751" t="s">
        <v>40</v>
      </c>
      <c r="D6751">
        <v>3.1056620000000001</v>
      </c>
      <c r="E6751">
        <v>0.44142360000000003</v>
      </c>
      <c r="F6751" t="s">
        <v>41</v>
      </c>
      <c r="G6751">
        <v>-188.4855</v>
      </c>
      <c r="H6751" s="1">
        <v>-2.0802169999999998E-6</v>
      </c>
      <c r="I6751">
        <v>-36.144379999999998</v>
      </c>
      <c r="J6751">
        <v>-192.7534</v>
      </c>
      <c r="K6751">
        <v>1.119189</v>
      </c>
      <c r="L6751">
        <v>-48.648069999999997</v>
      </c>
      <c r="M6751">
        <v>0.55085919999999999</v>
      </c>
      <c r="N6751">
        <v>0</v>
      </c>
      <c r="O6751">
        <v>0.83445669999999905</v>
      </c>
      <c r="P6751">
        <v>0.45768029999999998</v>
      </c>
      <c r="Q6751">
        <v>0.1772967</v>
      </c>
      <c r="R6751">
        <v>0.87126029999999999</v>
      </c>
      <c r="S6751">
        <v>1.0272520000000001</v>
      </c>
      <c r="T6751">
        <v>-0.26002960000000003</v>
      </c>
      <c r="U6751">
        <v>2.9624329999999999</v>
      </c>
      <c r="V6751">
        <v>-0.10229439999999999</v>
      </c>
      <c r="W6751">
        <v>0.1900935</v>
      </c>
      <c r="X6751">
        <v>0.97642220000000002</v>
      </c>
      <c r="Y6751">
        <v>-0.24785219999999999</v>
      </c>
      <c r="Z6751">
        <v>-6.3269759999999994E-2</v>
      </c>
      <c r="AA6751">
        <v>0.96672959999999997</v>
      </c>
      <c r="AB6751">
        <v>30</v>
      </c>
      <c r="AC6751">
        <v>4.2678999999999903</v>
      </c>
      <c r="AD6751">
        <v>-1.119191080217</v>
      </c>
      <c r="AE6751">
        <v>12.503690000000001</v>
      </c>
      <c r="AF6751">
        <v>-3.3030854695678702</v>
      </c>
      <c r="AG6751">
        <v>-1.119191080217</v>
      </c>
      <c r="AH6751">
        <v>12.6952113946677</v>
      </c>
      <c r="AI6751">
        <v>94.876551040680297</v>
      </c>
      <c r="AJ6751">
        <v>104.584067760466</v>
      </c>
      <c r="AK6751">
        <v>13.1655366259264</v>
      </c>
      <c r="AL6751">
        <v>79.041759175346201</v>
      </c>
      <c r="AM6751">
        <v>95.980747560204804</v>
      </c>
      <c r="AN6751">
        <v>0.99999999783322502</v>
      </c>
    </row>
    <row r="6752" spans="1:40" x14ac:dyDescent="0.25">
      <c r="A6752" t="str">
        <f>"20190312173056044"</f>
        <v>20190312173056044</v>
      </c>
      <c r="B6752" t="str">
        <f>"1552383056034615"</f>
        <v>1552383056034615</v>
      </c>
      <c r="C6752" t="s">
        <v>40</v>
      </c>
      <c r="D6752">
        <v>3.144771</v>
      </c>
      <c r="E6752">
        <v>0.44194270000000002</v>
      </c>
      <c r="F6752" t="s">
        <v>41</v>
      </c>
      <c r="G6752">
        <v>-188.45760000000001</v>
      </c>
      <c r="H6752" s="1">
        <v>-2.2063590000000001E-6</v>
      </c>
      <c r="I6752">
        <v>-35.861899999999999</v>
      </c>
      <c r="J6752">
        <v>-192.59989999999999</v>
      </c>
      <c r="K6752">
        <v>1.1191690000000001</v>
      </c>
      <c r="L6752">
        <v>-48.394620000000003</v>
      </c>
      <c r="M6752">
        <v>0.54136479999999998</v>
      </c>
      <c r="N6752">
        <v>0</v>
      </c>
      <c r="O6752">
        <v>0.84064749999999999</v>
      </c>
      <c r="P6752">
        <v>0.44840629999999998</v>
      </c>
      <c r="Q6752">
        <v>0.17693229999999999</v>
      </c>
      <c r="R6752">
        <v>0.87614319999999901</v>
      </c>
      <c r="S6752">
        <v>0.99842830000000005</v>
      </c>
      <c r="T6752">
        <v>-0.26012049999999998</v>
      </c>
      <c r="U6752">
        <v>2.9717410000000002</v>
      </c>
      <c r="V6752">
        <v>-0.101609</v>
      </c>
      <c r="W6752">
        <v>0.1897461</v>
      </c>
      <c r="X6752">
        <v>0.97656129999999997</v>
      </c>
      <c r="Y6752">
        <v>-0.24621779999999999</v>
      </c>
      <c r="Z6752">
        <v>-6.3950179999999995E-2</v>
      </c>
      <c r="AA6752">
        <v>0.96710249999999998</v>
      </c>
      <c r="AB6752">
        <v>30</v>
      </c>
      <c r="AC6752">
        <v>4.1422999999999703</v>
      </c>
      <c r="AD6752">
        <v>-1.119171206359</v>
      </c>
      <c r="AE6752">
        <v>12.532719999999999</v>
      </c>
      <c r="AF6752">
        <v>-3.2793731680193399</v>
      </c>
      <c r="AG6752">
        <v>-1.119171206359</v>
      </c>
      <c r="AH6752">
        <v>12.6883844745734</v>
      </c>
      <c r="AI6752">
        <v>94.881116040061997</v>
      </c>
      <c r="AJ6752">
        <v>104.491254521955</v>
      </c>
      <c r="AK6752">
        <v>13.1530199246737</v>
      </c>
      <c r="AL6752">
        <v>79.062032429673394</v>
      </c>
      <c r="AM6752">
        <v>95.940122336704505</v>
      </c>
      <c r="AN6752">
        <v>0.99999997200194901</v>
      </c>
    </row>
    <row r="6753" spans="1:40" x14ac:dyDescent="0.25">
      <c r="A6753" t="str">
        <f>"20190312173056056"</f>
        <v>20190312173056056</v>
      </c>
      <c r="B6753" t="str">
        <f>"1552383056044377"</f>
        <v>1552383056044377</v>
      </c>
      <c r="C6753" t="s">
        <v>40</v>
      </c>
      <c r="D6753">
        <v>3.1438039999999998</v>
      </c>
      <c r="E6753">
        <v>0.44213609999999998</v>
      </c>
      <c r="F6753" t="s">
        <v>41</v>
      </c>
      <c r="G6753">
        <v>-188.43520000000001</v>
      </c>
      <c r="H6753" s="1">
        <v>-2.324481E-6</v>
      </c>
      <c r="I6753">
        <v>-35.595840000000003</v>
      </c>
      <c r="J6753">
        <v>-192.5127</v>
      </c>
      <c r="K6753">
        <v>1.1191549999999999</v>
      </c>
      <c r="L6753">
        <v>-48.247190000000003</v>
      </c>
      <c r="M6753">
        <v>0.53584339999999997</v>
      </c>
      <c r="N6753">
        <v>0</v>
      </c>
      <c r="O6753">
        <v>0.84417770000000003</v>
      </c>
      <c r="P6753">
        <v>0.44279209999999902</v>
      </c>
      <c r="Q6753">
        <v>0.1768719</v>
      </c>
      <c r="R6753">
        <v>0.87900599999999995</v>
      </c>
      <c r="S6753">
        <v>0.96981810000000002</v>
      </c>
      <c r="T6753">
        <v>-0.26061489999999998</v>
      </c>
      <c r="U6753">
        <v>2.9803769999999998</v>
      </c>
      <c r="V6753">
        <v>-0.10145419999999999</v>
      </c>
      <c r="W6753">
        <v>0.18968940000000001</v>
      </c>
      <c r="X6753">
        <v>0.97658840000000002</v>
      </c>
      <c r="Y6753">
        <v>-0.24908640000000001</v>
      </c>
      <c r="Z6753">
        <v>-6.4369309999999999E-2</v>
      </c>
      <c r="AA6753">
        <v>0.96633979999999997</v>
      </c>
      <c r="AB6753">
        <v>30</v>
      </c>
      <c r="AC6753">
        <v>4.0774999999999801</v>
      </c>
      <c r="AD6753">
        <v>-1.11915732448099</v>
      </c>
      <c r="AE6753">
        <v>12.651350000000001</v>
      </c>
      <c r="AF6753">
        <v>-3.3139089494788099</v>
      </c>
      <c r="AG6753">
        <v>-1.11915732448099</v>
      </c>
      <c r="AH6753">
        <v>12.7758378257516</v>
      </c>
      <c r="AI6753">
        <v>94.846710311087193</v>
      </c>
      <c r="AJ6753">
        <v>104.54140830649899</v>
      </c>
      <c r="AK6753">
        <v>13.2460008225985</v>
      </c>
      <c r="AL6753">
        <v>79.065341093363998</v>
      </c>
      <c r="AM6753">
        <v>95.9309737841604</v>
      </c>
      <c r="AN6753">
        <v>0.99999996309227901</v>
      </c>
    </row>
    <row r="6754" spans="1:40" x14ac:dyDescent="0.25">
      <c r="A6754" t="str">
        <f>"20190312173056076"</f>
        <v>20190312173056076</v>
      </c>
      <c r="B6754" t="str">
        <f>"1552383056063896"</f>
        <v>1552383056063896</v>
      </c>
      <c r="C6754" t="s">
        <v>40</v>
      </c>
      <c r="D6754">
        <v>3.12704</v>
      </c>
      <c r="E6754">
        <v>0.44259310000000002</v>
      </c>
      <c r="F6754" t="s">
        <v>41</v>
      </c>
      <c r="G6754">
        <v>-188.42269999999999</v>
      </c>
      <c r="H6754" s="1">
        <v>-2.4011569999999999E-6</v>
      </c>
      <c r="I6754">
        <v>-35.422259999999902</v>
      </c>
      <c r="J6754">
        <v>-192.38239999999999</v>
      </c>
      <c r="K6754">
        <v>1.1191310000000001</v>
      </c>
      <c r="L6754">
        <v>-48.023130000000002</v>
      </c>
      <c r="M6754">
        <v>0.52744119999999906</v>
      </c>
      <c r="N6754">
        <v>0</v>
      </c>
      <c r="O6754">
        <v>0.84945289999999996</v>
      </c>
      <c r="P6754">
        <v>0.43462909999999999</v>
      </c>
      <c r="Q6754">
        <v>0.17684649999999999</v>
      </c>
      <c r="R6754">
        <v>0.88307579999999997</v>
      </c>
      <c r="S6754">
        <v>0.95219419999999999</v>
      </c>
      <c r="T6754">
        <v>-0.26054629999999901</v>
      </c>
      <c r="U6754">
        <v>2.9857179999999999</v>
      </c>
      <c r="V6754">
        <v>-0.1008024</v>
      </c>
      <c r="W6754">
        <v>0.1896796</v>
      </c>
      <c r="X6754">
        <v>0.97665789999999997</v>
      </c>
      <c r="Y6754">
        <v>-0.2451615</v>
      </c>
      <c r="Z6754">
        <v>-6.4973489999999995E-2</v>
      </c>
      <c r="AA6754">
        <v>0.96730260000000001</v>
      </c>
      <c r="AB6754">
        <v>30</v>
      </c>
      <c r="AC6754">
        <v>3.95969999999999</v>
      </c>
      <c r="AD6754">
        <v>-1.11913340115699</v>
      </c>
      <c r="AE6754">
        <v>12.60087</v>
      </c>
      <c r="AF6754">
        <v>-3.25962512440237</v>
      </c>
      <c r="AG6754">
        <v>-1.11913340115699</v>
      </c>
      <c r="AH6754">
        <v>12.702668701529101</v>
      </c>
      <c r="AI6754">
        <v>94.877652573110694</v>
      </c>
      <c r="AJ6754">
        <v>104.392104211142</v>
      </c>
      <c r="AK6754">
        <v>13.1618922523331</v>
      </c>
      <c r="AL6754">
        <v>79.065914092141</v>
      </c>
      <c r="AM6754">
        <v>95.8927224202194</v>
      </c>
      <c r="AN6754">
        <v>1.00000006406716</v>
      </c>
    </row>
    <row r="6755" spans="1:40" x14ac:dyDescent="0.25">
      <c r="A6755" t="str">
        <f>"20190312173056100"</f>
        <v>20190312173056100</v>
      </c>
      <c r="B6755" t="str">
        <f>"1552383056094151"</f>
        <v>1552383056094151</v>
      </c>
      <c r="C6755" t="s">
        <v>40</v>
      </c>
      <c r="D6755">
        <v>3.147516</v>
      </c>
      <c r="E6755">
        <v>0.44280049999999999</v>
      </c>
      <c r="F6755" t="s">
        <v>41</v>
      </c>
      <c r="G6755">
        <v>-188.3905</v>
      </c>
      <c r="H6755" s="1">
        <v>-2.5262879999999999E-6</v>
      </c>
      <c r="I6755">
        <v>-35.143889999999999</v>
      </c>
      <c r="J6755">
        <v>-192.2312</v>
      </c>
      <c r="K6755">
        <v>1.119108</v>
      </c>
      <c r="L6755">
        <v>-47.757109999999997</v>
      </c>
      <c r="M6755">
        <v>0.51745459999999999</v>
      </c>
      <c r="N6755">
        <v>0</v>
      </c>
      <c r="O6755">
        <v>0.85557309999999998</v>
      </c>
      <c r="P6755">
        <v>0.42435050000000002</v>
      </c>
      <c r="Q6755">
        <v>0.17690839999999999</v>
      </c>
      <c r="R6755">
        <v>0.88804850000000002</v>
      </c>
      <c r="S6755">
        <v>0.927597</v>
      </c>
      <c r="T6755">
        <v>-0.26005450000000002</v>
      </c>
      <c r="U6755">
        <v>2.9927670000000002</v>
      </c>
      <c r="V6755">
        <v>-0.10068050000000001</v>
      </c>
      <c r="W6755">
        <v>0.18974369999999999</v>
      </c>
      <c r="X6755">
        <v>0.97665789999999997</v>
      </c>
      <c r="Y6755">
        <v>-0.2417067</v>
      </c>
      <c r="Z6755">
        <v>-6.5550709999999998E-2</v>
      </c>
      <c r="AA6755">
        <v>0.96813269999999996</v>
      </c>
      <c r="AB6755">
        <v>30</v>
      </c>
      <c r="AC6755">
        <v>3.8406999999999898</v>
      </c>
      <c r="AD6755">
        <v>-1.1191105262879999</v>
      </c>
      <c r="AE6755">
        <v>12.613219999999901</v>
      </c>
      <c r="AF6755">
        <v>-3.2179677523812602</v>
      </c>
      <c r="AG6755">
        <v>-1.1191105262879999</v>
      </c>
      <c r="AH6755">
        <v>12.689009897073801</v>
      </c>
      <c r="AI6755">
        <v>94.886278969274002</v>
      </c>
      <c r="AJ6755">
        <v>104.23035782798</v>
      </c>
      <c r="AK6755">
        <v>13.138443476814601</v>
      </c>
      <c r="AL6755">
        <v>79.062172176024404</v>
      </c>
      <c r="AM6755">
        <v>95.885646425598907</v>
      </c>
      <c r="AN6755">
        <v>0.999999944201173</v>
      </c>
    </row>
    <row r="6756" spans="1:40" x14ac:dyDescent="0.25">
      <c r="A6756" t="str">
        <f>"20190312173056126"</f>
        <v>20190312173056126</v>
      </c>
      <c r="B6756" t="str">
        <f>"1552383056114649"</f>
        <v>1552383056114649</v>
      </c>
      <c r="C6756" t="s">
        <v>40</v>
      </c>
      <c r="D6756">
        <v>3.1373090000000001</v>
      </c>
      <c r="E6756">
        <v>0.44261780000000001</v>
      </c>
      <c r="F6756" t="s">
        <v>41</v>
      </c>
      <c r="G6756">
        <v>-188.3801</v>
      </c>
      <c r="H6756" s="1">
        <v>-2.664668E-6</v>
      </c>
      <c r="I6756">
        <v>-34.825629999999997</v>
      </c>
      <c r="J6756">
        <v>-192.0693</v>
      </c>
      <c r="K6756">
        <v>1.1190800000000001</v>
      </c>
      <c r="L6756">
        <v>-47.463410000000003</v>
      </c>
      <c r="M6756">
        <v>0.5064206</v>
      </c>
      <c r="N6756">
        <v>0</v>
      </c>
      <c r="O6756">
        <v>0.86215019999999998</v>
      </c>
      <c r="P6756">
        <v>0.41336329999999999</v>
      </c>
      <c r="Q6756">
        <v>0.17701210000000001</v>
      </c>
      <c r="R6756">
        <v>0.89319519999999997</v>
      </c>
      <c r="S6756">
        <v>0.89422610000000002</v>
      </c>
      <c r="T6756">
        <v>-0.25985429999999998</v>
      </c>
      <c r="U6756">
        <v>3.0026549999999999</v>
      </c>
      <c r="V6756">
        <v>-0.1001589</v>
      </c>
      <c r="W6756">
        <v>0.18985940000000001</v>
      </c>
      <c r="X6756">
        <v>0.97668909999999998</v>
      </c>
      <c r="Y6756">
        <v>-0.2400023</v>
      </c>
      <c r="Z6756">
        <v>-6.6197560000000003E-2</v>
      </c>
      <c r="AA6756">
        <v>0.9685127</v>
      </c>
      <c r="AB6756">
        <v>30</v>
      </c>
      <c r="AC6756">
        <v>3.6892</v>
      </c>
      <c r="AD6756">
        <v>-1.1190826646680001</v>
      </c>
      <c r="AE6756">
        <v>12.637779999999999</v>
      </c>
      <c r="AF6756">
        <v>-3.1966688404333299</v>
      </c>
      <c r="AG6756">
        <v>-1.1190826646680001</v>
      </c>
      <c r="AH6756">
        <v>12.6738779966136</v>
      </c>
      <c r="AI6756">
        <v>94.893558027512199</v>
      </c>
      <c r="AJ6756">
        <v>104.15616445507401</v>
      </c>
      <c r="AK6756">
        <v>13.118621160731999</v>
      </c>
      <c r="AL6756">
        <v>79.055420912904196</v>
      </c>
      <c r="AM6756">
        <v>95.855181050434496</v>
      </c>
      <c r="AN6756">
        <v>0.99999999753818902</v>
      </c>
    </row>
    <row r="6757" spans="1:40" x14ac:dyDescent="0.25">
      <c r="A6757" t="str">
        <f>"20190312173056145"</f>
        <v>20190312173056145</v>
      </c>
      <c r="B6757" t="str">
        <f>"1552383056134171"</f>
        <v>1552383056134171</v>
      </c>
      <c r="C6757" t="s">
        <v>40</v>
      </c>
      <c r="D6757">
        <v>3.1406670000000001</v>
      </c>
      <c r="E6757">
        <v>0.4426638</v>
      </c>
      <c r="F6757" t="s">
        <v>41</v>
      </c>
      <c r="G6757">
        <v>-188.37459999999999</v>
      </c>
      <c r="H6757" s="1">
        <v>-2.8245459999999998E-6</v>
      </c>
      <c r="I6757">
        <v>-34.455199999999998</v>
      </c>
      <c r="J6757">
        <v>-191.94319999999999</v>
      </c>
      <c r="K6757">
        <v>1.1190599999999999</v>
      </c>
      <c r="L6757">
        <v>-47.22824</v>
      </c>
      <c r="M6757">
        <v>0.49757990000000002</v>
      </c>
      <c r="N6757">
        <v>0</v>
      </c>
      <c r="O6757">
        <v>0.86728259999999902</v>
      </c>
      <c r="P6757">
        <v>0.40458759999999999</v>
      </c>
      <c r="Q6757">
        <v>0.17684159999999999</v>
      </c>
      <c r="R6757">
        <v>0.89723790000000003</v>
      </c>
      <c r="S6757">
        <v>0.8560333</v>
      </c>
      <c r="T6757">
        <v>-0.25928649999999998</v>
      </c>
      <c r="U6757">
        <v>3.0139469999999999</v>
      </c>
      <c r="V6757">
        <v>-9.9749459999999998E-2</v>
      </c>
      <c r="W6757">
        <v>0.1896988</v>
      </c>
      <c r="X6757">
        <v>0.97676220000000002</v>
      </c>
      <c r="Y6757">
        <v>-0.24238879999999999</v>
      </c>
      <c r="Z6757">
        <v>-6.651021E-2</v>
      </c>
      <c r="AA6757">
        <v>0.96789669999999906</v>
      </c>
      <c r="AB6757">
        <v>30</v>
      </c>
      <c r="AC6757">
        <v>3.5686</v>
      </c>
      <c r="AD6757">
        <v>-1.1190628245459999</v>
      </c>
      <c r="AE6757">
        <v>12.77304</v>
      </c>
      <c r="AF6757">
        <v>-3.2379525207072999</v>
      </c>
      <c r="AG6757">
        <v>-1.1190628245459999</v>
      </c>
      <c r="AH6757">
        <v>12.7641299926585</v>
      </c>
      <c r="AI6757">
        <v>94.857369633069297</v>
      </c>
      <c r="AJ6757">
        <v>104.234297408643</v>
      </c>
      <c r="AK6757">
        <v>13.2158863721326</v>
      </c>
      <c r="AL6757">
        <v>79.064792877965402</v>
      </c>
      <c r="AM6757">
        <v>95.830977504904197</v>
      </c>
      <c r="AN6757">
        <v>0.99999999242028503</v>
      </c>
    </row>
    <row r="6758" spans="1:40" x14ac:dyDescent="0.25">
      <c r="A6758" t="str">
        <f>"20190312173056167"</f>
        <v>20190312173056167</v>
      </c>
      <c r="B6758" t="str">
        <f>"1552383056164424"</f>
        <v>1552383056164424</v>
      </c>
      <c r="C6758" t="s">
        <v>40</v>
      </c>
      <c r="D6758">
        <v>3.1568420000000001</v>
      </c>
      <c r="E6758">
        <v>0.44275110000000001</v>
      </c>
      <c r="F6758" t="s">
        <v>41</v>
      </c>
      <c r="G6758">
        <v>-188.3939</v>
      </c>
      <c r="H6758" s="1">
        <v>-2.904005E-6</v>
      </c>
      <c r="I6758">
        <v>-34.26202</v>
      </c>
      <c r="J6758">
        <v>-191.81630000000001</v>
      </c>
      <c r="K6758">
        <v>1.1190389999999999</v>
      </c>
      <c r="L6758">
        <v>-46.985599999999998</v>
      </c>
      <c r="M6758">
        <v>0.48845040000000001</v>
      </c>
      <c r="N6758">
        <v>0</v>
      </c>
      <c r="O6758">
        <v>0.87245709999999999</v>
      </c>
      <c r="P6758">
        <v>0.39543990000000001</v>
      </c>
      <c r="Q6758">
        <v>0.1769491</v>
      </c>
      <c r="R6758">
        <v>0.90128589999999997</v>
      </c>
      <c r="S6758">
        <v>0.82722469999999904</v>
      </c>
      <c r="T6758">
        <v>-0.2608144</v>
      </c>
      <c r="U6758">
        <v>3.021973</v>
      </c>
      <c r="V6758">
        <v>-9.9414669999999997E-2</v>
      </c>
      <c r="W6758">
        <v>0.1898135</v>
      </c>
      <c r="X6758">
        <v>0.97677400000000003</v>
      </c>
      <c r="Y6758">
        <v>-0.2414586</v>
      </c>
      <c r="Z6758">
        <v>-6.7441269999999998E-2</v>
      </c>
      <c r="AA6758">
        <v>0.96806479999999995</v>
      </c>
      <c r="AB6758">
        <v>30</v>
      </c>
      <c r="AC6758">
        <v>3.4224000000000099</v>
      </c>
      <c r="AD6758">
        <v>-1.1190419040049999</v>
      </c>
      <c r="AE6758">
        <v>12.723579999999901</v>
      </c>
      <c r="AF6758">
        <v>-3.2061923328156001</v>
      </c>
      <c r="AG6758">
        <v>-1.1190419040049999</v>
      </c>
      <c r="AH6758">
        <v>12.682467090518101</v>
      </c>
      <c r="AI6758">
        <v>94.889412656779498</v>
      </c>
      <c r="AJ6758">
        <v>104.187409474245</v>
      </c>
      <c r="AK6758">
        <v>13.1292381941985</v>
      </c>
      <c r="AL6758">
        <v>79.058098906863606</v>
      </c>
      <c r="AM6758">
        <v>95.811471394048993</v>
      </c>
      <c r="AN6758">
        <v>0.99999994423472705</v>
      </c>
    </row>
    <row r="6759" spans="1:40" x14ac:dyDescent="0.25">
      <c r="A6759" t="str">
        <f>"20190312173056223"</f>
        <v>20190312173056223</v>
      </c>
      <c r="B6759" t="str">
        <f>"1552383056214200"</f>
        <v>1552383056214200</v>
      </c>
      <c r="C6759" t="s">
        <v>40</v>
      </c>
      <c r="D6759">
        <v>3.2850389999999998</v>
      </c>
      <c r="E6759">
        <v>0.44321270000000001</v>
      </c>
      <c r="F6759" t="s">
        <v>41</v>
      </c>
      <c r="G6759">
        <v>-188.37690000000001</v>
      </c>
      <c r="H6759" s="1">
        <v>-3.056373E-6</v>
      </c>
      <c r="I6759">
        <v>-33.91386</v>
      </c>
      <c r="J6759">
        <v>-191.49100000000001</v>
      </c>
      <c r="K6759">
        <v>1.118986</v>
      </c>
      <c r="L6759">
        <v>-46.333440000000003</v>
      </c>
      <c r="M6759">
        <v>0.46387669999999998</v>
      </c>
      <c r="N6759">
        <v>0</v>
      </c>
      <c r="O6759">
        <v>0.88576749999999904</v>
      </c>
      <c r="P6759">
        <v>0.37009019999999998</v>
      </c>
      <c r="Q6759">
        <v>0.1767108</v>
      </c>
      <c r="R6759">
        <v>0.91203429999999996</v>
      </c>
      <c r="S6759">
        <v>0.79718020000000001</v>
      </c>
      <c r="T6759">
        <v>-0.25936769999999998</v>
      </c>
      <c r="U6759">
        <v>3.0297239999999999</v>
      </c>
      <c r="V6759">
        <v>-9.9409999999999998E-2</v>
      </c>
      <c r="W6759">
        <v>0.18957560000000001</v>
      </c>
      <c r="X6759">
        <v>0.97682069999999999</v>
      </c>
      <c r="Y6759">
        <v>-0.2239004</v>
      </c>
      <c r="Z6759">
        <v>-6.8771319999999997E-2</v>
      </c>
      <c r="AA6759">
        <v>0.97218269999999996</v>
      </c>
      <c r="AB6759">
        <v>30</v>
      </c>
      <c r="AC6759">
        <v>3.1140999999999699</v>
      </c>
      <c r="AD6759">
        <v>-1.1189890563730001</v>
      </c>
      <c r="AE6759">
        <v>12.41958</v>
      </c>
      <c r="AF6759">
        <v>-2.98037419329291</v>
      </c>
      <c r="AG6759">
        <v>-1.1189890563730001</v>
      </c>
      <c r="AH6759">
        <v>12.352533481590401</v>
      </c>
      <c r="AI6759">
        <v>95.032534580571294</v>
      </c>
      <c r="AJ6759">
        <v>103.564859855113</v>
      </c>
      <c r="AK6759">
        <v>12.7561691057363</v>
      </c>
      <c r="AL6759">
        <v>79.071981904107304</v>
      </c>
      <c r="AM6759">
        <v>95.810924347253803</v>
      </c>
      <c r="AN6759">
        <v>0.99999996808192404</v>
      </c>
    </row>
    <row r="6760" spans="1:40" x14ac:dyDescent="0.25">
      <c r="A6760" t="str">
        <f>"20190312173056247"</f>
        <v>20190312173056247</v>
      </c>
      <c r="B6760" t="str">
        <f>"1552383056244456"</f>
        <v>1552383056244456</v>
      </c>
      <c r="C6760" t="s">
        <v>40</v>
      </c>
      <c r="D6760">
        <v>3.1112570000000002</v>
      </c>
      <c r="E6760">
        <v>0.4435192</v>
      </c>
      <c r="F6760" t="s">
        <v>41</v>
      </c>
      <c r="G6760">
        <v>-188.39519999999999</v>
      </c>
      <c r="H6760" s="1">
        <v>-3.3826910000000002E-6</v>
      </c>
      <c r="I6760">
        <v>-33.145629999999997</v>
      </c>
      <c r="J6760">
        <v>-191.35990000000001</v>
      </c>
      <c r="K6760">
        <v>1.1189559999999901</v>
      </c>
      <c r="L6760">
        <v>-46.056339999999999</v>
      </c>
      <c r="M6760">
        <v>0.45342450000000001</v>
      </c>
      <c r="N6760">
        <v>0</v>
      </c>
      <c r="O6760">
        <v>0.89116329999999999</v>
      </c>
      <c r="P6760">
        <v>0.36089880000000002</v>
      </c>
      <c r="Q6760">
        <v>0.17607729999999999</v>
      </c>
      <c r="R6760">
        <v>0.91583230000000004</v>
      </c>
      <c r="S6760">
        <v>0.71574399999999905</v>
      </c>
      <c r="T6760">
        <v>-0.2587122</v>
      </c>
      <c r="U6760">
        <v>3.049042</v>
      </c>
      <c r="V6760">
        <v>-9.7768190000000005E-2</v>
      </c>
      <c r="W6760">
        <v>0.1889815</v>
      </c>
      <c r="X6760">
        <v>0.97710149999999996</v>
      </c>
      <c r="Y6760">
        <v>-0.2383787</v>
      </c>
      <c r="Z6760">
        <v>-6.8877640000000004E-2</v>
      </c>
      <c r="AA6760">
        <v>0.9687268</v>
      </c>
      <c r="AB6760">
        <v>30</v>
      </c>
      <c r="AC6760">
        <v>2.9647000000000201</v>
      </c>
      <c r="AD6760">
        <v>-1.11895938269099</v>
      </c>
      <c r="AE6760">
        <v>12.91071</v>
      </c>
      <c r="AF6760">
        <v>-3.1896177489106199</v>
      </c>
      <c r="AG6760">
        <v>-1.11895938269099</v>
      </c>
      <c r="AH6760">
        <v>12.760275314669901</v>
      </c>
      <c r="AI6760">
        <v>94.862634117006095</v>
      </c>
      <c r="AJ6760">
        <v>104.034337170775</v>
      </c>
      <c r="AK6760">
        <v>13.200392327141399</v>
      </c>
      <c r="AL6760">
        <v>79.1066481453053</v>
      </c>
      <c r="AM6760">
        <v>95.713962800177399</v>
      </c>
      <c r="AN6760">
        <v>0.99999998381018695</v>
      </c>
    </row>
    <row r="6761" spans="1:40" x14ac:dyDescent="0.25">
      <c r="A6761" t="str">
        <f>"20190312173056267"</f>
        <v>20190312173056267</v>
      </c>
      <c r="B6761" t="str">
        <f>"1552383056263976"</f>
        <v>1552383056263976</v>
      </c>
      <c r="C6761" t="s">
        <v>40</v>
      </c>
      <c r="D6761">
        <v>3.1373139999999999</v>
      </c>
      <c r="E6761">
        <v>0.44371379999999999</v>
      </c>
      <c r="F6761" t="s">
        <v>41</v>
      </c>
      <c r="G6761">
        <v>-188.40369999999999</v>
      </c>
      <c r="H6761" s="1">
        <v>-3.482243E-6</v>
      </c>
      <c r="I6761">
        <v>-32.910059999999902</v>
      </c>
      <c r="J6761">
        <v>-191.24850000000001</v>
      </c>
      <c r="K6761">
        <v>1.118935</v>
      </c>
      <c r="L6761">
        <v>-45.814360000000001</v>
      </c>
      <c r="M6761">
        <v>0.44429020000000002</v>
      </c>
      <c r="N6761">
        <v>0</v>
      </c>
      <c r="O6761">
        <v>0.89575229999999995</v>
      </c>
      <c r="P6761">
        <v>0.35217759999999998</v>
      </c>
      <c r="Q6761">
        <v>0.1760852</v>
      </c>
      <c r="R6761">
        <v>0.91921969999999997</v>
      </c>
      <c r="S6761">
        <v>0.68696590000000002</v>
      </c>
      <c r="T6761">
        <v>-0.26002920000000002</v>
      </c>
      <c r="U6761">
        <v>3.0549930000000001</v>
      </c>
      <c r="V6761">
        <v>-9.7053459999999994E-2</v>
      </c>
      <c r="W6761">
        <v>0.18900539999999999</v>
      </c>
      <c r="X6761">
        <v>0.97716809999999998</v>
      </c>
      <c r="Y6761">
        <v>-0.2375486</v>
      </c>
      <c r="Z6761">
        <v>-6.9726650000000001E-2</v>
      </c>
      <c r="AA6761">
        <v>0.96886989999999995</v>
      </c>
      <c r="AB6761">
        <v>29</v>
      </c>
      <c r="AC6761">
        <v>2.8448000000000202</v>
      </c>
      <c r="AD6761">
        <v>-1.118938482243</v>
      </c>
      <c r="AE6761">
        <v>12.904299999999999</v>
      </c>
      <c r="AF6761">
        <v>-3.1627132378127301</v>
      </c>
      <c r="AG6761">
        <v>-1.118938482243</v>
      </c>
      <c r="AH6761">
        <v>12.7331740185953</v>
      </c>
      <c r="AI6761">
        <v>94.874642333373501</v>
      </c>
      <c r="AJ6761">
        <v>103.949052222996</v>
      </c>
      <c r="AK6761">
        <v>13.167706669709499</v>
      </c>
      <c r="AL6761">
        <v>79.105253332663494</v>
      </c>
      <c r="AM6761">
        <v>95.6720804489984</v>
      </c>
      <c r="AN6761">
        <v>0.99999995549236897</v>
      </c>
    </row>
    <row r="6762" spans="1:40" x14ac:dyDescent="0.25">
      <c r="A6762" t="str">
        <f>"20190312173056289"</f>
        <v>20190312173056289</v>
      </c>
      <c r="B6762" t="str">
        <f>"1552383056284472"</f>
        <v>1552383056284472</v>
      </c>
      <c r="C6762" t="s">
        <v>40</v>
      </c>
      <c r="D6762">
        <v>3.1642260000000002</v>
      </c>
      <c r="E6762">
        <v>0.44384129999999999</v>
      </c>
      <c r="F6762" t="s">
        <v>41</v>
      </c>
      <c r="G6762">
        <v>-188.39850000000001</v>
      </c>
      <c r="H6762" s="1">
        <v>-3.6231690000000001E-6</v>
      </c>
      <c r="I6762">
        <v>-32.583710000000004</v>
      </c>
      <c r="J6762">
        <v>-191.13460000000001</v>
      </c>
      <c r="K6762">
        <v>1.1189169999999999</v>
      </c>
      <c r="L6762">
        <v>-45.559840000000001</v>
      </c>
      <c r="M6762">
        <v>0.43467329999999998</v>
      </c>
      <c r="N6762">
        <v>0</v>
      </c>
      <c r="O6762">
        <v>0.90045830000000004</v>
      </c>
      <c r="P6762">
        <v>0.34373219999999999</v>
      </c>
      <c r="Q6762">
        <v>0.17633799999999999</v>
      </c>
      <c r="R6762">
        <v>0.92236280000000004</v>
      </c>
      <c r="S6762">
        <v>0.6592865</v>
      </c>
      <c r="T6762">
        <v>-0.2588435</v>
      </c>
      <c r="U6762">
        <v>3.060638</v>
      </c>
      <c r="V6762">
        <v>-9.5521960000000003E-2</v>
      </c>
      <c r="W6762">
        <v>0.1892924</v>
      </c>
      <c r="X6762">
        <v>0.97726349999999995</v>
      </c>
      <c r="Y6762">
        <v>-0.23588729999999999</v>
      </c>
      <c r="Z6762">
        <v>-6.9933910000000002E-2</v>
      </c>
      <c r="AA6762">
        <v>0.96926080000000003</v>
      </c>
      <c r="AB6762">
        <v>29</v>
      </c>
      <c r="AC6762">
        <v>2.7360999999999902</v>
      </c>
      <c r="AD6762">
        <v>-1.1189206231690001</v>
      </c>
      <c r="AE6762">
        <v>12.976129999999999</v>
      </c>
      <c r="AF6762">
        <v>-3.1545478991128499</v>
      </c>
      <c r="AG6762">
        <v>-1.1189206231690001</v>
      </c>
      <c r="AH6762">
        <v>12.7842692670836</v>
      </c>
      <c r="AI6762">
        <v>94.857015125651202</v>
      </c>
      <c r="AJ6762">
        <v>103.860976657915</v>
      </c>
      <c r="AK6762">
        <v>13.2151691817415</v>
      </c>
      <c r="AL6762">
        <v>79.088507672561207</v>
      </c>
      <c r="AM6762">
        <v>95.582603651895894</v>
      </c>
      <c r="AN6762">
        <v>1.00000000298612</v>
      </c>
    </row>
    <row r="6763" spans="1:40" x14ac:dyDescent="0.25">
      <c r="A6763" t="str">
        <f>"20190312173056313"</f>
        <v>20190312173056313</v>
      </c>
      <c r="B6763" t="str">
        <f>"1552383056303992"</f>
        <v>1552383056303992</v>
      </c>
      <c r="C6763" t="s">
        <v>40</v>
      </c>
      <c r="D6763">
        <v>3.1896249999999999</v>
      </c>
      <c r="E6763">
        <v>0.44406639999999997</v>
      </c>
      <c r="F6763" t="s">
        <v>41</v>
      </c>
      <c r="G6763">
        <v>-188.3785</v>
      </c>
      <c r="H6763" s="1">
        <v>-3.7953080000000001E-6</v>
      </c>
      <c r="I6763">
        <v>-32.190719999999999</v>
      </c>
      <c r="J6763">
        <v>-191.00739999999999</v>
      </c>
      <c r="K6763">
        <v>1.1188940000000001</v>
      </c>
      <c r="L6763">
        <v>-45.266570000000002</v>
      </c>
      <c r="M6763">
        <v>0.4235853</v>
      </c>
      <c r="N6763">
        <v>0</v>
      </c>
      <c r="O6763">
        <v>0.90572719999999995</v>
      </c>
      <c r="P6763">
        <v>0.33312140000000001</v>
      </c>
      <c r="Q6763">
        <v>0.17645420000000001</v>
      </c>
      <c r="R6763">
        <v>0.92622570000000004</v>
      </c>
      <c r="S6763">
        <v>0.63206479999999998</v>
      </c>
      <c r="T6763">
        <v>-0.25661030000000001</v>
      </c>
      <c r="U6763">
        <v>3.0660400000000001</v>
      </c>
      <c r="V6763">
        <v>-9.4721200000000005E-2</v>
      </c>
      <c r="W6763">
        <v>0.18942629999999999</v>
      </c>
      <c r="X6763">
        <v>0.9773155</v>
      </c>
      <c r="Y6763">
        <v>-0.23254320000000001</v>
      </c>
      <c r="Z6763">
        <v>-6.9939920000000003E-2</v>
      </c>
      <c r="AA6763">
        <v>0.97006809999999999</v>
      </c>
      <c r="AB6763">
        <v>29</v>
      </c>
      <c r="AC6763">
        <v>2.6288999999999798</v>
      </c>
      <c r="AD6763">
        <v>-1.1188977953079999</v>
      </c>
      <c r="AE6763">
        <v>13.075850000000001</v>
      </c>
      <c r="AF6763">
        <v>-3.1359706245298802</v>
      </c>
      <c r="AG6763">
        <v>-1.1188977953079999</v>
      </c>
      <c r="AH6763">
        <v>12.8676718365006</v>
      </c>
      <c r="AI6763">
        <v>94.828967203935093</v>
      </c>
      <c r="AJ6763">
        <v>103.696513006194</v>
      </c>
      <c r="AK6763">
        <v>13.2914717968376</v>
      </c>
      <c r="AL6763">
        <v>79.080694461120004</v>
      </c>
      <c r="AM6763">
        <v>95.535803941424007</v>
      </c>
      <c r="AN6763">
        <v>1.0000000077006801</v>
      </c>
    </row>
    <row r="6764" spans="1:40" x14ac:dyDescent="0.25">
      <c r="A6764" t="str">
        <f>"20190312173056336"</f>
        <v>20190312173056336</v>
      </c>
      <c r="B6764" t="str">
        <f>"1552383056324488"</f>
        <v>1552383056324488</v>
      </c>
      <c r="C6764" t="s">
        <v>40</v>
      </c>
      <c r="D6764">
        <v>3.2677179999999999</v>
      </c>
      <c r="E6764">
        <v>0.44437009999999999</v>
      </c>
      <c r="F6764" t="s">
        <v>41</v>
      </c>
      <c r="G6764">
        <v>-188.38489999999999</v>
      </c>
      <c r="H6764" s="1">
        <v>-3.9552300000000002E-6</v>
      </c>
      <c r="I6764">
        <v>-31.815300000000001</v>
      </c>
      <c r="J6764">
        <v>-190.89660000000001</v>
      </c>
      <c r="K6764">
        <v>1.1188720000000001</v>
      </c>
      <c r="L6764">
        <v>-45.002809999999997</v>
      </c>
      <c r="M6764">
        <v>0.41360370000000002</v>
      </c>
      <c r="N6764">
        <v>0</v>
      </c>
      <c r="O6764">
        <v>0.91032869999999999</v>
      </c>
      <c r="P6764">
        <v>0.32346999999999998</v>
      </c>
      <c r="Q6764">
        <v>0.17640629999999999</v>
      </c>
      <c r="R6764">
        <v>0.92964939999999996</v>
      </c>
      <c r="S6764">
        <v>0.59896850000000001</v>
      </c>
      <c r="T6764">
        <v>-0.25555090000000003</v>
      </c>
      <c r="U6764">
        <v>3.0722049999999999</v>
      </c>
      <c r="V6764">
        <v>-9.4133240000000007E-2</v>
      </c>
      <c r="W6764">
        <v>0.18939159999999999</v>
      </c>
      <c r="X6764">
        <v>0.977379</v>
      </c>
      <c r="Y6764">
        <v>-0.23228360000000001</v>
      </c>
      <c r="Z6764">
        <v>-7.0137199999999997E-2</v>
      </c>
      <c r="AA6764">
        <v>0.97011599999999998</v>
      </c>
      <c r="AB6764">
        <v>29</v>
      </c>
      <c r="AC6764">
        <v>2.51170000000001</v>
      </c>
      <c r="AD6764">
        <v>-1.1188759552299901</v>
      </c>
      <c r="AE6764">
        <v>13.1875099999999</v>
      </c>
      <c r="AF6764">
        <v>-3.1464438445217402</v>
      </c>
      <c r="AG6764">
        <v>-1.1188759552299901</v>
      </c>
      <c r="AH6764">
        <v>12.955347549170799</v>
      </c>
      <c r="AI6764">
        <v>94.797268993688107</v>
      </c>
      <c r="AJ6764">
        <v>103.651025331909</v>
      </c>
      <c r="AK6764">
        <v>13.3788273921793</v>
      </c>
      <c r="AL6764">
        <v>79.082718941678294</v>
      </c>
      <c r="AM6764">
        <v>95.501297948502497</v>
      </c>
      <c r="AN6764">
        <v>0.99999997733222801</v>
      </c>
    </row>
    <row r="6765" spans="1:40" x14ac:dyDescent="0.25">
      <c r="A6765" t="str">
        <f>"20190312173056358"</f>
        <v>20190312173056358</v>
      </c>
      <c r="B6765" t="str">
        <f>"1552383056353768"</f>
        <v>1552383056353768</v>
      </c>
      <c r="C6765" t="s">
        <v>40</v>
      </c>
      <c r="D6765">
        <v>3.2788569999999999</v>
      </c>
      <c r="E6765">
        <v>0.45562659999999999</v>
      </c>
      <c r="F6765" t="s">
        <v>41</v>
      </c>
      <c r="G6765">
        <v>-188.40020000000001</v>
      </c>
      <c r="H6765" s="1">
        <v>-4.0823449999999996E-6</v>
      </c>
      <c r="I6765">
        <v>-31.51266</v>
      </c>
      <c r="J6765">
        <v>-190.78829999999999</v>
      </c>
      <c r="K6765">
        <v>1.1188549999999999</v>
      </c>
      <c r="L6765">
        <v>-44.737119999999997</v>
      </c>
      <c r="M6765">
        <v>0.40354240000000002</v>
      </c>
      <c r="N6765">
        <v>0</v>
      </c>
      <c r="O6765">
        <v>0.91483340000000002</v>
      </c>
      <c r="P6765">
        <v>0.31360179999999999</v>
      </c>
      <c r="Q6765">
        <v>0.1760545</v>
      </c>
      <c r="R6765">
        <v>0.933091</v>
      </c>
      <c r="S6765">
        <v>0.56945800000000002</v>
      </c>
      <c r="T6765">
        <v>-0.25523210000000002</v>
      </c>
      <c r="U6765">
        <v>3.0773009999999998</v>
      </c>
      <c r="V6765">
        <v>-9.372055E-2</v>
      </c>
      <c r="W6765">
        <v>0.18904940000000001</v>
      </c>
      <c r="X6765">
        <v>0.97748489999999999</v>
      </c>
      <c r="Y6765">
        <v>-0.23084389999999999</v>
      </c>
      <c r="Z6765">
        <v>-7.0547780000000004E-2</v>
      </c>
      <c r="AA6765">
        <v>0.97042980000000001</v>
      </c>
      <c r="AB6765">
        <v>29</v>
      </c>
      <c r="AC6765">
        <v>2.3880999999999801</v>
      </c>
      <c r="AD6765">
        <v>-1.118859082345</v>
      </c>
      <c r="AE6765">
        <v>13.224460000000001</v>
      </c>
      <c r="AF6765">
        <v>-3.1305833419377902</v>
      </c>
      <c r="AG6765">
        <v>-1.118859082345</v>
      </c>
      <c r="AH6765">
        <v>12.973469674069801</v>
      </c>
      <c r="AI6765">
        <v>94.792230489273393</v>
      </c>
      <c r="AJ6765">
        <v>103.566495537211</v>
      </c>
      <c r="AK6765">
        <v>13.392658925358001</v>
      </c>
      <c r="AL6765">
        <v>79.102686232385196</v>
      </c>
      <c r="AM6765">
        <v>95.476736873522697</v>
      </c>
      <c r="AN6765">
        <v>0.99999997343033598</v>
      </c>
    </row>
    <row r="6766" spans="1:40" x14ac:dyDescent="0.25">
      <c r="A6766" t="str">
        <f>"20190312173056381"</f>
        <v>20190312173056381</v>
      </c>
      <c r="B6766" t="str">
        <f>"1552383056374265"</f>
        <v>1552383056374265</v>
      </c>
      <c r="C6766" t="s">
        <v>40</v>
      </c>
      <c r="D6766">
        <v>3.2113480000000001</v>
      </c>
      <c r="E6766">
        <v>0.46237159999999999</v>
      </c>
      <c r="F6766" t="s">
        <v>41</v>
      </c>
      <c r="G6766">
        <v>-187.80500000000001</v>
      </c>
      <c r="H6766" s="1">
        <v>-6.7057310000000002E-7</v>
      </c>
      <c r="I6766">
        <v>-30.09761</v>
      </c>
      <c r="J6766">
        <v>-190.68350000000001</v>
      </c>
      <c r="K6766">
        <v>1.1188340000000001</v>
      </c>
      <c r="L6766">
        <v>-44.471589999999999</v>
      </c>
      <c r="M6766">
        <v>0.3934782</v>
      </c>
      <c r="N6766">
        <v>0</v>
      </c>
      <c r="O6766">
        <v>0.9192072</v>
      </c>
      <c r="P6766">
        <v>0.30370380000000002</v>
      </c>
      <c r="Q6766">
        <v>0.176098</v>
      </c>
      <c r="R6766">
        <v>0.93635109999999999</v>
      </c>
      <c r="S6766">
        <v>0.62158199999999997</v>
      </c>
      <c r="T6766">
        <v>-0.23311809999999999</v>
      </c>
      <c r="U6766">
        <v>3.0502009999999999</v>
      </c>
      <c r="V6766">
        <v>-9.3329460000000003E-2</v>
      </c>
      <c r="W6766">
        <v>0.1891014</v>
      </c>
      <c r="X6766">
        <v>0.9775123</v>
      </c>
      <c r="Y6766">
        <v>-0.20248679999999999</v>
      </c>
      <c r="Z6766">
        <v>-6.5658019999999997E-2</v>
      </c>
      <c r="AA6766">
        <v>0.97708139999999999</v>
      </c>
      <c r="AB6766">
        <v>29</v>
      </c>
      <c r="AC6766">
        <v>2.8784999999999998</v>
      </c>
      <c r="AD6766">
        <v>-1.1188346705731</v>
      </c>
      <c r="AE6766">
        <v>14.37398</v>
      </c>
      <c r="AF6766">
        <v>-2.9928271764455201</v>
      </c>
      <c r="AG6766">
        <v>-1.1188346705731</v>
      </c>
      <c r="AH6766">
        <v>14.263876520476201</v>
      </c>
      <c r="AI6766">
        <v>94.389800843493106</v>
      </c>
      <c r="AJ6766">
        <v>101.84982650502</v>
      </c>
      <c r="AK6766">
        <v>14.6173519804217</v>
      </c>
      <c r="AL6766">
        <v>79.099652551139499</v>
      </c>
      <c r="AM6766">
        <v>95.453868930184797</v>
      </c>
      <c r="AN6766">
        <v>1.0000000121185699</v>
      </c>
    </row>
    <row r="6767" spans="1:40" x14ac:dyDescent="0.25">
      <c r="A6767" t="str">
        <f>"20190312173056403"</f>
        <v>20190312173056403</v>
      </c>
      <c r="B6767" t="str">
        <f>"1552383056393785"</f>
        <v>1552383056393785</v>
      </c>
      <c r="C6767" t="s">
        <v>40</v>
      </c>
      <c r="D6767">
        <v>3.2289080000000001</v>
      </c>
      <c r="E6767">
        <v>0.46018559999999997</v>
      </c>
      <c r="F6767" t="s">
        <v>41</v>
      </c>
      <c r="G6767">
        <v>-188.1611</v>
      </c>
      <c r="H6767" s="1">
        <v>-3.7104960000000002E-6</v>
      </c>
      <c r="I6767">
        <v>-32.47833</v>
      </c>
      <c r="J6767">
        <v>-190.58090000000001</v>
      </c>
      <c r="K6767">
        <v>1.118808</v>
      </c>
      <c r="L6767">
        <v>-44.203060000000001</v>
      </c>
      <c r="M6767">
        <v>0.38329289999999999</v>
      </c>
      <c r="N6767">
        <v>0</v>
      </c>
      <c r="O6767">
        <v>0.92350069999999995</v>
      </c>
      <c r="P6767">
        <v>0.2940778</v>
      </c>
      <c r="Q6767">
        <v>0.1766066</v>
      </c>
      <c r="R6767">
        <v>0.93932340000000003</v>
      </c>
      <c r="S6767">
        <v>0.64135739999999997</v>
      </c>
      <c r="T6767">
        <v>-0.2844758</v>
      </c>
      <c r="U6767">
        <v>3.0494080000000001</v>
      </c>
      <c r="V6767">
        <v>-9.2517240000000001E-2</v>
      </c>
      <c r="W6767">
        <v>0.18962619999999999</v>
      </c>
      <c r="X6767">
        <v>0.97748780000000002</v>
      </c>
      <c r="Y6767">
        <v>-0.18574689999999999</v>
      </c>
      <c r="Z6767">
        <v>-8.0722909999999995E-2</v>
      </c>
      <c r="AA6767">
        <v>0.97927620000000004</v>
      </c>
      <c r="AB6767">
        <v>29</v>
      </c>
      <c r="AC6767">
        <v>2.4198</v>
      </c>
      <c r="AD6767">
        <v>-1.118811710496</v>
      </c>
      <c r="AE6767">
        <v>11.724729999999999</v>
      </c>
      <c r="AF6767">
        <v>-2.2400186291402799</v>
      </c>
      <c r="AG6767">
        <v>-1.118811710496</v>
      </c>
      <c r="AH6767">
        <v>11.654869438702301</v>
      </c>
      <c r="AI6767">
        <v>95.385350694483293</v>
      </c>
      <c r="AJ6767">
        <v>100.87935253932</v>
      </c>
      <c r="AK6767">
        <v>11.920797151853399</v>
      </c>
      <c r="AL6767">
        <v>79.069029169993399</v>
      </c>
      <c r="AM6767">
        <v>95.406822642305599</v>
      </c>
      <c r="AN6767">
        <v>0.99999996728624796</v>
      </c>
    </row>
    <row r="6768" spans="1:40" x14ac:dyDescent="0.25">
      <c r="A6768" t="str">
        <f>"20190312173056425"</f>
        <v>20190312173056425</v>
      </c>
      <c r="B6768" t="str">
        <f>"1552383056414284"</f>
        <v>1552383056414284</v>
      </c>
      <c r="C6768" t="s">
        <v>40</v>
      </c>
      <c r="D6768">
        <v>3.402161</v>
      </c>
      <c r="E6768">
        <v>0.45955620000000003</v>
      </c>
      <c r="F6768" t="s">
        <v>41</v>
      </c>
      <c r="G6768">
        <v>-187.9982</v>
      </c>
      <c r="H6768" s="1">
        <v>-4.4209000000000003E-6</v>
      </c>
      <c r="I6768">
        <v>-30.889690000000002</v>
      </c>
      <c r="J6768">
        <v>-190.4829</v>
      </c>
      <c r="K6768">
        <v>1.118787</v>
      </c>
      <c r="L6768">
        <v>-43.93723</v>
      </c>
      <c r="M6768">
        <v>0.37320409999999998</v>
      </c>
      <c r="N6768">
        <v>0</v>
      </c>
      <c r="O6768">
        <v>0.92762370000000005</v>
      </c>
      <c r="P6768">
        <v>0.28425790000000001</v>
      </c>
      <c r="Q6768">
        <v>0.17615600000000001</v>
      </c>
      <c r="R6768">
        <v>0.94242590000000004</v>
      </c>
      <c r="S6768">
        <v>0.59292599999999995</v>
      </c>
      <c r="T6768">
        <v>-0.25685449999999999</v>
      </c>
      <c r="U6768">
        <v>3.0564580000000001</v>
      </c>
      <c r="V6768">
        <v>-9.2074929999999999E-2</v>
      </c>
      <c r="W6768">
        <v>0.18918660000000001</v>
      </c>
      <c r="X6768">
        <v>0.97761480000000001</v>
      </c>
      <c r="Y6768">
        <v>-0.19027930000000001</v>
      </c>
      <c r="Z6768">
        <v>-7.3344489999999998E-2</v>
      </c>
      <c r="AA6768">
        <v>0.97898640000000003</v>
      </c>
      <c r="AB6768">
        <v>29</v>
      </c>
      <c r="AC6768">
        <v>2.4847000000000001</v>
      </c>
      <c r="AD6768">
        <v>-1.1187914209000001</v>
      </c>
      <c r="AE6768">
        <v>13.0475399999999</v>
      </c>
      <c r="AF6768">
        <v>-2.54675761851956</v>
      </c>
      <c r="AG6768">
        <v>-1.1187914209000001</v>
      </c>
      <c r="AH6768">
        <v>12.940211159082301</v>
      </c>
      <c r="AI6768">
        <v>94.848860377915798</v>
      </c>
      <c r="AJ6768">
        <v>101.13405860159401</v>
      </c>
      <c r="AK6768">
        <v>13.2358125346578</v>
      </c>
      <c r="AL6768">
        <v>79.094681409804807</v>
      </c>
      <c r="AM6768">
        <v>95.380430644206797</v>
      </c>
      <c r="AN6768">
        <v>1.0000000297665499</v>
      </c>
    </row>
    <row r="6769" spans="1:40" x14ac:dyDescent="0.25">
      <c r="A6769" t="str">
        <f>"20190312173056446"</f>
        <v>20190312173056446</v>
      </c>
      <c r="B6769" t="str">
        <f>"1552383056444536"</f>
        <v>1552383056444536</v>
      </c>
      <c r="C6769" t="s">
        <v>40</v>
      </c>
      <c r="D6769">
        <v>3.2785030000000002</v>
      </c>
      <c r="E6769">
        <v>0.4602292</v>
      </c>
      <c r="F6769" t="s">
        <v>41</v>
      </c>
      <c r="G6769">
        <v>-188</v>
      </c>
      <c r="H6769" s="1">
        <v>-5.6457089999999996E-7</v>
      </c>
      <c r="I6769">
        <v>-30.25667</v>
      </c>
      <c r="J6769">
        <v>-190.39109999999999</v>
      </c>
      <c r="K6769">
        <v>1.118757</v>
      </c>
      <c r="L6769">
        <v>-43.679749999999999</v>
      </c>
      <c r="M6769">
        <v>0.3634249</v>
      </c>
      <c r="N6769">
        <v>0</v>
      </c>
      <c r="O6769">
        <v>0.93149859999999896</v>
      </c>
      <c r="P6769">
        <v>0.2748178</v>
      </c>
      <c r="Q6769">
        <v>0.17501369999999999</v>
      </c>
      <c r="R6769">
        <v>0.945434</v>
      </c>
      <c r="S6769">
        <v>0.55581669999999905</v>
      </c>
      <c r="T6769">
        <v>-0.25044429999999901</v>
      </c>
      <c r="U6769">
        <v>3.0624389999999999</v>
      </c>
      <c r="V6769">
        <v>-9.1609410000000002E-2</v>
      </c>
      <c r="W6769">
        <v>0.18805659999999999</v>
      </c>
      <c r="X6769">
        <v>0.97787650000000004</v>
      </c>
      <c r="Y6769">
        <v>-0.19174569999999999</v>
      </c>
      <c r="Z6769">
        <v>-7.1910870000000002E-2</v>
      </c>
      <c r="AA6769">
        <v>0.97880659999999997</v>
      </c>
      <c r="AB6769">
        <v>29</v>
      </c>
      <c r="AC6769">
        <v>2.39109999999999</v>
      </c>
      <c r="AD6769">
        <v>-1.11875756457089</v>
      </c>
      <c r="AE6769">
        <v>13.423080000000001</v>
      </c>
      <c r="AF6769">
        <v>-2.6335523064104298</v>
      </c>
      <c r="AG6769">
        <v>-1.11875756457089</v>
      </c>
      <c r="AH6769">
        <v>13.284677531097</v>
      </c>
      <c r="AI6769">
        <v>94.722287177021101</v>
      </c>
      <c r="AJ6769">
        <v>101.212928655054</v>
      </c>
      <c r="AK6769">
        <v>13.5893293927301</v>
      </c>
      <c r="AL6769">
        <v>79.160608826751101</v>
      </c>
      <c r="AM6769">
        <v>95.351961905111395</v>
      </c>
      <c r="AN6769">
        <v>1.00000000902817</v>
      </c>
    </row>
    <row r="6770" spans="1:40" x14ac:dyDescent="0.25">
      <c r="A6770" t="str">
        <f>"20190312173056471"</f>
        <v>20190312173056471</v>
      </c>
      <c r="B6770" t="str">
        <f>"1552383056464056"</f>
        <v>1552383056464056</v>
      </c>
      <c r="C6770" t="s">
        <v>40</v>
      </c>
      <c r="D6770">
        <v>3.0664509999999998</v>
      </c>
      <c r="E6770">
        <v>0.4606073</v>
      </c>
      <c r="F6770" t="s">
        <v>41</v>
      </c>
      <c r="G6770">
        <v>-188.01410000000001</v>
      </c>
      <c r="H6770" s="1">
        <v>-6.6850659999999899E-7</v>
      </c>
      <c r="I6770">
        <v>-29.940239999999999</v>
      </c>
      <c r="J6770">
        <v>-190.28790000000001</v>
      </c>
      <c r="K6770">
        <v>1.1187279999999999</v>
      </c>
      <c r="L6770">
        <v>-43.379179999999998</v>
      </c>
      <c r="M6770">
        <v>0.35200340000000002</v>
      </c>
      <c r="N6770">
        <v>0</v>
      </c>
      <c r="O6770">
        <v>0.93587450000000005</v>
      </c>
      <c r="P6770">
        <v>0.26357449999999999</v>
      </c>
      <c r="Q6770">
        <v>0.17403750000000001</v>
      </c>
      <c r="R6770">
        <v>0.94880949999999997</v>
      </c>
      <c r="S6770">
        <v>0.530304</v>
      </c>
      <c r="T6770">
        <v>-0.24958669999999999</v>
      </c>
      <c r="U6770">
        <v>3.0651860000000002</v>
      </c>
      <c r="V6770">
        <v>-9.1287129999999994E-2</v>
      </c>
      <c r="W6770">
        <v>0.18708939999999999</v>
      </c>
      <c r="X6770">
        <v>0.97809210000000002</v>
      </c>
      <c r="Y6770">
        <v>-0.18779299999999999</v>
      </c>
      <c r="Z6770">
        <v>-7.2201059999999997E-2</v>
      </c>
      <c r="AA6770">
        <v>0.97955130000000001</v>
      </c>
      <c r="AB6770">
        <v>29</v>
      </c>
      <c r="AC6770">
        <v>2.2737999999999898</v>
      </c>
      <c r="AD6770">
        <v>-1.1187286685066</v>
      </c>
      <c r="AE6770">
        <v>13.438939999999899</v>
      </c>
      <c r="AF6770">
        <v>-2.5854458185071301</v>
      </c>
      <c r="AG6770">
        <v>-1.1187286685066</v>
      </c>
      <c r="AH6770">
        <v>13.289571346309099</v>
      </c>
      <c r="AI6770">
        <v>94.7237173050476</v>
      </c>
      <c r="AJ6770">
        <v>101.009200936271</v>
      </c>
      <c r="AK6770">
        <v>13.584873590976599</v>
      </c>
      <c r="AL6770">
        <v>79.217026259036203</v>
      </c>
      <c r="AM6770">
        <v>95.332073746274006</v>
      </c>
      <c r="AN6770">
        <v>0.99999996988920303</v>
      </c>
    </row>
    <row r="6771" spans="1:40" x14ac:dyDescent="0.25">
      <c r="A6771" t="str">
        <f>"20190312173056561"</f>
        <v>20190312173056561</v>
      </c>
      <c r="B6771" t="str">
        <f>"1552383056553848"</f>
        <v>1552383056553848</v>
      </c>
      <c r="C6771" t="s">
        <v>40</v>
      </c>
      <c r="D6771">
        <v>2.804478</v>
      </c>
      <c r="E6771">
        <v>0.45570939999999999</v>
      </c>
      <c r="F6771" t="s">
        <v>41</v>
      </c>
      <c r="G6771">
        <v>-188.07599999999999</v>
      </c>
      <c r="H6771" s="1">
        <v>-7.3152050000000004E-7</v>
      </c>
      <c r="I6771">
        <v>-29.706630000000001</v>
      </c>
      <c r="J6771">
        <v>-189.94489999999999</v>
      </c>
      <c r="K6771">
        <v>1.118644</v>
      </c>
      <c r="L6771">
        <v>-42.282589999999999</v>
      </c>
      <c r="M6771">
        <v>0.3102454</v>
      </c>
      <c r="N6771">
        <v>0</v>
      </c>
      <c r="O6771">
        <v>0.95053460000000001</v>
      </c>
      <c r="P6771">
        <v>0.22469620000000001</v>
      </c>
      <c r="Q6771">
        <v>0.1744898</v>
      </c>
      <c r="R6771">
        <v>0.95867869999999999</v>
      </c>
      <c r="S6771">
        <v>0.4966431</v>
      </c>
      <c r="T6771">
        <v>-0.25119459999999999</v>
      </c>
      <c r="U6771">
        <v>3.0699770000000002</v>
      </c>
      <c r="V6771">
        <v>-8.7786639999999999E-2</v>
      </c>
      <c r="W6771">
        <v>0.18761539999999999</v>
      </c>
      <c r="X6771">
        <v>0.97831179999999995</v>
      </c>
      <c r="Y6771">
        <v>-0.1549449</v>
      </c>
      <c r="Z6771">
        <v>-7.4598970000000001E-2</v>
      </c>
      <c r="AA6771">
        <v>0.98510249999999999</v>
      </c>
      <c r="AB6771">
        <v>29</v>
      </c>
      <c r="AC6771">
        <v>1.86889999999999</v>
      </c>
      <c r="AD6771">
        <v>-1.1186447315204999</v>
      </c>
      <c r="AE6771">
        <v>12.575959999999901</v>
      </c>
      <c r="AF6771">
        <v>-2.1090987260655401</v>
      </c>
      <c r="AG6771">
        <v>-1.1186447315204999</v>
      </c>
      <c r="AH6771">
        <v>12.4388621754805</v>
      </c>
      <c r="AI6771">
        <v>95.066932021727197</v>
      </c>
      <c r="AJ6771">
        <v>99.623385935160499</v>
      </c>
      <c r="AK6771">
        <v>12.665897350454401</v>
      </c>
      <c r="AL6771">
        <v>79.186345791584202</v>
      </c>
      <c r="AM6771">
        <v>95.127576780971296</v>
      </c>
      <c r="AN6771">
        <v>1.00000000524944</v>
      </c>
    </row>
    <row r="6772" spans="1:40" x14ac:dyDescent="0.25">
      <c r="A6772" t="str">
        <f>"20190312173056582"</f>
        <v>20190312173056582</v>
      </c>
      <c r="B6772" t="str">
        <f>"1552383056574345"</f>
        <v>1552383056574345</v>
      </c>
      <c r="C6772" t="s">
        <v>40</v>
      </c>
      <c r="D6772">
        <v>3.2127129999999999</v>
      </c>
      <c r="E6772">
        <v>0.45570939999999999</v>
      </c>
      <c r="F6772" t="s">
        <v>41</v>
      </c>
      <c r="G6772">
        <v>-189.15010000000001</v>
      </c>
      <c r="H6772" s="1">
        <v>-2.5560519999999999E-6</v>
      </c>
      <c r="I6772">
        <v>-34.760399999999997</v>
      </c>
      <c r="J6772">
        <v>-189.8749</v>
      </c>
      <c r="K6772">
        <v>1.1186179999999999</v>
      </c>
      <c r="L6772">
        <v>-42.035029999999999</v>
      </c>
      <c r="M6772">
        <v>0.30080410000000002</v>
      </c>
      <c r="N6772">
        <v>0</v>
      </c>
      <c r="O6772">
        <v>0.95356450000000004</v>
      </c>
      <c r="P6772">
        <v>0.21594450000000001</v>
      </c>
      <c r="Q6772">
        <v>0.173927</v>
      </c>
      <c r="R6772">
        <v>0.96079000000000003</v>
      </c>
      <c r="S6772">
        <v>0.33140560000000002</v>
      </c>
      <c r="T6772">
        <v>-0.46644289999999999</v>
      </c>
      <c r="U6772">
        <v>3.136536</v>
      </c>
      <c r="V6772">
        <v>-8.701304E-2</v>
      </c>
      <c r="W6772">
        <v>0.18707019999999999</v>
      </c>
      <c r="X6772">
        <v>0.9784853</v>
      </c>
      <c r="Y6772">
        <v>-0.1999435</v>
      </c>
      <c r="Z6772">
        <v>-0.13512260000000001</v>
      </c>
      <c r="AA6772">
        <v>0.97044549999999996</v>
      </c>
      <c r="AB6772">
        <v>29</v>
      </c>
      <c r="AC6772">
        <v>0.72479999999998701</v>
      </c>
      <c r="AD6772">
        <v>-1.1186205560519999</v>
      </c>
      <c r="AE6772">
        <v>7.2746300000000002</v>
      </c>
      <c r="AF6772">
        <v>-1.46301508580043</v>
      </c>
      <c r="AG6772">
        <v>-1.1186205560519999</v>
      </c>
      <c r="AH6772">
        <v>6.9919785686798299</v>
      </c>
      <c r="AI6772">
        <v>98.899951587250101</v>
      </c>
      <c r="AJ6772">
        <v>101.8181730835</v>
      </c>
      <c r="AK6772">
        <v>7.2304556837435703</v>
      </c>
      <c r="AL6772">
        <v>79.218146498805396</v>
      </c>
      <c r="AM6772">
        <v>95.081732379325402</v>
      </c>
      <c r="AN6772">
        <v>1.0000000055870799</v>
      </c>
    </row>
    <row r="6773" spans="1:40" x14ac:dyDescent="0.25">
      <c r="A6773" t="str">
        <f>"20190312173056604"</f>
        <v>20190312173056604</v>
      </c>
      <c r="B6773" t="str">
        <f>"1552383056594841"</f>
        <v>1552383056594841</v>
      </c>
      <c r="C6773" t="s">
        <v>40</v>
      </c>
      <c r="D6773">
        <v>3.2794979999999998</v>
      </c>
      <c r="E6773">
        <v>0.43352249999999998</v>
      </c>
      <c r="F6773" t="s">
        <v>41</v>
      </c>
      <c r="G6773">
        <v>-189.15090000000001</v>
      </c>
      <c r="H6773" s="1">
        <v>-2.6509630000000002E-6</v>
      </c>
      <c r="I6773">
        <v>-34.538849999999996</v>
      </c>
      <c r="J6773">
        <v>-189.80090000000001</v>
      </c>
      <c r="K6773">
        <v>1.1185909999999999</v>
      </c>
      <c r="L6773">
        <v>-41.762540000000001</v>
      </c>
      <c r="M6773">
        <v>0.29041009999999901</v>
      </c>
      <c r="N6773">
        <v>0</v>
      </c>
      <c r="O6773">
        <v>0.9567814</v>
      </c>
      <c r="P6773">
        <v>0.2065449</v>
      </c>
      <c r="Q6773">
        <v>0.1736694</v>
      </c>
      <c r="R6773">
        <v>0.96290089999999995</v>
      </c>
      <c r="S6773">
        <v>0.30319210000000002</v>
      </c>
      <c r="T6773">
        <v>-0.46843299999999999</v>
      </c>
      <c r="U6773">
        <v>3.1390989999999999</v>
      </c>
      <c r="V6773">
        <v>-8.5921349999999994E-2</v>
      </c>
      <c r="W6773">
        <v>0.1868369</v>
      </c>
      <c r="X6773">
        <v>0.97862629999999995</v>
      </c>
      <c r="Y6773">
        <v>-0.1980111</v>
      </c>
      <c r="Z6773">
        <v>-0.13636499999999999</v>
      </c>
      <c r="AA6773">
        <v>0.97066790000000003</v>
      </c>
      <c r="AB6773">
        <v>29</v>
      </c>
      <c r="AC6773">
        <v>0.65000000000000502</v>
      </c>
      <c r="AD6773">
        <v>-1.1185936509629999</v>
      </c>
      <c r="AE6773">
        <v>7.2236900000000004</v>
      </c>
      <c r="AF6773">
        <v>-1.4418004710116501</v>
      </c>
      <c r="AG6773">
        <v>-1.1185936509629999</v>
      </c>
      <c r="AH6773">
        <v>6.9360970754447102</v>
      </c>
      <c r="AI6773">
        <v>98.972702852251501</v>
      </c>
      <c r="AJ6773">
        <v>101.74279608915</v>
      </c>
      <c r="AK6773">
        <v>7.17213238822157</v>
      </c>
      <c r="AL6773">
        <v>79.231753128419001</v>
      </c>
      <c r="AM6773">
        <v>95.017583812650599</v>
      </c>
      <c r="AN6773">
        <v>0.99999997031956001</v>
      </c>
    </row>
    <row r="6774" spans="1:40" x14ac:dyDescent="0.25">
      <c r="A6774" t="str">
        <f>"20190312173056626"</f>
        <v>20190312173056626</v>
      </c>
      <c r="B6774" t="str">
        <f>"1552383056614360"</f>
        <v>1552383056614360</v>
      </c>
      <c r="C6774" t="s">
        <v>40</v>
      </c>
      <c r="D6774">
        <v>3.2508170000000001</v>
      </c>
      <c r="E6774">
        <v>0.43847029999999998</v>
      </c>
      <c r="F6774" t="s">
        <v>41</v>
      </c>
      <c r="G6774">
        <v>-189.20519999999999</v>
      </c>
      <c r="H6774" s="1">
        <v>-3.2437660000000001E-6</v>
      </c>
      <c r="I6774">
        <v>-23.13457</v>
      </c>
      <c r="J6774">
        <v>-189.73169999999999</v>
      </c>
      <c r="K6774">
        <v>1.1185670000000001</v>
      </c>
      <c r="L6774">
        <v>-41.496000000000002</v>
      </c>
      <c r="M6774">
        <v>0.28025060000000002</v>
      </c>
      <c r="N6774">
        <v>0</v>
      </c>
      <c r="O6774">
        <v>0.95980639999999995</v>
      </c>
      <c r="P6774">
        <v>0.19776750000000001</v>
      </c>
      <c r="Q6774">
        <v>0.1733237</v>
      </c>
      <c r="R6774">
        <v>0.96480410000000005</v>
      </c>
      <c r="S6774">
        <v>0.1000366</v>
      </c>
      <c r="T6774">
        <v>-0.18783320000000001</v>
      </c>
      <c r="U6774">
        <v>3.1279910000000002</v>
      </c>
      <c r="V6774">
        <v>-8.4450839999999999E-2</v>
      </c>
      <c r="W6774">
        <v>0.186524</v>
      </c>
      <c r="X6774">
        <v>0.97881399999999996</v>
      </c>
      <c r="Y6774">
        <v>-0.2494992</v>
      </c>
      <c r="Z6774">
        <v>-5.5383160000000001E-2</v>
      </c>
      <c r="AA6774">
        <v>0.96679000000000004</v>
      </c>
      <c r="AB6774">
        <v>29</v>
      </c>
      <c r="AC6774">
        <v>0.52649999999999797</v>
      </c>
      <c r="AD6774">
        <v>-1.1185702437659999</v>
      </c>
      <c r="AE6774">
        <v>18.361429999999999</v>
      </c>
      <c r="AF6774">
        <v>-4.6238544930418097</v>
      </c>
      <c r="AG6774">
        <v>-1.1185702437659999</v>
      </c>
      <c r="AH6774">
        <v>17.7073638671576</v>
      </c>
      <c r="AI6774">
        <v>93.497586383627606</v>
      </c>
      <c r="AJ6774">
        <v>104.634633818239</v>
      </c>
      <c r="AK6774">
        <v>18.335265607211198</v>
      </c>
      <c r="AL6774">
        <v>79.250002064914298</v>
      </c>
      <c r="AM6774">
        <v>94.931195964058602</v>
      </c>
      <c r="AN6774">
        <v>0.99999999677435203</v>
      </c>
    </row>
    <row r="6775" spans="1:40" x14ac:dyDescent="0.25">
      <c r="A6775" t="str">
        <f>"20190312173056649"</f>
        <v>20190312173056649</v>
      </c>
      <c r="B6775" t="str">
        <f>"1552383056644616"</f>
        <v>1552383056644616</v>
      </c>
      <c r="C6775" t="s">
        <v>40</v>
      </c>
      <c r="D6775">
        <v>3.228065</v>
      </c>
      <c r="E6775">
        <v>0.44164510000000001</v>
      </c>
      <c r="F6775" t="s">
        <v>41</v>
      </c>
      <c r="G6775">
        <v>-189.09450000000001</v>
      </c>
      <c r="H6775" s="1">
        <v>-3.115767E-6</v>
      </c>
      <c r="I6775">
        <v>-23.47871</v>
      </c>
      <c r="J6775">
        <v>-189.66239999999999</v>
      </c>
      <c r="K6775">
        <v>1.1185369999999999</v>
      </c>
      <c r="L6775">
        <v>-41.216709999999999</v>
      </c>
      <c r="M6775">
        <v>0.26961610000000003</v>
      </c>
      <c r="N6775">
        <v>0</v>
      </c>
      <c r="O6775">
        <v>0.96284789999999998</v>
      </c>
      <c r="P6775">
        <v>0.18836359999999999</v>
      </c>
      <c r="Q6775">
        <v>0.1737871</v>
      </c>
      <c r="R6775">
        <v>0.96660089999999999</v>
      </c>
      <c r="S6775">
        <v>0.1103973</v>
      </c>
      <c r="T6775">
        <v>-0.19379959999999999</v>
      </c>
      <c r="U6775">
        <v>3.121613</v>
      </c>
      <c r="V6775">
        <v>-8.3121050000000002E-2</v>
      </c>
      <c r="W6775">
        <v>0.18701490000000001</v>
      </c>
      <c r="X6775">
        <v>0.97883419999999999</v>
      </c>
      <c r="Y6775">
        <v>-0.23549809999999999</v>
      </c>
      <c r="Z6775">
        <v>-5.7639740000000002E-2</v>
      </c>
      <c r="AA6775">
        <v>0.97016409999999997</v>
      </c>
      <c r="AB6775">
        <v>29</v>
      </c>
      <c r="AC6775">
        <v>0.56789999999997998</v>
      </c>
      <c r="AD6775">
        <v>-1.1185401157670001</v>
      </c>
      <c r="AE6775">
        <v>17.738</v>
      </c>
      <c r="AF6775">
        <v>-4.2193776330565802</v>
      </c>
      <c r="AG6775">
        <v>-1.1185401157670001</v>
      </c>
      <c r="AH6775">
        <v>17.165913144632398</v>
      </c>
      <c r="AI6775">
        <v>93.620680506007602</v>
      </c>
      <c r="AJ6775">
        <v>103.80952174413299</v>
      </c>
      <c r="AK6775">
        <v>17.712223284782201</v>
      </c>
      <c r="AL6775">
        <v>79.221372213928902</v>
      </c>
      <c r="AM6775">
        <v>94.853822010803299</v>
      </c>
      <c r="AN6775">
        <v>1.00000003643237</v>
      </c>
    </row>
    <row r="6776" spans="1:40" x14ac:dyDescent="0.25">
      <c r="A6776" t="str">
        <f>"20190312173056671"</f>
        <v>20190312173056671</v>
      </c>
      <c r="B6776" t="str">
        <f>"1552383056664136"</f>
        <v>1552383056664136</v>
      </c>
      <c r="C6776" t="s">
        <v>40</v>
      </c>
      <c r="D6776">
        <v>3.1704289999999999</v>
      </c>
      <c r="E6776">
        <v>0.44345679999999998</v>
      </c>
      <c r="F6776" t="s">
        <v>41</v>
      </c>
      <c r="G6776">
        <v>-189.0471</v>
      </c>
      <c r="H6776" s="1">
        <v>-3.3497939999999999E-6</v>
      </c>
      <c r="I6776">
        <v>-22.95279</v>
      </c>
      <c r="J6776">
        <v>-189.59649999999999</v>
      </c>
      <c r="K6776">
        <v>1.118498</v>
      </c>
      <c r="L6776">
        <v>-40.93835</v>
      </c>
      <c r="M6776">
        <v>0.25903959999999998</v>
      </c>
      <c r="N6776">
        <v>0</v>
      </c>
      <c r="O6776">
        <v>0.96574720000000003</v>
      </c>
      <c r="P6776">
        <v>0.17923249999999999</v>
      </c>
      <c r="Q6776">
        <v>0.17448139999999901</v>
      </c>
      <c r="R6776">
        <v>0.96821069999999998</v>
      </c>
      <c r="S6776">
        <v>0.1050262</v>
      </c>
      <c r="T6776">
        <v>-0.19092700000000001</v>
      </c>
      <c r="U6776">
        <v>3.1175229999999998</v>
      </c>
      <c r="V6776">
        <v>-8.1581819999999999E-2</v>
      </c>
      <c r="W6776">
        <v>0.18774089999999999</v>
      </c>
      <c r="X6776">
        <v>0.97882469999999999</v>
      </c>
      <c r="Y6776">
        <v>-0.22645290000000001</v>
      </c>
      <c r="Z6776">
        <v>-5.7194740000000001E-2</v>
      </c>
      <c r="AA6776">
        <v>0.97234140000000002</v>
      </c>
      <c r="AB6776">
        <v>29</v>
      </c>
      <c r="AC6776">
        <v>0.54939999999999101</v>
      </c>
      <c r="AD6776">
        <v>-1.118501349794</v>
      </c>
      <c r="AE6776">
        <v>17.98556</v>
      </c>
      <c r="AF6776">
        <v>-4.1129754077785003</v>
      </c>
      <c r="AG6776">
        <v>-1.118501349794</v>
      </c>
      <c r="AH6776">
        <v>17.446431693225598</v>
      </c>
      <c r="AI6776">
        <v>93.5706290766244</v>
      </c>
      <c r="AJ6776">
        <v>103.265202385097</v>
      </c>
      <c r="AK6776">
        <v>17.959554304070799</v>
      </c>
      <c r="AL6776">
        <v>79.179025205531602</v>
      </c>
      <c r="AM6776">
        <v>94.764402923055201</v>
      </c>
      <c r="AN6776">
        <v>1.0000000161086999</v>
      </c>
    </row>
    <row r="6777" spans="1:40" x14ac:dyDescent="0.25">
      <c r="A6777" t="str">
        <f>"20190312173056694"</f>
        <v>20190312173056694</v>
      </c>
      <c r="B6777" t="str">
        <f>"1552383056683657"</f>
        <v>1552383056683657</v>
      </c>
      <c r="C6777" t="s">
        <v>40</v>
      </c>
      <c r="D6777">
        <v>3.090741</v>
      </c>
      <c r="E6777">
        <v>0.44401299999999999</v>
      </c>
      <c r="F6777" t="s">
        <v>41</v>
      </c>
      <c r="G6777">
        <v>-189.07910000000001</v>
      </c>
      <c r="H6777" s="1">
        <v>-3.3104710000000002E-6</v>
      </c>
      <c r="I6777">
        <v>-23.031220000000001</v>
      </c>
      <c r="J6777">
        <v>-189.53440000000001</v>
      </c>
      <c r="K6777">
        <v>1.118447</v>
      </c>
      <c r="L6777">
        <v>-40.663150000000002</v>
      </c>
      <c r="M6777">
        <v>0.24862419999999999</v>
      </c>
      <c r="N6777">
        <v>0</v>
      </c>
      <c r="O6777">
        <v>0.96848109999999998</v>
      </c>
      <c r="P6777">
        <v>0.17012949999999999</v>
      </c>
      <c r="Q6777">
        <v>0.17524219999999999</v>
      </c>
      <c r="R6777">
        <v>0.96971450000000003</v>
      </c>
      <c r="S6777">
        <v>9.0057369999999998E-2</v>
      </c>
      <c r="T6777">
        <v>-0.1946862</v>
      </c>
      <c r="U6777">
        <v>3.1169129999999998</v>
      </c>
      <c r="V6777">
        <v>-8.0188289999999995E-2</v>
      </c>
      <c r="W6777">
        <v>0.18853010000000001</v>
      </c>
      <c r="X6777">
        <v>0.97878810000000005</v>
      </c>
      <c r="Y6777">
        <v>-0.22062039999999999</v>
      </c>
      <c r="Z6777">
        <v>-5.8628260000000001E-2</v>
      </c>
      <c r="AA6777">
        <v>0.97359609999999996</v>
      </c>
      <c r="AB6777">
        <v>29</v>
      </c>
      <c r="AC6777">
        <v>0.45529999999999399</v>
      </c>
      <c r="AD6777">
        <v>-1.118450310471</v>
      </c>
      <c r="AE6777">
        <v>17.631930000000001</v>
      </c>
      <c r="AF6777">
        <v>-3.9274366744276699</v>
      </c>
      <c r="AG6777">
        <v>-1.118450310471</v>
      </c>
      <c r="AH6777">
        <v>17.1225185770436</v>
      </c>
      <c r="AI6777">
        <v>93.642938082220994</v>
      </c>
      <c r="AJ6777">
        <v>102.918618762305</v>
      </c>
      <c r="AK6777">
        <v>17.602736501744101</v>
      </c>
      <c r="AL6777">
        <v>79.132984545165897</v>
      </c>
      <c r="AM6777">
        <v>94.683559842230395</v>
      </c>
      <c r="AN6777">
        <v>0.99999995258037</v>
      </c>
    </row>
    <row r="6778" spans="1:40" x14ac:dyDescent="0.25">
      <c r="A6778" t="str">
        <f>"20190312173056717"</f>
        <v>20190312173056717</v>
      </c>
      <c r="B6778" t="str">
        <f>"1552383056713912"</f>
        <v>1552383056713912</v>
      </c>
      <c r="C6778" t="s">
        <v>40</v>
      </c>
      <c r="D6778">
        <v>3.135478</v>
      </c>
      <c r="E6778">
        <v>0.4450153</v>
      </c>
      <c r="F6778" t="s">
        <v>41</v>
      </c>
      <c r="G6778">
        <v>-189.1558</v>
      </c>
      <c r="H6778" s="1">
        <v>-3.3902090000000002E-6</v>
      </c>
      <c r="I6778">
        <v>-22.813600000000001</v>
      </c>
      <c r="J6778">
        <v>-189.47300000000001</v>
      </c>
      <c r="K6778">
        <v>1.118377</v>
      </c>
      <c r="L6778">
        <v>-40.376530000000002</v>
      </c>
      <c r="M6778">
        <v>0.23784060000000001</v>
      </c>
      <c r="N6778">
        <v>0</v>
      </c>
      <c r="O6778">
        <v>0.97118579999999999</v>
      </c>
      <c r="P6778">
        <v>0.16019069999999999</v>
      </c>
      <c r="Q6778">
        <v>0.1755719</v>
      </c>
      <c r="R6778">
        <v>0.97134620000000005</v>
      </c>
      <c r="S6778">
        <v>6.6116330000000001E-2</v>
      </c>
      <c r="T6778">
        <v>-0.19533600000000001</v>
      </c>
      <c r="U6778">
        <v>3.1174010000000001</v>
      </c>
      <c r="V6778">
        <v>-7.9285359999999999E-2</v>
      </c>
      <c r="W6778">
        <v>0.18887889999999999</v>
      </c>
      <c r="X6778">
        <v>0.97879450000000001</v>
      </c>
      <c r="Y6778">
        <v>-0.21725159999999999</v>
      </c>
      <c r="Z6778">
        <v>-5.9095500000000002E-2</v>
      </c>
      <c r="AA6778">
        <v>0.97432510000000006</v>
      </c>
      <c r="AB6778">
        <v>29</v>
      </c>
      <c r="AC6778">
        <v>0.31719999999998499</v>
      </c>
      <c r="AD6778">
        <v>-1.1183803902089999</v>
      </c>
      <c r="AE6778">
        <v>17.562929999999898</v>
      </c>
      <c r="AF6778">
        <v>-3.85394025454874</v>
      </c>
      <c r="AG6778">
        <v>-1.1183803902089999</v>
      </c>
      <c r="AH6778">
        <v>17.065106207160099</v>
      </c>
      <c r="AI6778">
        <v>93.657722462155704</v>
      </c>
      <c r="AJ6778">
        <v>102.72604617499501</v>
      </c>
      <c r="AK6778">
        <v>17.530586985166501</v>
      </c>
      <c r="AL6778">
        <v>79.1126351250564</v>
      </c>
      <c r="AM6778">
        <v>94.631022920813706</v>
      </c>
      <c r="AN6778">
        <v>1.0000000402028899</v>
      </c>
    </row>
    <row r="6779" spans="1:40" x14ac:dyDescent="0.25">
      <c r="A6779" t="str">
        <f>"20190312173056740"</f>
        <v>20190312173056740</v>
      </c>
      <c r="B6779" t="str">
        <f>"1552383056734409"</f>
        <v>1552383056734409</v>
      </c>
      <c r="C6779" t="s">
        <v>40</v>
      </c>
      <c r="D6779">
        <v>3.200339</v>
      </c>
      <c r="E6779">
        <v>0.44560379999999999</v>
      </c>
      <c r="F6779" t="s">
        <v>41</v>
      </c>
      <c r="G6779">
        <v>-189.23560000000001</v>
      </c>
      <c r="H6779" s="1">
        <v>-3.3413659999999998E-6</v>
      </c>
      <c r="I6779">
        <v>-22.894469999999998</v>
      </c>
      <c r="J6779">
        <v>-189.416</v>
      </c>
      <c r="K6779">
        <v>1.118296</v>
      </c>
      <c r="L6779">
        <v>-40.096310000000003</v>
      </c>
      <c r="M6779">
        <v>0.227385</v>
      </c>
      <c r="N6779">
        <v>0</v>
      </c>
      <c r="O6779">
        <v>0.97368710000000003</v>
      </c>
      <c r="P6779">
        <v>0.15083379999999999</v>
      </c>
      <c r="Q6779">
        <v>0.17573469999999999</v>
      </c>
      <c r="R6779">
        <v>0.9728137</v>
      </c>
      <c r="S6779">
        <v>4.2327879999999998E-2</v>
      </c>
      <c r="T6779">
        <v>-0.19943939999999999</v>
      </c>
      <c r="U6779">
        <v>3.1175540000000002</v>
      </c>
      <c r="V6779">
        <v>-7.8135209999999997E-2</v>
      </c>
      <c r="W6779">
        <v>0.1890667</v>
      </c>
      <c r="X6779">
        <v>0.97885069999999996</v>
      </c>
      <c r="Y6779">
        <v>-0.21418999999999999</v>
      </c>
      <c r="Z6779">
        <v>-6.0592890000000003E-2</v>
      </c>
      <c r="AA6779">
        <v>0.97491090000000002</v>
      </c>
      <c r="AB6779">
        <v>29</v>
      </c>
      <c r="AC6779">
        <v>0.18039999999999101</v>
      </c>
      <c r="AD6779">
        <v>-1.1182993413660001</v>
      </c>
      <c r="AE6779">
        <v>17.201839999999901</v>
      </c>
      <c r="AF6779">
        <v>-3.72049356766543</v>
      </c>
      <c r="AG6779">
        <v>-1.1182993413660001</v>
      </c>
      <c r="AH6779">
        <v>16.7214936559363</v>
      </c>
      <c r="AI6779">
        <v>93.735059513705195</v>
      </c>
      <c r="AJ6779">
        <v>102.54384676593</v>
      </c>
      <c r="AK6779">
        <v>17.166858066910699</v>
      </c>
      <c r="AL6779">
        <v>79.101677220222797</v>
      </c>
      <c r="AM6779">
        <v>94.5638681374203</v>
      </c>
      <c r="AN6779">
        <v>1.00000001049056</v>
      </c>
    </row>
    <row r="6780" spans="1:40" x14ac:dyDescent="0.25">
      <c r="A6780" t="str">
        <f>"20190312173056761"</f>
        <v>20190312173056761</v>
      </c>
      <c r="B6780" t="str">
        <f>"1552383056753929"</f>
        <v>1552383056753929</v>
      </c>
      <c r="C6780" t="s">
        <v>40</v>
      </c>
      <c r="D6780">
        <v>3.0026199999999998</v>
      </c>
      <c r="E6780">
        <v>0.44631169999999998</v>
      </c>
      <c r="F6780" t="s">
        <v>41</v>
      </c>
      <c r="G6780">
        <v>-189.3186</v>
      </c>
      <c r="H6780" s="1">
        <v>-3.5174119999999999E-6</v>
      </c>
      <c r="I6780">
        <v>-22.449780000000001</v>
      </c>
      <c r="J6780">
        <v>-189.36519999999999</v>
      </c>
      <c r="K6780">
        <v>1.1181920000000001</v>
      </c>
      <c r="L6780">
        <v>-39.832979999999999</v>
      </c>
      <c r="M6780">
        <v>0.21766489999999999</v>
      </c>
      <c r="N6780">
        <v>0</v>
      </c>
      <c r="O6780">
        <v>0.97590619999999995</v>
      </c>
      <c r="P6780">
        <v>0.1419136</v>
      </c>
      <c r="Q6780">
        <v>0.17539250000000001</v>
      </c>
      <c r="R6780">
        <v>0.97421659999999999</v>
      </c>
      <c r="S6780">
        <v>1.7196659999999999E-2</v>
      </c>
      <c r="T6780">
        <v>-0.1975218</v>
      </c>
      <c r="U6780">
        <v>3.1168520000000002</v>
      </c>
      <c r="V6780">
        <v>-7.7302250000000003E-2</v>
      </c>
      <c r="W6780">
        <v>0.1887441</v>
      </c>
      <c r="X6780">
        <v>0.97897909999999999</v>
      </c>
      <c r="Y6780">
        <v>-0.21230689999999999</v>
      </c>
      <c r="Z6780">
        <v>-6.0250860000000003E-2</v>
      </c>
      <c r="AA6780">
        <v>0.97534390000000004</v>
      </c>
      <c r="AB6780">
        <v>29</v>
      </c>
      <c r="AC6780">
        <v>4.6599999999983703E-2</v>
      </c>
      <c r="AD6780">
        <v>-1.118195517412</v>
      </c>
      <c r="AE6780">
        <v>17.383199999999999</v>
      </c>
      <c r="AF6780">
        <v>-3.7232572965144599</v>
      </c>
      <c r="AG6780">
        <v>-1.118195517412</v>
      </c>
      <c r="AH6780">
        <v>16.906504151881801</v>
      </c>
      <c r="AI6780">
        <v>93.695724007782005</v>
      </c>
      <c r="AJ6780">
        <v>102.419786816334</v>
      </c>
      <c r="AK6780">
        <v>17.347705575919999</v>
      </c>
      <c r="AL6780">
        <v>79.120499899817204</v>
      </c>
      <c r="AM6780">
        <v>94.514827542549298</v>
      </c>
      <c r="AN6780">
        <v>1.0000000256883399</v>
      </c>
    </row>
    <row r="6781" spans="1:40" x14ac:dyDescent="0.25">
      <c r="A6781" t="str">
        <f>"20190312173056783"</f>
        <v>20190312173056783</v>
      </c>
      <c r="B6781" t="str">
        <f>"1552383056774215"</f>
        <v>1552383056774215</v>
      </c>
      <c r="C6781" t="s">
        <v>40</v>
      </c>
      <c r="D6781">
        <v>3.2038850000000001</v>
      </c>
      <c r="E6781">
        <v>0.4469534</v>
      </c>
      <c r="F6781" t="s">
        <v>41</v>
      </c>
      <c r="G6781">
        <v>-189.39850000000001</v>
      </c>
      <c r="H6781" s="1">
        <v>-3.6966139999999999E-6</v>
      </c>
      <c r="I6781">
        <v>-21.999030000000001</v>
      </c>
      <c r="J6781">
        <v>-189.31630000000001</v>
      </c>
      <c r="K6781">
        <v>1.118066</v>
      </c>
      <c r="L6781">
        <v>-39.565519999999999</v>
      </c>
      <c r="M6781">
        <v>0.20791870000000001</v>
      </c>
      <c r="N6781">
        <v>0</v>
      </c>
      <c r="O6781">
        <v>0.97802929999999999</v>
      </c>
      <c r="P6781">
        <v>0.13275529999999999</v>
      </c>
      <c r="Q6781">
        <v>0.1749684</v>
      </c>
      <c r="R6781">
        <v>0.97558299999999998</v>
      </c>
      <c r="S6781">
        <v>-5.813599E-3</v>
      </c>
      <c r="T6781">
        <v>-0.19533790000000001</v>
      </c>
      <c r="U6781">
        <v>3.1154169999999999</v>
      </c>
      <c r="V6781">
        <v>-7.6684219999999997E-2</v>
      </c>
      <c r="W6781">
        <v>0.1883348</v>
      </c>
      <c r="X6781">
        <v>0.97910649999999999</v>
      </c>
      <c r="Y6781">
        <v>-0.20975940000000001</v>
      </c>
      <c r="Z6781">
        <v>-5.9830750000000002E-2</v>
      </c>
      <c r="AA6781">
        <v>0.97592069999999997</v>
      </c>
      <c r="AB6781">
        <v>28</v>
      </c>
      <c r="AC6781">
        <v>-8.2200000000000203E-2</v>
      </c>
      <c r="AD6781">
        <v>-1.118069696614</v>
      </c>
      <c r="AE6781">
        <v>17.566489999999899</v>
      </c>
      <c r="AF6781">
        <v>-3.71816019381491</v>
      </c>
      <c r="AG6781">
        <v>-1.118069696614</v>
      </c>
      <c r="AH6781">
        <v>17.096156389025101</v>
      </c>
      <c r="AI6781">
        <v>93.656515042931204</v>
      </c>
      <c r="AJ6781">
        <v>102.26990812786499</v>
      </c>
      <c r="AK6781">
        <v>17.531496181198001</v>
      </c>
      <c r="AL6781">
        <v>79.144379068978793</v>
      </c>
      <c r="AM6781">
        <v>94.478298625374293</v>
      </c>
      <c r="AN6781">
        <v>1.0000000024151401</v>
      </c>
    </row>
    <row r="6782" spans="1:40" x14ac:dyDescent="0.25">
      <c r="A6782" t="str">
        <f>"20190312173056806"</f>
        <v>20190312173056806</v>
      </c>
      <c r="B6782" t="str">
        <f>"1552383056793740"</f>
        <v>1552383056793740</v>
      </c>
      <c r="C6782" t="s">
        <v>40</v>
      </c>
      <c r="D6782">
        <v>3.2129799999999999</v>
      </c>
      <c r="E6782">
        <v>0.44802330000000001</v>
      </c>
      <c r="F6782" t="s">
        <v>41</v>
      </c>
      <c r="G6782">
        <v>-189.4888</v>
      </c>
      <c r="H6782" s="1">
        <v>-3.784946E-6</v>
      </c>
      <c r="I6782">
        <v>-21.755780000000001</v>
      </c>
      <c r="J6782">
        <v>-189.26740000000001</v>
      </c>
      <c r="K6782">
        <v>1.1179250000000001</v>
      </c>
      <c r="L6782">
        <v>-39.281460000000003</v>
      </c>
      <c r="M6782">
        <v>0.1977431</v>
      </c>
      <c r="N6782">
        <v>0</v>
      </c>
      <c r="O6782">
        <v>0.9801377</v>
      </c>
      <c r="P6782">
        <v>0.1235637</v>
      </c>
      <c r="Q6782">
        <v>0.1741433</v>
      </c>
      <c r="R6782">
        <v>0.9769371</v>
      </c>
      <c r="S6782">
        <v>-3.016663E-2</v>
      </c>
      <c r="T6782">
        <v>-0.1955086</v>
      </c>
      <c r="U6782">
        <v>3.114258</v>
      </c>
      <c r="V6782">
        <v>-7.5672619999999996E-2</v>
      </c>
      <c r="W6782">
        <v>0.18753339999999999</v>
      </c>
      <c r="X6782">
        <v>0.97933899999999996</v>
      </c>
      <c r="Y6782">
        <v>-0.2072291</v>
      </c>
      <c r="Z6782">
        <v>-6.0118089999999999E-2</v>
      </c>
      <c r="AA6782">
        <v>0.97644350000000002</v>
      </c>
      <c r="AB6782">
        <v>28</v>
      </c>
      <c r="AC6782">
        <v>-0.221399999999988</v>
      </c>
      <c r="AD6782">
        <v>-1.117928784946</v>
      </c>
      <c r="AE6782">
        <v>17.525679999999898</v>
      </c>
      <c r="AF6782">
        <v>-3.6680814886029398</v>
      </c>
      <c r="AG6782">
        <v>-1.117928784946</v>
      </c>
      <c r="AH6782">
        <v>17.066320543150798</v>
      </c>
      <c r="AI6782">
        <v>93.664357113828999</v>
      </c>
      <c r="AJ6782">
        <v>102.130101855123</v>
      </c>
      <c r="AK6782">
        <v>17.4918233313972</v>
      </c>
      <c r="AL6782">
        <v>79.191128878663307</v>
      </c>
      <c r="AM6782">
        <v>94.418412528218198</v>
      </c>
      <c r="AN6782">
        <v>0.99999999922711202</v>
      </c>
    </row>
    <row r="6783" spans="1:40" x14ac:dyDescent="0.25">
      <c r="A6783" t="str">
        <f>"20190312173056827"</f>
        <v>20190312173056827</v>
      </c>
      <c r="B6783" t="str">
        <f>"1552383056823991"</f>
        <v>1552383056823991</v>
      </c>
      <c r="C6783" t="s">
        <v>40</v>
      </c>
      <c r="D6783">
        <v>3.1681400000000002</v>
      </c>
      <c r="E6783">
        <v>0.44915769999999999</v>
      </c>
      <c r="F6783" t="s">
        <v>41</v>
      </c>
      <c r="G6783">
        <v>-189.5582</v>
      </c>
      <c r="H6783" s="1">
        <v>-3.770632E-6</v>
      </c>
      <c r="I6783">
        <v>-21.760459999999998</v>
      </c>
      <c r="J6783">
        <v>-189.2242</v>
      </c>
      <c r="K6783">
        <v>1.117783</v>
      </c>
      <c r="L6783">
        <v>-39.016199999999998</v>
      </c>
      <c r="M6783">
        <v>0.18839790000000001</v>
      </c>
      <c r="N6783">
        <v>0</v>
      </c>
      <c r="O6783">
        <v>0.98197719999999999</v>
      </c>
      <c r="P6783">
        <v>0.11559220000000001</v>
      </c>
      <c r="Q6783">
        <v>0.173835299999999</v>
      </c>
      <c r="R6783">
        <v>0.97796709999999998</v>
      </c>
      <c r="S6783">
        <v>-5.1666259999999999E-2</v>
      </c>
      <c r="T6783">
        <v>-0.19861010000000001</v>
      </c>
      <c r="U6783">
        <v>3.112762</v>
      </c>
      <c r="V6783">
        <v>-7.4266260000000001E-2</v>
      </c>
      <c r="W6783">
        <v>0.18725520000000001</v>
      </c>
      <c r="X6783">
        <v>0.97949989999999998</v>
      </c>
      <c r="Y6783">
        <v>-0.20465620000000001</v>
      </c>
      <c r="Z6783">
        <v>-6.1286899999999998E-2</v>
      </c>
      <c r="AA6783">
        <v>0.97691340000000004</v>
      </c>
      <c r="AB6783">
        <v>28</v>
      </c>
      <c r="AC6783">
        <v>-0.33400000000000302</v>
      </c>
      <c r="AD6783">
        <v>-1.1177867706319999</v>
      </c>
      <c r="AE6783">
        <v>17.2557399999999</v>
      </c>
      <c r="AF6783">
        <v>-3.5643807923824902</v>
      </c>
      <c r="AG6783">
        <v>-1.1177867706319999</v>
      </c>
      <c r="AH6783">
        <v>16.813210556446901</v>
      </c>
      <c r="AI6783">
        <v>93.721117032304207</v>
      </c>
      <c r="AJ6783">
        <v>101.969421652405</v>
      </c>
      <c r="AK6783">
        <v>17.2231909619885</v>
      </c>
      <c r="AL6783">
        <v>79.207356266834694</v>
      </c>
      <c r="AM6783">
        <v>94.335903794613799</v>
      </c>
      <c r="AN6783">
        <v>1.00000002070071</v>
      </c>
    </row>
    <row r="6784" spans="1:40" x14ac:dyDescent="0.25">
      <c r="A6784" t="str">
        <f>"20190312173056852"</f>
        <v>20190312173056852</v>
      </c>
      <c r="B6784" t="str">
        <f>"1552383056844488"</f>
        <v>1552383056844488</v>
      </c>
      <c r="C6784" t="s">
        <v>40</v>
      </c>
      <c r="D6784">
        <v>3.228507</v>
      </c>
      <c r="E6784">
        <v>0.44949</v>
      </c>
      <c r="F6784" t="s">
        <v>41</v>
      </c>
      <c r="G6784">
        <v>-189.60409999999999</v>
      </c>
      <c r="H6784" s="1">
        <v>-3.7956230000000001E-6</v>
      </c>
      <c r="I6784">
        <v>-21.683209999999999</v>
      </c>
      <c r="J6784">
        <v>-189.17789999999999</v>
      </c>
      <c r="K6784">
        <v>1.117634</v>
      </c>
      <c r="L6784">
        <v>-38.712769999999999</v>
      </c>
      <c r="M6784">
        <v>0.17788109999999999</v>
      </c>
      <c r="N6784">
        <v>0</v>
      </c>
      <c r="O6784">
        <v>0.98393710000000001</v>
      </c>
      <c r="P6784">
        <v>0.1063017</v>
      </c>
      <c r="Q6784">
        <v>0.17349410000000001</v>
      </c>
      <c r="R6784">
        <v>0.97908110000000004</v>
      </c>
      <c r="S6784">
        <v>-6.819153E-2</v>
      </c>
      <c r="T6784">
        <v>-0.2006444</v>
      </c>
      <c r="U6784">
        <v>3.1112980000000001</v>
      </c>
      <c r="V6784">
        <v>-7.3016629999999999E-2</v>
      </c>
      <c r="W6784">
        <v>0.18693760000000001</v>
      </c>
      <c r="X6784">
        <v>0.97965449999999998</v>
      </c>
      <c r="Y6784">
        <v>-0.1993743</v>
      </c>
      <c r="Z6784">
        <v>-6.2161899999999999E-2</v>
      </c>
      <c r="AA6784">
        <v>0.97794979999999998</v>
      </c>
      <c r="AB6784">
        <v>28</v>
      </c>
      <c r="AC6784">
        <v>-0.42619999999999397</v>
      </c>
      <c r="AD6784">
        <v>-1.1176377956229999</v>
      </c>
      <c r="AE6784">
        <v>17.02956</v>
      </c>
      <c r="AF6784">
        <v>-3.4341982536147202</v>
      </c>
      <c r="AG6784">
        <v>-1.1176377956229999</v>
      </c>
      <c r="AH6784">
        <v>16.6105885652061</v>
      </c>
      <c r="AI6784">
        <v>93.769835418237506</v>
      </c>
      <c r="AJ6784">
        <v>101.68118142441701</v>
      </c>
      <c r="AK6784">
        <v>16.9986612522837</v>
      </c>
      <c r="AL6784">
        <v>79.225880474688907</v>
      </c>
      <c r="AM6784">
        <v>94.2625473354056</v>
      </c>
      <c r="AN6784">
        <v>1.0000000169602801</v>
      </c>
    </row>
    <row r="6785" spans="1:40" x14ac:dyDescent="0.25">
      <c r="A6785" t="str">
        <f>"20190312173056872"</f>
        <v>20190312173056872</v>
      </c>
      <c r="B6785" t="str">
        <f>"1552383056864654"</f>
        <v>1552383056864654</v>
      </c>
      <c r="C6785" t="s">
        <v>40</v>
      </c>
      <c r="D6785">
        <v>3.2384439999999999</v>
      </c>
      <c r="E6785">
        <v>0.45065640000000001</v>
      </c>
      <c r="F6785" t="s">
        <v>41</v>
      </c>
      <c r="G6785">
        <v>-189.70230000000001</v>
      </c>
      <c r="H6785" s="1">
        <v>-3.8508590000000002E-6</v>
      </c>
      <c r="I6785">
        <v>-21.513870000000001</v>
      </c>
      <c r="J6785">
        <v>-189.1431</v>
      </c>
      <c r="K6785">
        <v>1.117505</v>
      </c>
      <c r="L6785">
        <v>-38.471040000000002</v>
      </c>
      <c r="M6785">
        <v>0.16964189999999901</v>
      </c>
      <c r="N6785">
        <v>0</v>
      </c>
      <c r="O6785">
        <v>0.98539140000000003</v>
      </c>
      <c r="P6785">
        <v>9.9618929999999994E-2</v>
      </c>
      <c r="Q6785">
        <v>0.17296700000000001</v>
      </c>
      <c r="R6785">
        <v>0.97987679999999999</v>
      </c>
      <c r="S6785">
        <v>-9.483337E-2</v>
      </c>
      <c r="T6785">
        <v>-0.20211029999999999</v>
      </c>
      <c r="U6785">
        <v>3.1101990000000002</v>
      </c>
      <c r="V6785">
        <v>-7.1450109999999997E-2</v>
      </c>
      <c r="W6785">
        <v>0.18643970000000001</v>
      </c>
      <c r="X6785">
        <v>0.97986479999999998</v>
      </c>
      <c r="Y6785">
        <v>-0.1995528</v>
      </c>
      <c r="Z6785">
        <v>-6.276909E-2</v>
      </c>
      <c r="AA6785">
        <v>0.97787460000000004</v>
      </c>
      <c r="AB6785">
        <v>28</v>
      </c>
      <c r="AC6785">
        <v>-0.55920000000000403</v>
      </c>
      <c r="AD6785">
        <v>-1.1175088508590001</v>
      </c>
      <c r="AE6785">
        <v>16.957170000000001</v>
      </c>
      <c r="AF6785">
        <v>-3.4132559475974502</v>
      </c>
      <c r="AG6785">
        <v>-1.1175088508590001</v>
      </c>
      <c r="AH6785">
        <v>16.544682251140198</v>
      </c>
      <c r="AI6785">
        <v>93.784704269077906</v>
      </c>
      <c r="AJ6785">
        <v>101.656880763226</v>
      </c>
      <c r="AK6785">
        <v>16.930022238223799</v>
      </c>
      <c r="AL6785">
        <v>79.254917863739493</v>
      </c>
      <c r="AM6785">
        <v>94.170531622806806</v>
      </c>
      <c r="AN6785">
        <v>0.99999995311706902</v>
      </c>
    </row>
    <row r="6786" spans="1:40" x14ac:dyDescent="0.25">
      <c r="A6786" t="str">
        <f>"20190312173056895"</f>
        <v>20190312173056895</v>
      </c>
      <c r="B6786" t="str">
        <f>"1552383056884176"</f>
        <v>1552383056884176</v>
      </c>
      <c r="C6786" t="s">
        <v>40</v>
      </c>
      <c r="D6786">
        <v>3.3789829999999998</v>
      </c>
      <c r="E6786">
        <v>0.46402100000000002</v>
      </c>
      <c r="F6786" t="s">
        <v>41</v>
      </c>
      <c r="G6786">
        <v>-189.72640000000001</v>
      </c>
      <c r="H6786" s="1">
        <v>-3.8716770000000001E-6</v>
      </c>
      <c r="I6786">
        <v>-21.455359999999999</v>
      </c>
      <c r="J6786">
        <v>-189.10310000000001</v>
      </c>
      <c r="K6786">
        <v>1.117351</v>
      </c>
      <c r="L6786">
        <v>-38.174680000000002</v>
      </c>
      <c r="M6786">
        <v>0.1597382</v>
      </c>
      <c r="N6786">
        <v>0</v>
      </c>
      <c r="O6786">
        <v>0.98704559999999997</v>
      </c>
      <c r="P6786">
        <v>9.1258240000000004E-2</v>
      </c>
      <c r="Q6786">
        <v>0.1723838</v>
      </c>
      <c r="R6786">
        <v>0.98079340000000004</v>
      </c>
      <c r="S6786">
        <v>-0.10656740000000001</v>
      </c>
      <c r="T6786">
        <v>-0.20415079999999999</v>
      </c>
      <c r="U6786">
        <v>3.1084900000000002</v>
      </c>
      <c r="V6786">
        <v>-6.9898329999999995E-2</v>
      </c>
      <c r="W6786">
        <v>0.18588499999999999</v>
      </c>
      <c r="X6786">
        <v>0.98008220000000001</v>
      </c>
      <c r="Y6786">
        <v>-0.19341130000000001</v>
      </c>
      <c r="Z6786">
        <v>-6.3633759999999998E-2</v>
      </c>
      <c r="AA6786">
        <v>0.97905200000000003</v>
      </c>
      <c r="AB6786">
        <v>28</v>
      </c>
      <c r="AC6786">
        <v>-0.62329999999999997</v>
      </c>
      <c r="AD6786">
        <v>-1.1173548716770001</v>
      </c>
      <c r="AE6786">
        <v>16.71932</v>
      </c>
      <c r="AF6786">
        <v>-3.2717167352238601</v>
      </c>
      <c r="AG6786">
        <v>-1.1173548716770001</v>
      </c>
      <c r="AH6786">
        <v>16.332166913982601</v>
      </c>
      <c r="AI6786">
        <v>93.837744651618806</v>
      </c>
      <c r="AJ6786">
        <v>101.32775330839701</v>
      </c>
      <c r="AK6786">
        <v>16.694079441855799</v>
      </c>
      <c r="AL6786">
        <v>79.287266504990598</v>
      </c>
      <c r="AM6786">
        <v>94.079361753358398</v>
      </c>
      <c r="AN6786">
        <v>1.0000000642593101</v>
      </c>
    </row>
    <row r="6787" spans="1:40" x14ac:dyDescent="0.25">
      <c r="A6787" t="str">
        <f>"20190312173056918"</f>
        <v>20190312173056918</v>
      </c>
      <c r="B6787" t="str">
        <f>"1552383056914430"</f>
        <v>1552383056914430</v>
      </c>
      <c r="C6787" t="s">
        <v>40</v>
      </c>
      <c r="D6787">
        <v>3.2997540000000001</v>
      </c>
      <c r="E6787">
        <v>0.46512989999999999</v>
      </c>
      <c r="F6787" t="s">
        <v>41</v>
      </c>
      <c r="G6787">
        <v>-189.25120000000001</v>
      </c>
      <c r="H6787" s="1">
        <v>-4.0629480000000002E-6</v>
      </c>
      <c r="I6787">
        <v>-21.206009999999999</v>
      </c>
      <c r="J6787">
        <v>-189.06890000000001</v>
      </c>
      <c r="K6787">
        <v>1.117202</v>
      </c>
      <c r="L6787">
        <v>-37.903109999999998</v>
      </c>
      <c r="M6787">
        <v>0.15086269999999999</v>
      </c>
      <c r="N6787">
        <v>0</v>
      </c>
      <c r="O6787">
        <v>0.98844160000000003</v>
      </c>
      <c r="P6787">
        <v>8.4045449999999994E-2</v>
      </c>
      <c r="Q6787">
        <v>0.1719598</v>
      </c>
      <c r="R6787">
        <v>0.98151219999999995</v>
      </c>
      <c r="S6787">
        <v>-2.702332E-2</v>
      </c>
      <c r="T6787">
        <v>-0.2039387</v>
      </c>
      <c r="U6787">
        <v>3.0971069999999998</v>
      </c>
      <c r="V6787">
        <v>-6.8223790000000006E-2</v>
      </c>
      <c r="W6787">
        <v>0.18548999999999999</v>
      </c>
      <c r="X6787">
        <v>0.98027500000000001</v>
      </c>
      <c r="Y6787">
        <v>-0.1594787</v>
      </c>
      <c r="Z6787">
        <v>-6.4156379999999999E-2</v>
      </c>
      <c r="AA6787">
        <v>0.9851145</v>
      </c>
      <c r="AB6787">
        <v>28</v>
      </c>
      <c r="AC6787">
        <v>-0.18229999999999699</v>
      </c>
      <c r="AD6787">
        <v>-1.1172060629480001</v>
      </c>
      <c r="AE6787">
        <v>16.697099999999999</v>
      </c>
      <c r="AF6787">
        <v>-2.6874342387911501</v>
      </c>
      <c r="AG6787">
        <v>-1.1172060629480001</v>
      </c>
      <c r="AH6787">
        <v>16.405012723118801</v>
      </c>
      <c r="AI6787">
        <v>93.844821392185807</v>
      </c>
      <c r="AJ6787">
        <v>99.303436640050506</v>
      </c>
      <c r="AK6787">
        <v>16.661179268605402</v>
      </c>
      <c r="AL6787">
        <v>79.310298748852404</v>
      </c>
      <c r="AM6787">
        <v>93.981170887569206</v>
      </c>
      <c r="AN6787">
        <v>1.0000000506234801</v>
      </c>
    </row>
    <row r="6788" spans="1:40" x14ac:dyDescent="0.25">
      <c r="A6788" t="str">
        <f>"20190312173056942"</f>
        <v>20190312173056942</v>
      </c>
      <c r="B6788" t="str">
        <f>"1552383056933949"</f>
        <v>1552383056933949</v>
      </c>
      <c r="C6788" t="s">
        <v>40</v>
      </c>
      <c r="D6788">
        <v>3.2884850000000001</v>
      </c>
      <c r="E6788">
        <v>0.4658196</v>
      </c>
      <c r="F6788" t="s">
        <v>41</v>
      </c>
      <c r="G6788">
        <v>-189.31200000000001</v>
      </c>
      <c r="H6788" s="1">
        <v>-4.6967829999999998E-7</v>
      </c>
      <c r="I6788">
        <v>-19.55686</v>
      </c>
      <c r="J6788">
        <v>-189.0342</v>
      </c>
      <c r="K6788">
        <v>1.11701299999999</v>
      </c>
      <c r="L6788">
        <v>-37.607210000000002</v>
      </c>
      <c r="M6788">
        <v>0.14142399999999999</v>
      </c>
      <c r="N6788">
        <v>0</v>
      </c>
      <c r="O6788">
        <v>0.98983659999999996</v>
      </c>
      <c r="P6788">
        <v>7.6796409999999996E-2</v>
      </c>
      <c r="Q6788">
        <v>0.17215030000000001</v>
      </c>
      <c r="R6788">
        <v>0.98207259999999996</v>
      </c>
      <c r="S6788">
        <v>-4.0985109999999998E-2</v>
      </c>
      <c r="T6788">
        <v>-0.18835070000000001</v>
      </c>
      <c r="U6788">
        <v>3.0930179999999998</v>
      </c>
      <c r="V6788">
        <v>-6.6012589999999996E-2</v>
      </c>
      <c r="W6788">
        <v>0.18571679999999999</v>
      </c>
      <c r="X6788">
        <v>0.98038340000000002</v>
      </c>
      <c r="Y6788">
        <v>-0.15451860000000001</v>
      </c>
      <c r="Z6788">
        <v>-5.9498870000000002E-2</v>
      </c>
      <c r="AA6788">
        <v>0.98619670000000004</v>
      </c>
      <c r="AB6788">
        <v>28</v>
      </c>
      <c r="AC6788">
        <v>-0.27780000000001298</v>
      </c>
      <c r="AD6788">
        <v>-1.1170134696782901</v>
      </c>
      <c r="AE6788">
        <v>18.050349999999899</v>
      </c>
      <c r="AF6788">
        <v>-2.8172580857513498</v>
      </c>
      <c r="AG6788">
        <v>-1.1170134696782901</v>
      </c>
      <c r="AH6788">
        <v>17.761592974445499</v>
      </c>
      <c r="AI6788">
        <v>93.554233796587894</v>
      </c>
      <c r="AJ6788">
        <v>99.012895853655806</v>
      </c>
      <c r="AK6788">
        <v>18.0182920168102</v>
      </c>
      <c r="AL6788">
        <v>79.297073755401897</v>
      </c>
      <c r="AM6788">
        <v>93.852107586120397</v>
      </c>
      <c r="AN6788">
        <v>1.00000000141815</v>
      </c>
    </row>
    <row r="6789" spans="1:40" x14ac:dyDescent="0.25">
      <c r="A6789" t="str">
        <f>"20190312173056964"</f>
        <v>20190312173056964</v>
      </c>
      <c r="B6789" t="str">
        <f>"1552383056954446"</f>
        <v>1552383056954446</v>
      </c>
      <c r="C6789" t="s">
        <v>40</v>
      </c>
      <c r="D6789">
        <v>3.4909240000000001</v>
      </c>
      <c r="E6789">
        <v>0.46693600000000002</v>
      </c>
      <c r="F6789" t="s">
        <v>41</v>
      </c>
      <c r="G6789">
        <v>-189.3938</v>
      </c>
      <c r="H6789" s="1">
        <v>-8.8368559999999997E-7</v>
      </c>
      <c r="I6789">
        <v>-18.558</v>
      </c>
      <c r="J6789">
        <v>-189.00450000000001</v>
      </c>
      <c r="K6789">
        <v>1.1168169999999999</v>
      </c>
      <c r="L6789">
        <v>-37.334629999999997</v>
      </c>
      <c r="M6789">
        <v>0.13297870000000001</v>
      </c>
      <c r="N6789">
        <v>0</v>
      </c>
      <c r="O6789">
        <v>0.99100710000000003</v>
      </c>
      <c r="P6789">
        <v>7.0801760000000005E-2</v>
      </c>
      <c r="Q6789">
        <v>0.17211699999999999</v>
      </c>
      <c r="R6789">
        <v>0.98252879999999998</v>
      </c>
      <c r="S6789">
        <v>-5.8349610000000003E-2</v>
      </c>
      <c r="T6789">
        <v>-0.18125669999999999</v>
      </c>
      <c r="U6789">
        <v>3.0910950000000001</v>
      </c>
      <c r="V6789">
        <v>-6.3539319999999996E-2</v>
      </c>
      <c r="W6789">
        <v>0.18572330000000001</v>
      </c>
      <c r="X6789">
        <v>0.98054560000000002</v>
      </c>
      <c r="Y6789">
        <v>-0.15164269999999999</v>
      </c>
      <c r="Z6789">
        <v>-5.7414260000000002E-2</v>
      </c>
      <c r="AA6789">
        <v>0.98676649999999999</v>
      </c>
      <c r="AB6789">
        <v>28</v>
      </c>
      <c r="AC6789">
        <v>-0.38929999999999099</v>
      </c>
      <c r="AD6789">
        <v>-1.1168178836856</v>
      </c>
      <c r="AE6789">
        <v>18.776630000000001</v>
      </c>
      <c r="AF6789">
        <v>-2.87285124126192</v>
      </c>
      <c r="AG6789">
        <v>-1.1168178836856</v>
      </c>
      <c r="AH6789">
        <v>18.4926666548212</v>
      </c>
      <c r="AI6789">
        <v>93.415169994280504</v>
      </c>
      <c r="AJ6789">
        <v>98.8303618087497</v>
      </c>
      <c r="AK6789">
        <v>18.747780573872699</v>
      </c>
      <c r="AL6789">
        <v>79.296695064899296</v>
      </c>
      <c r="AM6789">
        <v>93.707580851322405</v>
      </c>
      <c r="AN6789">
        <v>1.00000003151415</v>
      </c>
    </row>
    <row r="6790" spans="1:40" x14ac:dyDescent="0.25">
      <c r="A6790" t="str">
        <f>"20190312173056986"</f>
        <v>20190312173056986</v>
      </c>
      <c r="B6790" t="str">
        <f>"1552383056973732"</f>
        <v>1552383056973732</v>
      </c>
      <c r="C6790" t="s">
        <v>40</v>
      </c>
      <c r="D6790">
        <v>3.321898</v>
      </c>
      <c r="E6790">
        <v>0.46795160000000002</v>
      </c>
      <c r="F6790" t="s">
        <v>41</v>
      </c>
      <c r="G6790">
        <v>-189.42789999999999</v>
      </c>
      <c r="H6790" s="1">
        <v>-9.6834640000000008E-7</v>
      </c>
      <c r="I6790">
        <v>-18.346520000000002</v>
      </c>
      <c r="J6790">
        <v>-188.9777</v>
      </c>
      <c r="K6790">
        <v>1.1166149999999999</v>
      </c>
      <c r="L6790">
        <v>-37.068570000000001</v>
      </c>
      <c r="M6790">
        <v>0.1249893</v>
      </c>
      <c r="N6790">
        <v>0</v>
      </c>
      <c r="O6790">
        <v>0.99204689999999995</v>
      </c>
      <c r="P6790">
        <v>6.544092E-2</v>
      </c>
      <c r="Q6790">
        <v>0.1717494</v>
      </c>
      <c r="R6790">
        <v>0.98296470000000002</v>
      </c>
      <c r="S6790">
        <v>-6.8908689999999995E-2</v>
      </c>
      <c r="T6790">
        <v>-0.18175240000000001</v>
      </c>
      <c r="U6790">
        <v>3.0901489999999998</v>
      </c>
      <c r="V6790">
        <v>-6.0887139999999999E-2</v>
      </c>
      <c r="W6790">
        <v>0.18539910000000001</v>
      </c>
      <c r="X6790">
        <v>0.98077519999999996</v>
      </c>
      <c r="Y6790">
        <v>-0.1470525</v>
      </c>
      <c r="Z6790">
        <v>-5.7698140000000002E-2</v>
      </c>
      <c r="AA6790">
        <v>0.9874444</v>
      </c>
      <c r="AB6790">
        <v>28</v>
      </c>
      <c r="AC6790">
        <v>-0.45019999999999499</v>
      </c>
      <c r="AD6790">
        <v>-1.1166159683464001</v>
      </c>
      <c r="AE6790">
        <v>18.722049999999999</v>
      </c>
      <c r="AF6790">
        <v>-2.77711003350732</v>
      </c>
      <c r="AG6790">
        <v>-1.1166159683464001</v>
      </c>
      <c r="AH6790">
        <v>18.453321345394102</v>
      </c>
      <c r="AI6790">
        <v>93.424295545908905</v>
      </c>
      <c r="AJ6790">
        <v>98.558432412395604</v>
      </c>
      <c r="AK6790">
        <v>18.694497587133799</v>
      </c>
      <c r="AL6790">
        <v>79.315598660371606</v>
      </c>
      <c r="AM6790">
        <v>93.552398980989295</v>
      </c>
      <c r="AN6790">
        <v>1.00000003151661</v>
      </c>
    </row>
    <row r="6791" spans="1:40" x14ac:dyDescent="0.25">
      <c r="A6791" t="str">
        <f>"20190312173057007"</f>
        <v>20190312173057007</v>
      </c>
      <c r="B6791" t="str">
        <f>"1552383057003989"</f>
        <v>1552383057003989</v>
      </c>
      <c r="C6791" t="s">
        <v>40</v>
      </c>
      <c r="D6791">
        <v>3.28105</v>
      </c>
      <c r="E6791">
        <v>0.46937139999999999</v>
      </c>
      <c r="F6791" t="s">
        <v>41</v>
      </c>
      <c r="G6791">
        <v>-189.44589999999999</v>
      </c>
      <c r="H6791" s="1">
        <v>-9.1326169999999999E-7</v>
      </c>
      <c r="I6791">
        <v>-18.467510000000001</v>
      </c>
      <c r="J6791">
        <v>-188.95249999999999</v>
      </c>
      <c r="K6791">
        <v>1.1164080000000001</v>
      </c>
      <c r="L6791">
        <v>-36.799100000000003</v>
      </c>
      <c r="M6791">
        <v>0.11711009999999999</v>
      </c>
      <c r="N6791">
        <v>0</v>
      </c>
      <c r="O6791">
        <v>0.99300840000000001</v>
      </c>
      <c r="P6791">
        <v>6.053762E-2</v>
      </c>
      <c r="Q6791">
        <v>0.1717101</v>
      </c>
      <c r="R6791">
        <v>0.98328570000000004</v>
      </c>
      <c r="S6791">
        <v>-7.7758789999999994E-2</v>
      </c>
      <c r="T6791">
        <v>-0.18546579999999999</v>
      </c>
      <c r="U6791">
        <v>3.089569</v>
      </c>
      <c r="V6791">
        <v>-5.78942E-2</v>
      </c>
      <c r="W6791">
        <v>0.18540239999999999</v>
      </c>
      <c r="X6791">
        <v>0.98095580000000004</v>
      </c>
      <c r="Y6791">
        <v>-0.14202770000000001</v>
      </c>
      <c r="Z6791">
        <v>-5.8990130000000002E-2</v>
      </c>
      <c r="AA6791">
        <v>0.98810339999999997</v>
      </c>
      <c r="AB6791">
        <v>28</v>
      </c>
      <c r="AC6791">
        <v>-0.493400000000008</v>
      </c>
      <c r="AD6791">
        <v>-1.1164089132616899</v>
      </c>
      <c r="AE6791">
        <v>18.331589999999998</v>
      </c>
      <c r="AF6791">
        <v>-2.6273167428067699</v>
      </c>
      <c r="AG6791">
        <v>-1.1164089132616899</v>
      </c>
      <c r="AH6791">
        <v>18.080622066292602</v>
      </c>
      <c r="AI6791">
        <v>93.496676988859704</v>
      </c>
      <c r="AJ6791">
        <v>98.267849283400395</v>
      </c>
      <c r="AK6791">
        <v>18.304591129898199</v>
      </c>
      <c r="AL6791">
        <v>79.315406285428907</v>
      </c>
      <c r="AM6791">
        <v>93.377573224250995</v>
      </c>
      <c r="AN6791">
        <v>1.0000000349365099</v>
      </c>
    </row>
    <row r="6792" spans="1:40" x14ac:dyDescent="0.25">
      <c r="A6792" t="str">
        <f>"20190312173057031"</f>
        <v>20190312173057031</v>
      </c>
      <c r="B6792" t="str">
        <f>"1552383057024485"</f>
        <v>1552383057024485</v>
      </c>
      <c r="C6792" t="s">
        <v>40</v>
      </c>
      <c r="D6792">
        <v>3.2888950000000001</v>
      </c>
      <c r="E6792">
        <v>0.47685519999999998</v>
      </c>
      <c r="F6792" t="s">
        <v>41</v>
      </c>
      <c r="G6792">
        <v>-189.4409</v>
      </c>
      <c r="H6792" s="1">
        <v>-9.0285440000000004E-7</v>
      </c>
      <c r="I6792">
        <v>-18.4938</v>
      </c>
      <c r="J6792">
        <v>-188.92789999999999</v>
      </c>
      <c r="K6792">
        <v>1.1162069999999999</v>
      </c>
      <c r="L6792">
        <v>-36.514470000000003</v>
      </c>
      <c r="M6792">
        <v>0.1090375</v>
      </c>
      <c r="N6792">
        <v>0</v>
      </c>
      <c r="O6792">
        <v>0.99392769999999997</v>
      </c>
      <c r="P6792">
        <v>5.5088199999999997E-2</v>
      </c>
      <c r="Q6792">
        <v>0.17155379999999901</v>
      </c>
      <c r="R6792">
        <v>0.98363330000000004</v>
      </c>
      <c r="S6792">
        <v>-8.2427979999999998E-2</v>
      </c>
      <c r="T6792">
        <v>-0.18839030000000001</v>
      </c>
      <c r="U6792">
        <v>3.088959</v>
      </c>
      <c r="V6792">
        <v>-5.526089E-2</v>
      </c>
      <c r="W6792">
        <v>0.18528049999999999</v>
      </c>
      <c r="X6792">
        <v>0.98113070000000002</v>
      </c>
      <c r="Y6792">
        <v>-0.1354774</v>
      </c>
      <c r="Z6792">
        <v>-6.0039330000000002E-2</v>
      </c>
      <c r="AA6792">
        <v>0.98895960000000005</v>
      </c>
      <c r="AB6792">
        <v>28</v>
      </c>
      <c r="AC6792">
        <v>-0.51300000000000501</v>
      </c>
      <c r="AD6792">
        <v>-1.1162079028544001</v>
      </c>
      <c r="AE6792">
        <v>18.020669999999999</v>
      </c>
      <c r="AF6792">
        <v>-2.4656321720711398</v>
      </c>
      <c r="AG6792">
        <v>-1.1162079028544001</v>
      </c>
      <c r="AH6792">
        <v>17.789063773138899</v>
      </c>
      <c r="AI6792">
        <v>93.556512110667299</v>
      </c>
      <c r="AJ6792">
        <v>97.891137877578004</v>
      </c>
      <c r="AK6792">
        <v>17.993778147324999</v>
      </c>
      <c r="AL6792">
        <v>79.322513839315505</v>
      </c>
      <c r="AM6792">
        <v>93.223703025099795</v>
      </c>
      <c r="AN6792">
        <v>1.0000000400631599</v>
      </c>
    </row>
    <row r="6793" spans="1:40" x14ac:dyDescent="0.25">
      <c r="A6793" t="str">
        <f>"20190312173057052"</f>
        <v>20190312173057052</v>
      </c>
      <c r="B6793" t="str">
        <f>"1552383057044005"</f>
        <v>1552383057044005</v>
      </c>
      <c r="C6793" t="s">
        <v>40</v>
      </c>
      <c r="D6793">
        <v>3.2549000000000001</v>
      </c>
      <c r="E6793">
        <v>0.47780060000000002</v>
      </c>
      <c r="F6793" t="s">
        <v>41</v>
      </c>
      <c r="G6793">
        <v>-189.14670000000001</v>
      </c>
      <c r="H6793" s="1">
        <v>-4.7015270000000001E-7</v>
      </c>
      <c r="I6793">
        <v>-19.637540000000001</v>
      </c>
      <c r="J6793">
        <v>-188.90629999999999</v>
      </c>
      <c r="K6793">
        <v>1.1160110000000001</v>
      </c>
      <c r="L6793">
        <v>-36.241909999999997</v>
      </c>
      <c r="M6793">
        <v>0.1015658</v>
      </c>
      <c r="N6793">
        <v>0</v>
      </c>
      <c r="O6793">
        <v>0.99471940000000003</v>
      </c>
      <c r="P6793">
        <v>5.0342730000000002E-2</v>
      </c>
      <c r="Q6793">
        <v>0.17111589999999999</v>
      </c>
      <c r="R6793">
        <v>0.9839639</v>
      </c>
      <c r="S6793">
        <v>-4.0023799999999998E-2</v>
      </c>
      <c r="T6793">
        <v>-0.20421919999999999</v>
      </c>
      <c r="U6793">
        <v>3.0877690000000002</v>
      </c>
      <c r="V6793">
        <v>-5.2526459999999997E-2</v>
      </c>
      <c r="W6793">
        <v>0.1848775</v>
      </c>
      <c r="X6793">
        <v>0.98135689999999998</v>
      </c>
      <c r="Y6793">
        <v>-0.1144338</v>
      </c>
      <c r="Z6793">
        <v>-6.5262680000000003E-2</v>
      </c>
      <c r="AA6793">
        <v>0.99128479999999997</v>
      </c>
      <c r="AB6793">
        <v>28</v>
      </c>
      <c r="AC6793">
        <v>-0.24040000000002201</v>
      </c>
      <c r="AD6793">
        <v>-1.1160114701527</v>
      </c>
      <c r="AE6793">
        <v>16.604369999999999</v>
      </c>
      <c r="AF6793">
        <v>-1.9171176505326799</v>
      </c>
      <c r="AG6793">
        <v>-1.1160114701527</v>
      </c>
      <c r="AH6793">
        <v>16.4199076290347</v>
      </c>
      <c r="AI6793">
        <v>93.862086516059605</v>
      </c>
      <c r="AJ6793">
        <v>96.659457181483006</v>
      </c>
      <c r="AK6793">
        <v>16.5690732460668</v>
      </c>
      <c r="AL6793">
        <v>79.346009986942093</v>
      </c>
      <c r="AM6793">
        <v>93.063794052419794</v>
      </c>
      <c r="AN6793">
        <v>1.0000000420919899</v>
      </c>
    </row>
    <row r="6794" spans="1:40" x14ac:dyDescent="0.25">
      <c r="A6794" t="str">
        <f>"20190312173057075"</f>
        <v>20190312173057075</v>
      </c>
      <c r="B6794" t="str">
        <f>"1552383057064501"</f>
        <v>1552383057064501</v>
      </c>
      <c r="C6794" t="s">
        <v>40</v>
      </c>
      <c r="D6794">
        <v>3.2727529999999998</v>
      </c>
      <c r="E6794">
        <v>0.4781377</v>
      </c>
      <c r="F6794" t="s">
        <v>41</v>
      </c>
      <c r="G6794">
        <v>-189.155</v>
      </c>
      <c r="H6794" s="1">
        <v>-4.3426350000000002E-7</v>
      </c>
      <c r="I6794">
        <v>-19.73649</v>
      </c>
      <c r="J6794">
        <v>-188.88650000000001</v>
      </c>
      <c r="K6794">
        <v>1.1157999999999999</v>
      </c>
      <c r="L6794">
        <v>-35.969540000000002</v>
      </c>
      <c r="M6794">
        <v>9.4373170000000006E-2</v>
      </c>
      <c r="N6794">
        <v>0</v>
      </c>
      <c r="O6794">
        <v>0.99542810000000004</v>
      </c>
      <c r="P6794">
        <v>4.6134790000000002E-2</v>
      </c>
      <c r="Q6794">
        <v>0.17022579999999901</v>
      </c>
      <c r="R6794">
        <v>0.98432450000000005</v>
      </c>
      <c r="S6794">
        <v>-4.6524049999999997E-2</v>
      </c>
      <c r="T6794">
        <v>-0.20876649999999999</v>
      </c>
      <c r="U6794">
        <v>3.0875849999999998</v>
      </c>
      <c r="V6794">
        <v>-4.9528669999999997E-2</v>
      </c>
      <c r="W6794">
        <v>0.1840241</v>
      </c>
      <c r="X6794">
        <v>0.98167309999999997</v>
      </c>
      <c r="Y6794">
        <v>-0.1093373</v>
      </c>
      <c r="Z6794">
        <v>-6.6803219999999996E-2</v>
      </c>
      <c r="AA6794">
        <v>0.99175740000000001</v>
      </c>
      <c r="AB6794">
        <v>28</v>
      </c>
      <c r="AC6794">
        <v>-0.26849999999998803</v>
      </c>
      <c r="AD6794">
        <v>-1.1158004342635</v>
      </c>
      <c r="AE6794">
        <v>16.233049999999999</v>
      </c>
      <c r="AF6794">
        <v>-1.7909722591411099</v>
      </c>
      <c r="AG6794">
        <v>-1.1158004342635</v>
      </c>
      <c r="AH6794">
        <v>16.059387698993</v>
      </c>
      <c r="AI6794">
        <v>93.950092925727205</v>
      </c>
      <c r="AJ6794">
        <v>96.363436013345805</v>
      </c>
      <c r="AK6794">
        <v>16.197423421911399</v>
      </c>
      <c r="AL6794">
        <v>79.395759554731001</v>
      </c>
      <c r="AM6794">
        <v>92.888313361729601</v>
      </c>
      <c r="AN6794">
        <v>1.00000001689819</v>
      </c>
    </row>
    <row r="6795" spans="1:40" x14ac:dyDescent="0.25">
      <c r="A6795" t="str">
        <f>"20190312173057097"</f>
        <v>20190312173057097</v>
      </c>
      <c r="B6795" t="str">
        <f>"1552383057093781"</f>
        <v>1552383057093781</v>
      </c>
      <c r="C6795" t="s">
        <v>40</v>
      </c>
      <c r="D6795">
        <v>3.2892980000000001</v>
      </c>
      <c r="E6795">
        <v>0.47932010000000003</v>
      </c>
      <c r="F6795" t="s">
        <v>41</v>
      </c>
      <c r="G6795">
        <v>-189.18809999999999</v>
      </c>
      <c r="H6795" s="1">
        <v>-4.992781E-7</v>
      </c>
      <c r="I6795">
        <v>-19.539100000000001</v>
      </c>
      <c r="J6795">
        <v>-188.8683</v>
      </c>
      <c r="K6795">
        <v>1.1155679999999999</v>
      </c>
      <c r="L6795">
        <v>-35.695979999999999</v>
      </c>
      <c r="M6795">
        <v>8.7437619999999994E-2</v>
      </c>
      <c r="N6795">
        <v>0</v>
      </c>
      <c r="O6795">
        <v>0.99606189999999994</v>
      </c>
      <c r="P6795">
        <v>4.246639E-2</v>
      </c>
      <c r="Q6795">
        <v>0.1698441</v>
      </c>
      <c r="R6795">
        <v>0.98455550000000003</v>
      </c>
      <c r="S6795">
        <v>-5.6655879999999999E-2</v>
      </c>
      <c r="T6795">
        <v>-0.20961750000000001</v>
      </c>
      <c r="U6795">
        <v>3.0866699999999998</v>
      </c>
      <c r="V6795">
        <v>-4.6236939999999997E-2</v>
      </c>
      <c r="W6795">
        <v>0.1836796</v>
      </c>
      <c r="X6795">
        <v>0.9818981</v>
      </c>
      <c r="Y6795">
        <v>-0.1056718</v>
      </c>
      <c r="Z6795">
        <v>-6.7169999999999994E-2</v>
      </c>
      <c r="AA6795">
        <v>0.99212990000000001</v>
      </c>
      <c r="AB6795">
        <v>28</v>
      </c>
      <c r="AC6795">
        <v>-0.31979999999998598</v>
      </c>
      <c r="AD6795">
        <v>-1.1155684992781001</v>
      </c>
      <c r="AE6795">
        <v>16.156879999999902</v>
      </c>
      <c r="AF6795">
        <v>-1.7232341250143399</v>
      </c>
      <c r="AG6795">
        <v>-1.1155684992781001</v>
      </c>
      <c r="AH6795">
        <v>15.9908161405912</v>
      </c>
      <c r="AI6795">
        <v>93.967765614025495</v>
      </c>
      <c r="AJ6795">
        <v>96.150685545022199</v>
      </c>
      <c r="AK6795">
        <v>16.1220417369634</v>
      </c>
      <c r="AL6795">
        <v>79.415839684984505</v>
      </c>
      <c r="AM6795">
        <v>92.696029268680505</v>
      </c>
      <c r="AN6795">
        <v>0.99999996443016603</v>
      </c>
    </row>
    <row r="6796" spans="1:40" x14ac:dyDescent="0.25">
      <c r="A6796" t="str">
        <f>"20190312173057118"</f>
        <v>20190312173057118</v>
      </c>
      <c r="B6796" t="str">
        <f>"1552383057114278"</f>
        <v>1552383057114278</v>
      </c>
      <c r="C6796" t="s">
        <v>40</v>
      </c>
      <c r="D6796">
        <v>3.2439629999999999</v>
      </c>
      <c r="E6796">
        <v>0.4802999</v>
      </c>
      <c r="F6796" t="s">
        <v>41</v>
      </c>
      <c r="G6796">
        <v>-189.17830000000001</v>
      </c>
      <c r="H6796" s="1">
        <v>-5.9293859999999896E-7</v>
      </c>
      <c r="I6796">
        <v>-19.324819999999999</v>
      </c>
      <c r="J6796">
        <v>-188.85239999999999</v>
      </c>
      <c r="K6796">
        <v>1.115332</v>
      </c>
      <c r="L6796">
        <v>-35.435519999999997</v>
      </c>
      <c r="M6796">
        <v>8.1126429999999999E-2</v>
      </c>
      <c r="N6796">
        <v>0</v>
      </c>
      <c r="O6796">
        <v>0.99659620000000004</v>
      </c>
      <c r="P6796">
        <v>3.9099830000000002E-2</v>
      </c>
      <c r="Q6796">
        <v>0.16940749999999999</v>
      </c>
      <c r="R6796">
        <v>0.98477020000000004</v>
      </c>
      <c r="S6796">
        <v>-5.8441159999999999E-2</v>
      </c>
      <c r="T6796">
        <v>-0.21027660000000001</v>
      </c>
      <c r="U6796">
        <v>3.0858460000000001</v>
      </c>
      <c r="V6796">
        <v>-4.3258070000000003E-2</v>
      </c>
      <c r="W6796">
        <v>0.18327460000000001</v>
      </c>
      <c r="X6796">
        <v>0.98210949999999997</v>
      </c>
      <c r="Y6796">
        <v>-9.9949460000000004E-2</v>
      </c>
      <c r="Z6796">
        <v>-6.7472299999999999E-2</v>
      </c>
      <c r="AA6796">
        <v>0.99270219999999998</v>
      </c>
      <c r="AB6796">
        <v>28</v>
      </c>
      <c r="AC6796">
        <v>-0.32590000000001801</v>
      </c>
      <c r="AD6796">
        <v>-1.1153325929386</v>
      </c>
      <c r="AE6796">
        <v>16.110700000000001</v>
      </c>
      <c r="AF6796">
        <v>-1.62418827086324</v>
      </c>
      <c r="AG6796">
        <v>-1.1153325929386</v>
      </c>
      <c r="AH6796">
        <v>15.954708057642099</v>
      </c>
      <c r="AI6796">
        <v>93.978328771554899</v>
      </c>
      <c r="AJ6796">
        <v>95.812682537117595</v>
      </c>
      <c r="AK6796">
        <v>16.075903195051598</v>
      </c>
      <c r="AL6796">
        <v>79.4394451016055</v>
      </c>
      <c r="AM6796">
        <v>92.5220241639107</v>
      </c>
      <c r="AN6796">
        <v>0.99999995480776604</v>
      </c>
    </row>
    <row r="6797" spans="1:40" x14ac:dyDescent="0.25">
      <c r="A6797" t="str">
        <f>"20190312173057144"</f>
        <v>20190312173057144</v>
      </c>
      <c r="B6797" t="str">
        <f>"1552383057133797"</f>
        <v>1552383057133797</v>
      </c>
      <c r="C6797" t="s">
        <v>40</v>
      </c>
      <c r="D6797">
        <v>3.2461579999999999</v>
      </c>
      <c r="E6797">
        <v>0.48107050000000001</v>
      </c>
      <c r="F6797" t="s">
        <v>41</v>
      </c>
      <c r="G6797">
        <v>-189.17349999999999</v>
      </c>
      <c r="H6797" s="1">
        <v>-6.6093049999999999E-7</v>
      </c>
      <c r="I6797">
        <v>-19.168320000000001</v>
      </c>
      <c r="J6797">
        <v>-188.83500000000001</v>
      </c>
      <c r="K6797">
        <v>1.115019</v>
      </c>
      <c r="L6797">
        <v>-35.121580000000002</v>
      </c>
      <c r="M6797">
        <v>7.3912690000000003E-2</v>
      </c>
      <c r="N6797">
        <v>0</v>
      </c>
      <c r="O6797">
        <v>0.99715790000000004</v>
      </c>
      <c r="P6797">
        <v>3.4113999999999998E-2</v>
      </c>
      <c r="Q6797">
        <v>0.16862249999999901</v>
      </c>
      <c r="R6797">
        <v>0.98509020000000003</v>
      </c>
      <c r="S6797">
        <v>-6.089783E-2</v>
      </c>
      <c r="T6797">
        <v>-0.21153179999999999</v>
      </c>
      <c r="U6797">
        <v>3.0852050000000002</v>
      </c>
      <c r="V6797">
        <v>-4.0975739999999997E-2</v>
      </c>
      <c r="W6797">
        <v>0.18250859999999999</v>
      </c>
      <c r="X6797">
        <v>0.9823501</v>
      </c>
      <c r="Y6797">
        <v>-9.3540849999999995E-2</v>
      </c>
      <c r="Z6797">
        <v>-6.7965510000000007E-2</v>
      </c>
      <c r="AA6797">
        <v>0.99329290000000003</v>
      </c>
      <c r="AB6797">
        <v>28</v>
      </c>
      <c r="AC6797">
        <v>-0.33849999999998198</v>
      </c>
      <c r="AD6797">
        <v>-1.1150196609305001</v>
      </c>
      <c r="AE6797">
        <v>15.95326</v>
      </c>
      <c r="AF6797">
        <v>-1.5094773849542999</v>
      </c>
      <c r="AG6797">
        <v>-1.1150196609305001</v>
      </c>
      <c r="AH6797">
        <v>15.8074071668236</v>
      </c>
      <c r="AI6797">
        <v>94.016623595822793</v>
      </c>
      <c r="AJ6797">
        <v>95.454735874908707</v>
      </c>
      <c r="AK6797">
        <v>15.918414247584399</v>
      </c>
      <c r="AL6797">
        <v>79.484087752103605</v>
      </c>
      <c r="AM6797">
        <v>92.388534174457703</v>
      </c>
      <c r="AN6797">
        <v>1.0000000596562499</v>
      </c>
    </row>
    <row r="6798" spans="1:40" x14ac:dyDescent="0.25">
      <c r="A6798" t="str">
        <f>"20190312173057166"</f>
        <v>20190312173057166</v>
      </c>
      <c r="B6798" t="str">
        <f>"1552383057154293"</f>
        <v>1552383057154293</v>
      </c>
      <c r="C6798" t="s">
        <v>40</v>
      </c>
      <c r="D6798">
        <v>3.207004</v>
      </c>
      <c r="E6798">
        <v>0.48719839999999998</v>
      </c>
      <c r="F6798" t="s">
        <v>41</v>
      </c>
      <c r="G6798">
        <v>-189.1919</v>
      </c>
      <c r="H6798" s="1">
        <v>-6.965436E-7</v>
      </c>
      <c r="I6798">
        <v>-19.077680000000001</v>
      </c>
      <c r="J6798">
        <v>-188.82169999999999</v>
      </c>
      <c r="K6798">
        <v>1.1147359999999999</v>
      </c>
      <c r="L6798">
        <v>-34.85483</v>
      </c>
      <c r="M6798">
        <v>6.8200289999999997E-2</v>
      </c>
      <c r="N6798">
        <v>0</v>
      </c>
      <c r="O6798">
        <v>0.99756540000000005</v>
      </c>
      <c r="P6798">
        <v>3.1214550000000001E-2</v>
      </c>
      <c r="Q6798">
        <v>0.16811889999999999</v>
      </c>
      <c r="R6798">
        <v>0.98527240000000005</v>
      </c>
      <c r="S6798">
        <v>-6.8618769999999996E-2</v>
      </c>
      <c r="T6798">
        <v>-0.21436479999999999</v>
      </c>
      <c r="U6798">
        <v>3.084473</v>
      </c>
      <c r="V6798">
        <v>-3.810525E-2</v>
      </c>
      <c r="W6798">
        <v>0.18202989999999999</v>
      </c>
      <c r="X6798">
        <v>0.98255440000000005</v>
      </c>
      <c r="Y6798">
        <v>-9.0326500000000004E-2</v>
      </c>
      <c r="Z6798">
        <v>-6.8938490000000005E-2</v>
      </c>
      <c r="AA6798">
        <v>0.99352339999999995</v>
      </c>
      <c r="AB6798">
        <v>28</v>
      </c>
      <c r="AC6798">
        <v>-0.37020000000001102</v>
      </c>
      <c r="AD6798">
        <v>-1.1147366965436001</v>
      </c>
      <c r="AE6798">
        <v>15.777150000000001</v>
      </c>
      <c r="AF6798">
        <v>-1.43828197216186</v>
      </c>
      <c r="AG6798">
        <v>-1.1147366965436001</v>
      </c>
      <c r="AH6798">
        <v>15.6371370913331</v>
      </c>
      <c r="AI6798">
        <v>94.060508347729794</v>
      </c>
      <c r="AJ6798">
        <v>95.255199080240999</v>
      </c>
      <c r="AK6798">
        <v>15.742660173782999</v>
      </c>
      <c r="AL6798">
        <v>79.511982113221805</v>
      </c>
      <c r="AM6798">
        <v>92.220921733518693</v>
      </c>
      <c r="AN6798">
        <v>1.0000000217654601</v>
      </c>
    </row>
    <row r="6799" spans="1:40" x14ac:dyDescent="0.25">
      <c r="A6799" t="str">
        <f>"20190312173057186"</f>
        <v>20190312173057186</v>
      </c>
      <c r="B6799" t="str">
        <f>"1552383057174789"</f>
        <v>1552383057174789</v>
      </c>
      <c r="C6799" t="s">
        <v>40</v>
      </c>
      <c r="D6799">
        <v>3.2442489999999999</v>
      </c>
      <c r="E6799">
        <v>0.48827500000000001</v>
      </c>
      <c r="F6799" t="s">
        <v>41</v>
      </c>
      <c r="G6799">
        <v>-188.9624</v>
      </c>
      <c r="H6799" s="1">
        <v>-5.8273610000000003E-7</v>
      </c>
      <c r="I6799">
        <v>-19.450810000000001</v>
      </c>
      <c r="J6799">
        <v>-188.8099</v>
      </c>
      <c r="K6799">
        <v>1.1144769999999999</v>
      </c>
      <c r="L6799">
        <v>-34.596309999999903</v>
      </c>
      <c r="M6799">
        <v>6.2949240000000004E-2</v>
      </c>
      <c r="N6799">
        <v>0</v>
      </c>
      <c r="O6799">
        <v>0.99791099999999999</v>
      </c>
      <c r="P6799">
        <v>2.9335590000000002E-2</v>
      </c>
      <c r="Q6799">
        <v>0.16820929999999901</v>
      </c>
      <c r="R6799">
        <v>0.98531469999999999</v>
      </c>
      <c r="S6799">
        <v>-2.816772E-2</v>
      </c>
      <c r="T6799">
        <v>-0.22316630000000001</v>
      </c>
      <c r="U6799">
        <v>3.0838320000000001</v>
      </c>
      <c r="V6799">
        <v>-3.4683609999999997E-2</v>
      </c>
      <c r="W6799">
        <v>0.1821458</v>
      </c>
      <c r="X6799">
        <v>0.98265959999999997</v>
      </c>
      <c r="Y6799">
        <v>-7.204489E-2</v>
      </c>
      <c r="Z6799">
        <v>-7.1867929999999997E-2</v>
      </c>
      <c r="AA6799">
        <v>0.99480880000000005</v>
      </c>
      <c r="AB6799">
        <v>28</v>
      </c>
      <c r="AC6799">
        <v>-0.15250000000000299</v>
      </c>
      <c r="AD6799">
        <v>-1.1144775827361</v>
      </c>
      <c r="AE6799">
        <v>15.145499999999901</v>
      </c>
      <c r="AF6799">
        <v>-1.09974163348451</v>
      </c>
      <c r="AG6799">
        <v>-1.1144775827361</v>
      </c>
      <c r="AH6799">
        <v>15.024510100954</v>
      </c>
      <c r="AI6799">
        <v>94.230998987829807</v>
      </c>
      <c r="AJ6799">
        <v>94.186384977215994</v>
      </c>
      <c r="AK6799">
        <v>15.105872888267999</v>
      </c>
      <c r="AL6799">
        <v>79.505228052199897</v>
      </c>
      <c r="AM6799">
        <v>92.021452668615197</v>
      </c>
      <c r="AN6799">
        <v>0.99999996736621499</v>
      </c>
    </row>
    <row r="6800" spans="1:40" x14ac:dyDescent="0.25">
      <c r="A6800" t="str">
        <f>"20190312173057207"</f>
        <v>20190312173057207</v>
      </c>
      <c r="B6800" t="str">
        <f>"1552383057204068"</f>
        <v>1552383057204068</v>
      </c>
      <c r="C6800" t="s">
        <v>40</v>
      </c>
      <c r="D6800">
        <v>3.2105800000000002</v>
      </c>
      <c r="E6800">
        <v>0.48929739999999999</v>
      </c>
      <c r="F6800" t="s">
        <v>41</v>
      </c>
      <c r="G6800">
        <v>-188.93940000000001</v>
      </c>
      <c r="H6800" s="1">
        <v>-9.8058350000000005E-7</v>
      </c>
      <c r="I6800">
        <v>-18.51999</v>
      </c>
      <c r="J6800">
        <v>-188.7989</v>
      </c>
      <c r="K6800">
        <v>1.114225</v>
      </c>
      <c r="L6800">
        <v>-34.330410000000001</v>
      </c>
      <c r="M6800">
        <v>5.7875919999999997E-2</v>
      </c>
      <c r="N6800">
        <v>0</v>
      </c>
      <c r="O6800">
        <v>0.99821859999999996</v>
      </c>
      <c r="P6800">
        <v>2.736359E-2</v>
      </c>
      <c r="Q6800">
        <v>0.16829769999999999</v>
      </c>
      <c r="R6800">
        <v>0.98535629999999996</v>
      </c>
      <c r="S6800">
        <v>-2.4826049999999999E-2</v>
      </c>
      <c r="T6800">
        <v>-0.2136528</v>
      </c>
      <c r="U6800">
        <v>3.0819399999999999</v>
      </c>
      <c r="V6800">
        <v>-3.1533079999999998E-2</v>
      </c>
      <c r="W6800">
        <v>0.1822531</v>
      </c>
      <c r="X6800">
        <v>0.98274589999999995</v>
      </c>
      <c r="Y6800">
        <v>-6.5902370000000002E-2</v>
      </c>
      <c r="Z6800">
        <v>-6.8908070000000002E-2</v>
      </c>
      <c r="AA6800">
        <v>0.99544390000000005</v>
      </c>
      <c r="AB6800">
        <v>28</v>
      </c>
      <c r="AC6800">
        <v>-0.14050000000000201</v>
      </c>
      <c r="AD6800">
        <v>-1.1142259805835</v>
      </c>
      <c r="AE6800">
        <v>15.810420000000001</v>
      </c>
      <c r="AF6800">
        <v>-1.0501876848562799</v>
      </c>
      <c r="AG6800">
        <v>-1.1142259805835</v>
      </c>
      <c r="AH6800">
        <v>15.6978215850935</v>
      </c>
      <c r="AI6800">
        <v>94.051000546501598</v>
      </c>
      <c r="AJ6800">
        <v>93.827396918273607</v>
      </c>
      <c r="AK6800">
        <v>15.772317401912099</v>
      </c>
      <c r="AL6800">
        <v>79.498976072224096</v>
      </c>
      <c r="AM6800">
        <v>91.837802369989106</v>
      </c>
      <c r="AN6800">
        <v>1.0000000157803499</v>
      </c>
    </row>
    <row r="6801" spans="1:40" x14ac:dyDescent="0.25">
      <c r="A6801" t="str">
        <f>"20190312173057233"</f>
        <v>20190312173057233</v>
      </c>
      <c r="B6801" t="str">
        <f>"1552383057224564"</f>
        <v>1552383057224564</v>
      </c>
      <c r="C6801" t="s">
        <v>40</v>
      </c>
      <c r="D6801">
        <v>3.1956570000000002</v>
      </c>
      <c r="E6801">
        <v>0.48986400000000002</v>
      </c>
      <c r="F6801" t="s">
        <v>41</v>
      </c>
      <c r="G6801">
        <v>-188.91890000000001</v>
      </c>
      <c r="H6801" s="1">
        <v>-1.1369080000000001E-6</v>
      </c>
      <c r="I6801">
        <v>-18.164090000000002</v>
      </c>
      <c r="J6801">
        <v>-188.7876</v>
      </c>
      <c r="K6801">
        <v>1.1139349999999999</v>
      </c>
      <c r="L6801">
        <v>-34.029879999999999</v>
      </c>
      <c r="M6801">
        <v>5.2569049999999999E-2</v>
      </c>
      <c r="N6801">
        <v>0</v>
      </c>
      <c r="O6801">
        <v>0.99851270000000003</v>
      </c>
      <c r="P6801">
        <v>2.4508559999999999E-2</v>
      </c>
      <c r="Q6801">
        <v>0.16810369999999999</v>
      </c>
      <c r="R6801">
        <v>0.98546460000000002</v>
      </c>
      <c r="S6801">
        <v>-2.2872920000000001E-2</v>
      </c>
      <c r="T6801">
        <v>-0.21238599999999999</v>
      </c>
      <c r="U6801">
        <v>3.081512</v>
      </c>
      <c r="V6801">
        <v>-2.9019440000000001E-2</v>
      </c>
      <c r="W6801">
        <v>0.18206649999999999</v>
      </c>
      <c r="X6801">
        <v>0.98285789999999995</v>
      </c>
      <c r="Y6801">
        <v>-5.9967659999999999E-2</v>
      </c>
      <c r="Z6801">
        <v>-6.8554160000000003E-2</v>
      </c>
      <c r="AA6801">
        <v>0.99584349999999999</v>
      </c>
      <c r="AB6801">
        <v>28</v>
      </c>
      <c r="AC6801">
        <v>-0.13130000000000999</v>
      </c>
      <c r="AD6801">
        <v>-1.1139361369079901</v>
      </c>
      <c r="AE6801">
        <v>15.865789999999899</v>
      </c>
      <c r="AF6801">
        <v>-0.96052054346762406</v>
      </c>
      <c r="AG6801">
        <v>-1.1139361369079901</v>
      </c>
      <c r="AH6801">
        <v>15.759265651709001</v>
      </c>
      <c r="AI6801">
        <v>94.035735657015195</v>
      </c>
      <c r="AJ6801">
        <v>93.487838746221399</v>
      </c>
      <c r="AK6801">
        <v>15.827757494751699</v>
      </c>
      <c r="AL6801">
        <v>79.509849165684201</v>
      </c>
      <c r="AM6801">
        <v>91.691199239298797</v>
      </c>
      <c r="AN6801">
        <v>0.999999994956286</v>
      </c>
    </row>
    <row r="6802" spans="1:40" x14ac:dyDescent="0.25">
      <c r="A6802" t="str">
        <f>"20190312173057253"</f>
        <v>20190312173057253</v>
      </c>
      <c r="B6802" t="str">
        <f>"1552383057244086"</f>
        <v>1552383057244086</v>
      </c>
      <c r="C6802" t="s">
        <v>40</v>
      </c>
      <c r="D6802">
        <v>3.2285059999999999</v>
      </c>
      <c r="E6802">
        <v>0.49375560000000002</v>
      </c>
      <c r="F6802" t="s">
        <v>41</v>
      </c>
      <c r="G6802">
        <v>-188.92769999999999</v>
      </c>
      <c r="H6802" s="1">
        <v>-1.2998649999999999E-6</v>
      </c>
      <c r="I6802">
        <v>-17.780560000000001</v>
      </c>
      <c r="J6802">
        <v>-188.77879999999999</v>
      </c>
      <c r="K6802">
        <v>1.1136729999999999</v>
      </c>
      <c r="L6802">
        <v>-33.769009999999902</v>
      </c>
      <c r="M6802">
        <v>4.8319250000000001E-2</v>
      </c>
      <c r="N6802">
        <v>0</v>
      </c>
      <c r="O6802">
        <v>0.9987279</v>
      </c>
      <c r="P6802">
        <v>2.250572E-2</v>
      </c>
      <c r="Q6802">
        <v>0.16737340000000001</v>
      </c>
      <c r="R6802">
        <v>0.98563670000000003</v>
      </c>
      <c r="S6802">
        <v>-2.656555E-2</v>
      </c>
      <c r="T6802">
        <v>-0.2112067</v>
      </c>
      <c r="U6802">
        <v>3.0809329999999999</v>
      </c>
      <c r="V6802">
        <v>-2.6710149999999998E-2</v>
      </c>
      <c r="W6802">
        <v>0.181343</v>
      </c>
      <c r="X6802">
        <v>0.98305710000000002</v>
      </c>
      <c r="Y6802">
        <v>-5.691446E-2</v>
      </c>
      <c r="Z6802">
        <v>-6.821584E-2</v>
      </c>
      <c r="AA6802">
        <v>0.99604579999999998</v>
      </c>
      <c r="AB6802">
        <v>28</v>
      </c>
      <c r="AC6802">
        <v>-0.14889999999999701</v>
      </c>
      <c r="AD6802">
        <v>-1.113674299865</v>
      </c>
      <c r="AE6802">
        <v>15.988449999999901</v>
      </c>
      <c r="AF6802">
        <v>-0.91690796927228901</v>
      </c>
      <c r="AG6802">
        <v>-1.113674299865</v>
      </c>
      <c r="AH6802">
        <v>15.885508444346099</v>
      </c>
      <c r="AI6802">
        <v>94.003592163528694</v>
      </c>
      <c r="AJ6802">
        <v>93.303434198024803</v>
      </c>
      <c r="AK6802">
        <v>15.9508736188864</v>
      </c>
      <c r="AL6802">
        <v>79.552004351341395</v>
      </c>
      <c r="AM6802">
        <v>91.556371891661897</v>
      </c>
      <c r="AN6802">
        <v>0.99999998881121599</v>
      </c>
    </row>
    <row r="6803" spans="1:40" x14ac:dyDescent="0.25">
      <c r="A6803" t="str">
        <f>"20190312173057275"</f>
        <v>20190312173057275</v>
      </c>
      <c r="B6803" t="str">
        <f>"1552383057264581"</f>
        <v>1552383057264581</v>
      </c>
      <c r="C6803" t="s">
        <v>40</v>
      </c>
      <c r="D6803">
        <v>3.2371690000000002</v>
      </c>
      <c r="E6803">
        <v>0.494334</v>
      </c>
      <c r="F6803" t="s">
        <v>41</v>
      </c>
      <c r="G6803">
        <v>-188.7835</v>
      </c>
      <c r="H6803" s="1">
        <v>-1.169118E-6</v>
      </c>
      <c r="I6803">
        <v>-18.14498</v>
      </c>
      <c r="J6803">
        <v>-188.7705</v>
      </c>
      <c r="K6803">
        <v>1.1133839999999999</v>
      </c>
      <c r="L6803">
        <v>-33.503019999999999</v>
      </c>
      <c r="M6803">
        <v>4.4339440000000001E-2</v>
      </c>
      <c r="N6803">
        <v>0</v>
      </c>
      <c r="O6803">
        <v>0.99891300000000005</v>
      </c>
      <c r="P6803">
        <v>2.0837769999999999E-2</v>
      </c>
      <c r="Q6803">
        <v>0.1669369</v>
      </c>
      <c r="R6803">
        <v>0.98574740000000005</v>
      </c>
      <c r="S6803">
        <v>-9.307861E-4</v>
      </c>
      <c r="T6803">
        <v>-0.21961410000000001</v>
      </c>
      <c r="U6803">
        <v>3.0810240000000002</v>
      </c>
      <c r="V6803">
        <v>-2.4323709999999998E-2</v>
      </c>
      <c r="W6803">
        <v>0.1809115</v>
      </c>
      <c r="X6803">
        <v>0.98319849999999998</v>
      </c>
      <c r="Y6803">
        <v>-4.4645020000000001E-2</v>
      </c>
      <c r="Z6803">
        <v>-7.0958930000000003E-2</v>
      </c>
      <c r="AA6803">
        <v>0.99647960000000002</v>
      </c>
      <c r="AB6803">
        <v>28</v>
      </c>
      <c r="AC6803">
        <v>-1.30000000000052E-2</v>
      </c>
      <c r="AD6803">
        <v>-1.1133851691179999</v>
      </c>
      <c r="AE6803">
        <v>15.358040000000001</v>
      </c>
      <c r="AF6803">
        <v>-0.69039612127096495</v>
      </c>
      <c r="AG6803">
        <v>-1.1133851691179999</v>
      </c>
      <c r="AH6803">
        <v>15.262145016239201</v>
      </c>
      <c r="AI6803">
        <v>94.168132569811405</v>
      </c>
      <c r="AJ6803">
        <v>92.590057657657297</v>
      </c>
      <c r="AK6803">
        <v>15.3182683040804</v>
      </c>
      <c r="AL6803">
        <v>79.577142899612895</v>
      </c>
      <c r="AM6803">
        <v>91.417172329703902</v>
      </c>
      <c r="AN6803">
        <v>0.99999995205133096</v>
      </c>
    </row>
    <row r="6804" spans="1:40" x14ac:dyDescent="0.25">
      <c r="A6804" t="str">
        <f>"20190312173057297"</f>
        <v>20190312173057297</v>
      </c>
      <c r="B6804" t="str">
        <f>"1552383057294837"</f>
        <v>1552383057294837</v>
      </c>
      <c r="C6804" t="s">
        <v>40</v>
      </c>
      <c r="D6804">
        <v>3.1762130000000002</v>
      </c>
      <c r="E6804">
        <v>0.4955118</v>
      </c>
      <c r="F6804" t="s">
        <v>41</v>
      </c>
      <c r="G6804">
        <v>-188.77500000000001</v>
      </c>
      <c r="H6804" s="1">
        <v>-1.200323E-6</v>
      </c>
      <c r="I6804">
        <v>-18.075749999999999</v>
      </c>
      <c r="J6804">
        <v>-188.7628</v>
      </c>
      <c r="K6804">
        <v>1.113075</v>
      </c>
      <c r="L6804">
        <v>-33.230989999999998</v>
      </c>
      <c r="M6804">
        <v>4.0647320000000001E-2</v>
      </c>
      <c r="N6804">
        <v>0</v>
      </c>
      <c r="O6804">
        <v>0.99907049999999997</v>
      </c>
      <c r="P6804">
        <v>1.9750650000000002E-2</v>
      </c>
      <c r="Q6804">
        <v>0.166469799999999</v>
      </c>
      <c r="R6804">
        <v>0.98584870000000002</v>
      </c>
      <c r="S6804">
        <v>-9.0026859999999995E-4</v>
      </c>
      <c r="T6804">
        <v>-0.22235949999999999</v>
      </c>
      <c r="U6804">
        <v>3.0810550000000001</v>
      </c>
      <c r="V6804">
        <v>-2.1631620000000001E-2</v>
      </c>
      <c r="W6804">
        <v>0.1804501</v>
      </c>
      <c r="X6804">
        <v>0.98334630000000001</v>
      </c>
      <c r="Y6804">
        <v>-4.0942649999999997E-2</v>
      </c>
      <c r="Z6804">
        <v>-7.1863380000000004E-2</v>
      </c>
      <c r="AA6804">
        <v>0.99657379999999995</v>
      </c>
      <c r="AB6804">
        <v>28</v>
      </c>
      <c r="AC6804">
        <v>-1.2200000000007E-2</v>
      </c>
      <c r="AD6804">
        <v>-1.1130762003229999</v>
      </c>
      <c r="AE6804">
        <v>15.155239999999999</v>
      </c>
      <c r="AF6804">
        <v>-0.62490241994764695</v>
      </c>
      <c r="AG6804">
        <v>-1.1130762003229999</v>
      </c>
      <c r="AH6804">
        <v>15.060975196786501</v>
      </c>
      <c r="AI6804">
        <v>94.223120326056204</v>
      </c>
      <c r="AJ6804">
        <v>92.375924917575006</v>
      </c>
      <c r="AK6804">
        <v>15.1149732232776</v>
      </c>
      <c r="AL6804">
        <v>79.604022637333401</v>
      </c>
      <c r="AM6804">
        <v>91.260187452153602</v>
      </c>
      <c r="AN6804">
        <v>1.00000005564876</v>
      </c>
    </row>
    <row r="6805" spans="1:40" x14ac:dyDescent="0.25">
      <c r="A6805" t="str">
        <f>"20190312173057319"</f>
        <v>20190312173057319</v>
      </c>
      <c r="B6805" t="str">
        <f>"1552383057314358"</f>
        <v>1552383057314358</v>
      </c>
      <c r="C6805" t="s">
        <v>40</v>
      </c>
      <c r="D6805">
        <v>3.2022089999999999</v>
      </c>
      <c r="E6805">
        <v>0.49628149999999999</v>
      </c>
      <c r="F6805" t="s">
        <v>41</v>
      </c>
      <c r="G6805">
        <v>-188.73670000000001</v>
      </c>
      <c r="H6805" s="1">
        <v>-1.2587839999999999E-6</v>
      </c>
      <c r="I6805">
        <v>-17.955300000000001</v>
      </c>
      <c r="J6805">
        <v>-188.75569999999999</v>
      </c>
      <c r="K6805">
        <v>1.1127609999999999</v>
      </c>
      <c r="L6805">
        <v>-32.963099999999997</v>
      </c>
      <c r="M6805">
        <v>3.739638E-2</v>
      </c>
      <c r="N6805">
        <v>0</v>
      </c>
      <c r="O6805">
        <v>0.99919789999999997</v>
      </c>
      <c r="P6805">
        <v>1.986108E-2</v>
      </c>
      <c r="Q6805">
        <v>0.1656995</v>
      </c>
      <c r="R6805">
        <v>0.98597630000000003</v>
      </c>
      <c r="S6805">
        <v>5.2490230000000002E-3</v>
      </c>
      <c r="T6805">
        <v>-0.22449040000000001</v>
      </c>
      <c r="U6805">
        <v>3.0808719999999998</v>
      </c>
      <c r="V6805">
        <v>-1.8176419999999999E-2</v>
      </c>
      <c r="W6805">
        <v>0.179689299999999</v>
      </c>
      <c r="X6805">
        <v>0.98355550000000003</v>
      </c>
      <c r="Y6805">
        <v>-3.5702070000000002E-2</v>
      </c>
      <c r="Z6805">
        <v>-7.2573799999999994E-2</v>
      </c>
      <c r="AA6805">
        <v>0.99672380000000005</v>
      </c>
      <c r="AB6805">
        <v>28</v>
      </c>
      <c r="AC6805">
        <v>1.8999999999977001E-2</v>
      </c>
      <c r="AD6805">
        <v>-1.112762258784</v>
      </c>
      <c r="AE6805">
        <v>15.0077999999999</v>
      </c>
      <c r="AF6805">
        <v>-0.53934316772879398</v>
      </c>
      <c r="AG6805">
        <v>-1.112762258784</v>
      </c>
      <c r="AH6805">
        <v>14.9160089944058</v>
      </c>
      <c r="AI6805">
        <v>94.263693358056997</v>
      </c>
      <c r="AJ6805">
        <v>92.070837456728796</v>
      </c>
      <c r="AK6805">
        <v>14.967179267261599</v>
      </c>
      <c r="AL6805">
        <v>79.648337315334402</v>
      </c>
      <c r="AM6805">
        <v>91.058723803121097</v>
      </c>
      <c r="AN6805">
        <v>1.0000000241793701</v>
      </c>
    </row>
    <row r="6806" spans="1:40" x14ac:dyDescent="0.25">
      <c r="A6806" t="str">
        <f>"20190312173057358"</f>
        <v>20190312173057358</v>
      </c>
      <c r="B6806" t="str">
        <f>"1552383057354374"</f>
        <v>1552383057354374</v>
      </c>
      <c r="C6806" t="s">
        <v>40</v>
      </c>
      <c r="D6806">
        <v>3.1762039999999998</v>
      </c>
      <c r="E6806">
        <v>0.49783860000000002</v>
      </c>
      <c r="F6806" t="s">
        <v>41</v>
      </c>
      <c r="G6806">
        <v>-188.697</v>
      </c>
      <c r="H6806" s="1">
        <v>-1.258833E-6</v>
      </c>
      <c r="I6806">
        <v>-17.971609999999998</v>
      </c>
      <c r="J6806">
        <v>-188.74449999999999</v>
      </c>
      <c r="K6806">
        <v>1.1122399999999999</v>
      </c>
      <c r="L6806">
        <v>-32.502659999999999</v>
      </c>
      <c r="M6806">
        <v>3.2736099999999997E-2</v>
      </c>
      <c r="N6806">
        <v>0</v>
      </c>
      <c r="O6806">
        <v>0.99936219999999998</v>
      </c>
      <c r="P6806">
        <v>1.854797E-2</v>
      </c>
      <c r="Q6806">
        <v>0.1643723</v>
      </c>
      <c r="R6806">
        <v>0.98622399999999999</v>
      </c>
      <c r="S6806">
        <v>1.205444E-2</v>
      </c>
      <c r="T6806">
        <v>-0.22868160000000001</v>
      </c>
      <c r="U6806">
        <v>3.0808719999999998</v>
      </c>
      <c r="V6806">
        <v>-1.4661520000000001E-2</v>
      </c>
      <c r="W6806">
        <v>0.17835689999999901</v>
      </c>
      <c r="X6806">
        <v>0.98385659999999997</v>
      </c>
      <c r="Y6806">
        <v>-2.883933E-2</v>
      </c>
      <c r="Z6806">
        <v>-7.3947490000000005E-2</v>
      </c>
      <c r="AA6806">
        <v>0.99684510000000004</v>
      </c>
      <c r="AB6806">
        <v>28</v>
      </c>
      <c r="AC6806">
        <v>4.74999999999852E-2</v>
      </c>
      <c r="AD6806">
        <v>-1.112241258833</v>
      </c>
      <c r="AE6806">
        <v>14.531049999999899</v>
      </c>
      <c r="AF6806">
        <v>-0.42576934424857299</v>
      </c>
      <c r="AG6806">
        <v>-1.112241258833</v>
      </c>
      <c r="AH6806">
        <v>14.4402148158816</v>
      </c>
      <c r="AI6806">
        <v>94.402540714909804</v>
      </c>
      <c r="AJ6806">
        <v>91.688875210946406</v>
      </c>
      <c r="AK6806">
        <v>14.4892430472112</v>
      </c>
      <c r="AL6806">
        <v>79.725931271255106</v>
      </c>
      <c r="AM6806">
        <v>90.853763690855104</v>
      </c>
      <c r="AN6806">
        <v>0.999999976654939</v>
      </c>
    </row>
    <row r="6807" spans="1:40" x14ac:dyDescent="0.25">
      <c r="A6807" t="str">
        <f>"20190312173057378"</f>
        <v>20190312173057378</v>
      </c>
      <c r="B6807" t="str">
        <f>"1552383057374869"</f>
        <v>1552383057374869</v>
      </c>
      <c r="C6807" t="s">
        <v>40</v>
      </c>
      <c r="D6807">
        <v>3.1330260000000001</v>
      </c>
      <c r="E6807">
        <v>0.49816830000000001</v>
      </c>
      <c r="F6807" t="s">
        <v>41</v>
      </c>
      <c r="G6807">
        <v>-188.64150000000001</v>
      </c>
      <c r="H6807" s="1">
        <v>-1.259647E-6</v>
      </c>
      <c r="I6807">
        <v>-17.99267</v>
      </c>
      <c r="J6807">
        <v>-188.7388</v>
      </c>
      <c r="K6807">
        <v>1.1119829999999999</v>
      </c>
      <c r="L6807">
        <v>-32.249940000000002</v>
      </c>
      <c r="M6807">
        <v>3.0603640000000001E-2</v>
      </c>
      <c r="N6807">
        <v>0</v>
      </c>
      <c r="O6807">
        <v>0.99943009999999999</v>
      </c>
      <c r="P6807">
        <v>1.8690930000000001E-2</v>
      </c>
      <c r="Q6807">
        <v>0.16427</v>
      </c>
      <c r="R6807">
        <v>0.98623830000000001</v>
      </c>
      <c r="S6807">
        <v>2.1865840000000001E-2</v>
      </c>
      <c r="T6807">
        <v>-0.2361596</v>
      </c>
      <c r="U6807">
        <v>3.0808719999999998</v>
      </c>
      <c r="V6807">
        <v>-1.2301950000000001E-2</v>
      </c>
      <c r="W6807">
        <v>0.17825089999999999</v>
      </c>
      <c r="X6807">
        <v>0.98390820000000001</v>
      </c>
      <c r="Y6807">
        <v>-2.3532910000000001E-2</v>
      </c>
      <c r="Z6807">
        <v>-7.6364100000000004E-2</v>
      </c>
      <c r="AA6807">
        <v>0.99680230000000003</v>
      </c>
      <c r="AB6807">
        <v>27</v>
      </c>
      <c r="AC6807">
        <v>9.7299999999989895E-2</v>
      </c>
      <c r="AD6807">
        <v>-1.111984259647</v>
      </c>
      <c r="AE6807">
        <v>14.25727</v>
      </c>
      <c r="AF6807">
        <v>-0.33706391731449298</v>
      </c>
      <c r="AG6807">
        <v>-1.111984259647</v>
      </c>
      <c r="AH6807">
        <v>14.167391001764701</v>
      </c>
      <c r="AI6807">
        <v>94.486622813581604</v>
      </c>
      <c r="AJ6807">
        <v>91.3628971834232</v>
      </c>
      <c r="AK6807">
        <v>14.214960037753899</v>
      </c>
      <c r="AL6807">
        <v>79.732104123459393</v>
      </c>
      <c r="AM6807">
        <v>90.716340293539503</v>
      </c>
      <c r="AN6807">
        <v>1.0000000336759201</v>
      </c>
    </row>
    <row r="6808" spans="1:40" x14ac:dyDescent="0.25">
      <c r="A6808" t="str">
        <f>"20190312173057402"</f>
        <v>20190312173057402</v>
      </c>
      <c r="B6808" t="str">
        <f>"1552383057394391"</f>
        <v>1552383057394391</v>
      </c>
      <c r="C6808" t="s">
        <v>40</v>
      </c>
      <c r="D6808">
        <v>3.1769240000000001</v>
      </c>
      <c r="E6808">
        <v>0.50365669999999996</v>
      </c>
      <c r="F6808" t="s">
        <v>41</v>
      </c>
      <c r="G6808">
        <v>-188.6174</v>
      </c>
      <c r="H6808" s="1">
        <v>-1.3547739999999901E-6</v>
      </c>
      <c r="I6808">
        <v>-17.780899999999999</v>
      </c>
      <c r="J6808">
        <v>-188.73259999999999</v>
      </c>
      <c r="K6808">
        <v>1.111718</v>
      </c>
      <c r="L6808">
        <v>-31.96387</v>
      </c>
      <c r="M6808">
        <v>2.852739E-2</v>
      </c>
      <c r="N6808">
        <v>0</v>
      </c>
      <c r="O6808">
        <v>0.99949189999999999</v>
      </c>
      <c r="P6808">
        <v>1.8958579999999999E-2</v>
      </c>
      <c r="Q6808">
        <v>0.1646503</v>
      </c>
      <c r="R6808">
        <v>0.98616979999999999</v>
      </c>
      <c r="S6808">
        <v>2.5848389999999999E-2</v>
      </c>
      <c r="T6808">
        <v>-0.23676849999999999</v>
      </c>
      <c r="U6808">
        <v>3.0808110000000002</v>
      </c>
      <c r="V6808">
        <v>-9.8695610000000007E-3</v>
      </c>
      <c r="W6808">
        <v>0.178622</v>
      </c>
      <c r="X6808">
        <v>0.98386819999999997</v>
      </c>
      <c r="Y6808">
        <v>-2.0167500000000001E-2</v>
      </c>
      <c r="Z6808">
        <v>-7.6570849999999996E-2</v>
      </c>
      <c r="AA6808">
        <v>0.99686010000000003</v>
      </c>
      <c r="AB6808">
        <v>27</v>
      </c>
      <c r="AC6808">
        <v>0.11519999999998699</v>
      </c>
      <c r="AD6808">
        <v>-1.1117193547740001</v>
      </c>
      <c r="AE6808">
        <v>14.182969999999999</v>
      </c>
      <c r="AF6808">
        <v>-0.28772323422678497</v>
      </c>
      <c r="AG6808">
        <v>-1.1117193547740001</v>
      </c>
      <c r="AH6808">
        <v>14.0938950826935</v>
      </c>
      <c r="AI6808">
        <v>94.509188123468306</v>
      </c>
      <c r="AJ6808">
        <v>91.169516114167195</v>
      </c>
      <c r="AK6808">
        <v>14.1406005242092</v>
      </c>
      <c r="AL6808">
        <v>79.710493795208507</v>
      </c>
      <c r="AM6808">
        <v>90.574736762621299</v>
      </c>
      <c r="AN6808">
        <v>0.99999993104478302</v>
      </c>
    </row>
    <row r="6809" spans="1:40" x14ac:dyDescent="0.25">
      <c r="A6809" t="str">
        <f>"20190312173057422"</f>
        <v>20190312173057422</v>
      </c>
      <c r="B6809" t="str">
        <f>"1552383057414886"</f>
        <v>1552383057414886</v>
      </c>
      <c r="C6809" t="s">
        <v>40</v>
      </c>
      <c r="D6809">
        <v>3.185397</v>
      </c>
      <c r="E6809">
        <v>0.50459730000000003</v>
      </c>
      <c r="F6809" t="s">
        <v>41</v>
      </c>
      <c r="G6809">
        <v>-188.4085</v>
      </c>
      <c r="H6809" s="1">
        <v>-1.367107E-6</v>
      </c>
      <c r="I6809">
        <v>-17.838529999999999</v>
      </c>
      <c r="J6809">
        <v>-188.72720000000001</v>
      </c>
      <c r="K6809">
        <v>1.111491</v>
      </c>
      <c r="L6809">
        <v>-31.707370000000001</v>
      </c>
      <c r="M6809">
        <v>2.699557E-2</v>
      </c>
      <c r="N6809">
        <v>0</v>
      </c>
      <c r="O6809">
        <v>0.9995347</v>
      </c>
      <c r="P6809">
        <v>1.9085680000000001E-2</v>
      </c>
      <c r="Q6809">
        <v>0.16461919999999999</v>
      </c>
      <c r="R6809">
        <v>0.98617259999999995</v>
      </c>
      <c r="S6809">
        <v>7.0693969999999995E-2</v>
      </c>
      <c r="T6809">
        <v>-0.2425032</v>
      </c>
      <c r="U6809">
        <v>3.081207</v>
      </c>
      <c r="V6809">
        <v>-8.1309580000000006E-3</v>
      </c>
      <c r="W6809">
        <v>0.17858019999999999</v>
      </c>
      <c r="X6809">
        <v>0.98389170000000004</v>
      </c>
      <c r="Y6809">
        <v>-4.1326310000000003E-3</v>
      </c>
      <c r="Z6809">
        <v>-7.8407909999999997E-2</v>
      </c>
      <c r="AA6809">
        <v>0.99691280000000004</v>
      </c>
      <c r="AB6809">
        <v>27</v>
      </c>
      <c r="AC6809">
        <v>0.31870000000000598</v>
      </c>
      <c r="AD6809">
        <v>-1.1114923671070001</v>
      </c>
      <c r="AE6809">
        <v>13.868840000000001</v>
      </c>
      <c r="AF6809">
        <v>-5.5494911460931003E-2</v>
      </c>
      <c r="AG6809">
        <v>-1.1114923671070001</v>
      </c>
      <c r="AH6809">
        <v>13.7839026667565</v>
      </c>
      <c r="AI6809">
        <v>94.610146736257605</v>
      </c>
      <c r="AJ6809">
        <v>90.230675383341406</v>
      </c>
      <c r="AK6809">
        <v>13.8287551028266</v>
      </c>
      <c r="AL6809">
        <v>79.7129279763341</v>
      </c>
      <c r="AM6809">
        <v>90.473486026676895</v>
      </c>
      <c r="AN6809">
        <v>0.99999993881946203</v>
      </c>
    </row>
    <row r="6810" spans="1:40" x14ac:dyDescent="0.25">
      <c r="A6810" t="str">
        <f>"20190312173057443"</f>
        <v>20190312173057443</v>
      </c>
      <c r="B6810" t="str">
        <f>"1552383057434406"</f>
        <v>1552383057434406</v>
      </c>
      <c r="C6810" t="s">
        <v>40</v>
      </c>
      <c r="D6810">
        <v>3.1542650000000001</v>
      </c>
      <c r="E6810">
        <v>0.50478509999999999</v>
      </c>
      <c r="F6810" t="s">
        <v>41</v>
      </c>
      <c r="G6810">
        <v>-188.36259999999999</v>
      </c>
      <c r="H6810" s="1">
        <v>-1.4926619999999999E-6</v>
      </c>
      <c r="I6810">
        <v>-17.564820000000001</v>
      </c>
      <c r="J6810">
        <v>-188.72200000000001</v>
      </c>
      <c r="K6810">
        <v>1.111278</v>
      </c>
      <c r="L6810">
        <v>-31.453700000000001</v>
      </c>
      <c r="M6810">
        <v>2.5765699999999999E-2</v>
      </c>
      <c r="N6810">
        <v>0</v>
      </c>
      <c r="O6810">
        <v>0.99956739999999999</v>
      </c>
      <c r="P6810">
        <v>1.9545320000000001E-2</v>
      </c>
      <c r="Q6810">
        <v>0.164508399999999</v>
      </c>
      <c r="R6810">
        <v>0.986182</v>
      </c>
      <c r="S6810">
        <v>7.9422000000000006E-2</v>
      </c>
      <c r="T6810">
        <v>-0.24213960000000001</v>
      </c>
      <c r="U6810">
        <v>3.0809630000000001</v>
      </c>
      <c r="V6810">
        <v>-6.3576780000000003E-3</v>
      </c>
      <c r="W6810">
        <v>0.1784597</v>
      </c>
      <c r="X6810">
        <v>0.98392670000000004</v>
      </c>
      <c r="Y6810" s="1">
        <v>-7.7687309999999998E-5</v>
      </c>
      <c r="Z6810">
        <v>-7.8298699999999999E-2</v>
      </c>
      <c r="AA6810">
        <v>0.99692990000000004</v>
      </c>
      <c r="AB6810">
        <v>27</v>
      </c>
      <c r="AC6810">
        <v>0.35940000000002198</v>
      </c>
      <c r="AD6810">
        <v>-1.111279492662</v>
      </c>
      <c r="AE6810">
        <v>13.888879999999901</v>
      </c>
      <c r="AF6810">
        <v>1.37912456224592E-3</v>
      </c>
      <c r="AG6810">
        <v>-1.111279492662</v>
      </c>
      <c r="AH6810">
        <v>13.805208131163999</v>
      </c>
      <c r="AI6810">
        <v>94.602221851171294</v>
      </c>
      <c r="AJ6810">
        <v>89.994276216930103</v>
      </c>
      <c r="AK6810">
        <v>13.849863376855099</v>
      </c>
      <c r="AL6810">
        <v>79.719945655548599</v>
      </c>
      <c r="AM6810">
        <v>90.3702136017409</v>
      </c>
      <c r="AN6810">
        <v>1.00000001778326</v>
      </c>
    </row>
    <row r="6811" spans="1:40" x14ac:dyDescent="0.25">
      <c r="A6811" t="str">
        <f>"20190312173057465"</f>
        <v>20190312173057465</v>
      </c>
      <c r="B6811" t="str">
        <f>"1552383057454902"</f>
        <v>1552383057454902</v>
      </c>
      <c r="C6811" t="s">
        <v>40</v>
      </c>
      <c r="D6811">
        <v>3.1289229999999999</v>
      </c>
      <c r="E6811">
        <v>0.50494600000000001</v>
      </c>
      <c r="F6811" t="s">
        <v>41</v>
      </c>
      <c r="G6811">
        <v>-188.33860000000001</v>
      </c>
      <c r="H6811" s="1">
        <v>-1.6190709999999999E-6</v>
      </c>
      <c r="I6811">
        <v>-17.280089999999898</v>
      </c>
      <c r="J6811">
        <v>-188.7165</v>
      </c>
      <c r="K6811">
        <v>1.1110390000000001</v>
      </c>
      <c r="L6811">
        <v>-31.18872</v>
      </c>
      <c r="M6811">
        <v>2.4770070000000002E-2</v>
      </c>
      <c r="N6811">
        <v>0</v>
      </c>
      <c r="O6811">
        <v>0.99959290000000001</v>
      </c>
      <c r="P6811">
        <v>2.01309E-2</v>
      </c>
      <c r="Q6811">
        <v>0.16445589999999999</v>
      </c>
      <c r="R6811">
        <v>0.98617900000000003</v>
      </c>
      <c r="S6811">
        <v>8.3328250000000006E-2</v>
      </c>
      <c r="T6811">
        <v>-0.2415408</v>
      </c>
      <c r="U6811">
        <v>3.0806879999999999</v>
      </c>
      <c r="V6811">
        <v>-4.6860620000000004E-3</v>
      </c>
      <c r="W6811">
        <v>0.1783959</v>
      </c>
      <c r="X6811">
        <v>0.98394760000000003</v>
      </c>
      <c r="Y6811">
        <v>2.1842459999999999E-3</v>
      </c>
      <c r="Z6811">
        <v>-7.8114729999999993E-2</v>
      </c>
      <c r="AA6811">
        <v>0.99694199999999999</v>
      </c>
      <c r="AB6811">
        <v>27</v>
      </c>
      <c r="AC6811">
        <v>0.37789999999998197</v>
      </c>
      <c r="AD6811">
        <v>-1.1110406190709901</v>
      </c>
      <c r="AE6811">
        <v>13.90863</v>
      </c>
      <c r="AF6811">
        <v>3.3021195500453702E-2</v>
      </c>
      <c r="AG6811">
        <v>-1.1110406190709901</v>
      </c>
      <c r="AH6811">
        <v>13.8255668181537</v>
      </c>
      <c r="AI6811">
        <v>94.594477337859502</v>
      </c>
      <c r="AJ6811">
        <v>89.863154143049499</v>
      </c>
      <c r="AK6811">
        <v>13.870176621074799</v>
      </c>
      <c r="AL6811">
        <v>79.723660224307906</v>
      </c>
      <c r="AM6811">
        <v>90.272869759763694</v>
      </c>
      <c r="AN6811">
        <v>0.99999996792981805</v>
      </c>
    </row>
    <row r="6812" spans="1:40" x14ac:dyDescent="0.25">
      <c r="A6812" t="str">
        <f>"20190312173057489"</f>
        <v>20190312173057489</v>
      </c>
      <c r="B6812" t="str">
        <f>"1552383057484181"</f>
        <v>1552383057484181</v>
      </c>
      <c r="C6812" t="s">
        <v>40</v>
      </c>
      <c r="D6812">
        <v>3.4054190000000002</v>
      </c>
      <c r="E6812">
        <v>0.48904809999999999</v>
      </c>
      <c r="F6812" t="s">
        <v>42</v>
      </c>
      <c r="G6812">
        <v>-188.68960000000001</v>
      </c>
      <c r="H6812">
        <v>1.0357270000000001</v>
      </c>
      <c r="I6812">
        <v>-30.237690000000001</v>
      </c>
      <c r="J6812">
        <v>-188.7105</v>
      </c>
      <c r="K6812">
        <v>1.110798</v>
      </c>
      <c r="L6812">
        <v>-30.899660000000001</v>
      </c>
      <c r="M6812">
        <v>2.398494E-2</v>
      </c>
      <c r="N6812">
        <v>0</v>
      </c>
      <c r="O6812">
        <v>0.99961230000000001</v>
      </c>
      <c r="P6812">
        <v>2.044325E-2</v>
      </c>
      <c r="Q6812">
        <v>0.16410239999999901</v>
      </c>
      <c r="R6812">
        <v>0.98623139999999998</v>
      </c>
      <c r="S6812">
        <v>8.6868290000000001E-2</v>
      </c>
      <c r="T6812">
        <v>-0.2439713</v>
      </c>
      <c r="U6812">
        <v>3.0809630000000001</v>
      </c>
      <c r="V6812">
        <v>-3.492223E-3</v>
      </c>
      <c r="W6812">
        <v>0.17802989999999999</v>
      </c>
      <c r="X6812">
        <v>0.98401890000000003</v>
      </c>
      <c r="Y6812">
        <v>4.1101879999999999E-3</v>
      </c>
      <c r="Z6812">
        <v>-7.8889710000000002E-2</v>
      </c>
      <c r="AA6812">
        <v>0.99687490000000001</v>
      </c>
      <c r="AB6812">
        <v>27</v>
      </c>
      <c r="AC6812">
        <v>2.0899999999983199E-2</v>
      </c>
      <c r="AD6812">
        <v>-7.5070999999999805E-2</v>
      </c>
      <c r="AE6812">
        <v>0.66196999999999595</v>
      </c>
      <c r="AF6812">
        <v>4.9514713628952796E-3</v>
      </c>
      <c r="AG6812">
        <v>-7.5070999999999805E-2</v>
      </c>
      <c r="AH6812">
        <v>0.65387982224835695</v>
      </c>
      <c r="AI6812">
        <v>96.549184421948098</v>
      </c>
      <c r="AJ6812">
        <v>89.566138945723196</v>
      </c>
      <c r="AK6812">
        <v>0.65819373595712705</v>
      </c>
      <c r="AL6812">
        <v>79.744972155982595</v>
      </c>
      <c r="AM6812">
        <v>90.203338369805707</v>
      </c>
      <c r="AN6812">
        <v>1.00000001823635</v>
      </c>
    </row>
    <row r="6813" spans="1:40" x14ac:dyDescent="0.25">
      <c r="A6813" t="str">
        <f>"20190312173057509"</f>
        <v>20190312173057509</v>
      </c>
      <c r="B6813" t="str">
        <f>"1552383057504677"</f>
        <v>1552383057504677</v>
      </c>
      <c r="C6813" t="s">
        <v>40</v>
      </c>
      <c r="D6813">
        <v>3.2637839999999998</v>
      </c>
      <c r="E6813">
        <v>0.48700399999999999</v>
      </c>
      <c r="F6813" t="s">
        <v>41</v>
      </c>
      <c r="G6813">
        <v>-188.98990000000001</v>
      </c>
      <c r="H6813" s="1">
        <v>-1.3619489999999999E-6</v>
      </c>
      <c r="I6813">
        <v>-7.6101589999999897</v>
      </c>
      <c r="J6813">
        <v>-188.70509999999999</v>
      </c>
      <c r="K6813">
        <v>1.1106180000000001</v>
      </c>
      <c r="L6813">
        <v>-30.64273</v>
      </c>
      <c r="M6813">
        <v>2.3491850000000002E-2</v>
      </c>
      <c r="N6813">
        <v>0</v>
      </c>
      <c r="O6813">
        <v>0.99962419999999996</v>
      </c>
      <c r="P6813">
        <v>2.0546289999999998E-2</v>
      </c>
      <c r="Q6813">
        <v>0.16396820000000001</v>
      </c>
      <c r="R6813">
        <v>0.98625169999999995</v>
      </c>
      <c r="S6813">
        <v>-3.6788939999999999E-2</v>
      </c>
      <c r="T6813">
        <v>-0.14628079999999999</v>
      </c>
      <c r="U6813">
        <v>3.066986</v>
      </c>
      <c r="V6813">
        <v>-2.8217870000000001E-3</v>
      </c>
      <c r="W6813">
        <v>0.17788399999999999</v>
      </c>
      <c r="X6813">
        <v>0.98404740000000002</v>
      </c>
      <c r="Y6813">
        <v>-3.5469870000000001E-2</v>
      </c>
      <c r="Z6813">
        <v>-4.7604710000000001E-2</v>
      </c>
      <c r="AA6813">
        <v>0.99823629999999997</v>
      </c>
      <c r="AB6813">
        <v>27</v>
      </c>
      <c r="AC6813">
        <v>-0.28480000000001798</v>
      </c>
      <c r="AD6813">
        <v>-1.1106193619489999</v>
      </c>
      <c r="AE6813">
        <v>23.032571000000001</v>
      </c>
      <c r="AF6813">
        <v>-0.82393763385004704</v>
      </c>
      <c r="AG6813">
        <v>-1.1106193619489999</v>
      </c>
      <c r="AH6813">
        <v>22.966131367470901</v>
      </c>
      <c r="AI6813">
        <v>92.766833007247399</v>
      </c>
      <c r="AJ6813">
        <v>92.054673900942305</v>
      </c>
      <c r="AK6813">
        <v>23.007727801318001</v>
      </c>
      <c r="AL6813">
        <v>79.753466837587993</v>
      </c>
      <c r="AM6813">
        <v>90.164297007081103</v>
      </c>
      <c r="AN6813">
        <v>0.99999998269231605</v>
      </c>
    </row>
    <row r="6814" spans="1:40" x14ac:dyDescent="0.25">
      <c r="A6814" t="str">
        <f>"20190312173057532"</f>
        <v>20190312173057532</v>
      </c>
      <c r="B6814" t="str">
        <f>"1552383057524198"</f>
        <v>1552383057524198</v>
      </c>
      <c r="C6814" t="s">
        <v>40</v>
      </c>
      <c r="D6814">
        <v>3.1023450000000001</v>
      </c>
      <c r="E6814">
        <v>0.48655579999999998</v>
      </c>
      <c r="F6814" t="s">
        <v>41</v>
      </c>
      <c r="G6814">
        <v>-189.14359999999999</v>
      </c>
      <c r="H6814" s="1">
        <v>-2.4925150000000001E-6</v>
      </c>
      <c r="I6814">
        <v>-4.9112220000000004</v>
      </c>
      <c r="J6814">
        <v>-188.69909999999999</v>
      </c>
      <c r="K6814">
        <v>1.110449</v>
      </c>
      <c r="L6814">
        <v>-30.366330000000001</v>
      </c>
      <c r="M6814">
        <v>2.3175790000000002E-2</v>
      </c>
      <c r="N6814">
        <v>0</v>
      </c>
      <c r="O6814">
        <v>0.99963179999999996</v>
      </c>
      <c r="P6814">
        <v>2.0648860000000002E-2</v>
      </c>
      <c r="Q6814">
        <v>0.16400290000000001</v>
      </c>
      <c r="R6814">
        <v>0.98624369999999995</v>
      </c>
      <c r="S6814">
        <v>-5.2230829999999999E-2</v>
      </c>
      <c r="T6814">
        <v>-0.1322874</v>
      </c>
      <c r="U6814">
        <v>3.0649109999999999</v>
      </c>
      <c r="V6814">
        <v>-2.3351859999999999E-3</v>
      </c>
      <c r="W6814">
        <v>0.17790549999999999</v>
      </c>
      <c r="X6814">
        <v>0.98404480000000005</v>
      </c>
      <c r="Y6814">
        <v>-4.0193409999999999E-2</v>
      </c>
      <c r="Z6814">
        <v>-4.3083839999999998E-2</v>
      </c>
      <c r="AA6814">
        <v>0.9982626</v>
      </c>
      <c r="AB6814">
        <v>27</v>
      </c>
      <c r="AC6814">
        <v>-0.444500000000005</v>
      </c>
      <c r="AD6814">
        <v>-1.110451492515</v>
      </c>
      <c r="AE6814">
        <v>25.455107999999999</v>
      </c>
      <c r="AF6814">
        <v>-1.0324174357520599</v>
      </c>
      <c r="AG6814">
        <v>-1.110451492515</v>
      </c>
      <c r="AH6814">
        <v>25.389663895811299</v>
      </c>
      <c r="AI6814">
        <v>92.502247660765505</v>
      </c>
      <c r="AJ6814">
        <v>92.3285298939375</v>
      </c>
      <c r="AK6814">
        <v>25.434897700229499</v>
      </c>
      <c r="AL6814">
        <v>79.752215130435005</v>
      </c>
      <c r="AM6814">
        <v>90.135965406277407</v>
      </c>
      <c r="AN6814">
        <v>0.99999999421547203</v>
      </c>
    </row>
    <row r="6815" spans="1:40" x14ac:dyDescent="0.25">
      <c r="A6815" t="str">
        <f>"20190312173057557"</f>
        <v>20190312173057557</v>
      </c>
      <c r="B6815" t="str">
        <f>"1552383057544693"</f>
        <v>1552383057544693</v>
      </c>
      <c r="C6815" t="s">
        <v>40</v>
      </c>
      <c r="D6815">
        <v>3.2584439999999999</v>
      </c>
      <c r="E6815">
        <v>0.4863228</v>
      </c>
      <c r="F6815" t="s">
        <v>41</v>
      </c>
      <c r="G6815">
        <v>-189.17400000000001</v>
      </c>
      <c r="H6815" s="1">
        <v>-2.9312929999999998E-6</v>
      </c>
      <c r="I6815">
        <v>-3.875845</v>
      </c>
      <c r="J6815">
        <v>-188.6926</v>
      </c>
      <c r="K6815">
        <v>1.1102989999999999</v>
      </c>
      <c r="L6815">
        <v>-30.071899999999999</v>
      </c>
      <c r="M6815">
        <v>2.3067270000000001E-2</v>
      </c>
      <c r="N6815">
        <v>0</v>
      </c>
      <c r="O6815">
        <v>0.99963449999999998</v>
      </c>
      <c r="P6815">
        <v>2.139837E-2</v>
      </c>
      <c r="Q6815">
        <v>0.16358519999999999</v>
      </c>
      <c r="R6815">
        <v>0.98629710000000004</v>
      </c>
      <c r="S6815">
        <v>-5.4931639999999997E-2</v>
      </c>
      <c r="T6815">
        <v>-0.1284547</v>
      </c>
      <c r="U6815">
        <v>3.064362</v>
      </c>
      <c r="V6815">
        <v>-1.412792E-3</v>
      </c>
      <c r="W6815">
        <v>0.1774762</v>
      </c>
      <c r="X6815">
        <v>0.98412409999999995</v>
      </c>
      <c r="Y6815">
        <v>-4.096847E-2</v>
      </c>
      <c r="Z6815">
        <v>-4.1844480000000003E-2</v>
      </c>
      <c r="AA6815">
        <v>0.9982839</v>
      </c>
      <c r="AB6815">
        <v>27</v>
      </c>
      <c r="AC6815">
        <v>-0.48140000000000699</v>
      </c>
      <c r="AD6815">
        <v>-1.110301931293</v>
      </c>
      <c r="AE6815">
        <v>26.196054999999902</v>
      </c>
      <c r="AF6815">
        <v>-1.0836573607392299</v>
      </c>
      <c r="AG6815">
        <v>-1.110301931293</v>
      </c>
      <c r="AH6815">
        <v>26.131050785206</v>
      </c>
      <c r="AI6815">
        <v>92.430933217336005</v>
      </c>
      <c r="AJ6815">
        <v>92.374701173838005</v>
      </c>
      <c r="AK6815">
        <v>26.177068185591999</v>
      </c>
      <c r="AL6815">
        <v>79.777210243267902</v>
      </c>
      <c r="AM6815">
        <v>90.082252800558393</v>
      </c>
      <c r="AN6815">
        <v>1.0000000208742399</v>
      </c>
    </row>
    <row r="6816" spans="1:40" x14ac:dyDescent="0.25">
      <c r="A6816" t="str">
        <f>"20190312173057580"</f>
        <v>20190312173057580</v>
      </c>
      <c r="B6816" t="str">
        <f>"1552383057573974"</f>
        <v>1552383057573974</v>
      </c>
      <c r="C6816" t="s">
        <v>40</v>
      </c>
      <c r="D6816">
        <v>3.108714</v>
      </c>
      <c r="E6816">
        <v>0.48628690000000002</v>
      </c>
      <c r="F6816" t="s">
        <v>41</v>
      </c>
      <c r="G6816">
        <v>-189.1576</v>
      </c>
      <c r="H6816" s="1">
        <v>-3.1371509999999999E-6</v>
      </c>
      <c r="I6816">
        <v>-3.402755</v>
      </c>
      <c r="J6816">
        <v>-188.68629999999999</v>
      </c>
      <c r="K6816">
        <v>1.110158</v>
      </c>
      <c r="L6816">
        <v>-29.794619999999998</v>
      </c>
      <c r="M6816">
        <v>2.3166050000000001E-2</v>
      </c>
      <c r="N6816">
        <v>0</v>
      </c>
      <c r="O6816">
        <v>0.99963239999999998</v>
      </c>
      <c r="P6816">
        <v>2.1881040000000001E-2</v>
      </c>
      <c r="Q6816">
        <v>0.16284089999999901</v>
      </c>
      <c r="R6816">
        <v>0.98640969999999994</v>
      </c>
      <c r="S6816">
        <v>-5.342102E-2</v>
      </c>
      <c r="T6816">
        <v>-0.1275617</v>
      </c>
      <c r="U6816">
        <v>3.0639949999999998</v>
      </c>
      <c r="V6816">
        <v>-9.6946779999999995E-4</v>
      </c>
      <c r="W6816">
        <v>0.17672299999999999</v>
      </c>
      <c r="X6816">
        <v>0.98426009999999997</v>
      </c>
      <c r="Y6816">
        <v>-4.0577500000000002E-2</v>
      </c>
      <c r="Z6816">
        <v>-4.1559400000000003E-2</v>
      </c>
      <c r="AA6816">
        <v>0.99831170000000002</v>
      </c>
      <c r="AB6816">
        <v>27</v>
      </c>
      <c r="AC6816">
        <v>-0.47130000000001299</v>
      </c>
      <c r="AD6816">
        <v>-1.1101611371510001</v>
      </c>
      <c r="AE6816">
        <v>26.391864999999999</v>
      </c>
      <c r="AF6816">
        <v>-1.08071777773064</v>
      </c>
      <c r="AG6816">
        <v>-1.1101611371510001</v>
      </c>
      <c r="AH6816">
        <v>26.327292306583299</v>
      </c>
      <c r="AI6816">
        <v>92.412570892305695</v>
      </c>
      <c r="AJ6816">
        <v>92.350633791188002</v>
      </c>
      <c r="AK6816">
        <v>26.372840743117202</v>
      </c>
      <c r="AL6816">
        <v>79.821057824066301</v>
      </c>
      <c r="AM6816">
        <v>90.056434671435596</v>
      </c>
      <c r="AN6816">
        <v>0.99999995152441101</v>
      </c>
    </row>
    <row r="6817" spans="1:40" x14ac:dyDescent="0.25">
      <c r="A6817" t="str">
        <f>"20190312173057601"</f>
        <v>20190312173057601</v>
      </c>
      <c r="B6817" t="str">
        <f>"1552383057594470"</f>
        <v>1552383057594470</v>
      </c>
      <c r="C6817" t="s">
        <v>40</v>
      </c>
      <c r="D6817">
        <v>3.2806829999999998</v>
      </c>
      <c r="E6817">
        <v>0.48596050000000002</v>
      </c>
      <c r="F6817" t="s">
        <v>41</v>
      </c>
      <c r="G6817">
        <v>-189.131</v>
      </c>
      <c r="H6817" s="1">
        <v>-3.1723920000000001E-6</v>
      </c>
      <c r="I6817">
        <v>-3.331607</v>
      </c>
      <c r="J6817">
        <v>-188.68029999999999</v>
      </c>
      <c r="K6817">
        <v>1.1100239999999999</v>
      </c>
      <c r="L6817">
        <v>-29.54044</v>
      </c>
      <c r="M6817">
        <v>2.3424629999999998E-2</v>
      </c>
      <c r="N6817">
        <v>0</v>
      </c>
      <c r="O6817">
        <v>0.99962649999999997</v>
      </c>
      <c r="P6817">
        <v>2.279664E-2</v>
      </c>
      <c r="Q6817">
        <v>0.16268379999999999</v>
      </c>
      <c r="R6817">
        <v>0.98641480000000004</v>
      </c>
      <c r="S6817">
        <v>-5.1483149999999998E-2</v>
      </c>
      <c r="T6817">
        <v>-0.12852620000000001</v>
      </c>
      <c r="U6817">
        <v>3.0636899999999998</v>
      </c>
      <c r="V6817">
        <v>-2.5045859999999999E-4</v>
      </c>
      <c r="W6817">
        <v>0.1765573</v>
      </c>
      <c r="X6817">
        <v>0.98429040000000001</v>
      </c>
      <c r="Y6817">
        <v>-4.0206209999999999E-2</v>
      </c>
      <c r="Z6817">
        <v>-4.1877419999999999E-2</v>
      </c>
      <c r="AA6817">
        <v>0.99831340000000002</v>
      </c>
      <c r="AB6817">
        <v>27</v>
      </c>
      <c r="AC6817">
        <v>-0.450699999999983</v>
      </c>
      <c r="AD6817">
        <v>-1.1100271723920001</v>
      </c>
      <c r="AE6817">
        <v>26.208832999999998</v>
      </c>
      <c r="AF6817">
        <v>-1.06266372211236</v>
      </c>
      <c r="AG6817">
        <v>-1.1100271723920001</v>
      </c>
      <c r="AH6817">
        <v>26.1441981292013</v>
      </c>
      <c r="AI6817">
        <v>92.429193606904704</v>
      </c>
      <c r="AJ6817">
        <v>92.327577570014995</v>
      </c>
      <c r="AK6817">
        <v>26.189320539652702</v>
      </c>
      <c r="AL6817">
        <v>79.830704596283496</v>
      </c>
      <c r="AM6817">
        <v>90.014579254672199</v>
      </c>
      <c r="AN6817">
        <v>1.00000006722247</v>
      </c>
    </row>
    <row r="6818" spans="1:40" x14ac:dyDescent="0.25">
      <c r="A6818" t="str">
        <f>"20190312173057621"</f>
        <v>20190312173057621</v>
      </c>
      <c r="B6818" t="str">
        <f>"1552383057613990"</f>
        <v>1552383057613990</v>
      </c>
      <c r="C6818" t="s">
        <v>40</v>
      </c>
      <c r="D6818">
        <v>3.1348750000000001</v>
      </c>
      <c r="E6818">
        <v>0.48604380000000003</v>
      </c>
      <c r="F6818" t="s">
        <v>41</v>
      </c>
      <c r="G6818">
        <v>-189.11019999999999</v>
      </c>
      <c r="H6818" s="1">
        <v>-2.9374399999999999E-6</v>
      </c>
      <c r="I6818">
        <v>-3.8879109999999999</v>
      </c>
      <c r="J6818">
        <v>-188.67429999999999</v>
      </c>
      <c r="K6818">
        <v>1.1098939999999999</v>
      </c>
      <c r="L6818">
        <v>-29.295960000000001</v>
      </c>
      <c r="M6818">
        <v>2.3821829999999999E-2</v>
      </c>
      <c r="N6818">
        <v>0</v>
      </c>
      <c r="O6818">
        <v>0.99961719999999998</v>
      </c>
      <c r="P6818">
        <v>2.4700639999999999E-2</v>
      </c>
      <c r="Q6818">
        <v>0.16262560000000001</v>
      </c>
      <c r="R6818">
        <v>0.98637859999999999</v>
      </c>
      <c r="S6818">
        <v>-5.1345830000000002E-2</v>
      </c>
      <c r="T6818">
        <v>-0.13259989999999999</v>
      </c>
      <c r="U6818">
        <v>3.064362</v>
      </c>
      <c r="V6818">
        <v>1.3198999999999999E-3</v>
      </c>
      <c r="W6818">
        <v>0.17649020000000001</v>
      </c>
      <c r="X6818">
        <v>0.98430150000000005</v>
      </c>
      <c r="Y6818">
        <v>-4.0553899999999997E-2</v>
      </c>
      <c r="Z6818">
        <v>-4.3191979999999998E-2</v>
      </c>
      <c r="AA6818">
        <v>0.9982434</v>
      </c>
      <c r="AB6818">
        <v>27</v>
      </c>
      <c r="AC6818">
        <v>-0.43590000000000301</v>
      </c>
      <c r="AD6818">
        <v>-1.1098969374400001</v>
      </c>
      <c r="AE6818">
        <v>25.408048999999998</v>
      </c>
      <c r="AF6818">
        <v>-1.0391201619538499</v>
      </c>
      <c r="AG6818">
        <v>-1.1098969374400001</v>
      </c>
      <c r="AH6818">
        <v>25.342108863476401</v>
      </c>
      <c r="AI6818">
        <v>92.505652074975202</v>
      </c>
      <c r="AJ6818">
        <v>92.348023478713202</v>
      </c>
      <c r="AK6818">
        <v>25.3876766083667</v>
      </c>
      <c r="AL6818">
        <v>79.834609664072005</v>
      </c>
      <c r="AM6818">
        <v>89.923169217916197</v>
      </c>
      <c r="AN6818">
        <v>0.99999998786714905</v>
      </c>
    </row>
    <row r="6819" spans="1:40" x14ac:dyDescent="0.25">
      <c r="A6819" t="str">
        <f>"20190312173057644"</f>
        <v>20190312173057644</v>
      </c>
      <c r="B6819" t="str">
        <f>"1552383057634486"</f>
        <v>1552383057634486</v>
      </c>
      <c r="C6819" t="s">
        <v>40</v>
      </c>
      <c r="D6819">
        <v>3.1170740000000001</v>
      </c>
      <c r="E6819">
        <v>0.48600919999999997</v>
      </c>
      <c r="F6819" t="s">
        <v>41</v>
      </c>
      <c r="G6819">
        <v>-189.0504</v>
      </c>
      <c r="H6819" s="1">
        <v>-3.0731689999999998E-6</v>
      </c>
      <c r="I6819">
        <v>-3.596231</v>
      </c>
      <c r="J6819">
        <v>-188.667</v>
      </c>
      <c r="K6819">
        <v>1.1097429999999999</v>
      </c>
      <c r="L6819">
        <v>-29.014949999999999</v>
      </c>
      <c r="M6819">
        <v>2.4447300000000002E-2</v>
      </c>
      <c r="N6819">
        <v>0</v>
      </c>
      <c r="O6819">
        <v>0.9996022</v>
      </c>
      <c r="P6819">
        <v>2.6709199999999999E-2</v>
      </c>
      <c r="Q6819">
        <v>0.16308829999999999</v>
      </c>
      <c r="R6819">
        <v>0.98624990000000001</v>
      </c>
      <c r="S6819">
        <v>-4.4845580000000003E-2</v>
      </c>
      <c r="T6819">
        <v>-0.13234089999999901</v>
      </c>
      <c r="U6819">
        <v>3.064362</v>
      </c>
      <c r="V6819">
        <v>2.7806530000000001E-3</v>
      </c>
      <c r="W6819">
        <v>0.17694260000000001</v>
      </c>
      <c r="X6819">
        <v>0.98421720000000001</v>
      </c>
      <c r="Y6819">
        <v>-3.9062109999999997E-2</v>
      </c>
      <c r="Z6819">
        <v>-4.3108779999999999E-2</v>
      </c>
      <c r="AA6819">
        <v>0.99830649999999999</v>
      </c>
      <c r="AB6819">
        <v>27</v>
      </c>
      <c r="AC6819">
        <v>-0.38339999999999402</v>
      </c>
      <c r="AD6819">
        <v>-1.1097460731690001</v>
      </c>
      <c r="AE6819">
        <v>25.418718999999999</v>
      </c>
      <c r="AF6819">
        <v>-1.0028548129327299</v>
      </c>
      <c r="AG6819">
        <v>-1.1097460731690001</v>
      </c>
      <c r="AH6819">
        <v>25.353431788293602</v>
      </c>
      <c r="AI6819">
        <v>92.504340177658193</v>
      </c>
      <c r="AJ6819">
        <v>92.265153290036594</v>
      </c>
      <c r="AK6819">
        <v>25.3975147911443</v>
      </c>
      <c r="AL6819">
        <v>79.808274260768002</v>
      </c>
      <c r="AM6819">
        <v>89.838125916417695</v>
      </c>
      <c r="AN6819">
        <v>0.99999995625085203</v>
      </c>
    </row>
    <row r="6820" spans="1:40" x14ac:dyDescent="0.25">
      <c r="A6820" t="str">
        <f>"20190312173057666"</f>
        <v>20190312173057666</v>
      </c>
      <c r="B6820" t="str">
        <f>"1552383057654009"</f>
        <v>1552383057654009</v>
      </c>
      <c r="C6820" t="s">
        <v>40</v>
      </c>
      <c r="D6820">
        <v>3.0979990000000002</v>
      </c>
      <c r="E6820">
        <v>0.48593639999999999</v>
      </c>
      <c r="F6820" t="s">
        <v>41</v>
      </c>
      <c r="G6820">
        <v>-189.00020000000001</v>
      </c>
      <c r="H6820" s="1">
        <v>-3.365246E-6</v>
      </c>
      <c r="I6820">
        <v>-2.9361329999999999</v>
      </c>
      <c r="J6820">
        <v>-188.65979999999999</v>
      </c>
      <c r="K6820">
        <v>1.1096159999999999</v>
      </c>
      <c r="L6820">
        <v>-28.750430000000001</v>
      </c>
      <c r="M6820">
        <v>2.5203E-2</v>
      </c>
      <c r="N6820">
        <v>0</v>
      </c>
      <c r="O6820">
        <v>0.99958349999999996</v>
      </c>
      <c r="P6820">
        <v>2.86942E-2</v>
      </c>
      <c r="Q6820">
        <v>0.16356389999999901</v>
      </c>
      <c r="R6820">
        <v>0.98611530000000003</v>
      </c>
      <c r="S6820">
        <v>-3.9154050000000003E-2</v>
      </c>
      <c r="T6820">
        <v>-0.130403399999999</v>
      </c>
      <c r="U6820">
        <v>3.0644529999999999</v>
      </c>
      <c r="V6820">
        <v>4.0788090000000001E-3</v>
      </c>
      <c r="W6820">
        <v>0.17740810000000001</v>
      </c>
      <c r="X6820">
        <v>0.98412889999999997</v>
      </c>
      <c r="Y6820">
        <v>-3.796364E-2</v>
      </c>
      <c r="Z6820">
        <v>-4.2477769999999998E-2</v>
      </c>
      <c r="AA6820">
        <v>0.99837589999999998</v>
      </c>
      <c r="AB6820">
        <v>27</v>
      </c>
      <c r="AC6820">
        <v>-0.34040000000001602</v>
      </c>
      <c r="AD6820">
        <v>-1.109619365246</v>
      </c>
      <c r="AE6820">
        <v>25.814297</v>
      </c>
      <c r="AF6820">
        <v>-0.98912660464742796</v>
      </c>
      <c r="AG6820">
        <v>-1.109619365246</v>
      </c>
      <c r="AH6820">
        <v>25.7499461553695</v>
      </c>
      <c r="AI6820">
        <v>92.465652988318794</v>
      </c>
      <c r="AJ6820">
        <v>92.199807713550996</v>
      </c>
      <c r="AK6820">
        <v>25.792815929637801</v>
      </c>
      <c r="AL6820">
        <v>79.781174592043598</v>
      </c>
      <c r="AM6820">
        <v>89.762533949540298</v>
      </c>
      <c r="AN6820">
        <v>0.99999998122183897</v>
      </c>
    </row>
    <row r="6821" spans="1:40" x14ac:dyDescent="0.25">
      <c r="A6821" t="str">
        <f>"20190312173057688"</f>
        <v>20190312173057688</v>
      </c>
      <c r="B6821" t="str">
        <f>"1552383057684262"</f>
        <v>1552383057684262</v>
      </c>
      <c r="C6821" t="s">
        <v>40</v>
      </c>
      <c r="D6821">
        <v>3.2943859999999998</v>
      </c>
      <c r="E6821">
        <v>0.48179319999999998</v>
      </c>
      <c r="F6821" t="s">
        <v>41</v>
      </c>
      <c r="G6821">
        <v>-188.9453</v>
      </c>
      <c r="H6821" s="1">
        <v>-3.6636719999999998E-6</v>
      </c>
      <c r="I6821">
        <v>-2.263207</v>
      </c>
      <c r="J6821">
        <v>-188.6523</v>
      </c>
      <c r="K6821">
        <v>1.1095200000000001</v>
      </c>
      <c r="L6821">
        <v>-28.489650000000001</v>
      </c>
      <c r="M6821">
        <v>2.6069760000000001E-2</v>
      </c>
      <c r="N6821">
        <v>0</v>
      </c>
      <c r="O6821">
        <v>0.99956140000000004</v>
      </c>
      <c r="P6821">
        <v>3.0752640000000001E-2</v>
      </c>
      <c r="Q6821">
        <v>0.16287850000000001</v>
      </c>
      <c r="R6821">
        <v>0.98616680000000001</v>
      </c>
      <c r="S6821">
        <v>-3.303528E-2</v>
      </c>
      <c r="T6821">
        <v>-0.1283793</v>
      </c>
      <c r="U6821">
        <v>3.0644840000000002</v>
      </c>
      <c r="V6821">
        <v>5.3205700000000002E-3</v>
      </c>
      <c r="W6821">
        <v>0.17671589999999901</v>
      </c>
      <c r="X6821">
        <v>0.98424750000000005</v>
      </c>
      <c r="Y6821">
        <v>-3.6837139999999997E-2</v>
      </c>
      <c r="Z6821">
        <v>-4.1819179999999997E-2</v>
      </c>
      <c r="AA6821">
        <v>0.9984459</v>
      </c>
      <c r="AB6821">
        <v>27</v>
      </c>
      <c r="AC6821">
        <v>-0.29300000000000598</v>
      </c>
      <c r="AD6821">
        <v>-1.1095236636720001</v>
      </c>
      <c r="AE6821">
        <v>26.226443</v>
      </c>
      <c r="AF6821">
        <v>-0.97494026678911405</v>
      </c>
      <c r="AG6821">
        <v>-1.1095236636720001</v>
      </c>
      <c r="AH6821">
        <v>26.163068639504601</v>
      </c>
      <c r="AI6821">
        <v>92.426662678647801</v>
      </c>
      <c r="AJ6821">
        <v>92.134081787226606</v>
      </c>
      <c r="AK6821">
        <v>26.204726900303399</v>
      </c>
      <c r="AL6821">
        <v>79.821471416978696</v>
      </c>
      <c r="AM6821">
        <v>89.690277865815105</v>
      </c>
      <c r="AN6821">
        <v>0.99999997951709196</v>
      </c>
    </row>
    <row r="6822" spans="1:40" x14ac:dyDescent="0.25">
      <c r="A6822" t="str">
        <f>"20190312173057710"</f>
        <v>20190312173057710</v>
      </c>
      <c r="B6822" t="str">
        <f>"1552383057704758"</f>
        <v>1552383057704758</v>
      </c>
      <c r="C6822" t="s">
        <v>40</v>
      </c>
      <c r="D6822">
        <v>3.1530990000000001</v>
      </c>
      <c r="E6822">
        <v>0.48221320000000001</v>
      </c>
      <c r="F6822" t="s">
        <v>41</v>
      </c>
      <c r="G6822">
        <v>-189.37479999999999</v>
      </c>
      <c r="H6822" s="1">
        <v>-4.2605649999999996E-6</v>
      </c>
      <c r="I6822">
        <v>9.3057540000000003</v>
      </c>
      <c r="J6822">
        <v>-188.64410000000001</v>
      </c>
      <c r="K6822">
        <v>1.1094520000000001</v>
      </c>
      <c r="L6822">
        <v>-28.216889999999999</v>
      </c>
      <c r="M6822">
        <v>2.7089189999999999E-2</v>
      </c>
      <c r="N6822">
        <v>0</v>
      </c>
      <c r="O6822">
        <v>0.99953440000000005</v>
      </c>
      <c r="P6822">
        <v>3.3095359999999997E-2</v>
      </c>
      <c r="Q6822">
        <v>0.16354449999999901</v>
      </c>
      <c r="R6822">
        <v>0.98598070000000004</v>
      </c>
      <c r="S6822">
        <v>-5.8471679999999998E-2</v>
      </c>
      <c r="T6822">
        <v>-8.9792730000000001E-2</v>
      </c>
      <c r="U6822">
        <v>3.0587460000000002</v>
      </c>
      <c r="V6822">
        <v>6.6937189999999999E-3</v>
      </c>
      <c r="W6822">
        <v>0.1773701</v>
      </c>
      <c r="X6822">
        <v>0.98412140000000004</v>
      </c>
      <c r="Y6822">
        <v>-4.6184419999999997E-2</v>
      </c>
      <c r="Z6822">
        <v>-2.930893E-2</v>
      </c>
      <c r="AA6822">
        <v>0.99850289999999997</v>
      </c>
      <c r="AB6822">
        <v>27</v>
      </c>
      <c r="AC6822">
        <v>-0.73069999999998403</v>
      </c>
      <c r="AD6822">
        <v>-1.109456260565</v>
      </c>
      <c r="AE6822">
        <v>37.522644</v>
      </c>
      <c r="AF6822">
        <v>-1.74546465808135</v>
      </c>
      <c r="AG6822">
        <v>-1.109456260565</v>
      </c>
      <c r="AH6822">
        <v>37.4563415900327</v>
      </c>
      <c r="AI6822">
        <v>91.694765984928296</v>
      </c>
      <c r="AJ6822">
        <v>92.668051850547997</v>
      </c>
      <c r="AK6822">
        <v>37.513398478089599</v>
      </c>
      <c r="AL6822">
        <v>79.783386534022995</v>
      </c>
      <c r="AM6822">
        <v>89.610296114109104</v>
      </c>
      <c r="AN6822">
        <v>0.99999994409300896</v>
      </c>
    </row>
    <row r="6823" spans="1:40" x14ac:dyDescent="0.25">
      <c r="A6823" t="str">
        <f>"20190312173057734"</f>
        <v>20190312173057734</v>
      </c>
      <c r="B6823" t="str">
        <f>"1552383057724278"</f>
        <v>1552383057724278</v>
      </c>
      <c r="C6823" t="s">
        <v>40</v>
      </c>
      <c r="D6823">
        <v>3.1462669999999999</v>
      </c>
      <c r="E6823">
        <v>0.4824851</v>
      </c>
      <c r="F6823" t="s">
        <v>41</v>
      </c>
      <c r="G6823">
        <v>-189.29859999999999</v>
      </c>
      <c r="H6823" s="1">
        <v>-1.7383829999999999E-6</v>
      </c>
      <c r="I6823">
        <v>13.394959999999999</v>
      </c>
      <c r="J6823">
        <v>-188.6352</v>
      </c>
      <c r="K6823">
        <v>1.109402</v>
      </c>
      <c r="L6823">
        <v>-27.93338</v>
      </c>
      <c r="M6823">
        <v>2.8238820000000001E-2</v>
      </c>
      <c r="N6823">
        <v>0</v>
      </c>
      <c r="O6823">
        <v>0.99950269999999997</v>
      </c>
      <c r="P6823">
        <v>3.6445070000000003E-2</v>
      </c>
      <c r="Q6823">
        <v>0.1652921</v>
      </c>
      <c r="R6823">
        <v>0.98557099999999997</v>
      </c>
      <c r="S6823">
        <v>-4.8095699999999998E-2</v>
      </c>
      <c r="T6823">
        <v>-8.1526989999999994E-2</v>
      </c>
      <c r="U6823">
        <v>3.0577999999999999</v>
      </c>
      <c r="V6823">
        <v>8.9449960000000002E-3</v>
      </c>
      <c r="W6823">
        <v>0.1790977</v>
      </c>
      <c r="X6823">
        <v>0.98379059999999896</v>
      </c>
      <c r="Y6823">
        <v>-4.395317E-2</v>
      </c>
      <c r="Z6823">
        <v>-2.6622030000000001E-2</v>
      </c>
      <c r="AA6823">
        <v>0.99867879999999998</v>
      </c>
      <c r="AB6823">
        <v>27</v>
      </c>
      <c r="AC6823">
        <v>-0.66339999999999499</v>
      </c>
      <c r="AD6823">
        <v>-1.109403738383</v>
      </c>
      <c r="AE6823">
        <v>41.328339999999997</v>
      </c>
      <c r="AF6823">
        <v>-1.82899626646845</v>
      </c>
      <c r="AG6823">
        <v>-1.109403738383</v>
      </c>
      <c r="AH6823">
        <v>41.263393746168603</v>
      </c>
      <c r="AI6823">
        <v>91.538568007050401</v>
      </c>
      <c r="AJ6823">
        <v>92.537969098873603</v>
      </c>
      <c r="AK6823">
        <v>41.318805251953201</v>
      </c>
      <c r="AL6823">
        <v>79.682791904529097</v>
      </c>
      <c r="AM6823">
        <v>89.479059470631299</v>
      </c>
      <c r="AN6823">
        <v>0.99999997187354395</v>
      </c>
    </row>
    <row r="6824" spans="1:40" x14ac:dyDescent="0.25">
      <c r="A6824" t="str">
        <f>"20190312173057758"</f>
        <v>20190312173057758</v>
      </c>
      <c r="B6824" t="str">
        <f>"1552383057754535"</f>
        <v>1552383057754535</v>
      </c>
      <c r="C6824" t="s">
        <v>40</v>
      </c>
      <c r="D6824">
        <v>3.1262460000000001</v>
      </c>
      <c r="E6824">
        <v>0.48335980000000001</v>
      </c>
      <c r="F6824" t="s">
        <v>41</v>
      </c>
      <c r="G6824">
        <v>-189.19630000000001</v>
      </c>
      <c r="H6824" s="1">
        <v>-3.7731310000000001E-6</v>
      </c>
      <c r="I6824">
        <v>18.09572</v>
      </c>
      <c r="J6824">
        <v>-188.62569999999999</v>
      </c>
      <c r="K6824">
        <v>1.1093649999999999</v>
      </c>
      <c r="L6824">
        <v>-27.64481</v>
      </c>
      <c r="M6824">
        <v>2.9460730000000001E-2</v>
      </c>
      <c r="N6824">
        <v>0</v>
      </c>
      <c r="O6824">
        <v>0.99946769999999996</v>
      </c>
      <c r="P6824">
        <v>3.8493510000000002E-2</v>
      </c>
      <c r="Q6824">
        <v>0.1655865</v>
      </c>
      <c r="R6824">
        <v>0.98544379999999998</v>
      </c>
      <c r="S6824">
        <v>-3.727722E-2</v>
      </c>
      <c r="T6824">
        <v>-7.369626E-2</v>
      </c>
      <c r="U6824">
        <v>3.0576479999999999</v>
      </c>
      <c r="V6824">
        <v>9.8065659999999992E-3</v>
      </c>
      <c r="W6824">
        <v>0.17936750000000001</v>
      </c>
      <c r="X6824">
        <v>0.98373330000000003</v>
      </c>
      <c r="Y6824">
        <v>-4.164317E-2</v>
      </c>
      <c r="Z6824">
        <v>-2.4068240000000001E-2</v>
      </c>
      <c r="AA6824">
        <v>0.99884260000000002</v>
      </c>
      <c r="AB6824">
        <v>27</v>
      </c>
      <c r="AC6824">
        <v>-0.57060000000001299</v>
      </c>
      <c r="AD6824">
        <v>-1.109368773131</v>
      </c>
      <c r="AE6824">
        <v>45.7405299999999</v>
      </c>
      <c r="AF6824">
        <v>-1.91690660442807</v>
      </c>
      <c r="AG6824">
        <v>-1.109368773131</v>
      </c>
      <c r="AH6824">
        <v>45.676995410552401</v>
      </c>
      <c r="AI6824">
        <v>91.390060550527195</v>
      </c>
      <c r="AJ6824">
        <v>92.403096954378398</v>
      </c>
      <c r="AK6824">
        <v>45.730658641009398</v>
      </c>
      <c r="AL6824">
        <v>79.667079742349699</v>
      </c>
      <c r="AM6824">
        <v>89.428853092362203</v>
      </c>
      <c r="AN6824">
        <v>1.0000000371609199</v>
      </c>
    </row>
    <row r="6825" spans="1:40" x14ac:dyDescent="0.25">
      <c r="A6825" t="str">
        <f>"20190312173057779"</f>
        <v>20190312173057779</v>
      </c>
      <c r="B6825" t="str">
        <f>"1552383057774054"</f>
        <v>1552383057774054</v>
      </c>
      <c r="C6825" t="s">
        <v>40</v>
      </c>
      <c r="D6825">
        <v>3.3326340000000001</v>
      </c>
      <c r="E6825">
        <v>0.48369909999999999</v>
      </c>
      <c r="F6825" t="s">
        <v>41</v>
      </c>
      <c r="G6825">
        <v>-188.95050000000001</v>
      </c>
      <c r="H6825" s="1">
        <v>-1.8398229999999999E-6</v>
      </c>
      <c r="I6825">
        <v>13.48748</v>
      </c>
      <c r="J6825">
        <v>-188.61689999999999</v>
      </c>
      <c r="K6825">
        <v>1.1093440000000001</v>
      </c>
      <c r="L6825">
        <v>-27.388459999999998</v>
      </c>
      <c r="M6825">
        <v>3.0561410000000001E-2</v>
      </c>
      <c r="N6825">
        <v>0</v>
      </c>
      <c r="O6825">
        <v>0.99943510000000002</v>
      </c>
      <c r="P6825">
        <v>3.9268650000000002E-2</v>
      </c>
      <c r="Q6825">
        <v>0.16542290000000001</v>
      </c>
      <c r="R6825">
        <v>0.9854406</v>
      </c>
      <c r="S6825">
        <v>-2.4154660000000001E-2</v>
      </c>
      <c r="T6825">
        <v>-8.2506419999999997E-2</v>
      </c>
      <c r="U6825">
        <v>3.059113</v>
      </c>
      <c r="V6825">
        <v>9.503058E-3</v>
      </c>
      <c r="W6825">
        <v>0.1791751</v>
      </c>
      <c r="X6825">
        <v>0.98377130000000002</v>
      </c>
      <c r="Y6825">
        <v>-3.845262E-2</v>
      </c>
      <c r="Z6825">
        <v>-2.693162E-2</v>
      </c>
      <c r="AA6825">
        <v>0.99889740000000005</v>
      </c>
      <c r="AB6825">
        <v>27</v>
      </c>
      <c r="AC6825">
        <v>-0.33360000000001799</v>
      </c>
      <c r="AD6825">
        <v>-1.1093458398230001</v>
      </c>
      <c r="AE6825">
        <v>40.87594</v>
      </c>
      <c r="AF6825">
        <v>-1.58162776133426</v>
      </c>
      <c r="AG6825">
        <v>-1.1093458398230001</v>
      </c>
      <c r="AH6825">
        <v>40.816585275015001</v>
      </c>
      <c r="AI6825">
        <v>91.555680370346707</v>
      </c>
      <c r="AJ6825">
        <v>92.219080284484804</v>
      </c>
      <c r="AK6825">
        <v>40.862278792063499</v>
      </c>
      <c r="AL6825">
        <v>79.678284565966493</v>
      </c>
      <c r="AM6825">
        <v>89.446550045611701</v>
      </c>
      <c r="AN6825">
        <v>0.99999999763752501</v>
      </c>
    </row>
    <row r="6826" spans="1:40" x14ac:dyDescent="0.25">
      <c r="A6826" t="str">
        <f>"20190312173057802"</f>
        <v>20190312173057802</v>
      </c>
      <c r="B6826" t="str">
        <f>"1552383057794549"</f>
        <v>1552383057794549</v>
      </c>
      <c r="C6826" t="s">
        <v>40</v>
      </c>
      <c r="D6826">
        <v>3.2549000000000001</v>
      </c>
      <c r="E6826">
        <v>0.48397040000000002</v>
      </c>
      <c r="F6826" t="s">
        <v>41</v>
      </c>
      <c r="G6826">
        <v>-188.83420000000001</v>
      </c>
      <c r="H6826" s="1">
        <v>-6.3526239999999996E-7</v>
      </c>
      <c r="I6826">
        <v>10.60333</v>
      </c>
      <c r="J6826">
        <v>-188.6071</v>
      </c>
      <c r="K6826">
        <v>1.1093299999999999</v>
      </c>
      <c r="L6826">
        <v>-27.110199999999999</v>
      </c>
      <c r="M6826">
        <v>3.175538E-2</v>
      </c>
      <c r="N6826">
        <v>0</v>
      </c>
      <c r="O6826">
        <v>0.99939840000000002</v>
      </c>
      <c r="P6826">
        <v>4.0047239999999998E-2</v>
      </c>
      <c r="Q6826">
        <v>0.16505719999999999</v>
      </c>
      <c r="R6826">
        <v>0.98547070000000003</v>
      </c>
      <c r="S6826">
        <v>-1.7501829999999999E-2</v>
      </c>
      <c r="T6826">
        <v>-8.9351529999999998E-2</v>
      </c>
      <c r="U6826">
        <v>3.060028</v>
      </c>
      <c r="V6826">
        <v>9.1049630000000006E-3</v>
      </c>
      <c r="W6826">
        <v>0.17877309999999999</v>
      </c>
      <c r="X6826">
        <v>0.98384819999999995</v>
      </c>
      <c r="Y6826">
        <v>-3.7472030000000003E-2</v>
      </c>
      <c r="Z6826">
        <v>-2.9154570000000001E-2</v>
      </c>
      <c r="AA6826">
        <v>0.99887230000000005</v>
      </c>
      <c r="AB6826">
        <v>27</v>
      </c>
      <c r="AC6826">
        <v>-0.22710000000000699</v>
      </c>
      <c r="AD6826">
        <v>-1.1093306352623999</v>
      </c>
      <c r="AE6826">
        <v>37.713529999999999</v>
      </c>
      <c r="AF6826">
        <v>-1.42347778568143</v>
      </c>
      <c r="AG6826">
        <v>-1.1093306352623999</v>
      </c>
      <c r="AH6826">
        <v>37.654715402139303</v>
      </c>
      <c r="AI6826">
        <v>91.686276341867199</v>
      </c>
      <c r="AJ6826">
        <v>92.164946664442496</v>
      </c>
      <c r="AK6826">
        <v>37.697937549430598</v>
      </c>
      <c r="AL6826">
        <v>79.701695503442295</v>
      </c>
      <c r="AM6826">
        <v>89.469774849034707</v>
      </c>
      <c r="AN6826">
        <v>1.00000000113904</v>
      </c>
    </row>
    <row r="6827" spans="1:40" x14ac:dyDescent="0.25">
      <c r="A6827" t="str">
        <f>"20190312173057825"</f>
        <v>20190312173057825</v>
      </c>
      <c r="B6827" t="str">
        <f>"1552383057814070"</f>
        <v>1552383057814070</v>
      </c>
      <c r="C6827" t="s">
        <v>40</v>
      </c>
      <c r="D6827">
        <v>3.1491769999999999</v>
      </c>
      <c r="E6827">
        <v>0.48406450000000001</v>
      </c>
      <c r="F6827" t="s">
        <v>41</v>
      </c>
      <c r="G6827">
        <v>-188.7467</v>
      </c>
      <c r="H6827" s="1">
        <v>-4.10647E-6</v>
      </c>
      <c r="I6827">
        <v>8.6868420000000004</v>
      </c>
      <c r="J6827">
        <v>-188.59739999999999</v>
      </c>
      <c r="K6827">
        <v>1.109327</v>
      </c>
      <c r="L6827">
        <v>-26.84564</v>
      </c>
      <c r="M6827">
        <v>3.2884280000000002E-2</v>
      </c>
      <c r="N6827">
        <v>0</v>
      </c>
      <c r="O6827">
        <v>0.99936250000000004</v>
      </c>
      <c r="P6827">
        <v>4.1377320000000002E-2</v>
      </c>
      <c r="Q6827">
        <v>0.1661745</v>
      </c>
      <c r="R6827">
        <v>0.98522790000000005</v>
      </c>
      <c r="S6827">
        <v>-1.1932369999999999E-2</v>
      </c>
      <c r="T6827">
        <v>-9.4846840000000002E-2</v>
      </c>
      <c r="U6827">
        <v>3.0606080000000002</v>
      </c>
      <c r="V6827">
        <v>9.3296579999999994E-3</v>
      </c>
      <c r="W6827">
        <v>0.17984729999999999</v>
      </c>
      <c r="X6827">
        <v>0.98365029999999998</v>
      </c>
      <c r="Y6827">
        <v>-3.6781899999999999E-2</v>
      </c>
      <c r="Z6827">
        <v>-3.093895E-2</v>
      </c>
      <c r="AA6827">
        <v>0.99884430000000002</v>
      </c>
      <c r="AB6827">
        <v>27</v>
      </c>
      <c r="AC6827">
        <v>-0.14930000000001001</v>
      </c>
      <c r="AD6827">
        <v>-1.10933110647</v>
      </c>
      <c r="AE6827">
        <v>35.532482000000002</v>
      </c>
      <c r="AF6827">
        <v>-1.3165090453122601</v>
      </c>
      <c r="AG6827">
        <v>-1.10933110647</v>
      </c>
      <c r="AH6827">
        <v>35.473775302435101</v>
      </c>
      <c r="AI6827">
        <v>91.789930726457399</v>
      </c>
      <c r="AJ6827">
        <v>92.125395718031101</v>
      </c>
      <c r="AK6827">
        <v>35.515525418861898</v>
      </c>
      <c r="AL6827">
        <v>79.639134442671804</v>
      </c>
      <c r="AM6827">
        <v>89.4565812675785</v>
      </c>
      <c r="AN6827">
        <v>1.00000000326288</v>
      </c>
    </row>
    <row r="6828" spans="1:40" x14ac:dyDescent="0.25">
      <c r="A6828" t="str">
        <f>"20190312173057845"</f>
        <v>20190312173057845</v>
      </c>
      <c r="B6828" t="str">
        <f>"1552383057834566"</f>
        <v>1552383057834566</v>
      </c>
      <c r="C6828" t="s">
        <v>40</v>
      </c>
      <c r="D6828">
        <v>3.1358220000000001</v>
      </c>
      <c r="E6828">
        <v>0.48410760000000003</v>
      </c>
      <c r="F6828" t="s">
        <v>41</v>
      </c>
      <c r="G6828">
        <v>-188.68600000000001</v>
      </c>
      <c r="H6828" s="1">
        <v>-4.0571630000000003E-6</v>
      </c>
      <c r="I6828">
        <v>8.5468109999999999</v>
      </c>
      <c r="J6828">
        <v>-188.5882</v>
      </c>
      <c r="K6828">
        <v>1.109335</v>
      </c>
      <c r="L6828">
        <v>-26.600249999999999</v>
      </c>
      <c r="M6828">
        <v>3.3924290000000003E-2</v>
      </c>
      <c r="N6828">
        <v>0</v>
      </c>
      <c r="O6828">
        <v>0.99932829999999995</v>
      </c>
      <c r="P6828">
        <v>4.2043869999999997E-2</v>
      </c>
      <c r="Q6828">
        <v>0.16702819999999999</v>
      </c>
      <c r="R6828">
        <v>0.98505529999999997</v>
      </c>
      <c r="S6828">
        <v>-7.6599119999999996E-3</v>
      </c>
      <c r="T6828">
        <v>-9.5958589999999996E-2</v>
      </c>
      <c r="U6828">
        <v>3.061493</v>
      </c>
      <c r="V6828">
        <v>8.9743169999999903E-3</v>
      </c>
      <c r="W6828">
        <v>0.1806606</v>
      </c>
      <c r="X6828">
        <v>0.9835045</v>
      </c>
      <c r="Y6828">
        <v>-3.6426790000000001E-2</v>
      </c>
      <c r="Z6828">
        <v>-3.1290850000000002E-2</v>
      </c>
      <c r="AA6828">
        <v>0.99884629999999996</v>
      </c>
      <c r="AB6828">
        <v>27</v>
      </c>
      <c r="AC6828">
        <v>-9.7799999999978099E-2</v>
      </c>
      <c r="AD6828">
        <v>-1.109339057163</v>
      </c>
      <c r="AE6828">
        <v>35.147061000000001</v>
      </c>
      <c r="AF6828">
        <v>-1.2889133041512399</v>
      </c>
      <c r="AG6828">
        <v>-1.109339057163</v>
      </c>
      <c r="AH6828">
        <v>35.088553275696903</v>
      </c>
      <c r="AI6828">
        <v>91.809606840207707</v>
      </c>
      <c r="AJ6828">
        <v>92.103708956361999</v>
      </c>
      <c r="AK6828">
        <v>35.129738137805496</v>
      </c>
      <c r="AL6828">
        <v>79.591759190964396</v>
      </c>
      <c r="AM6828">
        <v>89.477199933630004</v>
      </c>
      <c r="AN6828">
        <v>0.99999994613911103</v>
      </c>
    </row>
    <row r="6829" spans="1:40" x14ac:dyDescent="0.25">
      <c r="A6829" t="str">
        <f>"20190312173057867"</f>
        <v>20190312173057867</v>
      </c>
      <c r="B6829" t="str">
        <f>"1552383057863846"</f>
        <v>1552383057863846</v>
      </c>
      <c r="C6829" t="s">
        <v>40</v>
      </c>
      <c r="D6829">
        <v>3.1949329999999998</v>
      </c>
      <c r="E6829">
        <v>0.48410819999999999</v>
      </c>
      <c r="F6829" t="s">
        <v>41</v>
      </c>
      <c r="G6829">
        <v>-188.65780000000001</v>
      </c>
      <c r="H6829" s="1">
        <v>-4.1847209999999999E-6</v>
      </c>
      <c r="I6829">
        <v>8.8324789999999993</v>
      </c>
      <c r="J6829">
        <v>-188.57810000000001</v>
      </c>
      <c r="K6829">
        <v>1.1093440000000001</v>
      </c>
      <c r="L6829">
        <v>-26.339870000000001</v>
      </c>
      <c r="M6829">
        <v>3.5019340000000003E-2</v>
      </c>
      <c r="N6829">
        <v>0</v>
      </c>
      <c r="O6829">
        <v>0.99929109999999999</v>
      </c>
      <c r="P6829">
        <v>4.2299389999999999E-2</v>
      </c>
      <c r="Q6829">
        <v>0.1676047</v>
      </c>
      <c r="R6829">
        <v>0.9849464</v>
      </c>
      <c r="S6829">
        <v>-6.0119630000000004E-3</v>
      </c>
      <c r="T6829">
        <v>-9.5866439999999997E-2</v>
      </c>
      <c r="U6829">
        <v>3.0620120000000002</v>
      </c>
      <c r="V6829">
        <v>8.1502409999999904E-3</v>
      </c>
      <c r="W6829">
        <v>0.1811972</v>
      </c>
      <c r="X6829">
        <v>0.98341299999999998</v>
      </c>
      <c r="Y6829">
        <v>-3.6983839999999997E-2</v>
      </c>
      <c r="Z6829">
        <v>-3.1253459999999997E-2</v>
      </c>
      <c r="AA6829">
        <v>0.99882700000000002</v>
      </c>
      <c r="AB6829">
        <v>27</v>
      </c>
      <c r="AC6829">
        <v>-7.9700000000002505E-2</v>
      </c>
      <c r="AD6829">
        <v>-1.1093481847210001</v>
      </c>
      <c r="AE6829">
        <v>35.172348999999997</v>
      </c>
      <c r="AF6829">
        <v>-1.31017781425534</v>
      </c>
      <c r="AG6829">
        <v>-1.1093481847210001</v>
      </c>
      <c r="AH6829">
        <v>35.113050016016302</v>
      </c>
      <c r="AI6829">
        <v>91.808321318687007</v>
      </c>
      <c r="AJ6829">
        <v>92.136893549986894</v>
      </c>
      <c r="AK6829">
        <v>35.154992543409399</v>
      </c>
      <c r="AL6829">
        <v>79.560498814736604</v>
      </c>
      <c r="AM6829">
        <v>89.525160110552804</v>
      </c>
      <c r="AN6829">
        <v>0.99999999014259899</v>
      </c>
    </row>
    <row r="6830" spans="1:40" x14ac:dyDescent="0.25">
      <c r="A6830" t="str">
        <f>"20190312173057890"</f>
        <v>20190312173057890</v>
      </c>
      <c r="B6830" t="str">
        <f>"1552383057884341"</f>
        <v>1552383057884341</v>
      </c>
      <c r="C6830" t="s">
        <v>40</v>
      </c>
      <c r="D6830">
        <v>3.2349030000000001</v>
      </c>
      <c r="E6830">
        <v>0.50699369999999999</v>
      </c>
      <c r="F6830" t="s">
        <v>41</v>
      </c>
      <c r="G6830">
        <v>-188.62799999999999</v>
      </c>
      <c r="H6830" s="1">
        <v>-4.3960559999999998E-6</v>
      </c>
      <c r="I6830">
        <v>9.312799</v>
      </c>
      <c r="J6830">
        <v>-188.56710000000001</v>
      </c>
      <c r="K6830">
        <v>1.109354</v>
      </c>
      <c r="L6830">
        <v>-26.06476</v>
      </c>
      <c r="M6830">
        <v>3.6167999999999999E-2</v>
      </c>
      <c r="N6830">
        <v>0</v>
      </c>
      <c r="O6830">
        <v>0.99925079999999999</v>
      </c>
      <c r="P6830">
        <v>4.317199E-2</v>
      </c>
      <c r="Q6830">
        <v>0.16865810000000001</v>
      </c>
      <c r="R6830">
        <v>0.98472870000000001</v>
      </c>
      <c r="S6830">
        <v>-4.2877200000000001E-3</v>
      </c>
      <c r="T6830">
        <v>-9.5283389999999996E-2</v>
      </c>
      <c r="U6830">
        <v>3.0622560000000001</v>
      </c>
      <c r="V6830">
        <v>7.8949829999999995E-3</v>
      </c>
      <c r="W6830">
        <v>0.18220239999999999</v>
      </c>
      <c r="X6830">
        <v>0.98322929999999997</v>
      </c>
      <c r="Y6830">
        <v>-3.7569980000000003E-2</v>
      </c>
      <c r="Z6830">
        <v>-3.1058860000000001E-2</v>
      </c>
      <c r="AA6830">
        <v>0.99881120000000001</v>
      </c>
      <c r="AB6830">
        <v>27</v>
      </c>
      <c r="AC6830">
        <v>-6.08999999999753E-2</v>
      </c>
      <c r="AD6830">
        <v>-1.1093583960560001</v>
      </c>
      <c r="AE6830">
        <v>35.377558999999998</v>
      </c>
      <c r="AF6830">
        <v>-1.3392002536941101</v>
      </c>
      <c r="AG6830">
        <v>-1.1093583960560001</v>
      </c>
      <c r="AH6830">
        <v>35.317477342109903</v>
      </c>
      <c r="AI6830">
        <v>91.797836799129897</v>
      </c>
      <c r="AJ6830">
        <v>92.171553135284199</v>
      </c>
      <c r="AK6830">
        <v>35.3602649761119</v>
      </c>
      <c r="AL6830">
        <v>79.501929745648098</v>
      </c>
      <c r="AM6830">
        <v>89.5399450730024</v>
      </c>
      <c r="AN6830">
        <v>0.99999995085040805</v>
      </c>
    </row>
    <row r="6831" spans="1:40" x14ac:dyDescent="0.25">
      <c r="A6831" t="str">
        <f>"20190312173057912"</f>
        <v>20190312173057912</v>
      </c>
      <c r="B6831" t="str">
        <f>"1552383057903862"</f>
        <v>1552383057903862</v>
      </c>
      <c r="C6831" t="s">
        <v>40</v>
      </c>
      <c r="D6831">
        <v>3.2315140000000002</v>
      </c>
      <c r="E6831">
        <v>0.51169969999999998</v>
      </c>
      <c r="F6831" t="s">
        <v>41</v>
      </c>
      <c r="G6831">
        <v>-186.4153</v>
      </c>
      <c r="H6831" s="1">
        <v>-1.193871E-6</v>
      </c>
      <c r="I6831">
        <v>10.353540000000001</v>
      </c>
      <c r="J6831">
        <v>-188.5565</v>
      </c>
      <c r="K6831">
        <v>1.109362</v>
      </c>
      <c r="L6831">
        <v>-25.805510000000002</v>
      </c>
      <c r="M6831">
        <v>3.7243720000000001E-2</v>
      </c>
      <c r="N6831">
        <v>0</v>
      </c>
      <c r="O6831">
        <v>0.99921190000000004</v>
      </c>
      <c r="P6831">
        <v>4.4299230000000002E-2</v>
      </c>
      <c r="Q6831">
        <v>0.17003489999999999</v>
      </c>
      <c r="R6831">
        <v>0.98444180000000003</v>
      </c>
      <c r="S6831">
        <v>0.180481</v>
      </c>
      <c r="T6831">
        <v>-9.3046550000000006E-2</v>
      </c>
      <c r="U6831">
        <v>3.0545650000000002</v>
      </c>
      <c r="V6831">
        <v>7.9704890000000007E-3</v>
      </c>
      <c r="W6831">
        <v>0.18353240000000001</v>
      </c>
      <c r="X6831">
        <v>0.98298129999999995</v>
      </c>
      <c r="Y6831">
        <v>2.1732209999999998E-2</v>
      </c>
      <c r="Z6831">
        <v>-3.038561E-2</v>
      </c>
      <c r="AA6831">
        <v>0.99930200000000002</v>
      </c>
      <c r="AB6831">
        <v>27</v>
      </c>
      <c r="AC6831">
        <v>2.1411999999999898</v>
      </c>
      <c r="AD6831">
        <v>-1.109363193871</v>
      </c>
      <c r="AE6831">
        <v>36.159050000000001</v>
      </c>
      <c r="AF6831">
        <v>0.79214669650499703</v>
      </c>
      <c r="AG6831">
        <v>-1.109363193871</v>
      </c>
      <c r="AH6831">
        <v>36.179776440878598</v>
      </c>
      <c r="AI6831">
        <v>91.755862280587394</v>
      </c>
      <c r="AJ6831">
        <v>88.745724364945801</v>
      </c>
      <c r="AK6831">
        <v>36.205447192330801</v>
      </c>
      <c r="AL6831">
        <v>79.424419362739101</v>
      </c>
      <c r="AM6831">
        <v>89.535428219921698</v>
      </c>
      <c r="AN6831">
        <v>0.99999995334717295</v>
      </c>
    </row>
    <row r="6832" spans="1:40" x14ac:dyDescent="0.25">
      <c r="A6832" t="str">
        <f>"20190312173057934"</f>
        <v>20190312173057934</v>
      </c>
      <c r="B6832" t="str">
        <f>"1552383057924358"</f>
        <v>1552383057924358</v>
      </c>
      <c r="C6832" t="s">
        <v>40</v>
      </c>
      <c r="D6832">
        <v>3.2129479999999999</v>
      </c>
      <c r="E6832">
        <v>0.51375729999999997</v>
      </c>
      <c r="F6832" t="s">
        <v>41</v>
      </c>
      <c r="G6832">
        <v>-185.982</v>
      </c>
      <c r="H6832" s="1">
        <v>-1.109279E-6</v>
      </c>
      <c r="I6832">
        <v>9.766178</v>
      </c>
      <c r="J6832">
        <v>-188.5455</v>
      </c>
      <c r="K6832">
        <v>1.109369</v>
      </c>
      <c r="L6832">
        <v>-25.544429999999998</v>
      </c>
      <c r="M6832">
        <v>3.8322439999999999E-2</v>
      </c>
      <c r="N6832">
        <v>0</v>
      </c>
      <c r="O6832">
        <v>0.9991717</v>
      </c>
      <c r="P6832">
        <v>4.556466E-2</v>
      </c>
      <c r="Q6832">
        <v>0.17115459999999999</v>
      </c>
      <c r="R6832">
        <v>0.98419000000000001</v>
      </c>
      <c r="S6832">
        <v>0.22102359999999999</v>
      </c>
      <c r="T6832">
        <v>-9.5241790000000007E-2</v>
      </c>
      <c r="U6832">
        <v>3.053925</v>
      </c>
      <c r="V6832">
        <v>8.1803729999999995E-3</v>
      </c>
      <c r="W6832">
        <v>0.1846052</v>
      </c>
      <c r="X6832">
        <v>0.98277870000000001</v>
      </c>
      <c r="Y6832">
        <v>3.3870829999999998E-2</v>
      </c>
      <c r="Z6832">
        <v>-3.108766E-2</v>
      </c>
      <c r="AA6832">
        <v>0.99894260000000001</v>
      </c>
      <c r="AB6832">
        <v>27</v>
      </c>
      <c r="AC6832">
        <v>2.5634999999999999</v>
      </c>
      <c r="AD6832">
        <v>-1.109370109279</v>
      </c>
      <c r="AE6832">
        <v>35.310608000000002</v>
      </c>
      <c r="AF6832">
        <v>1.20711591581133</v>
      </c>
      <c r="AG6832">
        <v>-1.109370109279</v>
      </c>
      <c r="AH6832">
        <v>35.348205854629903</v>
      </c>
      <c r="AI6832">
        <v>91.796537440733303</v>
      </c>
      <c r="AJ6832">
        <v>88.044150211700298</v>
      </c>
      <c r="AK6832">
        <v>35.3862047698656</v>
      </c>
      <c r="AL6832">
        <v>79.361884272671702</v>
      </c>
      <c r="AM6832">
        <v>89.523097088227203</v>
      </c>
      <c r="AN6832">
        <v>0.99999998577157401</v>
      </c>
    </row>
    <row r="6833" spans="1:40" x14ac:dyDescent="0.25">
      <c r="A6833" t="str">
        <f>"20190312173057959"</f>
        <v>20190312173057959</v>
      </c>
      <c r="B6833" t="str">
        <f>"1552383057954613"</f>
        <v>1552383057954613</v>
      </c>
      <c r="C6833" t="s">
        <v>40</v>
      </c>
      <c r="D6833">
        <v>3.2140170000000001</v>
      </c>
      <c r="E6833">
        <v>0.51568879999999995</v>
      </c>
      <c r="F6833" t="s">
        <v>41</v>
      </c>
      <c r="G6833">
        <v>-185.76830000000001</v>
      </c>
      <c r="H6833" s="1">
        <v>-5.0112600000000004E-6</v>
      </c>
      <c r="I6833">
        <v>9.5644270000000002</v>
      </c>
      <c r="J6833">
        <v>-188.53280000000001</v>
      </c>
      <c r="K6833">
        <v>1.109372</v>
      </c>
      <c r="L6833">
        <v>-25.25</v>
      </c>
      <c r="M6833">
        <v>3.9537959999999997E-2</v>
      </c>
      <c r="N6833">
        <v>0</v>
      </c>
      <c r="O6833">
        <v>0.99912509999999999</v>
      </c>
      <c r="P6833">
        <v>4.6926160000000001E-2</v>
      </c>
      <c r="Q6833">
        <v>0.17193459999999999</v>
      </c>
      <c r="R6833">
        <v>0.98399009999999998</v>
      </c>
      <c r="S6833">
        <v>0.2415619</v>
      </c>
      <c r="T6833">
        <v>-9.6494440000000001E-2</v>
      </c>
      <c r="U6833">
        <v>3.0538020000000001</v>
      </c>
      <c r="V6833">
        <v>8.3494709999999903E-3</v>
      </c>
      <c r="W6833">
        <v>0.1853293</v>
      </c>
      <c r="X6833">
        <v>0.98264099999999999</v>
      </c>
      <c r="Y6833">
        <v>3.9336389999999999E-2</v>
      </c>
      <c r="Z6833">
        <v>-3.1483999999999998E-2</v>
      </c>
      <c r="AA6833">
        <v>0.99872989999999995</v>
      </c>
      <c r="AB6833">
        <v>27</v>
      </c>
      <c r="AC6833">
        <v>2.7644999999999902</v>
      </c>
      <c r="AD6833">
        <v>-1.1093770112600001</v>
      </c>
      <c r="AE6833">
        <v>34.814427000000002</v>
      </c>
      <c r="AF6833">
        <v>1.3843218038526299</v>
      </c>
      <c r="AG6833">
        <v>-1.1093770112600001</v>
      </c>
      <c r="AH6833">
        <v>34.861335696764499</v>
      </c>
      <c r="AI6833">
        <v>91.821249020300996</v>
      </c>
      <c r="AJ6833">
        <v>87.726015215106003</v>
      </c>
      <c r="AK6833">
        <v>34.906443399066603</v>
      </c>
      <c r="AL6833">
        <v>79.319668083851894</v>
      </c>
      <c r="AM6833">
        <v>89.5131712019285</v>
      </c>
      <c r="AN6833">
        <v>0.99999999899273495</v>
      </c>
    </row>
    <row r="6834" spans="1:40" x14ac:dyDescent="0.25">
      <c r="A6834" t="str">
        <f>"20190312173057982"</f>
        <v>20190312173057982</v>
      </c>
      <c r="B6834" t="str">
        <f>"1552383057974134"</f>
        <v>1552383057974134</v>
      </c>
      <c r="C6834" t="s">
        <v>40</v>
      </c>
      <c r="D6834">
        <v>3.1976499999999999</v>
      </c>
      <c r="E6834">
        <v>0.51640090000000005</v>
      </c>
      <c r="F6834" t="s">
        <v>41</v>
      </c>
      <c r="G6834">
        <v>-185.6525</v>
      </c>
      <c r="H6834" s="1">
        <v>-4.531094E-6</v>
      </c>
      <c r="I6834">
        <v>8.3972429999999996</v>
      </c>
      <c r="J6834">
        <v>-188.5205</v>
      </c>
      <c r="K6834">
        <v>1.109369</v>
      </c>
      <c r="L6834">
        <v>-24.972629999999999</v>
      </c>
      <c r="M6834">
        <v>4.068422E-2</v>
      </c>
      <c r="N6834">
        <v>0</v>
      </c>
      <c r="O6834">
        <v>0.99907990000000002</v>
      </c>
      <c r="P6834">
        <v>4.8088060000000002E-2</v>
      </c>
      <c r="Q6834">
        <v>0.17267439999999901</v>
      </c>
      <c r="R6834">
        <v>0.98380440000000002</v>
      </c>
      <c r="S6834">
        <v>0.26142880000000002</v>
      </c>
      <c r="T6834">
        <v>-0.1006913</v>
      </c>
      <c r="U6834">
        <v>3.0539550000000002</v>
      </c>
      <c r="V6834">
        <v>8.3880159999999999E-3</v>
      </c>
      <c r="W6834">
        <v>0.1860077</v>
      </c>
      <c r="X6834">
        <v>0.98251250000000001</v>
      </c>
      <c r="Y6834">
        <v>4.4635080000000001E-2</v>
      </c>
      <c r="Z6834">
        <v>-3.2835610000000001E-2</v>
      </c>
      <c r="AA6834">
        <v>0.99846360000000001</v>
      </c>
      <c r="AB6834">
        <v>27</v>
      </c>
      <c r="AC6834">
        <v>2.8679999999999901</v>
      </c>
      <c r="AD6834">
        <v>-1.1093735310940001</v>
      </c>
      <c r="AE6834">
        <v>33.369872999999998</v>
      </c>
      <c r="AF6834">
        <v>1.50622025096968</v>
      </c>
      <c r="AG6834">
        <v>-1.1093735310940001</v>
      </c>
      <c r="AH6834">
        <v>33.422264646251101</v>
      </c>
      <c r="AI6834">
        <v>91.899174578847706</v>
      </c>
      <c r="AJ6834">
        <v>87.419632963447697</v>
      </c>
      <c r="AK6834">
        <v>33.474575175197799</v>
      </c>
      <c r="AL6834">
        <v>79.280111027662898</v>
      </c>
      <c r="AM6834">
        <v>89.510859923349301</v>
      </c>
      <c r="AN6834">
        <v>1.0000000179639701</v>
      </c>
    </row>
    <row r="6835" spans="1:40" x14ac:dyDescent="0.25">
      <c r="A6835" t="str">
        <f>"20190312173058002"</f>
        <v>20190312173058002</v>
      </c>
      <c r="B6835" t="str">
        <f>"1552383057994630"</f>
        <v>1552383057994630</v>
      </c>
      <c r="C6835" t="s">
        <v>40</v>
      </c>
      <c r="D6835">
        <v>3.2145899999999998</v>
      </c>
      <c r="E6835">
        <v>0.51661270000000004</v>
      </c>
      <c r="F6835" t="s">
        <v>41</v>
      </c>
      <c r="G6835">
        <v>-185.4984</v>
      </c>
      <c r="H6835" s="1">
        <v>-4.8512420000000001E-6</v>
      </c>
      <c r="I6835">
        <v>9.0798290000000001</v>
      </c>
      <c r="J6835">
        <v>-188.5094</v>
      </c>
      <c r="K6835">
        <v>1.109364</v>
      </c>
      <c r="L6835">
        <v>-24.728729999999999</v>
      </c>
      <c r="M6835">
        <v>4.1692569999999998E-2</v>
      </c>
      <c r="N6835">
        <v>0</v>
      </c>
      <c r="O6835">
        <v>0.99903909999999996</v>
      </c>
      <c r="P6835">
        <v>4.9729460000000003E-2</v>
      </c>
      <c r="Q6835">
        <v>0.1735322</v>
      </c>
      <c r="R6835">
        <v>0.9835718</v>
      </c>
      <c r="S6835">
        <v>0.27099610000000002</v>
      </c>
      <c r="T6835">
        <v>-9.9480990000000005E-2</v>
      </c>
      <c r="U6835">
        <v>3.0535890000000001</v>
      </c>
      <c r="V6835">
        <v>9.0445899999999999E-3</v>
      </c>
      <c r="W6835">
        <v>0.1868069</v>
      </c>
      <c r="X6835">
        <v>0.98235499999999998</v>
      </c>
      <c r="Y6835">
        <v>4.674275E-2</v>
      </c>
      <c r="Z6835">
        <v>-3.2437210000000001E-2</v>
      </c>
      <c r="AA6835">
        <v>0.99838020000000005</v>
      </c>
      <c r="AB6835">
        <v>27</v>
      </c>
      <c r="AC6835">
        <v>3.0109999999999899</v>
      </c>
      <c r="AD6835">
        <v>-1.1093688512419999</v>
      </c>
      <c r="AE6835">
        <v>33.808559000000002</v>
      </c>
      <c r="AF6835">
        <v>1.59698103544418</v>
      </c>
      <c r="AG6835">
        <v>-1.1093688512419999</v>
      </c>
      <c r="AH6835">
        <v>33.868524829950204</v>
      </c>
      <c r="AI6835">
        <v>91.873980898333002</v>
      </c>
      <c r="AJ6835">
        <v>87.300368060587203</v>
      </c>
      <c r="AK6835">
        <v>33.924298398531903</v>
      </c>
      <c r="AL6835">
        <v>79.2335029589361</v>
      </c>
      <c r="AM6835">
        <v>89.472489892008895</v>
      </c>
      <c r="AN6835">
        <v>0.99999998426043801</v>
      </c>
    </row>
    <row r="6836" spans="1:40" x14ac:dyDescent="0.25">
      <c r="A6836" t="str">
        <f>"20190312173058024"</f>
        <v>20190312173058024</v>
      </c>
      <c r="B6836" t="str">
        <f>"1552383058014150"</f>
        <v>1552383058014150</v>
      </c>
      <c r="C6836" t="s">
        <v>40</v>
      </c>
      <c r="D6836">
        <v>3.21393</v>
      </c>
      <c r="E6836">
        <v>0.51698250000000001</v>
      </c>
      <c r="F6836" t="s">
        <v>41</v>
      </c>
      <c r="G6836">
        <v>-185.31979999999999</v>
      </c>
      <c r="H6836" s="1">
        <v>-1.509873E-6</v>
      </c>
      <c r="I6836">
        <v>10.425610000000001</v>
      </c>
      <c r="J6836">
        <v>-188.4974</v>
      </c>
      <c r="K6836">
        <v>1.1093550000000001</v>
      </c>
      <c r="L6836">
        <v>-24.469570000000001</v>
      </c>
      <c r="M6836">
        <v>4.2766560000000002E-2</v>
      </c>
      <c r="N6836">
        <v>0</v>
      </c>
      <c r="O6836">
        <v>0.99899459999999995</v>
      </c>
      <c r="P6836">
        <v>5.1756290000000003E-2</v>
      </c>
      <c r="Q6836">
        <v>0.17356930000000001</v>
      </c>
      <c r="R6836">
        <v>0.98346069999999997</v>
      </c>
      <c r="S6836">
        <v>0.27700809999999998</v>
      </c>
      <c r="T6836">
        <v>-9.634674E-2</v>
      </c>
      <c r="U6836">
        <v>3.0531009999999998</v>
      </c>
      <c r="V6836">
        <v>1.001521E-2</v>
      </c>
      <c r="W6836">
        <v>0.18677740000000001</v>
      </c>
      <c r="X6836">
        <v>0.98235119999999998</v>
      </c>
      <c r="Y6836">
        <v>4.7636150000000002E-2</v>
      </c>
      <c r="Z6836">
        <v>-3.1415709999999999E-2</v>
      </c>
      <c r="AA6836">
        <v>0.9983706</v>
      </c>
      <c r="AB6836">
        <v>27</v>
      </c>
      <c r="AC6836">
        <v>3.1776000000000102</v>
      </c>
      <c r="AD6836">
        <v>-1.1093565098729901</v>
      </c>
      <c r="AE6836">
        <v>34.895179999999897</v>
      </c>
      <c r="AF6836">
        <v>1.6805260223421199</v>
      </c>
      <c r="AG6836">
        <v>-1.1093565098729901</v>
      </c>
      <c r="AH6836">
        <v>34.964108931137098</v>
      </c>
      <c r="AI6836">
        <v>91.815201739108701</v>
      </c>
      <c r="AJ6836">
        <v>87.248235198029306</v>
      </c>
      <c r="AK6836">
        <v>35.022046669579197</v>
      </c>
      <c r="AL6836">
        <v>79.235223538233996</v>
      </c>
      <c r="AM6836">
        <v>89.415881627945595</v>
      </c>
      <c r="AN6836">
        <v>0.99999999086177205</v>
      </c>
    </row>
    <row r="6837" spans="1:40" x14ac:dyDescent="0.25">
      <c r="A6837" t="str">
        <f>"20190312173058046"</f>
        <v>20190312173058046</v>
      </c>
      <c r="B6837" t="str">
        <f>"1552383058034649"</f>
        <v>1552383058034649</v>
      </c>
      <c r="C6837" t="s">
        <v>40</v>
      </c>
      <c r="D6837">
        <v>3.2292700000000001</v>
      </c>
      <c r="E6837">
        <v>0.51723889999999995</v>
      </c>
      <c r="F6837" t="s">
        <v>41</v>
      </c>
      <c r="G6837">
        <v>-185.24289999999999</v>
      </c>
      <c r="H6837" s="1">
        <v>-1.4783910000000001E-6</v>
      </c>
      <c r="I6837">
        <v>10.272930000000001</v>
      </c>
      <c r="J6837">
        <v>-188.48509999999999</v>
      </c>
      <c r="K6837">
        <v>1.1093459999999999</v>
      </c>
      <c r="L6837">
        <v>-24.21237</v>
      </c>
      <c r="M6837">
        <v>4.383542E-2</v>
      </c>
      <c r="N6837">
        <v>0</v>
      </c>
      <c r="O6837">
        <v>0.99894919999999998</v>
      </c>
      <c r="P6837">
        <v>5.3088339999999998E-2</v>
      </c>
      <c r="Q6837">
        <v>0.17304949999999999</v>
      </c>
      <c r="R6837">
        <v>0.9834813</v>
      </c>
      <c r="S6837">
        <v>0.28594969999999997</v>
      </c>
      <c r="T6837">
        <v>-9.7472429999999999E-2</v>
      </c>
      <c r="U6837">
        <v>3.0526119999999999</v>
      </c>
      <c r="V6837">
        <v>1.029016E-2</v>
      </c>
      <c r="W6837">
        <v>0.18618480000000001</v>
      </c>
      <c r="X6837">
        <v>0.98246089999999997</v>
      </c>
      <c r="Y6837">
        <v>4.9480419999999997E-2</v>
      </c>
      <c r="Z6837">
        <v>-3.1779559999999998E-2</v>
      </c>
      <c r="AA6837">
        <v>0.99826939999999997</v>
      </c>
      <c r="AB6837">
        <v>27</v>
      </c>
      <c r="AC6837">
        <v>3.2421999999999902</v>
      </c>
      <c r="AD6837">
        <v>-1.109347478391</v>
      </c>
      <c r="AE6837">
        <v>34.485300000000002</v>
      </c>
      <c r="AF6837">
        <v>1.72550009595659</v>
      </c>
      <c r="AG6837">
        <v>-1.109347478391</v>
      </c>
      <c r="AH6837">
        <v>34.558832511764201</v>
      </c>
      <c r="AI6837">
        <v>91.836292146020597</v>
      </c>
      <c r="AJ6837">
        <v>87.141632554493995</v>
      </c>
      <c r="AK6837">
        <v>34.619660700029002</v>
      </c>
      <c r="AL6837">
        <v>79.269783817951406</v>
      </c>
      <c r="AM6837">
        <v>89.399913848473204</v>
      </c>
      <c r="AN6837">
        <v>1.0000000435863301</v>
      </c>
    </row>
    <row r="6838" spans="1:40" x14ac:dyDescent="0.25">
      <c r="A6838" t="str">
        <f>"20190312173058068"</f>
        <v>20190312173058068</v>
      </c>
      <c r="B6838" t="str">
        <f>"1552383058063926"</f>
        <v>1552383058063926</v>
      </c>
      <c r="C6838" t="s">
        <v>40</v>
      </c>
      <c r="D6838">
        <v>3.207484</v>
      </c>
      <c r="E6838">
        <v>0.51762180000000002</v>
      </c>
      <c r="F6838" t="s">
        <v>41</v>
      </c>
      <c r="G6838">
        <v>-185.22569999999999</v>
      </c>
      <c r="H6838" s="1">
        <v>-1.32381E-6</v>
      </c>
      <c r="I6838">
        <v>9.8052720000000004</v>
      </c>
      <c r="J6838">
        <v>-188.47239999999999</v>
      </c>
      <c r="K6838">
        <v>1.1093329999999999</v>
      </c>
      <c r="L6838">
        <v>-23.952300000000001</v>
      </c>
      <c r="M6838">
        <v>4.4918479999999997E-2</v>
      </c>
      <c r="N6838">
        <v>0</v>
      </c>
      <c r="O6838">
        <v>0.99890210000000002</v>
      </c>
      <c r="P6838">
        <v>5.452137E-2</v>
      </c>
      <c r="Q6838">
        <v>0.17281589999999999</v>
      </c>
      <c r="R6838">
        <v>0.98344399999999998</v>
      </c>
      <c r="S6838">
        <v>0.29243469999999999</v>
      </c>
      <c r="T6838">
        <v>-9.9532599999999999E-2</v>
      </c>
      <c r="U6838">
        <v>3.0521240000000001</v>
      </c>
      <c r="V6838">
        <v>1.065471E-2</v>
      </c>
      <c r="W6838">
        <v>0.1858756</v>
      </c>
      <c r="X6838">
        <v>0.98251549999999999</v>
      </c>
      <c r="Y6838">
        <v>5.0512519999999998E-2</v>
      </c>
      <c r="Z6838">
        <v>-3.2449289999999999E-2</v>
      </c>
      <c r="AA6838">
        <v>0.99819610000000003</v>
      </c>
      <c r="AB6838">
        <v>27</v>
      </c>
      <c r="AC6838">
        <v>3.2467000000000001</v>
      </c>
      <c r="AD6838">
        <v>-1.10933432381</v>
      </c>
      <c r="AE6838">
        <v>33.757571999999897</v>
      </c>
      <c r="AF6838">
        <v>1.7251035415465601</v>
      </c>
      <c r="AG6838">
        <v>-1.10933432381</v>
      </c>
      <c r="AH6838">
        <v>33.833141228420303</v>
      </c>
      <c r="AI6838">
        <v>91.875529023857695</v>
      </c>
      <c r="AJ6838">
        <v>87.081097850807396</v>
      </c>
      <c r="AK6838">
        <v>33.895251146042199</v>
      </c>
      <c r="AL6838">
        <v>79.2878137748462</v>
      </c>
      <c r="AM6838">
        <v>89.378690731736995</v>
      </c>
      <c r="AN6838">
        <v>0.99999998463039697</v>
      </c>
    </row>
    <row r="6839" spans="1:40" x14ac:dyDescent="0.25">
      <c r="A6839" t="str">
        <f>"20190312173058091"</f>
        <v>20190312173058091</v>
      </c>
      <c r="B6839" t="str">
        <f>"1552383058084422"</f>
        <v>1552383058084422</v>
      </c>
      <c r="C6839" t="s">
        <v>40</v>
      </c>
      <c r="D6839">
        <v>3.207239</v>
      </c>
      <c r="E6839">
        <v>0.51772029999999902</v>
      </c>
      <c r="F6839" t="s">
        <v>41</v>
      </c>
      <c r="G6839">
        <v>-185.23419999999999</v>
      </c>
      <c r="H6839" s="1">
        <v>-4.8497289999999997E-6</v>
      </c>
      <c r="I6839">
        <v>8.9670310000000004</v>
      </c>
      <c r="J6839">
        <v>-188.4589</v>
      </c>
      <c r="K6839">
        <v>1.1093150000000001</v>
      </c>
      <c r="L6839">
        <v>-23.680969999999999</v>
      </c>
      <c r="M6839">
        <v>4.6050510000000003E-2</v>
      </c>
      <c r="N6839">
        <v>0</v>
      </c>
      <c r="O6839">
        <v>0.99885170000000001</v>
      </c>
      <c r="P6839">
        <v>5.6173750000000001E-2</v>
      </c>
      <c r="Q6839">
        <v>0.17298949999999999</v>
      </c>
      <c r="R6839">
        <v>0.98332050000000004</v>
      </c>
      <c r="S6839">
        <v>0.3002167</v>
      </c>
      <c r="T6839">
        <v>-0.1028464</v>
      </c>
      <c r="U6839">
        <v>3.0519409999999998</v>
      </c>
      <c r="V6839">
        <v>1.1194580000000001E-2</v>
      </c>
      <c r="W6839">
        <v>0.1859674</v>
      </c>
      <c r="X6839">
        <v>0.98249209999999998</v>
      </c>
      <c r="Y6839">
        <v>5.190434E-2</v>
      </c>
      <c r="Z6839">
        <v>-3.352252E-2</v>
      </c>
      <c r="AA6839">
        <v>0.99808929999999996</v>
      </c>
      <c r="AB6839">
        <v>27</v>
      </c>
      <c r="AC6839">
        <v>3.2247000000000101</v>
      </c>
      <c r="AD6839">
        <v>-1.109319849729</v>
      </c>
      <c r="AE6839">
        <v>32.648001000000001</v>
      </c>
      <c r="AF6839">
        <v>1.71572826916798</v>
      </c>
      <c r="AG6839">
        <v>-1.109319849729</v>
      </c>
      <c r="AH6839">
        <v>32.7244552199477</v>
      </c>
      <c r="AI6839">
        <v>91.938853916543195</v>
      </c>
      <c r="AJ6839">
        <v>86.998756383087496</v>
      </c>
      <c r="AK6839">
        <v>32.788172920505801</v>
      </c>
      <c r="AL6839">
        <v>79.282460416745906</v>
      </c>
      <c r="AM6839">
        <v>89.3471963459466</v>
      </c>
      <c r="AN6839">
        <v>0.99999995952327203</v>
      </c>
    </row>
    <row r="6840" spans="1:40" x14ac:dyDescent="0.25">
      <c r="A6840" t="str">
        <f>"20190312173058113"</f>
        <v>20190312173058113</v>
      </c>
      <c r="B6840" t="str">
        <f>"1552383058103942"</f>
        <v>1552383058103942</v>
      </c>
      <c r="C6840" t="s">
        <v>40</v>
      </c>
      <c r="D6840">
        <v>3.2180689999999998</v>
      </c>
      <c r="E6840">
        <v>0.51777779999999995</v>
      </c>
      <c r="F6840" t="s">
        <v>41</v>
      </c>
      <c r="G6840">
        <v>-185.1696</v>
      </c>
      <c r="H6840" s="1">
        <v>-4.9437809999999997E-6</v>
      </c>
      <c r="I6840">
        <v>9.1595610000000001</v>
      </c>
      <c r="J6840">
        <v>-188.4453</v>
      </c>
      <c r="K6840">
        <v>1.109308</v>
      </c>
      <c r="L6840">
        <v>-23.412780000000001</v>
      </c>
      <c r="M6840">
        <v>4.717093E-2</v>
      </c>
      <c r="N6840">
        <v>0</v>
      </c>
      <c r="O6840">
        <v>0.99880049999999998</v>
      </c>
      <c r="P6840">
        <v>5.7868080000000002E-2</v>
      </c>
      <c r="Q6840">
        <v>0.17307110000000001</v>
      </c>
      <c r="R6840">
        <v>0.98320779999999997</v>
      </c>
      <c r="S6840">
        <v>0.3056488</v>
      </c>
      <c r="T6840">
        <v>-0.10307910000000001</v>
      </c>
      <c r="U6840">
        <v>3.0515750000000001</v>
      </c>
      <c r="V6840">
        <v>1.1786949999999999E-2</v>
      </c>
      <c r="W6840">
        <v>0.18596370000000001</v>
      </c>
      <c r="X6840">
        <v>0.98248590000000002</v>
      </c>
      <c r="Y6840">
        <v>5.2554950000000003E-2</v>
      </c>
      <c r="Z6840">
        <v>-3.3596149999999998E-2</v>
      </c>
      <c r="AA6840">
        <v>0.99805270000000001</v>
      </c>
      <c r="AB6840">
        <v>27</v>
      </c>
      <c r="AC6840">
        <v>3.2757000000000001</v>
      </c>
      <c r="AD6840">
        <v>-1.1093129437810001</v>
      </c>
      <c r="AE6840">
        <v>32.572340999999902</v>
      </c>
      <c r="AF6840">
        <v>1.7334623749109599</v>
      </c>
      <c r="AG6840">
        <v>-1.1093129437810001</v>
      </c>
      <c r="AH6840">
        <v>32.653113160430898</v>
      </c>
      <c r="AI6840">
        <v>91.943007506173899</v>
      </c>
      <c r="AJ6840">
        <v>86.961180025090997</v>
      </c>
      <c r="AK6840">
        <v>32.717904365658498</v>
      </c>
      <c r="AL6840">
        <v>79.282676470593003</v>
      </c>
      <c r="AM6840">
        <v>89.312651621229605</v>
      </c>
      <c r="AN6840">
        <v>0.99999998680340096</v>
      </c>
    </row>
    <row r="6841" spans="1:40" x14ac:dyDescent="0.25">
      <c r="A6841" t="str">
        <f>"20190312173058136"</f>
        <v>20190312173058136</v>
      </c>
      <c r="B6841" t="str">
        <f>"1552383058124438"</f>
        <v>1552383058124438</v>
      </c>
      <c r="C6841" t="s">
        <v>40</v>
      </c>
      <c r="D6841">
        <v>3.196625</v>
      </c>
      <c r="E6841">
        <v>0.51795159999999996</v>
      </c>
      <c r="F6841" t="s">
        <v>41</v>
      </c>
      <c r="G6841">
        <v>-185.1019</v>
      </c>
      <c r="H6841" s="1">
        <v>-5.067096E-6</v>
      </c>
      <c r="I6841">
        <v>9.4190269999999998</v>
      </c>
      <c r="J6841">
        <v>-188.4316</v>
      </c>
      <c r="K6841">
        <v>1.1092959999999901</v>
      </c>
      <c r="L6841">
        <v>-23.150880000000001</v>
      </c>
      <c r="M6841">
        <v>4.8262430000000002E-2</v>
      </c>
      <c r="N6841">
        <v>0</v>
      </c>
      <c r="O6841">
        <v>0.99874960000000002</v>
      </c>
      <c r="P6841">
        <v>5.931289E-2</v>
      </c>
      <c r="Q6841">
        <v>0.1739106</v>
      </c>
      <c r="R6841">
        <v>0.9829736</v>
      </c>
      <c r="S6841">
        <v>0.31069950000000002</v>
      </c>
      <c r="T6841">
        <v>-0.10308929999999999</v>
      </c>
      <c r="U6841">
        <v>3.0510860000000002</v>
      </c>
      <c r="V6841">
        <v>1.216533E-2</v>
      </c>
      <c r="W6841">
        <v>0.18671280000000001</v>
      </c>
      <c r="X6841">
        <v>0.98233919999999997</v>
      </c>
      <c r="Y6841">
        <v>5.3114950000000001E-2</v>
      </c>
      <c r="Z6841">
        <v>-3.3598910000000003E-2</v>
      </c>
      <c r="AA6841">
        <v>0.99802299999999999</v>
      </c>
      <c r="AB6841">
        <v>27</v>
      </c>
      <c r="AC6841">
        <v>3.3296999999999999</v>
      </c>
      <c r="AD6841">
        <v>-1.10930106709599</v>
      </c>
      <c r="AE6841">
        <v>32.569907000000001</v>
      </c>
      <c r="AF6841">
        <v>1.7517716686646501</v>
      </c>
      <c r="AG6841">
        <v>-1.10930106709599</v>
      </c>
      <c r="AH6841">
        <v>32.655170708475197</v>
      </c>
      <c r="AI6841">
        <v>91.9428068116096</v>
      </c>
      <c r="AJ6841">
        <v>86.929337426034095</v>
      </c>
      <c r="AK6841">
        <v>32.720932548389399</v>
      </c>
      <c r="AL6841">
        <v>79.238991053078095</v>
      </c>
      <c r="AM6841">
        <v>89.290482924992403</v>
      </c>
      <c r="AN6841">
        <v>0.99999998439724402</v>
      </c>
    </row>
    <row r="6842" spans="1:40" x14ac:dyDescent="0.25">
      <c r="A6842" t="str">
        <f>"20190312173058159"</f>
        <v>20190312173058159</v>
      </c>
      <c r="B6842" t="str">
        <f>"1552383058154694"</f>
        <v>1552383058154694</v>
      </c>
      <c r="C6842" t="s">
        <v>40</v>
      </c>
      <c r="D6842">
        <v>3.1631809999999998</v>
      </c>
      <c r="E6842">
        <v>0.51800930000000001</v>
      </c>
      <c r="F6842" t="s">
        <v>41</v>
      </c>
      <c r="G6842">
        <v>-184.96520000000001</v>
      </c>
      <c r="H6842" s="1">
        <v>-1.538968E-6</v>
      </c>
      <c r="I6842">
        <v>10.23381</v>
      </c>
      <c r="J6842">
        <v>-188.4171</v>
      </c>
      <c r="K6842">
        <v>1.1092949999999999</v>
      </c>
      <c r="L6842">
        <v>-22.876560000000001</v>
      </c>
      <c r="M6842">
        <v>4.9397110000000001E-2</v>
      </c>
      <c r="N6842">
        <v>0</v>
      </c>
      <c r="O6842">
        <v>0.99869540000000001</v>
      </c>
      <c r="P6842">
        <v>6.0706429999999999E-2</v>
      </c>
      <c r="Q6842">
        <v>0.1738912</v>
      </c>
      <c r="R6842">
        <v>0.98289199999999999</v>
      </c>
      <c r="S6842">
        <v>0.31677250000000001</v>
      </c>
      <c r="T6842">
        <v>-0.10137060000000001</v>
      </c>
      <c r="U6842">
        <v>3.0507810000000002</v>
      </c>
      <c r="V6842">
        <v>1.24393E-2</v>
      </c>
      <c r="W6842">
        <v>0.1865976</v>
      </c>
      <c r="X6842">
        <v>0.9823577</v>
      </c>
      <c r="Y6842">
        <v>5.395838E-2</v>
      </c>
      <c r="Z6842">
        <v>-3.3035790000000002E-2</v>
      </c>
      <c r="AA6842">
        <v>0.99799660000000001</v>
      </c>
      <c r="AB6842">
        <v>26</v>
      </c>
      <c r="AC6842">
        <v>3.45189999999999</v>
      </c>
      <c r="AD6842">
        <v>-1.1092965389680001</v>
      </c>
      <c r="AE6842">
        <v>33.110370000000003</v>
      </c>
      <c r="AF6842">
        <v>1.8099819823424199</v>
      </c>
      <c r="AG6842">
        <v>-1.1092965389680001</v>
      </c>
      <c r="AH6842">
        <v>33.203602150844503</v>
      </c>
      <c r="AI6842">
        <v>91.910643958496394</v>
      </c>
      <c r="AJ6842">
        <v>86.879802644081195</v>
      </c>
      <c r="AK6842">
        <v>33.271395663232099</v>
      </c>
      <c r="AL6842">
        <v>79.245710050930697</v>
      </c>
      <c r="AM6842">
        <v>89.274519556015505</v>
      </c>
      <c r="AN6842">
        <v>1.0000000256297601</v>
      </c>
    </row>
    <row r="6843" spans="1:40" x14ac:dyDescent="0.25">
      <c r="A6843" t="str">
        <f>"20190312173058182"</f>
        <v>20190312173058182</v>
      </c>
      <c r="B6843" t="str">
        <f>"1552383058174214"</f>
        <v>1552383058174214</v>
      </c>
      <c r="C6843" t="s">
        <v>40</v>
      </c>
      <c r="D6843">
        <v>3.1959040000000001</v>
      </c>
      <c r="E6843">
        <v>0.51807000000000003</v>
      </c>
      <c r="F6843" t="s">
        <v>41</v>
      </c>
      <c r="G6843">
        <v>-184.9556</v>
      </c>
      <c r="H6843" s="1">
        <v>-1.4488969999999999E-6</v>
      </c>
      <c r="I6843">
        <v>9.9616319999999998</v>
      </c>
      <c r="J6843">
        <v>-188.4023</v>
      </c>
      <c r="K6843">
        <v>1.1092919999999999</v>
      </c>
      <c r="L6843">
        <v>-22.603090000000002</v>
      </c>
      <c r="M6843">
        <v>5.0509909999999998E-2</v>
      </c>
      <c r="N6843">
        <v>0</v>
      </c>
      <c r="O6843">
        <v>0.998641</v>
      </c>
      <c r="P6843">
        <v>6.2243979999999997E-2</v>
      </c>
      <c r="Q6843">
        <v>0.1743825</v>
      </c>
      <c r="R6843">
        <v>0.98270880000000005</v>
      </c>
      <c r="S6843">
        <v>0.32156370000000001</v>
      </c>
      <c r="T6843">
        <v>-0.1030513</v>
      </c>
      <c r="U6843">
        <v>3.0505979999999999</v>
      </c>
      <c r="V6843">
        <v>1.2881739999999999E-2</v>
      </c>
      <c r="W6843">
        <v>0.18698770000000001</v>
      </c>
      <c r="X6843">
        <v>0.98227779999999998</v>
      </c>
      <c r="Y6843">
        <v>5.4400509999999999E-2</v>
      </c>
      <c r="Z6843">
        <v>-3.357897E-2</v>
      </c>
      <c r="AA6843">
        <v>0.99795440000000002</v>
      </c>
      <c r="AB6843">
        <v>26</v>
      </c>
      <c r="AC6843">
        <v>3.4466999999999901</v>
      </c>
      <c r="AD6843">
        <v>-1.1092934488970001</v>
      </c>
      <c r="AE6843">
        <v>32.564722000000003</v>
      </c>
      <c r="AF6843">
        <v>1.7952628556080299</v>
      </c>
      <c r="AG6843">
        <v>-1.1092934488970001</v>
      </c>
      <c r="AH6843">
        <v>32.659777355346002</v>
      </c>
      <c r="AI6843">
        <v>91.9423805027334</v>
      </c>
      <c r="AJ6843">
        <v>86.853696484142304</v>
      </c>
      <c r="AK6843">
        <v>32.727886543088403</v>
      </c>
      <c r="AL6843">
        <v>79.222958331694301</v>
      </c>
      <c r="AM6843">
        <v>89.248657530632997</v>
      </c>
      <c r="AN6843">
        <v>1.0000000077747699</v>
      </c>
    </row>
    <row r="6844" spans="1:40" x14ac:dyDescent="0.25">
      <c r="A6844" t="str">
        <f>"20190312173058202"</f>
        <v>20190312173058202</v>
      </c>
      <c r="B6844" t="str">
        <f>"1552383058194710"</f>
        <v>1552383058194710</v>
      </c>
      <c r="C6844" t="s">
        <v>40</v>
      </c>
      <c r="D6844">
        <v>3.196361</v>
      </c>
      <c r="E6844">
        <v>0.51802990000000004</v>
      </c>
      <c r="F6844" t="s">
        <v>41</v>
      </c>
      <c r="G6844">
        <v>-184.86009999999999</v>
      </c>
      <c r="H6844" s="1">
        <v>-1.6565369999999999E-6</v>
      </c>
      <c r="I6844">
        <v>10.49714</v>
      </c>
      <c r="J6844">
        <v>-188.38929999999999</v>
      </c>
      <c r="K6844">
        <v>1.1092949999999999</v>
      </c>
      <c r="L6844">
        <v>-22.368469999999999</v>
      </c>
      <c r="M6844">
        <v>5.1437690000000001E-2</v>
      </c>
      <c r="N6844">
        <v>0</v>
      </c>
      <c r="O6844">
        <v>0.99859489999999995</v>
      </c>
      <c r="P6844">
        <v>6.3194719999999996E-2</v>
      </c>
      <c r="Q6844">
        <v>0.17450170000000001</v>
      </c>
      <c r="R6844">
        <v>0.98262689999999997</v>
      </c>
      <c r="S6844">
        <v>0.32641599999999998</v>
      </c>
      <c r="T6844">
        <v>-0.102224</v>
      </c>
      <c r="U6844">
        <v>3.050262</v>
      </c>
      <c r="V6844">
        <v>1.2912079999999999E-2</v>
      </c>
      <c r="W6844">
        <v>0.1870145</v>
      </c>
      <c r="X6844">
        <v>0.98227229999999999</v>
      </c>
      <c r="Y6844">
        <v>5.5055119999999999E-2</v>
      </c>
      <c r="Z6844">
        <v>-3.3307570000000002E-2</v>
      </c>
      <c r="AA6844">
        <v>0.99792760000000003</v>
      </c>
      <c r="AB6844">
        <v>26</v>
      </c>
      <c r="AC6844">
        <v>3.5291999999999999</v>
      </c>
      <c r="AD6844">
        <v>-1.1092966565369999</v>
      </c>
      <c r="AE6844">
        <v>32.865609999999997</v>
      </c>
      <c r="AF6844">
        <v>1.83179591763421</v>
      </c>
      <c r="AG6844">
        <v>-1.1092966565369999</v>
      </c>
      <c r="AH6844">
        <v>32.966515895887902</v>
      </c>
      <c r="AI6844">
        <v>91.924263519950998</v>
      </c>
      <c r="AJ6844">
        <v>86.819610559195397</v>
      </c>
      <c r="AK6844">
        <v>33.035998330153397</v>
      </c>
      <c r="AL6844">
        <v>79.221395235722497</v>
      </c>
      <c r="AM6844">
        <v>89.246883902037297</v>
      </c>
      <c r="AN6844">
        <v>1.0000000081837299</v>
      </c>
    </row>
    <row r="6845" spans="1:40" x14ac:dyDescent="0.25">
      <c r="A6845" t="str">
        <f>"20190312173058225"</f>
        <v>20190312173058225</v>
      </c>
      <c r="B6845" t="str">
        <f>"1552383058214230"</f>
        <v>1552383058214230</v>
      </c>
      <c r="C6845" t="s">
        <v>40</v>
      </c>
      <c r="D6845">
        <v>3.1920600000000001</v>
      </c>
      <c r="E6845">
        <v>0.51795409999999997</v>
      </c>
      <c r="F6845" t="s">
        <v>41</v>
      </c>
      <c r="G6845">
        <v>-184.86590000000001</v>
      </c>
      <c r="H6845" s="1">
        <v>-1.6162099999999999E-6</v>
      </c>
      <c r="I6845">
        <v>10.38313</v>
      </c>
      <c r="J6845">
        <v>-188.37370000000001</v>
      </c>
      <c r="K6845">
        <v>1.109305</v>
      </c>
      <c r="L6845">
        <v>-22.08859</v>
      </c>
      <c r="M6845">
        <v>5.2498660000000003E-2</v>
      </c>
      <c r="N6845">
        <v>0</v>
      </c>
      <c r="O6845">
        <v>0.99854120000000002</v>
      </c>
      <c r="P6845">
        <v>6.4186149999999997E-2</v>
      </c>
      <c r="Q6845">
        <v>0.17421249999999999</v>
      </c>
      <c r="R6845">
        <v>0.98261390000000004</v>
      </c>
      <c r="S6845">
        <v>0.32815549999999999</v>
      </c>
      <c r="T6845">
        <v>-0.1033134</v>
      </c>
      <c r="U6845">
        <v>3.0502929999999999</v>
      </c>
      <c r="V6845">
        <v>1.2840870000000001E-2</v>
      </c>
      <c r="W6845">
        <v>0.1866083</v>
      </c>
      <c r="X6845">
        <v>0.98235050000000002</v>
      </c>
      <c r="Y6845">
        <v>5.4554600000000002E-2</v>
      </c>
      <c r="Z6845">
        <v>-3.3658470000000003E-2</v>
      </c>
      <c r="AA6845">
        <v>0.99794329999999998</v>
      </c>
      <c r="AB6845">
        <v>26</v>
      </c>
      <c r="AC6845">
        <v>3.5078</v>
      </c>
      <c r="AD6845">
        <v>-1.10930661621</v>
      </c>
      <c r="AE6845">
        <v>32.471719999999998</v>
      </c>
      <c r="AF6845">
        <v>1.7960324179703</v>
      </c>
      <c r="AG6845">
        <v>-1.10930661621</v>
      </c>
      <c r="AH6845">
        <v>32.573526950365199</v>
      </c>
      <c r="AI6845">
        <v>91.947524744267895</v>
      </c>
      <c r="AJ6845">
        <v>86.8440327572401</v>
      </c>
      <c r="AK6845">
        <v>32.641858887038602</v>
      </c>
      <c r="AL6845">
        <v>79.245086020793906</v>
      </c>
      <c r="AM6845">
        <v>89.251096470222905</v>
      </c>
      <c r="AN6845">
        <v>1.0000000252107399</v>
      </c>
    </row>
    <row r="6846" spans="1:40" x14ac:dyDescent="0.25">
      <c r="A6846" t="str">
        <f>"20190312173058246"</f>
        <v>20190312173058246</v>
      </c>
      <c r="B6846" t="str">
        <f>"1552383058234729"</f>
        <v>1552383058234729</v>
      </c>
      <c r="C6846" t="s">
        <v>40</v>
      </c>
      <c r="D6846">
        <v>3.1933669999999998</v>
      </c>
      <c r="E6846">
        <v>0.51778380000000002</v>
      </c>
      <c r="F6846" t="s">
        <v>41</v>
      </c>
      <c r="G6846">
        <v>-184.8683</v>
      </c>
      <c r="H6846" s="1">
        <v>-1.588465E-6</v>
      </c>
      <c r="I6846">
        <v>10.30354</v>
      </c>
      <c r="J6846">
        <v>-188.3596</v>
      </c>
      <c r="K6846">
        <v>1.1093280000000001</v>
      </c>
      <c r="L6846">
        <v>-21.840060000000001</v>
      </c>
      <c r="M6846">
        <v>5.3389930000000002E-2</v>
      </c>
      <c r="N6846">
        <v>0</v>
      </c>
      <c r="O6846">
        <v>0.99849520000000003</v>
      </c>
      <c r="P6846">
        <v>6.4453360000000001E-2</v>
      </c>
      <c r="Q6846">
        <v>0.17353729999999901</v>
      </c>
      <c r="R6846">
        <v>0.98271589999999998</v>
      </c>
      <c r="S6846">
        <v>0.33006289999999999</v>
      </c>
      <c r="T6846">
        <v>-0.1044525</v>
      </c>
      <c r="U6846">
        <v>3.050049</v>
      </c>
      <c r="V6846">
        <v>1.220513E-2</v>
      </c>
      <c r="W6846">
        <v>0.18583479999999999</v>
      </c>
      <c r="X6846">
        <v>0.98250519999999997</v>
      </c>
      <c r="Y6846">
        <v>5.4287439999999999E-2</v>
      </c>
      <c r="Z6846">
        <v>-3.4028540000000003E-2</v>
      </c>
      <c r="AA6846">
        <v>0.99794539999999998</v>
      </c>
      <c r="AB6846">
        <v>27</v>
      </c>
      <c r="AC6846">
        <v>3.4912999999999901</v>
      </c>
      <c r="AD6846">
        <v>-1.1093295884649901</v>
      </c>
      <c r="AE6846">
        <v>32.143599999999999</v>
      </c>
      <c r="AF6846">
        <v>1.76795937352205</v>
      </c>
      <c r="AG6846">
        <v>-1.1093295884649901</v>
      </c>
      <c r="AH6846">
        <v>32.246203359994297</v>
      </c>
      <c r="AI6846">
        <v>91.967352360973806</v>
      </c>
      <c r="AJ6846">
        <v>86.861791970906594</v>
      </c>
      <c r="AK6846">
        <v>32.313680131120599</v>
      </c>
      <c r="AL6846">
        <v>79.290193093421905</v>
      </c>
      <c r="AM6846">
        <v>89.288282169691897</v>
      </c>
      <c r="AN6846">
        <v>1.0000000030581899</v>
      </c>
    </row>
    <row r="6847" spans="1:40" x14ac:dyDescent="0.25">
      <c r="A6847" t="str">
        <f>"20190312173058268"</f>
        <v>20190312173058268</v>
      </c>
      <c r="B6847" t="str">
        <f>"1552383058264006"</f>
        <v>1552383058264006</v>
      </c>
      <c r="C6847" t="s">
        <v>40</v>
      </c>
      <c r="D6847">
        <v>3.0920230000000002</v>
      </c>
      <c r="E6847">
        <v>0.47722130000000001</v>
      </c>
      <c r="F6847" t="s">
        <v>41</v>
      </c>
      <c r="G6847">
        <v>-184.93299999999999</v>
      </c>
      <c r="H6847" s="1">
        <v>-1.425172E-6</v>
      </c>
      <c r="I6847">
        <v>9.8742059999999992</v>
      </c>
      <c r="J6847">
        <v>-188.34440000000001</v>
      </c>
      <c r="K6847">
        <v>1.109348</v>
      </c>
      <c r="L6847">
        <v>-21.575620000000001</v>
      </c>
      <c r="M6847">
        <v>5.428906E-2</v>
      </c>
      <c r="N6847">
        <v>0</v>
      </c>
      <c r="O6847">
        <v>0.998448</v>
      </c>
      <c r="P6847">
        <v>6.3755249999999999E-2</v>
      </c>
      <c r="Q6847">
        <v>0.1729793</v>
      </c>
      <c r="R6847">
        <v>0.98285979999999995</v>
      </c>
      <c r="S6847">
        <v>0.32954410000000001</v>
      </c>
      <c r="T6847">
        <v>-0.10668519999999899</v>
      </c>
      <c r="U6847">
        <v>3.0499879999999999</v>
      </c>
      <c r="V6847">
        <v>1.0594589999999999E-2</v>
      </c>
      <c r="W6847">
        <v>0.1851807</v>
      </c>
      <c r="X6847">
        <v>0.98264739999999995</v>
      </c>
      <c r="Y6847">
        <v>5.3219959999999997E-2</v>
      </c>
      <c r="Z6847">
        <v>-3.4754500000000001E-2</v>
      </c>
      <c r="AA6847">
        <v>0.99797789999999997</v>
      </c>
      <c r="AB6847">
        <v>27</v>
      </c>
      <c r="AC6847">
        <v>3.4114000000000102</v>
      </c>
      <c r="AD6847">
        <v>-1.109349425172</v>
      </c>
      <c r="AE6847">
        <v>31.449826000000002</v>
      </c>
      <c r="AF6847">
        <v>1.69676846213296</v>
      </c>
      <c r="AG6847">
        <v>-1.109349425172</v>
      </c>
      <c r="AH6847">
        <v>31.549855826639199</v>
      </c>
      <c r="AI6847">
        <v>92.010888954800507</v>
      </c>
      <c r="AJ6847">
        <v>86.921567392751797</v>
      </c>
      <c r="AK6847">
        <v>31.614918662602001</v>
      </c>
      <c r="AL6847">
        <v>79.328332487785502</v>
      </c>
      <c r="AM6847">
        <v>89.382279164256801</v>
      </c>
      <c r="AN6847">
        <v>1.0000000248582499</v>
      </c>
    </row>
    <row r="6848" spans="1:40" x14ac:dyDescent="0.25">
      <c r="A6848" t="str">
        <f>"20190312173058291"</f>
        <v>20190312173058291</v>
      </c>
      <c r="B6848" t="str">
        <f>"1552383058284254"</f>
        <v>1552383058284254</v>
      </c>
      <c r="C6848" t="s">
        <v>40</v>
      </c>
      <c r="D6848">
        <v>3.0017849999999999</v>
      </c>
      <c r="E6848">
        <v>0.4655784</v>
      </c>
      <c r="F6848" t="s">
        <v>41</v>
      </c>
      <c r="G6848">
        <v>-188.28219999999999</v>
      </c>
      <c r="H6848" s="1">
        <v>-4.5719030000000001E-6</v>
      </c>
      <c r="I6848">
        <v>19.579689999999999</v>
      </c>
      <c r="J6848">
        <v>-188.3288</v>
      </c>
      <c r="K6848">
        <v>1.1093710000000001</v>
      </c>
      <c r="L6848">
        <v>-21.306979999999999</v>
      </c>
      <c r="M6848">
        <v>5.5142289999999997E-2</v>
      </c>
      <c r="N6848">
        <v>0</v>
      </c>
      <c r="O6848">
        <v>0.99840249999999997</v>
      </c>
      <c r="P6848">
        <v>6.3181619999999994E-2</v>
      </c>
      <c r="Q6848">
        <v>0.17275090000000001</v>
      </c>
      <c r="R6848">
        <v>0.98293699999999995</v>
      </c>
      <c r="S6848">
        <v>4.6386719999999999E-3</v>
      </c>
      <c r="T6848">
        <v>-8.2659960000000005E-2</v>
      </c>
      <c r="U6848">
        <v>3.0665589999999998</v>
      </c>
      <c r="V6848">
        <v>9.1578140000000002E-3</v>
      </c>
      <c r="W6848">
        <v>0.18485789999999999</v>
      </c>
      <c r="X6848">
        <v>0.9827226</v>
      </c>
      <c r="Y6848">
        <v>-5.36366E-2</v>
      </c>
      <c r="Z6848">
        <v>-2.6864599999999898E-2</v>
      </c>
      <c r="AA6848">
        <v>0.99819910000000001</v>
      </c>
      <c r="AB6848">
        <v>27</v>
      </c>
      <c r="AC6848">
        <v>4.6600000000012097E-2</v>
      </c>
      <c r="AD6848">
        <v>-1.1093755719029901</v>
      </c>
      <c r="AE6848">
        <v>40.886670000000002</v>
      </c>
      <c r="AF6848">
        <v>-2.2066021513219898</v>
      </c>
      <c r="AG6848">
        <v>-1.1093755719029901</v>
      </c>
      <c r="AH6848">
        <v>40.796987013118802</v>
      </c>
      <c r="AI6848">
        <v>91.555364269087207</v>
      </c>
      <c r="AJ6848">
        <v>93.095961945380793</v>
      </c>
      <c r="AK6848">
        <v>40.871676703584598</v>
      </c>
      <c r="AL6848">
        <v>79.347152319887996</v>
      </c>
      <c r="AM6848">
        <v>89.466086458116393</v>
      </c>
      <c r="AN6848">
        <v>1.0000000086502101</v>
      </c>
    </row>
    <row r="6849" spans="1:40" x14ac:dyDescent="0.25">
      <c r="A6849" t="str">
        <f>"20190312173058314"</f>
        <v>20190312173058314</v>
      </c>
      <c r="B6849" t="str">
        <f>"1552383058304751"</f>
        <v>1552383058304751</v>
      </c>
      <c r="C6849" t="s">
        <v>40</v>
      </c>
      <c r="D6849">
        <v>2.989322</v>
      </c>
      <c r="E6849">
        <v>0.45988830000000003</v>
      </c>
      <c r="F6849" t="s">
        <v>41</v>
      </c>
      <c r="G6849">
        <v>-189.50489999999999</v>
      </c>
      <c r="H6849" s="1">
        <v>-3.9114880000000003E-6</v>
      </c>
      <c r="I6849">
        <v>18.545819999999999</v>
      </c>
      <c r="J6849">
        <v>-188.3124</v>
      </c>
      <c r="K6849">
        <v>1.109405</v>
      </c>
      <c r="L6849">
        <v>-21.027709999999999</v>
      </c>
      <c r="M6849">
        <v>5.5960309999999999E-2</v>
      </c>
      <c r="N6849">
        <v>0</v>
      </c>
      <c r="O6849">
        <v>0.99835819999999997</v>
      </c>
      <c r="P6849">
        <v>6.1839949999999998E-2</v>
      </c>
      <c r="Q6849">
        <v>0.17282939999999999</v>
      </c>
      <c r="R6849">
        <v>0.98300860000000001</v>
      </c>
      <c r="S6849">
        <v>-9.0682979999999996E-2</v>
      </c>
      <c r="T6849">
        <v>-8.5540770000000002E-2</v>
      </c>
      <c r="U6849">
        <v>3.072937</v>
      </c>
      <c r="V6849">
        <v>6.9888149999999998E-3</v>
      </c>
      <c r="W6849">
        <v>0.18484100000000001</v>
      </c>
      <c r="X6849">
        <v>0.98274360000000005</v>
      </c>
      <c r="Y6849">
        <v>-8.5379899999999995E-2</v>
      </c>
      <c r="Z6849">
        <v>-2.7703780000000001E-2</v>
      </c>
      <c r="AA6849">
        <v>0.99596320000000005</v>
      </c>
      <c r="AB6849">
        <v>27</v>
      </c>
      <c r="AC6849">
        <v>-1.1924999999999899</v>
      </c>
      <c r="AD6849">
        <v>-1.1094089114879999</v>
      </c>
      <c r="AE6849">
        <v>39.573529999999998</v>
      </c>
      <c r="AF6849">
        <v>-3.4026716873705101</v>
      </c>
      <c r="AG6849">
        <v>-1.1094089114879999</v>
      </c>
      <c r="AH6849">
        <v>39.413823441024498</v>
      </c>
      <c r="AI6849">
        <v>91.606347366978099</v>
      </c>
      <c r="AJ6849">
        <v>94.9342212615759</v>
      </c>
      <c r="AK6849">
        <v>39.575983133526499</v>
      </c>
      <c r="AL6849">
        <v>79.348137624167094</v>
      </c>
      <c r="AM6849">
        <v>89.592545956981397</v>
      </c>
      <c r="AN6849">
        <v>1.0000000110785301</v>
      </c>
    </row>
    <row r="6850" spans="1:40" x14ac:dyDescent="0.25">
      <c r="A6850" t="str">
        <f>"20190312173058335"</f>
        <v>20190312173058335</v>
      </c>
      <c r="B6850" t="str">
        <f>"1552383058324273"</f>
        <v>1552383058324273</v>
      </c>
      <c r="C6850" t="s">
        <v>40</v>
      </c>
      <c r="D6850">
        <v>2.9781939999999998</v>
      </c>
      <c r="E6850">
        <v>0.4565457</v>
      </c>
      <c r="F6850" t="s">
        <v>41</v>
      </c>
      <c r="G6850">
        <v>-190.11449999999999</v>
      </c>
      <c r="H6850" s="1">
        <v>-3.7473199999999998E-6</v>
      </c>
      <c r="I6850">
        <v>18.253209999999999</v>
      </c>
      <c r="J6850">
        <v>-188.29759999999999</v>
      </c>
      <c r="K6850">
        <v>1.1094349999999999</v>
      </c>
      <c r="L6850">
        <v>-20.777100000000001</v>
      </c>
      <c r="M6850">
        <v>5.6638300000000003E-2</v>
      </c>
      <c r="N6850">
        <v>0</v>
      </c>
      <c r="O6850">
        <v>0.99832109999999996</v>
      </c>
      <c r="P6850">
        <v>5.9106949999999998E-2</v>
      </c>
      <c r="Q6850">
        <v>0.17308999999999999</v>
      </c>
      <c r="R6850">
        <v>0.98313079999999997</v>
      </c>
      <c r="S6850">
        <v>-0.141113299999999</v>
      </c>
      <c r="T6850">
        <v>-8.6875800000000003E-2</v>
      </c>
      <c r="U6850">
        <v>3.0760190000000001</v>
      </c>
      <c r="V6850">
        <v>3.568047E-3</v>
      </c>
      <c r="W6850">
        <v>0.18501999999999999</v>
      </c>
      <c r="X6850">
        <v>0.9827283</v>
      </c>
      <c r="Y6850">
        <v>-0.1023183</v>
      </c>
      <c r="Z6850">
        <v>-2.807482E-2</v>
      </c>
      <c r="AA6850">
        <v>0.9943554</v>
      </c>
      <c r="AB6850">
        <v>27</v>
      </c>
      <c r="AC6850">
        <v>-1.8169</v>
      </c>
      <c r="AD6850">
        <v>-1.10943874732</v>
      </c>
      <c r="AE6850">
        <v>39.03031</v>
      </c>
      <c r="AF6850">
        <v>-4.0215137215538297</v>
      </c>
      <c r="AG6850">
        <v>-1.10943874732</v>
      </c>
      <c r="AH6850">
        <v>38.833425253356801</v>
      </c>
      <c r="AI6850">
        <v>91.627747564713403</v>
      </c>
      <c r="AJ6850">
        <v>95.912363937080499</v>
      </c>
      <c r="AK6850">
        <v>39.056860394234903</v>
      </c>
      <c r="AL6850">
        <v>79.337701788660297</v>
      </c>
      <c r="AM6850">
        <v>89.791973899701802</v>
      </c>
      <c r="AN6850">
        <v>1.0000000214901399</v>
      </c>
    </row>
    <row r="6851" spans="1:40" x14ac:dyDescent="0.25">
      <c r="A6851" t="str">
        <f>"20190312173058360"</f>
        <v>20190312173058360</v>
      </c>
      <c r="B6851" t="str">
        <f>"1552383058354527"</f>
        <v>1552383058354527</v>
      </c>
      <c r="C6851" t="s">
        <v>40</v>
      </c>
      <c r="D6851">
        <v>2.9746380000000001</v>
      </c>
      <c r="E6851">
        <v>0.4539144</v>
      </c>
      <c r="F6851" t="s">
        <v>41</v>
      </c>
      <c r="G6851">
        <v>-190.52359999999999</v>
      </c>
      <c r="H6851" s="1">
        <v>-3.7452390000000002E-6</v>
      </c>
      <c r="I6851">
        <v>17.994589999999999</v>
      </c>
      <c r="J6851">
        <v>-188.28049999999999</v>
      </c>
      <c r="K6851">
        <v>1.1094679999999999</v>
      </c>
      <c r="L6851">
        <v>-20.491029999999999</v>
      </c>
      <c r="M6851">
        <v>5.7361240000000001E-2</v>
      </c>
      <c r="N6851">
        <v>0</v>
      </c>
      <c r="O6851">
        <v>0.99828090000000003</v>
      </c>
      <c r="P6851">
        <v>5.5292010000000003E-2</v>
      </c>
      <c r="Q6851">
        <v>0.173591299999999</v>
      </c>
      <c r="R6851">
        <v>0.98326440000000004</v>
      </c>
      <c r="S6851">
        <v>-0.17669679999999999</v>
      </c>
      <c r="T6851">
        <v>-8.8064669999999998E-2</v>
      </c>
      <c r="U6851">
        <v>3.0776059999999998</v>
      </c>
      <c r="V6851">
        <v>-9.786656999999999E-4</v>
      </c>
      <c r="W6851">
        <v>0.1854314</v>
      </c>
      <c r="X6851">
        <v>0.98265670000000005</v>
      </c>
      <c r="Y6851">
        <v>-0.114472699999999</v>
      </c>
      <c r="Z6851">
        <v>-2.841488E-2</v>
      </c>
      <c r="AA6851">
        <v>0.99301989999999996</v>
      </c>
      <c r="AB6851">
        <v>27</v>
      </c>
      <c r="AC6851">
        <v>-2.2430999999999899</v>
      </c>
      <c r="AD6851">
        <v>-1.1094717452389999</v>
      </c>
      <c r="AE6851">
        <v>38.485619999999997</v>
      </c>
      <c r="AF6851">
        <v>-4.4434687391526602</v>
      </c>
      <c r="AG6851">
        <v>-1.1094717452389999</v>
      </c>
      <c r="AH6851">
        <v>38.2618769800115</v>
      </c>
      <c r="AI6851">
        <v>91.649846286772998</v>
      </c>
      <c r="AJ6851">
        <v>96.624260165033803</v>
      </c>
      <c r="AK6851">
        <v>38.535004502696502</v>
      </c>
      <c r="AL6851">
        <v>79.313714750124305</v>
      </c>
      <c r="AM6851">
        <v>90.057063057347094</v>
      </c>
      <c r="AN6851">
        <v>0.99999997597370005</v>
      </c>
    </row>
    <row r="6852" spans="1:40" x14ac:dyDescent="0.25">
      <c r="A6852" t="str">
        <f>"20190312173058385"</f>
        <v>20190312173058385</v>
      </c>
      <c r="B6852" t="str">
        <f>"1552383058374611"</f>
        <v>1552383058374611</v>
      </c>
      <c r="C6852" t="s">
        <v>40</v>
      </c>
      <c r="D6852">
        <v>2.9579710000000001</v>
      </c>
      <c r="E6852">
        <v>0.45278859999999899</v>
      </c>
      <c r="F6852" t="s">
        <v>41</v>
      </c>
      <c r="G6852">
        <v>-190.95590000000001</v>
      </c>
      <c r="H6852" s="1">
        <v>-4.1362380000000001E-6</v>
      </c>
      <c r="I6852">
        <v>18.643039999999999</v>
      </c>
      <c r="J6852">
        <v>-188.26310000000001</v>
      </c>
      <c r="K6852">
        <v>1.109494</v>
      </c>
      <c r="L6852">
        <v>-20.20233</v>
      </c>
      <c r="M6852">
        <v>5.805039E-2</v>
      </c>
      <c r="N6852">
        <v>0</v>
      </c>
      <c r="O6852">
        <v>0.99824230000000003</v>
      </c>
      <c r="P6852">
        <v>5.2966199999999901E-2</v>
      </c>
      <c r="Q6852">
        <v>0.17372509999999999</v>
      </c>
      <c r="R6852">
        <v>0.98336880000000004</v>
      </c>
      <c r="S6852">
        <v>-0.2104492</v>
      </c>
      <c r="T6852">
        <v>-8.7271689999999999E-2</v>
      </c>
      <c r="U6852">
        <v>3.0783079999999998</v>
      </c>
      <c r="V6852">
        <v>-4.0004120000000001E-3</v>
      </c>
      <c r="W6852">
        <v>0.1854769</v>
      </c>
      <c r="X6852">
        <v>0.98264050000000003</v>
      </c>
      <c r="Y6852">
        <v>-0.12598319999999999</v>
      </c>
      <c r="Z6852">
        <v>-2.8121719999999999E-2</v>
      </c>
      <c r="AA6852">
        <v>0.99163369999999995</v>
      </c>
      <c r="AB6852">
        <v>27</v>
      </c>
      <c r="AC6852">
        <v>-2.6928000000000001</v>
      </c>
      <c r="AD6852">
        <v>-1.1094981362379901</v>
      </c>
      <c r="AE6852">
        <v>38.845370000000003</v>
      </c>
      <c r="AF6852">
        <v>-4.9393976760174301</v>
      </c>
      <c r="AG6852">
        <v>-1.1094981362379901</v>
      </c>
      <c r="AH6852">
        <v>38.592192418270301</v>
      </c>
      <c r="AI6852">
        <v>91.633442073545993</v>
      </c>
      <c r="AJ6852">
        <v>97.293607707687499</v>
      </c>
      <c r="AK6852">
        <v>38.9228204420615</v>
      </c>
      <c r="AL6852">
        <v>79.311062224979494</v>
      </c>
      <c r="AM6852">
        <v>90.233254641607303</v>
      </c>
      <c r="AN6852">
        <v>1.0000000179850099</v>
      </c>
    </row>
    <row r="6853" spans="1:40" x14ac:dyDescent="0.25">
      <c r="A6853" t="str">
        <f>"20190312173058415"</f>
        <v>20190312173058415</v>
      </c>
      <c r="B6853" t="str">
        <f>"1552383058403891"</f>
        <v>1552383058403891</v>
      </c>
      <c r="C6853" t="s">
        <v>40</v>
      </c>
      <c r="D6853">
        <v>2.9890940000000001</v>
      </c>
      <c r="E6853">
        <v>0.45187759999999999</v>
      </c>
      <c r="F6853" t="s">
        <v>41</v>
      </c>
      <c r="G6853">
        <v>-191.10910000000001</v>
      </c>
      <c r="H6853" s="1">
        <v>-4.07130999999999E-6</v>
      </c>
      <c r="I6853">
        <v>18.391559999999998</v>
      </c>
      <c r="J6853">
        <v>-188.24029999999999</v>
      </c>
      <c r="K6853">
        <v>1.109504</v>
      </c>
      <c r="L6853">
        <v>-19.828399999999998</v>
      </c>
      <c r="M6853">
        <v>5.890662E-2</v>
      </c>
      <c r="N6853">
        <v>0</v>
      </c>
      <c r="O6853">
        <v>0.99819329999999995</v>
      </c>
      <c r="P6853">
        <v>4.6867300000000001E-2</v>
      </c>
      <c r="Q6853">
        <v>0.17395949999999999</v>
      </c>
      <c r="R6853">
        <v>0.98363690000000004</v>
      </c>
      <c r="S6853">
        <v>-0.22702030000000001</v>
      </c>
      <c r="T6853">
        <v>-8.8504079999999999E-2</v>
      </c>
      <c r="U6853">
        <v>3.0786129999999998</v>
      </c>
      <c r="V6853">
        <v>-1.095807E-2</v>
      </c>
      <c r="W6853">
        <v>0.1856141</v>
      </c>
      <c r="X6853">
        <v>0.98256160000000003</v>
      </c>
      <c r="Y6853">
        <v>-0.1321349</v>
      </c>
      <c r="Z6853">
        <v>-2.8496609999999999E-2</v>
      </c>
      <c r="AA6853">
        <v>0.99082199999999998</v>
      </c>
      <c r="AB6853">
        <v>27</v>
      </c>
      <c r="AC6853">
        <v>-2.8688000000000198</v>
      </c>
      <c r="AD6853">
        <v>-1.1095080713100001</v>
      </c>
      <c r="AE6853">
        <v>38.21996</v>
      </c>
      <c r="AF6853">
        <v>-5.1111009939069199</v>
      </c>
      <c r="AG6853">
        <v>-1.1095080713100001</v>
      </c>
      <c r="AH6853">
        <v>37.952774304738</v>
      </c>
      <c r="AI6853">
        <v>91.659530349533995</v>
      </c>
      <c r="AJ6853">
        <v>97.669879076501303</v>
      </c>
      <c r="AK6853">
        <v>38.311453104216803</v>
      </c>
      <c r="AL6853">
        <v>79.303061980967996</v>
      </c>
      <c r="AM6853">
        <v>90.638967708448206</v>
      </c>
      <c r="AN6853">
        <v>0.99999998560574699</v>
      </c>
    </row>
    <row r="6854" spans="1:40" x14ac:dyDescent="0.25">
      <c r="A6854" t="str">
        <f>"20190312173058438"</f>
        <v>20190312173058438</v>
      </c>
      <c r="B6854" t="str">
        <f>"1552383058434147"</f>
        <v>1552383058434147</v>
      </c>
      <c r="C6854" t="s">
        <v>40</v>
      </c>
      <c r="D6854">
        <v>2.9674200000000002</v>
      </c>
      <c r="E6854">
        <v>0.45122780000000001</v>
      </c>
      <c r="F6854" t="s">
        <v>41</v>
      </c>
      <c r="G6854">
        <v>-191.42339999999999</v>
      </c>
      <c r="H6854" s="1">
        <v>-4.2089210000000004E-6</v>
      </c>
      <c r="I6854">
        <v>18.612929999999999</v>
      </c>
      <c r="J6854">
        <v>-188.22450000000001</v>
      </c>
      <c r="K6854">
        <v>1.109499</v>
      </c>
      <c r="L6854">
        <v>-19.57077</v>
      </c>
      <c r="M6854">
        <v>5.9486780000000003E-2</v>
      </c>
      <c r="N6854">
        <v>0</v>
      </c>
      <c r="O6854">
        <v>0.99815960000000004</v>
      </c>
      <c r="P6854">
        <v>4.2796380000000002E-2</v>
      </c>
      <c r="Q6854">
        <v>0.17351649999999999</v>
      </c>
      <c r="R6854">
        <v>0.98390069999999996</v>
      </c>
      <c r="S6854">
        <v>-0.25485229999999998</v>
      </c>
      <c r="T6854">
        <v>-8.8831419999999994E-2</v>
      </c>
      <c r="U6854">
        <v>3.0777589999999999</v>
      </c>
      <c r="V6854">
        <v>-1.561279E-2</v>
      </c>
      <c r="W6854">
        <v>0.18511369999999999</v>
      </c>
      <c r="X6854">
        <v>0.9825931</v>
      </c>
      <c r="Y6854">
        <v>-0.14163010000000001</v>
      </c>
      <c r="Z6854">
        <v>-2.857937E-2</v>
      </c>
      <c r="AA6854">
        <v>0.98950700000000003</v>
      </c>
      <c r="AB6854">
        <v>27</v>
      </c>
      <c r="AC6854">
        <v>-3.1988999999999801</v>
      </c>
      <c r="AD6854">
        <v>-1.109503208921</v>
      </c>
      <c r="AE6854">
        <v>38.183700000000002</v>
      </c>
      <c r="AF6854">
        <v>-5.4602392072702601</v>
      </c>
      <c r="AG6854">
        <v>-1.109503208921</v>
      </c>
      <c r="AH6854">
        <v>37.8939941520198</v>
      </c>
      <c r="AI6854">
        <v>91.659957215269202</v>
      </c>
      <c r="AJ6854">
        <v>98.199453764980703</v>
      </c>
      <c r="AK6854">
        <v>38.301436035278499</v>
      </c>
      <c r="AL6854">
        <v>79.332238797288397</v>
      </c>
      <c r="AM6854">
        <v>90.910317507897801</v>
      </c>
      <c r="AN6854">
        <v>1.0000000206534401</v>
      </c>
    </row>
    <row r="6855" spans="1:40" x14ac:dyDescent="0.25">
      <c r="A6855" t="str">
        <f>"20190312173058459"</f>
        <v>20190312173058459</v>
      </c>
      <c r="B6855" t="str">
        <f>"1552383058454644"</f>
        <v>1552383058454644</v>
      </c>
      <c r="C6855" t="s">
        <v>40</v>
      </c>
      <c r="D6855">
        <v>2.9853339999999999</v>
      </c>
      <c r="E6855">
        <v>0.45100129999999999</v>
      </c>
      <c r="F6855" t="s">
        <v>41</v>
      </c>
      <c r="G6855">
        <v>-191.5479</v>
      </c>
      <c r="H6855" s="1">
        <v>-3.9557699999999999E-6</v>
      </c>
      <c r="I6855">
        <v>17.85003</v>
      </c>
      <c r="J6855">
        <v>-188.20820000000001</v>
      </c>
      <c r="K6855">
        <v>1.109494</v>
      </c>
      <c r="L6855">
        <v>-19.309080000000002</v>
      </c>
      <c r="M6855">
        <v>6.0074660000000002E-2</v>
      </c>
      <c r="N6855">
        <v>0</v>
      </c>
      <c r="O6855">
        <v>0.99812520000000005</v>
      </c>
      <c r="P6855">
        <v>3.9206440000000002E-2</v>
      </c>
      <c r="Q6855">
        <v>0.17300289999999999</v>
      </c>
      <c r="R6855">
        <v>0.98414069999999998</v>
      </c>
      <c r="S6855">
        <v>-0.2732849</v>
      </c>
      <c r="T6855">
        <v>-9.1232779999999999E-2</v>
      </c>
      <c r="U6855">
        <v>3.0770569999999999</v>
      </c>
      <c r="V6855">
        <v>-1.9791329999999999E-2</v>
      </c>
      <c r="W6855">
        <v>0.18454480000000001</v>
      </c>
      <c r="X6855">
        <v>0.98262479999999996</v>
      </c>
      <c r="Y6855">
        <v>-0.14811070000000001</v>
      </c>
      <c r="Z6855">
        <v>-2.9334849999999999E-2</v>
      </c>
      <c r="AA6855">
        <v>0.98853559999999996</v>
      </c>
      <c r="AB6855">
        <v>27</v>
      </c>
      <c r="AC6855">
        <v>-3.3396999999999899</v>
      </c>
      <c r="AD6855">
        <v>-1.10949795577</v>
      </c>
      <c r="AE6855">
        <v>37.159109999999998</v>
      </c>
      <c r="AF6855">
        <v>-5.5612231425382497</v>
      </c>
      <c r="AG6855">
        <v>-1.10949795577</v>
      </c>
      <c r="AH6855">
        <v>36.858745771731499</v>
      </c>
      <c r="AI6855">
        <v>91.704875014146197</v>
      </c>
      <c r="AJ6855">
        <v>98.580032911472301</v>
      </c>
      <c r="AK6855">
        <v>37.292429907691599</v>
      </c>
      <c r="AL6855">
        <v>79.365405469109703</v>
      </c>
      <c r="AM6855">
        <v>91.1538548374524</v>
      </c>
      <c r="AN6855">
        <v>0.99999998876262397</v>
      </c>
    </row>
    <row r="6856" spans="1:40" x14ac:dyDescent="0.25">
      <c r="A6856" t="str">
        <f>"20190312173058482"</f>
        <v>20190312173058482</v>
      </c>
      <c r="B6856" t="str">
        <f>"1552383058473989"</f>
        <v>1552383058473989</v>
      </c>
      <c r="C6856" t="s">
        <v>40</v>
      </c>
      <c r="D6856">
        <v>2.9903119999999999</v>
      </c>
      <c r="E6856">
        <v>0.4509399</v>
      </c>
      <c r="F6856" t="s">
        <v>41</v>
      </c>
      <c r="G6856">
        <v>-191.63040000000001</v>
      </c>
      <c r="H6856" s="1">
        <v>-3.7868319999999999E-6</v>
      </c>
      <c r="I6856">
        <v>17.405100000000001</v>
      </c>
      <c r="J6856">
        <v>-188.191</v>
      </c>
      <c r="K6856">
        <v>1.10948</v>
      </c>
      <c r="L6856">
        <v>-19.03491</v>
      </c>
      <c r="M6856">
        <v>6.0695060000000002E-2</v>
      </c>
      <c r="N6856">
        <v>0</v>
      </c>
      <c r="O6856">
        <v>0.99808839999999999</v>
      </c>
      <c r="P6856">
        <v>3.5632530000000003E-2</v>
      </c>
      <c r="Q6856">
        <v>0.17251279999999999</v>
      </c>
      <c r="R6856">
        <v>0.98436250000000003</v>
      </c>
      <c r="S6856">
        <v>-0.28672789999999998</v>
      </c>
      <c r="T6856">
        <v>-9.2959639999999996E-2</v>
      </c>
      <c r="U6856">
        <v>3.076111</v>
      </c>
      <c r="V6856">
        <v>-2.3982989999999999E-2</v>
      </c>
      <c r="W6856">
        <v>0.18399270000000001</v>
      </c>
      <c r="X6856">
        <v>0.98263500000000004</v>
      </c>
      <c r="Y6856">
        <v>-0.15303329999999901</v>
      </c>
      <c r="Z6856">
        <v>-2.9879849999999999E-2</v>
      </c>
      <c r="AA6856">
        <v>0.98776920000000001</v>
      </c>
      <c r="AB6856">
        <v>27</v>
      </c>
      <c r="AC6856">
        <v>-3.4394000000000302</v>
      </c>
      <c r="AD6856">
        <v>-1.109483786832</v>
      </c>
      <c r="AE6856">
        <v>36.440010000000001</v>
      </c>
      <c r="AF6856">
        <v>-5.6397547809953599</v>
      </c>
      <c r="AG6856">
        <v>-1.109483786832</v>
      </c>
      <c r="AH6856">
        <v>36.130851741537597</v>
      </c>
      <c r="AI6856">
        <v>91.737820237495697</v>
      </c>
      <c r="AJ6856">
        <v>98.8718496166357</v>
      </c>
      <c r="AK6856">
        <v>36.585191482784097</v>
      </c>
      <c r="AL6856">
        <v>79.397589932808003</v>
      </c>
      <c r="AM6856">
        <v>91.398129878069597</v>
      </c>
      <c r="AN6856">
        <v>1.00000002034381</v>
      </c>
    </row>
    <row r="6857" spans="1:40" x14ac:dyDescent="0.25">
      <c r="A6857" t="str">
        <f>"20190312173058504"</f>
        <v>20190312173058504</v>
      </c>
      <c r="B6857" t="str">
        <f>"1552383058494485"</f>
        <v>1552383058494485</v>
      </c>
      <c r="C6857" t="s">
        <v>40</v>
      </c>
      <c r="D6857">
        <v>3.2663519999999999</v>
      </c>
      <c r="E6857">
        <v>0.45145839999999998</v>
      </c>
      <c r="F6857" t="s">
        <v>41</v>
      </c>
      <c r="G6857">
        <v>-191.63730000000001</v>
      </c>
      <c r="H6857" s="1">
        <v>-3.3812100000000002E-6</v>
      </c>
      <c r="I6857">
        <v>16.455310000000001</v>
      </c>
      <c r="J6857">
        <v>-188.17490000000001</v>
      </c>
      <c r="K6857">
        <v>1.1094619999999999</v>
      </c>
      <c r="L6857">
        <v>-18.78107</v>
      </c>
      <c r="M6857">
        <v>6.1276669999999998E-2</v>
      </c>
      <c r="N6857">
        <v>0</v>
      </c>
      <c r="O6857">
        <v>0.99805359999999999</v>
      </c>
      <c r="P6857">
        <v>3.292196E-2</v>
      </c>
      <c r="Q6857">
        <v>0.1719328</v>
      </c>
      <c r="R6857">
        <v>0.98455839999999994</v>
      </c>
      <c r="S6857">
        <v>-0.2986298</v>
      </c>
      <c r="T6857">
        <v>-9.6139550000000004E-2</v>
      </c>
      <c r="U6857">
        <v>3.0753170000000001</v>
      </c>
      <c r="V6857">
        <v>-2.7274010000000001E-2</v>
      </c>
      <c r="W6857">
        <v>0.1833562</v>
      </c>
      <c r="X6857">
        <v>0.98266810000000004</v>
      </c>
      <c r="Y6857">
        <v>-0.15741659999999999</v>
      </c>
      <c r="Z6857">
        <v>-3.0890850000000001E-2</v>
      </c>
      <c r="AA6857">
        <v>0.98704899999999995</v>
      </c>
      <c r="AB6857">
        <v>27</v>
      </c>
      <c r="AC6857">
        <v>-3.4624000000000001</v>
      </c>
      <c r="AD6857">
        <v>-1.1094653812099999</v>
      </c>
      <c r="AE6857">
        <v>35.236379999999997</v>
      </c>
      <c r="AF6857">
        <v>-5.6096973353586401</v>
      </c>
      <c r="AG6857">
        <v>-1.1094653812099999</v>
      </c>
      <c r="AH6857">
        <v>34.923685077662697</v>
      </c>
      <c r="AI6857">
        <v>91.796562677337405</v>
      </c>
      <c r="AJ6857">
        <v>99.125318142835297</v>
      </c>
      <c r="AK6857">
        <v>35.388746756987501</v>
      </c>
      <c r="AL6857">
        <v>79.434689454875397</v>
      </c>
      <c r="AM6857">
        <v>91.589839520233298</v>
      </c>
      <c r="AN6857">
        <v>0.99999998122876499</v>
      </c>
    </row>
    <row r="6858" spans="1:40" x14ac:dyDescent="0.25">
      <c r="A6858" t="str">
        <f>"20190312173058526"</f>
        <v>20190312173058526</v>
      </c>
      <c r="B6858" t="str">
        <f>"1552383058514008"</f>
        <v>1552383058514008</v>
      </c>
      <c r="C6858" t="s">
        <v>40</v>
      </c>
      <c r="D6858">
        <v>3.10276</v>
      </c>
      <c r="E6858">
        <v>0.45185629999999999</v>
      </c>
      <c r="F6858" t="s">
        <v>41</v>
      </c>
      <c r="G6858">
        <v>-191.57249999999999</v>
      </c>
      <c r="H6858" s="1">
        <v>-3.0203090000000002E-6</v>
      </c>
      <c r="I6858">
        <v>15.654229999999901</v>
      </c>
      <c r="J6858">
        <v>-188.15809999999999</v>
      </c>
      <c r="K6858">
        <v>1.109448</v>
      </c>
      <c r="L6858">
        <v>-18.517399999999999</v>
      </c>
      <c r="M6858">
        <v>6.188739E-2</v>
      </c>
      <c r="N6858">
        <v>0</v>
      </c>
      <c r="O6858">
        <v>0.99801669999999998</v>
      </c>
      <c r="P6858">
        <v>3.1268879999999999E-2</v>
      </c>
      <c r="Q6858">
        <v>0.1708421</v>
      </c>
      <c r="R6858">
        <v>0.98480210000000001</v>
      </c>
      <c r="S6858">
        <v>-0.30334470000000002</v>
      </c>
      <c r="T6858">
        <v>-9.9056599999999995E-2</v>
      </c>
      <c r="U6858">
        <v>3.0744929999999999</v>
      </c>
      <c r="V6858">
        <v>-2.9542160000000001E-2</v>
      </c>
      <c r="W6858">
        <v>0.1822066</v>
      </c>
      <c r="X6858">
        <v>0.98281629999999998</v>
      </c>
      <c r="Y6858">
        <v>-0.159542299999999</v>
      </c>
      <c r="Z6858">
        <v>-3.1826E-2</v>
      </c>
      <c r="AA6858">
        <v>0.9866779</v>
      </c>
      <c r="AB6858">
        <v>27</v>
      </c>
      <c r="AC6858">
        <v>-3.4144000000000001</v>
      </c>
      <c r="AD6858">
        <v>-1.109451020309</v>
      </c>
      <c r="AE6858">
        <v>34.171629999999901</v>
      </c>
      <c r="AF6858">
        <v>-5.5170293802121497</v>
      </c>
      <c r="AG6858">
        <v>-1.109451020309</v>
      </c>
      <c r="AH6858">
        <v>33.859458006775299</v>
      </c>
      <c r="AI6858">
        <v>91.852292441914202</v>
      </c>
      <c r="AJ6858">
        <v>99.254395477429995</v>
      </c>
      <c r="AK6858">
        <v>34.323918646640202</v>
      </c>
      <c r="AL6858">
        <v>79.501684805634795</v>
      </c>
      <c r="AM6858">
        <v>91.721717050431707</v>
      </c>
      <c r="AN6858">
        <v>0.99999993192335501</v>
      </c>
    </row>
    <row r="6859" spans="1:40" x14ac:dyDescent="0.25">
      <c r="A6859" t="str">
        <f>"20190312173058549"</f>
        <v>20190312173058549</v>
      </c>
      <c r="B6859" t="str">
        <f>"1552383058544261"</f>
        <v>1552383058544261</v>
      </c>
      <c r="C6859" t="s">
        <v>40</v>
      </c>
      <c r="D6859">
        <v>3.1620710000000001</v>
      </c>
      <c r="E6859">
        <v>0.45239659999999898</v>
      </c>
      <c r="F6859" t="s">
        <v>41</v>
      </c>
      <c r="G6859">
        <v>-191.45590000000001</v>
      </c>
      <c r="H6859" s="1">
        <v>-2.583925E-6</v>
      </c>
      <c r="I6859">
        <v>14.709300000000001</v>
      </c>
      <c r="J6859">
        <v>-188.14070000000001</v>
      </c>
      <c r="K6859">
        <v>1.1094349999999999</v>
      </c>
      <c r="L6859">
        <v>-18.249389999999998</v>
      </c>
      <c r="M6859">
        <v>6.2512199999999907E-2</v>
      </c>
      <c r="N6859">
        <v>0</v>
      </c>
      <c r="O6859">
        <v>0.99797840000000004</v>
      </c>
      <c r="P6859">
        <v>3.0419439999999999E-2</v>
      </c>
      <c r="Q6859">
        <v>0.170066299999999</v>
      </c>
      <c r="R6859">
        <v>0.98496300000000003</v>
      </c>
      <c r="S6859">
        <v>-0.30508420000000003</v>
      </c>
      <c r="T6859">
        <v>-0.1026349</v>
      </c>
      <c r="U6859">
        <v>3.0737920000000001</v>
      </c>
      <c r="V6859">
        <v>-3.1016189999999999E-2</v>
      </c>
      <c r="W6859">
        <v>0.18137159999999999</v>
      </c>
      <c r="X6859">
        <v>0.98292539999999995</v>
      </c>
      <c r="Y6859">
        <v>-0.1607315</v>
      </c>
      <c r="Z6859">
        <v>-3.2975839999999999E-2</v>
      </c>
      <c r="AA6859">
        <v>0.98644719999999997</v>
      </c>
      <c r="AB6859">
        <v>27</v>
      </c>
      <c r="AC6859">
        <v>-3.3151999999999999</v>
      </c>
      <c r="AD6859">
        <v>-1.1094375839249999</v>
      </c>
      <c r="AE6859">
        <v>32.958689999999997</v>
      </c>
      <c r="AF6859">
        <v>-5.3631547235892496</v>
      </c>
      <c r="AG6859">
        <v>-1.1094375839249999</v>
      </c>
      <c r="AH6859">
        <v>32.650341520087302</v>
      </c>
      <c r="AI6859">
        <v>91.920409322047803</v>
      </c>
      <c r="AJ6859">
        <v>99.328121483664304</v>
      </c>
      <c r="AK6859">
        <v>33.1064809624961</v>
      </c>
      <c r="AL6859">
        <v>79.550338196013399</v>
      </c>
      <c r="AM6859">
        <v>91.807367382514798</v>
      </c>
      <c r="AN6859">
        <v>1.0000000016469099</v>
      </c>
    </row>
    <row r="6860" spans="1:40" x14ac:dyDescent="0.25">
      <c r="A6860" t="str">
        <f>"20190312173058573"</f>
        <v>20190312173058573</v>
      </c>
      <c r="B6860" t="str">
        <f>"1552383058564757"</f>
        <v>1552383058564757</v>
      </c>
      <c r="C6860" t="s">
        <v>40</v>
      </c>
      <c r="D6860">
        <v>3.3712680000000002</v>
      </c>
      <c r="E6860">
        <v>0.4526538</v>
      </c>
      <c r="F6860" t="s">
        <v>41</v>
      </c>
      <c r="G6860">
        <v>-191.3817</v>
      </c>
      <c r="H6860" s="1">
        <v>-2.5032680000000002E-6</v>
      </c>
      <c r="I6860">
        <v>14.56734</v>
      </c>
      <c r="J6860">
        <v>-188.1216</v>
      </c>
      <c r="K6860">
        <v>1.1094250000000001</v>
      </c>
      <c r="L6860">
        <v>-17.957179999999902</v>
      </c>
      <c r="M6860">
        <v>6.3194020000000004E-2</v>
      </c>
      <c r="N6860">
        <v>0</v>
      </c>
      <c r="O6860">
        <v>0.9979363</v>
      </c>
      <c r="P6860">
        <v>3.033185E-2</v>
      </c>
      <c r="Q6860">
        <v>0.1694242</v>
      </c>
      <c r="R6860">
        <v>0.98507639999999996</v>
      </c>
      <c r="S6860">
        <v>-0.30349730000000003</v>
      </c>
      <c r="T6860">
        <v>-0.1038932</v>
      </c>
      <c r="U6860">
        <v>3.0731199999999999</v>
      </c>
      <c r="V6860">
        <v>-3.1783890000000002E-2</v>
      </c>
      <c r="W6860">
        <v>0.1806634</v>
      </c>
      <c r="X6860">
        <v>0.98303130000000005</v>
      </c>
      <c r="Y6860">
        <v>-0.16092119999999999</v>
      </c>
      <c r="Z6860">
        <v>-3.3385039999999998E-2</v>
      </c>
      <c r="AA6860">
        <v>0.98640249999999996</v>
      </c>
      <c r="AB6860">
        <v>27</v>
      </c>
      <c r="AC6860">
        <v>-3.2600999999999898</v>
      </c>
      <c r="AD6860">
        <v>-1.1094275032680001</v>
      </c>
      <c r="AE6860">
        <v>32.524519999999903</v>
      </c>
      <c r="AF6860">
        <v>-5.3029627298495896</v>
      </c>
      <c r="AG6860">
        <v>-1.1094275032680001</v>
      </c>
      <c r="AH6860">
        <v>32.216359629885403</v>
      </c>
      <c r="AI6860">
        <v>91.946134225476499</v>
      </c>
      <c r="AJ6860">
        <v>99.347332386544906</v>
      </c>
      <c r="AK6860">
        <v>32.668732312431302</v>
      </c>
      <c r="AL6860">
        <v>79.591596732708396</v>
      </c>
      <c r="AM6860">
        <v>91.851872436942401</v>
      </c>
      <c r="AN6860">
        <v>1.00000000827139</v>
      </c>
    </row>
    <row r="6861" spans="1:40" x14ac:dyDescent="0.25">
      <c r="A6861" t="str">
        <f>"20190312173058595"</f>
        <v>20190312173058595</v>
      </c>
      <c r="B6861" t="str">
        <f>"1552383058584611"</f>
        <v>1552383058584611</v>
      </c>
      <c r="C6861" t="s">
        <v>40</v>
      </c>
      <c r="D6861">
        <v>3.0813000000000001</v>
      </c>
      <c r="E6861">
        <v>0.45292399999999999</v>
      </c>
      <c r="F6861" t="s">
        <v>41</v>
      </c>
      <c r="G6861">
        <v>-191.31100000000001</v>
      </c>
      <c r="H6861" s="1">
        <v>-2.4793210000000001E-6</v>
      </c>
      <c r="I6861">
        <v>14.55537</v>
      </c>
      <c r="J6861">
        <v>-188.10429999999999</v>
      </c>
      <c r="K6861">
        <v>1.109421</v>
      </c>
      <c r="L6861">
        <v>-17.693359999999998</v>
      </c>
      <c r="M6861">
        <v>6.3803970000000002E-2</v>
      </c>
      <c r="N6861">
        <v>0</v>
      </c>
      <c r="O6861">
        <v>0.99789819999999996</v>
      </c>
      <c r="P6861">
        <v>3.112844E-2</v>
      </c>
      <c r="Q6861">
        <v>0.1698875</v>
      </c>
      <c r="R6861">
        <v>0.98497170000000001</v>
      </c>
      <c r="S6861">
        <v>-0.30142210000000003</v>
      </c>
      <c r="T6861">
        <v>-0.10485170000000001</v>
      </c>
      <c r="U6861">
        <v>3.0727540000000002</v>
      </c>
      <c r="V6861">
        <v>-3.1584170000000002E-2</v>
      </c>
      <c r="W6861">
        <v>0.1810677</v>
      </c>
      <c r="X6861">
        <v>0.98296329999999998</v>
      </c>
      <c r="Y6861">
        <v>-0.16087509999999999</v>
      </c>
      <c r="Z6861">
        <v>-3.3695959999999997E-2</v>
      </c>
      <c r="AA6861">
        <v>0.98639940000000004</v>
      </c>
      <c r="AB6861">
        <v>27</v>
      </c>
      <c r="AC6861">
        <v>-3.2066999999999801</v>
      </c>
      <c r="AD6861">
        <v>-1.1094234793210001</v>
      </c>
      <c r="AE6861">
        <v>32.248730000000002</v>
      </c>
      <c r="AF6861">
        <v>-5.2517396984800904</v>
      </c>
      <c r="AG6861">
        <v>-1.1094234793210001</v>
      </c>
      <c r="AH6861">
        <v>31.940967756655301</v>
      </c>
      <c r="AI6861">
        <v>91.962951374652505</v>
      </c>
      <c r="AJ6861">
        <v>99.337041379323296</v>
      </c>
      <c r="AK6861">
        <v>32.3888408491066</v>
      </c>
      <c r="AL6861">
        <v>79.568043102602402</v>
      </c>
      <c r="AM6861">
        <v>91.840371095425496</v>
      </c>
      <c r="AN6861">
        <v>0.99999996046238304</v>
      </c>
    </row>
    <row r="6862" spans="1:40" x14ac:dyDescent="0.25">
      <c r="A6862" t="str">
        <f>"20190312173058615"</f>
        <v>20190312173058615</v>
      </c>
      <c r="B6862" t="str">
        <f>"1552383058604134"</f>
        <v>1552383058604134</v>
      </c>
      <c r="C6862" t="s">
        <v>40</v>
      </c>
      <c r="D6862">
        <v>3.1532279999999999</v>
      </c>
      <c r="E6862">
        <v>0.47431390000000001</v>
      </c>
      <c r="F6862" t="s">
        <v>41</v>
      </c>
      <c r="G6862">
        <v>-191.3219</v>
      </c>
      <c r="H6862" s="1">
        <v>-2.9226600000000002E-6</v>
      </c>
      <c r="I6862">
        <v>15.58203</v>
      </c>
      <c r="J6862">
        <v>-188.08750000000001</v>
      </c>
      <c r="K6862">
        <v>1.1094189999999999</v>
      </c>
      <c r="L6862">
        <v>-17.44144</v>
      </c>
      <c r="M6862">
        <v>6.4368830000000002E-2</v>
      </c>
      <c r="N6862">
        <v>0</v>
      </c>
      <c r="O6862">
        <v>0.99786249999999999</v>
      </c>
      <c r="P6862">
        <v>3.2332069999999997E-2</v>
      </c>
      <c r="Q6862">
        <v>0.1699898</v>
      </c>
      <c r="R6862">
        <v>0.98491530000000005</v>
      </c>
      <c r="S6862">
        <v>-0.29713440000000002</v>
      </c>
      <c r="T6862">
        <v>-0.10245070000000001</v>
      </c>
      <c r="U6862">
        <v>3.072845</v>
      </c>
      <c r="V6862">
        <v>-3.093986E-2</v>
      </c>
      <c r="W6862">
        <v>0.1811179</v>
      </c>
      <c r="X6862">
        <v>0.98297460000000003</v>
      </c>
      <c r="Y6862">
        <v>-0.16006979999999901</v>
      </c>
      <c r="Z6862">
        <v>-3.2926839999999999E-2</v>
      </c>
      <c r="AA6862">
        <v>0.9865564</v>
      </c>
      <c r="AB6862">
        <v>27</v>
      </c>
      <c r="AC6862">
        <v>-3.2343999999999902</v>
      </c>
      <c r="AD6862">
        <v>-1.1094219226599999</v>
      </c>
      <c r="AE6862">
        <v>33.023470000000003</v>
      </c>
      <c r="AF6862">
        <v>-5.3475307924699598</v>
      </c>
      <c r="AG6862">
        <v>-1.1094219226599999</v>
      </c>
      <c r="AH6862">
        <v>32.710202021022802</v>
      </c>
      <c r="AI6862">
        <v>91.917108415980493</v>
      </c>
      <c r="AJ6862">
        <v>99.284697288424795</v>
      </c>
      <c r="AK6862">
        <v>33.162994720546799</v>
      </c>
      <c r="AL6862">
        <v>79.565119089670901</v>
      </c>
      <c r="AM6862">
        <v>91.802832259073</v>
      </c>
      <c r="AN6862">
        <v>1.00000001644119</v>
      </c>
    </row>
    <row r="6863" spans="1:40" x14ac:dyDescent="0.25">
      <c r="A6863" t="str">
        <f>"20190312173058638"</f>
        <v>20190312173058638</v>
      </c>
      <c r="B6863" t="str">
        <f>"1552383058634387"</f>
        <v>1552383058634387</v>
      </c>
      <c r="C6863" t="s">
        <v>40</v>
      </c>
      <c r="D6863">
        <v>3.2246389999999998</v>
      </c>
      <c r="E6863">
        <v>0.47576810000000003</v>
      </c>
      <c r="F6863" t="s">
        <v>41</v>
      </c>
      <c r="G6863">
        <v>-189.6369</v>
      </c>
      <c r="H6863" s="1">
        <v>-6.6428399999999896E-7</v>
      </c>
      <c r="I6863">
        <v>21.031089999999999</v>
      </c>
      <c r="J6863">
        <v>-188.0703</v>
      </c>
      <c r="K6863">
        <v>1.1094280000000001</v>
      </c>
      <c r="L6863">
        <v>-17.18384</v>
      </c>
      <c r="M6863">
        <v>6.4909720000000004E-2</v>
      </c>
      <c r="N6863">
        <v>0</v>
      </c>
      <c r="O6863">
        <v>0.99782800000000005</v>
      </c>
      <c r="P6863">
        <v>3.4001759999999999E-2</v>
      </c>
      <c r="Q6863">
        <v>0.16957900000000001</v>
      </c>
      <c r="R6863">
        <v>0.98492990000000002</v>
      </c>
      <c r="S6863">
        <v>-0.1234436</v>
      </c>
      <c r="T6863">
        <v>-8.8391540000000005E-2</v>
      </c>
      <c r="U6863">
        <v>3.0652469999999998</v>
      </c>
      <c r="V6863">
        <v>-2.9817960000000001E-2</v>
      </c>
      <c r="W6863">
        <v>0.18065590000000001</v>
      </c>
      <c r="X6863">
        <v>0.98309429999999998</v>
      </c>
      <c r="Y6863">
        <v>-0.1049991</v>
      </c>
      <c r="Z6863">
        <v>-2.8642210000000001E-2</v>
      </c>
      <c r="AA6863">
        <v>0.99405969999999999</v>
      </c>
      <c r="AB6863">
        <v>27</v>
      </c>
      <c r="AC6863">
        <v>-1.56659999999999</v>
      </c>
      <c r="AD6863">
        <v>-1.1094286642839899</v>
      </c>
      <c r="AE6863">
        <v>38.214930000000003</v>
      </c>
      <c r="AF6863">
        <v>-4.0405728059209096</v>
      </c>
      <c r="AG6863">
        <v>-1.1094286642839899</v>
      </c>
      <c r="AH6863">
        <v>38.000662117036597</v>
      </c>
      <c r="AI6863">
        <v>91.662905706824603</v>
      </c>
      <c r="AJ6863">
        <v>96.069398848694604</v>
      </c>
      <c r="AK6863">
        <v>38.230974116470897</v>
      </c>
      <c r="AL6863">
        <v>79.592033908918907</v>
      </c>
      <c r="AM6863">
        <v>91.737289754411506</v>
      </c>
      <c r="AN6863">
        <v>1.00000003381793</v>
      </c>
    </row>
    <row r="6864" spans="1:40" x14ac:dyDescent="0.25">
      <c r="A6864" t="str">
        <f>"20190312173058659"</f>
        <v>20190312173058659</v>
      </c>
      <c r="B6864" t="str">
        <f>"1552383058653907"</f>
        <v>1552383058653907</v>
      </c>
      <c r="C6864" t="s">
        <v>40</v>
      </c>
      <c r="D6864">
        <v>3.2923819999999999</v>
      </c>
      <c r="E6864">
        <v>0.47572700000000001</v>
      </c>
      <c r="F6864" t="s">
        <v>41</v>
      </c>
      <c r="G6864">
        <v>-189.3674</v>
      </c>
      <c r="H6864" s="1">
        <v>-2.1120569999999999E-7</v>
      </c>
      <c r="I6864">
        <v>19.77411</v>
      </c>
      <c r="J6864">
        <v>-188.05240000000001</v>
      </c>
      <c r="K6864">
        <v>1.1094619999999999</v>
      </c>
      <c r="L6864">
        <v>-16.91751</v>
      </c>
      <c r="M6864">
        <v>6.5405050000000006E-2</v>
      </c>
      <c r="N6864">
        <v>0</v>
      </c>
      <c r="O6864">
        <v>0.99779620000000002</v>
      </c>
      <c r="P6864">
        <v>3.5824429999999997E-2</v>
      </c>
      <c r="Q6864">
        <v>0.16863829999999999</v>
      </c>
      <c r="R6864">
        <v>0.98502679999999998</v>
      </c>
      <c r="S6864">
        <v>-0.1075897</v>
      </c>
      <c r="T6864">
        <v>-9.2020989999999997E-2</v>
      </c>
      <c r="U6864">
        <v>3.0654599999999999</v>
      </c>
      <c r="V6864">
        <v>-2.851298E-2</v>
      </c>
      <c r="W6864">
        <v>0.1796616</v>
      </c>
      <c r="X6864">
        <v>0.98331519999999994</v>
      </c>
      <c r="Y6864">
        <v>-0.1003539</v>
      </c>
      <c r="Z6864">
        <v>-2.9823820000000001E-2</v>
      </c>
      <c r="AA6864">
        <v>0.99450470000000002</v>
      </c>
      <c r="AB6864">
        <v>27</v>
      </c>
      <c r="AC6864">
        <v>-1.31499999999999</v>
      </c>
      <c r="AD6864">
        <v>-1.1094622112057</v>
      </c>
      <c r="AE6864">
        <v>36.69162</v>
      </c>
      <c r="AF6864">
        <v>-3.7087645236092799</v>
      </c>
      <c r="AG6864">
        <v>-1.1094622112057</v>
      </c>
      <c r="AH6864">
        <v>36.493709375421197</v>
      </c>
      <c r="AI6864">
        <v>91.732421371722793</v>
      </c>
      <c r="AJ6864">
        <v>95.802903922795494</v>
      </c>
      <c r="AK6864">
        <v>36.698455889415598</v>
      </c>
      <c r="AL6864">
        <v>79.649950741211995</v>
      </c>
      <c r="AM6864">
        <v>91.660928026536197</v>
      </c>
      <c r="AN6864">
        <v>1.0000000315470301</v>
      </c>
    </row>
    <row r="6865" spans="1:40" x14ac:dyDescent="0.25">
      <c r="A6865" t="str">
        <f>"20190312173058682"</f>
        <v>20190312173058682</v>
      </c>
      <c r="B6865" t="str">
        <f>"1552383058673968"</f>
        <v>1552383058673968</v>
      </c>
      <c r="C6865" t="s">
        <v>40</v>
      </c>
      <c r="D6865">
        <v>3.3013270000000001</v>
      </c>
      <c r="E6865">
        <v>0.47584310000000002</v>
      </c>
      <c r="F6865" t="s">
        <v>41</v>
      </c>
      <c r="G6865">
        <v>-189.35310000000001</v>
      </c>
      <c r="H6865" s="1">
        <v>-1.179788E-6</v>
      </c>
      <c r="I6865">
        <v>22.115400000000001</v>
      </c>
      <c r="J6865">
        <v>-188.03450000000001</v>
      </c>
      <c r="K6865">
        <v>1.1095159999999999</v>
      </c>
      <c r="L6865">
        <v>-16.652799999999999</v>
      </c>
      <c r="M6865">
        <v>6.5802070000000004E-2</v>
      </c>
      <c r="N6865">
        <v>0</v>
      </c>
      <c r="O6865">
        <v>0.99777070000000001</v>
      </c>
      <c r="P6865">
        <v>3.6996319999999999E-2</v>
      </c>
      <c r="Q6865">
        <v>0.16741</v>
      </c>
      <c r="R6865">
        <v>0.98519299999999999</v>
      </c>
      <c r="S6865">
        <v>-0.1021118</v>
      </c>
      <c r="T6865">
        <v>-8.7097289999999994E-2</v>
      </c>
      <c r="U6865">
        <v>3.0642399999999999</v>
      </c>
      <c r="V6865">
        <v>-2.7776370000000002E-2</v>
      </c>
      <c r="W6865">
        <v>0.17838270000000001</v>
      </c>
      <c r="X6865">
        <v>0.98356900000000003</v>
      </c>
      <c r="Y6865">
        <v>-9.8989279999999999E-2</v>
      </c>
      <c r="Z6865">
        <v>-2.8242300000000001E-2</v>
      </c>
      <c r="AA6865">
        <v>0.99468760000000001</v>
      </c>
      <c r="AB6865">
        <v>27</v>
      </c>
      <c r="AC6865">
        <v>-1.3186</v>
      </c>
      <c r="AD6865">
        <v>-1.1095171797879999</v>
      </c>
      <c r="AE6865">
        <v>38.7682</v>
      </c>
      <c r="AF6865">
        <v>-3.86376645891619</v>
      </c>
      <c r="AG6865">
        <v>-1.1095171797879999</v>
      </c>
      <c r="AH6865">
        <v>38.565843790646603</v>
      </c>
      <c r="AI6865">
        <v>91.639708083803995</v>
      </c>
      <c r="AJ6865">
        <v>95.721157435358407</v>
      </c>
      <c r="AK6865">
        <v>38.774785968536897</v>
      </c>
      <c r="AL6865">
        <v>79.724428630502103</v>
      </c>
      <c r="AM6865">
        <v>91.617625095677397</v>
      </c>
      <c r="AN6865">
        <v>0.99999994607533205</v>
      </c>
    </row>
    <row r="6866" spans="1:40" x14ac:dyDescent="0.25">
      <c r="A6866" t="str">
        <f>"20190312173058705"</f>
        <v>20190312173058705</v>
      </c>
      <c r="B6866" t="str">
        <f>"1552383058694465"</f>
        <v>1552383058694465</v>
      </c>
      <c r="C6866" t="s">
        <v>40</v>
      </c>
      <c r="D6866">
        <v>3.1518570000000001</v>
      </c>
      <c r="E6866">
        <v>0.4762248</v>
      </c>
      <c r="F6866" t="s">
        <v>41</v>
      </c>
      <c r="G6866">
        <v>-189.3032</v>
      </c>
      <c r="H6866" s="1">
        <v>-1.5580989999999999E-6</v>
      </c>
      <c r="I6866">
        <v>22.97662</v>
      </c>
      <c r="J6866">
        <v>-188.0163</v>
      </c>
      <c r="K6866">
        <v>1.1095950000000001</v>
      </c>
      <c r="L6866">
        <v>-16.382079999999998</v>
      </c>
      <c r="M6866">
        <v>6.6074259999999996E-2</v>
      </c>
      <c r="N6866">
        <v>0</v>
      </c>
      <c r="O6866">
        <v>0.99775320000000001</v>
      </c>
      <c r="P6866">
        <v>3.8057779999999999E-2</v>
      </c>
      <c r="Q6866">
        <v>0.16597100000000001</v>
      </c>
      <c r="R6866">
        <v>0.98539600000000005</v>
      </c>
      <c r="S6866">
        <v>-9.8068240000000001E-2</v>
      </c>
      <c r="T6866">
        <v>-8.5765720000000004E-2</v>
      </c>
      <c r="U6866">
        <v>3.0633539999999999</v>
      </c>
      <c r="V6866">
        <v>-2.7040359999999999E-2</v>
      </c>
      <c r="W6866">
        <v>0.17689659999999999</v>
      </c>
      <c r="X6866">
        <v>0.98385789999999995</v>
      </c>
      <c r="Y6866">
        <v>-9.7959039999999997E-2</v>
      </c>
      <c r="Z6866">
        <v>-2.782016E-2</v>
      </c>
      <c r="AA6866">
        <v>0.99480150000000001</v>
      </c>
      <c r="AB6866">
        <v>27</v>
      </c>
      <c r="AC6866">
        <v>-1.2868999999999999</v>
      </c>
      <c r="AD6866">
        <v>-1.1095965580989999</v>
      </c>
      <c r="AE6866">
        <v>39.358699999999999</v>
      </c>
      <c r="AF6866">
        <v>-3.88176213339539</v>
      </c>
      <c r="AG6866">
        <v>-1.1095965580989999</v>
      </c>
      <c r="AH6866">
        <v>39.156555267058799</v>
      </c>
      <c r="AI6866">
        <v>91.615267865008207</v>
      </c>
      <c r="AJ6866">
        <v>95.661485510722301</v>
      </c>
      <c r="AK6866">
        <v>39.364134718855901</v>
      </c>
      <c r="AL6866">
        <v>79.810952330644994</v>
      </c>
      <c r="AM6866">
        <v>91.5743214370126</v>
      </c>
      <c r="AN6866">
        <v>0.999999977776449</v>
      </c>
    </row>
    <row r="6867" spans="1:40" x14ac:dyDescent="0.25">
      <c r="A6867" t="str">
        <f>"20190312173058727"</f>
        <v>20190312173058727</v>
      </c>
      <c r="B6867" t="str">
        <f>"1552383058724720"</f>
        <v>1552383058724720</v>
      </c>
      <c r="C6867" t="s">
        <v>40</v>
      </c>
      <c r="D6867">
        <v>3.2481010000000001</v>
      </c>
      <c r="E6867">
        <v>0.47653010000000001</v>
      </c>
      <c r="F6867" t="s">
        <v>41</v>
      </c>
      <c r="G6867">
        <v>-189.12819999999999</v>
      </c>
      <c r="H6867" s="1">
        <v>-5.0310050000000001E-7</v>
      </c>
      <c r="I6867">
        <v>20.44483</v>
      </c>
      <c r="J6867">
        <v>-187.9982</v>
      </c>
      <c r="K6867">
        <v>1.1096839999999999</v>
      </c>
      <c r="L6867">
        <v>-16.111999999999998</v>
      </c>
      <c r="M6867">
        <v>6.6204730000000003E-2</v>
      </c>
      <c r="N6867">
        <v>0</v>
      </c>
      <c r="O6867">
        <v>0.99774499999999999</v>
      </c>
      <c r="P6867">
        <v>3.8528560000000003E-2</v>
      </c>
      <c r="Q6867">
        <v>0.16487499999999999</v>
      </c>
      <c r="R6867">
        <v>0.98556169999999998</v>
      </c>
      <c r="S6867">
        <v>-9.2498780000000003E-2</v>
      </c>
      <c r="T6867">
        <v>-9.2306260000000001E-2</v>
      </c>
      <c r="U6867">
        <v>3.063599</v>
      </c>
      <c r="V6867">
        <v>-2.675456E-2</v>
      </c>
      <c r="W6867">
        <v>0.17575839999999901</v>
      </c>
      <c r="X6867">
        <v>0.98406970000000005</v>
      </c>
      <c r="Y6867">
        <v>-9.6277890000000005E-2</v>
      </c>
      <c r="Z6867">
        <v>-2.9940430000000001E-2</v>
      </c>
      <c r="AA6867">
        <v>0.99490409999999996</v>
      </c>
      <c r="AB6867">
        <v>27</v>
      </c>
      <c r="AC6867">
        <v>-1.1299999999999899</v>
      </c>
      <c r="AD6867">
        <v>-1.1096845031005</v>
      </c>
      <c r="AE6867">
        <v>36.556829999999998</v>
      </c>
      <c r="AF6867">
        <v>-3.5446400528693101</v>
      </c>
      <c r="AG6867">
        <v>-1.1096845031005</v>
      </c>
      <c r="AH6867">
        <v>36.368321980484197</v>
      </c>
      <c r="AI6867">
        <v>91.7394517831586</v>
      </c>
      <c r="AJ6867">
        <v>95.566753023409404</v>
      </c>
      <c r="AK6867">
        <v>36.557498772167101</v>
      </c>
      <c r="AL6867">
        <v>79.877204667561401</v>
      </c>
      <c r="AM6867">
        <v>91.557354973464996</v>
      </c>
      <c r="AN6867">
        <v>0.99999999805472095</v>
      </c>
    </row>
    <row r="6868" spans="1:40" x14ac:dyDescent="0.25">
      <c r="A6868" t="str">
        <f>"20190312173058749"</f>
        <v>20190312173058749</v>
      </c>
      <c r="B6868" t="str">
        <f>"1552383058744240"</f>
        <v>1552383058744240</v>
      </c>
      <c r="C6868" t="s">
        <v>40</v>
      </c>
      <c r="D6868">
        <v>3.1586669999999999</v>
      </c>
      <c r="E6868">
        <v>0.47689120000000002</v>
      </c>
      <c r="F6868" t="s">
        <v>41</v>
      </c>
      <c r="G6868">
        <v>-188.97739999999999</v>
      </c>
      <c r="H6868" s="1">
        <v>-3.462228E-6</v>
      </c>
      <c r="I6868">
        <v>17.280460000000001</v>
      </c>
      <c r="J6868">
        <v>-187.9811</v>
      </c>
      <c r="K6868">
        <v>1.1097589999999999</v>
      </c>
      <c r="L6868">
        <v>-15.854430000000001</v>
      </c>
      <c r="M6868">
        <v>6.6216839999999999E-2</v>
      </c>
      <c r="N6868">
        <v>0</v>
      </c>
      <c r="O6868">
        <v>0.99774459999999998</v>
      </c>
      <c r="P6868">
        <v>3.8878570000000001E-2</v>
      </c>
      <c r="Q6868">
        <v>0.16346749999999999</v>
      </c>
      <c r="R6868">
        <v>0.9857823</v>
      </c>
      <c r="S6868">
        <v>-8.9859010000000003E-2</v>
      </c>
      <c r="T6868">
        <v>-0.1018389</v>
      </c>
      <c r="U6868">
        <v>3.064514</v>
      </c>
      <c r="V6868">
        <v>-2.6470529999999999E-2</v>
      </c>
      <c r="W6868">
        <v>0.17431569999999999</v>
      </c>
      <c r="X6868">
        <v>0.98433400000000004</v>
      </c>
      <c r="Y6868">
        <v>-9.5421800000000001E-2</v>
      </c>
      <c r="Z6868">
        <v>-3.3021099999999998E-2</v>
      </c>
      <c r="AA6868">
        <v>0.99488909999999997</v>
      </c>
      <c r="AB6868">
        <v>27</v>
      </c>
      <c r="AC6868">
        <v>-0.99629999999998997</v>
      </c>
      <c r="AD6868">
        <v>-1.109762462228</v>
      </c>
      <c r="AE6868">
        <v>33.134889999999999</v>
      </c>
      <c r="AF6868">
        <v>-3.1847643992155201</v>
      </c>
      <c r="AG6868">
        <v>-1.109762462228</v>
      </c>
      <c r="AH6868">
        <v>32.959244740111401</v>
      </c>
      <c r="AI6868">
        <v>91.919529641998807</v>
      </c>
      <c r="AJ6868">
        <v>95.519204447956298</v>
      </c>
      <c r="AK6868">
        <v>33.131346348128403</v>
      </c>
      <c r="AL6868">
        <v>79.961161838361804</v>
      </c>
      <c r="AM6868">
        <v>91.540416373509004</v>
      </c>
      <c r="AN6868">
        <v>1.0000000378904801</v>
      </c>
    </row>
    <row r="6869" spans="1:40" x14ac:dyDescent="0.25">
      <c r="A6869" t="str">
        <f>"20190312173058774"</f>
        <v>20190312173058774</v>
      </c>
      <c r="B6869" t="str">
        <f>"1552383058764738"</f>
        <v>1552383058764738</v>
      </c>
      <c r="C6869" t="s">
        <v>40</v>
      </c>
      <c r="D6869">
        <v>3.1967729999999999</v>
      </c>
      <c r="E6869">
        <v>0.47695219999999999</v>
      </c>
      <c r="F6869" t="s">
        <v>41</v>
      </c>
      <c r="G6869">
        <v>-188.90219999999999</v>
      </c>
      <c r="H6869" s="1">
        <v>-3.223151E-6</v>
      </c>
      <c r="I6869">
        <v>16.692079999999901</v>
      </c>
      <c r="J6869">
        <v>-187.9614</v>
      </c>
      <c r="K6869">
        <v>1.109853</v>
      </c>
      <c r="L6869">
        <v>-15.5564</v>
      </c>
      <c r="M6869">
        <v>6.6063090000000005E-2</v>
      </c>
      <c r="N6869">
        <v>0</v>
      </c>
      <c r="O6869">
        <v>0.99775510000000001</v>
      </c>
      <c r="P6869">
        <v>3.833698E-2</v>
      </c>
      <c r="Q6869">
        <v>0.16270899999999999</v>
      </c>
      <c r="R6869">
        <v>0.98592900000000006</v>
      </c>
      <c r="S6869">
        <v>-8.6715699999999896E-2</v>
      </c>
      <c r="T6869">
        <v>-0.10447629999999999</v>
      </c>
      <c r="U6869">
        <v>3.0640260000000001</v>
      </c>
      <c r="V6869">
        <v>-2.6911830000000001E-2</v>
      </c>
      <c r="W6869">
        <v>0.173517</v>
      </c>
      <c r="X6869">
        <v>0.98446310000000004</v>
      </c>
      <c r="Y6869">
        <v>-9.4252349999999999E-2</v>
      </c>
      <c r="Z6869">
        <v>-3.38836E-2</v>
      </c>
      <c r="AA6869">
        <v>0.99497159999999996</v>
      </c>
      <c r="AB6869">
        <v>27</v>
      </c>
      <c r="AC6869">
        <v>-0.94079999999999597</v>
      </c>
      <c r="AD6869">
        <v>-1.1098562231510001</v>
      </c>
      <c r="AE6869">
        <v>32.248480000000001</v>
      </c>
      <c r="AF6869">
        <v>-3.06567901560115</v>
      </c>
      <c r="AG6869">
        <v>-1.1098562231510001</v>
      </c>
      <c r="AH6869">
        <v>32.077904915527299</v>
      </c>
      <c r="AI6869">
        <v>91.972592556476499</v>
      </c>
      <c r="AJ6869">
        <v>95.45916599297</v>
      </c>
      <c r="AK6869">
        <v>32.243172183151898</v>
      </c>
      <c r="AL6869">
        <v>80.007631737667694</v>
      </c>
      <c r="AM6869">
        <v>91.565879270454701</v>
      </c>
      <c r="AN6869">
        <v>0.99999999557227903</v>
      </c>
    </row>
    <row r="6870" spans="1:40" x14ac:dyDescent="0.25">
      <c r="A6870" t="str">
        <f>"20190312173058796"</f>
        <v>20190312173058796</v>
      </c>
      <c r="B6870" t="str">
        <f>"1552383058784764"</f>
        <v>1552383058784764</v>
      </c>
      <c r="C6870" t="s">
        <v>40</v>
      </c>
      <c r="D6870">
        <v>3.1466440000000002</v>
      </c>
      <c r="E6870">
        <v>0.47703790000000001</v>
      </c>
      <c r="F6870" t="s">
        <v>41</v>
      </c>
      <c r="G6870">
        <v>-188.8912</v>
      </c>
      <c r="H6870" s="1">
        <v>-3.1622080000000002E-6</v>
      </c>
      <c r="I6870">
        <v>16.545490000000001</v>
      </c>
      <c r="J6870">
        <v>-187.94329999999999</v>
      </c>
      <c r="K6870">
        <v>1.1099509999999999</v>
      </c>
      <c r="L6870">
        <v>-15.27957</v>
      </c>
      <c r="M6870">
        <v>6.5742380000000003E-2</v>
      </c>
      <c r="N6870">
        <v>0</v>
      </c>
      <c r="O6870">
        <v>0.99777669999999996</v>
      </c>
      <c r="P6870">
        <v>3.7754129999999997E-2</v>
      </c>
      <c r="Q6870">
        <v>0.16254479999999999</v>
      </c>
      <c r="R6870">
        <v>0.98597860000000004</v>
      </c>
      <c r="S6870">
        <v>-8.8745119999999997E-2</v>
      </c>
      <c r="T6870">
        <v>-0.1059228</v>
      </c>
      <c r="U6870">
        <v>3.0637509999999999</v>
      </c>
      <c r="V6870">
        <v>-2.7224990000000001E-2</v>
      </c>
      <c r="W6870">
        <v>0.17331269999999999</v>
      </c>
      <c r="X6870">
        <v>0.98449050000000005</v>
      </c>
      <c r="Y6870">
        <v>-9.4592919999999997E-2</v>
      </c>
      <c r="Z6870">
        <v>-3.4355459999999997E-2</v>
      </c>
      <c r="AA6870">
        <v>0.99492309999999995</v>
      </c>
      <c r="AB6870">
        <v>27</v>
      </c>
      <c r="AC6870">
        <v>-0.94790000000000396</v>
      </c>
      <c r="AD6870">
        <v>-1.109954162208</v>
      </c>
      <c r="AE6870">
        <v>31.825059999999901</v>
      </c>
      <c r="AF6870">
        <v>-3.0345415041016102</v>
      </c>
      <c r="AG6870">
        <v>-1.109954162208</v>
      </c>
      <c r="AH6870">
        <v>31.655410347920999</v>
      </c>
      <c r="AI6870">
        <v>91.999019846143497</v>
      </c>
      <c r="AJ6870">
        <v>95.475738792441703</v>
      </c>
      <c r="AK6870">
        <v>31.819890708133801</v>
      </c>
      <c r="AL6870">
        <v>80.019517575354897</v>
      </c>
      <c r="AM6870">
        <v>91.5840473569571</v>
      </c>
      <c r="AN6870">
        <v>1.00000001832601</v>
      </c>
    </row>
    <row r="6871" spans="1:40" x14ac:dyDescent="0.25">
      <c r="A6871" t="str">
        <f>"20190312173058817"</f>
        <v>20190312173058817</v>
      </c>
      <c r="B6871" t="str">
        <f>"1552383058814042"</f>
        <v>1552383058814042</v>
      </c>
      <c r="C6871" t="s">
        <v>40</v>
      </c>
      <c r="D6871">
        <v>3.1516510000000002</v>
      </c>
      <c r="E6871">
        <v>0.47718670000000002</v>
      </c>
      <c r="F6871" t="s">
        <v>41</v>
      </c>
      <c r="G6871">
        <v>-188.89230000000001</v>
      </c>
      <c r="H6871" s="1">
        <v>-3.3005840000000002E-6</v>
      </c>
      <c r="I6871">
        <v>16.868500000000001</v>
      </c>
      <c r="J6871">
        <v>-187.9271</v>
      </c>
      <c r="K6871">
        <v>1.1100490000000001</v>
      </c>
      <c r="L6871">
        <v>-15.028589999999999</v>
      </c>
      <c r="M6871">
        <v>6.5295759999999994E-2</v>
      </c>
      <c r="N6871">
        <v>0</v>
      </c>
      <c r="O6871">
        <v>0.99780630000000003</v>
      </c>
      <c r="P6871">
        <v>3.7265E-2</v>
      </c>
      <c r="Q6871">
        <v>0.16179250000000001</v>
      </c>
      <c r="R6871">
        <v>0.98612089999999997</v>
      </c>
      <c r="S6871">
        <v>-9.0438840000000006E-2</v>
      </c>
      <c r="T6871">
        <v>-0.1057737</v>
      </c>
      <c r="U6871">
        <v>3.0635680000000001</v>
      </c>
      <c r="V6871">
        <v>-2.7326940000000001E-2</v>
      </c>
      <c r="W6871">
        <v>0.1725246</v>
      </c>
      <c r="X6871">
        <v>0.98462609999999995</v>
      </c>
      <c r="Y6871">
        <v>-9.4698630000000006E-2</v>
      </c>
      <c r="Z6871">
        <v>-3.4310260000000002E-2</v>
      </c>
      <c r="AA6871">
        <v>0.99491450000000003</v>
      </c>
      <c r="AB6871">
        <v>27</v>
      </c>
      <c r="AC6871">
        <v>-0.96520000000000905</v>
      </c>
      <c r="AD6871">
        <v>-1.110052300584</v>
      </c>
      <c r="AE6871">
        <v>31.897089999999999</v>
      </c>
      <c r="AF6871">
        <v>-3.0423274629521599</v>
      </c>
      <c r="AG6871">
        <v>-1.110052300584</v>
      </c>
      <c r="AH6871">
        <v>31.727594277769601</v>
      </c>
      <c r="AI6871">
        <v>91.994646555681101</v>
      </c>
      <c r="AJ6871">
        <v>95.4772889369914</v>
      </c>
      <c r="AK6871">
        <v>31.892447556696201</v>
      </c>
      <c r="AL6871">
        <v>80.0653630873054</v>
      </c>
      <c r="AM6871">
        <v>91.589757278897906</v>
      </c>
      <c r="AN6871">
        <v>1.0000000280280601</v>
      </c>
    </row>
    <row r="6872" spans="1:40" x14ac:dyDescent="0.25">
      <c r="A6872" t="str">
        <f>"20190312173058839"</f>
        <v>20190312173058839</v>
      </c>
      <c r="B6872" t="str">
        <f>"1552383058834538"</f>
        <v>1552383058834538</v>
      </c>
      <c r="C6872" t="s">
        <v>40</v>
      </c>
      <c r="D6872">
        <v>3.1034320000000002</v>
      </c>
      <c r="E6872">
        <v>0.47720000000000001</v>
      </c>
      <c r="F6872" t="s">
        <v>41</v>
      </c>
      <c r="G6872">
        <v>-188.8801</v>
      </c>
      <c r="H6872" s="1">
        <v>-3.3448090000000002E-6</v>
      </c>
      <c r="I6872">
        <v>16.966529999999999</v>
      </c>
      <c r="J6872">
        <v>-187.91079999999999</v>
      </c>
      <c r="K6872">
        <v>1.1101700000000001</v>
      </c>
      <c r="L6872">
        <v>-14.77106</v>
      </c>
      <c r="M6872">
        <v>6.4688309999999999E-2</v>
      </c>
      <c r="N6872">
        <v>0</v>
      </c>
      <c r="O6872">
        <v>0.99784620000000002</v>
      </c>
      <c r="P6872">
        <v>3.6481720000000002E-2</v>
      </c>
      <c r="Q6872">
        <v>0.1609188</v>
      </c>
      <c r="R6872">
        <v>0.98629319999999998</v>
      </c>
      <c r="S6872">
        <v>-9.1232300000000002E-2</v>
      </c>
      <c r="T6872">
        <v>-0.1062728</v>
      </c>
      <c r="U6872">
        <v>3.06311</v>
      </c>
      <c r="V6872">
        <v>-2.7570359999999999E-2</v>
      </c>
      <c r="W6872">
        <v>0.17161799999999999</v>
      </c>
      <c r="X6872">
        <v>0.98477769999999998</v>
      </c>
      <c r="Y6872">
        <v>-9.4354270000000004E-2</v>
      </c>
      <c r="Z6872">
        <v>-3.4479599999999999E-2</v>
      </c>
      <c r="AA6872">
        <v>0.99494139999999998</v>
      </c>
      <c r="AB6872">
        <v>27</v>
      </c>
      <c r="AC6872">
        <v>-0.96930000000000405</v>
      </c>
      <c r="AD6872">
        <v>-1.1101733448090001</v>
      </c>
      <c r="AE6872">
        <v>31.737590000000001</v>
      </c>
      <c r="AF6872">
        <v>-3.0167543612953001</v>
      </c>
      <c r="AG6872">
        <v>-1.1101733448090001</v>
      </c>
      <c r="AH6872">
        <v>31.569809905732399</v>
      </c>
      <c r="AI6872">
        <v>92.004888857168993</v>
      </c>
      <c r="AJ6872">
        <v>95.458507547367304</v>
      </c>
      <c r="AK6872">
        <v>31.7330456971277</v>
      </c>
      <c r="AL6872">
        <v>80.118093574683598</v>
      </c>
      <c r="AM6872">
        <v>91.603664202304998</v>
      </c>
      <c r="AN6872">
        <v>0.99999999054590905</v>
      </c>
    </row>
    <row r="6873" spans="1:40" x14ac:dyDescent="0.25">
      <c r="A6873" t="str">
        <f>"20190312173058861"</f>
        <v>20190312173058861</v>
      </c>
      <c r="B6873" t="str">
        <f>"1552383058854057"</f>
        <v>1552383058854057</v>
      </c>
      <c r="C6873" t="s">
        <v>40</v>
      </c>
      <c r="D6873">
        <v>3.3735409999999999</v>
      </c>
      <c r="E6873">
        <v>0.47722150000000002</v>
      </c>
      <c r="F6873" t="s">
        <v>41</v>
      </c>
      <c r="G6873">
        <v>-188.8683</v>
      </c>
      <c r="H6873" s="1">
        <v>-3.1514559999999999E-6</v>
      </c>
      <c r="I6873">
        <v>16.510960000000001</v>
      </c>
      <c r="J6873">
        <v>-187.89359999999999</v>
      </c>
      <c r="K6873">
        <v>1.1102879999999999</v>
      </c>
      <c r="L6873">
        <v>-14.49231</v>
      </c>
      <c r="M6873">
        <v>6.3873219999999994E-2</v>
      </c>
      <c r="N6873">
        <v>0</v>
      </c>
      <c r="O6873">
        <v>0.99789899999999998</v>
      </c>
      <c r="P6873">
        <v>3.5800989999999998E-2</v>
      </c>
      <c r="Q6873">
        <v>0.15992190000000001</v>
      </c>
      <c r="R6873">
        <v>0.98648020000000003</v>
      </c>
      <c r="S6873">
        <v>-9.375E-2</v>
      </c>
      <c r="T6873">
        <v>-0.1086997</v>
      </c>
      <c r="U6873">
        <v>3.062897</v>
      </c>
      <c r="V6873">
        <v>-2.751056E-2</v>
      </c>
      <c r="W6873">
        <v>0.17058489999999901</v>
      </c>
      <c r="X6873">
        <v>0.98495889999999997</v>
      </c>
      <c r="Y6873">
        <v>-9.4359380000000007E-2</v>
      </c>
      <c r="Z6873">
        <v>-3.527081E-2</v>
      </c>
      <c r="AA6873">
        <v>0.99491320000000005</v>
      </c>
      <c r="AB6873">
        <v>27</v>
      </c>
      <c r="AC6873">
        <v>-0.974700000000012</v>
      </c>
      <c r="AD6873">
        <v>-1.1102911514560001</v>
      </c>
      <c r="AE6873">
        <v>31.003270000000001</v>
      </c>
      <c r="AF6873">
        <v>-2.9493259924405599</v>
      </c>
      <c r="AG6873">
        <v>-1.1102911514560001</v>
      </c>
      <c r="AH6873">
        <v>30.838182571826199</v>
      </c>
      <c r="AI6873">
        <v>92.052616034336594</v>
      </c>
      <c r="AJ6873">
        <v>95.463082049367998</v>
      </c>
      <c r="AK6873">
        <v>30.998786663093298</v>
      </c>
      <c r="AL6873">
        <v>80.178172255917602</v>
      </c>
      <c r="AM6873">
        <v>91.599893442705195</v>
      </c>
      <c r="AN6873">
        <v>1.00000003685436</v>
      </c>
    </row>
    <row r="6874" spans="1:40" x14ac:dyDescent="0.25">
      <c r="A6874" t="str">
        <f>"20190312173058884"</f>
        <v>20190312173058884</v>
      </c>
      <c r="B6874" t="str">
        <f>"1552383058874554"</f>
        <v>1552383058874554</v>
      </c>
      <c r="C6874" t="s">
        <v>40</v>
      </c>
      <c r="D6874">
        <v>3.257002</v>
      </c>
      <c r="E6874">
        <v>0.47715770000000002</v>
      </c>
      <c r="F6874" t="s">
        <v>41</v>
      </c>
      <c r="G6874">
        <v>-188.8475</v>
      </c>
      <c r="H6874" s="1">
        <v>-3.0054960000000002E-6</v>
      </c>
      <c r="I6874">
        <v>16.162129999999902</v>
      </c>
      <c r="J6874">
        <v>-187.8776</v>
      </c>
      <c r="K6874">
        <v>1.110387</v>
      </c>
      <c r="L6874">
        <v>-14.228730000000001</v>
      </c>
      <c r="M6874">
        <v>6.2957089999999993E-2</v>
      </c>
      <c r="N6874">
        <v>0</v>
      </c>
      <c r="O6874">
        <v>0.9979576</v>
      </c>
      <c r="P6874">
        <v>3.5494980000000002E-2</v>
      </c>
      <c r="Q6874">
        <v>0.157801</v>
      </c>
      <c r="R6874">
        <v>0.98683279999999995</v>
      </c>
      <c r="S6874">
        <v>-9.5306399999999999E-2</v>
      </c>
      <c r="T6874">
        <v>-0.1109247</v>
      </c>
      <c r="U6874">
        <v>3.0625610000000001</v>
      </c>
      <c r="V6874">
        <v>-2.6975900000000001E-2</v>
      </c>
      <c r="W6874">
        <v>0.16842699999999999</v>
      </c>
      <c r="X6874">
        <v>0.98534489999999997</v>
      </c>
      <c r="Y6874">
        <v>-9.3953090000000003E-2</v>
      </c>
      <c r="Z6874">
        <v>-3.5999370000000003E-2</v>
      </c>
      <c r="AA6874">
        <v>0.99492559999999997</v>
      </c>
      <c r="AB6874">
        <v>27</v>
      </c>
      <c r="AC6874">
        <v>-0.96989999999999499</v>
      </c>
      <c r="AD6874">
        <v>-1.1103900054960001</v>
      </c>
      <c r="AE6874">
        <v>30.39086</v>
      </c>
      <c r="AF6874">
        <v>-2.87757029501127</v>
      </c>
      <c r="AG6874">
        <v>-1.1103900054960001</v>
      </c>
      <c r="AH6874">
        <v>30.229185547786599</v>
      </c>
      <c r="AI6874">
        <v>92.094206275033699</v>
      </c>
      <c r="AJ6874">
        <v>95.437702796279794</v>
      </c>
      <c r="AK6874">
        <v>30.386132291714102</v>
      </c>
      <c r="AL6874">
        <v>80.3036255394818</v>
      </c>
      <c r="AM6874">
        <v>91.568201393369804</v>
      </c>
      <c r="AN6874">
        <v>0.99999996273290903</v>
      </c>
    </row>
    <row r="6875" spans="1:40" x14ac:dyDescent="0.25">
      <c r="A6875" t="str">
        <f>"20190312173058906"</f>
        <v>20190312173058906</v>
      </c>
      <c r="B6875" t="str">
        <f>"1552383058894073"</f>
        <v>1552383058894073</v>
      </c>
      <c r="C6875" t="s">
        <v>40</v>
      </c>
      <c r="D6875">
        <v>3.1213899999999999</v>
      </c>
      <c r="E6875">
        <v>0.47707729999999998</v>
      </c>
      <c r="F6875" t="s">
        <v>41</v>
      </c>
      <c r="G6875">
        <v>-188.7987</v>
      </c>
      <c r="H6875" s="1">
        <v>-2.4881730000000001E-6</v>
      </c>
      <c r="I6875">
        <v>14.93604</v>
      </c>
      <c r="J6875">
        <v>-187.86179999999999</v>
      </c>
      <c r="K6875">
        <v>1.1104510000000001</v>
      </c>
      <c r="L6875">
        <v>-13.95978</v>
      </c>
      <c r="M6875">
        <v>6.1896100000000003E-2</v>
      </c>
      <c r="N6875">
        <v>0</v>
      </c>
      <c r="O6875">
        <v>0.99802449999999998</v>
      </c>
      <c r="P6875">
        <v>3.4910469999999999E-2</v>
      </c>
      <c r="Q6875">
        <v>0.15383649999999999</v>
      </c>
      <c r="R6875">
        <v>0.98747940000000001</v>
      </c>
      <c r="S6875">
        <v>-9.6710210000000005E-2</v>
      </c>
      <c r="T6875">
        <v>-0.1165857</v>
      </c>
      <c r="U6875">
        <v>3.0621640000000001</v>
      </c>
      <c r="V6875">
        <v>-2.6579709999999999E-2</v>
      </c>
      <c r="W6875">
        <v>0.1644214</v>
      </c>
      <c r="X6875">
        <v>0.98603200000000002</v>
      </c>
      <c r="Y6875">
        <v>-9.3352149999999995E-2</v>
      </c>
      <c r="Z6875">
        <v>-3.7843479999999999E-2</v>
      </c>
      <c r="AA6875">
        <v>0.99491370000000001</v>
      </c>
      <c r="AB6875">
        <v>27</v>
      </c>
      <c r="AC6875">
        <v>-0.93690000000000795</v>
      </c>
      <c r="AD6875">
        <v>-1.1104534881729999</v>
      </c>
      <c r="AE6875">
        <v>28.895820000000001</v>
      </c>
      <c r="AF6875">
        <v>-2.7197332922036099</v>
      </c>
      <c r="AG6875">
        <v>-1.1104534881729999</v>
      </c>
      <c r="AH6875">
        <v>28.740015289149198</v>
      </c>
      <c r="AI6875">
        <v>92.202855408855797</v>
      </c>
      <c r="AJ6875">
        <v>95.405931651234994</v>
      </c>
      <c r="AK6875">
        <v>28.8897652283753</v>
      </c>
      <c r="AL6875">
        <v>80.536375841205299</v>
      </c>
      <c r="AM6875">
        <v>91.544104549536897</v>
      </c>
      <c r="AN6875">
        <v>0.99999999139282203</v>
      </c>
    </row>
    <row r="6876" spans="1:40" x14ac:dyDescent="0.25">
      <c r="A6876" t="str">
        <f>"20190312173059073"</f>
        <v>20190312173059073</v>
      </c>
      <c r="B6876" t="str">
        <f>"1552383059063898"</f>
        <v>1552383059063898</v>
      </c>
      <c r="C6876" t="s">
        <v>40</v>
      </c>
      <c r="D6876">
        <v>3.4285049999999999</v>
      </c>
      <c r="E6876">
        <v>0.55213279999999998</v>
      </c>
      <c r="F6876" t="s">
        <v>41</v>
      </c>
      <c r="G6876">
        <v>-188.72309999999999</v>
      </c>
      <c r="H6876" s="1">
        <v>-1.5492349999999901E-6</v>
      </c>
      <c r="I6876">
        <v>12.71608</v>
      </c>
      <c r="J6876">
        <v>-187.7534</v>
      </c>
      <c r="K6876">
        <v>1.1103590000000001</v>
      </c>
      <c r="L6876">
        <v>-11.931789999999999</v>
      </c>
      <c r="M6876">
        <v>5.2917659999999998E-2</v>
      </c>
      <c r="N6876">
        <v>0</v>
      </c>
      <c r="O6876">
        <v>0.99854560000000003</v>
      </c>
      <c r="P6876">
        <v>3.054256E-2</v>
      </c>
      <c r="Q6876">
        <v>0.11638759999999999</v>
      </c>
      <c r="R6876">
        <v>0.99273409999999995</v>
      </c>
      <c r="S6876">
        <v>-9.8846439999999994E-2</v>
      </c>
      <c r="T6876">
        <v>-0.12743889999999999</v>
      </c>
      <c r="U6876">
        <v>3.061401</v>
      </c>
      <c r="V6876">
        <v>-2.2302809999999999E-2</v>
      </c>
      <c r="W6876">
        <v>0.12658050000000001</v>
      </c>
      <c r="X6876">
        <v>0.99170559999999996</v>
      </c>
      <c r="Y6876">
        <v>-8.5091029999999998E-2</v>
      </c>
      <c r="Z6876">
        <v>-4.1417990000000002E-2</v>
      </c>
      <c r="AA6876">
        <v>0.99551190000000001</v>
      </c>
      <c r="AB6876">
        <v>27</v>
      </c>
      <c r="AC6876">
        <v>-0.96969999999998802</v>
      </c>
      <c r="AD6876">
        <v>-1.1103605492349999</v>
      </c>
      <c r="AE6876">
        <v>24.647870000000001</v>
      </c>
      <c r="AF6876">
        <v>-2.2681223602891101</v>
      </c>
      <c r="AG6876">
        <v>-1.1103605492349999</v>
      </c>
      <c r="AH6876">
        <v>24.512346029354902</v>
      </c>
      <c r="AI6876">
        <v>92.582594749774799</v>
      </c>
      <c r="AJ6876">
        <v>95.286513749681305</v>
      </c>
      <c r="AK6876">
        <v>24.6420856960885</v>
      </c>
      <c r="AL6876">
        <v>82.727963300177294</v>
      </c>
      <c r="AM6876">
        <v>91.288327418397699</v>
      </c>
      <c r="AN6876">
        <v>1.0000000176927499</v>
      </c>
    </row>
    <row r="6877" spans="1:40" x14ac:dyDescent="0.25">
      <c r="A6877" t="str">
        <f>"20190312173059096"</f>
        <v>20190312173059096</v>
      </c>
      <c r="B6877" t="str">
        <f>"1552383059084393"</f>
        <v>1552383059084393</v>
      </c>
      <c r="C6877" t="s">
        <v>40</v>
      </c>
      <c r="D6877">
        <v>3.189044</v>
      </c>
      <c r="E6877">
        <v>0.55462210000000001</v>
      </c>
      <c r="F6877" t="s">
        <v>42</v>
      </c>
      <c r="G6877">
        <v>-187.62180000000001</v>
      </c>
      <c r="H6877">
        <v>1.0098469999999999</v>
      </c>
      <c r="I6877">
        <v>-11.10158</v>
      </c>
      <c r="J6877">
        <v>-187.74029999999999</v>
      </c>
      <c r="K6877">
        <v>1.110328</v>
      </c>
      <c r="L6877">
        <v>-11.65906</v>
      </c>
      <c r="M6877">
        <v>5.1738199999999998E-2</v>
      </c>
      <c r="N6877">
        <v>0</v>
      </c>
      <c r="O6877">
        <v>0.9986081</v>
      </c>
      <c r="P6877">
        <v>3.2054779999999998E-2</v>
      </c>
      <c r="Q6877">
        <v>0.11132889999999999</v>
      </c>
      <c r="R6877">
        <v>0.99326650000000005</v>
      </c>
      <c r="S6877">
        <v>0.48387150000000001</v>
      </c>
      <c r="T6877">
        <v>-0.36928939999999999</v>
      </c>
      <c r="U6877">
        <v>3.050354</v>
      </c>
      <c r="V6877">
        <v>-1.9636500000000001E-2</v>
      </c>
      <c r="W6877">
        <v>0.12146709999999999</v>
      </c>
      <c r="X6877">
        <v>0.99240119999999998</v>
      </c>
      <c r="Y6877">
        <v>0.10424559999999999</v>
      </c>
      <c r="Z6877">
        <v>-0.1188881</v>
      </c>
      <c r="AA6877">
        <v>0.98742010000000002</v>
      </c>
      <c r="AB6877">
        <v>27</v>
      </c>
      <c r="AC6877">
        <v>0.11849999999998299</v>
      </c>
      <c r="AD6877">
        <v>-0.100481</v>
      </c>
      <c r="AE6877">
        <v>0.55747999999999998</v>
      </c>
      <c r="AF6877">
        <v>8.6798817903106201E-2</v>
      </c>
      <c r="AG6877">
        <v>-0.100481</v>
      </c>
      <c r="AH6877">
        <v>0.54589670775269405</v>
      </c>
      <c r="AI6877">
        <v>100.30286267264</v>
      </c>
      <c r="AJ6877">
        <v>80.965470319825897</v>
      </c>
      <c r="AK6877">
        <v>0.56181285290175298</v>
      </c>
      <c r="AL6877">
        <v>83.023219316129598</v>
      </c>
      <c r="AM6877">
        <v>91.133555438516296</v>
      </c>
      <c r="AN6877">
        <v>0.99999999513804905</v>
      </c>
    </row>
    <row r="6878" spans="1:40" x14ac:dyDescent="0.25">
      <c r="A6878" t="str">
        <f>"20190312173059117"</f>
        <v>20190312173059117</v>
      </c>
      <c r="B6878" t="str">
        <f>"1552383059114650"</f>
        <v>1552383059114650</v>
      </c>
      <c r="C6878" t="s">
        <v>40</v>
      </c>
      <c r="D6878">
        <v>3.2391719999999999</v>
      </c>
      <c r="E6878">
        <v>0.55399980000000004</v>
      </c>
      <c r="F6878" t="s">
        <v>42</v>
      </c>
      <c r="G6878">
        <v>-187.60319999999999</v>
      </c>
      <c r="H6878">
        <v>1.031739</v>
      </c>
      <c r="I6878">
        <v>-10.84653</v>
      </c>
      <c r="J6878">
        <v>-187.7276</v>
      </c>
      <c r="K6878">
        <v>1.1103080000000001</v>
      </c>
      <c r="L6878">
        <v>-11.38959</v>
      </c>
      <c r="M6878">
        <v>5.057702E-2</v>
      </c>
      <c r="N6878">
        <v>0</v>
      </c>
      <c r="O6878">
        <v>0.99866820000000001</v>
      </c>
      <c r="P6878">
        <v>3.3627270000000001E-2</v>
      </c>
      <c r="Q6878">
        <v>0.1062395</v>
      </c>
      <c r="R6878">
        <v>0.99377179999999998</v>
      </c>
      <c r="S6878">
        <v>0.51197809999999999</v>
      </c>
      <c r="T6878">
        <v>-0.29373759999999999</v>
      </c>
      <c r="U6878">
        <v>3.036743</v>
      </c>
      <c r="V6878">
        <v>-1.6924990000000001E-2</v>
      </c>
      <c r="W6878">
        <v>0.11632729999999999</v>
      </c>
      <c r="X6878">
        <v>0.99306669999999997</v>
      </c>
      <c r="Y6878">
        <v>0.11540590000000001</v>
      </c>
      <c r="Z6878">
        <v>-9.5108559999999995E-2</v>
      </c>
      <c r="AA6878">
        <v>0.98875469999999999</v>
      </c>
      <c r="AB6878">
        <v>27</v>
      </c>
      <c r="AC6878">
        <v>0.124400000000008</v>
      </c>
      <c r="AD6878">
        <v>-7.8569000000000097E-2</v>
      </c>
      <c r="AE6878">
        <v>0.54305999999999999</v>
      </c>
      <c r="AF6878">
        <v>9.48858808096638E-2</v>
      </c>
      <c r="AG6878">
        <v>-7.8569000000000097E-2</v>
      </c>
      <c r="AH6878">
        <v>0.53795799349461504</v>
      </c>
      <c r="AI6878">
        <v>98.184735260192596</v>
      </c>
      <c r="AJ6878">
        <v>79.996966055260003</v>
      </c>
      <c r="AK6878">
        <v>0.55188333993950101</v>
      </c>
      <c r="AL6878">
        <v>83.319812291037707</v>
      </c>
      <c r="AM6878">
        <v>90.976406337458897</v>
      </c>
      <c r="AN6878">
        <v>0.99999998333033902</v>
      </c>
    </row>
    <row r="6879" spans="1:40" x14ac:dyDescent="0.25">
      <c r="A6879" t="str">
        <f>"20190312173059140"</f>
        <v>20190312173059140</v>
      </c>
      <c r="B6879" t="str">
        <f>"1552383059134170"</f>
        <v>1552383059134170</v>
      </c>
      <c r="C6879" t="s">
        <v>40</v>
      </c>
      <c r="D6879">
        <v>3.2046929999999998</v>
      </c>
      <c r="E6879">
        <v>0.55437060000000005</v>
      </c>
      <c r="F6879" t="s">
        <v>42</v>
      </c>
      <c r="G6879">
        <v>-187.59219999999999</v>
      </c>
      <c r="H6879">
        <v>1.0469520000000001</v>
      </c>
      <c r="I6879">
        <v>-10.593360000000001</v>
      </c>
      <c r="J6879">
        <v>-187.7148</v>
      </c>
      <c r="K6879">
        <v>1.110277</v>
      </c>
      <c r="L6879">
        <v>-11.112270000000001</v>
      </c>
      <c r="M6879">
        <v>4.938377E-2</v>
      </c>
      <c r="N6879">
        <v>0</v>
      </c>
      <c r="O6879">
        <v>0.99872859999999997</v>
      </c>
      <c r="P6879">
        <v>3.5392300000000002E-2</v>
      </c>
      <c r="Q6879">
        <v>0.1010885</v>
      </c>
      <c r="R6879">
        <v>0.99424769999999896</v>
      </c>
      <c r="S6879">
        <v>0.51478579999999996</v>
      </c>
      <c r="T6879">
        <v>-0.24086179999999999</v>
      </c>
      <c r="U6879">
        <v>3.0271300000000001</v>
      </c>
      <c r="V6879">
        <v>-1.3986520000000001E-2</v>
      </c>
      <c r="W6879">
        <v>0.11112660000000001</v>
      </c>
      <c r="X6879">
        <v>0.99370780000000003</v>
      </c>
      <c r="Y6879">
        <v>0.1182433</v>
      </c>
      <c r="Z6879">
        <v>-7.8335689999999999E-2</v>
      </c>
      <c r="AA6879">
        <v>0.98988989999999999</v>
      </c>
      <c r="AB6879">
        <v>27</v>
      </c>
      <c r="AC6879">
        <v>0.122600000000005</v>
      </c>
      <c r="AD6879">
        <v>-6.3324999999999798E-2</v>
      </c>
      <c r="AE6879">
        <v>0.51890999999999998</v>
      </c>
      <c r="AF6879">
        <v>9.5476645750980499E-2</v>
      </c>
      <c r="AG6879">
        <v>-6.3324999999999798E-2</v>
      </c>
      <c r="AH6879">
        <v>0.51703868104566197</v>
      </c>
      <c r="AI6879">
        <v>96.867628284604294</v>
      </c>
      <c r="AJ6879">
        <v>79.537588590118901</v>
      </c>
      <c r="AK6879">
        <v>0.52957987424589303</v>
      </c>
      <c r="AL6879">
        <v>83.619736607675094</v>
      </c>
      <c r="AM6879">
        <v>90.806389617952604</v>
      </c>
      <c r="AN6879">
        <v>0.99999996787505396</v>
      </c>
    </row>
    <row r="6880" spans="1:40" x14ac:dyDescent="0.25">
      <c r="A6880" t="str">
        <f>"20190312173059163"</f>
        <v>20190312173059163</v>
      </c>
      <c r="B6880" t="str">
        <f>"1552383059154666"</f>
        <v>1552383059154666</v>
      </c>
      <c r="C6880" t="s">
        <v>40</v>
      </c>
      <c r="D6880">
        <v>3.2076470000000001</v>
      </c>
      <c r="E6880">
        <v>0.55402549999999995</v>
      </c>
      <c r="F6880" t="s">
        <v>42</v>
      </c>
      <c r="G6880">
        <v>-187.58160000000001</v>
      </c>
      <c r="H6880">
        <v>1.050497</v>
      </c>
      <c r="I6880">
        <v>-10.34484</v>
      </c>
      <c r="J6880">
        <v>-187.70230000000001</v>
      </c>
      <c r="K6880">
        <v>1.1102449999999999</v>
      </c>
      <c r="L6880">
        <v>-10.83328</v>
      </c>
      <c r="M6880">
        <v>4.8183660000000003E-2</v>
      </c>
      <c r="N6880">
        <v>0</v>
      </c>
      <c r="O6880">
        <v>0.9987878</v>
      </c>
      <c r="P6880">
        <v>3.7276730000000001E-2</v>
      </c>
      <c r="Q6880">
        <v>9.5075679999999996E-2</v>
      </c>
      <c r="R6880">
        <v>0.99477179999999998</v>
      </c>
      <c r="S6880">
        <v>0.52442929999999999</v>
      </c>
      <c r="T6880">
        <v>-0.23547170000000001</v>
      </c>
      <c r="U6880">
        <v>3.0226139999999999</v>
      </c>
      <c r="V6880">
        <v>-1.092134E-2</v>
      </c>
      <c r="W6880">
        <v>0.10506500000000001</v>
      </c>
      <c r="X6880">
        <v>0.99440539999999999</v>
      </c>
      <c r="Y6880">
        <v>0.1227694</v>
      </c>
      <c r="Z6880">
        <v>-7.6670450000000001E-2</v>
      </c>
      <c r="AA6880">
        <v>0.98946920000000005</v>
      </c>
      <c r="AB6880">
        <v>27</v>
      </c>
      <c r="AC6880">
        <v>0.120699999999999</v>
      </c>
      <c r="AD6880">
        <v>-5.97480000000001E-2</v>
      </c>
      <c r="AE6880">
        <v>0.48843999999999999</v>
      </c>
      <c r="AF6880">
        <v>9.5674565532318206E-2</v>
      </c>
      <c r="AG6880">
        <v>-5.97480000000001E-2</v>
      </c>
      <c r="AH6880">
        <v>0.48682346815615801</v>
      </c>
      <c r="AI6880">
        <v>96.866873855447807</v>
      </c>
      <c r="AJ6880">
        <v>78.881460435562104</v>
      </c>
      <c r="AK6880">
        <v>0.499720456997097</v>
      </c>
      <c r="AL6880">
        <v>83.969088589260195</v>
      </c>
      <c r="AM6880">
        <v>90.6292418876005</v>
      </c>
      <c r="AN6880">
        <v>1.0000000147207699</v>
      </c>
    </row>
    <row r="6881" spans="1:40" x14ac:dyDescent="0.25">
      <c r="A6881" t="str">
        <f>"20190312173059187"</f>
        <v>20190312173059187</v>
      </c>
      <c r="B6881" t="str">
        <f>"1552383059174187"</f>
        <v>1552383059174187</v>
      </c>
      <c r="C6881" t="s">
        <v>40</v>
      </c>
      <c r="D6881">
        <v>3.2111290000000001</v>
      </c>
      <c r="E6881">
        <v>0.55340349999999905</v>
      </c>
      <c r="F6881" t="s">
        <v>42</v>
      </c>
      <c r="G6881">
        <v>-187.5737</v>
      </c>
      <c r="H6881">
        <v>1.0522009999999999</v>
      </c>
      <c r="I6881">
        <v>-10.09768</v>
      </c>
      <c r="J6881">
        <v>-187.6893</v>
      </c>
      <c r="K6881">
        <v>1.1102190000000001</v>
      </c>
      <c r="L6881">
        <v>-10.534330000000001</v>
      </c>
      <c r="M6881">
        <v>4.6896889999999997E-2</v>
      </c>
      <c r="N6881">
        <v>0</v>
      </c>
      <c r="O6881">
        <v>0.9988496</v>
      </c>
      <c r="P6881">
        <v>3.9067909999999997E-2</v>
      </c>
      <c r="Q6881">
        <v>8.871358E-2</v>
      </c>
      <c r="R6881">
        <v>0.99529069999999997</v>
      </c>
      <c r="S6881">
        <v>0.52813719999999997</v>
      </c>
      <c r="T6881">
        <v>-0.2381897</v>
      </c>
      <c r="U6881">
        <v>3.0187379999999999</v>
      </c>
      <c r="V6881">
        <v>-7.8609679999999994E-3</v>
      </c>
      <c r="W6881">
        <v>9.8656439999999998E-2</v>
      </c>
      <c r="X6881">
        <v>0.99509049999999999</v>
      </c>
      <c r="Y6881">
        <v>0.12542809999999999</v>
      </c>
      <c r="Z6881">
        <v>-7.7633670000000002E-2</v>
      </c>
      <c r="AA6881">
        <v>0.98906059999999996</v>
      </c>
      <c r="AB6881">
        <v>28</v>
      </c>
      <c r="AC6881">
        <v>0.11559999999999999</v>
      </c>
      <c r="AD6881">
        <v>-5.8018000000000097E-2</v>
      </c>
      <c r="AE6881">
        <v>0.43664999999999998</v>
      </c>
      <c r="AF6881">
        <v>9.3452439288551001E-2</v>
      </c>
      <c r="AG6881">
        <v>-5.8018000000000097E-2</v>
      </c>
      <c r="AH6881">
        <v>0.43442382609962499</v>
      </c>
      <c r="AI6881">
        <v>97.438731285315697</v>
      </c>
      <c r="AJ6881">
        <v>77.859650907798695</v>
      </c>
      <c r="AK6881">
        <v>0.448133358963621</v>
      </c>
      <c r="AL6881">
        <v>84.338192402053295</v>
      </c>
      <c r="AM6881">
        <v>90.452613024041</v>
      </c>
      <c r="AN6881">
        <v>0.99999999558080999</v>
      </c>
    </row>
    <row r="6882" spans="1:40" x14ac:dyDescent="0.25">
      <c r="A6882" t="str">
        <f>"20190312173059209"</f>
        <v>20190312173059209</v>
      </c>
      <c r="B6882" t="str">
        <f>"1552383059204442"</f>
        <v>1552383059204442</v>
      </c>
      <c r="C6882" t="s">
        <v>40</v>
      </c>
      <c r="D6882">
        <v>3.2382399999999998</v>
      </c>
      <c r="E6882">
        <v>0.55283559999999998</v>
      </c>
      <c r="F6882" t="s">
        <v>42</v>
      </c>
      <c r="G6882">
        <v>-187.52809999999999</v>
      </c>
      <c r="H6882">
        <v>1.0366340000000001</v>
      </c>
      <c r="I6882">
        <v>-9.6162030000000005</v>
      </c>
      <c r="J6882">
        <v>-187.67789999999999</v>
      </c>
      <c r="K6882">
        <v>1.110196</v>
      </c>
      <c r="L6882">
        <v>-10.26328</v>
      </c>
      <c r="M6882">
        <v>4.5729520000000003E-2</v>
      </c>
      <c r="N6882">
        <v>0</v>
      </c>
      <c r="O6882">
        <v>0.99890420000000002</v>
      </c>
      <c r="P6882">
        <v>4.0139939999999999E-2</v>
      </c>
      <c r="Q6882">
        <v>8.2315879999999994E-2</v>
      </c>
      <c r="R6882">
        <v>0.99579759999999995</v>
      </c>
      <c r="S6882">
        <v>0.52941890000000003</v>
      </c>
      <c r="T6882">
        <v>-0.24164330000000001</v>
      </c>
      <c r="U6882">
        <v>3.0149539999999999</v>
      </c>
      <c r="V6882">
        <v>-5.6357330000000004E-3</v>
      </c>
      <c r="W6882">
        <v>9.2221479999999995E-2</v>
      </c>
      <c r="X6882">
        <v>0.99572260000000001</v>
      </c>
      <c r="Y6882">
        <v>0.12718960000000001</v>
      </c>
      <c r="Z6882">
        <v>-7.8843739999999995E-2</v>
      </c>
      <c r="AA6882">
        <v>0.98873979999999995</v>
      </c>
      <c r="AB6882">
        <v>28</v>
      </c>
      <c r="AC6882">
        <v>0.14979999999999899</v>
      </c>
      <c r="AD6882">
        <v>-7.3561999999999905E-2</v>
      </c>
      <c r="AE6882">
        <v>0.64707699999999901</v>
      </c>
      <c r="AF6882">
        <v>0.11859651499281899</v>
      </c>
      <c r="AG6882">
        <v>-7.3561999999999905E-2</v>
      </c>
      <c r="AH6882">
        <v>0.64533459802799398</v>
      </c>
      <c r="AI6882">
        <v>96.396888601518697</v>
      </c>
      <c r="AJ6882">
        <v>79.586648542744896</v>
      </c>
      <c r="AK6882">
        <v>0.66025240978310296</v>
      </c>
      <c r="AL6882">
        <v>84.708580006091395</v>
      </c>
      <c r="AM6882">
        <v>90.324287374174702</v>
      </c>
      <c r="AN6882">
        <v>1.00000002950529</v>
      </c>
    </row>
    <row r="6883" spans="1:40" x14ac:dyDescent="0.25">
      <c r="A6883" t="str">
        <f>"20190312173059231"</f>
        <v>20190312173059231</v>
      </c>
      <c r="B6883" t="str">
        <f>"1552383059223962"</f>
        <v>1552383059223962</v>
      </c>
      <c r="C6883" t="s">
        <v>40</v>
      </c>
      <c r="D6883">
        <v>3.3161139999999998</v>
      </c>
      <c r="E6883">
        <v>0.55260600000000004</v>
      </c>
      <c r="F6883" t="s">
        <v>42</v>
      </c>
      <c r="G6883">
        <v>-187.5205</v>
      </c>
      <c r="H6883">
        <v>1.037682</v>
      </c>
      <c r="I6883">
        <v>-9.3687299999999993</v>
      </c>
      <c r="J6883">
        <v>-187.66640000000001</v>
      </c>
      <c r="K6883">
        <v>1.1101730000000001</v>
      </c>
      <c r="L6883">
        <v>-9.9834589999999999</v>
      </c>
      <c r="M6883">
        <v>4.4524069999999999E-2</v>
      </c>
      <c r="N6883">
        <v>0</v>
      </c>
      <c r="O6883">
        <v>0.99895919999999905</v>
      </c>
      <c r="P6883">
        <v>4.1259459999999998E-2</v>
      </c>
      <c r="Q6883">
        <v>7.7200240000000003E-2</v>
      </c>
      <c r="R6883">
        <v>0.99616150000000003</v>
      </c>
      <c r="S6883">
        <v>0.5296478</v>
      </c>
      <c r="T6883">
        <v>-0.24412429999999999</v>
      </c>
      <c r="U6883">
        <v>3.0115050000000001</v>
      </c>
      <c r="V6883">
        <v>-3.3207279999999998E-3</v>
      </c>
      <c r="W6883">
        <v>8.7069090000000002E-2</v>
      </c>
      <c r="X6883">
        <v>0.99619669999999905</v>
      </c>
      <c r="Y6883">
        <v>0.1286398</v>
      </c>
      <c r="Z6883">
        <v>-7.9735829999999994E-2</v>
      </c>
      <c r="AA6883">
        <v>0.98848060000000004</v>
      </c>
      <c r="AB6883">
        <v>28</v>
      </c>
      <c r="AC6883">
        <v>0.14590000000001099</v>
      </c>
      <c r="AD6883">
        <v>-7.2490999999999806E-2</v>
      </c>
      <c r="AE6883">
        <v>0.61472899999999797</v>
      </c>
      <c r="AF6883">
        <v>0.11684551771231</v>
      </c>
      <c r="AG6883">
        <v>-7.2490999999999806E-2</v>
      </c>
      <c r="AH6883">
        <v>0.61255182562681298</v>
      </c>
      <c r="AI6883">
        <v>96.630681340121299</v>
      </c>
      <c r="AJ6883">
        <v>79.200450575961995</v>
      </c>
      <c r="AK6883">
        <v>0.62779579416335596</v>
      </c>
      <c r="AL6883">
        <v>85.004983579220294</v>
      </c>
      <c r="AM6883">
        <v>90.190989384530695</v>
      </c>
      <c r="AN6883">
        <v>0.99999995937938302</v>
      </c>
    </row>
    <row r="6884" spans="1:40" x14ac:dyDescent="0.25">
      <c r="A6884" t="str">
        <f>"20190312173059252"</f>
        <v>20190312173059252</v>
      </c>
      <c r="B6884" t="str">
        <f>"1552383059244459"</f>
        <v>1552383059244459</v>
      </c>
      <c r="C6884" t="s">
        <v>40</v>
      </c>
      <c r="D6884">
        <v>3.1610230000000001</v>
      </c>
      <c r="E6884">
        <v>0.55224899999999999</v>
      </c>
      <c r="F6884" t="s">
        <v>42</v>
      </c>
      <c r="G6884">
        <v>-187.51410000000001</v>
      </c>
      <c r="H6884">
        <v>1.03736299999999</v>
      </c>
      <c r="I6884">
        <v>-9.1215109999999999</v>
      </c>
      <c r="J6884">
        <v>-187.65629999999999</v>
      </c>
      <c r="K6884">
        <v>1.110155</v>
      </c>
      <c r="L6884">
        <v>-9.7329100000000004</v>
      </c>
      <c r="M6884">
        <v>4.3444549999999998E-2</v>
      </c>
      <c r="N6884">
        <v>0</v>
      </c>
      <c r="O6884">
        <v>0.99900710000000004</v>
      </c>
      <c r="P6884">
        <v>4.157247E-2</v>
      </c>
      <c r="Q6884">
        <v>7.3253189999999996E-2</v>
      </c>
      <c r="R6884">
        <v>0.99644650000000001</v>
      </c>
      <c r="S6884">
        <v>0.53167719999999996</v>
      </c>
      <c r="T6884">
        <v>-0.2541928</v>
      </c>
      <c r="U6884">
        <v>3.0092469999999998</v>
      </c>
      <c r="V6884">
        <v>-1.9347920000000001E-3</v>
      </c>
      <c r="W6884">
        <v>8.3086740000000006E-2</v>
      </c>
      <c r="X6884">
        <v>0.99654039999999999</v>
      </c>
      <c r="Y6884">
        <v>0.1304371</v>
      </c>
      <c r="Z6884">
        <v>-8.3054249999999996E-2</v>
      </c>
      <c r="AA6884">
        <v>0.98797170000000001</v>
      </c>
      <c r="AB6884">
        <v>28</v>
      </c>
      <c r="AC6884">
        <v>0.14219999999997401</v>
      </c>
      <c r="AD6884">
        <v>-7.2792000000000107E-2</v>
      </c>
      <c r="AE6884">
        <v>0.61139900000000003</v>
      </c>
      <c r="AF6884">
        <v>0.11396988032274501</v>
      </c>
      <c r="AG6884">
        <v>-7.2792000000000107E-2</v>
      </c>
      <c r="AH6884">
        <v>0.60881284813432301</v>
      </c>
      <c r="AI6884">
        <v>96.702788787517306</v>
      </c>
      <c r="AJ6884">
        <v>79.396940121153406</v>
      </c>
      <c r="AK6884">
        <v>0.62365125906888697</v>
      </c>
      <c r="AL6884">
        <v>85.233985884307103</v>
      </c>
      <c r="AM6884">
        <v>90.111240122876794</v>
      </c>
      <c r="AN6884">
        <v>0.99999995930803398</v>
      </c>
    </row>
    <row r="6885" spans="1:40" x14ac:dyDescent="0.25">
      <c r="A6885" t="str">
        <f>"20190312173059274"</f>
        <v>20190312173059274</v>
      </c>
      <c r="B6885" t="str">
        <f>"1552383059263978"</f>
        <v>1552383059263978</v>
      </c>
      <c r="C6885" t="s">
        <v>40</v>
      </c>
      <c r="D6885">
        <v>3.173038</v>
      </c>
      <c r="E6885">
        <v>0.55202629999999997</v>
      </c>
      <c r="F6885" t="s">
        <v>42</v>
      </c>
      <c r="G6885">
        <v>-187.50489999999999</v>
      </c>
      <c r="H6885">
        <v>1.036861</v>
      </c>
      <c r="I6885">
        <v>-8.8740950000000005</v>
      </c>
      <c r="J6885">
        <v>-187.6455</v>
      </c>
      <c r="K6885">
        <v>1.110136</v>
      </c>
      <c r="L6885">
        <v>-9.4548030000000001</v>
      </c>
      <c r="M6885">
        <v>4.2246289999999999E-2</v>
      </c>
      <c r="N6885">
        <v>0</v>
      </c>
      <c r="O6885">
        <v>0.99905889999999997</v>
      </c>
      <c r="P6885">
        <v>4.1490699999999998E-2</v>
      </c>
      <c r="Q6885">
        <v>6.9179229999999994E-2</v>
      </c>
      <c r="R6885">
        <v>0.99674110000000005</v>
      </c>
      <c r="S6885">
        <v>0.53012079999999995</v>
      </c>
      <c r="T6885">
        <v>-0.25668059999999998</v>
      </c>
      <c r="U6885">
        <v>3.0074459999999998</v>
      </c>
      <c r="V6885">
        <v>-8.2455399999999904E-4</v>
      </c>
      <c r="W6885">
        <v>7.8975190000000001E-2</v>
      </c>
      <c r="X6885">
        <v>0.99687619999999999</v>
      </c>
      <c r="Y6885">
        <v>0.13121910000000001</v>
      </c>
      <c r="Z6885">
        <v>-8.3916279999999996E-2</v>
      </c>
      <c r="AA6885">
        <v>0.98779530000000004</v>
      </c>
      <c r="AB6885">
        <v>28</v>
      </c>
      <c r="AC6885">
        <v>0.140600000000006</v>
      </c>
      <c r="AD6885">
        <v>-7.3274999999999896E-2</v>
      </c>
      <c r="AE6885">
        <v>0.580707999999999</v>
      </c>
      <c r="AF6885">
        <v>0.11422258312356599</v>
      </c>
      <c r="AG6885">
        <v>-7.3274999999999896E-2</v>
      </c>
      <c r="AH6885">
        <v>0.57744470441178397</v>
      </c>
      <c r="AI6885">
        <v>97.095863487369201</v>
      </c>
      <c r="AJ6885">
        <v>78.810937341321903</v>
      </c>
      <c r="AK6885">
        <v>0.59317654266974496</v>
      </c>
      <c r="AL6885">
        <v>85.470337749766998</v>
      </c>
      <c r="AM6885">
        <v>90.047391494958603</v>
      </c>
      <c r="AN6885">
        <v>0.99999995932563601</v>
      </c>
    </row>
    <row r="6886" spans="1:40" x14ac:dyDescent="0.25">
      <c r="A6886" t="str">
        <f>"20190312173059299"</f>
        <v>20190312173059299</v>
      </c>
      <c r="B6886" t="str">
        <f>"1552383059294234"</f>
        <v>1552383059294234</v>
      </c>
      <c r="C6886" t="s">
        <v>40</v>
      </c>
      <c r="D6886">
        <v>3.150928</v>
      </c>
      <c r="E6886">
        <v>0.5514675</v>
      </c>
      <c r="F6886" t="s">
        <v>42</v>
      </c>
      <c r="G6886">
        <v>-187.49979999999999</v>
      </c>
      <c r="H6886">
        <v>1.0385219999999999</v>
      </c>
      <c r="I6886">
        <v>-8.6251160000000002</v>
      </c>
      <c r="J6886">
        <v>-187.63419999999999</v>
      </c>
      <c r="K6886">
        <v>1.11012</v>
      </c>
      <c r="L6886">
        <v>-9.1531070000000003</v>
      </c>
      <c r="M6886">
        <v>4.0946360000000001E-2</v>
      </c>
      <c r="N6886">
        <v>0</v>
      </c>
      <c r="O6886">
        <v>0.99911340000000004</v>
      </c>
      <c r="P6886">
        <v>4.0845760000000002E-2</v>
      </c>
      <c r="Q6886">
        <v>6.4627569999999995E-2</v>
      </c>
      <c r="R6886">
        <v>0.99707319999999999</v>
      </c>
      <c r="S6886">
        <v>0.52810669999999904</v>
      </c>
      <c r="T6886">
        <v>-0.25944220000000001</v>
      </c>
      <c r="U6886">
        <v>3.0058289999999999</v>
      </c>
      <c r="V6886">
        <v>-1.7529110000000001E-4</v>
      </c>
      <c r="W6886">
        <v>7.4386309999999997E-2</v>
      </c>
      <c r="X6886">
        <v>0.99722949999999999</v>
      </c>
      <c r="Y6886">
        <v>0.131943899999999</v>
      </c>
      <c r="Z6886">
        <v>-8.4864869999999995E-2</v>
      </c>
      <c r="AA6886">
        <v>0.98761770000000004</v>
      </c>
      <c r="AB6886">
        <v>28</v>
      </c>
      <c r="AC6886">
        <v>0.13439999999999899</v>
      </c>
      <c r="AD6886">
        <v>-7.1597999999999995E-2</v>
      </c>
      <c r="AE6886">
        <v>0.52799099999999999</v>
      </c>
      <c r="AF6886">
        <v>0.110754246320855</v>
      </c>
      <c r="AG6886">
        <v>-7.1597999999999995E-2</v>
      </c>
      <c r="AH6886">
        <v>0.52400229571730805</v>
      </c>
      <c r="AI6886">
        <v>97.6143466066342</v>
      </c>
      <c r="AJ6886">
        <v>78.065492956627395</v>
      </c>
      <c r="AK6886">
        <v>0.540343578289879</v>
      </c>
      <c r="AL6886">
        <v>85.734038103383497</v>
      </c>
      <c r="AM6886">
        <v>90.010071342767901</v>
      </c>
      <c r="AN6886">
        <v>1.00000001475631</v>
      </c>
    </row>
    <row r="6887" spans="1:40" x14ac:dyDescent="0.25">
      <c r="A6887" t="str">
        <f>"20190312173059319"</f>
        <v>20190312173059319</v>
      </c>
      <c r="B6887" t="str">
        <f>"1552383059313754"</f>
        <v>1552383059313754</v>
      </c>
      <c r="C6887" t="s">
        <v>40</v>
      </c>
      <c r="D6887">
        <v>3.1926860000000001</v>
      </c>
      <c r="E6887">
        <v>0.55100490000000002</v>
      </c>
      <c r="F6887" t="s">
        <v>42</v>
      </c>
      <c r="G6887">
        <v>-187.49879999999999</v>
      </c>
      <c r="H6887">
        <v>1.0430120000000001</v>
      </c>
      <c r="I6887">
        <v>-8.3742640000000002</v>
      </c>
      <c r="J6887">
        <v>-187.625</v>
      </c>
      <c r="K6887">
        <v>1.110093</v>
      </c>
      <c r="L6887">
        <v>-8.9018250000000005</v>
      </c>
      <c r="M6887">
        <v>3.9863589999999997E-2</v>
      </c>
      <c r="N6887">
        <v>0</v>
      </c>
      <c r="O6887">
        <v>0.99915750000000003</v>
      </c>
      <c r="P6887">
        <v>4.0676410000000003E-2</v>
      </c>
      <c r="Q6887">
        <v>6.0706839999999998E-2</v>
      </c>
      <c r="R6887">
        <v>0.9973265</v>
      </c>
      <c r="S6887">
        <v>0.52182010000000001</v>
      </c>
      <c r="T6887">
        <v>-0.25886150000000002</v>
      </c>
      <c r="U6887">
        <v>3.0042110000000002</v>
      </c>
      <c r="V6887">
        <v>7.3486799999999996E-4</v>
      </c>
      <c r="W6887">
        <v>7.0439899999999903E-2</v>
      </c>
      <c r="X6887">
        <v>0.99751570000000001</v>
      </c>
      <c r="Y6887">
        <v>0.1311049</v>
      </c>
      <c r="Z6887">
        <v>-8.4746230000000006E-2</v>
      </c>
      <c r="AA6887">
        <v>0.98773960000000005</v>
      </c>
      <c r="AB6887">
        <v>28</v>
      </c>
      <c r="AC6887">
        <v>0.126200000000011</v>
      </c>
      <c r="AD6887">
        <v>-6.7080999999999905E-2</v>
      </c>
      <c r="AE6887">
        <v>0.52756099999999995</v>
      </c>
      <c r="AF6887">
        <v>0.103485617044991</v>
      </c>
      <c r="AG6887">
        <v>-6.7080999999999905E-2</v>
      </c>
      <c r="AH6887">
        <v>0.52415681864229102</v>
      </c>
      <c r="AI6887">
        <v>97.156336594861401</v>
      </c>
      <c r="AJ6887">
        <v>78.831583338771793</v>
      </c>
      <c r="AK6887">
        <v>0.53846959433694097</v>
      </c>
      <c r="AL6887">
        <v>85.960745778178307</v>
      </c>
      <c r="AM6887">
        <v>89.957790311187907</v>
      </c>
      <c r="AN6887">
        <v>0.99999994564473704</v>
      </c>
    </row>
    <row r="6888" spans="1:40" x14ac:dyDescent="0.25">
      <c r="A6888" t="str">
        <f>"20190312173059341"</f>
        <v>20190312173059341</v>
      </c>
      <c r="B6888" t="str">
        <f>"1552383059334250"</f>
        <v>1552383059334250</v>
      </c>
      <c r="C6888" t="s">
        <v>40</v>
      </c>
      <c r="D6888">
        <v>3.1777760000000002</v>
      </c>
      <c r="E6888">
        <v>0.55060790000000004</v>
      </c>
      <c r="F6888" t="s">
        <v>42</v>
      </c>
      <c r="G6888">
        <v>-187.49109999999999</v>
      </c>
      <c r="H6888">
        <v>1.0423309999999999</v>
      </c>
      <c r="I6888">
        <v>-8.1257739999999998</v>
      </c>
      <c r="J6888">
        <v>-187.61529999999999</v>
      </c>
      <c r="K6888">
        <v>1.1100730000000001</v>
      </c>
      <c r="L6888">
        <v>-8.6262509999999999</v>
      </c>
      <c r="M6888">
        <v>3.867632E-2</v>
      </c>
      <c r="N6888">
        <v>0</v>
      </c>
      <c r="O6888">
        <v>0.99920450000000005</v>
      </c>
      <c r="P6888">
        <v>4.017138E-2</v>
      </c>
      <c r="Q6888">
        <v>5.6676190000000001E-2</v>
      </c>
      <c r="R6888">
        <v>0.99758409999999997</v>
      </c>
      <c r="S6888">
        <v>0.51788329999999905</v>
      </c>
      <c r="T6888">
        <v>-0.26220719999999997</v>
      </c>
      <c r="U6888">
        <v>3.002869</v>
      </c>
      <c r="V6888">
        <v>1.4145080000000001E-3</v>
      </c>
      <c r="W6888">
        <v>6.6379640000000004E-2</v>
      </c>
      <c r="X6888">
        <v>0.99779340000000005</v>
      </c>
      <c r="Y6888">
        <v>0.13108339999999999</v>
      </c>
      <c r="Z6888">
        <v>-8.5886539999999997E-2</v>
      </c>
      <c r="AA6888">
        <v>0.98764399999999997</v>
      </c>
      <c r="AB6888">
        <v>28</v>
      </c>
      <c r="AC6888">
        <v>0.124200000000001</v>
      </c>
      <c r="AD6888">
        <v>-6.77419999999999E-2</v>
      </c>
      <c r="AE6888">
        <v>0.50047699999999995</v>
      </c>
      <c r="AF6888">
        <v>0.102972431689047</v>
      </c>
      <c r="AG6888">
        <v>-6.77419999999999E-2</v>
      </c>
      <c r="AH6888">
        <v>0.496340435854566</v>
      </c>
      <c r="AI6888">
        <v>97.611753940205801</v>
      </c>
      <c r="AJ6888">
        <v>78.279494231807405</v>
      </c>
      <c r="AK6888">
        <v>0.511415807847446</v>
      </c>
      <c r="AL6888">
        <v>86.193928056771995</v>
      </c>
      <c r="AM6888">
        <v>89.9187754857914</v>
      </c>
      <c r="AN6888">
        <v>0.99999996326148499</v>
      </c>
    </row>
    <row r="6889" spans="1:40" x14ac:dyDescent="0.25">
      <c r="A6889" t="str">
        <f>"20190312173059366"</f>
        <v>20190312173059366</v>
      </c>
      <c r="B6889" t="str">
        <f>"1552383059354746"</f>
        <v>1552383059354746</v>
      </c>
      <c r="C6889" t="s">
        <v>40</v>
      </c>
      <c r="D6889">
        <v>3.196653</v>
      </c>
      <c r="E6889">
        <v>0.55022660000000001</v>
      </c>
      <c r="F6889" t="s">
        <v>42</v>
      </c>
      <c r="G6889">
        <v>-187.48699999999999</v>
      </c>
      <c r="H6889">
        <v>1.0430809999999999</v>
      </c>
      <c r="I6889">
        <v>-7.8760949999999896</v>
      </c>
      <c r="J6889">
        <v>-187.60499999999999</v>
      </c>
      <c r="K6889">
        <v>1.110055</v>
      </c>
      <c r="L6889">
        <v>-8.3225099999999994</v>
      </c>
      <c r="M6889">
        <v>3.7368020000000002E-2</v>
      </c>
      <c r="N6889">
        <v>0</v>
      </c>
      <c r="O6889">
        <v>0.99925469999999905</v>
      </c>
      <c r="P6889">
        <v>4.0126950000000002E-2</v>
      </c>
      <c r="Q6889">
        <v>5.2987190000000003E-2</v>
      </c>
      <c r="R6889">
        <v>0.99778869999999997</v>
      </c>
      <c r="S6889">
        <v>0.51312259999999998</v>
      </c>
      <c r="T6889">
        <v>-0.26809919999999998</v>
      </c>
      <c r="U6889">
        <v>3.0018310000000001</v>
      </c>
      <c r="V6889">
        <v>2.6771329999999999E-3</v>
      </c>
      <c r="W6889">
        <v>6.2657110000000002E-2</v>
      </c>
      <c r="X6889">
        <v>0.99803149999999996</v>
      </c>
      <c r="Y6889">
        <v>0.13088820000000001</v>
      </c>
      <c r="Z6889">
        <v>-8.7850609999999996E-2</v>
      </c>
      <c r="AA6889">
        <v>0.98749710000000002</v>
      </c>
      <c r="AB6889">
        <v>28</v>
      </c>
      <c r="AC6889">
        <v>0.117999999999994</v>
      </c>
      <c r="AD6889">
        <v>-6.6974000000000006E-2</v>
      </c>
      <c r="AE6889">
        <v>0.44641500000000101</v>
      </c>
      <c r="AF6889">
        <v>9.9149251014301096E-2</v>
      </c>
      <c r="AG6889">
        <v>-6.6974000000000006E-2</v>
      </c>
      <c r="AH6889">
        <v>0.44123021905415299</v>
      </c>
      <c r="AI6889">
        <v>98.4240580234665</v>
      </c>
      <c r="AJ6889">
        <v>77.335382130232802</v>
      </c>
      <c r="AK6889">
        <v>0.457165393330764</v>
      </c>
      <c r="AL6889">
        <v>86.407658803821107</v>
      </c>
      <c r="AM6889">
        <v>89.846309405862598</v>
      </c>
      <c r="AN6889">
        <v>0.99999997773344995</v>
      </c>
    </row>
    <row r="6890" spans="1:40" x14ac:dyDescent="0.25">
      <c r="A6890" t="str">
        <f>"20190312173059389"</f>
        <v>20190312173059389</v>
      </c>
      <c r="B6890" t="str">
        <f>"1552383059384026"</f>
        <v>1552383059384026</v>
      </c>
      <c r="C6890" t="s">
        <v>40</v>
      </c>
      <c r="D6890">
        <v>3.195427</v>
      </c>
      <c r="E6890">
        <v>0.54972769999999904</v>
      </c>
      <c r="F6890" t="s">
        <v>42</v>
      </c>
      <c r="G6890">
        <v>-187.44569999999999</v>
      </c>
      <c r="H6890">
        <v>1.02515</v>
      </c>
      <c r="I6890">
        <v>-7.3858169999999896</v>
      </c>
      <c r="J6890">
        <v>-187.59520000000001</v>
      </c>
      <c r="K6890">
        <v>1.110036</v>
      </c>
      <c r="L6890">
        <v>-8.0225519999999992</v>
      </c>
      <c r="M6890">
        <v>3.6076320000000002E-2</v>
      </c>
      <c r="N6890">
        <v>0</v>
      </c>
      <c r="O6890">
        <v>0.99930249999999998</v>
      </c>
      <c r="P6890">
        <v>3.9711000000000003E-2</v>
      </c>
      <c r="Q6890">
        <v>4.935349E-2</v>
      </c>
      <c r="R6890">
        <v>0.99799159999999998</v>
      </c>
      <c r="S6890">
        <v>0.51013180000000002</v>
      </c>
      <c r="T6890">
        <v>-0.2719953</v>
      </c>
      <c r="U6890">
        <v>3.0005799999999998</v>
      </c>
      <c r="V6890">
        <v>3.5523769999999998E-3</v>
      </c>
      <c r="W6890">
        <v>5.8993709999999998E-2</v>
      </c>
      <c r="X6890">
        <v>0.99825200000000003</v>
      </c>
      <c r="Y6890">
        <v>0.13126199999999999</v>
      </c>
      <c r="Z6890">
        <v>-8.9164969999999996E-2</v>
      </c>
      <c r="AA6890">
        <v>0.98732969999999998</v>
      </c>
      <c r="AB6890">
        <v>28</v>
      </c>
      <c r="AC6890">
        <v>0.14950000000001701</v>
      </c>
      <c r="AD6890">
        <v>-8.4886000000000003E-2</v>
      </c>
      <c r="AE6890">
        <v>0.63673500000000105</v>
      </c>
      <c r="AF6890">
        <v>0.12433620639694901</v>
      </c>
      <c r="AG6890">
        <v>-8.4886000000000003E-2</v>
      </c>
      <c r="AH6890">
        <v>0.63108403723156603</v>
      </c>
      <c r="AI6890">
        <v>97.517951975504502</v>
      </c>
      <c r="AJ6890">
        <v>78.854333091710103</v>
      </c>
      <c r="AK6890">
        <v>0.64879286930859303</v>
      </c>
      <c r="AL6890">
        <v>86.617945610562501</v>
      </c>
      <c r="AM6890">
        <v>89.796108247038006</v>
      </c>
      <c r="AN6890">
        <v>0.99999996635295596</v>
      </c>
    </row>
    <row r="6891" spans="1:40" x14ac:dyDescent="0.25">
      <c r="A6891" t="str">
        <f>"20190312173059411"</f>
        <v>20190312173059411</v>
      </c>
      <c r="B6891" t="str">
        <f>"1552383059404523"</f>
        <v>1552383059404523</v>
      </c>
      <c r="C6891" t="s">
        <v>40</v>
      </c>
      <c r="D6891">
        <v>3.1453709999999999</v>
      </c>
      <c r="E6891">
        <v>0.54956939999999999</v>
      </c>
      <c r="F6891" t="s">
        <v>42</v>
      </c>
      <c r="G6891">
        <v>-187.44550000000001</v>
      </c>
      <c r="H6891">
        <v>1.029404</v>
      </c>
      <c r="I6891">
        <v>-7.1332229999999903</v>
      </c>
      <c r="J6891">
        <v>-187.5865</v>
      </c>
      <c r="K6891">
        <v>1.1100289999999999</v>
      </c>
      <c r="L6891">
        <v>-7.7497249999999998</v>
      </c>
      <c r="M6891">
        <v>3.4901880000000003E-2</v>
      </c>
      <c r="N6891">
        <v>0</v>
      </c>
      <c r="O6891">
        <v>0.99934449999999997</v>
      </c>
      <c r="P6891">
        <v>3.9783649999999997E-2</v>
      </c>
      <c r="Q6891">
        <v>4.5784909999999998E-2</v>
      </c>
      <c r="R6891">
        <v>0.99815880000000001</v>
      </c>
      <c r="S6891">
        <v>0.50471499999999903</v>
      </c>
      <c r="T6891">
        <v>-0.27195160000000002</v>
      </c>
      <c r="U6891">
        <v>2.99939</v>
      </c>
      <c r="V6891">
        <v>4.8003150000000003E-3</v>
      </c>
      <c r="W6891">
        <v>5.5400909999999998E-2</v>
      </c>
      <c r="X6891">
        <v>0.99845269999999997</v>
      </c>
      <c r="Y6891">
        <v>0.1307575</v>
      </c>
      <c r="Z6891">
        <v>-8.9207120000000001E-2</v>
      </c>
      <c r="AA6891">
        <v>0.98739279999999996</v>
      </c>
      <c r="AB6891">
        <v>28</v>
      </c>
      <c r="AC6891">
        <v>0.14099999999999099</v>
      </c>
      <c r="AD6891">
        <v>-8.0625000000000099E-2</v>
      </c>
      <c r="AE6891">
        <v>0.61650199999999999</v>
      </c>
      <c r="AF6891">
        <v>0.117486531369852</v>
      </c>
      <c r="AG6891">
        <v>-8.0625000000000099E-2</v>
      </c>
      <c r="AH6891">
        <v>0.61111542801715601</v>
      </c>
      <c r="AI6891">
        <v>97.382028438096199</v>
      </c>
      <c r="AJ6891">
        <v>79.117697658831005</v>
      </c>
      <c r="AK6891">
        <v>0.62750740397138804</v>
      </c>
      <c r="AL6891">
        <v>86.824135823894196</v>
      </c>
      <c r="AM6891">
        <v>89.724538107070501</v>
      </c>
      <c r="AN6891">
        <v>1.0000000489951</v>
      </c>
    </row>
    <row r="6892" spans="1:40" x14ac:dyDescent="0.25">
      <c r="A6892" t="str">
        <f>"20190312173059434"</f>
        <v>20190312173059434</v>
      </c>
      <c r="B6892" t="str">
        <f>"1552383059424042"</f>
        <v>1552383059424042</v>
      </c>
      <c r="C6892" t="s">
        <v>40</v>
      </c>
      <c r="D6892">
        <v>3.1419890000000001</v>
      </c>
      <c r="E6892">
        <v>0.54521889999999995</v>
      </c>
      <c r="F6892" t="s">
        <v>42</v>
      </c>
      <c r="G6892">
        <v>-187.44069999999999</v>
      </c>
      <c r="H6892">
        <v>1.0293300000000001</v>
      </c>
      <c r="I6892">
        <v>-6.8823899999999902</v>
      </c>
      <c r="J6892">
        <v>-187.5778</v>
      </c>
      <c r="K6892">
        <v>1.1100219999999901</v>
      </c>
      <c r="L6892">
        <v>-7.4618839999999897</v>
      </c>
      <c r="M6892">
        <v>3.3662770000000002E-2</v>
      </c>
      <c r="N6892">
        <v>0</v>
      </c>
      <c r="O6892">
        <v>0.99938729999999998</v>
      </c>
      <c r="P6892">
        <v>3.9472649999999998E-2</v>
      </c>
      <c r="Q6892">
        <v>4.439506E-2</v>
      </c>
      <c r="R6892">
        <v>0.99823390000000001</v>
      </c>
      <c r="S6892">
        <v>0.50387570000000004</v>
      </c>
      <c r="T6892">
        <v>-0.27898659999999997</v>
      </c>
      <c r="U6892">
        <v>2.9982600000000001</v>
      </c>
      <c r="V6892">
        <v>5.7282100000000001E-3</v>
      </c>
      <c r="W6892">
        <v>5.3981580000000001E-2</v>
      </c>
      <c r="X6892">
        <v>0.99852549999999995</v>
      </c>
      <c r="Y6892">
        <v>0.13174379999999999</v>
      </c>
      <c r="Z6892">
        <v>-9.1531150000000006E-2</v>
      </c>
      <c r="AA6892">
        <v>0.98704890000000001</v>
      </c>
      <c r="AB6892">
        <v>28</v>
      </c>
      <c r="AC6892">
        <v>0.137100000000003</v>
      </c>
      <c r="AD6892">
        <v>-8.0691999999999903E-2</v>
      </c>
      <c r="AE6892">
        <v>0.57949399999999995</v>
      </c>
      <c r="AF6892">
        <v>0.115395182801935</v>
      </c>
      <c r="AG6892">
        <v>-8.0691999999999903E-2</v>
      </c>
      <c r="AH6892">
        <v>0.57325504295379104</v>
      </c>
      <c r="AI6892">
        <v>97.856799595710598</v>
      </c>
      <c r="AJ6892">
        <v>78.618567303446099</v>
      </c>
      <c r="AK6892">
        <v>0.59029534247683602</v>
      </c>
      <c r="AL6892">
        <v>86.905579185327298</v>
      </c>
      <c r="AM6892">
        <v>89.671316699547305</v>
      </c>
      <c r="AN6892">
        <v>0.99999999875967505</v>
      </c>
    </row>
    <row r="6893" spans="1:40" x14ac:dyDescent="0.25">
      <c r="A6893" t="str">
        <f>"20190312173059465"</f>
        <v>20190312173059465</v>
      </c>
      <c r="B6893" t="str">
        <f>"1552383059454298"</f>
        <v>1552383059454298</v>
      </c>
      <c r="C6893" t="s">
        <v>40</v>
      </c>
      <c r="D6893">
        <v>3.147942</v>
      </c>
      <c r="E6893">
        <v>0.54439879999999996</v>
      </c>
      <c r="F6893" t="s">
        <v>41</v>
      </c>
      <c r="G6893">
        <v>-184.05330000000001</v>
      </c>
      <c r="H6893" s="1">
        <v>-3.3750389999999999E-6</v>
      </c>
      <c r="I6893">
        <v>14.9162</v>
      </c>
      <c r="J6893">
        <v>-187.5667</v>
      </c>
      <c r="K6893">
        <v>1.110004</v>
      </c>
      <c r="L6893">
        <v>-7.0786129999999998</v>
      </c>
      <c r="M6893">
        <v>3.201325E-2</v>
      </c>
      <c r="N6893">
        <v>0</v>
      </c>
      <c r="O6893">
        <v>0.99944189999999999</v>
      </c>
      <c r="P6893">
        <v>4.0605599999999999E-2</v>
      </c>
      <c r="Q6893">
        <v>3.986029E-2</v>
      </c>
      <c r="R6893">
        <v>0.99837989999999999</v>
      </c>
      <c r="S6893">
        <v>0.47143550000000001</v>
      </c>
      <c r="T6893">
        <v>-0.1484752</v>
      </c>
      <c r="U6893">
        <v>2.9932560000000001</v>
      </c>
      <c r="V6893">
        <v>8.5141969999999994E-3</v>
      </c>
      <c r="W6893">
        <v>4.9413409999999998E-2</v>
      </c>
      <c r="X6893">
        <v>0.99874209999999997</v>
      </c>
      <c r="Y6893">
        <v>0.12368990000000001</v>
      </c>
      <c r="Z6893">
        <v>-4.9012790000000001E-2</v>
      </c>
      <c r="AA6893">
        <v>0.99110980000000004</v>
      </c>
      <c r="AB6893">
        <v>28</v>
      </c>
      <c r="AC6893">
        <v>3.5133999999999901</v>
      </c>
      <c r="AD6893">
        <v>-1.110007375039</v>
      </c>
      <c r="AE6893">
        <v>21.994813000000001</v>
      </c>
      <c r="AF6893">
        <v>2.8004864417844701</v>
      </c>
      <c r="AG6893">
        <v>-1.110007375039</v>
      </c>
      <c r="AH6893">
        <v>22.041278798734499</v>
      </c>
      <c r="AI6893">
        <v>92.860047831716201</v>
      </c>
      <c r="AJ6893">
        <v>82.759000466677406</v>
      </c>
      <c r="AK6893">
        <v>22.246186454464599</v>
      </c>
      <c r="AL6893">
        <v>87.167666688101306</v>
      </c>
      <c r="AM6893">
        <v>89.511569866680702</v>
      </c>
      <c r="AN6893">
        <v>0.99999997947539598</v>
      </c>
    </row>
    <row r="6894" spans="1:40" x14ac:dyDescent="0.25">
      <c r="A6894" t="str">
        <f>"20190312173059487"</f>
        <v>20190312173059487</v>
      </c>
      <c r="B6894" t="str">
        <f>"1552383059473821"</f>
        <v>1552383059473821</v>
      </c>
      <c r="C6894" t="s">
        <v>40</v>
      </c>
      <c r="D6894">
        <v>3.1394880000000001</v>
      </c>
      <c r="E6894">
        <v>0.54425639999999997</v>
      </c>
      <c r="F6894" t="s">
        <v>41</v>
      </c>
      <c r="G6894">
        <v>-184.232</v>
      </c>
      <c r="H6894" s="1">
        <v>-3.090166E-6</v>
      </c>
      <c r="I6894">
        <v>14.218819999999999</v>
      </c>
      <c r="J6894">
        <v>-187.5591</v>
      </c>
      <c r="K6894">
        <v>1.109988</v>
      </c>
      <c r="L6894">
        <v>-6.7983699999999896</v>
      </c>
      <c r="M6894">
        <v>3.0807640000000001E-2</v>
      </c>
      <c r="N6894">
        <v>0</v>
      </c>
      <c r="O6894">
        <v>0.99948000000000004</v>
      </c>
      <c r="P6894">
        <v>4.0835749999999997E-2</v>
      </c>
      <c r="Q6894">
        <v>3.6146690000000002E-2</v>
      </c>
      <c r="R6894">
        <v>0.99851190000000001</v>
      </c>
      <c r="S6894">
        <v>0.46849059999999998</v>
      </c>
      <c r="T6894">
        <v>-0.15594279999999999</v>
      </c>
      <c r="U6894">
        <v>2.992035</v>
      </c>
      <c r="V6894">
        <v>9.9532349999999995E-3</v>
      </c>
      <c r="W6894">
        <v>4.5678759999999999E-2</v>
      </c>
      <c r="X6894">
        <v>0.99890659999999998</v>
      </c>
      <c r="Y6894">
        <v>0.12397759999999999</v>
      </c>
      <c r="Z6894">
        <v>-5.149807E-2</v>
      </c>
      <c r="AA6894">
        <v>0.99094780000000005</v>
      </c>
      <c r="AB6894">
        <v>28</v>
      </c>
      <c r="AC6894">
        <v>3.3271000000000002</v>
      </c>
      <c r="AD6894">
        <v>-1.1099910901659999</v>
      </c>
      <c r="AE6894">
        <v>21.017189999999999</v>
      </c>
      <c r="AF6894">
        <v>2.6707339612506198</v>
      </c>
      <c r="AG6894">
        <v>-1.1099910901659999</v>
      </c>
      <c r="AH6894">
        <v>21.0524324236345</v>
      </c>
      <c r="AI6894">
        <v>92.994176268373394</v>
      </c>
      <c r="AJ6894">
        <v>82.770017219921598</v>
      </c>
      <c r="AK6894">
        <v>21.2501720243325</v>
      </c>
      <c r="AL6894">
        <v>87.381888845278795</v>
      </c>
      <c r="AM6894">
        <v>89.429116309796797</v>
      </c>
      <c r="AN6894">
        <v>1.00000000576283</v>
      </c>
    </row>
    <row r="6895" spans="1:40" x14ac:dyDescent="0.25">
      <c r="A6895" t="str">
        <f>"20190312173059508"</f>
        <v>20190312173059508</v>
      </c>
      <c r="B6895" t="str">
        <f>"1552383059504074"</f>
        <v>1552383059504074</v>
      </c>
      <c r="C6895" t="s">
        <v>40</v>
      </c>
      <c r="D6895">
        <v>3.1119180000000002</v>
      </c>
      <c r="E6895">
        <v>0.53707249999999995</v>
      </c>
      <c r="F6895" t="s">
        <v>41</v>
      </c>
      <c r="G6895">
        <v>-184.40629999999999</v>
      </c>
      <c r="H6895" s="1">
        <v>-2.7508340000000001E-6</v>
      </c>
      <c r="I6895">
        <v>13.35798</v>
      </c>
      <c r="J6895">
        <v>-187.55170000000001</v>
      </c>
      <c r="K6895">
        <v>1.1099699999999999</v>
      </c>
      <c r="L6895">
        <v>-6.5192870000000003</v>
      </c>
      <c r="M6895">
        <v>2.9607250000000002E-2</v>
      </c>
      <c r="N6895">
        <v>0</v>
      </c>
      <c r="O6895">
        <v>0.99951650000000003</v>
      </c>
      <c r="P6895">
        <v>4.1297140000000003E-2</v>
      </c>
      <c r="Q6895">
        <v>3.2242769999999997E-2</v>
      </c>
      <c r="R6895">
        <v>0.99862649999999997</v>
      </c>
      <c r="S6895">
        <v>0.46788020000000002</v>
      </c>
      <c r="T6895">
        <v>-0.16472819999999999</v>
      </c>
      <c r="U6895">
        <v>2.9913020000000001</v>
      </c>
      <c r="V6895">
        <v>1.161947E-2</v>
      </c>
      <c r="W6895">
        <v>4.1755760000000003E-2</v>
      </c>
      <c r="X6895">
        <v>0.99906030000000001</v>
      </c>
      <c r="Y6895">
        <v>0.1249852</v>
      </c>
      <c r="Z6895">
        <v>-5.4404380000000002E-2</v>
      </c>
      <c r="AA6895">
        <v>0.99066589999999999</v>
      </c>
      <c r="AB6895">
        <v>28</v>
      </c>
      <c r="AC6895">
        <v>3.14540000000002</v>
      </c>
      <c r="AD6895">
        <v>-1.109972750834</v>
      </c>
      <c r="AE6895">
        <v>19.877267</v>
      </c>
      <c r="AF6895">
        <v>2.5477328086662898</v>
      </c>
      <c r="AG6895">
        <v>-1.109972750834</v>
      </c>
      <c r="AH6895">
        <v>19.901142216412602</v>
      </c>
      <c r="AI6895">
        <v>93.166536446821297</v>
      </c>
      <c r="AJ6895">
        <v>82.704708592982996</v>
      </c>
      <c r="AK6895">
        <v>20.094239062224499</v>
      </c>
      <c r="AL6895">
        <v>87.606875464554093</v>
      </c>
      <c r="AM6895">
        <v>89.333657261780701</v>
      </c>
      <c r="AN6895">
        <v>1.00000001930617</v>
      </c>
    </row>
    <row r="6896" spans="1:40" x14ac:dyDescent="0.25">
      <c r="A6896" t="str">
        <f>"20190312173059531"</f>
        <v>20190312173059531</v>
      </c>
      <c r="B6896" t="str">
        <f>"1552383059524570"</f>
        <v>1552383059524570</v>
      </c>
      <c r="C6896" t="s">
        <v>40</v>
      </c>
      <c r="D6896">
        <v>3.0926930000000001</v>
      </c>
      <c r="E6896">
        <v>0.53436319999999904</v>
      </c>
      <c r="F6896" t="s">
        <v>41</v>
      </c>
      <c r="G6896">
        <v>-184.62200000000001</v>
      </c>
      <c r="H6896" s="1">
        <v>-3.1598280000000001E-6</v>
      </c>
      <c r="I6896">
        <v>14.728440000000001</v>
      </c>
      <c r="J6896">
        <v>-187.5445</v>
      </c>
      <c r="K6896">
        <v>1.1099540000000001</v>
      </c>
      <c r="L6896">
        <v>-6.233276</v>
      </c>
      <c r="M6896">
        <v>2.8377179999999998E-2</v>
      </c>
      <c r="N6896">
        <v>0</v>
      </c>
      <c r="O6896">
        <v>0.99955240000000001</v>
      </c>
      <c r="P6896">
        <v>4.1362429999999999E-2</v>
      </c>
      <c r="Q6896">
        <v>2.7250699999999999E-2</v>
      </c>
      <c r="R6896">
        <v>0.99877249999999995</v>
      </c>
      <c r="S6896">
        <v>0.41256710000000002</v>
      </c>
      <c r="T6896">
        <v>-0.15630749999999999</v>
      </c>
      <c r="U6896">
        <v>2.9921259999999998</v>
      </c>
      <c r="V6896">
        <v>1.2921240000000001E-2</v>
      </c>
      <c r="W6896">
        <v>3.6741389999999999E-2</v>
      </c>
      <c r="X6896">
        <v>0.9992413</v>
      </c>
      <c r="Y6896">
        <v>0.1082415</v>
      </c>
      <c r="Z6896">
        <v>-5.1739689999999998E-2</v>
      </c>
      <c r="AA6896">
        <v>0.99277729999999997</v>
      </c>
      <c r="AB6896">
        <v>28</v>
      </c>
      <c r="AC6896">
        <v>2.9224999999999799</v>
      </c>
      <c r="AD6896">
        <v>-1.109957159828</v>
      </c>
      <c r="AE6896">
        <v>20.961715999999999</v>
      </c>
      <c r="AF6896">
        <v>2.3200807065508902</v>
      </c>
      <c r="AG6896">
        <v>-1.109957159828</v>
      </c>
      <c r="AH6896">
        <v>20.978510148504402</v>
      </c>
      <c r="AI6896">
        <v>93.010333028993401</v>
      </c>
      <c r="AJ6896">
        <v>83.689121786822497</v>
      </c>
      <c r="AK6896">
        <v>21.135578237476</v>
      </c>
      <c r="AL6896">
        <v>87.894399569987897</v>
      </c>
      <c r="AM6896">
        <v>89.259146656531897</v>
      </c>
      <c r="AN6896">
        <v>1.0000000319039699</v>
      </c>
    </row>
    <row r="6897" spans="1:40" x14ac:dyDescent="0.25">
      <c r="A6897" t="str">
        <f>"20190312173059553"</f>
        <v>20190312173059553</v>
      </c>
      <c r="B6897" t="str">
        <f>"1552383059544090"</f>
        <v>1552383059544090</v>
      </c>
      <c r="C6897" t="s">
        <v>40</v>
      </c>
      <c r="D6897">
        <v>3.1300240000000001</v>
      </c>
      <c r="E6897">
        <v>0.532335</v>
      </c>
      <c r="F6897" t="s">
        <v>41</v>
      </c>
      <c r="G6897">
        <v>-184.84639999999999</v>
      </c>
      <c r="H6897" s="1">
        <v>-2.9876209999999999E-6</v>
      </c>
      <c r="I6897">
        <v>14.39785</v>
      </c>
      <c r="J6897">
        <v>-187.5378</v>
      </c>
      <c r="K6897">
        <v>1.1099300000000001</v>
      </c>
      <c r="L6897">
        <v>-5.9504700000000001</v>
      </c>
      <c r="M6897">
        <v>2.7161649999999999E-2</v>
      </c>
      <c r="N6897">
        <v>0</v>
      </c>
      <c r="O6897">
        <v>0.99958650000000004</v>
      </c>
      <c r="P6897">
        <v>4.1429090000000002E-2</v>
      </c>
      <c r="Q6897">
        <v>2.344456E-2</v>
      </c>
      <c r="R6897">
        <v>0.99886629999999998</v>
      </c>
      <c r="S6897">
        <v>0.39128109999999999</v>
      </c>
      <c r="T6897">
        <v>-0.16096350000000001</v>
      </c>
      <c r="U6897">
        <v>2.9918819999999999</v>
      </c>
      <c r="V6897">
        <v>1.4208999999999999E-2</v>
      </c>
      <c r="W6897">
        <v>3.2911860000000001E-2</v>
      </c>
      <c r="X6897">
        <v>0.99935719999999995</v>
      </c>
      <c r="Y6897">
        <v>0.1025108</v>
      </c>
      <c r="Z6897">
        <v>-5.3324860000000002E-2</v>
      </c>
      <c r="AA6897">
        <v>0.99330160000000001</v>
      </c>
      <c r="AB6897">
        <v>28</v>
      </c>
      <c r="AC6897">
        <v>2.69140000000001</v>
      </c>
      <c r="AD6897">
        <v>-1.10993298762099</v>
      </c>
      <c r="AE6897">
        <v>20.348320000000001</v>
      </c>
      <c r="AF6897">
        <v>2.1314556046425102</v>
      </c>
      <c r="AG6897">
        <v>-1.10993298762099</v>
      </c>
      <c r="AH6897">
        <v>20.354398067211999</v>
      </c>
      <c r="AI6897">
        <v>93.1043284318758</v>
      </c>
      <c r="AJ6897">
        <v>84.021933987567806</v>
      </c>
      <c r="AK6897">
        <v>20.495769683280901</v>
      </c>
      <c r="AL6897">
        <v>88.1139486344712</v>
      </c>
      <c r="AM6897">
        <v>89.185415506654294</v>
      </c>
      <c r="AN6897">
        <v>0.99999994970074801</v>
      </c>
    </row>
    <row r="6898" spans="1:40" x14ac:dyDescent="0.25">
      <c r="A6898" t="str">
        <f>"20190312173059577"</f>
        <v>20190312173059577</v>
      </c>
      <c r="B6898" t="str">
        <f>"1552383059564586"</f>
        <v>1552383059564586</v>
      </c>
      <c r="C6898" t="s">
        <v>40</v>
      </c>
      <c r="D6898">
        <v>3.1185019999999999</v>
      </c>
      <c r="E6898">
        <v>0.53079969999999999</v>
      </c>
      <c r="F6898" t="s">
        <v>41</v>
      </c>
      <c r="G6898">
        <v>-185.01660000000001</v>
      </c>
      <c r="H6898" s="1">
        <v>-2.8585650000000001E-6</v>
      </c>
      <c r="I6898">
        <v>14.151680000000001</v>
      </c>
      <c r="J6898">
        <v>-187.53120000000001</v>
      </c>
      <c r="K6898">
        <v>1.1099030000000001</v>
      </c>
      <c r="L6898">
        <v>-5.6563109999999996</v>
      </c>
      <c r="M6898">
        <v>2.589725E-2</v>
      </c>
      <c r="N6898">
        <v>0</v>
      </c>
      <c r="O6898">
        <v>0.99962030000000002</v>
      </c>
      <c r="P6898">
        <v>4.1365119999999998E-2</v>
      </c>
      <c r="Q6898">
        <v>1.830126E-2</v>
      </c>
      <c r="R6898">
        <v>0.99897650000000004</v>
      </c>
      <c r="S6898">
        <v>0.37522889999999998</v>
      </c>
      <c r="T6898">
        <v>-0.16518720000000001</v>
      </c>
      <c r="U6898">
        <v>2.99173</v>
      </c>
      <c r="V6898">
        <v>1.541784E-2</v>
      </c>
      <c r="W6898">
        <v>2.7743899999999998E-2</v>
      </c>
      <c r="X6898">
        <v>0.99949619999999995</v>
      </c>
      <c r="Y6898">
        <v>9.8521570000000003E-2</v>
      </c>
      <c r="Z6898">
        <v>-5.475505E-2</v>
      </c>
      <c r="AA6898">
        <v>0.99362740000000005</v>
      </c>
      <c r="AB6898">
        <v>28</v>
      </c>
      <c r="AC6898">
        <v>2.5146000000000002</v>
      </c>
      <c r="AD6898">
        <v>-1.1099058585649999</v>
      </c>
      <c r="AE6898">
        <v>19.807991000000001</v>
      </c>
      <c r="AF6898">
        <v>1.9945981737515599</v>
      </c>
      <c r="AG6898">
        <v>-1.1099058585649999</v>
      </c>
      <c r="AH6898">
        <v>19.805274277421699</v>
      </c>
      <c r="AI6898">
        <v>93.191443031873803</v>
      </c>
      <c r="AJ6898">
        <v>84.2491066903426</v>
      </c>
      <c r="AK6898">
        <v>19.936378861104899</v>
      </c>
      <c r="AL6898">
        <v>88.410187695128201</v>
      </c>
      <c r="AM6898">
        <v>89.1162476607428</v>
      </c>
      <c r="AN6898">
        <v>1.00000004379595</v>
      </c>
    </row>
    <row r="6899" spans="1:40" x14ac:dyDescent="0.25">
      <c r="A6899" t="str">
        <f>"20190312173059600"</f>
        <v>20190312173059600</v>
      </c>
      <c r="B6899" t="str">
        <f>"1552383059594842"</f>
        <v>1552383059594842</v>
      </c>
      <c r="C6899" t="s">
        <v>40</v>
      </c>
      <c r="D6899">
        <v>3.1202100000000002</v>
      </c>
      <c r="E6899">
        <v>0.5295434</v>
      </c>
      <c r="F6899" t="s">
        <v>41</v>
      </c>
      <c r="G6899">
        <v>-185.20349999999999</v>
      </c>
      <c r="H6899" s="1">
        <v>-2.597402E-6</v>
      </c>
      <c r="I6899">
        <v>13.530390000000001</v>
      </c>
      <c r="J6899">
        <v>-187.52510000000001</v>
      </c>
      <c r="K6899">
        <v>1.109883</v>
      </c>
      <c r="L6899">
        <v>-5.3703609999999999</v>
      </c>
      <c r="M6899">
        <v>2.466817E-2</v>
      </c>
      <c r="N6899">
        <v>0</v>
      </c>
      <c r="O6899">
        <v>0.99965170000000003</v>
      </c>
      <c r="P6899">
        <v>4.108701E-2</v>
      </c>
      <c r="Q6899">
        <v>1.397953E-2</v>
      </c>
      <c r="R6899">
        <v>0.9990578</v>
      </c>
      <c r="S6899">
        <v>0.3628845</v>
      </c>
      <c r="T6899">
        <v>-0.17303450000000001</v>
      </c>
      <c r="U6899">
        <v>2.9912109999999998</v>
      </c>
      <c r="V6899">
        <v>1.6376450000000001E-2</v>
      </c>
      <c r="W6899">
        <v>2.3396090000000001E-2</v>
      </c>
      <c r="X6899">
        <v>0.99959209999999998</v>
      </c>
      <c r="Y6899">
        <v>9.5709169999999996E-2</v>
      </c>
      <c r="Z6899">
        <v>-5.7382629999999997E-2</v>
      </c>
      <c r="AA6899">
        <v>0.99375400000000003</v>
      </c>
      <c r="AB6899">
        <v>28</v>
      </c>
      <c r="AC6899">
        <v>2.3216000000000099</v>
      </c>
      <c r="AD6899">
        <v>-1.1098855974020001</v>
      </c>
      <c r="AE6899">
        <v>18.900751</v>
      </c>
      <c r="AF6899">
        <v>1.84834719106138</v>
      </c>
      <c r="AG6899">
        <v>-1.1098855974020001</v>
      </c>
      <c r="AH6899">
        <v>18.8881082326883</v>
      </c>
      <c r="AI6899">
        <v>93.3469441709628</v>
      </c>
      <c r="AJ6899">
        <v>84.410960829126097</v>
      </c>
      <c r="AK6899">
        <v>19.010756586411102</v>
      </c>
      <c r="AL6899">
        <v>88.659380416953795</v>
      </c>
      <c r="AM6899">
        <v>89.061399611883203</v>
      </c>
      <c r="AN6899">
        <v>0.999999965762149</v>
      </c>
    </row>
    <row r="6900" spans="1:40" x14ac:dyDescent="0.25">
      <c r="A6900" t="str">
        <f>"20190312173059623"</f>
        <v>20190312173059623</v>
      </c>
      <c r="B6900" t="str">
        <f>"1552383059614363"</f>
        <v>1552383059614363</v>
      </c>
      <c r="C6900" t="s">
        <v>40</v>
      </c>
      <c r="D6900">
        <v>3.081566</v>
      </c>
      <c r="E6900">
        <v>0.52811719999999995</v>
      </c>
      <c r="F6900" t="s">
        <v>41</v>
      </c>
      <c r="G6900">
        <v>-185.34399999999999</v>
      </c>
      <c r="H6900" s="1">
        <v>-2.4343679999999999E-6</v>
      </c>
      <c r="I6900">
        <v>13.16117</v>
      </c>
      <c r="J6900">
        <v>-187.51910000000001</v>
      </c>
      <c r="K6900">
        <v>1.109856</v>
      </c>
      <c r="L6900">
        <v>-5.0779110000000003</v>
      </c>
      <c r="M6900">
        <v>2.3411339999999999E-2</v>
      </c>
      <c r="N6900">
        <v>0</v>
      </c>
      <c r="O6900">
        <v>0.99968219999999997</v>
      </c>
      <c r="P6900">
        <v>4.1636680000000002E-2</v>
      </c>
      <c r="Q6900">
        <v>9.6988119999999994E-3</v>
      </c>
      <c r="R6900">
        <v>0.99908569999999997</v>
      </c>
      <c r="S6900">
        <v>0.35200500000000001</v>
      </c>
      <c r="T6900">
        <v>-0.17912690000000001</v>
      </c>
      <c r="U6900">
        <v>2.9908450000000002</v>
      </c>
      <c r="V6900">
        <v>1.819173E-2</v>
      </c>
      <c r="W6900">
        <v>1.908646E-2</v>
      </c>
      <c r="X6900">
        <v>0.99965230000000005</v>
      </c>
      <c r="Y6900">
        <v>9.3396950000000006E-2</v>
      </c>
      <c r="Z6900">
        <v>-5.9425119999999998E-2</v>
      </c>
      <c r="AA6900">
        <v>0.99385389999999996</v>
      </c>
      <c r="AB6900">
        <v>28</v>
      </c>
      <c r="AC6900">
        <v>2.17509999999998</v>
      </c>
      <c r="AD6900">
        <v>-1.109858434368</v>
      </c>
      <c r="AE6900">
        <v>18.239080999999999</v>
      </c>
      <c r="AF6900">
        <v>1.7411271717069901</v>
      </c>
      <c r="AG6900">
        <v>-1.109858434368</v>
      </c>
      <c r="AH6900">
        <v>18.2184924269696</v>
      </c>
      <c r="AI6900">
        <v>93.470339303363701</v>
      </c>
      <c r="AJ6900">
        <v>84.540866851436206</v>
      </c>
      <c r="AK6900">
        <v>18.335124103314499</v>
      </c>
      <c r="AL6900">
        <v>88.906359962644501</v>
      </c>
      <c r="AM6900">
        <v>88.957443189382602</v>
      </c>
      <c r="AN6900">
        <v>0.99999997644550698</v>
      </c>
    </row>
    <row r="6901" spans="1:40" x14ac:dyDescent="0.25">
      <c r="A6901" t="str">
        <f>"20190312173059643"</f>
        <v>20190312173059643</v>
      </c>
      <c r="B6901" t="str">
        <f>"1552383059634858"</f>
        <v>1552383059634858</v>
      </c>
      <c r="C6901" t="s">
        <v>40</v>
      </c>
      <c r="D6901">
        <v>3.1212909999999998</v>
      </c>
      <c r="E6901">
        <v>0.5273525</v>
      </c>
      <c r="F6901" t="s">
        <v>41</v>
      </c>
      <c r="G6901">
        <v>-185.43029999999999</v>
      </c>
      <c r="H6901" s="1">
        <v>-2.4145279999999998E-6</v>
      </c>
      <c r="I6901">
        <v>13.170339999999999</v>
      </c>
      <c r="J6901">
        <v>-187.51429999999999</v>
      </c>
      <c r="K6901">
        <v>1.1098319999999999</v>
      </c>
      <c r="L6901">
        <v>-4.8201599999999996</v>
      </c>
      <c r="M6901">
        <v>2.2304149999999998E-2</v>
      </c>
      <c r="N6901">
        <v>0</v>
      </c>
      <c r="O6901">
        <v>0.99970780000000004</v>
      </c>
      <c r="P6901">
        <v>4.216814E-2</v>
      </c>
      <c r="Q6901">
        <v>5.0370399999999996E-3</v>
      </c>
      <c r="R6901">
        <v>0.99909780000000004</v>
      </c>
      <c r="S6901">
        <v>0.34228520000000001</v>
      </c>
      <c r="T6901">
        <v>-0.181866</v>
      </c>
      <c r="U6901">
        <v>2.9902340000000001</v>
      </c>
      <c r="V6901">
        <v>1.9840449999999999E-2</v>
      </c>
      <c r="W6901">
        <v>1.4397899999999899E-2</v>
      </c>
      <c r="X6901">
        <v>0.99969949999999996</v>
      </c>
      <c r="Y6901">
        <v>9.1328989999999999E-2</v>
      </c>
      <c r="Z6901">
        <v>-6.036205E-2</v>
      </c>
      <c r="AA6901">
        <v>0.99398960000000003</v>
      </c>
      <c r="AB6901">
        <v>29</v>
      </c>
      <c r="AC6901">
        <v>2.0840000000000001</v>
      </c>
      <c r="AD6901">
        <v>-1.1098344145279999</v>
      </c>
      <c r="AE6901">
        <v>17.990499999999901</v>
      </c>
      <c r="AF6901">
        <v>1.6759078029169301</v>
      </c>
      <c r="AG6901">
        <v>-1.1098344145279999</v>
      </c>
      <c r="AH6901">
        <v>17.965044440086</v>
      </c>
      <c r="AI6901">
        <v>93.519849963081796</v>
      </c>
      <c r="AJ6901">
        <v>84.670464364491593</v>
      </c>
      <c r="AK6901">
        <v>18.0771463767326</v>
      </c>
      <c r="AL6901">
        <v>89.175032605644503</v>
      </c>
      <c r="AM6901">
        <v>88.863033508574802</v>
      </c>
      <c r="AN6901">
        <v>1.0000000166404299</v>
      </c>
    </row>
    <row r="6902" spans="1:40" x14ac:dyDescent="0.25">
      <c r="A6902" t="str">
        <f>"20190312173059666"</f>
        <v>20190312173059666</v>
      </c>
      <c r="B6902" t="str">
        <f>"1552383059654378"</f>
        <v>1552383059654378</v>
      </c>
      <c r="C6902" t="s">
        <v>40</v>
      </c>
      <c r="D6902">
        <v>3.1179510000000001</v>
      </c>
      <c r="E6902">
        <v>0.52666869999999999</v>
      </c>
      <c r="F6902" t="s">
        <v>41</v>
      </c>
      <c r="G6902">
        <v>-185.53229999999999</v>
      </c>
      <c r="H6902" s="1">
        <v>-2.2306910000000001E-6</v>
      </c>
      <c r="I6902">
        <v>12.70989</v>
      </c>
      <c r="J6902">
        <v>-187.50899999999999</v>
      </c>
      <c r="K6902">
        <v>1.109807</v>
      </c>
      <c r="L6902">
        <v>-4.52597</v>
      </c>
      <c r="M6902">
        <v>2.104058E-2</v>
      </c>
      <c r="N6902">
        <v>0</v>
      </c>
      <c r="O6902">
        <v>0.9997355</v>
      </c>
      <c r="P6902">
        <v>4.2537159999999997E-2</v>
      </c>
      <c r="Q6902" s="1">
        <v>-4.5741039999999997E-5</v>
      </c>
      <c r="R6902">
        <v>0.99909490000000001</v>
      </c>
      <c r="S6902">
        <v>0.33798220000000001</v>
      </c>
      <c r="T6902">
        <v>-0.1892607</v>
      </c>
      <c r="U6902">
        <v>2.9894099999999999</v>
      </c>
      <c r="V6902">
        <v>2.1484469999999999E-2</v>
      </c>
      <c r="W6902">
        <v>9.2856190000000002E-3</v>
      </c>
      <c r="X6902">
        <v>0.99972609999999995</v>
      </c>
      <c r="Y6902">
        <v>9.1188980000000003E-2</v>
      </c>
      <c r="Z6902">
        <v>-6.2832009999999994E-2</v>
      </c>
      <c r="AA6902">
        <v>0.99384950000000005</v>
      </c>
      <c r="AB6902">
        <v>29</v>
      </c>
      <c r="AC6902">
        <v>1.9767000000000201</v>
      </c>
      <c r="AD6902">
        <v>-1.1098092306909999</v>
      </c>
      <c r="AE6902">
        <v>17.235859999999999</v>
      </c>
      <c r="AF6902">
        <v>1.6070180147244699</v>
      </c>
      <c r="AG6902">
        <v>-1.1098092306909999</v>
      </c>
      <c r="AH6902">
        <v>17.203237821840499</v>
      </c>
      <c r="AI6902">
        <v>93.675174295934994</v>
      </c>
      <c r="AJ6902">
        <v>84.663276518259195</v>
      </c>
      <c r="AK6902">
        <v>17.313739485823898</v>
      </c>
      <c r="AL6902">
        <v>89.467965596704005</v>
      </c>
      <c r="AM6902">
        <v>88.768882790188002</v>
      </c>
      <c r="AN6902">
        <v>1.0000000400963001</v>
      </c>
    </row>
    <row r="6903" spans="1:40" x14ac:dyDescent="0.25">
      <c r="A6903" t="str">
        <f>"20190312173059688"</f>
        <v>20190312173059688</v>
      </c>
      <c r="B6903" t="str">
        <f>"1552383059684634"</f>
        <v>1552383059684634</v>
      </c>
      <c r="C6903" t="s">
        <v>40</v>
      </c>
      <c r="D6903">
        <v>3.093235</v>
      </c>
      <c r="E6903">
        <v>0.51886239999999995</v>
      </c>
      <c r="F6903" t="s">
        <v>42</v>
      </c>
      <c r="G6903">
        <v>-187.40270000000001</v>
      </c>
      <c r="H6903">
        <v>1.0469759999999999</v>
      </c>
      <c r="I6903">
        <v>-3.5742180000000001</v>
      </c>
      <c r="J6903">
        <v>-187.5043</v>
      </c>
      <c r="K6903">
        <v>1.1097939999999999</v>
      </c>
      <c r="L6903">
        <v>-4.2414249999999996</v>
      </c>
      <c r="M6903">
        <v>1.9818909999999999E-2</v>
      </c>
      <c r="N6903">
        <v>0</v>
      </c>
      <c r="O6903">
        <v>0.99976069999999995</v>
      </c>
      <c r="P6903">
        <v>4.3177109999999998E-2</v>
      </c>
      <c r="Q6903">
        <v>-4.3334569999999998E-3</v>
      </c>
      <c r="R6903">
        <v>0.999058</v>
      </c>
      <c r="S6903">
        <v>0.33378600000000003</v>
      </c>
      <c r="T6903">
        <v>-0.19730439999999999</v>
      </c>
      <c r="U6903">
        <v>2.9884949999999999</v>
      </c>
      <c r="V6903">
        <v>2.3356390000000001E-2</v>
      </c>
      <c r="W6903">
        <v>4.9732159999999999E-3</v>
      </c>
      <c r="X6903">
        <v>0.99971489999999996</v>
      </c>
      <c r="Y6903">
        <v>9.1042590000000007E-2</v>
      </c>
      <c r="Z6903">
        <v>-6.5518969999999996E-2</v>
      </c>
      <c r="AA6903">
        <v>0.99368939999999994</v>
      </c>
      <c r="AB6903">
        <v>29</v>
      </c>
      <c r="AC6903">
        <v>0.10159999999999</v>
      </c>
      <c r="AD6903">
        <v>-6.2817999999999805E-2</v>
      </c>
      <c r="AE6903">
        <v>0.667206999999999</v>
      </c>
      <c r="AF6903">
        <v>8.7597264496470997E-2</v>
      </c>
      <c r="AG6903">
        <v>-6.2817999999999805E-2</v>
      </c>
      <c r="AH6903">
        <v>0.66334278208558495</v>
      </c>
      <c r="AI6903">
        <v>95.363441383212304</v>
      </c>
      <c r="AJ6903">
        <v>82.477372007206696</v>
      </c>
      <c r="AK6903">
        <v>0.67204391851746403</v>
      </c>
      <c r="AL6903">
        <v>89.715054557247996</v>
      </c>
      <c r="AM6903">
        <v>88.661639263614802</v>
      </c>
      <c r="AN6903">
        <v>1.0000000675566101</v>
      </c>
    </row>
    <row r="6904" spans="1:40" x14ac:dyDescent="0.25">
      <c r="A6904" t="str">
        <f>"20190312173059710"</f>
        <v>20190312173059710</v>
      </c>
      <c r="B6904" t="str">
        <f>"1552383059704154"</f>
        <v>1552383059704154</v>
      </c>
      <c r="C6904" t="s">
        <v>40</v>
      </c>
      <c r="D6904">
        <v>3.0971609999999998</v>
      </c>
      <c r="E6904">
        <v>0.51903889999999997</v>
      </c>
      <c r="F6904" t="s">
        <v>41</v>
      </c>
      <c r="G6904">
        <v>-184.8321</v>
      </c>
      <c r="H6904" s="1">
        <v>-3.0852440000000001E-6</v>
      </c>
      <c r="I6904">
        <v>24.67352</v>
      </c>
      <c r="J6904">
        <v>-187.5001</v>
      </c>
      <c r="K6904">
        <v>1.109777</v>
      </c>
      <c r="L6904">
        <v>-3.9631959999999999</v>
      </c>
      <c r="M6904">
        <v>1.8624890000000002E-2</v>
      </c>
      <c r="N6904">
        <v>0</v>
      </c>
      <c r="O6904">
        <v>0.99978389999999995</v>
      </c>
      <c r="P6904">
        <v>4.3353999999999997E-2</v>
      </c>
      <c r="Q6904">
        <v>-8.1472809999999993E-3</v>
      </c>
      <c r="R6904">
        <v>0.99902650000000004</v>
      </c>
      <c r="S6904">
        <v>0.27636719999999998</v>
      </c>
      <c r="T6904">
        <v>-0.1147753</v>
      </c>
      <c r="U6904">
        <v>2.9903870000000001</v>
      </c>
      <c r="V6904">
        <v>2.473641E-2</v>
      </c>
      <c r="W6904">
        <v>1.1375580000000001E-3</v>
      </c>
      <c r="X6904">
        <v>0.99969330000000001</v>
      </c>
      <c r="Y6904">
        <v>7.339656E-2</v>
      </c>
      <c r="Z6904">
        <v>-3.82102E-2</v>
      </c>
      <c r="AA6904">
        <v>0.99657059999999997</v>
      </c>
      <c r="AB6904">
        <v>29</v>
      </c>
      <c r="AC6904">
        <v>2.6680000000000001</v>
      </c>
      <c r="AD6904">
        <v>-1.1097800852439901</v>
      </c>
      <c r="AE6904">
        <v>28.6367159999999</v>
      </c>
      <c r="AF6904">
        <v>2.13098586156543</v>
      </c>
      <c r="AG6904">
        <v>-1.1097800852439901</v>
      </c>
      <c r="AH6904">
        <v>28.638800486291199</v>
      </c>
      <c r="AI6904">
        <v>92.213042346393706</v>
      </c>
      <c r="AJ6904">
        <v>85.744517851717504</v>
      </c>
      <c r="AK6904">
        <v>28.739408586005901</v>
      </c>
      <c r="AL6904">
        <v>89.934822709618501</v>
      </c>
      <c r="AM6904">
        <v>88.582562525377796</v>
      </c>
      <c r="AN6904">
        <v>0.99999993904138795</v>
      </c>
    </row>
    <row r="6905" spans="1:40" x14ac:dyDescent="0.25">
      <c r="A6905" t="str">
        <f>"20190312173059732"</f>
        <v>20190312173059732</v>
      </c>
      <c r="B6905" t="str">
        <f>"1552383059724650"</f>
        <v>1552383059724650</v>
      </c>
      <c r="C6905" t="s">
        <v>40</v>
      </c>
      <c r="D6905">
        <v>3.1172399999999998</v>
      </c>
      <c r="E6905">
        <v>0.51827349999999905</v>
      </c>
      <c r="F6905" t="s">
        <v>41</v>
      </c>
      <c r="G6905">
        <v>-185.10149999999999</v>
      </c>
      <c r="H6905" s="1">
        <v>-2.0432729999999999E-6</v>
      </c>
      <c r="I6905">
        <v>21.82235</v>
      </c>
      <c r="J6905">
        <v>-187.49600000000001</v>
      </c>
      <c r="K6905">
        <v>1.109761</v>
      </c>
      <c r="L6905">
        <v>-3.670715</v>
      </c>
      <c r="M6905">
        <v>1.7370110000000001E-2</v>
      </c>
      <c r="N6905">
        <v>0</v>
      </c>
      <c r="O6905">
        <v>0.99980670000000005</v>
      </c>
      <c r="P6905">
        <v>4.2827049999999998E-2</v>
      </c>
      <c r="Q6905">
        <v>-1.2315329999999999E-2</v>
      </c>
      <c r="R6905">
        <v>0.99900659999999997</v>
      </c>
      <c r="S6905">
        <v>0.27810669999999998</v>
      </c>
      <c r="T6905">
        <v>-0.12867770000000001</v>
      </c>
      <c r="U6905">
        <v>2.9898069999999999</v>
      </c>
      <c r="V6905">
        <v>2.5474009999999998E-2</v>
      </c>
      <c r="W6905">
        <v>-3.052286E-3</v>
      </c>
      <c r="X6905">
        <v>0.99967079999999997</v>
      </c>
      <c r="Y6905">
        <v>7.5223280000000003E-2</v>
      </c>
      <c r="Z6905">
        <v>-4.2836079999999999E-2</v>
      </c>
      <c r="AA6905">
        <v>0.99624619999999997</v>
      </c>
      <c r="AB6905">
        <v>29</v>
      </c>
      <c r="AC6905">
        <v>2.3944999999999901</v>
      </c>
      <c r="AD6905">
        <v>-1.1097630432729999</v>
      </c>
      <c r="AE6905">
        <v>25.493064999999898</v>
      </c>
      <c r="AF6905">
        <v>1.9476440084714799</v>
      </c>
      <c r="AG6905">
        <v>-1.1097630432729999</v>
      </c>
      <c r="AH6905">
        <v>25.4829443192383</v>
      </c>
      <c r="AI6905">
        <v>92.486370179263901</v>
      </c>
      <c r="AJ6905">
        <v>85.629419697432397</v>
      </c>
      <c r="AK6905">
        <v>25.581347548034898</v>
      </c>
      <c r="AL6905">
        <v>90.174883381587605</v>
      </c>
      <c r="AM6905">
        <v>88.5402819991223</v>
      </c>
      <c r="AN6905">
        <v>0.99999997500397197</v>
      </c>
    </row>
    <row r="6906" spans="1:40" x14ac:dyDescent="0.25">
      <c r="A6906" t="str">
        <f>"20190312173059754"</f>
        <v>20190312173059754</v>
      </c>
      <c r="B6906" t="str">
        <f>"1552383059745146"</f>
        <v>1552383059745146</v>
      </c>
      <c r="C6906" t="s">
        <v>40</v>
      </c>
      <c r="D6906">
        <v>3.121327</v>
      </c>
      <c r="E6906">
        <v>0.51065990000000006</v>
      </c>
      <c r="F6906" t="s">
        <v>41</v>
      </c>
      <c r="G6906">
        <v>-185.36</v>
      </c>
      <c r="H6906" s="1">
        <v>-1.3367519999999901E-6</v>
      </c>
      <c r="I6906">
        <v>19.948260000000001</v>
      </c>
      <c r="J6906">
        <v>-187.4922</v>
      </c>
      <c r="K6906">
        <v>1.109748</v>
      </c>
      <c r="L6906">
        <v>-3.3792110000000002</v>
      </c>
      <c r="M6906">
        <v>1.6121899999999901E-2</v>
      </c>
      <c r="N6906">
        <v>0</v>
      </c>
      <c r="O6906">
        <v>0.99982780000000004</v>
      </c>
      <c r="P6906">
        <v>4.1908960000000002E-2</v>
      </c>
      <c r="Q6906">
        <v>-1.6425490000000001E-2</v>
      </c>
      <c r="R6906">
        <v>0.99898640000000005</v>
      </c>
      <c r="S6906">
        <v>0.27037050000000001</v>
      </c>
      <c r="T6906">
        <v>-0.14047209999999999</v>
      </c>
      <c r="U6906">
        <v>2.989655</v>
      </c>
      <c r="V6906">
        <v>2.5813719999999998E-2</v>
      </c>
      <c r="W6906">
        <v>-7.1820089999999996E-3</v>
      </c>
      <c r="X6906">
        <v>0.99964090000000005</v>
      </c>
      <c r="Y6906">
        <v>7.3900510000000003E-2</v>
      </c>
      <c r="Z6906">
        <v>-4.6765760000000003E-2</v>
      </c>
      <c r="AA6906">
        <v>0.99616850000000001</v>
      </c>
      <c r="AB6906">
        <v>29</v>
      </c>
      <c r="AC6906">
        <v>2.1321999999999801</v>
      </c>
      <c r="AD6906">
        <v>-1.1097493367519999</v>
      </c>
      <c r="AE6906">
        <v>23.327470999999999</v>
      </c>
      <c r="AF6906">
        <v>1.75189187088742</v>
      </c>
      <c r="AG6906">
        <v>-1.1097493367519999</v>
      </c>
      <c r="AH6906">
        <v>23.3065062866593</v>
      </c>
      <c r="AI6906">
        <v>92.7184467823582</v>
      </c>
      <c r="AJ6906">
        <v>85.701303283168201</v>
      </c>
      <c r="AK6906">
        <v>23.398587649851699</v>
      </c>
      <c r="AL6906">
        <v>90.411502370956995</v>
      </c>
      <c r="AM6906">
        <v>88.520780220697105</v>
      </c>
      <c r="AN6906">
        <v>0.99999992917315905</v>
      </c>
    </row>
    <row r="6907" spans="1:40" x14ac:dyDescent="0.25">
      <c r="A6907" t="str">
        <f>"20190312173059778"</f>
        <v>20190312173059778</v>
      </c>
      <c r="B6907" t="str">
        <f>"1552383059774426"</f>
        <v>1552383059774426</v>
      </c>
      <c r="C6907" t="s">
        <v>40</v>
      </c>
      <c r="D6907">
        <v>3.1030479999999998</v>
      </c>
      <c r="E6907">
        <v>0.51059409999999905</v>
      </c>
      <c r="F6907" t="s">
        <v>41</v>
      </c>
      <c r="G6907">
        <v>-185.5848</v>
      </c>
      <c r="H6907" s="1">
        <v>-2.6826879999999998E-6</v>
      </c>
      <c r="I6907">
        <v>24.060549999999999</v>
      </c>
      <c r="J6907">
        <v>-187.4888</v>
      </c>
      <c r="K6907">
        <v>1.109726</v>
      </c>
      <c r="L6907">
        <v>-3.0845030000000002</v>
      </c>
      <c r="M6907">
        <v>1.4866269999999999E-2</v>
      </c>
      <c r="N6907">
        <v>0</v>
      </c>
      <c r="O6907">
        <v>0.99984740000000005</v>
      </c>
      <c r="P6907">
        <v>4.0248199999999998E-2</v>
      </c>
      <c r="Q6907">
        <v>-1.8790310000000001E-2</v>
      </c>
      <c r="R6907">
        <v>0.99901300000000004</v>
      </c>
      <c r="S6907">
        <v>0.20800779999999999</v>
      </c>
      <c r="T6907">
        <v>-0.12101969999999999</v>
      </c>
      <c r="U6907">
        <v>2.99234</v>
      </c>
      <c r="V6907">
        <v>2.5413419999999999E-2</v>
      </c>
      <c r="W6907">
        <v>-9.5652380000000002E-3</v>
      </c>
      <c r="X6907">
        <v>0.9996313</v>
      </c>
      <c r="Y6907">
        <v>5.4450900000000003E-2</v>
      </c>
      <c r="Z6907">
        <v>-4.0324890000000002E-2</v>
      </c>
      <c r="AA6907">
        <v>0.99770190000000003</v>
      </c>
      <c r="AB6907">
        <v>29</v>
      </c>
      <c r="AC6907">
        <v>1.9039999999999899</v>
      </c>
      <c r="AD6907">
        <v>-1.109728682688</v>
      </c>
      <c r="AE6907">
        <v>27.145053000000001</v>
      </c>
      <c r="AF6907">
        <v>1.4977360027048101</v>
      </c>
      <c r="AG6907">
        <v>-1.109728682688</v>
      </c>
      <c r="AH6907">
        <v>27.125247289015402</v>
      </c>
      <c r="AI6907">
        <v>92.339178309523803</v>
      </c>
      <c r="AJ6907">
        <v>86.839590019049794</v>
      </c>
      <c r="AK6907">
        <v>27.189221235136898</v>
      </c>
      <c r="AL6907">
        <v>90.548056105312099</v>
      </c>
      <c r="AM6907">
        <v>88.543694927211504</v>
      </c>
      <c r="AN6907">
        <v>1.0000000358168899</v>
      </c>
    </row>
    <row r="6908" spans="1:40" x14ac:dyDescent="0.25">
      <c r="A6908" t="str">
        <f>"20190312173059800"</f>
        <v>20190312173059800</v>
      </c>
      <c r="B6908" t="str">
        <f>"1552383059794924"</f>
        <v>1552383059794924</v>
      </c>
      <c r="C6908" t="s">
        <v>40</v>
      </c>
      <c r="D6908">
        <v>3.1024539999999998</v>
      </c>
      <c r="E6908">
        <v>0.51063590000000003</v>
      </c>
      <c r="F6908" t="s">
        <v>41</v>
      </c>
      <c r="G6908">
        <v>-185.61709999999999</v>
      </c>
      <c r="H6908" s="1">
        <v>-2.882442E-6</v>
      </c>
      <c r="I6908">
        <v>24.539560000000002</v>
      </c>
      <c r="J6908">
        <v>-187.48570000000001</v>
      </c>
      <c r="K6908">
        <v>1.109715</v>
      </c>
      <c r="L6908">
        <v>-2.7952880000000002</v>
      </c>
      <c r="M6908">
        <v>1.36464E-2</v>
      </c>
      <c r="N6908">
        <v>0</v>
      </c>
      <c r="O6908">
        <v>0.99986489999999995</v>
      </c>
      <c r="P6908">
        <v>3.8538179999999998E-2</v>
      </c>
      <c r="Q6908">
        <v>-1.9871320000000001E-2</v>
      </c>
      <c r="R6908">
        <v>0.99905949999999999</v>
      </c>
      <c r="S6908">
        <v>0.20275879999999999</v>
      </c>
      <c r="T6908">
        <v>-0.1202173</v>
      </c>
      <c r="U6908">
        <v>2.9925229999999998</v>
      </c>
      <c r="V6908">
        <v>2.4924740000000001E-2</v>
      </c>
      <c r="W6908">
        <v>-1.066199E-2</v>
      </c>
      <c r="X6908">
        <v>0.99963250000000003</v>
      </c>
      <c r="Y6908">
        <v>5.3923829999999999E-2</v>
      </c>
      <c r="Z6908">
        <v>-4.0059539999999998E-2</v>
      </c>
      <c r="AA6908">
        <v>0.99774119999999999</v>
      </c>
      <c r="AB6908">
        <v>29</v>
      </c>
      <c r="AC6908">
        <v>1.86860000000001</v>
      </c>
      <c r="AD6908">
        <v>-1.109717882442</v>
      </c>
      <c r="AE6908">
        <v>27.334847999999901</v>
      </c>
      <c r="AF6908">
        <v>1.4929389434498099</v>
      </c>
      <c r="AG6908">
        <v>-1.109717882442</v>
      </c>
      <c r="AH6908">
        <v>27.3129971668907</v>
      </c>
      <c r="AI6908">
        <v>92.323164429158496</v>
      </c>
      <c r="AJ6908">
        <v>86.871304076810404</v>
      </c>
      <c r="AK6908">
        <v>27.376269919513501</v>
      </c>
      <c r="AL6908">
        <v>90.610898585845405</v>
      </c>
      <c r="AM6908">
        <v>88.571688523780296</v>
      </c>
      <c r="AN6908">
        <v>1.0000000278755301</v>
      </c>
    </row>
    <row r="6909" spans="1:40" x14ac:dyDescent="0.25">
      <c r="A6909" t="str">
        <f>"20190312173059824"</f>
        <v>20190312173059824</v>
      </c>
      <c r="B6909" t="str">
        <f>"1552383059814442"</f>
        <v>1552383059814442</v>
      </c>
      <c r="C6909" t="s">
        <v>40</v>
      </c>
      <c r="D6909">
        <v>3.1098499999999998</v>
      </c>
      <c r="E6909">
        <v>0.51062719999999995</v>
      </c>
      <c r="F6909" t="s">
        <v>41</v>
      </c>
      <c r="G6909">
        <v>-185.59450000000001</v>
      </c>
      <c r="H6909" s="1">
        <v>-3.407594E-6</v>
      </c>
      <c r="I6909">
        <v>25.754359999999998</v>
      </c>
      <c r="J6909">
        <v>-187.483</v>
      </c>
      <c r="K6909">
        <v>1.1096980000000001</v>
      </c>
      <c r="L6909">
        <v>-2.4927670000000002</v>
      </c>
      <c r="M6909">
        <v>1.2394479999999999E-2</v>
      </c>
      <c r="N6909">
        <v>0</v>
      </c>
      <c r="O6909">
        <v>0.99988140000000003</v>
      </c>
      <c r="P6909">
        <v>3.6334209999999999E-2</v>
      </c>
      <c r="Q6909">
        <v>-2.0668639999999999E-2</v>
      </c>
      <c r="R6909">
        <v>0.99912599999999996</v>
      </c>
      <c r="S6909">
        <v>0.1982574</v>
      </c>
      <c r="T6909">
        <v>-0.1163318</v>
      </c>
      <c r="U6909">
        <v>2.9928590000000002</v>
      </c>
      <c r="V6909">
        <v>2.3973069999999999E-2</v>
      </c>
      <c r="W6909">
        <v>-1.14746E-2</v>
      </c>
      <c r="X6909">
        <v>0.9996467</v>
      </c>
      <c r="Y6909">
        <v>5.367599E-2</v>
      </c>
      <c r="Z6909">
        <v>-3.8765590000000003E-2</v>
      </c>
      <c r="AA6909">
        <v>0.99780570000000002</v>
      </c>
      <c r="AB6909">
        <v>29</v>
      </c>
      <c r="AC6909">
        <v>1.8884999999999901</v>
      </c>
      <c r="AD6909">
        <v>-1.1097014075939999</v>
      </c>
      <c r="AE6909">
        <v>28.247126999999999</v>
      </c>
      <c r="AF6909">
        <v>1.5358720078472701</v>
      </c>
      <c r="AG6909">
        <v>-1.1097014075939999</v>
      </c>
      <c r="AH6909">
        <v>28.224997845532499</v>
      </c>
      <c r="AI6909">
        <v>92.248173684274903</v>
      </c>
      <c r="AJ6909">
        <v>86.885304203458006</v>
      </c>
      <c r="AK6909">
        <v>28.2885284774379</v>
      </c>
      <c r="AL6909">
        <v>90.6574606128097</v>
      </c>
      <c r="AM6909">
        <v>88.626222137706506</v>
      </c>
      <c r="AN6909">
        <v>0.99999994967563599</v>
      </c>
    </row>
    <row r="6910" spans="1:40" x14ac:dyDescent="0.25">
      <c r="A6910" t="str">
        <f>"20190312173059843"</f>
        <v>20190312173059843</v>
      </c>
      <c r="B6910" t="str">
        <f>"1552383059833963"</f>
        <v>1552383059833963</v>
      </c>
      <c r="C6910" t="s">
        <v>40</v>
      </c>
      <c r="D6910">
        <v>3.1250360000000001</v>
      </c>
      <c r="E6910">
        <v>0.51041930000000002</v>
      </c>
      <c r="F6910" t="s">
        <v>41</v>
      </c>
      <c r="G6910">
        <v>-185.64320000000001</v>
      </c>
      <c r="H6910" s="1">
        <v>-3.602584E-6</v>
      </c>
      <c r="I6910">
        <v>26.229030000000002</v>
      </c>
      <c r="J6910">
        <v>-187.48079999999999</v>
      </c>
      <c r="K6910">
        <v>1.1096779999999999</v>
      </c>
      <c r="L6910">
        <v>-2.2268979999999998</v>
      </c>
      <c r="M6910">
        <v>1.13274E-2</v>
      </c>
      <c r="N6910">
        <v>0</v>
      </c>
      <c r="O6910">
        <v>0.99989410000000001</v>
      </c>
      <c r="P6910">
        <v>3.4411770000000001E-2</v>
      </c>
      <c r="Q6910">
        <v>-2.050393E-2</v>
      </c>
      <c r="R6910">
        <v>0.99919740000000001</v>
      </c>
      <c r="S6910">
        <v>0.1917267</v>
      </c>
      <c r="T6910">
        <v>-0.115648</v>
      </c>
      <c r="U6910">
        <v>2.9932560000000001</v>
      </c>
      <c r="V6910">
        <v>2.3115719999999999E-2</v>
      </c>
      <c r="W6910">
        <v>-1.132174E-2</v>
      </c>
      <c r="X6910">
        <v>0.99966869999999997</v>
      </c>
      <c r="Y6910">
        <v>5.256562E-2</v>
      </c>
      <c r="Z6910">
        <v>-3.8537580000000002E-2</v>
      </c>
      <c r="AA6910">
        <v>0.99787360000000003</v>
      </c>
      <c r="AB6910">
        <v>29</v>
      </c>
      <c r="AC6910">
        <v>1.8375999999999799</v>
      </c>
      <c r="AD6910">
        <v>-1.1096816025839999</v>
      </c>
      <c r="AE6910">
        <v>28.455928</v>
      </c>
      <c r="AF6910">
        <v>1.51284589013603</v>
      </c>
      <c r="AG6910">
        <v>-1.1096816025839999</v>
      </c>
      <c r="AH6910">
        <v>28.431860757420001</v>
      </c>
      <c r="AI6910">
        <v>92.231937612986599</v>
      </c>
      <c r="AJ6910">
        <v>86.954190936788393</v>
      </c>
      <c r="AK6910">
        <v>28.493697585180801</v>
      </c>
      <c r="AL6910">
        <v>90.648701768770195</v>
      </c>
      <c r="AM6910">
        <v>88.675363930017795</v>
      </c>
      <c r="AN6910">
        <v>1.00000001403371</v>
      </c>
    </row>
    <row r="6911" spans="1:40" x14ac:dyDescent="0.25">
      <c r="A6911" t="str">
        <f>"20190312173059867"</f>
        <v>20190312173059867</v>
      </c>
      <c r="B6911" t="str">
        <f>"1552383059864219"</f>
        <v>1552383059864219</v>
      </c>
      <c r="C6911" t="s">
        <v>40</v>
      </c>
      <c r="D6911">
        <v>3.0840779999999999</v>
      </c>
      <c r="E6911">
        <v>0.51141049999999999</v>
      </c>
      <c r="F6911" t="s">
        <v>41</v>
      </c>
      <c r="G6911">
        <v>-184.9649</v>
      </c>
      <c r="H6911" s="1">
        <v>-4.6416130000000003E-6</v>
      </c>
      <c r="I6911">
        <v>38.370559999999998</v>
      </c>
      <c r="J6911">
        <v>-187.4787</v>
      </c>
      <c r="K6911">
        <v>1.1096600000000001</v>
      </c>
      <c r="L6911">
        <v>-1.9277949999999999</v>
      </c>
      <c r="M6911">
        <v>1.0162799999999901E-2</v>
      </c>
      <c r="N6911">
        <v>0</v>
      </c>
      <c r="O6911">
        <v>0.99990670000000004</v>
      </c>
      <c r="P6911">
        <v>3.1931330000000001E-2</v>
      </c>
      <c r="Q6911">
        <v>-1.8764019999999999E-2</v>
      </c>
      <c r="R6911">
        <v>0.99931389999999998</v>
      </c>
      <c r="S6911">
        <v>0.18556210000000001</v>
      </c>
      <c r="T6911">
        <v>-8.1847069999999994E-2</v>
      </c>
      <c r="U6911">
        <v>2.994354</v>
      </c>
      <c r="V6911">
        <v>2.1793980000000001E-2</v>
      </c>
      <c r="W6911">
        <v>-9.5937939999999992E-3</v>
      </c>
      <c r="X6911">
        <v>0.99971650000000001</v>
      </c>
      <c r="Y6911">
        <v>5.1682060000000002E-2</v>
      </c>
      <c r="Z6911">
        <v>-2.7277079999999999E-2</v>
      </c>
      <c r="AA6911">
        <v>0.99829100000000004</v>
      </c>
      <c r="AB6911">
        <v>29</v>
      </c>
      <c r="AC6911">
        <v>2.5137999999999998</v>
      </c>
      <c r="AD6911">
        <v>-1.109664641613</v>
      </c>
      <c r="AE6911">
        <v>40.298355000000001</v>
      </c>
      <c r="AF6911">
        <v>2.1025209434854899</v>
      </c>
      <c r="AG6911">
        <v>-1.109664641613</v>
      </c>
      <c r="AH6911">
        <v>40.291389749342699</v>
      </c>
      <c r="AI6911">
        <v>91.575441066600206</v>
      </c>
      <c r="AJ6911">
        <v>87.0128503703136</v>
      </c>
      <c r="AK6911">
        <v>40.361467241269601</v>
      </c>
      <c r="AL6911">
        <v>90.549692311138102</v>
      </c>
      <c r="AM6911">
        <v>88.751140633315799</v>
      </c>
      <c r="AN6911">
        <v>1.0000000494098999</v>
      </c>
    </row>
    <row r="6912" spans="1:40" x14ac:dyDescent="0.25">
      <c r="A6912" t="str">
        <f>"20190312173059888"</f>
        <v>20190312173059888</v>
      </c>
      <c r="B6912" t="str">
        <f>"1552383059884715"</f>
        <v>1552383059884715</v>
      </c>
      <c r="C6912" t="s">
        <v>40</v>
      </c>
      <c r="D6912">
        <v>3.0786479999999998</v>
      </c>
      <c r="E6912">
        <v>0.51178480000000004</v>
      </c>
      <c r="F6912" t="s">
        <v>41</v>
      </c>
      <c r="G6912">
        <v>-184.62710000000001</v>
      </c>
      <c r="H6912" s="1">
        <v>-2.8765829999999999E-6</v>
      </c>
      <c r="I6912">
        <v>43.90014</v>
      </c>
      <c r="J6912">
        <v>-187.4769</v>
      </c>
      <c r="K6912">
        <v>1.1096410000000001</v>
      </c>
      <c r="L6912">
        <v>-1.6513369999999901</v>
      </c>
      <c r="M6912">
        <v>9.1295749999999991E-3</v>
      </c>
      <c r="N6912">
        <v>0</v>
      </c>
      <c r="O6912">
        <v>0.99991669999999999</v>
      </c>
      <c r="P6912">
        <v>2.967001E-2</v>
      </c>
      <c r="Q6912">
        <v>-1.8483039999999999E-2</v>
      </c>
      <c r="R6912">
        <v>0.99938890000000002</v>
      </c>
      <c r="S6912">
        <v>0.18634029999999999</v>
      </c>
      <c r="T6912">
        <v>-7.2513939999999999E-2</v>
      </c>
      <c r="U6912">
        <v>2.9947509999999999</v>
      </c>
      <c r="V6912">
        <v>2.0563720000000001E-2</v>
      </c>
      <c r="W6912">
        <v>-9.3226119999999992E-3</v>
      </c>
      <c r="X6912">
        <v>0.99974510000000005</v>
      </c>
      <c r="Y6912">
        <v>5.2969170000000003E-2</v>
      </c>
      <c r="Z6912">
        <v>-2.4164729999999999E-2</v>
      </c>
      <c r="AA6912">
        <v>0.99830370000000002</v>
      </c>
      <c r="AB6912">
        <v>29</v>
      </c>
      <c r="AC6912">
        <v>2.8497999999999801</v>
      </c>
      <c r="AD6912">
        <v>-1.1096438765829999</v>
      </c>
      <c r="AE6912">
        <v>45.551476999999998</v>
      </c>
      <c r="AF6912">
        <v>2.4323605032988098</v>
      </c>
      <c r="AG6912">
        <v>-1.1096438765829999</v>
      </c>
      <c r="AH6912">
        <v>45.548672889818597</v>
      </c>
      <c r="AI6912">
        <v>91.393562709305797</v>
      </c>
      <c r="AJ6912">
        <v>86.943231635060897</v>
      </c>
      <c r="AK6912">
        <v>45.627067505752997</v>
      </c>
      <c r="AL6912">
        <v>90.534154047756701</v>
      </c>
      <c r="AM6912">
        <v>88.821651390208103</v>
      </c>
      <c r="AN6912">
        <v>1.00000002132437</v>
      </c>
    </row>
    <row r="6913" spans="1:40" x14ac:dyDescent="0.25">
      <c r="A6913" t="str">
        <f>"20190312173059912"</f>
        <v>20190312173059912</v>
      </c>
      <c r="B6913" t="str">
        <f>"1552383059904234"</f>
        <v>1552383059904234</v>
      </c>
      <c r="C6913" t="s">
        <v>40</v>
      </c>
      <c r="D6913">
        <v>3.1368900000000002</v>
      </c>
      <c r="E6913">
        <v>0.51208770000000003</v>
      </c>
      <c r="F6913" t="s">
        <v>41</v>
      </c>
      <c r="G6913">
        <v>-184.51439999999999</v>
      </c>
      <c r="H6913" s="1">
        <v>-4.1089959999999999E-6</v>
      </c>
      <c r="I6913">
        <v>46.942709999999998</v>
      </c>
      <c r="J6913">
        <v>-187.4753</v>
      </c>
      <c r="K6913">
        <v>1.1095999999999999</v>
      </c>
      <c r="L6913">
        <v>-1.337372</v>
      </c>
      <c r="M6913">
        <v>8.0263439999999995E-3</v>
      </c>
      <c r="N6913">
        <v>0</v>
      </c>
      <c r="O6913">
        <v>0.99992630000000005</v>
      </c>
      <c r="P6913">
        <v>2.757457E-2</v>
      </c>
      <c r="Q6913">
        <v>-1.8217569999999999E-2</v>
      </c>
      <c r="R6913">
        <v>0.9994537</v>
      </c>
      <c r="S6913">
        <v>0.18260190000000001</v>
      </c>
      <c r="T6913">
        <v>-6.8394179999999999E-2</v>
      </c>
      <c r="U6913">
        <v>2.9951479999999999</v>
      </c>
      <c r="V6913">
        <v>1.9569260000000002E-2</v>
      </c>
      <c r="W6913">
        <v>-9.0662050000000008E-3</v>
      </c>
      <c r="X6913">
        <v>0.99976739999999997</v>
      </c>
      <c r="Y6913">
        <v>5.282336E-2</v>
      </c>
      <c r="Z6913">
        <v>-2.279086E-2</v>
      </c>
      <c r="AA6913">
        <v>0.9983438</v>
      </c>
      <c r="AB6913">
        <v>29</v>
      </c>
      <c r="AC6913">
        <v>2.9609000000000001</v>
      </c>
      <c r="AD6913">
        <v>-1.10960410899599</v>
      </c>
      <c r="AE6913">
        <v>48.280082</v>
      </c>
      <c r="AF6913">
        <v>2.5719225881749201</v>
      </c>
      <c r="AG6913">
        <v>-1.10960410899599</v>
      </c>
      <c r="AH6913">
        <v>48.276888473756202</v>
      </c>
      <c r="AI6913">
        <v>91.314800164748505</v>
      </c>
      <c r="AJ6913">
        <v>86.950484169897393</v>
      </c>
      <c r="AK6913">
        <v>48.358080687572397</v>
      </c>
      <c r="AL6913">
        <v>90.519462397573307</v>
      </c>
      <c r="AM6913">
        <v>88.878646328634701</v>
      </c>
      <c r="AN6913">
        <v>1.0000000030564</v>
      </c>
    </row>
    <row r="6914" spans="1:40" x14ac:dyDescent="0.25">
      <c r="A6914" t="str">
        <f>"20190312173059932"</f>
        <v>20190312173059932</v>
      </c>
      <c r="B6914" t="str">
        <f>"1552383059924731"</f>
        <v>1552383059924731</v>
      </c>
      <c r="C6914" t="s">
        <v>40</v>
      </c>
      <c r="D6914">
        <v>3.091774</v>
      </c>
      <c r="E6914">
        <v>0.51258429999999999</v>
      </c>
      <c r="F6914" t="s">
        <v>41</v>
      </c>
      <c r="G6914">
        <v>-184.46019999999999</v>
      </c>
      <c r="H6914" s="1">
        <v>-5.0889149999999999E-6</v>
      </c>
      <c r="I6914">
        <v>49.204540000000001</v>
      </c>
      <c r="J6914">
        <v>-187.47409999999999</v>
      </c>
      <c r="K6914">
        <v>1.1095539999999999</v>
      </c>
      <c r="L6914">
        <v>-1.0752870000000001</v>
      </c>
      <c r="M6914">
        <v>7.1758940000000004E-3</v>
      </c>
      <c r="N6914">
        <v>0</v>
      </c>
      <c r="O6914">
        <v>0.99993279999999995</v>
      </c>
      <c r="P6914">
        <v>2.6174280000000001E-2</v>
      </c>
      <c r="Q6914">
        <v>-1.8066760000000001E-2</v>
      </c>
      <c r="R6914">
        <v>0.99949410000000005</v>
      </c>
      <c r="S6914">
        <v>0.17869570000000001</v>
      </c>
      <c r="T6914">
        <v>-6.5763950000000002E-2</v>
      </c>
      <c r="U6914">
        <v>2.995514</v>
      </c>
      <c r="V6914">
        <v>1.9017639999999999E-2</v>
      </c>
      <c r="W6914">
        <v>-8.9220069999999992E-3</v>
      </c>
      <c r="X6914">
        <v>0.99977930000000004</v>
      </c>
      <c r="Y6914">
        <v>5.2369279999999997E-2</v>
      </c>
      <c r="Z6914">
        <v>-2.1913479999999999E-2</v>
      </c>
      <c r="AA6914">
        <v>0.99838729999999998</v>
      </c>
      <c r="AB6914">
        <v>29</v>
      </c>
      <c r="AC6914">
        <v>3.0139</v>
      </c>
      <c r="AD6914">
        <v>-1.109559088915</v>
      </c>
      <c r="AE6914">
        <v>50.279826999999997</v>
      </c>
      <c r="AF6914">
        <v>2.65171801219162</v>
      </c>
      <c r="AG6914">
        <v>-1.109559088915</v>
      </c>
      <c r="AH6914">
        <v>50.275764899258</v>
      </c>
      <c r="AI6914">
        <v>91.262527494511502</v>
      </c>
      <c r="AJ6914">
        <v>86.980819682395804</v>
      </c>
      <c r="AK6914">
        <v>50.357871936703603</v>
      </c>
      <c r="AL6914">
        <v>90.511200148201695</v>
      </c>
      <c r="AM6914">
        <v>88.910260378096297</v>
      </c>
      <c r="AN6914">
        <v>0.99999996077428299</v>
      </c>
    </row>
    <row r="6915" spans="1:40" x14ac:dyDescent="0.25">
      <c r="A6915" t="str">
        <f>"20190312173059955"</f>
        <v>20190312173059955</v>
      </c>
      <c r="B6915" t="str">
        <f>"1552383059944251"</f>
        <v>1552383059944251</v>
      </c>
      <c r="C6915" t="s">
        <v>40</v>
      </c>
      <c r="D6915">
        <v>3.0610840000000001</v>
      </c>
      <c r="E6915">
        <v>0.5128142</v>
      </c>
      <c r="F6915" t="s">
        <v>41</v>
      </c>
      <c r="G6915">
        <v>-184.4067</v>
      </c>
      <c r="H6915" s="1">
        <v>-1.7540770000000001E-6</v>
      </c>
      <c r="I6915">
        <v>50.429279999999999</v>
      </c>
      <c r="J6915">
        <v>-187.47280000000001</v>
      </c>
      <c r="K6915">
        <v>1.109491</v>
      </c>
      <c r="L6915">
        <v>-0.76416019999999996</v>
      </c>
      <c r="M6915">
        <v>6.2685980000000002E-3</v>
      </c>
      <c r="N6915">
        <v>0</v>
      </c>
      <c r="O6915">
        <v>0.99993880000000002</v>
      </c>
      <c r="P6915">
        <v>2.4227660000000002E-2</v>
      </c>
      <c r="Q6915">
        <v>-1.7307199999999998E-2</v>
      </c>
      <c r="R6915">
        <v>0.99955669999999996</v>
      </c>
      <c r="S6915">
        <v>0.1784058</v>
      </c>
      <c r="T6915">
        <v>-6.4535259999999997E-2</v>
      </c>
      <c r="U6915">
        <v>2.9956670000000001</v>
      </c>
      <c r="V6915">
        <v>1.7974899999999999E-2</v>
      </c>
      <c r="W6915">
        <v>-8.1704440000000007E-3</v>
      </c>
      <c r="X6915">
        <v>0.99980500000000005</v>
      </c>
      <c r="Y6915">
        <v>5.3176599999999997E-2</v>
      </c>
      <c r="Z6915">
        <v>-2.1502960000000002E-2</v>
      </c>
      <c r="AA6915">
        <v>0.99835359999999995</v>
      </c>
      <c r="AB6915">
        <v>29</v>
      </c>
      <c r="AC6915">
        <v>3.0661</v>
      </c>
      <c r="AD6915">
        <v>-1.1094927540770001</v>
      </c>
      <c r="AE6915">
        <v>51.193440199999998</v>
      </c>
      <c r="AF6915">
        <v>2.7438311507248501</v>
      </c>
      <c r="AG6915">
        <v>-1.1094927540770001</v>
      </c>
      <c r="AH6915">
        <v>51.187698310058302</v>
      </c>
      <c r="AI6915">
        <v>91.239911420466399</v>
      </c>
      <c r="AJ6915">
        <v>86.931691841434798</v>
      </c>
      <c r="AK6915">
        <v>51.273190283388701</v>
      </c>
      <c r="AL6915">
        <v>90.468137192017494</v>
      </c>
      <c r="AM6915">
        <v>88.970024186995801</v>
      </c>
      <c r="AN6915">
        <v>0.99999994560508199</v>
      </c>
    </row>
    <row r="6916" spans="1:40" x14ac:dyDescent="0.25">
      <c r="A6916" t="str">
        <f>"20190312173059991"</f>
        <v>20190312173059991</v>
      </c>
      <c r="B6916" t="str">
        <f>"1552383059984267"</f>
        <v>1552383059984267</v>
      </c>
      <c r="C6916" t="s">
        <v>40</v>
      </c>
      <c r="D6916">
        <v>3.04176</v>
      </c>
      <c r="E6916">
        <v>0.51664379999999999</v>
      </c>
      <c r="F6916" t="s">
        <v>41</v>
      </c>
      <c r="G6916">
        <v>-184.34700000000001</v>
      </c>
      <c r="H6916" s="1">
        <v>-2.6010530000000001E-6</v>
      </c>
      <c r="I6916">
        <v>52.87144</v>
      </c>
      <c r="J6916">
        <v>-187.47130000000001</v>
      </c>
      <c r="K6916">
        <v>1.1093489999999999</v>
      </c>
      <c r="L6916">
        <v>-0.30609130000000001</v>
      </c>
      <c r="M6916">
        <v>5.1706950000000003E-3</v>
      </c>
      <c r="N6916">
        <v>0</v>
      </c>
      <c r="O6916">
        <v>0.99994519999999998</v>
      </c>
      <c r="P6916">
        <v>2.258713E-2</v>
      </c>
      <c r="Q6916">
        <v>-1.8559429999999998E-2</v>
      </c>
      <c r="R6916">
        <v>0.99957260000000003</v>
      </c>
      <c r="S6916">
        <v>0.17460629999999999</v>
      </c>
      <c r="T6916">
        <v>-6.1975240000000001E-2</v>
      </c>
      <c r="U6916">
        <v>2.9960330000000002</v>
      </c>
      <c r="V6916">
        <v>1.7431019999999998E-2</v>
      </c>
      <c r="W6916">
        <v>-9.4320329999999994E-3</v>
      </c>
      <c r="X6916">
        <v>0.99980360000000001</v>
      </c>
      <c r="Y6916">
        <v>5.3005129999999998E-2</v>
      </c>
      <c r="Z6916">
        <v>-2.0648880000000001E-2</v>
      </c>
      <c r="AA6916">
        <v>0.99838070000000001</v>
      </c>
      <c r="AB6916">
        <v>29</v>
      </c>
      <c r="AC6916">
        <v>3.1242999999999999</v>
      </c>
      <c r="AD6916">
        <v>-1.109351601053</v>
      </c>
      <c r="AE6916">
        <v>53.177531299999998</v>
      </c>
      <c r="AF6916">
        <v>2.8480468557239602</v>
      </c>
      <c r="AG6916">
        <v>-1.109351601053</v>
      </c>
      <c r="AH6916">
        <v>53.169916241084003</v>
      </c>
      <c r="AI6916">
        <v>91.193550764389897</v>
      </c>
      <c r="AJ6916">
        <v>86.933881460918101</v>
      </c>
      <c r="AK6916">
        <v>53.257694514042299</v>
      </c>
      <c r="AL6916">
        <v>90.540423684880196</v>
      </c>
      <c r="AM6916">
        <v>89.001181125564898</v>
      </c>
      <c r="AN6916">
        <v>1.00000002113885</v>
      </c>
    </row>
    <row r="6917" spans="1:40" x14ac:dyDescent="0.25">
      <c r="A6917" t="str">
        <f>"20190312173100014"</f>
        <v>20190312173100014</v>
      </c>
      <c r="B6917" t="str">
        <f>"1552383060004762"</f>
        <v>1552383060004762</v>
      </c>
      <c r="C6917" t="s">
        <v>40</v>
      </c>
      <c r="D6917">
        <v>3.0246189999999999</v>
      </c>
      <c r="E6917">
        <v>0.51679299999999995</v>
      </c>
      <c r="F6917" t="s">
        <v>41</v>
      </c>
      <c r="G6917">
        <v>-183.73410000000001</v>
      </c>
      <c r="H6917" s="1">
        <v>-3.6847550000000001E-6</v>
      </c>
      <c r="I6917">
        <v>55.57676</v>
      </c>
      <c r="J6917">
        <v>-187.47030000000001</v>
      </c>
      <c r="K6917">
        <v>1.1092470000000001</v>
      </c>
      <c r="L6917">
        <v>4.6386719999999999E-3</v>
      </c>
      <c r="M6917">
        <v>4.5918699999999996E-3</v>
      </c>
      <c r="N6917">
        <v>0</v>
      </c>
      <c r="O6917">
        <v>0.99994799999999995</v>
      </c>
      <c r="P6917">
        <v>2.18783E-2</v>
      </c>
      <c r="Q6917">
        <v>-1.9237379999999998E-2</v>
      </c>
      <c r="R6917">
        <v>0.99957560000000001</v>
      </c>
      <c r="S6917">
        <v>0.2003326</v>
      </c>
      <c r="T6917">
        <v>-5.9467550000000001E-2</v>
      </c>
      <c r="U6917">
        <v>2.9956360000000002</v>
      </c>
      <c r="V6917">
        <v>1.7299410000000001E-2</v>
      </c>
      <c r="W6917">
        <v>-1.011485E-2</v>
      </c>
      <c r="X6917">
        <v>0.9997992</v>
      </c>
      <c r="Y6917">
        <v>6.2130169999999998E-2</v>
      </c>
      <c r="Z6917">
        <v>-1.980589E-2</v>
      </c>
      <c r="AA6917">
        <v>0.99787150000000002</v>
      </c>
      <c r="AB6917">
        <v>29</v>
      </c>
      <c r="AC6917">
        <v>3.73619999999999</v>
      </c>
      <c r="AD6917">
        <v>-1.1092506847550001</v>
      </c>
      <c r="AE6917">
        <v>55.572121328000001</v>
      </c>
      <c r="AF6917">
        <v>3.47958995714552</v>
      </c>
      <c r="AG6917">
        <v>-1.1092506847550001</v>
      </c>
      <c r="AH6917">
        <v>55.566652789384598</v>
      </c>
      <c r="AI6917">
        <v>91.141381470177294</v>
      </c>
      <c r="AJ6917">
        <v>86.416810609214195</v>
      </c>
      <c r="AK6917">
        <v>55.686541332421797</v>
      </c>
      <c r="AL6917">
        <v>90.579548092149807</v>
      </c>
      <c r="AM6917">
        <v>89.008716668190004</v>
      </c>
      <c r="AN6917">
        <v>1.0000000100487501</v>
      </c>
    </row>
    <row r="6918" spans="1:40" x14ac:dyDescent="0.25">
      <c r="A6918" t="str">
        <f>"20190312173100035"</f>
        <v>20190312173100035</v>
      </c>
      <c r="B6918" t="str">
        <f>"1552383060024283"</f>
        <v>1552383060024283</v>
      </c>
      <c r="C6918" t="s">
        <v>40</v>
      </c>
      <c r="D6918">
        <v>3.04108</v>
      </c>
      <c r="E6918">
        <v>0.51675300000000002</v>
      </c>
      <c r="F6918" t="s">
        <v>41</v>
      </c>
      <c r="G6918">
        <v>-183.82669999999999</v>
      </c>
      <c r="H6918" s="1">
        <v>-3.3686790000000001E-6</v>
      </c>
      <c r="I6918">
        <v>54.720309999999998</v>
      </c>
      <c r="J6918">
        <v>-187.46950000000001</v>
      </c>
      <c r="K6918">
        <v>1.109156</v>
      </c>
      <c r="L6918">
        <v>0.29135129999999998</v>
      </c>
      <c r="M6918">
        <v>4.1671039999999996E-3</v>
      </c>
      <c r="N6918">
        <v>0</v>
      </c>
      <c r="O6918">
        <v>0.99994989999999995</v>
      </c>
      <c r="P6918">
        <v>2.1433569999999999E-2</v>
      </c>
      <c r="Q6918">
        <v>-2.0067000000000002E-2</v>
      </c>
      <c r="R6918">
        <v>0.99956889999999998</v>
      </c>
      <c r="S6918">
        <v>0.19949339999999999</v>
      </c>
      <c r="T6918">
        <v>-6.0732359999999999E-2</v>
      </c>
      <c r="U6918">
        <v>2.9957280000000002</v>
      </c>
      <c r="V6918">
        <v>1.7278060000000001E-2</v>
      </c>
      <c r="W6918">
        <v>-1.094785E-2</v>
      </c>
      <c r="X6918">
        <v>0.99979079999999998</v>
      </c>
      <c r="Y6918">
        <v>6.2273240000000001E-2</v>
      </c>
      <c r="Z6918">
        <v>-2.0226500000000001E-2</v>
      </c>
      <c r="AA6918">
        <v>0.99785420000000002</v>
      </c>
      <c r="AB6918">
        <v>30</v>
      </c>
      <c r="AC6918">
        <v>3.6428000000000198</v>
      </c>
      <c r="AD6918">
        <v>-1.109159368679</v>
      </c>
      <c r="AE6918">
        <v>54.428958700000003</v>
      </c>
      <c r="AF6918">
        <v>3.4145362207498899</v>
      </c>
      <c r="AG6918">
        <v>-1.109159368679</v>
      </c>
      <c r="AH6918">
        <v>54.421168081427801</v>
      </c>
      <c r="AI6918">
        <v>91.165294460833593</v>
      </c>
      <c r="AJ6918">
        <v>86.409808805318605</v>
      </c>
      <c r="AK6918">
        <v>54.539461195128801</v>
      </c>
      <c r="AL6918">
        <v>90.627278121035602</v>
      </c>
      <c r="AM6918">
        <v>89.009931496428194</v>
      </c>
      <c r="AN6918">
        <v>1.0000000152708099</v>
      </c>
    </row>
    <row r="6919" spans="1:40" x14ac:dyDescent="0.25">
      <c r="A6919" t="str">
        <f>"20190312173100058"</f>
        <v>20190312173100058</v>
      </c>
      <c r="B6919" t="str">
        <f>"1552383060054539"</f>
        <v>1552383060054539</v>
      </c>
      <c r="C6919" t="s">
        <v>40</v>
      </c>
      <c r="D6919">
        <v>2.9805030000000001</v>
      </c>
      <c r="E6919">
        <v>0.49207400000000001</v>
      </c>
      <c r="F6919" t="s">
        <v>41</v>
      </c>
      <c r="G6919">
        <v>-183.95949999999999</v>
      </c>
      <c r="H6919" s="1">
        <v>-2.8917740000000001E-6</v>
      </c>
      <c r="I6919">
        <v>53.422800000000002</v>
      </c>
      <c r="J6919">
        <v>-187.46860000000001</v>
      </c>
      <c r="K6919">
        <v>1.1090660000000001</v>
      </c>
      <c r="L6919">
        <v>0.58453369999999905</v>
      </c>
      <c r="M6919">
        <v>3.8445440000000001E-3</v>
      </c>
      <c r="N6919">
        <v>0</v>
      </c>
      <c r="O6919">
        <v>0.99995109999999998</v>
      </c>
      <c r="P6919">
        <v>2.1606420000000001E-2</v>
      </c>
      <c r="Q6919">
        <v>-2.086905E-2</v>
      </c>
      <c r="R6919">
        <v>0.99954869999999996</v>
      </c>
      <c r="S6919">
        <v>0.19790650000000001</v>
      </c>
      <c r="T6919">
        <v>-6.2539339999999999E-2</v>
      </c>
      <c r="U6919">
        <v>2.9957889999999998</v>
      </c>
      <c r="V6919">
        <v>1.777188E-2</v>
      </c>
      <c r="W6919">
        <v>-1.1752250000000001E-2</v>
      </c>
      <c r="X6919">
        <v>0.99977300000000002</v>
      </c>
      <c r="Y6919">
        <v>6.206677E-2</v>
      </c>
      <c r="Z6919">
        <v>-2.082817E-2</v>
      </c>
      <c r="AA6919">
        <v>0.99785469999999998</v>
      </c>
      <c r="AB6919">
        <v>30</v>
      </c>
      <c r="AC6919">
        <v>3.5091000000000099</v>
      </c>
      <c r="AD6919">
        <v>-1.1090688917739999</v>
      </c>
      <c r="AE6919">
        <v>52.838266299999901</v>
      </c>
      <c r="AF6919">
        <v>3.3044771151319901</v>
      </c>
      <c r="AG6919">
        <v>-1.1090688917739999</v>
      </c>
      <c r="AH6919">
        <v>52.8281946451268</v>
      </c>
      <c r="AI6919">
        <v>91.200338883045603</v>
      </c>
      <c r="AJ6919">
        <v>86.420732543569102</v>
      </c>
      <c r="AK6919">
        <v>52.943061417663898</v>
      </c>
      <c r="AL6919">
        <v>90.673369823612504</v>
      </c>
      <c r="AM6919">
        <v>88.981622340271301</v>
      </c>
      <c r="AN6919">
        <v>1.0000000033138901</v>
      </c>
    </row>
    <row r="6920" spans="1:40" x14ac:dyDescent="0.25">
      <c r="A6920" t="str">
        <f>"20190312173100078"</f>
        <v>20190312173100078</v>
      </c>
      <c r="B6920" t="str">
        <f>"1552383060074059"</f>
        <v>1552383060074059</v>
      </c>
      <c r="C6920" t="s">
        <v>40</v>
      </c>
      <c r="D6920">
        <v>2.9276170000000001</v>
      </c>
      <c r="E6920">
        <v>0.48519010000000001</v>
      </c>
      <c r="F6920" t="s">
        <v>41</v>
      </c>
      <c r="G6920">
        <v>-187.4281</v>
      </c>
      <c r="H6920" s="1">
        <v>-2.9313100000000001E-6</v>
      </c>
      <c r="I6920">
        <v>65.402280000000005</v>
      </c>
      <c r="J6920">
        <v>-187.46780000000001</v>
      </c>
      <c r="K6920">
        <v>1.1089899999999999</v>
      </c>
      <c r="L6920">
        <v>0.85760499999999995</v>
      </c>
      <c r="M6920">
        <v>3.6343759999999999E-3</v>
      </c>
      <c r="N6920">
        <v>0</v>
      </c>
      <c r="O6920">
        <v>0.9999519</v>
      </c>
      <c r="P6920">
        <v>2.1775010000000001E-2</v>
      </c>
      <c r="Q6920">
        <v>-2.1746970000000001E-2</v>
      </c>
      <c r="R6920">
        <v>0.99952629999999998</v>
      </c>
      <c r="S6920">
        <v>1.876831E-3</v>
      </c>
      <c r="T6920">
        <v>-5.1335930000000002E-2</v>
      </c>
      <c r="U6920">
        <v>3.0002439999999999</v>
      </c>
      <c r="V6920">
        <v>1.8149149999999999E-2</v>
      </c>
      <c r="W6920">
        <v>-1.263177E-2</v>
      </c>
      <c r="X6920">
        <v>0.99975550000000002</v>
      </c>
      <c r="Y6920">
        <v>-3.0090630000000002E-3</v>
      </c>
      <c r="Z6920">
        <v>-1.7107870000000001E-2</v>
      </c>
      <c r="AA6920">
        <v>0.99984910000000005</v>
      </c>
      <c r="AB6920">
        <v>30</v>
      </c>
      <c r="AC6920">
        <v>3.9700000000010498E-2</v>
      </c>
      <c r="AD6920">
        <v>-1.10899293131</v>
      </c>
      <c r="AE6920">
        <v>64.544674999999998</v>
      </c>
      <c r="AF6920">
        <v>-0.194832097221908</v>
      </c>
      <c r="AG6920">
        <v>-1.10899293131</v>
      </c>
      <c r="AH6920">
        <v>64.525344210991506</v>
      </c>
      <c r="AI6920">
        <v>90.984637437502798</v>
      </c>
      <c r="AJ6920">
        <v>90.173002145064004</v>
      </c>
      <c r="AK6920">
        <v>64.535167702693201</v>
      </c>
      <c r="AL6920">
        <v>90.723766352485796</v>
      </c>
      <c r="AM6920">
        <v>88.959990228928206</v>
      </c>
      <c r="AN6920">
        <v>1.0000000065196499</v>
      </c>
    </row>
    <row r="6921" spans="1:40" x14ac:dyDescent="0.25">
      <c r="A6921" t="str">
        <f>"20190312173100100"</f>
        <v>20190312173100100</v>
      </c>
      <c r="B6921" t="str">
        <f>"1552383060094555"</f>
        <v>1552383060094555</v>
      </c>
      <c r="C6921" t="s">
        <v>40</v>
      </c>
      <c r="D6921">
        <v>2.9165719999999999</v>
      </c>
      <c r="E6921">
        <v>0.48231960000000001</v>
      </c>
      <c r="F6921" t="s">
        <v>41</v>
      </c>
      <c r="G6921">
        <v>-188.39070000000001</v>
      </c>
      <c r="H6921" s="1">
        <v>-1.8721189999999999E-6</v>
      </c>
      <c r="I6921">
        <v>53.331290000000003</v>
      </c>
      <c r="J6921">
        <v>-187.46700000000001</v>
      </c>
      <c r="K6921">
        <v>1.1089249999999999</v>
      </c>
      <c r="L6921">
        <v>1.1450499999999999</v>
      </c>
      <c r="M6921">
        <v>3.4801739999999999E-3</v>
      </c>
      <c r="N6921">
        <v>0</v>
      </c>
      <c r="O6921">
        <v>0.99995239999999996</v>
      </c>
      <c r="P6921">
        <v>2.2645829999999999E-2</v>
      </c>
      <c r="Q6921">
        <v>-2.2841119999999999E-2</v>
      </c>
      <c r="R6921">
        <v>0.9994826</v>
      </c>
      <c r="S6921">
        <v>-5.2780149999999998E-2</v>
      </c>
      <c r="T6921">
        <v>-6.3427929999999993E-2</v>
      </c>
      <c r="U6921">
        <v>3.0011899999999998</v>
      </c>
      <c r="V6921">
        <v>1.9172829999999998E-2</v>
      </c>
      <c r="W6921">
        <v>-1.372656E-2</v>
      </c>
      <c r="X6921">
        <v>0.99972190000000005</v>
      </c>
      <c r="Y6921">
        <v>-2.1059439999999999E-2</v>
      </c>
      <c r="Z6921">
        <v>-2.1125370000000001E-2</v>
      </c>
      <c r="AA6921">
        <v>0.99955499999999997</v>
      </c>
      <c r="AB6921">
        <v>30</v>
      </c>
      <c r="AC6921">
        <v>-0.92369999999999597</v>
      </c>
      <c r="AD6921">
        <v>-1.108926872119</v>
      </c>
      <c r="AE6921">
        <v>52.186239999999998</v>
      </c>
      <c r="AF6921">
        <v>-1.10482043519296</v>
      </c>
      <c r="AG6921">
        <v>-1.108926872119</v>
      </c>
      <c r="AH6921">
        <v>52.159164731494002</v>
      </c>
      <c r="AI6921">
        <v>91.217677033796406</v>
      </c>
      <c r="AJ6921">
        <v>91.213441278593606</v>
      </c>
      <c r="AK6921">
        <v>52.182648576790903</v>
      </c>
      <c r="AL6921">
        <v>90.786498697029899</v>
      </c>
      <c r="AM6921">
        <v>88.901306862945205</v>
      </c>
      <c r="AN6921">
        <v>0.99999994659962399</v>
      </c>
    </row>
    <row r="6922" spans="1:40" x14ac:dyDescent="0.25">
      <c r="A6922" t="str">
        <f>"20190312173100123"</f>
        <v>20190312173100123</v>
      </c>
      <c r="B6922" t="str">
        <f>"1552383060114074"</f>
        <v>1552383060114074</v>
      </c>
      <c r="C6922" t="s">
        <v>40</v>
      </c>
      <c r="D6922">
        <v>2.933487</v>
      </c>
      <c r="E6922">
        <v>0.48081049999999997</v>
      </c>
      <c r="F6922" t="s">
        <v>41</v>
      </c>
      <c r="G6922">
        <v>-188.57490000000001</v>
      </c>
      <c r="H6922" s="1">
        <v>-3.1536039999999999E-6</v>
      </c>
      <c r="I6922">
        <v>46.394620000000003</v>
      </c>
      <c r="J6922">
        <v>-187.46610000000001</v>
      </c>
      <c r="K6922">
        <v>1.108878</v>
      </c>
      <c r="L6922">
        <v>1.45166</v>
      </c>
      <c r="M6922">
        <v>3.3645929999999999E-3</v>
      </c>
      <c r="N6922">
        <v>0</v>
      </c>
      <c r="O6922">
        <v>0.99995279999999998</v>
      </c>
      <c r="P6922">
        <v>2.3667500000000001E-2</v>
      </c>
      <c r="Q6922">
        <v>-2.3519829999999999E-2</v>
      </c>
      <c r="R6922">
        <v>0.99944319999999998</v>
      </c>
      <c r="S6922">
        <v>-7.3486330000000002E-2</v>
      </c>
      <c r="T6922">
        <v>-7.3558209999999999E-2</v>
      </c>
      <c r="U6922">
        <v>3.0015260000000001</v>
      </c>
      <c r="V6922">
        <v>2.0308739999999999E-2</v>
      </c>
      <c r="W6922">
        <v>-1.440492E-2</v>
      </c>
      <c r="X6922">
        <v>0.99968999999999997</v>
      </c>
      <c r="Y6922">
        <v>-2.78319E-2</v>
      </c>
      <c r="Z6922">
        <v>-2.4490959999999999E-2</v>
      </c>
      <c r="AA6922">
        <v>0.9993126</v>
      </c>
      <c r="AB6922">
        <v>30</v>
      </c>
      <c r="AC6922">
        <v>-1.1088</v>
      </c>
      <c r="AD6922">
        <v>-1.108881153604</v>
      </c>
      <c r="AE6922">
        <v>44.942959999999999</v>
      </c>
      <c r="AF6922">
        <v>-1.25924865877109</v>
      </c>
      <c r="AG6922">
        <v>-1.108881153604</v>
      </c>
      <c r="AH6922">
        <v>44.911650954231597</v>
      </c>
      <c r="AI6922">
        <v>91.413805979664502</v>
      </c>
      <c r="AJ6922">
        <v>91.6060584301501</v>
      </c>
      <c r="AK6922">
        <v>44.9429829454184</v>
      </c>
      <c r="AL6922">
        <v>90.825369648533197</v>
      </c>
      <c r="AM6922">
        <v>88.836194164903105</v>
      </c>
      <c r="AN6922">
        <v>1.00000002137029</v>
      </c>
    </row>
    <row r="6923" spans="1:40" x14ac:dyDescent="0.25">
      <c r="A6923" t="str">
        <f>"20190312173100145"</f>
        <v>20190312173100145</v>
      </c>
      <c r="B6923" t="str">
        <f>"1552383060134571"</f>
        <v>1552383060134571</v>
      </c>
      <c r="C6923" t="s">
        <v>40</v>
      </c>
      <c r="D6923">
        <v>2.9268589999999999</v>
      </c>
      <c r="E6923">
        <v>0.47985660000000002</v>
      </c>
      <c r="F6923" t="s">
        <v>41</v>
      </c>
      <c r="G6923">
        <v>-188.61500000000001</v>
      </c>
      <c r="H6923" s="1">
        <v>-1.811879E-6</v>
      </c>
      <c r="I6923">
        <v>43.283639999999998</v>
      </c>
      <c r="J6923">
        <v>-187.46520000000001</v>
      </c>
      <c r="K6923">
        <v>1.1088469999999999</v>
      </c>
      <c r="L6923">
        <v>1.746399</v>
      </c>
      <c r="M6923">
        <v>3.2850050000000001E-3</v>
      </c>
      <c r="N6923">
        <v>0</v>
      </c>
      <c r="O6923">
        <v>0.99995299999999998</v>
      </c>
      <c r="P6923">
        <v>2.530957E-2</v>
      </c>
      <c r="Q6923">
        <v>-2.380587E-2</v>
      </c>
      <c r="R6923">
        <v>0.99939610000000001</v>
      </c>
      <c r="S6923">
        <v>-8.2443240000000001E-2</v>
      </c>
      <c r="T6923">
        <v>-7.9569940000000006E-2</v>
      </c>
      <c r="U6923">
        <v>3.0017399999999999</v>
      </c>
      <c r="V6923">
        <v>2.202958E-2</v>
      </c>
      <c r="W6923">
        <v>-1.4689499999999999E-2</v>
      </c>
      <c r="X6923">
        <v>0.99964940000000002</v>
      </c>
      <c r="Y6923">
        <v>-3.072892E-2</v>
      </c>
      <c r="Z6923">
        <v>-2.6487170000000001E-2</v>
      </c>
      <c r="AA6923">
        <v>0.99917670000000003</v>
      </c>
      <c r="AB6923">
        <v>30</v>
      </c>
      <c r="AC6923">
        <v>-1.1497999999999899</v>
      </c>
      <c r="AD6923">
        <v>-1.1088488118790001</v>
      </c>
      <c r="AE6923">
        <v>41.537241000000002</v>
      </c>
      <c r="AF6923">
        <v>-1.28533423952621</v>
      </c>
      <c r="AG6923">
        <v>-1.1088488118790001</v>
      </c>
      <c r="AH6923">
        <v>41.503685120849198</v>
      </c>
      <c r="AI6923">
        <v>91.529667162218303</v>
      </c>
      <c r="AJ6923">
        <v>91.773835184223103</v>
      </c>
      <c r="AK6923">
        <v>41.538385962931898</v>
      </c>
      <c r="AL6923">
        <v>90.841676621872494</v>
      </c>
      <c r="AM6923">
        <v>88.737559696926496</v>
      </c>
      <c r="AN6923">
        <v>1.00000000336279</v>
      </c>
    </row>
    <row r="6924" spans="1:40" x14ac:dyDescent="0.25">
      <c r="A6924" t="str">
        <f>"20190312173100166"</f>
        <v>20190312173100166</v>
      </c>
      <c r="B6924" t="str">
        <f>"1552383060164827"</f>
        <v>1552383060164827</v>
      </c>
      <c r="C6924" t="s">
        <v>40</v>
      </c>
      <c r="D6924">
        <v>2.9343880000000002</v>
      </c>
      <c r="E6924">
        <v>0.47890759999999999</v>
      </c>
      <c r="F6924" t="s">
        <v>41</v>
      </c>
      <c r="G6924">
        <v>-188.595</v>
      </c>
      <c r="H6924" s="1">
        <v>-1.047143E-6</v>
      </c>
      <c r="I6924">
        <v>41.492719999999998</v>
      </c>
      <c r="J6924">
        <v>-187.46440000000001</v>
      </c>
      <c r="K6924">
        <v>1.1088370000000001</v>
      </c>
      <c r="L6924">
        <v>2.0341800000000001</v>
      </c>
      <c r="M6924">
        <v>3.2195449999999999E-3</v>
      </c>
      <c r="N6924">
        <v>0</v>
      </c>
      <c r="O6924">
        <v>0.99995330000000004</v>
      </c>
      <c r="P6924">
        <v>2.652939E-2</v>
      </c>
      <c r="Q6924">
        <v>-2.4478949999999999E-2</v>
      </c>
      <c r="R6924">
        <v>0.99934829999999997</v>
      </c>
      <c r="S6924">
        <v>-8.5327150000000004E-2</v>
      </c>
      <c r="T6924">
        <v>-8.3749770000000001E-2</v>
      </c>
      <c r="U6924">
        <v>3.0019840000000002</v>
      </c>
      <c r="V6924">
        <v>2.3314540000000002E-2</v>
      </c>
      <c r="W6924">
        <v>-1.5360449999999999E-2</v>
      </c>
      <c r="X6924">
        <v>0.9996102</v>
      </c>
      <c r="Y6924">
        <v>-3.1619309999999998E-2</v>
      </c>
      <c r="Z6924">
        <v>-2.787448E-2</v>
      </c>
      <c r="AA6924">
        <v>0.99911119999999998</v>
      </c>
      <c r="AB6924">
        <v>30</v>
      </c>
      <c r="AC6924">
        <v>-1.1305999999999801</v>
      </c>
      <c r="AD6924">
        <v>-1.1088380471429999</v>
      </c>
      <c r="AE6924">
        <v>39.458539999999999</v>
      </c>
      <c r="AF6924">
        <v>-1.2566464180157</v>
      </c>
      <c r="AG6924">
        <v>-1.1088380471429999</v>
      </c>
      <c r="AH6924">
        <v>39.423588608861898</v>
      </c>
      <c r="AI6924">
        <v>91.610273743485095</v>
      </c>
      <c r="AJ6924">
        <v>91.825713187789106</v>
      </c>
      <c r="AK6924">
        <v>39.459194376412299</v>
      </c>
      <c r="AL6924">
        <v>90.880123540841097</v>
      </c>
      <c r="AM6924">
        <v>88.663896590468596</v>
      </c>
      <c r="AN6924">
        <v>1.00000003157182</v>
      </c>
    </row>
    <row r="6925" spans="1:40" x14ac:dyDescent="0.25">
      <c r="A6925" t="str">
        <f>"20190312173100190"</f>
        <v>20190312173100190</v>
      </c>
      <c r="B6925" t="str">
        <f>"1552383060184010"</f>
        <v>1552383060184010</v>
      </c>
      <c r="C6925" t="s">
        <v>40</v>
      </c>
      <c r="D6925">
        <v>2.9273910000000001</v>
      </c>
      <c r="E6925">
        <v>0.47858129999999999</v>
      </c>
      <c r="F6925" t="s">
        <v>41</v>
      </c>
      <c r="G6925">
        <v>-188.59950000000001</v>
      </c>
      <c r="H6925" s="1">
        <v>-5.4909870000000001E-7</v>
      </c>
      <c r="I6925">
        <v>40.166640000000001</v>
      </c>
      <c r="J6925">
        <v>-187.46350000000001</v>
      </c>
      <c r="K6925">
        <v>1.108822</v>
      </c>
      <c r="L6925">
        <v>2.3576350000000001</v>
      </c>
      <c r="M6925">
        <v>3.1484220000000001E-3</v>
      </c>
      <c r="N6925">
        <v>0</v>
      </c>
      <c r="O6925">
        <v>0.99995339999999999</v>
      </c>
      <c r="P6925">
        <v>2.7396139999999999E-2</v>
      </c>
      <c r="Q6925">
        <v>-2.347906E-2</v>
      </c>
      <c r="R6925">
        <v>0.99934889999999998</v>
      </c>
      <c r="S6925">
        <v>-8.9370729999999995E-2</v>
      </c>
      <c r="T6925">
        <v>-8.7299589999999996E-2</v>
      </c>
      <c r="U6925">
        <v>3.0021969999999998</v>
      </c>
      <c r="V6925">
        <v>2.425188E-2</v>
      </c>
      <c r="W6925">
        <v>-1.435705E-2</v>
      </c>
      <c r="X6925">
        <v>0.99960280000000001</v>
      </c>
      <c r="Y6925">
        <v>-3.2889710000000003E-2</v>
      </c>
      <c r="Z6925">
        <v>-2.9051770000000001E-2</v>
      </c>
      <c r="AA6925">
        <v>0.9990367</v>
      </c>
      <c r="AB6925">
        <v>30</v>
      </c>
      <c r="AC6925">
        <v>-1.1359999999999899</v>
      </c>
      <c r="AD6925">
        <v>-1.1088225490987</v>
      </c>
      <c r="AE6925">
        <v>37.809004999999999</v>
      </c>
      <c r="AF6925">
        <v>-1.2539605091220301</v>
      </c>
      <c r="AG6925">
        <v>-1.1088225490987</v>
      </c>
      <c r="AH6925">
        <v>37.772782914242399</v>
      </c>
      <c r="AI6925">
        <v>91.680513307814493</v>
      </c>
      <c r="AJ6925">
        <v>91.9013761594356</v>
      </c>
      <c r="AK6925">
        <v>37.8098536560287</v>
      </c>
      <c r="AL6925">
        <v>90.822626618599003</v>
      </c>
      <c r="AM6925">
        <v>88.610190137691703</v>
      </c>
      <c r="AN6925">
        <v>1.00000001816803</v>
      </c>
    </row>
    <row r="6926" spans="1:40" x14ac:dyDescent="0.25">
      <c r="A6926" t="str">
        <f>"20190312173100214"</f>
        <v>20190312173100214</v>
      </c>
      <c r="B6926" t="str">
        <f>"1552383060204505"</f>
        <v>1552383060204505</v>
      </c>
      <c r="C6926" t="s">
        <v>40</v>
      </c>
      <c r="D6926">
        <v>2.9428489999999998</v>
      </c>
      <c r="E6926">
        <v>0.47830800000000001</v>
      </c>
      <c r="F6926" t="s">
        <v>41</v>
      </c>
      <c r="G6926">
        <v>-188.6302</v>
      </c>
      <c r="H6926" s="1">
        <v>-1.069758E-6</v>
      </c>
      <c r="I6926">
        <v>41.560009999999998</v>
      </c>
      <c r="J6926">
        <v>-187.46260000000001</v>
      </c>
      <c r="K6926">
        <v>1.1088260000000001</v>
      </c>
      <c r="L6926">
        <v>2.6583559999999999</v>
      </c>
      <c r="M6926">
        <v>3.0777780000000002E-3</v>
      </c>
      <c r="N6926">
        <v>0</v>
      </c>
      <c r="O6926">
        <v>0.9999536</v>
      </c>
      <c r="P6926">
        <v>2.7843929999999999E-2</v>
      </c>
      <c r="Q6926">
        <v>-2.1606199999999999E-2</v>
      </c>
      <c r="R6926">
        <v>0.99937869999999995</v>
      </c>
      <c r="S6926">
        <v>-8.9355470000000006E-2</v>
      </c>
      <c r="T6926">
        <v>-8.4921960000000005E-2</v>
      </c>
      <c r="U6926">
        <v>3.0024109999999999</v>
      </c>
      <c r="V6926">
        <v>2.4769739999999998E-2</v>
      </c>
      <c r="W6926">
        <v>-1.248251E-2</v>
      </c>
      <c r="X6926">
        <v>0.99961529999999998</v>
      </c>
      <c r="Y6926">
        <v>-3.2812590000000003E-2</v>
      </c>
      <c r="Z6926">
        <v>-2.8259220000000002E-2</v>
      </c>
      <c r="AA6926">
        <v>0.99906189999999995</v>
      </c>
      <c r="AB6926">
        <v>30</v>
      </c>
      <c r="AC6926">
        <v>-1.16759999999999</v>
      </c>
      <c r="AD6926">
        <v>-1.1088270697579901</v>
      </c>
      <c r="AE6926">
        <v>38.901654000000001</v>
      </c>
      <c r="AF6926">
        <v>-1.2862860226460799</v>
      </c>
      <c r="AG6926">
        <v>-1.1088270697579901</v>
      </c>
      <c r="AH6926">
        <v>38.866327814297698</v>
      </c>
      <c r="AI6926">
        <v>91.633268469598093</v>
      </c>
      <c r="AJ6926">
        <v>91.895519207726494</v>
      </c>
      <c r="AK6926">
        <v>38.903412022226703</v>
      </c>
      <c r="AL6926">
        <v>90.715213678677202</v>
      </c>
      <c r="AM6926">
        <v>88.580542735285107</v>
      </c>
      <c r="AN6926">
        <v>1.0000000505348201</v>
      </c>
    </row>
    <row r="6927" spans="1:40" x14ac:dyDescent="0.25">
      <c r="A6927" t="str">
        <f>"20190312173100236"</f>
        <v>20190312173100236</v>
      </c>
      <c r="B6927" t="str">
        <f>"1552383060225001"</f>
        <v>1552383060225001</v>
      </c>
      <c r="C6927" t="s">
        <v>40</v>
      </c>
      <c r="D6927">
        <v>2.8675190000000002</v>
      </c>
      <c r="E6927">
        <v>0.47806929999999997</v>
      </c>
      <c r="F6927" t="s">
        <v>41</v>
      </c>
      <c r="G6927">
        <v>-188.7029</v>
      </c>
      <c r="H6927" s="1">
        <v>-2.0712659999999999E-6</v>
      </c>
      <c r="I6927">
        <v>43.924590000000002</v>
      </c>
      <c r="J6927">
        <v>-187.46180000000001</v>
      </c>
      <c r="K6927">
        <v>1.10883</v>
      </c>
      <c r="L6927">
        <v>2.9606629999999998</v>
      </c>
      <c r="M6927">
        <v>2.9996879999999999E-3</v>
      </c>
      <c r="N6927">
        <v>0</v>
      </c>
      <c r="O6927">
        <v>0.99995389999999995</v>
      </c>
      <c r="P6927">
        <v>2.7887789999999999E-2</v>
      </c>
      <c r="Q6927">
        <v>-1.905248E-2</v>
      </c>
      <c r="R6927">
        <v>0.99942949999999997</v>
      </c>
      <c r="S6927">
        <v>-9.0240479999999998E-2</v>
      </c>
      <c r="T6927">
        <v>-8.0680849999999998E-2</v>
      </c>
      <c r="U6927">
        <v>3.0026250000000001</v>
      </c>
      <c r="V6927">
        <v>2.489104E-2</v>
      </c>
      <c r="W6927">
        <v>-9.9315930000000007E-3</v>
      </c>
      <c r="X6927">
        <v>0.9996408</v>
      </c>
      <c r="Y6927">
        <v>-3.3027800000000003E-2</v>
      </c>
      <c r="Z6927">
        <v>-2.6846849999999998E-2</v>
      </c>
      <c r="AA6927">
        <v>0.99909380000000003</v>
      </c>
      <c r="AB6927">
        <v>30</v>
      </c>
      <c r="AC6927">
        <v>-1.2410999999999801</v>
      </c>
      <c r="AD6927">
        <v>-1.108832071266</v>
      </c>
      <c r="AE6927">
        <v>40.963926999999998</v>
      </c>
      <c r="AF6927">
        <v>-1.36298078284508</v>
      </c>
      <c r="AG6927">
        <v>-1.108832071266</v>
      </c>
      <c r="AH6927">
        <v>40.930057515440801</v>
      </c>
      <c r="AI6927">
        <v>91.550955366369493</v>
      </c>
      <c r="AJ6927">
        <v>91.907258489067104</v>
      </c>
      <c r="AK6927">
        <v>40.967753580028898</v>
      </c>
      <c r="AL6927">
        <v>90.569047737897094</v>
      </c>
      <c r="AM6927">
        <v>88.573630741235306</v>
      </c>
      <c r="AN6927">
        <v>0.99999996471821895</v>
      </c>
    </row>
    <row r="6928" spans="1:40" x14ac:dyDescent="0.25">
      <c r="A6928" t="str">
        <f>"20190312173100257"</f>
        <v>20190312173100257</v>
      </c>
      <c r="B6928" t="str">
        <f>"1552383060254281"</f>
        <v>1552383060254281</v>
      </c>
      <c r="C6928" t="s">
        <v>40</v>
      </c>
      <c r="D6928">
        <v>2.9054660000000001</v>
      </c>
      <c r="E6928">
        <v>0.4776437</v>
      </c>
      <c r="F6928" t="s">
        <v>41</v>
      </c>
      <c r="G6928">
        <v>-188.8312</v>
      </c>
      <c r="H6928" s="1">
        <v>-3.6157220000000001E-6</v>
      </c>
      <c r="I6928">
        <v>47.577809999999999</v>
      </c>
      <c r="J6928">
        <v>-187.46100000000001</v>
      </c>
      <c r="K6928">
        <v>1.108841</v>
      </c>
      <c r="L6928">
        <v>3.2418209999999998</v>
      </c>
      <c r="M6928">
        <v>2.921238E-3</v>
      </c>
      <c r="N6928">
        <v>0</v>
      </c>
      <c r="O6928">
        <v>0.99995420000000002</v>
      </c>
      <c r="P6928">
        <v>2.7192170000000002E-2</v>
      </c>
      <c r="Q6928">
        <v>-1.687698E-2</v>
      </c>
      <c r="R6928">
        <v>0.99948780000000004</v>
      </c>
      <c r="S6928">
        <v>-9.2163090000000003E-2</v>
      </c>
      <c r="T6928">
        <v>-7.4627879999999994E-2</v>
      </c>
      <c r="U6928">
        <v>3.002869</v>
      </c>
      <c r="V6928">
        <v>2.4273320000000001E-2</v>
      </c>
      <c r="W6928">
        <v>-7.7604850000000001E-3</v>
      </c>
      <c r="X6928">
        <v>0.99967519999999999</v>
      </c>
      <c r="Y6928">
        <v>-3.358763E-2</v>
      </c>
      <c r="Z6928">
        <v>-2.4831510000000001E-2</v>
      </c>
      <c r="AA6928">
        <v>0.99912730000000005</v>
      </c>
      <c r="AB6928">
        <v>30</v>
      </c>
      <c r="AC6928">
        <v>-1.3702000000000101</v>
      </c>
      <c r="AD6928">
        <v>-1.108844615722</v>
      </c>
      <c r="AE6928">
        <v>44.335988999999998</v>
      </c>
      <c r="AF6928">
        <v>-1.49877891396068</v>
      </c>
      <c r="AG6928">
        <v>-1.108844615722</v>
      </c>
      <c r="AH6928">
        <v>44.3041111045316</v>
      </c>
      <c r="AI6928">
        <v>91.432881836722601</v>
      </c>
      <c r="AJ6928">
        <v>91.9375396069305</v>
      </c>
      <c r="AK6928">
        <v>44.343321203732899</v>
      </c>
      <c r="AL6928">
        <v>90.444647517453802</v>
      </c>
      <c r="AM6928">
        <v>88.609062655929307</v>
      </c>
      <c r="AN6928">
        <v>0.99999996234314803</v>
      </c>
    </row>
    <row r="6929" spans="1:40" x14ac:dyDescent="0.25">
      <c r="A6929" t="str">
        <f>"20190312173100278"</f>
        <v>20190312173100278</v>
      </c>
      <c r="B6929" t="str">
        <f>"1552383060274778"</f>
        <v>1552383060274778</v>
      </c>
      <c r="C6929" t="s">
        <v>40</v>
      </c>
      <c r="D6929">
        <v>2.9149389999999999</v>
      </c>
      <c r="E6929">
        <v>0.47740500000000002</v>
      </c>
      <c r="F6929" t="s">
        <v>41</v>
      </c>
      <c r="G6929">
        <v>-189.0179</v>
      </c>
      <c r="H6929" s="1">
        <v>-7.9848720000000001E-7</v>
      </c>
      <c r="I6929">
        <v>51.088000000000001</v>
      </c>
      <c r="J6929">
        <v>-187.46029999999999</v>
      </c>
      <c r="K6929">
        <v>1.1088450000000001</v>
      </c>
      <c r="L6929">
        <v>3.5391240000000002</v>
      </c>
      <c r="M6929">
        <v>2.834044E-3</v>
      </c>
      <c r="N6929">
        <v>0</v>
      </c>
      <c r="O6929">
        <v>0.99995449999999997</v>
      </c>
      <c r="P6929">
        <v>2.6571129999999998E-2</v>
      </c>
      <c r="Q6929">
        <v>-1.5281970000000001E-2</v>
      </c>
      <c r="R6929">
        <v>0.99953009999999998</v>
      </c>
      <c r="S6929">
        <v>-9.7717289999999998E-2</v>
      </c>
      <c r="T6929">
        <v>-6.9595459999999998E-2</v>
      </c>
      <c r="U6929">
        <v>3.0030209999999999</v>
      </c>
      <c r="V6929">
        <v>2.3739059999999999E-2</v>
      </c>
      <c r="W6929">
        <v>-6.1699789999999999E-3</v>
      </c>
      <c r="X6929">
        <v>0.99969920000000001</v>
      </c>
      <c r="Y6929">
        <v>-3.5346250000000003E-2</v>
      </c>
      <c r="Z6929">
        <v>-2.3155419999999999E-2</v>
      </c>
      <c r="AA6929">
        <v>0.99910679999999996</v>
      </c>
      <c r="AB6929">
        <v>30</v>
      </c>
      <c r="AC6929">
        <v>-1.5576000000000001</v>
      </c>
      <c r="AD6929">
        <v>-1.1088457984872</v>
      </c>
      <c r="AE6929">
        <v>47.548876</v>
      </c>
      <c r="AF6929">
        <v>-1.6914360766715799</v>
      </c>
      <c r="AG6929">
        <v>-1.1088457984872</v>
      </c>
      <c r="AH6929">
        <v>47.518456361563999</v>
      </c>
      <c r="AI6929">
        <v>91.335911831170307</v>
      </c>
      <c r="AJ6929">
        <v>92.038602615683303</v>
      </c>
      <c r="AK6929">
        <v>47.561478004706203</v>
      </c>
      <c r="AL6929">
        <v>90.353515981341801</v>
      </c>
      <c r="AM6929">
        <v>88.639698441605901</v>
      </c>
      <c r="AN6929">
        <v>1.00000005104559</v>
      </c>
    </row>
    <row r="6930" spans="1:40" x14ac:dyDescent="0.25">
      <c r="A6930" t="str">
        <f>"20190312173100302"</f>
        <v>20190312173100302</v>
      </c>
      <c r="B6930" t="str">
        <f>"1552383060294297"</f>
        <v>1552383060294297</v>
      </c>
      <c r="C6930" t="s">
        <v>40</v>
      </c>
      <c r="D6930">
        <v>2.932375</v>
      </c>
      <c r="E6930">
        <v>0.47722829999999999</v>
      </c>
      <c r="F6930" t="s">
        <v>41</v>
      </c>
      <c r="G6930">
        <v>-189.14330000000001</v>
      </c>
      <c r="H6930" s="1">
        <v>-1.7459479999999999E-6</v>
      </c>
      <c r="I6930">
        <v>53.348379999999999</v>
      </c>
      <c r="J6930">
        <v>-187.45949999999999</v>
      </c>
      <c r="K6930">
        <v>1.1088519999999999</v>
      </c>
      <c r="L6930">
        <v>3.8578800000000002</v>
      </c>
      <c r="M6930">
        <v>2.7380640000000001E-3</v>
      </c>
      <c r="N6930">
        <v>0</v>
      </c>
      <c r="O6930">
        <v>0.99995480000000003</v>
      </c>
      <c r="P6930">
        <v>2.525985E-2</v>
      </c>
      <c r="Q6930">
        <v>-1.3526689999999999E-2</v>
      </c>
      <c r="R6930">
        <v>0.99958939999999996</v>
      </c>
      <c r="S6930">
        <v>-0.1014709</v>
      </c>
      <c r="T6930">
        <v>-6.6854239999999995E-2</v>
      </c>
      <c r="U6930">
        <v>3.003082</v>
      </c>
      <c r="V6930">
        <v>2.2523330000000001E-2</v>
      </c>
      <c r="W6930">
        <v>-4.4231030000000003E-3</v>
      </c>
      <c r="X6930">
        <v>0.99973650000000003</v>
      </c>
      <c r="Y6930">
        <v>-3.6497799999999997E-2</v>
      </c>
      <c r="Z6930">
        <v>-2.2242479999999999E-2</v>
      </c>
      <c r="AA6930">
        <v>0.99908620000000004</v>
      </c>
      <c r="AB6930">
        <v>30</v>
      </c>
      <c r="AC6930">
        <v>-1.68380000000001</v>
      </c>
      <c r="AD6930">
        <v>-1.1088537459479999</v>
      </c>
      <c r="AE6930">
        <v>49.490499999999997</v>
      </c>
      <c r="AF6930">
        <v>-1.81839567977313</v>
      </c>
      <c r="AG6930">
        <v>-1.1088537459479999</v>
      </c>
      <c r="AH6930">
        <v>49.460903195578197</v>
      </c>
      <c r="AI6930">
        <v>91.283420321266604</v>
      </c>
      <c r="AJ6930">
        <v>92.105491192127204</v>
      </c>
      <c r="AK6930">
        <v>49.506737565713998</v>
      </c>
      <c r="AL6930">
        <v>90.253425968992403</v>
      </c>
      <c r="AM6930">
        <v>88.709386444652296</v>
      </c>
      <c r="AN6930">
        <v>0.99999996683334302</v>
      </c>
    </row>
    <row r="6931" spans="1:40" x14ac:dyDescent="0.25">
      <c r="A6931" t="str">
        <f>"20190312173100323"</f>
        <v>20190312173100323</v>
      </c>
      <c r="B6931" t="str">
        <f>"1552383060314794"</f>
        <v>1552383060314794</v>
      </c>
      <c r="C6931" t="s">
        <v>40</v>
      </c>
      <c r="D6931">
        <v>2.794759</v>
      </c>
      <c r="E6931">
        <v>0.47695539999999997</v>
      </c>
      <c r="F6931" t="s">
        <v>41</v>
      </c>
      <c r="G6931">
        <v>-189.31880000000001</v>
      </c>
      <c r="H6931" s="1">
        <v>-2.9168869999999998E-6</v>
      </c>
      <c r="I6931">
        <v>56.150460000000002</v>
      </c>
      <c r="J6931">
        <v>-187.4588</v>
      </c>
      <c r="K6931">
        <v>1.108849</v>
      </c>
      <c r="L6931">
        <v>4.1421199999999896</v>
      </c>
      <c r="M6931">
        <v>2.6517649999999999E-3</v>
      </c>
      <c r="N6931">
        <v>0</v>
      </c>
      <c r="O6931">
        <v>0.99995520000000004</v>
      </c>
      <c r="P6931">
        <v>2.450753E-2</v>
      </c>
      <c r="Q6931">
        <v>-1.230361E-2</v>
      </c>
      <c r="R6931">
        <v>0.99962399999999996</v>
      </c>
      <c r="S6931">
        <v>-0.106781</v>
      </c>
      <c r="T6931">
        <v>-6.3679810000000003E-2</v>
      </c>
      <c r="U6931">
        <v>3.003082</v>
      </c>
      <c r="V6931">
        <v>2.185703E-2</v>
      </c>
      <c r="W6931">
        <v>-3.2112680000000002E-3</v>
      </c>
      <c r="X6931">
        <v>0.99975599999999998</v>
      </c>
      <c r="Y6931">
        <v>-3.8176769999999999E-2</v>
      </c>
      <c r="Z6931">
        <v>-2.1185519999999999E-2</v>
      </c>
      <c r="AA6931">
        <v>0.9990464</v>
      </c>
      <c r="AB6931">
        <v>30</v>
      </c>
      <c r="AC6931">
        <v>-1.8600000000000101</v>
      </c>
      <c r="AD6931">
        <v>-1.1088519168869999</v>
      </c>
      <c r="AE6931">
        <v>52.008339999999997</v>
      </c>
      <c r="AF6931">
        <v>-1.99700642905421</v>
      </c>
      <c r="AG6931">
        <v>-1.1088519168869999</v>
      </c>
      <c r="AH6931">
        <v>51.979626425458797</v>
      </c>
      <c r="AI6931">
        <v>91.221172410690301</v>
      </c>
      <c r="AJ6931">
        <v>92.200165761898006</v>
      </c>
      <c r="AK6931">
        <v>52.029790991138199</v>
      </c>
      <c r="AL6931">
        <v>90.183992410174199</v>
      </c>
      <c r="AM6931">
        <v>88.747578300376006</v>
      </c>
      <c r="AN6931">
        <v>1.0000000507692901</v>
      </c>
    </row>
    <row r="6932" spans="1:40" x14ac:dyDescent="0.25">
      <c r="A6932" t="str">
        <f>"20190312173100437"</f>
        <v>20190312173100437</v>
      </c>
      <c r="B6932" t="str">
        <f>"1552383060434842"</f>
        <v>1552383060434842</v>
      </c>
      <c r="C6932" t="s">
        <v>40</v>
      </c>
      <c r="D6932">
        <v>2.755007</v>
      </c>
      <c r="E6932">
        <v>0.47701310000000002</v>
      </c>
      <c r="F6932" t="s">
        <v>41</v>
      </c>
      <c r="G6932">
        <v>-189.45689999999999</v>
      </c>
      <c r="H6932" s="1">
        <v>-3.7036009999999998E-6</v>
      </c>
      <c r="I6932">
        <v>58.041379999999997</v>
      </c>
      <c r="J6932">
        <v>-187.4555</v>
      </c>
      <c r="K6932">
        <v>1.108846</v>
      </c>
      <c r="L6932">
        <v>5.701111</v>
      </c>
      <c r="M6932">
        <v>2.1968059999999999E-3</v>
      </c>
      <c r="N6932">
        <v>0</v>
      </c>
      <c r="O6932">
        <v>0.99995670000000003</v>
      </c>
      <c r="P6932">
        <v>1.6664499999999999E-2</v>
      </c>
      <c r="Q6932">
        <v>-9.4412430000000002E-3</v>
      </c>
      <c r="R6932">
        <v>0.9998165</v>
      </c>
      <c r="S6932">
        <v>-0.1113281</v>
      </c>
      <c r="T6932">
        <v>-6.1782120000000003E-2</v>
      </c>
      <c r="U6932">
        <v>3.0031129999999999</v>
      </c>
      <c r="V6932">
        <v>1.446802E-2</v>
      </c>
      <c r="W6932">
        <v>-3.9820630000000001E-4</v>
      </c>
      <c r="X6932">
        <v>0.99989530000000004</v>
      </c>
      <c r="Y6932">
        <v>-3.9232950000000003E-2</v>
      </c>
      <c r="Z6932">
        <v>-2.05533E-2</v>
      </c>
      <c r="AA6932">
        <v>0.99901870000000004</v>
      </c>
      <c r="AB6932">
        <v>31</v>
      </c>
      <c r="AC6932">
        <v>-2.0013999999999799</v>
      </c>
      <c r="AD6932">
        <v>-1.1088497036010001</v>
      </c>
      <c r="AE6932">
        <v>52.340268999999999</v>
      </c>
      <c r="AF6932">
        <v>-2.1154332233897901</v>
      </c>
      <c r="AG6932">
        <v>-1.1088497036010001</v>
      </c>
      <c r="AH6932">
        <v>52.312301230557097</v>
      </c>
      <c r="AI6932">
        <v>91.213309958439197</v>
      </c>
      <c r="AJ6932">
        <v>92.315696105121106</v>
      </c>
      <c r="AK6932">
        <v>52.366797356954599</v>
      </c>
      <c r="AL6932">
        <v>90.022815539906006</v>
      </c>
      <c r="AM6932">
        <v>89.171014566213998</v>
      </c>
      <c r="AN6932">
        <v>1.00000004656653</v>
      </c>
    </row>
    <row r="6933" spans="1:40" x14ac:dyDescent="0.25">
      <c r="A6933" t="str">
        <f>"20190312173100458"</f>
        <v>20190312173100458</v>
      </c>
      <c r="B6933" t="str">
        <f>"1552383060454362"</f>
        <v>1552383060454362</v>
      </c>
      <c r="C6933" t="s">
        <v>40</v>
      </c>
      <c r="D6933">
        <v>2.854889</v>
      </c>
      <c r="E6933">
        <v>0.47721720000000001</v>
      </c>
      <c r="F6933" t="s">
        <v>41</v>
      </c>
      <c r="G6933">
        <v>-190.28469999999999</v>
      </c>
      <c r="H6933" s="1">
        <v>-4.0830620000000001E-6</v>
      </c>
      <c r="I6933">
        <v>68.930260000000004</v>
      </c>
      <c r="J6933">
        <v>-187.45490000000001</v>
      </c>
      <c r="K6933">
        <v>1.1088519999999999</v>
      </c>
      <c r="L6933">
        <v>5.9806819999999998</v>
      </c>
      <c r="M6933">
        <v>2.127253E-3</v>
      </c>
      <c r="N6933">
        <v>0</v>
      </c>
      <c r="O6933">
        <v>0.99995690000000004</v>
      </c>
      <c r="P6933">
        <v>1.542439E-2</v>
      </c>
      <c r="Q6933">
        <v>-8.4891510000000003E-3</v>
      </c>
      <c r="R6933">
        <v>0.99984499999999998</v>
      </c>
      <c r="S6933">
        <v>-0.1343384</v>
      </c>
      <c r="T6933">
        <v>-5.2651169999999997E-2</v>
      </c>
      <c r="U6933">
        <v>3.0022890000000002</v>
      </c>
      <c r="V6933">
        <v>1.329727E-2</v>
      </c>
      <c r="W6933">
        <v>5.4866460000000002E-4</v>
      </c>
      <c r="X6933">
        <v>0.99991140000000001</v>
      </c>
      <c r="Y6933">
        <v>-4.6818859999999997E-2</v>
      </c>
      <c r="Z6933">
        <v>-1.7515880000000001E-2</v>
      </c>
      <c r="AA6933">
        <v>0.99874980000000002</v>
      </c>
      <c r="AB6933">
        <v>31</v>
      </c>
      <c r="AC6933">
        <v>-2.8297999999999699</v>
      </c>
      <c r="AD6933">
        <v>-1.108856083062</v>
      </c>
      <c r="AE6933">
        <v>62.949578000000002</v>
      </c>
      <c r="AF6933">
        <v>-2.9627912801300398</v>
      </c>
      <c r="AG6933">
        <v>-1.108856083062</v>
      </c>
      <c r="AH6933">
        <v>62.923930458904302</v>
      </c>
      <c r="AI6933">
        <v>91.008454331217905</v>
      </c>
      <c r="AJ6933">
        <v>92.695797142188695</v>
      </c>
      <c r="AK6933">
        <v>63.003402434944597</v>
      </c>
      <c r="AL6933">
        <v>89.968563831315706</v>
      </c>
      <c r="AM6933">
        <v>89.238099953196894</v>
      </c>
      <c r="AN6933">
        <v>0.99999996313612705</v>
      </c>
    </row>
    <row r="6934" spans="1:40" x14ac:dyDescent="0.25">
      <c r="A6934" t="str">
        <f>"20190312173100480"</f>
        <v>20190312173100480</v>
      </c>
      <c r="B6934" t="str">
        <f>"1552383060474858"</f>
        <v>1552383060474858</v>
      </c>
      <c r="C6934" t="s">
        <v>40</v>
      </c>
      <c r="D6934">
        <v>2.8303590000000001</v>
      </c>
      <c r="E6934">
        <v>0.47745690000000002</v>
      </c>
      <c r="F6934" t="s">
        <v>41</v>
      </c>
      <c r="G6934">
        <v>-190.69730000000001</v>
      </c>
      <c r="H6934" s="1">
        <v>-3.5275769999999999E-6</v>
      </c>
      <c r="I6934">
        <v>77.379459999999995</v>
      </c>
      <c r="J6934">
        <v>-187.45439999999999</v>
      </c>
      <c r="K6934">
        <v>1.1088639999999901</v>
      </c>
      <c r="L6934">
        <v>6.2824710000000001</v>
      </c>
      <c r="M6934">
        <v>2.0571700000000001E-3</v>
      </c>
      <c r="N6934">
        <v>0</v>
      </c>
      <c r="O6934">
        <v>0.99995710000000004</v>
      </c>
      <c r="P6934">
        <v>1.443231E-2</v>
      </c>
      <c r="Q6934">
        <v>-6.1539009999999998E-3</v>
      </c>
      <c r="R6934">
        <v>0.99987689999999996</v>
      </c>
      <c r="S6934">
        <v>-0.13633729999999999</v>
      </c>
      <c r="T6934">
        <v>-4.6625020000000003E-2</v>
      </c>
      <c r="U6934">
        <v>3.002167</v>
      </c>
      <c r="V6934">
        <v>1.2374949999999999E-2</v>
      </c>
      <c r="W6934">
        <v>2.8794409999999999E-3</v>
      </c>
      <c r="X6934">
        <v>0.99991929999999996</v>
      </c>
      <c r="Y6934">
        <v>-4.7415789999999999E-2</v>
      </c>
      <c r="Z6934">
        <v>-1.5511809999999999E-2</v>
      </c>
      <c r="AA6934">
        <v>0.99875480000000005</v>
      </c>
      <c r="AB6934">
        <v>31</v>
      </c>
      <c r="AC6934">
        <v>-3.2429000000000201</v>
      </c>
      <c r="AD6934">
        <v>-1.1088675275769999</v>
      </c>
      <c r="AE6934">
        <v>71.096988999999994</v>
      </c>
      <c r="AF6934">
        <v>-3.3883351866145501</v>
      </c>
      <c r="AG6934">
        <v>-1.1088675275769999</v>
      </c>
      <c r="AH6934">
        <v>71.072914325351903</v>
      </c>
      <c r="AI6934">
        <v>90.892832608774697</v>
      </c>
      <c r="AJ6934">
        <v>92.729456478998699</v>
      </c>
      <c r="AK6934">
        <v>71.162276194830795</v>
      </c>
      <c r="AL6934">
        <v>89.835019958421398</v>
      </c>
      <c r="AM6934">
        <v>89.290946568814903</v>
      </c>
      <c r="AN6934">
        <v>1.00000001854023</v>
      </c>
    </row>
    <row r="6935" spans="1:40" x14ac:dyDescent="0.25">
      <c r="A6935" t="str">
        <f>"20190312173100503"</f>
        <v>20190312173100503</v>
      </c>
      <c r="B6935" t="str">
        <f>"1552383060494378"</f>
        <v>1552383060494378</v>
      </c>
      <c r="C6935" t="s">
        <v>40</v>
      </c>
      <c r="D6935">
        <v>2.9148160000000001</v>
      </c>
      <c r="E6935">
        <v>0.47782079999999999</v>
      </c>
      <c r="F6935" t="s">
        <v>41</v>
      </c>
      <c r="G6935">
        <v>-191.3768</v>
      </c>
      <c r="H6935" s="1">
        <v>-1.4216639999999999E-6</v>
      </c>
      <c r="I6935">
        <v>92.049099999999996</v>
      </c>
      <c r="J6935">
        <v>-187.4538</v>
      </c>
      <c r="K6935">
        <v>1.1088769999999999</v>
      </c>
      <c r="L6935">
        <v>6.5969239999999996</v>
      </c>
      <c r="M6935">
        <v>1.9890709999999998E-3</v>
      </c>
      <c r="N6935">
        <v>0</v>
      </c>
      <c r="O6935">
        <v>0.99995730000000005</v>
      </c>
      <c r="P6935">
        <v>1.4645470000000001E-2</v>
      </c>
      <c r="Q6935">
        <v>-2.7866739999999998E-3</v>
      </c>
      <c r="R6935">
        <v>0.99988880000000002</v>
      </c>
      <c r="S6935">
        <v>-0.13729859999999999</v>
      </c>
      <c r="T6935">
        <v>-3.8813830000000001E-2</v>
      </c>
      <c r="U6935">
        <v>3.0021059999999999</v>
      </c>
      <c r="V6935">
        <v>1.265586E-2</v>
      </c>
      <c r="W6935">
        <v>6.2434910000000003E-3</v>
      </c>
      <c r="X6935">
        <v>0.99990040000000002</v>
      </c>
      <c r="Y6935">
        <v>-4.766952E-2</v>
      </c>
      <c r="Z6935">
        <v>-1.291365E-2</v>
      </c>
      <c r="AA6935">
        <v>0.99877969999999905</v>
      </c>
      <c r="AB6935">
        <v>31</v>
      </c>
      <c r="AC6935">
        <v>-3.923</v>
      </c>
      <c r="AD6935">
        <v>-1.108878421664</v>
      </c>
      <c r="AE6935">
        <v>85.452175999999994</v>
      </c>
      <c r="AF6935">
        <v>-4.0922819473388703</v>
      </c>
      <c r="AG6935">
        <v>-1.108878421664</v>
      </c>
      <c r="AH6935">
        <v>85.4298480486503</v>
      </c>
      <c r="AI6935">
        <v>90.742805135561397</v>
      </c>
      <c r="AJ6935">
        <v>92.742500371518602</v>
      </c>
      <c r="AK6935">
        <v>85.534994712725805</v>
      </c>
      <c r="AL6935">
        <v>89.642271985320207</v>
      </c>
      <c r="AM6935">
        <v>89.274839128601698</v>
      </c>
      <c r="AN6935">
        <v>0.99999998094618303</v>
      </c>
    </row>
    <row r="6936" spans="1:40" x14ac:dyDescent="0.25">
      <c r="A6936" t="str">
        <f>"20190312173100526"</f>
        <v>20190312173100526</v>
      </c>
      <c r="B6936" t="str">
        <f>"1552383060514874"</f>
        <v>1552383060514874</v>
      </c>
      <c r="C6936" t="s">
        <v>40</v>
      </c>
      <c r="D6936">
        <v>2.944715</v>
      </c>
      <c r="E6936">
        <v>0.47820309999999999</v>
      </c>
      <c r="F6936" t="s">
        <v>51</v>
      </c>
      <c r="G6936">
        <v>-192.79650000000001</v>
      </c>
      <c r="H6936" s="1">
        <v>-4.1719090000000003E-6</v>
      </c>
      <c r="I6936">
        <v>126.515</v>
      </c>
      <c r="J6936">
        <v>-187.45320000000001</v>
      </c>
      <c r="K6936">
        <v>1.1088910000000001</v>
      </c>
      <c r="L6936">
        <v>6.9146729999999996</v>
      </c>
      <c r="M6936">
        <v>1.9242249999999999E-3</v>
      </c>
      <c r="N6936">
        <v>0</v>
      </c>
      <c r="O6936">
        <v>0.9999574</v>
      </c>
      <c r="P6936">
        <v>1.515743E-2</v>
      </c>
      <c r="Q6936">
        <v>-4.4481989999999998E-4</v>
      </c>
      <c r="R6936">
        <v>0.99988500000000002</v>
      </c>
      <c r="S6936">
        <v>-0.1337585</v>
      </c>
      <c r="T6936">
        <v>-2.7761580000000001E-2</v>
      </c>
      <c r="U6936">
        <v>3.0022280000000001</v>
      </c>
      <c r="V6936">
        <v>1.323247E-2</v>
      </c>
      <c r="W6936">
        <v>8.5775450000000007E-3</v>
      </c>
      <c r="X6936">
        <v>0.99987570000000003</v>
      </c>
      <c r="Y6936">
        <v>-4.6429350000000001E-2</v>
      </c>
      <c r="Z6936">
        <v>-9.2370049999999995E-3</v>
      </c>
      <c r="AA6936">
        <v>0.99887890000000001</v>
      </c>
      <c r="AB6936">
        <v>31</v>
      </c>
      <c r="AC6936">
        <v>-5.3432999999999904</v>
      </c>
      <c r="AD6936">
        <v>-1.1088951719089899</v>
      </c>
      <c r="AE6936">
        <v>119.60032699999999</v>
      </c>
      <c r="AF6936">
        <v>-5.5729593052651403</v>
      </c>
      <c r="AG6936">
        <v>-1.1088951719089899</v>
      </c>
      <c r="AH6936">
        <v>119.579564380468</v>
      </c>
      <c r="AI6936">
        <v>90.5307287402957</v>
      </c>
      <c r="AJ6936">
        <v>92.668316888536197</v>
      </c>
      <c r="AK6936">
        <v>119.714492611976</v>
      </c>
      <c r="AL6936">
        <v>89.508536867905704</v>
      </c>
      <c r="AM6936">
        <v>89.2417853278411</v>
      </c>
      <c r="AN6936">
        <v>1.0000000439954999</v>
      </c>
    </row>
    <row r="6937" spans="1:40" x14ac:dyDescent="0.25">
      <c r="A6937" t="str">
        <f>"20190312173100548"</f>
        <v>20190312173100548</v>
      </c>
      <c r="B6937" t="str">
        <f>"1552383060544154"</f>
        <v>1552383060544154</v>
      </c>
      <c r="C6937" t="s">
        <v>40</v>
      </c>
      <c r="D6937">
        <v>2.933738</v>
      </c>
      <c r="E6937">
        <v>0.47859780000000002</v>
      </c>
      <c r="F6937" t="s">
        <v>41</v>
      </c>
      <c r="G6937">
        <v>-194.57810000000001</v>
      </c>
      <c r="H6937" s="1">
        <v>-2.4013920000000002E-6</v>
      </c>
      <c r="I6937">
        <v>172.34739999999999</v>
      </c>
      <c r="J6937">
        <v>-187.45269999999999</v>
      </c>
      <c r="K6937">
        <v>1.108892</v>
      </c>
      <c r="L6937">
        <v>7.2063600000000001</v>
      </c>
      <c r="M6937">
        <v>1.866677E-3</v>
      </c>
      <c r="N6937">
        <v>0</v>
      </c>
      <c r="O6937">
        <v>0.9999576</v>
      </c>
      <c r="P6937">
        <v>1.488363E-2</v>
      </c>
      <c r="Q6937">
        <v>-2.8455869999999999E-4</v>
      </c>
      <c r="R6937">
        <v>0.99988920000000003</v>
      </c>
      <c r="S6937">
        <v>-0.129303</v>
      </c>
      <c r="T6937">
        <v>-2.0124320000000001E-2</v>
      </c>
      <c r="U6937">
        <v>3.0022890000000002</v>
      </c>
      <c r="V6937">
        <v>1.301622E-2</v>
      </c>
      <c r="W6937">
        <v>8.7286959999999993E-3</v>
      </c>
      <c r="X6937">
        <v>0.99987720000000002</v>
      </c>
      <c r="Y6937">
        <v>-4.489224E-2</v>
      </c>
      <c r="Z6937">
        <v>-6.6963419999999897E-3</v>
      </c>
      <c r="AA6937">
        <v>0.99896940000000001</v>
      </c>
      <c r="AB6937">
        <v>31</v>
      </c>
      <c r="AC6937">
        <v>-7.1254000000000097</v>
      </c>
      <c r="AD6937">
        <v>-1.1088944013919999</v>
      </c>
      <c r="AE6937">
        <v>165.14104</v>
      </c>
      <c r="AF6937">
        <v>-7.4333305613481304</v>
      </c>
      <c r="AG6937">
        <v>-1.1088944013919999</v>
      </c>
      <c r="AH6937">
        <v>165.12001964217399</v>
      </c>
      <c r="AI6937">
        <v>90.384385459910206</v>
      </c>
      <c r="AJ6937">
        <v>92.577586357727498</v>
      </c>
      <c r="AK6937">
        <v>165.290970523678</v>
      </c>
      <c r="AL6937">
        <v>89.499876214461395</v>
      </c>
      <c r="AM6937">
        <v>89.254176064533098</v>
      </c>
      <c r="AN6937">
        <v>1.00000001359839</v>
      </c>
    </row>
    <row r="6938" spans="1:40" x14ac:dyDescent="0.25">
      <c r="A6938" t="str">
        <f>"20190312173100569"</f>
        <v>20190312173100569</v>
      </c>
      <c r="B6938" t="str">
        <f>"1552383060564649"</f>
        <v>1552383060564649</v>
      </c>
      <c r="C6938" t="s">
        <v>40</v>
      </c>
      <c r="D6938">
        <v>2.9642909999999998</v>
      </c>
      <c r="E6938">
        <v>0.48712610000000001</v>
      </c>
      <c r="F6938" t="s">
        <v>41</v>
      </c>
      <c r="G6938">
        <v>-194.5249</v>
      </c>
      <c r="H6938" s="1">
        <v>-3.3856159999999998E-6</v>
      </c>
      <c r="I6938">
        <v>174.6746</v>
      </c>
      <c r="J6938">
        <v>-187.4522</v>
      </c>
      <c r="K6938">
        <v>1.108881</v>
      </c>
      <c r="L6938">
        <v>7.5103149999999896</v>
      </c>
      <c r="M6938">
        <v>1.8073589999999999E-3</v>
      </c>
      <c r="N6938">
        <v>0</v>
      </c>
      <c r="O6938">
        <v>0.99995789999999996</v>
      </c>
      <c r="P6938">
        <v>1.452029E-2</v>
      </c>
      <c r="Q6938">
        <v>-5.7125299999999997E-4</v>
      </c>
      <c r="R6938">
        <v>0.99989439999999996</v>
      </c>
      <c r="S6938">
        <v>-0.12678529999999999</v>
      </c>
      <c r="T6938">
        <v>-1.9879339999999999E-2</v>
      </c>
      <c r="U6938">
        <v>3.0022280000000001</v>
      </c>
      <c r="V6938">
        <v>1.271223E-2</v>
      </c>
      <c r="W6938">
        <v>8.4330669999999903E-3</v>
      </c>
      <c r="X6938">
        <v>0.99988370000000004</v>
      </c>
      <c r="Y6938">
        <v>-4.3997630000000003E-2</v>
      </c>
      <c r="Z6938">
        <v>-6.6152149999999998E-3</v>
      </c>
      <c r="AA6938">
        <v>0.9990097</v>
      </c>
      <c r="AB6938">
        <v>31</v>
      </c>
      <c r="AC6938">
        <v>-7.0726999999999904</v>
      </c>
      <c r="AD6938">
        <v>-1.108884385616</v>
      </c>
      <c r="AE6938">
        <v>167.16428500000001</v>
      </c>
      <c r="AF6938">
        <v>-7.3745026260844604</v>
      </c>
      <c r="AG6938">
        <v>-1.108884385616</v>
      </c>
      <c r="AH6938">
        <v>167.143886782409</v>
      </c>
      <c r="AI6938">
        <v>90.379742975322898</v>
      </c>
      <c r="AJ6938">
        <v>92.526290582563206</v>
      </c>
      <c r="AK6938">
        <v>167.31016646424601</v>
      </c>
      <c r="AL6938">
        <v>89.5168151569884</v>
      </c>
      <c r="AM6938">
        <v>89.271597399262703</v>
      </c>
      <c r="AN6938">
        <v>1.00000006546814</v>
      </c>
    </row>
    <row r="6939" spans="1:40" x14ac:dyDescent="0.25">
      <c r="A6939" t="str">
        <f>"20190312173100591"</f>
        <v>20190312173100591</v>
      </c>
      <c r="B6939" t="str">
        <f>"1552383060584170"</f>
        <v>1552383060584170</v>
      </c>
      <c r="C6939" t="s">
        <v>40</v>
      </c>
      <c r="D6939">
        <v>2.96529</v>
      </c>
      <c r="E6939">
        <v>0.48702479999999998</v>
      </c>
      <c r="F6939" t="s">
        <v>41</v>
      </c>
      <c r="G6939">
        <v>-189.2199</v>
      </c>
      <c r="H6939" s="1">
        <v>-2.4694200000000002E-6</v>
      </c>
      <c r="I6939">
        <v>95.066509999999994</v>
      </c>
      <c r="J6939">
        <v>-187.45169999999999</v>
      </c>
      <c r="K6939">
        <v>1.108865</v>
      </c>
      <c r="L6939">
        <v>7.8118899999999902</v>
      </c>
      <c r="M6939">
        <v>1.748585E-3</v>
      </c>
      <c r="N6939">
        <v>0</v>
      </c>
      <c r="O6939">
        <v>0.99995800000000001</v>
      </c>
      <c r="P6939">
        <v>1.4946279999999999E-2</v>
      </c>
      <c r="Q6939">
        <v>-1.215956E-3</v>
      </c>
      <c r="R6939">
        <v>0.99988759999999999</v>
      </c>
      <c r="S6939">
        <v>-6.0592649999999998E-2</v>
      </c>
      <c r="T6939">
        <v>-3.8009170000000002E-2</v>
      </c>
      <c r="U6939">
        <v>3.00116</v>
      </c>
      <c r="V6939">
        <v>1.319707E-2</v>
      </c>
      <c r="W6939">
        <v>7.7802990000000001E-3</v>
      </c>
      <c r="X6939">
        <v>0.99988259999999995</v>
      </c>
      <c r="Y6939">
        <v>-2.193229E-2</v>
      </c>
      <c r="Z6939">
        <v>-1.2660970000000001E-2</v>
      </c>
      <c r="AA6939">
        <v>0.99967930000000005</v>
      </c>
      <c r="AB6939">
        <v>31</v>
      </c>
      <c r="AC6939">
        <v>-1.7682</v>
      </c>
      <c r="AD6939">
        <v>-1.10886746942</v>
      </c>
      <c r="AE6939">
        <v>87.254619999999903</v>
      </c>
      <c r="AF6939">
        <v>-1.9204655563983599</v>
      </c>
      <c r="AG6939">
        <v>-1.10886746942</v>
      </c>
      <c r="AH6939">
        <v>87.237311260018799</v>
      </c>
      <c r="AI6939">
        <v>90.728067117615694</v>
      </c>
      <c r="AJ6939">
        <v>91.261120951364504</v>
      </c>
      <c r="AK6939">
        <v>87.265492898942895</v>
      </c>
      <c r="AL6939">
        <v>89.554217186266897</v>
      </c>
      <c r="AM6939">
        <v>89.243818714007205</v>
      </c>
      <c r="AN6939">
        <v>0.99999995474593595</v>
      </c>
    </row>
    <row r="6940" spans="1:40" x14ac:dyDescent="0.25">
      <c r="A6940" t="str">
        <f>"20190312173100616"</f>
        <v>20190312173100616</v>
      </c>
      <c r="B6940" t="str">
        <f>"1552383060604667"</f>
        <v>1552383060604667</v>
      </c>
      <c r="C6940" t="s">
        <v>40</v>
      </c>
      <c r="D6940">
        <v>3.0008849999999998</v>
      </c>
      <c r="E6940">
        <v>0.48695749999999999</v>
      </c>
      <c r="F6940" t="s">
        <v>41</v>
      </c>
      <c r="G6940">
        <v>-189.13550000000001</v>
      </c>
      <c r="H6940" s="1">
        <v>-1.267304E-6</v>
      </c>
      <c r="I6940">
        <v>92.229420000000005</v>
      </c>
      <c r="J6940">
        <v>-187.4512</v>
      </c>
      <c r="K6940">
        <v>1.1088610000000001</v>
      </c>
      <c r="L6940">
        <v>8.1589659999999995</v>
      </c>
      <c r="M6940">
        <v>1.68038E-3</v>
      </c>
      <c r="N6940">
        <v>0</v>
      </c>
      <c r="O6940">
        <v>0.99995820000000002</v>
      </c>
      <c r="P6940">
        <v>1.498233E-2</v>
      </c>
      <c r="Q6940">
        <v>-1.9755440000000001E-3</v>
      </c>
      <c r="R6940">
        <v>0.99988580000000005</v>
      </c>
      <c r="S6940">
        <v>-5.986023E-2</v>
      </c>
      <c r="T6940">
        <v>-3.9422150000000003E-2</v>
      </c>
      <c r="U6940">
        <v>3.0011899999999998</v>
      </c>
      <c r="V6940">
        <v>1.33014E-2</v>
      </c>
      <c r="W6940">
        <v>7.0130890000000001E-3</v>
      </c>
      <c r="X6940">
        <v>0.99988690000000002</v>
      </c>
      <c r="Y6940">
        <v>-2.1619900000000001E-2</v>
      </c>
      <c r="Z6940">
        <v>-1.3131510000000001E-2</v>
      </c>
      <c r="AA6940">
        <v>0.99968000000000001</v>
      </c>
      <c r="AB6940">
        <v>31</v>
      </c>
      <c r="AC6940">
        <v>-1.6842999999999999</v>
      </c>
      <c r="AD6940">
        <v>-1.1088622673040001</v>
      </c>
      <c r="AE6940">
        <v>84.070453999999899</v>
      </c>
      <c r="AF6940">
        <v>-1.8252562291252099</v>
      </c>
      <c r="AG6940">
        <v>-1.1088622673040001</v>
      </c>
      <c r="AH6940">
        <v>84.052888303801097</v>
      </c>
      <c r="AI6940">
        <v>90.755648874670598</v>
      </c>
      <c r="AJ6940">
        <v>91.2440148876872</v>
      </c>
      <c r="AK6940">
        <v>84.080016460756397</v>
      </c>
      <c r="AL6940">
        <v>89.598176289680794</v>
      </c>
      <c r="AM6940">
        <v>89.237844670260003</v>
      </c>
      <c r="AN6940">
        <v>0.99999996172544503</v>
      </c>
    </row>
    <row r="6941" spans="1:40" x14ac:dyDescent="0.25">
      <c r="A6941" t="str">
        <f>"20190312173100638"</f>
        <v>20190312173100638</v>
      </c>
      <c r="B6941" t="str">
        <f>"1552383060633945"</f>
        <v>1552383060633945</v>
      </c>
      <c r="C6941" t="s">
        <v>40</v>
      </c>
      <c r="D6941">
        <v>2.9616549999999999</v>
      </c>
      <c r="E6941">
        <v>0.4869445</v>
      </c>
      <c r="F6941" t="s">
        <v>41</v>
      </c>
      <c r="G6941">
        <v>-188.90309999999999</v>
      </c>
      <c r="H6941" s="1">
        <v>-4.3055549999999999E-7</v>
      </c>
      <c r="I6941">
        <v>80.055660000000003</v>
      </c>
      <c r="J6941">
        <v>-187.45070000000001</v>
      </c>
      <c r="K6941">
        <v>1.1088549999999999</v>
      </c>
      <c r="L6941">
        <v>8.4673459999999992</v>
      </c>
      <c r="M6941">
        <v>1.6194650000000001E-3</v>
      </c>
      <c r="N6941">
        <v>0</v>
      </c>
      <c r="O6941">
        <v>0.99995829999999997</v>
      </c>
      <c r="P6941">
        <v>1.5306220000000001E-2</v>
      </c>
      <c r="Q6941">
        <v>-3.04192E-3</v>
      </c>
      <c r="R6941">
        <v>0.99987820000000005</v>
      </c>
      <c r="S6941">
        <v>-6.0607910000000001E-2</v>
      </c>
      <c r="T6941">
        <v>-4.6286819999999999E-2</v>
      </c>
      <c r="U6941">
        <v>3.00116</v>
      </c>
      <c r="V6941">
        <v>1.368631E-2</v>
      </c>
      <c r="W6941">
        <v>5.9411809999999898E-3</v>
      </c>
      <c r="X6941">
        <v>0.99988869999999996</v>
      </c>
      <c r="Y6941">
        <v>-2.1807489999999999E-2</v>
      </c>
      <c r="Z6941">
        <v>-1.5417709999999999E-2</v>
      </c>
      <c r="AA6941">
        <v>0.99964330000000001</v>
      </c>
      <c r="AB6941">
        <v>31</v>
      </c>
      <c r="AC6941">
        <v>-1.4523999999999799</v>
      </c>
      <c r="AD6941">
        <v>-1.1088554305554901</v>
      </c>
      <c r="AE6941">
        <v>71.588313999999997</v>
      </c>
      <c r="AF6941">
        <v>-1.5679615170311201</v>
      </c>
      <c r="AG6941">
        <v>-1.1088554305554901</v>
      </c>
      <c r="AH6941">
        <v>71.568704245722202</v>
      </c>
      <c r="AI6941">
        <v>90.887432793957899</v>
      </c>
      <c r="AJ6941">
        <v>91.255062656105807</v>
      </c>
      <c r="AK6941">
        <v>71.594465506046006</v>
      </c>
      <c r="AL6941">
        <v>89.659593405037796</v>
      </c>
      <c r="AM6941">
        <v>89.215793885299803</v>
      </c>
      <c r="AN6941">
        <v>1.0000000125503901</v>
      </c>
    </row>
    <row r="6942" spans="1:40" x14ac:dyDescent="0.25">
      <c r="A6942" t="str">
        <f>"20190312173100660"</f>
        <v>20190312173100660</v>
      </c>
      <c r="B6942" t="str">
        <f>"1552383060654442"</f>
        <v>1552383060654442</v>
      </c>
      <c r="C6942" t="s">
        <v>40</v>
      </c>
      <c r="D6942">
        <v>3.0058449999999999</v>
      </c>
      <c r="E6942">
        <v>0.48696590000000001</v>
      </c>
      <c r="F6942" t="s">
        <v>41</v>
      </c>
      <c r="G6942">
        <v>-188.76769999999999</v>
      </c>
      <c r="H6942" s="1">
        <v>-2.2968249999999998E-6</v>
      </c>
      <c r="I6942">
        <v>74.477180000000004</v>
      </c>
      <c r="J6942">
        <v>-187.4503</v>
      </c>
      <c r="K6942">
        <v>1.1088549999999999</v>
      </c>
      <c r="L6942">
        <v>8.7713929999999998</v>
      </c>
      <c r="M6942">
        <v>1.559043E-3</v>
      </c>
      <c r="N6942">
        <v>0</v>
      </c>
      <c r="O6942">
        <v>0.99995849999999997</v>
      </c>
      <c r="P6942">
        <v>1.5736670000000001E-2</v>
      </c>
      <c r="Q6942">
        <v>-3.7022320000000002E-3</v>
      </c>
      <c r="R6942">
        <v>0.99986929999999996</v>
      </c>
      <c r="S6942">
        <v>-5.9875490000000003E-2</v>
      </c>
      <c r="T6942">
        <v>-5.0414090000000002E-2</v>
      </c>
      <c r="U6942">
        <v>3.0011290000000002</v>
      </c>
      <c r="V6942">
        <v>1.4177260000000001E-2</v>
      </c>
      <c r="W6942">
        <v>5.2764810000000004E-3</v>
      </c>
      <c r="X6942">
        <v>0.99988560000000004</v>
      </c>
      <c r="Y6942">
        <v>-2.1502980000000001E-2</v>
      </c>
      <c r="Z6942">
        <v>-1.6792359999999999E-2</v>
      </c>
      <c r="AA6942">
        <v>0.99962779999999996</v>
      </c>
      <c r="AB6942">
        <v>31</v>
      </c>
      <c r="AC6942">
        <v>-1.3173999999999899</v>
      </c>
      <c r="AD6942">
        <v>-1.1088572968249999</v>
      </c>
      <c r="AE6942">
        <v>65.705787000000001</v>
      </c>
      <c r="AF6942">
        <v>-1.41943657606035</v>
      </c>
      <c r="AG6942">
        <v>-1.1088572968249999</v>
      </c>
      <c r="AH6942">
        <v>65.684953441223101</v>
      </c>
      <c r="AI6942">
        <v>90.966918307699103</v>
      </c>
      <c r="AJ6942">
        <v>91.237955800395497</v>
      </c>
      <c r="AK6942">
        <v>65.709645207334802</v>
      </c>
      <c r="AL6942">
        <v>89.697678512586194</v>
      </c>
      <c r="AM6942">
        <v>89.187664334104099</v>
      </c>
      <c r="AN6942">
        <v>1.0000000245201</v>
      </c>
    </row>
    <row r="6943" spans="1:40" x14ac:dyDescent="0.25">
      <c r="A6943" t="str">
        <f>"20190312173100681"</f>
        <v>20190312173100681</v>
      </c>
      <c r="B6943" t="str">
        <f>"1552383060673962"</f>
        <v>1552383060673962</v>
      </c>
      <c r="C6943" t="s">
        <v>40</v>
      </c>
      <c r="D6943">
        <v>2.9766590000000002</v>
      </c>
      <c r="E6943">
        <v>0.48698170000000002</v>
      </c>
      <c r="F6943" t="s">
        <v>41</v>
      </c>
      <c r="G6943">
        <v>-188.66159999999999</v>
      </c>
      <c r="H6943" s="1">
        <v>-8.0684719999999996E-7</v>
      </c>
      <c r="I6943">
        <v>70.960130000000007</v>
      </c>
      <c r="J6943">
        <v>-187.44980000000001</v>
      </c>
      <c r="K6943">
        <v>1.108849</v>
      </c>
      <c r="L6943">
        <v>9.0770569999999999</v>
      </c>
      <c r="M6943">
        <v>1.4983489999999999E-3</v>
      </c>
      <c r="N6943">
        <v>0</v>
      </c>
      <c r="O6943">
        <v>0.99995860000000003</v>
      </c>
      <c r="P6943">
        <v>1.6166059999999999E-2</v>
      </c>
      <c r="Q6943">
        <v>-3.847975E-3</v>
      </c>
      <c r="R6943">
        <v>0.99986189999999997</v>
      </c>
      <c r="S6943">
        <v>-5.8456420000000002E-2</v>
      </c>
      <c r="T6943">
        <v>-5.3511620000000003E-2</v>
      </c>
      <c r="U6943">
        <v>3.0011290000000002</v>
      </c>
      <c r="V6943">
        <v>1.4667360000000001E-2</v>
      </c>
      <c r="W6943">
        <v>5.1272330000000001E-3</v>
      </c>
      <c r="X6943">
        <v>0.99987930000000003</v>
      </c>
      <c r="Y6943">
        <v>-2.0969459999999999E-2</v>
      </c>
      <c r="Z6943">
        <v>-1.7823990000000001E-2</v>
      </c>
      <c r="AA6943">
        <v>0.99962119999999999</v>
      </c>
      <c r="AB6943">
        <v>31</v>
      </c>
      <c r="AC6943">
        <v>-1.21179999999998</v>
      </c>
      <c r="AD6943">
        <v>-1.1088498068471999</v>
      </c>
      <c r="AE6943">
        <v>61.883073000000003</v>
      </c>
      <c r="AF6943">
        <v>-1.30410626412339</v>
      </c>
      <c r="AG6943">
        <v>-1.1088498068471999</v>
      </c>
      <c r="AH6943">
        <v>61.861333461094702</v>
      </c>
      <c r="AI6943">
        <v>91.026675298473194</v>
      </c>
      <c r="AJ6943">
        <v>91.207680386280899</v>
      </c>
      <c r="AK6943">
        <v>61.885012875711901</v>
      </c>
      <c r="AL6943">
        <v>89.706229906453004</v>
      </c>
      <c r="AM6943">
        <v>89.159581007497394</v>
      </c>
      <c r="AN6943">
        <v>1.0000000172680401</v>
      </c>
    </row>
    <row r="6944" spans="1:40" x14ac:dyDescent="0.25">
      <c r="A6944" t="str">
        <f>"20190312173100704"</f>
        <v>20190312173100704</v>
      </c>
      <c r="B6944" t="str">
        <f>"1552383060694458"</f>
        <v>1552383060694458</v>
      </c>
      <c r="C6944" t="s">
        <v>40</v>
      </c>
      <c r="D6944">
        <v>3.010043</v>
      </c>
      <c r="E6944">
        <v>0.48716500000000001</v>
      </c>
      <c r="F6944" t="s">
        <v>41</v>
      </c>
      <c r="G6944">
        <v>-188.62540000000001</v>
      </c>
      <c r="H6944" s="1">
        <v>-7.3976670000000001E-7</v>
      </c>
      <c r="I6944">
        <v>70.747100000000003</v>
      </c>
      <c r="J6944">
        <v>-187.4494</v>
      </c>
      <c r="K6944">
        <v>1.108851</v>
      </c>
      <c r="L6944">
        <v>9.3814390000000003</v>
      </c>
      <c r="M6944">
        <v>1.43796299999999E-3</v>
      </c>
      <c r="N6944">
        <v>0</v>
      </c>
      <c r="O6944">
        <v>0.99995869999999998</v>
      </c>
      <c r="P6944">
        <v>1.6796129999999999E-2</v>
      </c>
      <c r="Q6944">
        <v>-3.8251660000000001E-3</v>
      </c>
      <c r="R6944">
        <v>0.99985159999999995</v>
      </c>
      <c r="S6944">
        <v>-5.7205199999999998E-2</v>
      </c>
      <c r="T6944">
        <v>-5.39614E-2</v>
      </c>
      <c r="U6944">
        <v>3.0011290000000002</v>
      </c>
      <c r="V6944">
        <v>1.5357819999999999E-2</v>
      </c>
      <c r="W6944">
        <v>5.1472599999999999E-3</v>
      </c>
      <c r="X6944">
        <v>0.9998688</v>
      </c>
      <c r="Y6944">
        <v>-2.0492429999999999E-2</v>
      </c>
      <c r="Z6944">
        <v>-1.7973909999999999E-2</v>
      </c>
      <c r="AA6944">
        <v>0.99962839999999997</v>
      </c>
      <c r="AB6944">
        <v>31</v>
      </c>
      <c r="AC6944">
        <v>-1.1760000000000099</v>
      </c>
      <c r="AD6944">
        <v>-1.1088517397666999</v>
      </c>
      <c r="AE6944">
        <v>61.365660999999903</v>
      </c>
      <c r="AF6944">
        <v>-1.2638313855896901</v>
      </c>
      <c r="AG6944">
        <v>-1.1088517397666999</v>
      </c>
      <c r="AH6944">
        <v>61.343884416056802</v>
      </c>
      <c r="AI6944">
        <v>91.035345778960703</v>
      </c>
      <c r="AJ6944">
        <v>91.180263727530203</v>
      </c>
      <c r="AK6944">
        <v>61.366920871121799</v>
      </c>
      <c r="AL6944">
        <v>89.705082419847699</v>
      </c>
      <c r="AM6944">
        <v>89.120015467390203</v>
      </c>
      <c r="AN6944">
        <v>0.99999998706704896</v>
      </c>
    </row>
    <row r="6945" spans="1:40" x14ac:dyDescent="0.25">
      <c r="A6945" t="str">
        <f>"20190312173100726"</f>
        <v>20190312173100726</v>
      </c>
      <c r="B6945" t="str">
        <f>"1552383060724714"</f>
        <v>1552383060724714</v>
      </c>
      <c r="C6945" t="s">
        <v>40</v>
      </c>
      <c r="D6945">
        <v>3.0004749999999998</v>
      </c>
      <c r="E6945">
        <v>0.48731200000000002</v>
      </c>
      <c r="F6945" t="s">
        <v>41</v>
      </c>
      <c r="G6945">
        <v>-188.53540000000001</v>
      </c>
      <c r="H6945" s="1">
        <v>-4.8419879999999899E-7</v>
      </c>
      <c r="I6945">
        <v>69.925799999999995</v>
      </c>
      <c r="J6945">
        <v>-187.44900000000001</v>
      </c>
      <c r="K6945">
        <v>1.1088530000000001</v>
      </c>
      <c r="L6945">
        <v>9.7028499999999998</v>
      </c>
      <c r="M6945">
        <v>1.3742520000000001E-3</v>
      </c>
      <c r="N6945">
        <v>0</v>
      </c>
      <c r="O6945">
        <v>0.99995880000000004</v>
      </c>
      <c r="P6945">
        <v>1.7271180000000001E-2</v>
      </c>
      <c r="Q6945">
        <v>-3.550849E-3</v>
      </c>
      <c r="R6945">
        <v>0.99984459999999997</v>
      </c>
      <c r="S6945">
        <v>-5.3833010000000001E-2</v>
      </c>
      <c r="T6945">
        <v>-5.4964779999999998E-2</v>
      </c>
      <c r="U6945">
        <v>3.0011290000000002</v>
      </c>
      <c r="V6945">
        <v>1.5896560000000001E-2</v>
      </c>
      <c r="W6945">
        <v>5.4200069999999897E-3</v>
      </c>
      <c r="X6945">
        <v>0.99985900000000005</v>
      </c>
      <c r="Y6945">
        <v>-1.9305760000000002E-2</v>
      </c>
      <c r="Z6945">
        <v>-1.8308430000000001E-2</v>
      </c>
      <c r="AA6945">
        <v>0.99964600000000003</v>
      </c>
      <c r="AB6945">
        <v>31</v>
      </c>
      <c r="AC6945">
        <v>-1.08639999999999</v>
      </c>
      <c r="AD6945">
        <v>-1.1088534841988</v>
      </c>
      <c r="AE6945">
        <v>60.222949999999997</v>
      </c>
      <c r="AF6945">
        <v>-1.16876770950828</v>
      </c>
      <c r="AG6945">
        <v>-1.1088534841988</v>
      </c>
      <c r="AH6945">
        <v>60.2009974266428</v>
      </c>
      <c r="AI6945">
        <v>91.055023640441107</v>
      </c>
      <c r="AJ6945">
        <v>91.112224850304898</v>
      </c>
      <c r="AK6945">
        <v>60.222551134694299</v>
      </c>
      <c r="AL6945">
        <v>89.689454968560696</v>
      </c>
      <c r="AM6945">
        <v>89.089142502715703</v>
      </c>
      <c r="AN6945">
        <v>1.00000004848835</v>
      </c>
    </row>
    <row r="6946" spans="1:40" x14ac:dyDescent="0.25">
      <c r="A6946" t="str">
        <f>"20190312173100748"</f>
        <v>20190312173100748</v>
      </c>
      <c r="B6946" t="str">
        <f>"1552383060744234"</f>
        <v>1552383060744234</v>
      </c>
      <c r="C6946" t="s">
        <v>40</v>
      </c>
      <c r="D6946">
        <v>3.0173860000000001</v>
      </c>
      <c r="E6946">
        <v>0.48744989999999999</v>
      </c>
      <c r="F6946" t="s">
        <v>41</v>
      </c>
      <c r="G6946">
        <v>-188.4734</v>
      </c>
      <c r="H6946" s="1">
        <v>-4.3780060000000002E-7</v>
      </c>
      <c r="I6946">
        <v>69.740989999999996</v>
      </c>
      <c r="J6946">
        <v>-187.4487</v>
      </c>
      <c r="K6946">
        <v>1.1088499999999999</v>
      </c>
      <c r="L6946">
        <v>10.00168</v>
      </c>
      <c r="M6946">
        <v>1.314932E-3</v>
      </c>
      <c r="N6946">
        <v>0</v>
      </c>
      <c r="O6946">
        <v>0.99995889999999998</v>
      </c>
      <c r="P6946">
        <v>1.7779199999999998E-2</v>
      </c>
      <c r="Q6946">
        <v>-3.0409289999999999E-3</v>
      </c>
      <c r="R6946">
        <v>0.99983730000000004</v>
      </c>
      <c r="S6946">
        <v>-5.1208499999999997E-2</v>
      </c>
      <c r="T6946">
        <v>-5.5428860000000003E-2</v>
      </c>
      <c r="U6946">
        <v>3.00116</v>
      </c>
      <c r="V6946">
        <v>1.6463849999999999E-2</v>
      </c>
      <c r="W6946">
        <v>5.9297380000000004E-3</v>
      </c>
      <c r="X6946">
        <v>0.99984689999999998</v>
      </c>
      <c r="Y6946">
        <v>-1.8372289999999999E-2</v>
      </c>
      <c r="Z6946">
        <v>-1.846308E-2</v>
      </c>
      <c r="AA6946">
        <v>0.99966069999999996</v>
      </c>
      <c r="AB6946">
        <v>31</v>
      </c>
      <c r="AC6946">
        <v>-1.02469999999999</v>
      </c>
      <c r="AD6946">
        <v>-1.1088504378006001</v>
      </c>
      <c r="AE6946">
        <v>59.739310000000003</v>
      </c>
      <c r="AF6946">
        <v>-1.1028755445426901</v>
      </c>
      <c r="AG6946">
        <v>-1.1088504378006001</v>
      </c>
      <c r="AH6946">
        <v>59.717342591587098</v>
      </c>
      <c r="AI6946">
        <v>91.063582522478399</v>
      </c>
      <c r="AJ6946">
        <v>91.058033203303197</v>
      </c>
      <c r="AK6946">
        <v>59.737817920988199</v>
      </c>
      <c r="AL6946">
        <v>89.660249055324499</v>
      </c>
      <c r="AM6946">
        <v>89.056631693618797</v>
      </c>
      <c r="AN6946">
        <v>1.0000000217945899</v>
      </c>
    </row>
    <row r="6947" spans="1:40" x14ac:dyDescent="0.25">
      <c r="A6947" t="str">
        <f>"20190312173100770"</f>
        <v>20190312173100770</v>
      </c>
      <c r="B6947" t="str">
        <f>"1552383060764730"</f>
        <v>1552383060764730</v>
      </c>
      <c r="C6947" t="s">
        <v>40</v>
      </c>
      <c r="D6947">
        <v>3.0386989999999998</v>
      </c>
      <c r="E6947">
        <v>0.4875775</v>
      </c>
      <c r="F6947" t="s">
        <v>41</v>
      </c>
      <c r="G6947">
        <v>-188.44229999999999</v>
      </c>
      <c r="H6947" s="1">
        <v>-9.9476449999999996E-7</v>
      </c>
      <c r="I6947">
        <v>71.307519999999997</v>
      </c>
      <c r="J6947">
        <v>-187.44829999999999</v>
      </c>
      <c r="K6947">
        <v>1.1088530000000001</v>
      </c>
      <c r="L6947">
        <v>10.32236</v>
      </c>
      <c r="M6947">
        <v>1.250885E-3</v>
      </c>
      <c r="N6947">
        <v>0</v>
      </c>
      <c r="O6947">
        <v>0.99995900000000004</v>
      </c>
      <c r="P6947">
        <v>1.8156439999999999E-2</v>
      </c>
      <c r="Q6947">
        <v>-2.4743130000000001E-3</v>
      </c>
      <c r="R6947">
        <v>0.9998321</v>
      </c>
      <c r="S6947">
        <v>-4.8645019999999997E-2</v>
      </c>
      <c r="T6947">
        <v>-5.4283140000000001E-2</v>
      </c>
      <c r="U6947">
        <v>3.0011899999999998</v>
      </c>
      <c r="V6947">
        <v>1.6905079999999999E-2</v>
      </c>
      <c r="W6947">
        <v>6.4952559999999996E-3</v>
      </c>
      <c r="X6947">
        <v>0.99983599999999995</v>
      </c>
      <c r="Y6947">
        <v>-1.7454560000000001E-2</v>
      </c>
      <c r="Z6947">
        <v>-1.8081659999999999E-2</v>
      </c>
      <c r="AA6947">
        <v>0.99968420000000002</v>
      </c>
      <c r="AB6947">
        <v>31</v>
      </c>
      <c r="AC6947">
        <v>-0.993999999999999</v>
      </c>
      <c r="AD6947">
        <v>-1.1088539947645</v>
      </c>
      <c r="AE6947">
        <v>60.985159999999901</v>
      </c>
      <c r="AF6947">
        <v>-1.0699340880143799</v>
      </c>
      <c r="AG6947">
        <v>-1.1088539947645</v>
      </c>
      <c r="AH6947">
        <v>60.963719715224897</v>
      </c>
      <c r="AI6947">
        <v>91.041863431311995</v>
      </c>
      <c r="AJ6947">
        <v>91.005457262272301</v>
      </c>
      <c r="AK6947">
        <v>60.9831897956388</v>
      </c>
      <c r="AL6947">
        <v>89.627846626992905</v>
      </c>
      <c r="AM6947">
        <v>89.031343686893507</v>
      </c>
      <c r="AN6947">
        <v>0.99999999848815502</v>
      </c>
    </row>
    <row r="6948" spans="1:40" x14ac:dyDescent="0.25">
      <c r="A6948" t="str">
        <f>"20190312173100793"</f>
        <v>20190312173100793</v>
      </c>
      <c r="B6948" t="str">
        <f>"1552383060784250"</f>
        <v>1552383060784250</v>
      </c>
      <c r="C6948" t="s">
        <v>40</v>
      </c>
      <c r="D6948">
        <v>3.0669879999999998</v>
      </c>
      <c r="E6948">
        <v>0.4875795</v>
      </c>
      <c r="F6948" t="s">
        <v>41</v>
      </c>
      <c r="G6948">
        <v>-188.42320000000001</v>
      </c>
      <c r="H6948" s="1">
        <v>-1.752058E-6</v>
      </c>
      <c r="I6948">
        <v>73.064859999999996</v>
      </c>
      <c r="J6948">
        <v>-187.44800000000001</v>
      </c>
      <c r="K6948">
        <v>1.108859</v>
      </c>
      <c r="L6948">
        <v>10.633609999999999</v>
      </c>
      <c r="M6948">
        <v>1.188765E-3</v>
      </c>
      <c r="N6948">
        <v>0</v>
      </c>
      <c r="O6948">
        <v>0.99995909999999999</v>
      </c>
      <c r="P6948">
        <v>1.8619279999999998E-2</v>
      </c>
      <c r="Q6948">
        <v>-2.708453E-3</v>
      </c>
      <c r="R6948">
        <v>0.99982300000000002</v>
      </c>
      <c r="S6948">
        <v>-4.6630860000000003E-2</v>
      </c>
      <c r="T6948">
        <v>-5.3040860000000002E-2</v>
      </c>
      <c r="U6948">
        <v>3.0012210000000001</v>
      </c>
      <c r="V6948">
        <v>1.7430069999999999E-2</v>
      </c>
      <c r="W6948">
        <v>6.2558880000000002E-3</v>
      </c>
      <c r="X6948">
        <v>0.99982850000000001</v>
      </c>
      <c r="Y6948">
        <v>-1.6721659999999999E-2</v>
      </c>
      <c r="Z6948">
        <v>-1.766802E-2</v>
      </c>
      <c r="AA6948">
        <v>0.99970409999999998</v>
      </c>
      <c r="AB6948">
        <v>31</v>
      </c>
      <c r="AC6948">
        <v>-0.97520000000002904</v>
      </c>
      <c r="AD6948">
        <v>-1.1088607520580001</v>
      </c>
      <c r="AE6948">
        <v>62.431249999999899</v>
      </c>
      <c r="AF6948">
        <v>-1.04908751017734</v>
      </c>
      <c r="AG6948">
        <v>-1.1088607520580001</v>
      </c>
      <c r="AH6948">
        <v>62.410363126233896</v>
      </c>
      <c r="AI6948">
        <v>91.017737804641399</v>
      </c>
      <c r="AJ6948">
        <v>90.963023178067999</v>
      </c>
      <c r="AK6948">
        <v>62.429028362772399</v>
      </c>
      <c r="AL6948">
        <v>89.641561677626598</v>
      </c>
      <c r="AM6948">
        <v>89.001260419167906</v>
      </c>
      <c r="AN6948">
        <v>0.99999998644356103</v>
      </c>
    </row>
    <row r="6949" spans="1:40" x14ac:dyDescent="0.25">
      <c r="A6949" t="str">
        <f>"20190312173100818"</f>
        <v>20190312173100818</v>
      </c>
      <c r="B6949" t="str">
        <f>"1552383060814505"</f>
        <v>1552383060814505</v>
      </c>
      <c r="C6949" t="s">
        <v>40</v>
      </c>
      <c r="D6949">
        <v>3.0564499999999999</v>
      </c>
      <c r="E6949">
        <v>0.48756339999999998</v>
      </c>
      <c r="F6949" t="s">
        <v>41</v>
      </c>
      <c r="G6949">
        <v>-188.3716</v>
      </c>
      <c r="H6949" s="1">
        <v>-1.2452069999999999E-6</v>
      </c>
      <c r="I6949">
        <v>71.862049999999996</v>
      </c>
      <c r="J6949">
        <v>-187.44759999999999</v>
      </c>
      <c r="K6949">
        <v>1.108859</v>
      </c>
      <c r="L6949">
        <v>10.990449999999999</v>
      </c>
      <c r="M6949">
        <v>1.117505E-3</v>
      </c>
      <c r="N6949">
        <v>0</v>
      </c>
      <c r="O6949">
        <v>0.9999593</v>
      </c>
      <c r="P6949">
        <v>1.877117E-2</v>
      </c>
      <c r="Q6949">
        <v>-2.7159969999999999E-3</v>
      </c>
      <c r="R6949">
        <v>0.99982009999999999</v>
      </c>
      <c r="S6949">
        <v>-4.527283E-2</v>
      </c>
      <c r="T6949">
        <v>-5.435276E-2</v>
      </c>
      <c r="U6949">
        <v>3.0012210000000001</v>
      </c>
      <c r="V6949">
        <v>1.7653220000000001E-2</v>
      </c>
      <c r="W6949">
        <v>6.2401540000000004E-3</v>
      </c>
      <c r="X6949">
        <v>0.99982470000000001</v>
      </c>
      <c r="Y6949">
        <v>-1.6198029999999999E-2</v>
      </c>
      <c r="Z6949">
        <v>-1.8105019999999999E-2</v>
      </c>
      <c r="AA6949">
        <v>0.99970490000000001</v>
      </c>
      <c r="AB6949">
        <v>32</v>
      </c>
      <c r="AC6949">
        <v>-0.92400000000000604</v>
      </c>
      <c r="AD6949">
        <v>-1.108860245207</v>
      </c>
      <c r="AE6949">
        <v>60.871600000000001</v>
      </c>
      <c r="AF6949">
        <v>-0.99169746094516997</v>
      </c>
      <c r="AG6949">
        <v>-1.108860245207</v>
      </c>
      <c r="AH6949">
        <v>60.850341657593297</v>
      </c>
      <c r="AI6949">
        <v>91.043832237714</v>
      </c>
      <c r="AJ6949">
        <v>90.933684968714303</v>
      </c>
      <c r="AK6949">
        <v>60.868523185167497</v>
      </c>
      <c r="AL6949">
        <v>89.642463193026501</v>
      </c>
      <c r="AM6949">
        <v>88.988472764307403</v>
      </c>
      <c r="AN6949">
        <v>1.0000000032142</v>
      </c>
    </row>
    <row r="6950" spans="1:40" x14ac:dyDescent="0.25">
      <c r="A6950" t="str">
        <f>"20190312173100839"</f>
        <v>20190312173100839</v>
      </c>
      <c r="B6950" t="str">
        <f>"1552383060834026"</f>
        <v>1552383060834026</v>
      </c>
      <c r="C6950" t="s">
        <v>40</v>
      </c>
      <c r="D6950">
        <v>3.0657939999999999</v>
      </c>
      <c r="E6950">
        <v>0.48758249999999997</v>
      </c>
      <c r="F6950" t="s">
        <v>41</v>
      </c>
      <c r="G6950">
        <v>-188.34370000000001</v>
      </c>
      <c r="H6950" s="1">
        <v>-8.1830089999999899E-7</v>
      </c>
      <c r="I6950">
        <v>70.757679999999993</v>
      </c>
      <c r="J6950">
        <v>-187.44730000000001</v>
      </c>
      <c r="K6950">
        <v>1.1088530000000001</v>
      </c>
      <c r="L6950">
        <v>11.29617</v>
      </c>
      <c r="M6950">
        <v>1.056509E-3</v>
      </c>
      <c r="N6950">
        <v>0</v>
      </c>
      <c r="O6950">
        <v>0.99995940000000005</v>
      </c>
      <c r="P6950">
        <v>1.8418589999999999E-2</v>
      </c>
      <c r="Q6950">
        <v>-3.3252260000000001E-3</v>
      </c>
      <c r="R6950">
        <v>0.99982479999999996</v>
      </c>
      <c r="S6950">
        <v>-4.4998169999999997E-2</v>
      </c>
      <c r="T6950">
        <v>-5.5681590000000003E-2</v>
      </c>
      <c r="U6950">
        <v>3.0012210000000001</v>
      </c>
      <c r="V6950">
        <v>1.7361669999999999E-2</v>
      </c>
      <c r="W6950">
        <v>5.6212290000000002E-3</v>
      </c>
      <c r="X6950">
        <v>0.99983350000000004</v>
      </c>
      <c r="Y6950">
        <v>-1.6045449999999999E-2</v>
      </c>
      <c r="Z6950">
        <v>-1.8547540000000001E-2</v>
      </c>
      <c r="AA6950">
        <v>0.99969920000000001</v>
      </c>
      <c r="AB6950">
        <v>32</v>
      </c>
      <c r="AC6950">
        <v>-0.89639999999999898</v>
      </c>
      <c r="AD6950">
        <v>-1.10885381830089</v>
      </c>
      <c r="AE6950">
        <v>59.461509999999997</v>
      </c>
      <c r="AF6950">
        <v>-0.95889025006018702</v>
      </c>
      <c r="AG6950">
        <v>-1.10885381830089</v>
      </c>
      <c r="AH6950">
        <v>59.439863746693</v>
      </c>
      <c r="AI6950">
        <v>91.068592841003905</v>
      </c>
      <c r="AJ6950">
        <v>90.924221484423398</v>
      </c>
      <c r="AK6950">
        <v>59.457938322207703</v>
      </c>
      <c r="AL6950">
        <v>89.677925615064794</v>
      </c>
      <c r="AM6950">
        <v>89.005183910434098</v>
      </c>
      <c r="AN6950">
        <v>1.0000000267614499</v>
      </c>
    </row>
    <row r="6951" spans="1:40" x14ac:dyDescent="0.25">
      <c r="A6951" t="str">
        <f>"20190312173100861"</f>
        <v>20190312173100861</v>
      </c>
      <c r="B6951" t="str">
        <f>"1552383060854522"</f>
        <v>1552383060854522</v>
      </c>
      <c r="C6951" t="s">
        <v>40</v>
      </c>
      <c r="D6951">
        <v>3.068111</v>
      </c>
      <c r="E6951">
        <v>0.48757630000000002</v>
      </c>
      <c r="F6951" t="s">
        <v>41</v>
      </c>
      <c r="G6951">
        <v>-188.31100000000001</v>
      </c>
      <c r="H6951" s="1">
        <v>-3.8312800000000004E-6</v>
      </c>
      <c r="I6951">
        <v>67.865219999999994</v>
      </c>
      <c r="J6951">
        <v>-187.44710000000001</v>
      </c>
      <c r="K6951">
        <v>1.108846</v>
      </c>
      <c r="L6951">
        <v>11.602779999999999</v>
      </c>
      <c r="M6951">
        <v>9.9545300000000009E-4</v>
      </c>
      <c r="N6951">
        <v>0</v>
      </c>
      <c r="O6951">
        <v>0.99995959999999995</v>
      </c>
      <c r="P6951">
        <v>1.812304E-2</v>
      </c>
      <c r="Q6951">
        <v>-3.6159230000000001E-3</v>
      </c>
      <c r="R6951">
        <v>0.99982919999999997</v>
      </c>
      <c r="S6951">
        <v>-4.5822139999999997E-2</v>
      </c>
      <c r="T6951">
        <v>-5.8828230000000002E-2</v>
      </c>
      <c r="U6951">
        <v>3.00116</v>
      </c>
      <c r="V6951">
        <v>1.7127199999999999E-2</v>
      </c>
      <c r="W6951">
        <v>5.317965E-3</v>
      </c>
      <c r="X6951">
        <v>0.99983920000000004</v>
      </c>
      <c r="Y6951">
        <v>-1.6258809999999999E-2</v>
      </c>
      <c r="Z6951">
        <v>-1.9595620000000001E-2</v>
      </c>
      <c r="AA6951">
        <v>0.9996758</v>
      </c>
      <c r="AB6951">
        <v>32</v>
      </c>
      <c r="AC6951">
        <v>-0.86389999999997202</v>
      </c>
      <c r="AD6951">
        <v>-1.1088498312799999</v>
      </c>
      <c r="AE6951">
        <v>56.262439999999899</v>
      </c>
      <c r="AF6951">
        <v>-0.91955132813208695</v>
      </c>
      <c r="AG6951">
        <v>-1.1088498312799999</v>
      </c>
      <c r="AH6951">
        <v>56.239712295744901</v>
      </c>
      <c r="AI6951">
        <v>91.129374508317596</v>
      </c>
      <c r="AJ6951">
        <v>90.936735158639493</v>
      </c>
      <c r="AK6951">
        <v>56.258158179072701</v>
      </c>
      <c r="AL6951">
        <v>89.695301620956997</v>
      </c>
      <c r="AM6951">
        <v>89.018621886919306</v>
      </c>
      <c r="AN6951">
        <v>1.00000002379411</v>
      </c>
    </row>
    <row r="6952" spans="1:40" x14ac:dyDescent="0.25">
      <c r="A6952" t="str">
        <f>"20190312173100882"</f>
        <v>20190312173100882</v>
      </c>
      <c r="B6952" t="str">
        <f>"1552383060874043"</f>
        <v>1552383060874043</v>
      </c>
      <c r="C6952" t="s">
        <v>40</v>
      </c>
      <c r="D6952">
        <v>3.0663179999999999</v>
      </c>
      <c r="E6952">
        <v>0.48758319999999999</v>
      </c>
      <c r="F6952" t="s">
        <v>41</v>
      </c>
      <c r="G6952">
        <v>-188.3142</v>
      </c>
      <c r="H6952" s="1">
        <v>-3.5352040000000002E-6</v>
      </c>
      <c r="I6952">
        <v>67.176369999999906</v>
      </c>
      <c r="J6952">
        <v>-187.4468</v>
      </c>
      <c r="K6952">
        <v>1.108833</v>
      </c>
      <c r="L6952">
        <v>11.90781</v>
      </c>
      <c r="M6952">
        <v>9.347763E-4</v>
      </c>
      <c r="N6952">
        <v>0</v>
      </c>
      <c r="O6952">
        <v>0.99995979999999995</v>
      </c>
      <c r="P6952">
        <v>1.7488839999999999E-2</v>
      </c>
      <c r="Q6952">
        <v>-3.9900880000000001E-3</v>
      </c>
      <c r="R6952">
        <v>0.99983909999999998</v>
      </c>
      <c r="S6952">
        <v>-4.6829219999999998E-2</v>
      </c>
      <c r="T6952">
        <v>-5.9881570000000002E-2</v>
      </c>
      <c r="U6952">
        <v>3.00116</v>
      </c>
      <c r="V6952">
        <v>1.6553689999999999E-2</v>
      </c>
      <c r="W6952">
        <v>4.9264870000000002E-3</v>
      </c>
      <c r="X6952">
        <v>0.99985089999999999</v>
      </c>
      <c r="Y6952">
        <v>-1.65334E-2</v>
      </c>
      <c r="Z6952">
        <v>-1.9946249999999999E-2</v>
      </c>
      <c r="AA6952">
        <v>0.99966440000000001</v>
      </c>
      <c r="AB6952">
        <v>32</v>
      </c>
      <c r="AC6952">
        <v>-0.86740000000000295</v>
      </c>
      <c r="AD6952">
        <v>-1.1088365352039999</v>
      </c>
      <c r="AE6952">
        <v>55.268560000000001</v>
      </c>
      <c r="AF6952">
        <v>-0.91869572048728199</v>
      </c>
      <c r="AG6952">
        <v>-1.1088365352039999</v>
      </c>
      <c r="AH6952">
        <v>55.245493499552303</v>
      </c>
      <c r="AI6952">
        <v>91.149674687948206</v>
      </c>
      <c r="AJ6952">
        <v>90.952702797816002</v>
      </c>
      <c r="AK6952">
        <v>55.264256733423302</v>
      </c>
      <c r="AL6952">
        <v>89.717731961813897</v>
      </c>
      <c r="AM6952">
        <v>89.051488649674297</v>
      </c>
      <c r="AN6952">
        <v>1.00000005857879</v>
      </c>
    </row>
    <row r="6953" spans="1:40" x14ac:dyDescent="0.25">
      <c r="A6953" t="str">
        <f>"20190312173100906"</f>
        <v>20190312173100906</v>
      </c>
      <c r="B6953" t="str">
        <f>"1552383060894538"</f>
        <v>1552383060894538</v>
      </c>
      <c r="C6953" t="s">
        <v>40</v>
      </c>
      <c r="D6953">
        <v>3.1131730000000002</v>
      </c>
      <c r="E6953">
        <v>0.48754609999999898</v>
      </c>
      <c r="F6953" t="s">
        <v>41</v>
      </c>
      <c r="G6953">
        <v>-188.32239999999999</v>
      </c>
      <c r="H6953" s="1">
        <v>-3.0068109999999998E-6</v>
      </c>
      <c r="I6953">
        <v>65.948080000000004</v>
      </c>
      <c r="J6953">
        <v>-187.44659999999999</v>
      </c>
      <c r="K6953">
        <v>1.1088229999999999</v>
      </c>
      <c r="L6953">
        <v>12.22781</v>
      </c>
      <c r="M6953">
        <v>8.708737E-4</v>
      </c>
      <c r="N6953">
        <v>0</v>
      </c>
      <c r="O6953">
        <v>0.99996010000000002</v>
      </c>
      <c r="P6953">
        <v>1.761337E-2</v>
      </c>
      <c r="Q6953">
        <v>-4.1448769999999999E-3</v>
      </c>
      <c r="R6953">
        <v>0.99983630000000001</v>
      </c>
      <c r="S6953">
        <v>-4.8629760000000001E-2</v>
      </c>
      <c r="T6953">
        <v>-6.1578630000000002E-2</v>
      </c>
      <c r="U6953">
        <v>3.001099</v>
      </c>
      <c r="V6953">
        <v>1.6742130000000001E-2</v>
      </c>
      <c r="W6953">
        <v>4.7452909999999996E-3</v>
      </c>
      <c r="X6953">
        <v>0.99984859999999998</v>
      </c>
      <c r="Y6953">
        <v>-1.7069239999999999E-2</v>
      </c>
      <c r="Z6953">
        <v>-2.051153E-2</v>
      </c>
      <c r="AA6953">
        <v>0.99964390000000003</v>
      </c>
      <c r="AB6953">
        <v>32</v>
      </c>
      <c r="AC6953">
        <v>-0.87579999999999802</v>
      </c>
      <c r="AD6953">
        <v>-1.1088260068110001</v>
      </c>
      <c r="AE6953">
        <v>53.720269999999999</v>
      </c>
      <c r="AF6953">
        <v>-0.92219230069479197</v>
      </c>
      <c r="AG6953">
        <v>-1.1088260068110001</v>
      </c>
      <c r="AH6953">
        <v>53.696616055203201</v>
      </c>
      <c r="AI6953">
        <v>91.182805621257501</v>
      </c>
      <c r="AJ6953">
        <v>90.983908050294502</v>
      </c>
      <c r="AK6953">
        <v>53.715980020220698</v>
      </c>
      <c r="AL6953">
        <v>89.728113838139805</v>
      </c>
      <c r="AM6953">
        <v>89.040691009520302</v>
      </c>
      <c r="AN6953">
        <v>1.0000000198127801</v>
      </c>
    </row>
    <row r="6954" spans="1:40" x14ac:dyDescent="0.25">
      <c r="A6954" t="str">
        <f>"20190312173100927"</f>
        <v>20190312173100927</v>
      </c>
      <c r="B6954" t="str">
        <f>"1552383060924794"</f>
        <v>1552383060924794</v>
      </c>
      <c r="C6954" t="s">
        <v>40</v>
      </c>
      <c r="D6954">
        <v>3.0729980000000001</v>
      </c>
      <c r="E6954">
        <v>0.48750130000000003</v>
      </c>
      <c r="F6954" t="s">
        <v>41</v>
      </c>
      <c r="G6954">
        <v>-188.30959999999999</v>
      </c>
      <c r="H6954" s="1">
        <v>-2.798516E-6</v>
      </c>
      <c r="I6954">
        <v>65.457239999999999</v>
      </c>
      <c r="J6954">
        <v>-187.44640000000001</v>
      </c>
      <c r="K6954">
        <v>1.1088180000000001</v>
      </c>
      <c r="L6954">
        <v>12.5466</v>
      </c>
      <c r="M6954">
        <v>8.0739780000000001E-4</v>
      </c>
      <c r="N6954">
        <v>0</v>
      </c>
      <c r="O6954">
        <v>0.99996039999999997</v>
      </c>
      <c r="P6954">
        <v>1.756228E-2</v>
      </c>
      <c r="Q6954">
        <v>-3.8941929999999998E-3</v>
      </c>
      <c r="R6954">
        <v>0.99983820000000001</v>
      </c>
      <c r="S6954">
        <v>-4.866028E-2</v>
      </c>
      <c r="T6954">
        <v>-6.2516089999999996E-2</v>
      </c>
      <c r="U6954">
        <v>3.001099</v>
      </c>
      <c r="V6954">
        <v>1.675449E-2</v>
      </c>
      <c r="W6954">
        <v>4.9670180000000001E-3</v>
      </c>
      <c r="X6954">
        <v>0.99984729999999999</v>
      </c>
      <c r="Y6954">
        <v>-1.7015829999999999E-2</v>
      </c>
      <c r="Z6954">
        <v>-2.0823669999999999E-2</v>
      </c>
      <c r="AA6954">
        <v>0.99963840000000004</v>
      </c>
      <c r="AB6954">
        <v>32</v>
      </c>
      <c r="AC6954">
        <v>-0.86319999999997699</v>
      </c>
      <c r="AD6954">
        <v>-1.1088207985159999</v>
      </c>
      <c r="AE6954">
        <v>52.910640000000001</v>
      </c>
      <c r="AF6954">
        <v>-0.90552375406285701</v>
      </c>
      <c r="AG6954">
        <v>-1.1088207985159999</v>
      </c>
      <c r="AH6954">
        <v>52.886705489634799</v>
      </c>
      <c r="AI6954">
        <v>91.200909355995904</v>
      </c>
      <c r="AJ6954">
        <v>90.980919869535199</v>
      </c>
      <c r="AK6954">
        <v>52.906077858595403</v>
      </c>
      <c r="AL6954">
        <v>89.715409662695606</v>
      </c>
      <c r="AM6954">
        <v>89.039981677154302</v>
      </c>
      <c r="AN6954">
        <v>1.00000000376013</v>
      </c>
    </row>
    <row r="6955" spans="1:40" x14ac:dyDescent="0.25">
      <c r="A6955" t="str">
        <f>"20190312173100949"</f>
        <v>20190312173100949</v>
      </c>
      <c r="B6955" t="str">
        <f>"1552383060944313"</f>
        <v>1552383060944313</v>
      </c>
      <c r="C6955" t="s">
        <v>40</v>
      </c>
      <c r="D6955">
        <v>3.0904560000000001</v>
      </c>
      <c r="E6955">
        <v>0.48752529999999999</v>
      </c>
      <c r="F6955" t="s">
        <v>41</v>
      </c>
      <c r="G6955">
        <v>-188.3186</v>
      </c>
      <c r="H6955" s="1">
        <v>-2.9331980000000001E-6</v>
      </c>
      <c r="I6955">
        <v>65.774889999999999</v>
      </c>
      <c r="J6955">
        <v>-187.4461</v>
      </c>
      <c r="K6955">
        <v>1.108819</v>
      </c>
      <c r="L6955">
        <v>12.8584</v>
      </c>
      <c r="M6955">
        <v>7.4540459999999995E-4</v>
      </c>
      <c r="N6955">
        <v>0</v>
      </c>
      <c r="O6955">
        <v>0.99996070000000004</v>
      </c>
      <c r="P6955">
        <v>1.7768880000000001E-2</v>
      </c>
      <c r="Q6955">
        <v>-3.265946E-3</v>
      </c>
      <c r="R6955">
        <v>0.99983679999999997</v>
      </c>
      <c r="S6955">
        <v>-4.917908E-2</v>
      </c>
      <c r="T6955">
        <v>-6.2517169999999997E-2</v>
      </c>
      <c r="U6955">
        <v>3.001099</v>
      </c>
      <c r="V6955">
        <v>1.702302E-2</v>
      </c>
      <c r="W6955">
        <v>5.5663939999999997E-3</v>
      </c>
      <c r="X6955">
        <v>0.99983960000000005</v>
      </c>
      <c r="Y6955">
        <v>-1.712661E-2</v>
      </c>
      <c r="Z6955">
        <v>-2.0823979999999999E-2</v>
      </c>
      <c r="AA6955">
        <v>0.99963650000000004</v>
      </c>
      <c r="AB6955">
        <v>32</v>
      </c>
      <c r="AC6955">
        <v>-0.87250000000000205</v>
      </c>
      <c r="AD6955">
        <v>-1.108821933198</v>
      </c>
      <c r="AE6955">
        <v>52.916490000000003</v>
      </c>
      <c r="AF6955">
        <v>-0.91154536128538</v>
      </c>
      <c r="AG6955">
        <v>-1.108821933198</v>
      </c>
      <c r="AH6955">
        <v>52.892607245233201</v>
      </c>
      <c r="AI6955">
        <v>91.200774318704305</v>
      </c>
      <c r="AJ6955">
        <v>90.987331406294601</v>
      </c>
      <c r="AK6955">
        <v>52.912080872176197</v>
      </c>
      <c r="AL6955">
        <v>89.681067468663699</v>
      </c>
      <c r="AM6955">
        <v>89.024590570684396</v>
      </c>
      <c r="AN6955">
        <v>0.99999999684012097</v>
      </c>
    </row>
    <row r="6956" spans="1:40" x14ac:dyDescent="0.25">
      <c r="A6956" t="str">
        <f>"20190312173100972"</f>
        <v>20190312173100972</v>
      </c>
      <c r="B6956" t="str">
        <f>"1552383060964810"</f>
        <v>1552383060964810</v>
      </c>
      <c r="C6956" t="s">
        <v>40</v>
      </c>
      <c r="D6956">
        <v>3.097566</v>
      </c>
      <c r="E6956">
        <v>0.48752960000000001</v>
      </c>
      <c r="F6956" t="s">
        <v>41</v>
      </c>
      <c r="G6956">
        <v>-188.32429999999999</v>
      </c>
      <c r="H6956" s="1">
        <v>-3.577399E-6</v>
      </c>
      <c r="I6956">
        <v>67.278909999999996</v>
      </c>
      <c r="J6956">
        <v>-187.446</v>
      </c>
      <c r="K6956">
        <v>1.108816</v>
      </c>
      <c r="L6956">
        <v>13.184749999999999</v>
      </c>
      <c r="M6956">
        <v>6.8079030000000001E-4</v>
      </c>
      <c r="N6956">
        <v>0</v>
      </c>
      <c r="O6956">
        <v>0.99996110000000005</v>
      </c>
      <c r="P6956">
        <v>1.782864E-2</v>
      </c>
      <c r="Q6956">
        <v>-2.4499790000000001E-3</v>
      </c>
      <c r="R6956">
        <v>0.99983809999999995</v>
      </c>
      <c r="S6956">
        <v>-4.8431399999999999E-2</v>
      </c>
      <c r="T6956">
        <v>-6.1148880000000003E-2</v>
      </c>
      <c r="U6956">
        <v>3.00116</v>
      </c>
      <c r="V6956">
        <v>1.71472999999999E-2</v>
      </c>
      <c r="W6956">
        <v>6.3483929999999999E-3</v>
      </c>
      <c r="X6956">
        <v>0.99983279999999997</v>
      </c>
      <c r="Y6956">
        <v>-1.6812839999999999E-2</v>
      </c>
      <c r="Z6956">
        <v>-2.036808E-2</v>
      </c>
      <c r="AA6956">
        <v>0.99965119999999996</v>
      </c>
      <c r="AB6956">
        <v>32</v>
      </c>
      <c r="AC6956">
        <v>-0.87829999999999497</v>
      </c>
      <c r="AD6956">
        <v>-1.1088195773989999</v>
      </c>
      <c r="AE6956">
        <v>54.094160000000002</v>
      </c>
      <c r="AF6956">
        <v>-0.91474375692614596</v>
      </c>
      <c r="AG6956">
        <v>-1.1088195773989999</v>
      </c>
      <c r="AH6956">
        <v>54.070836757230701</v>
      </c>
      <c r="AI6956">
        <v>91.1746201290171</v>
      </c>
      <c r="AJ6956">
        <v>90.969209292258796</v>
      </c>
      <c r="AK6956">
        <v>54.0899401425362</v>
      </c>
      <c r="AL6956">
        <v>89.636261423859494</v>
      </c>
      <c r="AM6956">
        <v>89.017464106813804</v>
      </c>
      <c r="AN6956">
        <v>0.99999997997340595</v>
      </c>
    </row>
    <row r="6957" spans="1:40" x14ac:dyDescent="0.25">
      <c r="A6957" t="str">
        <f>"20190312173100995"</f>
        <v>20190312173100995</v>
      </c>
      <c r="B6957" t="str">
        <f>"1552383060984331"</f>
        <v>1552383060984331</v>
      </c>
      <c r="C6957" t="s">
        <v>40</v>
      </c>
      <c r="D6957">
        <v>3.0900050000000001</v>
      </c>
      <c r="E6957">
        <v>0.48752180000000001</v>
      </c>
      <c r="F6957" t="s">
        <v>41</v>
      </c>
      <c r="G6957">
        <v>-188.346</v>
      </c>
      <c r="H6957" s="1">
        <v>-4.4164359999999999E-6</v>
      </c>
      <c r="I6957">
        <v>69.243709999999993</v>
      </c>
      <c r="J6957">
        <v>-187.44579999999999</v>
      </c>
      <c r="K6957">
        <v>1.1088129999999901</v>
      </c>
      <c r="L6957">
        <v>13.514530000000001</v>
      </c>
      <c r="M6957">
        <v>6.1546639999999998E-4</v>
      </c>
      <c r="N6957">
        <v>0</v>
      </c>
      <c r="O6957">
        <v>0.99996149999999995</v>
      </c>
      <c r="P6957">
        <v>1.8049240000000001E-2</v>
      </c>
      <c r="Q6957">
        <v>-1.419177E-3</v>
      </c>
      <c r="R6957">
        <v>0.99983610000000001</v>
      </c>
      <c r="S6957">
        <v>-4.8187260000000003E-2</v>
      </c>
      <c r="T6957">
        <v>-5.9362169999999999E-2</v>
      </c>
      <c r="U6957">
        <v>3.0011899999999998</v>
      </c>
      <c r="V6957">
        <v>1.7433110000000002E-2</v>
      </c>
      <c r="W6957">
        <v>7.3373300000000004E-3</v>
      </c>
      <c r="X6957">
        <v>0.99982110000000002</v>
      </c>
      <c r="Y6957">
        <v>-1.6666250000000001E-2</v>
      </c>
      <c r="Z6957">
        <v>-1.977303E-2</v>
      </c>
      <c r="AA6957">
        <v>0.99966560000000004</v>
      </c>
      <c r="AB6957">
        <v>32</v>
      </c>
      <c r="AC6957">
        <v>-0.90019999999998301</v>
      </c>
      <c r="AD6957">
        <v>-1.1088174164359901</v>
      </c>
      <c r="AE6957">
        <v>55.7291799999999</v>
      </c>
      <c r="AF6957">
        <v>-0.93413088157540303</v>
      </c>
      <c r="AG6957">
        <v>-1.1088174164359901</v>
      </c>
      <c r="AH6957">
        <v>55.706568462588699</v>
      </c>
      <c r="AI6957">
        <v>91.140139217204194</v>
      </c>
      <c r="AJ6957">
        <v>90.960689963929894</v>
      </c>
      <c r="AK6957">
        <v>55.725432671662503</v>
      </c>
      <c r="AL6957">
        <v>89.579598182055406</v>
      </c>
      <c r="AM6957">
        <v>89.001078871272398</v>
      </c>
      <c r="AN6957">
        <v>0.99999999087050495</v>
      </c>
    </row>
    <row r="6958" spans="1:40" x14ac:dyDescent="0.25">
      <c r="A6958" t="str">
        <f>"20190312173101018"</f>
        <v>20190312173101018</v>
      </c>
      <c r="B6958" t="str">
        <f>"1552383061014586"</f>
        <v>1552383061014586</v>
      </c>
      <c r="C6958" t="s">
        <v>40</v>
      </c>
      <c r="D6958">
        <v>3.067882</v>
      </c>
      <c r="E6958">
        <v>0.4875236</v>
      </c>
      <c r="F6958" t="s">
        <v>41</v>
      </c>
      <c r="G6958">
        <v>-188.37870000000001</v>
      </c>
      <c r="H6958" s="1">
        <v>-1.4912589999999999E-6</v>
      </c>
      <c r="I6958">
        <v>72.438550000000006</v>
      </c>
      <c r="J6958">
        <v>-187.44569999999999</v>
      </c>
      <c r="K6958">
        <v>1.108811</v>
      </c>
      <c r="L6958">
        <v>13.84671</v>
      </c>
      <c r="M6958">
        <v>5.4955800000000001E-4</v>
      </c>
      <c r="N6958">
        <v>0</v>
      </c>
      <c r="O6958">
        <v>0.99996189999999996</v>
      </c>
      <c r="P6958">
        <v>1.8642700000000002E-2</v>
      </c>
      <c r="Q6958" s="1">
        <v>9.3098090000000002E-5</v>
      </c>
      <c r="R6958">
        <v>0.9998262</v>
      </c>
      <c r="S6958">
        <v>-4.7515870000000002E-2</v>
      </c>
      <c r="T6958">
        <v>-5.6477189999999997E-2</v>
      </c>
      <c r="U6958">
        <v>3.0012819999999998</v>
      </c>
      <c r="V6958">
        <v>1.809233E-2</v>
      </c>
      <c r="W6958">
        <v>8.8026040000000003E-3</v>
      </c>
      <c r="X6958">
        <v>0.99979759999999995</v>
      </c>
      <c r="Y6958">
        <v>-1.6376580000000002E-2</v>
      </c>
      <c r="Z6958">
        <v>-1.8811919999999999E-2</v>
      </c>
      <c r="AA6958">
        <v>0.99968889999999999</v>
      </c>
      <c r="AB6958">
        <v>32</v>
      </c>
      <c r="AC6958">
        <v>-0.93300000000002103</v>
      </c>
      <c r="AD6958">
        <v>-1.1088124912590001</v>
      </c>
      <c r="AE6958">
        <v>58.591839999999998</v>
      </c>
      <c r="AF6958">
        <v>-0.96485523849538302</v>
      </c>
      <c r="AG6958">
        <v>-1.1088124912590001</v>
      </c>
      <c r="AH6958">
        <v>58.570347853129803</v>
      </c>
      <c r="AI6958">
        <v>91.084406614582505</v>
      </c>
      <c r="AJ6958">
        <v>90.9437733448827</v>
      </c>
      <c r="AK6958">
        <v>58.588787821635698</v>
      </c>
      <c r="AL6958">
        <v>89.495641443422301</v>
      </c>
      <c r="AM6958">
        <v>88.963289148539005</v>
      </c>
      <c r="AN6958">
        <v>1.00000002960388</v>
      </c>
    </row>
    <row r="6959" spans="1:40" x14ac:dyDescent="0.25">
      <c r="A6959" t="str">
        <f>"20190312173101039"</f>
        <v>20190312173101039</v>
      </c>
      <c r="B6959" t="str">
        <f>"1552383061034106"</f>
        <v>1552383061034106</v>
      </c>
      <c r="C6959" t="s">
        <v>40</v>
      </c>
      <c r="D6959">
        <v>3.0927259999999999</v>
      </c>
      <c r="E6959">
        <v>0.48755280000000001</v>
      </c>
      <c r="F6959" t="s">
        <v>41</v>
      </c>
      <c r="G6959">
        <v>-188.4211</v>
      </c>
      <c r="H6959" s="1">
        <v>-3.7570179999999998E-6</v>
      </c>
      <c r="I6959">
        <v>77.737629999999996</v>
      </c>
      <c r="J6959">
        <v>-187.44560000000001</v>
      </c>
      <c r="K6959">
        <v>1.108803</v>
      </c>
      <c r="L6959">
        <v>14.158779999999901</v>
      </c>
      <c r="M6959">
        <v>4.8737949999999998E-4</v>
      </c>
      <c r="N6959">
        <v>0</v>
      </c>
      <c r="O6959">
        <v>0.99996229999999997</v>
      </c>
      <c r="P6959">
        <v>1.866321E-2</v>
      </c>
      <c r="Q6959">
        <v>1.1456719999999999E-3</v>
      </c>
      <c r="R6959">
        <v>0.99982519999999997</v>
      </c>
      <c r="S6959">
        <v>-4.5822139999999997E-2</v>
      </c>
      <c r="T6959">
        <v>-5.2088259999999997E-2</v>
      </c>
      <c r="U6959">
        <v>3.0013730000000001</v>
      </c>
      <c r="V6959">
        <v>1.8174920000000001E-2</v>
      </c>
      <c r="W6959">
        <v>9.8125020000000007E-3</v>
      </c>
      <c r="X6959">
        <v>0.99978670000000003</v>
      </c>
      <c r="Y6959">
        <v>-1.5750320000000002E-2</v>
      </c>
      <c r="Z6959">
        <v>-1.7350109999999998E-2</v>
      </c>
      <c r="AA6959">
        <v>0.99972539999999999</v>
      </c>
      <c r="AB6959">
        <v>32</v>
      </c>
      <c r="AC6959">
        <v>-0.97549999999998205</v>
      </c>
      <c r="AD6959">
        <v>-1.108806757018</v>
      </c>
      <c r="AE6959">
        <v>63.578850000000003</v>
      </c>
      <c r="AF6959">
        <v>-1.00618211957138</v>
      </c>
      <c r="AG6959">
        <v>-1.108806757018</v>
      </c>
      <c r="AH6959">
        <v>63.5590401230032</v>
      </c>
      <c r="AI6959">
        <v>90.999315706291995</v>
      </c>
      <c r="AJ6959">
        <v>90.906954755704703</v>
      </c>
      <c r="AK6959">
        <v>63.576673680208302</v>
      </c>
      <c r="AL6959">
        <v>89.437776042802696</v>
      </c>
      <c r="AM6959">
        <v>88.958546336975104</v>
      </c>
      <c r="AN6959">
        <v>1.00000002920469</v>
      </c>
    </row>
    <row r="6960" spans="1:40" x14ac:dyDescent="0.25">
      <c r="A6960" t="str">
        <f>"20190312173101064"</f>
        <v>20190312173101064</v>
      </c>
      <c r="B6960" t="str">
        <f>"1552383061054602"</f>
        <v>1552383061054602</v>
      </c>
      <c r="C6960" t="s">
        <v>40</v>
      </c>
      <c r="D6960">
        <v>3.0817329999999998</v>
      </c>
      <c r="E6960">
        <v>0.48757080000000003</v>
      </c>
      <c r="F6960" t="s">
        <v>41</v>
      </c>
      <c r="G6960">
        <v>-188.47130000000001</v>
      </c>
      <c r="H6960" s="1">
        <v>-1.102201E-6</v>
      </c>
      <c r="I6960">
        <v>81.569929999999999</v>
      </c>
      <c r="J6960">
        <v>-187.44550000000001</v>
      </c>
      <c r="K6960">
        <v>1.1087990000000001</v>
      </c>
      <c r="L6960">
        <v>14.50037</v>
      </c>
      <c r="M6960">
        <v>4.1937490000000001E-4</v>
      </c>
      <c r="N6960">
        <v>0</v>
      </c>
      <c r="O6960">
        <v>0.99996269999999998</v>
      </c>
      <c r="P6960">
        <v>1.858313E-2</v>
      </c>
      <c r="Q6960">
        <v>1.4178400000000001E-3</v>
      </c>
      <c r="R6960">
        <v>0.99982629999999995</v>
      </c>
      <c r="S6960">
        <v>-4.5669559999999998E-2</v>
      </c>
      <c r="T6960">
        <v>-4.9368740000000001E-2</v>
      </c>
      <c r="U6960">
        <v>3.0014340000000002</v>
      </c>
      <c r="V6960">
        <v>1.8162810000000001E-2</v>
      </c>
      <c r="W6960">
        <v>1.003803E-2</v>
      </c>
      <c r="X6960">
        <v>0.99978460000000002</v>
      </c>
      <c r="Y6960">
        <v>-1.5631430000000002E-2</v>
      </c>
      <c r="Z6960">
        <v>-1.6444199999999999E-2</v>
      </c>
      <c r="AA6960">
        <v>0.99974260000000004</v>
      </c>
      <c r="AB6960">
        <v>32</v>
      </c>
      <c r="AC6960">
        <v>-1.0258</v>
      </c>
      <c r="AD6960">
        <v>-1.1088001022009999</v>
      </c>
      <c r="AE6960">
        <v>67.069559999999996</v>
      </c>
      <c r="AF6960">
        <v>-1.0536403433716599</v>
      </c>
      <c r="AG6960">
        <v>-1.1088001022009999</v>
      </c>
      <c r="AH6960">
        <v>67.050802518518196</v>
      </c>
      <c r="AI6960">
        <v>90.947280772394507</v>
      </c>
      <c r="AJ6960">
        <v>90.900275227892706</v>
      </c>
      <c r="AK6960">
        <v>67.068246689600798</v>
      </c>
      <c r="AL6960">
        <v>89.424853557400098</v>
      </c>
      <c r="AM6960">
        <v>88.9592379221926</v>
      </c>
      <c r="AN6960">
        <v>0.99999994805526704</v>
      </c>
    </row>
    <row r="6961" spans="1:40" x14ac:dyDescent="0.25">
      <c r="A6961" t="str">
        <f>"20190312173101082"</f>
        <v>20190312173101082</v>
      </c>
      <c r="B6961" t="str">
        <f>"1552383061074123"</f>
        <v>1552383061074123</v>
      </c>
      <c r="C6961" t="s">
        <v>40</v>
      </c>
      <c r="D6961">
        <v>3.0880830000000001</v>
      </c>
      <c r="E6961">
        <v>0.48759370000000002</v>
      </c>
      <c r="F6961" t="s">
        <v>41</v>
      </c>
      <c r="G6961">
        <v>-188.48050000000001</v>
      </c>
      <c r="H6961" s="1">
        <v>-1.51959E-6</v>
      </c>
      <c r="I6961">
        <v>82.546689999999998</v>
      </c>
      <c r="J6961">
        <v>-187.44540000000001</v>
      </c>
      <c r="K6961">
        <v>1.1087990000000001</v>
      </c>
      <c r="L6961">
        <v>14.78467</v>
      </c>
      <c r="M6961">
        <v>3.6281479999999999E-4</v>
      </c>
      <c r="N6961">
        <v>0</v>
      </c>
      <c r="O6961">
        <v>0.99996309999999999</v>
      </c>
      <c r="P6961">
        <v>1.8545740000000002E-2</v>
      </c>
      <c r="Q6961">
        <v>1.8991940000000001E-3</v>
      </c>
      <c r="R6961">
        <v>0.9998262</v>
      </c>
      <c r="S6961">
        <v>-4.5654300000000002E-2</v>
      </c>
      <c r="T6961">
        <v>-4.8907760000000002E-2</v>
      </c>
      <c r="U6961">
        <v>3.0014340000000002</v>
      </c>
      <c r="V6961">
        <v>1.8181920000000001E-2</v>
      </c>
      <c r="W6961">
        <v>1.0480039999999999E-2</v>
      </c>
      <c r="X6961">
        <v>0.9997798</v>
      </c>
      <c r="Y6961">
        <v>-1.556984E-2</v>
      </c>
      <c r="Z6961">
        <v>-1.6290700000000002E-2</v>
      </c>
      <c r="AA6961">
        <v>0.99974609999999997</v>
      </c>
      <c r="AB6961">
        <v>32</v>
      </c>
      <c r="AC6961">
        <v>-1.0350999999999999</v>
      </c>
      <c r="AD6961">
        <v>-1.1088005195899999</v>
      </c>
      <c r="AE6961">
        <v>67.762019999999893</v>
      </c>
      <c r="AF6961">
        <v>-1.0594023093578999</v>
      </c>
      <c r="AG6961">
        <v>-1.1088005195899999</v>
      </c>
      <c r="AH6961">
        <v>67.743505688939294</v>
      </c>
      <c r="AI6961">
        <v>90.937597667417805</v>
      </c>
      <c r="AJ6961">
        <v>90.895943205532902</v>
      </c>
      <c r="AK6961">
        <v>67.760861379358701</v>
      </c>
      <c r="AL6961">
        <v>89.399526965344194</v>
      </c>
      <c r="AM6961">
        <v>88.958138124732898</v>
      </c>
      <c r="AN6961">
        <v>1.00000003097066</v>
      </c>
    </row>
    <row r="6962" spans="1:40" x14ac:dyDescent="0.25">
      <c r="A6962" t="str">
        <f>"20190312173101106"</f>
        <v>20190312173101106</v>
      </c>
      <c r="B6962" t="str">
        <f>"1552383061094620"</f>
        <v>1552383061094620</v>
      </c>
      <c r="C6962" t="s">
        <v>40</v>
      </c>
      <c r="D6962">
        <v>3.1231879999999999</v>
      </c>
      <c r="E6962">
        <v>0.48795549999999999</v>
      </c>
      <c r="F6962" t="s">
        <v>41</v>
      </c>
      <c r="G6962">
        <v>-188.49539999999999</v>
      </c>
      <c r="H6962" s="1">
        <v>-2.0983579999999998E-6</v>
      </c>
      <c r="I6962">
        <v>83.901949999999999</v>
      </c>
      <c r="J6962">
        <v>-187.44540000000001</v>
      </c>
      <c r="K6962">
        <v>1.1087940000000001</v>
      </c>
      <c r="L6962">
        <v>15.12134</v>
      </c>
      <c r="M6962">
        <v>2.9591520000000002E-4</v>
      </c>
      <c r="N6962">
        <v>0</v>
      </c>
      <c r="O6962">
        <v>0.99996350000000001</v>
      </c>
      <c r="P6962">
        <v>1.8471910000000001E-2</v>
      </c>
      <c r="Q6962">
        <v>2.0986680000000001E-3</v>
      </c>
      <c r="R6962">
        <v>0.99982720000000003</v>
      </c>
      <c r="S6962">
        <v>-4.5593259999999997E-2</v>
      </c>
      <c r="T6962">
        <v>-4.8150419999999999E-2</v>
      </c>
      <c r="U6962">
        <v>3.001465</v>
      </c>
      <c r="V6962">
        <v>1.8174949999999999E-2</v>
      </c>
      <c r="W6962">
        <v>1.063595E-2</v>
      </c>
      <c r="X6962">
        <v>0.99977830000000001</v>
      </c>
      <c r="Y6962">
        <v>-1.548252E-2</v>
      </c>
      <c r="Z6962">
        <v>-1.6038360000000002E-2</v>
      </c>
      <c r="AA6962">
        <v>0.99975150000000002</v>
      </c>
      <c r="AB6962">
        <v>32</v>
      </c>
      <c r="AC6962">
        <v>-1.0499999999999801</v>
      </c>
      <c r="AD6962">
        <v>-1.1087960983580001</v>
      </c>
      <c r="AE6962">
        <v>68.780609999999996</v>
      </c>
      <c r="AF6962">
        <v>-1.0700758984638701</v>
      </c>
      <c r="AG6962">
        <v>-1.1087960983580001</v>
      </c>
      <c r="AH6962">
        <v>68.762430512027805</v>
      </c>
      <c r="AI6962">
        <v>90.923704147306395</v>
      </c>
      <c r="AJ6962">
        <v>90.891560750770694</v>
      </c>
      <c r="AK6962">
        <v>68.779694250103006</v>
      </c>
      <c r="AL6962">
        <v>89.3905934947216</v>
      </c>
      <c r="AM6962">
        <v>88.958535870065106</v>
      </c>
      <c r="AN6962">
        <v>1.0000000506953901</v>
      </c>
    </row>
    <row r="6963" spans="1:40" x14ac:dyDescent="0.25">
      <c r="A6963" t="str">
        <f>"20190312173101127"</f>
        <v>20190312173101127</v>
      </c>
      <c r="B6963" t="str">
        <f>"1552383061124875"</f>
        <v>1552383061124875</v>
      </c>
      <c r="C6963" t="s">
        <v>40</v>
      </c>
      <c r="D6963">
        <v>3.0958869999999998</v>
      </c>
      <c r="E6963">
        <v>0.51646159999999997</v>
      </c>
      <c r="F6963" t="s">
        <v>41</v>
      </c>
      <c r="G6963">
        <v>-188.43279999999999</v>
      </c>
      <c r="H6963" s="1">
        <v>-2.211159E-6</v>
      </c>
      <c r="I6963">
        <v>84.139009999999999</v>
      </c>
      <c r="J6963">
        <v>-187.4453</v>
      </c>
      <c r="K6963">
        <v>1.1087899999999999</v>
      </c>
      <c r="L6963">
        <v>15.43521</v>
      </c>
      <c r="M6963">
        <v>2.3365890000000001E-4</v>
      </c>
      <c r="N6963">
        <v>0</v>
      </c>
      <c r="O6963">
        <v>0.99996390000000002</v>
      </c>
      <c r="P6963">
        <v>1.8235330000000001E-2</v>
      </c>
      <c r="Q6963">
        <v>2.4264320000000001E-3</v>
      </c>
      <c r="R6963">
        <v>0.99983080000000002</v>
      </c>
      <c r="S6963">
        <v>-4.2938230000000001E-2</v>
      </c>
      <c r="T6963">
        <v>-4.8218730000000001E-2</v>
      </c>
      <c r="U6963">
        <v>3.001404</v>
      </c>
      <c r="V6963">
        <v>1.8000579999999999E-2</v>
      </c>
      <c r="W6963">
        <v>1.092252E-2</v>
      </c>
      <c r="X6963">
        <v>0.99977830000000001</v>
      </c>
      <c r="Y6963">
        <v>-1.453638E-2</v>
      </c>
      <c r="Z6963">
        <v>-1.606165E-2</v>
      </c>
      <c r="AA6963">
        <v>0.99976529999999997</v>
      </c>
      <c r="AB6963">
        <v>32</v>
      </c>
      <c r="AC6963">
        <v>-0.98749999999998195</v>
      </c>
      <c r="AD6963">
        <v>-1.1087922111589901</v>
      </c>
      <c r="AE6963">
        <v>68.703800000000001</v>
      </c>
      <c r="AF6963">
        <v>-1.0032925442143901</v>
      </c>
      <c r="AG6963">
        <v>-1.1087922111589901</v>
      </c>
      <c r="AH6963">
        <v>68.685681291906107</v>
      </c>
      <c r="AI6963">
        <v>90.924746186631893</v>
      </c>
      <c r="AJ6963">
        <v>90.836860601194999</v>
      </c>
      <c r="AK6963">
        <v>68.701956526944002</v>
      </c>
      <c r="AL6963">
        <v>89.374173249333396</v>
      </c>
      <c r="AM6963">
        <v>88.968525480812104</v>
      </c>
      <c r="AN6963">
        <v>0.99999998573718796</v>
      </c>
    </row>
    <row r="6964" spans="1:40" x14ac:dyDescent="0.25">
      <c r="A6964" t="str">
        <f>"20190312173101160"</f>
        <v>20190312173101160</v>
      </c>
      <c r="B6964" t="str">
        <f>"1552383061154155"</f>
        <v>1552383061154155</v>
      </c>
      <c r="C6964" t="s">
        <v>40</v>
      </c>
      <c r="D6964">
        <v>3.1144590000000001</v>
      </c>
      <c r="E6964">
        <v>0.51775340000000003</v>
      </c>
      <c r="F6964" t="s">
        <v>41</v>
      </c>
      <c r="G6964">
        <v>-185.274</v>
      </c>
      <c r="H6964" s="1">
        <v>-1.7705039999999999E-6</v>
      </c>
      <c r="I6964">
        <v>51.155619999999999</v>
      </c>
      <c r="J6964">
        <v>-187.4453</v>
      </c>
      <c r="K6964">
        <v>1.108778</v>
      </c>
      <c r="L6964">
        <v>15.919040000000001</v>
      </c>
      <c r="M6964">
        <v>1.3778250000000001E-4</v>
      </c>
      <c r="N6964">
        <v>0</v>
      </c>
      <c r="O6964">
        <v>0.99996439999999998</v>
      </c>
      <c r="P6964">
        <v>1.821542E-2</v>
      </c>
      <c r="Q6964">
        <v>2.5028860000000002E-3</v>
      </c>
      <c r="R6964">
        <v>0.99983100000000003</v>
      </c>
      <c r="S6964">
        <v>0.18220520000000001</v>
      </c>
      <c r="T6964">
        <v>-9.3042020000000003E-2</v>
      </c>
      <c r="U6964">
        <v>2.9974059999999998</v>
      </c>
      <c r="V6964">
        <v>1.807653E-2</v>
      </c>
      <c r="W6964">
        <v>1.093921E-2</v>
      </c>
      <c r="X6964">
        <v>0.99977680000000002</v>
      </c>
      <c r="Y6964">
        <v>6.0508989999999999E-2</v>
      </c>
      <c r="Z6964">
        <v>-3.096892E-2</v>
      </c>
      <c r="AA6964">
        <v>0.99768710000000005</v>
      </c>
      <c r="AB6964">
        <v>33</v>
      </c>
      <c r="AC6964">
        <v>2.1713</v>
      </c>
      <c r="AD6964">
        <v>-1.1087797705039999</v>
      </c>
      <c r="AE6964">
        <v>35.236579999999996</v>
      </c>
      <c r="AF6964">
        <v>2.1643099271052799</v>
      </c>
      <c r="AG6964">
        <v>-1.1087797705039999</v>
      </c>
      <c r="AH6964">
        <v>35.2021551107416</v>
      </c>
      <c r="AI6964">
        <v>91.800679293777804</v>
      </c>
      <c r="AJ6964">
        <v>86.481751557867895</v>
      </c>
      <c r="AK6964">
        <v>35.286050423372103</v>
      </c>
      <c r="AL6964">
        <v>89.373216958719595</v>
      </c>
      <c r="AM6964">
        <v>88.9641727640971</v>
      </c>
      <c r="AN6964">
        <v>1.0000000385352501</v>
      </c>
    </row>
    <row r="6965" spans="1:40" x14ac:dyDescent="0.25">
      <c r="A6965" t="str">
        <f>"20190312173101183"</f>
        <v>20190312173101183</v>
      </c>
      <c r="B6965" t="str">
        <f>"1552383061174650"</f>
        <v>1552383061174650</v>
      </c>
      <c r="C6965" t="s">
        <v>40</v>
      </c>
      <c r="D6965">
        <v>3.1163690000000002</v>
      </c>
      <c r="E6965">
        <v>0.51826539999999999</v>
      </c>
      <c r="F6965" t="s">
        <v>41</v>
      </c>
      <c r="G6965">
        <v>-185.21619999999999</v>
      </c>
      <c r="H6965" s="1">
        <v>-1.6199809999999899E-6</v>
      </c>
      <c r="I6965">
        <v>50.668100000000003</v>
      </c>
      <c r="J6965">
        <v>-187.44540000000001</v>
      </c>
      <c r="K6965">
        <v>1.1087720000000001</v>
      </c>
      <c r="L6965">
        <v>16.246029999999902</v>
      </c>
      <c r="M6965" s="1">
        <v>7.296882E-5</v>
      </c>
      <c r="N6965">
        <v>0</v>
      </c>
      <c r="O6965">
        <v>0.99996479999999999</v>
      </c>
      <c r="P6965">
        <v>1.819643E-2</v>
      </c>
      <c r="Q6965">
        <v>2.758145E-3</v>
      </c>
      <c r="R6965">
        <v>0.99983060000000001</v>
      </c>
      <c r="S6965">
        <v>0.192276</v>
      </c>
      <c r="T6965">
        <v>-9.5636959999999993E-2</v>
      </c>
      <c r="U6965">
        <v>2.9972530000000002</v>
      </c>
      <c r="V6965">
        <v>1.8122320000000001E-2</v>
      </c>
      <c r="W6965">
        <v>1.115472E-2</v>
      </c>
      <c r="X6965">
        <v>0.99977360000000004</v>
      </c>
      <c r="Y6965">
        <v>6.3913869999999998E-2</v>
      </c>
      <c r="Z6965">
        <v>-3.1826689999999998E-2</v>
      </c>
      <c r="AA6965">
        <v>0.9974478</v>
      </c>
      <c r="AB6965">
        <v>33</v>
      </c>
      <c r="AC6965">
        <v>2.2292000000000201</v>
      </c>
      <c r="AD6965">
        <v>-1.1087736199810001</v>
      </c>
      <c r="AE6965">
        <v>34.422069999999998</v>
      </c>
      <c r="AF6965">
        <v>2.2243898763400698</v>
      </c>
      <c r="AG6965">
        <v>-1.1087736199810001</v>
      </c>
      <c r="AH6965">
        <v>34.386703432405902</v>
      </c>
      <c r="AI6965">
        <v>91.842970597651103</v>
      </c>
      <c r="AJ6965">
        <v>86.298835991172297</v>
      </c>
      <c r="AK6965">
        <v>34.476407327483599</v>
      </c>
      <c r="AL6965">
        <v>89.360868398758797</v>
      </c>
      <c r="AM6965">
        <v>88.961546141323296</v>
      </c>
      <c r="AN6965">
        <v>1.0000000487587</v>
      </c>
    </row>
    <row r="6966" spans="1:40" x14ac:dyDescent="0.25">
      <c r="A6966" t="str">
        <f>"20190312173101206"</f>
        <v>20190312173101206</v>
      </c>
      <c r="B6966" t="str">
        <f>"1552383061194173"</f>
        <v>1552383061194173</v>
      </c>
      <c r="C6966" t="s">
        <v>40</v>
      </c>
      <c r="D6966">
        <v>3.107218</v>
      </c>
      <c r="E6966">
        <v>0.51861689999999905</v>
      </c>
      <c r="F6966" t="s">
        <v>41</v>
      </c>
      <c r="G6966">
        <v>-185.18520000000001</v>
      </c>
      <c r="H6966" s="1">
        <v>-1.6586680000000001E-6</v>
      </c>
      <c r="I6966">
        <v>50.757559999999998</v>
      </c>
      <c r="J6966">
        <v>-187.44540000000001</v>
      </c>
      <c r="K6966">
        <v>1.108768</v>
      </c>
      <c r="L6966">
        <v>16.581150000000001</v>
      </c>
      <c r="M6966" s="1">
        <v>6.5136179999999998E-6</v>
      </c>
      <c r="N6966">
        <v>0</v>
      </c>
      <c r="O6966">
        <v>0.99996510000000005</v>
      </c>
      <c r="P6966">
        <v>1.88994E-2</v>
      </c>
      <c r="Q6966">
        <v>3.104945E-3</v>
      </c>
      <c r="R6966">
        <v>0.99981660000000006</v>
      </c>
      <c r="S6966">
        <v>0.19628909999999999</v>
      </c>
      <c r="T6966">
        <v>-9.6292730000000007E-2</v>
      </c>
      <c r="U6966">
        <v>2.9971920000000001</v>
      </c>
      <c r="V6966">
        <v>1.8891700000000001E-2</v>
      </c>
      <c r="W6966">
        <v>1.145607E-2</v>
      </c>
      <c r="X6966">
        <v>0.99975590000000003</v>
      </c>
      <c r="Y6966">
        <v>6.5310930000000003E-2</v>
      </c>
      <c r="Z6966">
        <v>-3.2042510000000003E-2</v>
      </c>
      <c r="AA6966">
        <v>0.99735039999999997</v>
      </c>
      <c r="AB6966">
        <v>33</v>
      </c>
      <c r="AC6966">
        <v>2.26019999999999</v>
      </c>
      <c r="AD6966">
        <v>-1.108769658668</v>
      </c>
      <c r="AE6966">
        <v>34.176409999999997</v>
      </c>
      <c r="AF6966">
        <v>2.2576115491727</v>
      </c>
      <c r="AG6966">
        <v>-1.108769658668</v>
      </c>
      <c r="AH6966">
        <v>34.140647530726802</v>
      </c>
      <c r="AI6966">
        <v>91.856063358212396</v>
      </c>
      <c r="AJ6966">
        <v>86.216721850997004</v>
      </c>
      <c r="AK6966">
        <v>34.233170958593099</v>
      </c>
      <c r="AL6966">
        <v>89.343601180025203</v>
      </c>
      <c r="AM6966">
        <v>88.9174498769233</v>
      </c>
      <c r="AN6966">
        <v>0.99999999872677203</v>
      </c>
    </row>
    <row r="6967" spans="1:40" x14ac:dyDescent="0.25">
      <c r="A6967" t="str">
        <f>"20190312173101230"</f>
        <v>20190312173101230</v>
      </c>
      <c r="B6967" t="str">
        <f>"1552383061224426"</f>
        <v>1552383061224426</v>
      </c>
      <c r="C6967" t="s">
        <v>40</v>
      </c>
      <c r="D6967">
        <v>3.1025429999999998</v>
      </c>
      <c r="E6967">
        <v>0.51900109999999999</v>
      </c>
      <c r="F6967" t="s">
        <v>41</v>
      </c>
      <c r="G6967">
        <v>-185.10740000000001</v>
      </c>
      <c r="H6967" s="1">
        <v>-1.890289E-6</v>
      </c>
      <c r="I6967">
        <v>51.377389999999998</v>
      </c>
      <c r="J6967">
        <v>-187.44540000000001</v>
      </c>
      <c r="K6967">
        <v>1.1087640000000001</v>
      </c>
      <c r="L6967">
        <v>16.92258</v>
      </c>
      <c r="M6967" s="1">
        <v>-6.1366429999999998E-5</v>
      </c>
      <c r="N6967">
        <v>0</v>
      </c>
      <c r="O6967">
        <v>0.99996549999999995</v>
      </c>
      <c r="P6967">
        <v>1.9356809999999999E-2</v>
      </c>
      <c r="Q6967">
        <v>3.0318960000000001E-3</v>
      </c>
      <c r="R6967">
        <v>0.99980800000000003</v>
      </c>
      <c r="S6967">
        <v>0.2013702</v>
      </c>
      <c r="T6967">
        <v>-9.5499630000000002E-2</v>
      </c>
      <c r="U6967">
        <v>2.9970400000000001</v>
      </c>
      <c r="V6967">
        <v>1.941698E-2</v>
      </c>
      <c r="W6967">
        <v>1.133734E-2</v>
      </c>
      <c r="X6967">
        <v>0.99974719999999995</v>
      </c>
      <c r="Y6967">
        <v>6.7065940000000004E-2</v>
      </c>
      <c r="Z6967">
        <v>-3.1776850000000002E-2</v>
      </c>
      <c r="AA6967">
        <v>0.99724239999999997</v>
      </c>
      <c r="AB6967">
        <v>33</v>
      </c>
      <c r="AC6967">
        <v>2.3379999999999899</v>
      </c>
      <c r="AD6967">
        <v>-1.1087658902890001</v>
      </c>
      <c r="AE6967">
        <v>34.454810000000002</v>
      </c>
      <c r="AF6967">
        <v>2.3377046733509599</v>
      </c>
      <c r="AG6967">
        <v>-1.1087658902890001</v>
      </c>
      <c r="AH6967">
        <v>34.4191863057303</v>
      </c>
      <c r="AI6967">
        <v>91.840827262819104</v>
      </c>
      <c r="AJ6967">
        <v>86.114515170927106</v>
      </c>
      <c r="AK6967">
        <v>34.5162948603678</v>
      </c>
      <c r="AL6967">
        <v>89.350404356538903</v>
      </c>
      <c r="AM6967">
        <v>88.887347568277903</v>
      </c>
      <c r="AN6967">
        <v>1.0000000091492101</v>
      </c>
    </row>
    <row r="6968" spans="1:40" x14ac:dyDescent="0.25">
      <c r="A6968" t="str">
        <f>"20190312173101253"</f>
        <v>20190312173101253</v>
      </c>
      <c r="B6968" t="str">
        <f>"1552383061243946"</f>
        <v>1552383061243946</v>
      </c>
      <c r="C6968" t="s">
        <v>40</v>
      </c>
      <c r="D6968">
        <v>3.1084149999999999</v>
      </c>
      <c r="E6968">
        <v>0.51924820000000005</v>
      </c>
      <c r="F6968" t="s">
        <v>41</v>
      </c>
      <c r="G6968">
        <v>-184.93629999999999</v>
      </c>
      <c r="H6968" s="1">
        <v>-2.634872E-6</v>
      </c>
      <c r="I6968">
        <v>53.43159</v>
      </c>
      <c r="J6968">
        <v>-187.44560000000001</v>
      </c>
      <c r="K6968">
        <v>1.10876</v>
      </c>
      <c r="L6968">
        <v>17.270289999999999</v>
      </c>
      <c r="M6968">
        <v>-1.3102989999999999E-4</v>
      </c>
      <c r="N6968">
        <v>0</v>
      </c>
      <c r="O6968">
        <v>0.99996580000000002</v>
      </c>
      <c r="P6968">
        <v>1.9756289999999999E-2</v>
      </c>
      <c r="Q6968">
        <v>4.033015E-3</v>
      </c>
      <c r="R6968">
        <v>0.99979669999999998</v>
      </c>
      <c r="S6968">
        <v>0.20596310000000001</v>
      </c>
      <c r="T6968">
        <v>-9.1013549999999999E-2</v>
      </c>
      <c r="U6968">
        <v>2.9968569999999999</v>
      </c>
      <c r="V6968">
        <v>1.9886000000000001E-2</v>
      </c>
      <c r="W6968">
        <v>1.229619E-2</v>
      </c>
      <c r="X6968">
        <v>0.99972669999999997</v>
      </c>
      <c r="Y6968">
        <v>6.8663950000000001E-2</v>
      </c>
      <c r="Z6968">
        <v>-3.0284169999999999E-2</v>
      </c>
      <c r="AA6968">
        <v>0.99718010000000001</v>
      </c>
      <c r="AB6968">
        <v>33</v>
      </c>
      <c r="AC6968">
        <v>2.5093000000000201</v>
      </c>
      <c r="AD6968">
        <v>-1.1087626348720001</v>
      </c>
      <c r="AE6968">
        <v>36.161299999999997</v>
      </c>
      <c r="AF6968">
        <v>2.5116883478098999</v>
      </c>
      <c r="AG6968">
        <v>-1.1087626348720001</v>
      </c>
      <c r="AH6968">
        <v>36.127169319169397</v>
      </c>
      <c r="AI6968">
        <v>91.753656696594405</v>
      </c>
      <c r="AJ6968">
        <v>86.022994550293902</v>
      </c>
      <c r="AK6968">
        <v>36.231344109112896</v>
      </c>
      <c r="AL6968">
        <v>89.295462497913604</v>
      </c>
      <c r="AM6968">
        <v>88.860454928319598</v>
      </c>
      <c r="AN6968">
        <v>1.0000000619887</v>
      </c>
    </row>
    <row r="6969" spans="1:40" x14ac:dyDescent="0.25">
      <c r="A6969" t="str">
        <f>"20190312173101273"</f>
        <v>20190312173101273</v>
      </c>
      <c r="B6969" t="str">
        <f>"1552383061264443"</f>
        <v>1552383061264443</v>
      </c>
      <c r="C6969" t="s">
        <v>40</v>
      </c>
      <c r="D6969">
        <v>3.1011579999999999</v>
      </c>
      <c r="E6969">
        <v>0.51938859999999998</v>
      </c>
      <c r="F6969" t="s">
        <v>41</v>
      </c>
      <c r="G6969">
        <v>-184.79490000000001</v>
      </c>
      <c r="H6969" s="1">
        <v>-3.331977E-6</v>
      </c>
      <c r="I6969">
        <v>55.247459999999997</v>
      </c>
      <c r="J6969">
        <v>-187.44560000000001</v>
      </c>
      <c r="K6969">
        <v>1.10876</v>
      </c>
      <c r="L6969">
        <v>17.55997</v>
      </c>
      <c r="M6969">
        <v>-1.9057340000000001E-4</v>
      </c>
      <c r="N6969">
        <v>0</v>
      </c>
      <c r="O6969">
        <v>0.99996609999999997</v>
      </c>
      <c r="P6969">
        <v>2.0309899999999999E-2</v>
      </c>
      <c r="Q6969">
        <v>4.8846030000000004E-3</v>
      </c>
      <c r="R6969">
        <v>0.99978180000000005</v>
      </c>
      <c r="S6969">
        <v>0.20916750000000001</v>
      </c>
      <c r="T6969">
        <v>-8.7493899999999999E-2</v>
      </c>
      <c r="U6969">
        <v>2.996826</v>
      </c>
      <c r="V6969">
        <v>2.0499010000000002E-2</v>
      </c>
      <c r="W6969">
        <v>1.311438E-2</v>
      </c>
      <c r="X6969">
        <v>0.99970389999999998</v>
      </c>
      <c r="Y6969">
        <v>6.9787550000000004E-2</v>
      </c>
      <c r="Z6969">
        <v>-2.911213E-2</v>
      </c>
      <c r="AA6969">
        <v>0.99713700000000005</v>
      </c>
      <c r="AB6969">
        <v>33</v>
      </c>
      <c r="AC6969">
        <v>2.6507000000000001</v>
      </c>
      <c r="AD6969">
        <v>-1.1087633319769901</v>
      </c>
      <c r="AE6969">
        <v>37.687489999999997</v>
      </c>
      <c r="AF6969">
        <v>2.65559523918914</v>
      </c>
      <c r="AG6969">
        <v>-1.1087633319769901</v>
      </c>
      <c r="AH6969">
        <v>37.6545533428339</v>
      </c>
      <c r="AI6969">
        <v>91.682448448318794</v>
      </c>
      <c r="AJ6969">
        <v>85.965882639305605</v>
      </c>
      <c r="AK6969">
        <v>37.764360575138397</v>
      </c>
      <c r="AL6969">
        <v>89.2485798665207</v>
      </c>
      <c r="AM6969">
        <v>88.8253099859744</v>
      </c>
      <c r="AN6969">
        <v>1.0000000420244799</v>
      </c>
    </row>
    <row r="6970" spans="1:40" x14ac:dyDescent="0.25">
      <c r="A6970" t="str">
        <f>"20190312173101296"</f>
        <v>20190312173101296</v>
      </c>
      <c r="B6970" t="str">
        <f>"1552383061283965"</f>
        <v>1552383061283965</v>
      </c>
      <c r="C6970" t="s">
        <v>40</v>
      </c>
      <c r="D6970">
        <v>3.10684</v>
      </c>
      <c r="E6970">
        <v>0.51955459999999998</v>
      </c>
      <c r="F6970" t="s">
        <v>41</v>
      </c>
      <c r="G6970">
        <v>-184.66909999999999</v>
      </c>
      <c r="H6970" s="1">
        <v>-4.031941E-6</v>
      </c>
      <c r="I6970">
        <v>56.827080000000002</v>
      </c>
      <c r="J6970">
        <v>-187.44579999999999</v>
      </c>
      <c r="K6970">
        <v>1.1087610000000001</v>
      </c>
      <c r="L6970">
        <v>17.9129</v>
      </c>
      <c r="M6970">
        <v>-2.6476119999999998E-4</v>
      </c>
      <c r="N6970">
        <v>0</v>
      </c>
      <c r="O6970">
        <v>0.99996640000000003</v>
      </c>
      <c r="P6970">
        <v>2.0584040000000001E-2</v>
      </c>
      <c r="Q6970">
        <v>5.2101819999999998E-3</v>
      </c>
      <c r="R6970">
        <v>0.99977459999999996</v>
      </c>
      <c r="S6970">
        <v>0.2118988</v>
      </c>
      <c r="T6970">
        <v>-8.4617970000000001E-2</v>
      </c>
      <c r="U6970">
        <v>2.9967649999999999</v>
      </c>
      <c r="V6970">
        <v>2.0847230000000001E-2</v>
      </c>
      <c r="W6970">
        <v>1.3399029999999999E-2</v>
      </c>
      <c r="X6970">
        <v>0.9996929</v>
      </c>
      <c r="Y6970">
        <v>7.0769219999999994E-2</v>
      </c>
      <c r="Z6970">
        <v>-2.8154680000000001E-2</v>
      </c>
      <c r="AA6970">
        <v>0.99709530000000002</v>
      </c>
      <c r="AB6970">
        <v>33</v>
      </c>
      <c r="AC6970">
        <v>2.7766999999999999</v>
      </c>
      <c r="AD6970">
        <v>-1.1087650319410001</v>
      </c>
      <c r="AE6970">
        <v>38.914180000000002</v>
      </c>
      <c r="AF6970">
        <v>2.7847539283359999</v>
      </c>
      <c r="AG6970">
        <v>-1.1087650319410001</v>
      </c>
      <c r="AH6970">
        <v>38.882037876610198</v>
      </c>
      <c r="AI6970">
        <v>91.629239933946295</v>
      </c>
      <c r="AJ6970">
        <v>85.903438190782097</v>
      </c>
      <c r="AK6970">
        <v>38.997398423171603</v>
      </c>
      <c r="AL6970">
        <v>89.232269171520002</v>
      </c>
      <c r="AM6970">
        <v>88.805347929954806</v>
      </c>
      <c r="AN6970">
        <v>1.0000000176570101</v>
      </c>
    </row>
    <row r="6971" spans="1:40" x14ac:dyDescent="0.25">
      <c r="A6971" t="str">
        <f>"20190312173101318"</f>
        <v>20190312173101318</v>
      </c>
      <c r="B6971" t="str">
        <f>"1552383061314218"</f>
        <v>1552383061314218</v>
      </c>
      <c r="C6971" t="s">
        <v>40</v>
      </c>
      <c r="D6971">
        <v>3.0817369999999999</v>
      </c>
      <c r="E6971">
        <v>0.51983429999999997</v>
      </c>
      <c r="F6971" t="s">
        <v>41</v>
      </c>
      <c r="G6971">
        <v>-184.5951</v>
      </c>
      <c r="H6971" s="1">
        <v>-4.4658950000000004E-6</v>
      </c>
      <c r="I6971">
        <v>57.808039999999998</v>
      </c>
      <c r="J6971">
        <v>-187.44589999999999</v>
      </c>
      <c r="K6971">
        <v>1.108765</v>
      </c>
      <c r="L6971">
        <v>18.224550000000001</v>
      </c>
      <c r="M6971">
        <v>-3.3146519999999999E-4</v>
      </c>
      <c r="N6971">
        <v>0</v>
      </c>
      <c r="O6971">
        <v>0.99996669999999999</v>
      </c>
      <c r="P6971">
        <v>2.064991E-2</v>
      </c>
      <c r="Q6971">
        <v>6.126149E-3</v>
      </c>
      <c r="R6971">
        <v>0.99976799999999999</v>
      </c>
      <c r="S6971">
        <v>0.2141266</v>
      </c>
      <c r="T6971">
        <v>-8.3284380000000005E-2</v>
      </c>
      <c r="U6971">
        <v>2.9967039999999998</v>
      </c>
      <c r="V6971">
        <v>2.0979640000000001E-2</v>
      </c>
      <c r="W6971">
        <v>1.428109E-2</v>
      </c>
      <c r="X6971">
        <v>0.99967790000000001</v>
      </c>
      <c r="Y6971">
        <v>7.157558E-2</v>
      </c>
      <c r="Z6971">
        <v>-2.771034E-2</v>
      </c>
      <c r="AA6971">
        <v>0.9970502</v>
      </c>
      <c r="AB6971">
        <v>33</v>
      </c>
      <c r="AC6971">
        <v>2.8507999999999898</v>
      </c>
      <c r="AD6971">
        <v>-1.108769465895</v>
      </c>
      <c r="AE6971">
        <v>39.583489999999998</v>
      </c>
      <c r="AF6971">
        <v>2.8616871040984702</v>
      </c>
      <c r="AG6971">
        <v>-1.108769465895</v>
      </c>
      <c r="AH6971">
        <v>39.551670312224999</v>
      </c>
      <c r="AI6971">
        <v>91.601592880233198</v>
      </c>
      <c r="AJ6971">
        <v>85.861682350789195</v>
      </c>
      <c r="AK6971">
        <v>39.670558948636</v>
      </c>
      <c r="AL6971">
        <v>89.181725999529604</v>
      </c>
      <c r="AM6971">
        <v>88.797744350922002</v>
      </c>
      <c r="AN6971">
        <v>0.99999999928726302</v>
      </c>
    </row>
    <row r="6972" spans="1:40" x14ac:dyDescent="0.25">
      <c r="A6972" t="str">
        <f>"20190312173101340"</f>
        <v>20190312173101340</v>
      </c>
      <c r="B6972" t="str">
        <f>"1552383061334714"</f>
        <v>1552383061334714</v>
      </c>
      <c r="C6972" t="s">
        <v>40</v>
      </c>
      <c r="D6972">
        <v>3.0971470000000001</v>
      </c>
      <c r="E6972">
        <v>0.52000270000000004</v>
      </c>
      <c r="F6972" t="s">
        <v>41</v>
      </c>
      <c r="G6972">
        <v>-184.55250000000001</v>
      </c>
      <c r="H6972" s="1">
        <v>-4.6752179999999998E-6</v>
      </c>
      <c r="I6972">
        <v>58.278379999999999</v>
      </c>
      <c r="J6972">
        <v>-187.4461</v>
      </c>
      <c r="K6972">
        <v>1.10877</v>
      </c>
      <c r="L6972">
        <v>18.565860000000001</v>
      </c>
      <c r="M6972">
        <v>-4.0561150000000001E-4</v>
      </c>
      <c r="N6972">
        <v>0</v>
      </c>
      <c r="O6972">
        <v>0.99996700000000005</v>
      </c>
      <c r="P6972">
        <v>2.055746E-2</v>
      </c>
      <c r="Q6972">
        <v>6.535875E-3</v>
      </c>
      <c r="R6972">
        <v>0.99976730000000003</v>
      </c>
      <c r="S6972">
        <v>0.21647640000000001</v>
      </c>
      <c r="T6972">
        <v>-8.2955600000000004E-2</v>
      </c>
      <c r="U6972">
        <v>2.9967350000000001</v>
      </c>
      <c r="V6972">
        <v>2.0961219999999999E-2</v>
      </c>
      <c r="W6972">
        <v>1.465441E-2</v>
      </c>
      <c r="X6972">
        <v>0.99967289999999998</v>
      </c>
      <c r="Y6972">
        <v>7.2426820000000003E-2</v>
      </c>
      <c r="Z6972">
        <v>-2.7599129999999999E-2</v>
      </c>
      <c r="AA6972">
        <v>0.99699179999999998</v>
      </c>
      <c r="AB6972">
        <v>33</v>
      </c>
      <c r="AC6972">
        <v>2.89359999999999</v>
      </c>
      <c r="AD6972">
        <v>-1.1087746752179899</v>
      </c>
      <c r="AE6972">
        <v>39.712519999999998</v>
      </c>
      <c r="AF6972">
        <v>2.9074536748025701</v>
      </c>
      <c r="AG6972">
        <v>-1.1087746752179899</v>
      </c>
      <c r="AH6972">
        <v>39.680574254321598</v>
      </c>
      <c r="AI6972">
        <v>91.596294111069398</v>
      </c>
      <c r="AJ6972">
        <v>85.809343251559</v>
      </c>
      <c r="AK6972">
        <v>39.802394919203799</v>
      </c>
      <c r="AL6972">
        <v>89.160334113845806</v>
      </c>
      <c r="AM6972">
        <v>88.798793608663004</v>
      </c>
      <c r="AN6972">
        <v>1.0000000157353699</v>
      </c>
    </row>
    <row r="6973" spans="1:40" x14ac:dyDescent="0.25">
      <c r="A6973" t="str">
        <f>"20190312173101363"</f>
        <v>20190312173101363</v>
      </c>
      <c r="B6973" t="str">
        <f>"1552383061354235"</f>
        <v>1552383061354235</v>
      </c>
      <c r="C6973" t="s">
        <v>40</v>
      </c>
      <c r="D6973">
        <v>3.0681289999999999</v>
      </c>
      <c r="E6973">
        <v>0.52010519999999905</v>
      </c>
      <c r="F6973" t="s">
        <v>41</v>
      </c>
      <c r="G6973">
        <v>-184.54230000000001</v>
      </c>
      <c r="H6973" s="1">
        <v>-4.7962799999999996E-6</v>
      </c>
      <c r="I6973">
        <v>58.556330000000003</v>
      </c>
      <c r="J6973">
        <v>-187.44630000000001</v>
      </c>
      <c r="K6973">
        <v>1.108765</v>
      </c>
      <c r="L6973">
        <v>18.9024</v>
      </c>
      <c r="M6973">
        <v>-4.7971009999999998E-4</v>
      </c>
      <c r="N6973">
        <v>0</v>
      </c>
      <c r="O6973">
        <v>0.99996719999999895</v>
      </c>
      <c r="P6973">
        <v>2.0606909999999999E-2</v>
      </c>
      <c r="Q6973">
        <v>6.7884099999999999E-3</v>
      </c>
      <c r="R6973">
        <v>0.9997646</v>
      </c>
      <c r="S6973">
        <v>0.21760560000000001</v>
      </c>
      <c r="T6973">
        <v>-8.308828E-2</v>
      </c>
      <c r="U6973">
        <v>2.9967649999999999</v>
      </c>
      <c r="V6973">
        <v>2.1084680000000001E-2</v>
      </c>
      <c r="W6973">
        <v>1.487135E-2</v>
      </c>
      <c r="X6973">
        <v>0.99966710000000003</v>
      </c>
      <c r="Y6973">
        <v>7.2873599999999997E-2</v>
      </c>
      <c r="Z6973">
        <v>-2.7642130000000001E-2</v>
      </c>
      <c r="AA6973">
        <v>0.99695809999999996</v>
      </c>
      <c r="AB6973">
        <v>33</v>
      </c>
      <c r="AC6973">
        <v>2.9039999999999901</v>
      </c>
      <c r="AD6973">
        <v>-1.1087697962799901</v>
      </c>
      <c r="AE6973">
        <v>39.653929999999903</v>
      </c>
      <c r="AF6973">
        <v>2.9207513395314701</v>
      </c>
      <c r="AG6973">
        <v>-1.1087697962799901</v>
      </c>
      <c r="AH6973">
        <v>39.621720258526999</v>
      </c>
      <c r="AI6973">
        <v>91.598605070569903</v>
      </c>
      <c r="AJ6973">
        <v>85.784014791653703</v>
      </c>
      <c r="AK6973">
        <v>39.744696188214597</v>
      </c>
      <c r="AL6973">
        <v>89.147903012959006</v>
      </c>
      <c r="AM6973">
        <v>88.791713676907904</v>
      </c>
      <c r="AN6973">
        <v>1.00000001580196</v>
      </c>
    </row>
    <row r="6974" spans="1:40" x14ac:dyDescent="0.25">
      <c r="A6974" t="str">
        <f>"20190312173101387"</f>
        <v>20190312173101387</v>
      </c>
      <c r="B6974" t="str">
        <f>"1552383061384490"</f>
        <v>1552383061384490</v>
      </c>
      <c r="C6974" t="s">
        <v>40</v>
      </c>
      <c r="D6974">
        <v>3.086951</v>
      </c>
      <c r="E6974">
        <v>0.52021620000000002</v>
      </c>
      <c r="F6974" t="s">
        <v>41</v>
      </c>
      <c r="G6974">
        <v>-184.49600000000001</v>
      </c>
      <c r="H6974" s="1">
        <v>-5.1536239999999999E-6</v>
      </c>
      <c r="I6974">
        <v>59.370190000000001</v>
      </c>
      <c r="J6974">
        <v>-187.44659999999999</v>
      </c>
      <c r="K6974">
        <v>1.108757</v>
      </c>
      <c r="L6974">
        <v>19.25113</v>
      </c>
      <c r="M6974">
        <v>-5.5697750000000001E-4</v>
      </c>
      <c r="N6974">
        <v>0</v>
      </c>
      <c r="O6974">
        <v>0.99996750000000001</v>
      </c>
      <c r="P6974">
        <v>2.0570560000000002E-2</v>
      </c>
      <c r="Q6974">
        <v>7.0215119999999997E-3</v>
      </c>
      <c r="R6974">
        <v>0.99976370000000003</v>
      </c>
      <c r="S6974">
        <v>0.21847530000000001</v>
      </c>
      <c r="T6974">
        <v>-8.2107899999999998E-2</v>
      </c>
      <c r="U6974">
        <v>2.9967649999999999</v>
      </c>
      <c r="V6974">
        <v>2.112553E-2</v>
      </c>
      <c r="W6974">
        <v>1.5064930000000001E-2</v>
      </c>
      <c r="X6974">
        <v>0.99966339999999998</v>
      </c>
      <c r="Y6974">
        <v>7.3239139999999994E-2</v>
      </c>
      <c r="Z6974">
        <v>-2.7315559999999999E-2</v>
      </c>
      <c r="AA6974">
        <v>0.9969403</v>
      </c>
      <c r="AB6974">
        <v>33</v>
      </c>
      <c r="AC6974">
        <v>2.9506000000000001</v>
      </c>
      <c r="AD6974">
        <v>-1.108762153624</v>
      </c>
      <c r="AE6974">
        <v>40.119059999999998</v>
      </c>
      <c r="AF6974">
        <v>2.97068889644504</v>
      </c>
      <c r="AG6974">
        <v>-1.108762153624</v>
      </c>
      <c r="AH6974">
        <v>40.0869569189259</v>
      </c>
      <c r="AI6974">
        <v>91.580005437097697</v>
      </c>
      <c r="AJ6974">
        <v>85.761779048149606</v>
      </c>
      <c r="AK6974">
        <v>40.2121680720226</v>
      </c>
      <c r="AL6974">
        <v>89.136810506016602</v>
      </c>
      <c r="AM6974">
        <v>88.789368928509006</v>
      </c>
      <c r="AN6974">
        <v>1.0000000767166199</v>
      </c>
    </row>
    <row r="6975" spans="1:40" x14ac:dyDescent="0.25">
      <c r="A6975" t="str">
        <f>"20190312173101407"</f>
        <v>20190312173101407</v>
      </c>
      <c r="B6975" t="str">
        <f>"1552383061404010"</f>
        <v>1552383061404010</v>
      </c>
      <c r="C6975" t="s">
        <v>40</v>
      </c>
      <c r="D6975">
        <v>3.0794429999999999</v>
      </c>
      <c r="E6975">
        <v>0.52022460000000004</v>
      </c>
      <c r="F6975" t="s">
        <v>41</v>
      </c>
      <c r="G6975">
        <v>-184.41739999999999</v>
      </c>
      <c r="H6975" s="1">
        <v>-1.816818E-6</v>
      </c>
      <c r="I6975">
        <v>60.621980000000001</v>
      </c>
      <c r="J6975">
        <v>-187.4468</v>
      </c>
      <c r="K6975">
        <v>1.108751</v>
      </c>
      <c r="L6975">
        <v>19.57535</v>
      </c>
      <c r="M6975">
        <v>-6.2923089999999905E-4</v>
      </c>
      <c r="N6975">
        <v>0</v>
      </c>
      <c r="O6975">
        <v>0.99996779999999996</v>
      </c>
      <c r="P6975">
        <v>2.06689E-2</v>
      </c>
      <c r="Q6975">
        <v>6.9230819999999997E-3</v>
      </c>
      <c r="R6975">
        <v>0.99976240000000005</v>
      </c>
      <c r="S6975">
        <v>0.21942139999999999</v>
      </c>
      <c r="T6975">
        <v>-8.0314759999999999E-2</v>
      </c>
      <c r="U6975">
        <v>2.9967649999999999</v>
      </c>
      <c r="V6975">
        <v>2.129611E-2</v>
      </c>
      <c r="W6975">
        <v>1.493095E-2</v>
      </c>
      <c r="X6975">
        <v>0.99966169999999999</v>
      </c>
      <c r="Y6975">
        <v>7.3625419999999997E-2</v>
      </c>
      <c r="Z6975">
        <v>-2.6718760000000001E-2</v>
      </c>
      <c r="AA6975">
        <v>0.99692800000000004</v>
      </c>
      <c r="AB6975">
        <v>33</v>
      </c>
      <c r="AC6975">
        <v>3.0293999999999999</v>
      </c>
      <c r="AD6975">
        <v>-1.1087528168179901</v>
      </c>
      <c r="AE6975">
        <v>41.04663</v>
      </c>
      <c r="AF6975">
        <v>3.0530124730416</v>
      </c>
      <c r="AG6975">
        <v>-1.1087528168179901</v>
      </c>
      <c r="AH6975">
        <v>41.014951197343898</v>
      </c>
      <c r="AI6975">
        <v>91.544223457945506</v>
      </c>
      <c r="AJ6975">
        <v>85.742949346365407</v>
      </c>
      <c r="AK6975">
        <v>41.143364467309297</v>
      </c>
      <c r="AL6975">
        <v>89.144487779877807</v>
      </c>
      <c r="AM6975">
        <v>88.779594448386007</v>
      </c>
      <c r="AN6975">
        <v>0.99999998600796203</v>
      </c>
    </row>
    <row r="6976" spans="1:40" x14ac:dyDescent="0.25">
      <c r="A6976" t="str">
        <f>"20190312173101433"</f>
        <v>20190312173101433</v>
      </c>
      <c r="B6976" t="str">
        <f>"1552383061424507"</f>
        <v>1552383061424507</v>
      </c>
      <c r="C6976" t="s">
        <v>40</v>
      </c>
      <c r="D6976">
        <v>3.0842619999999998</v>
      </c>
      <c r="E6976">
        <v>0.52026099999999997</v>
      </c>
      <c r="F6976" t="s">
        <v>41</v>
      </c>
      <c r="G6976">
        <v>-184.37629999999999</v>
      </c>
      <c r="H6976" s="1">
        <v>-2.1082239999999998E-6</v>
      </c>
      <c r="I6976">
        <v>61.446129999999997</v>
      </c>
      <c r="J6976">
        <v>-187.44710000000001</v>
      </c>
      <c r="K6976">
        <v>1.108743</v>
      </c>
      <c r="L6976">
        <v>19.954160000000002</v>
      </c>
      <c r="M6976">
        <v>-7.1364399999999896E-4</v>
      </c>
      <c r="N6976">
        <v>0</v>
      </c>
      <c r="O6976">
        <v>0.99996799999999997</v>
      </c>
      <c r="P6976">
        <v>2.058455E-2</v>
      </c>
      <c r="Q6976">
        <v>7.3615089999999996E-3</v>
      </c>
      <c r="R6976">
        <v>0.99976100000000001</v>
      </c>
      <c r="S6976">
        <v>0.21975710000000001</v>
      </c>
      <c r="T6976">
        <v>-7.9353809999999997E-2</v>
      </c>
      <c r="U6976">
        <v>2.9967039999999998</v>
      </c>
      <c r="V6976">
        <v>2.1296079999999998E-2</v>
      </c>
      <c r="W6976">
        <v>1.533145E-2</v>
      </c>
      <c r="X6976">
        <v>0.99965570000000004</v>
      </c>
      <c r="Y6976">
        <v>7.3822789999999999E-2</v>
      </c>
      <c r="Z6976">
        <v>-2.6399539999999999E-2</v>
      </c>
      <c r="AA6976">
        <v>0.99692190000000003</v>
      </c>
      <c r="AB6976">
        <v>34</v>
      </c>
      <c r="AC6976">
        <v>3.0708000000000202</v>
      </c>
      <c r="AD6976">
        <v>-1.1087451082240001</v>
      </c>
      <c r="AE6976">
        <v>41.491970000000002</v>
      </c>
      <c r="AF6976">
        <v>3.0982103939099401</v>
      </c>
      <c r="AG6976">
        <v>-1.1087451082240001</v>
      </c>
      <c r="AH6976">
        <v>41.460323981388598</v>
      </c>
      <c r="AI6976">
        <v>91.527599570621007</v>
      </c>
      <c r="AJ6976">
        <v>85.726394695944904</v>
      </c>
      <c r="AK6976">
        <v>41.590704346063298</v>
      </c>
      <c r="AL6976">
        <v>89.121538246356494</v>
      </c>
      <c r="AM6976">
        <v>88.779588844331499</v>
      </c>
      <c r="AN6976">
        <v>1.00000004746247</v>
      </c>
    </row>
    <row r="6977" spans="1:40" x14ac:dyDescent="0.25">
      <c r="A6977" t="str">
        <f>"20190312173101453"</f>
        <v>20190312173101453</v>
      </c>
      <c r="B6977" t="str">
        <f>"1552383061444026"</f>
        <v>1552383061444026</v>
      </c>
      <c r="C6977" t="s">
        <v>40</v>
      </c>
      <c r="D6977">
        <v>3.049709</v>
      </c>
      <c r="E6977">
        <v>0.52031229999999995</v>
      </c>
      <c r="F6977" t="s">
        <v>41</v>
      </c>
      <c r="G6977">
        <v>-184.2593</v>
      </c>
      <c r="H6977" s="1">
        <v>-2.8018049999999999E-6</v>
      </c>
      <c r="I6977">
        <v>63.392780000000002</v>
      </c>
      <c r="J6977">
        <v>-187.44739999999999</v>
      </c>
      <c r="K6977">
        <v>1.108744</v>
      </c>
      <c r="L6977">
        <v>20.262149999999998</v>
      </c>
      <c r="M6977">
        <v>-7.8216470000000004E-4</v>
      </c>
      <c r="N6977">
        <v>0</v>
      </c>
      <c r="O6977">
        <v>0.99996819999999997</v>
      </c>
      <c r="P6977">
        <v>2.0956430000000002E-2</v>
      </c>
      <c r="Q6977">
        <v>7.8392050000000001E-3</v>
      </c>
      <c r="R6977">
        <v>0.99974969999999996</v>
      </c>
      <c r="S6977">
        <v>0.21992490000000001</v>
      </c>
      <c r="T6977">
        <v>-7.6490760000000005E-2</v>
      </c>
      <c r="U6977">
        <v>2.9967649999999999</v>
      </c>
      <c r="V6977">
        <v>2.1736390000000001E-2</v>
      </c>
      <c r="W6977">
        <v>1.5781050000000001E-2</v>
      </c>
      <c r="X6977">
        <v>0.99963919999999995</v>
      </c>
      <c r="Y6977">
        <v>7.3946979999999995E-2</v>
      </c>
      <c r="Z6977">
        <v>-2.5447000000000001E-2</v>
      </c>
      <c r="AA6977">
        <v>0.99693750000000003</v>
      </c>
      <c r="AB6977">
        <v>34</v>
      </c>
      <c r="AC6977">
        <v>3.1880999999999902</v>
      </c>
      <c r="AD6977">
        <v>-1.108746801805</v>
      </c>
      <c r="AE6977">
        <v>43.130629999999996</v>
      </c>
      <c r="AF6977">
        <v>3.2197192018784899</v>
      </c>
      <c r="AG6977">
        <v>-1.108746801805</v>
      </c>
      <c r="AH6977">
        <v>43.099796019165296</v>
      </c>
      <c r="AI6977">
        <v>91.469522019287496</v>
      </c>
      <c r="AJ6977">
        <v>85.727722252890004</v>
      </c>
      <c r="AK6977">
        <v>43.234110700962901</v>
      </c>
      <c r="AL6977">
        <v>89.095774923620596</v>
      </c>
      <c r="AM6977">
        <v>88.754343383041999</v>
      </c>
      <c r="AN6977">
        <v>1.00000002118298</v>
      </c>
    </row>
    <row r="6978" spans="1:40" x14ac:dyDescent="0.25">
      <c r="A6978" t="str">
        <f>"20190312173101475"</f>
        <v>20190312173101475</v>
      </c>
      <c r="B6978" t="str">
        <f>"1552383061464522"</f>
        <v>1552383061464522</v>
      </c>
      <c r="C6978" t="s">
        <v>40</v>
      </c>
      <c r="D6978">
        <v>3.0608580000000001</v>
      </c>
      <c r="E6978">
        <v>0.52032369999999994</v>
      </c>
      <c r="F6978" t="s">
        <v>41</v>
      </c>
      <c r="G6978">
        <v>-184.1403</v>
      </c>
      <c r="H6978" s="1">
        <v>-3.3729520000000001E-6</v>
      </c>
      <c r="I6978">
        <v>64.978070000000002</v>
      </c>
      <c r="J6978">
        <v>-187.4477</v>
      </c>
      <c r="K6978">
        <v>1.108735</v>
      </c>
      <c r="L6978">
        <v>20.57864</v>
      </c>
      <c r="M6978">
        <v>-8.5244889999999999E-4</v>
      </c>
      <c r="N6978">
        <v>0</v>
      </c>
      <c r="O6978">
        <v>0.99996830000000003</v>
      </c>
      <c r="P6978">
        <v>2.1338050000000001E-2</v>
      </c>
      <c r="Q6978">
        <v>8.4442779999999995E-3</v>
      </c>
      <c r="R6978">
        <v>0.99973670000000003</v>
      </c>
      <c r="S6978">
        <v>0.22163389999999999</v>
      </c>
      <c r="T6978">
        <v>-7.4304339999999997E-2</v>
      </c>
      <c r="U6978">
        <v>2.9967039999999998</v>
      </c>
      <c r="V6978">
        <v>2.218817E-2</v>
      </c>
      <c r="W6978">
        <v>1.6360340000000001E-2</v>
      </c>
      <c r="X6978">
        <v>0.99961999999999995</v>
      </c>
      <c r="Y6978">
        <v>7.4585360000000003E-2</v>
      </c>
      <c r="Z6978">
        <v>-2.471947E-2</v>
      </c>
      <c r="AA6978">
        <v>0.99690820000000002</v>
      </c>
      <c r="AB6978">
        <v>34</v>
      </c>
      <c r="AC6978">
        <v>3.3073999999999999</v>
      </c>
      <c r="AD6978">
        <v>-1.108738372952</v>
      </c>
      <c r="AE6978">
        <v>44.399429999999903</v>
      </c>
      <c r="AF6978">
        <v>3.3431749435909999</v>
      </c>
      <c r="AG6978">
        <v>-1.108738372952</v>
      </c>
      <c r="AH6978">
        <v>44.369078692292</v>
      </c>
      <c r="AI6978">
        <v>91.427420957183998</v>
      </c>
      <c r="AJ6978">
        <v>85.690950956160904</v>
      </c>
      <c r="AK6978">
        <v>44.508665038236302</v>
      </c>
      <c r="AL6978">
        <v>89.0625798012545</v>
      </c>
      <c r="AM6978">
        <v>88.728437031652106</v>
      </c>
      <c r="AN6978">
        <v>1.00000006000643</v>
      </c>
    </row>
    <row r="6979" spans="1:40" x14ac:dyDescent="0.25">
      <c r="A6979" t="str">
        <f>"20190312173101496"</f>
        <v>20190312173101496</v>
      </c>
      <c r="B6979" t="str">
        <f>"1552383061484045"</f>
        <v>1552383061484045</v>
      </c>
      <c r="C6979" t="s">
        <v>40</v>
      </c>
      <c r="D6979">
        <v>3.057267</v>
      </c>
      <c r="E6979">
        <v>0.52037230000000001</v>
      </c>
      <c r="F6979" t="s">
        <v>41</v>
      </c>
      <c r="G6979">
        <v>-184.01429999999999</v>
      </c>
      <c r="H6979" s="1">
        <v>-4.1175190000000003E-6</v>
      </c>
      <c r="I6979">
        <v>66.755809999999997</v>
      </c>
      <c r="J6979">
        <v>-187.44810000000001</v>
      </c>
      <c r="K6979">
        <v>1.1087359999999999</v>
      </c>
      <c r="L6979">
        <v>20.910550000000001</v>
      </c>
      <c r="M6979">
        <v>-9.258949E-4</v>
      </c>
      <c r="N6979">
        <v>0</v>
      </c>
      <c r="O6979">
        <v>0.99996850000000004</v>
      </c>
      <c r="P6979">
        <v>2.1549809999999999E-2</v>
      </c>
      <c r="Q6979">
        <v>8.8971540000000009E-3</v>
      </c>
      <c r="R6979">
        <v>0.99972819999999996</v>
      </c>
      <c r="S6979">
        <v>0.2228088</v>
      </c>
      <c r="T6979">
        <v>-7.1951029999999999E-2</v>
      </c>
      <c r="U6979">
        <v>2.9966430000000002</v>
      </c>
      <c r="V6979">
        <v>2.247327E-2</v>
      </c>
      <c r="W6979">
        <v>1.678466E-2</v>
      </c>
      <c r="X6979">
        <v>0.99960649999999995</v>
      </c>
      <c r="Y6979">
        <v>7.5050240000000004E-2</v>
      </c>
      <c r="Z6979">
        <v>-2.393675E-2</v>
      </c>
      <c r="AA6979">
        <v>0.99689240000000001</v>
      </c>
      <c r="AB6979">
        <v>34</v>
      </c>
      <c r="AC6979">
        <v>3.4338000000000202</v>
      </c>
      <c r="AD6979">
        <v>-1.1087401175189999</v>
      </c>
      <c r="AE6979">
        <v>45.845260000000003</v>
      </c>
      <c r="AF6979">
        <v>3.4742270513954199</v>
      </c>
      <c r="AG6979">
        <v>-1.1087401175189999</v>
      </c>
      <c r="AH6979">
        <v>45.815413643417401</v>
      </c>
      <c r="AI6979">
        <v>91.382328983925404</v>
      </c>
      <c r="AJ6979">
        <v>85.663505112610395</v>
      </c>
      <c r="AK6979">
        <v>45.960327300513001</v>
      </c>
      <c r="AL6979">
        <v>89.038264625524107</v>
      </c>
      <c r="AM6979">
        <v>88.712086558638006</v>
      </c>
      <c r="AN6979">
        <v>0.999999963759028</v>
      </c>
    </row>
    <row r="6980" spans="1:40" x14ac:dyDescent="0.25">
      <c r="A6980" t="str">
        <f>"20190312173101520"</f>
        <v>20190312173101520</v>
      </c>
      <c r="B6980" t="str">
        <f>"1552383061514299"</f>
        <v>1552383061514299</v>
      </c>
      <c r="C6980" t="s">
        <v>40</v>
      </c>
      <c r="D6980">
        <v>3.0349520000000001</v>
      </c>
      <c r="E6980">
        <v>0.52041859999999995</v>
      </c>
      <c r="F6980" t="s">
        <v>41</v>
      </c>
      <c r="G6980">
        <v>-183.92259999999999</v>
      </c>
      <c r="H6980" s="1">
        <v>-4.7047809999999999E-6</v>
      </c>
      <c r="I6980">
        <v>68.086799999999997</v>
      </c>
      <c r="J6980">
        <v>-187.4485</v>
      </c>
      <c r="K6980">
        <v>1.1087389999999999</v>
      </c>
      <c r="L6980">
        <v>21.26163</v>
      </c>
      <c r="M6980">
        <v>-1.0035409999999999E-3</v>
      </c>
      <c r="N6980">
        <v>0</v>
      </c>
      <c r="O6980">
        <v>0.99996859999999999</v>
      </c>
      <c r="P6980">
        <v>2.2204140000000001E-2</v>
      </c>
      <c r="Q6980">
        <v>9.3696679999999994E-3</v>
      </c>
      <c r="R6980">
        <v>0.99970950000000003</v>
      </c>
      <c r="S6980">
        <v>0.223938</v>
      </c>
      <c r="T6980">
        <v>-7.0426699999999995E-2</v>
      </c>
      <c r="U6980">
        <v>2.996613</v>
      </c>
      <c r="V6980">
        <v>2.3205130000000001E-2</v>
      </c>
      <c r="W6980">
        <v>1.7229009999999999E-2</v>
      </c>
      <c r="X6980">
        <v>0.99958219999999998</v>
      </c>
      <c r="Y6980">
        <v>7.550287E-2</v>
      </c>
      <c r="Z6980">
        <v>-2.3429419999999999E-2</v>
      </c>
      <c r="AA6980">
        <v>0.99687029999999999</v>
      </c>
      <c r="AB6980">
        <v>34</v>
      </c>
      <c r="AC6980">
        <v>3.5259</v>
      </c>
      <c r="AD6980">
        <v>-1.10874370478099</v>
      </c>
      <c r="AE6980">
        <v>46.82517</v>
      </c>
      <c r="AF6980">
        <v>3.5708998626777499</v>
      </c>
      <c r="AG6980">
        <v>-1.10874370478099</v>
      </c>
      <c r="AH6980">
        <v>46.7955192279912</v>
      </c>
      <c r="AI6980">
        <v>91.353343278456904</v>
      </c>
      <c r="AJ6980">
        <v>85.636296967133504</v>
      </c>
      <c r="AK6980">
        <v>46.944661658696198</v>
      </c>
      <c r="AL6980">
        <v>89.012801544297403</v>
      </c>
      <c r="AM6980">
        <v>88.670127134979296</v>
      </c>
      <c r="AN6980">
        <v>0.99999994570036699</v>
      </c>
    </row>
    <row r="6981" spans="1:40" x14ac:dyDescent="0.25">
      <c r="A6981" t="str">
        <f>"20190312173101541"</f>
        <v>20190312173101541</v>
      </c>
      <c r="B6981" t="str">
        <f>"1552383061534795"</f>
        <v>1552383061534795</v>
      </c>
      <c r="C6981" t="s">
        <v>40</v>
      </c>
      <c r="D6981">
        <v>3.0043630000000001</v>
      </c>
      <c r="E6981">
        <v>0.52041349999999997</v>
      </c>
      <c r="F6981" t="s">
        <v>41</v>
      </c>
      <c r="G6981">
        <v>-183.80189999999999</v>
      </c>
      <c r="H6981" s="1">
        <v>-5.3562539999999999E-6</v>
      </c>
      <c r="I6981">
        <v>69.555509999999998</v>
      </c>
      <c r="J6981">
        <v>-187.44890000000001</v>
      </c>
      <c r="K6981">
        <v>1.1087400000000001</v>
      </c>
      <c r="L6981">
        <v>21.589659999999999</v>
      </c>
      <c r="M6981">
        <v>-1.076107E-3</v>
      </c>
      <c r="N6981">
        <v>0</v>
      </c>
      <c r="O6981">
        <v>0.99996870000000004</v>
      </c>
      <c r="P6981">
        <v>2.2847590000000001E-2</v>
      </c>
      <c r="Q6981">
        <v>9.6530899999999996E-3</v>
      </c>
      <c r="R6981">
        <v>0.99969240000000004</v>
      </c>
      <c r="S6981">
        <v>0.22625729999999999</v>
      </c>
      <c r="T6981">
        <v>-6.8794250000000001E-2</v>
      </c>
      <c r="U6981">
        <v>2.9964900000000001</v>
      </c>
      <c r="V6981">
        <v>2.3921060000000001E-2</v>
      </c>
      <c r="W6981">
        <v>1.7489319999999999E-2</v>
      </c>
      <c r="X6981">
        <v>0.99956080000000003</v>
      </c>
      <c r="Y6981">
        <v>7.6346430000000007E-2</v>
      </c>
      <c r="Z6981">
        <v>-2.2886159999999999E-2</v>
      </c>
      <c r="AA6981">
        <v>0.99681869999999995</v>
      </c>
      <c r="AB6981">
        <v>34</v>
      </c>
      <c r="AC6981">
        <v>3.6470000000000198</v>
      </c>
      <c r="AD6981">
        <v>-1.1087453562539999</v>
      </c>
      <c r="AE6981">
        <v>47.965850000000003</v>
      </c>
      <c r="AF6981">
        <v>3.6966520283790198</v>
      </c>
      <c r="AG6981">
        <v>-1.1087453562539999</v>
      </c>
      <c r="AH6981">
        <v>47.9364314931317</v>
      </c>
      <c r="AI6981">
        <v>91.321065228544995</v>
      </c>
      <c r="AJ6981">
        <v>85.590322574586907</v>
      </c>
      <c r="AK6981">
        <v>48.091537891604702</v>
      </c>
      <c r="AL6981">
        <v>88.997884628829993</v>
      </c>
      <c r="AM6981">
        <v>88.629083676285404</v>
      </c>
      <c r="AN6981">
        <v>0.99999994316111096</v>
      </c>
    </row>
    <row r="6982" spans="1:40" x14ac:dyDescent="0.25">
      <c r="A6982" t="str">
        <f>"20190312173101563"</f>
        <v>20190312173101563</v>
      </c>
      <c r="B6982" t="str">
        <f>"1552383061554315"</f>
        <v>1552383061554315</v>
      </c>
      <c r="C6982" t="s">
        <v>40</v>
      </c>
      <c r="D6982">
        <v>3.0374469999999998</v>
      </c>
      <c r="E6982">
        <v>0.52042010000000005</v>
      </c>
      <c r="F6982" t="s">
        <v>41</v>
      </c>
      <c r="G6982">
        <v>-183.7029</v>
      </c>
      <c r="H6982" s="1">
        <v>-2.0663189999999999E-6</v>
      </c>
      <c r="I6982">
        <v>70.796499999999995</v>
      </c>
      <c r="J6982">
        <v>-187.44929999999999</v>
      </c>
      <c r="K6982">
        <v>1.1087370000000001</v>
      </c>
      <c r="L6982">
        <v>21.916080000000001</v>
      </c>
      <c r="M6982">
        <v>-1.14858E-3</v>
      </c>
      <c r="N6982">
        <v>0</v>
      </c>
      <c r="O6982">
        <v>0.99996879999999999</v>
      </c>
      <c r="P6982">
        <v>2.3880060000000002E-2</v>
      </c>
      <c r="Q6982">
        <v>1.0529E-2</v>
      </c>
      <c r="R6982">
        <v>0.99965939999999998</v>
      </c>
      <c r="S6982">
        <v>0.22810359999999999</v>
      </c>
      <c r="T6982">
        <v>-6.7515019999999995E-2</v>
      </c>
      <c r="U6982">
        <v>2.9963679999999999</v>
      </c>
      <c r="V6982">
        <v>2.5025820000000001E-2</v>
      </c>
      <c r="W6982">
        <v>1.8345589999999998E-2</v>
      </c>
      <c r="X6982">
        <v>0.99951849999999998</v>
      </c>
      <c r="Y6982">
        <v>7.7033149999999995E-2</v>
      </c>
      <c r="Z6982">
        <v>-2.2460589999999999E-2</v>
      </c>
      <c r="AA6982">
        <v>0.99677550000000004</v>
      </c>
      <c r="AB6982">
        <v>34</v>
      </c>
      <c r="AC6982">
        <v>3.7463999999999902</v>
      </c>
      <c r="AD6982">
        <v>-1.108739066319</v>
      </c>
      <c r="AE6982">
        <v>48.880420000000001</v>
      </c>
      <c r="AF6982">
        <v>3.8005983124370299</v>
      </c>
      <c r="AG6982">
        <v>-1.108739066319</v>
      </c>
      <c r="AH6982">
        <v>48.851097277809401</v>
      </c>
      <c r="AI6982">
        <v>91.296263131599702</v>
      </c>
      <c r="AJ6982">
        <v>85.551369452322007</v>
      </c>
      <c r="AK6982">
        <v>49.011259472652597</v>
      </c>
      <c r="AL6982">
        <v>88.948816194424893</v>
      </c>
      <c r="AM6982">
        <v>88.565735053480793</v>
      </c>
      <c r="AN6982">
        <v>1.0000000420906801</v>
      </c>
    </row>
    <row r="6983" spans="1:40" x14ac:dyDescent="0.25">
      <c r="A6983" t="str">
        <f>"20190312173101586"</f>
        <v>20190312173101586</v>
      </c>
      <c r="B6983" t="str">
        <f>"1552383061574814"</f>
        <v>1552383061574814</v>
      </c>
      <c r="C6983" t="s">
        <v>40</v>
      </c>
      <c r="D6983">
        <v>3.0203389999999999</v>
      </c>
      <c r="E6983">
        <v>0.52043279999999903</v>
      </c>
      <c r="F6983" t="s">
        <v>41</v>
      </c>
      <c r="G6983">
        <v>-183.48859999999999</v>
      </c>
      <c r="H6983" s="1">
        <v>-2.9407029999999999E-6</v>
      </c>
      <c r="I6983">
        <v>73.198409999999996</v>
      </c>
      <c r="J6983">
        <v>-187.44970000000001</v>
      </c>
      <c r="K6983">
        <v>1.1087359999999999</v>
      </c>
      <c r="L6983">
        <v>22.27393</v>
      </c>
      <c r="M6983">
        <v>-1.2278219999999999E-3</v>
      </c>
      <c r="N6983">
        <v>0</v>
      </c>
      <c r="O6983">
        <v>0.99996890000000005</v>
      </c>
      <c r="P6983">
        <v>2.4413130000000002E-2</v>
      </c>
      <c r="Q6983">
        <v>1.0859280000000001E-2</v>
      </c>
      <c r="R6983">
        <v>0.99964299999999995</v>
      </c>
      <c r="S6983">
        <v>0.23139950000000001</v>
      </c>
      <c r="T6983">
        <v>-6.4778450000000001E-2</v>
      </c>
      <c r="U6983">
        <v>2.9961850000000001</v>
      </c>
      <c r="V6983">
        <v>2.5638029999999999E-2</v>
      </c>
      <c r="W6983">
        <v>1.8653570000000001E-2</v>
      </c>
      <c r="X6983">
        <v>0.99949719999999997</v>
      </c>
      <c r="Y6983">
        <v>7.8208369999999999E-2</v>
      </c>
      <c r="Z6983">
        <v>-2.1550059999999999E-2</v>
      </c>
      <c r="AA6983">
        <v>0.99670409999999998</v>
      </c>
      <c r="AB6983">
        <v>34</v>
      </c>
      <c r="AC6983">
        <v>3.9611000000000098</v>
      </c>
      <c r="AD6983">
        <v>-1.1087389407029999</v>
      </c>
      <c r="AE6983">
        <v>50.924480000000003</v>
      </c>
      <c r="AF6983">
        <v>4.0217301546480702</v>
      </c>
      <c r="AG6983">
        <v>-1.1087389407029999</v>
      </c>
      <c r="AH6983">
        <v>50.895597015245599</v>
      </c>
      <c r="AI6983">
        <v>91.244090002271193</v>
      </c>
      <c r="AJ6983">
        <v>85.481920521997395</v>
      </c>
      <c r="AK6983">
        <v>51.0662844841263</v>
      </c>
      <c r="AL6983">
        <v>88.931167131300995</v>
      </c>
      <c r="AM6983">
        <v>88.530632336024993</v>
      </c>
      <c r="AN6983">
        <v>0.99999995853193202</v>
      </c>
    </row>
    <row r="6984" spans="1:40" x14ac:dyDescent="0.25">
      <c r="A6984" t="str">
        <f>"20190312173101607"</f>
        <v>20190312173101607</v>
      </c>
      <c r="B6984" t="str">
        <f>"1552383061604090"</f>
        <v>1552383061604090</v>
      </c>
      <c r="C6984" t="s">
        <v>40</v>
      </c>
      <c r="D6984">
        <v>3.0220479999999998</v>
      </c>
      <c r="E6984">
        <v>0.52044950000000001</v>
      </c>
      <c r="F6984" t="s">
        <v>41</v>
      </c>
      <c r="G6984">
        <v>-183.3766</v>
      </c>
      <c r="H6984" s="1">
        <v>-3.4499210000000002E-6</v>
      </c>
      <c r="I6984">
        <v>74.607169999999996</v>
      </c>
      <c r="J6984">
        <v>-187.4502</v>
      </c>
      <c r="K6984">
        <v>1.1087320000000001</v>
      </c>
      <c r="L6984">
        <v>22.610019999999999</v>
      </c>
      <c r="M6984">
        <v>-1.302037E-3</v>
      </c>
      <c r="N6984">
        <v>0</v>
      </c>
      <c r="O6984">
        <v>0.99996890000000005</v>
      </c>
      <c r="P6984">
        <v>2.532529E-2</v>
      </c>
      <c r="Q6984">
        <v>1.1423600000000001E-2</v>
      </c>
      <c r="R6984">
        <v>0.999614</v>
      </c>
      <c r="S6984">
        <v>0.2331848</v>
      </c>
      <c r="T6984">
        <v>-6.3475009999999998E-2</v>
      </c>
      <c r="U6984">
        <v>2.9960629999999999</v>
      </c>
      <c r="V6984">
        <v>2.662424E-2</v>
      </c>
      <c r="W6984">
        <v>1.9196589999999999E-2</v>
      </c>
      <c r="X6984">
        <v>0.99946120000000005</v>
      </c>
      <c r="Y6984">
        <v>7.8876520000000006E-2</v>
      </c>
      <c r="Z6984">
        <v>-2.1116449999999998E-2</v>
      </c>
      <c r="AA6984">
        <v>0.99666069999999995</v>
      </c>
      <c r="AB6984">
        <v>34</v>
      </c>
      <c r="AC6984">
        <v>4.0735999999999901</v>
      </c>
      <c r="AD6984">
        <v>-1.108735449921</v>
      </c>
      <c r="AE6984">
        <v>51.997149999999898</v>
      </c>
      <c r="AF6984">
        <v>4.13943021230829</v>
      </c>
      <c r="AG6984">
        <v>-1.108735449921</v>
      </c>
      <c r="AH6984">
        <v>51.968317459232502</v>
      </c>
      <c r="AI6984">
        <v>91.218352856222694</v>
      </c>
      <c r="AJ6984">
        <v>85.4458368728788</v>
      </c>
      <c r="AK6984">
        <v>52.144704393869702</v>
      </c>
      <c r="AL6984">
        <v>88.900048875149196</v>
      </c>
      <c r="AM6984">
        <v>88.474081925816506</v>
      </c>
      <c r="AN6984">
        <v>1.0000000247643199</v>
      </c>
    </row>
    <row r="6985" spans="1:40" x14ac:dyDescent="0.25">
      <c r="A6985" t="str">
        <f>"20190312173101632"</f>
        <v>20190312173101632</v>
      </c>
      <c r="B6985" t="str">
        <f>"1552383061624587"</f>
        <v>1552383061624587</v>
      </c>
      <c r="C6985" t="s">
        <v>40</v>
      </c>
      <c r="D6985">
        <v>3.0644200000000001</v>
      </c>
      <c r="E6985">
        <v>0.53139459999999905</v>
      </c>
      <c r="F6985" t="s">
        <v>41</v>
      </c>
      <c r="G6985">
        <v>-183.21260000000001</v>
      </c>
      <c r="H6985" s="1">
        <v>-4.116856E-6</v>
      </c>
      <c r="I6985">
        <v>76.422799999999995</v>
      </c>
      <c r="J6985">
        <v>-187.45079999999999</v>
      </c>
      <c r="K6985">
        <v>1.108727</v>
      </c>
      <c r="L6985">
        <v>22.974270000000001</v>
      </c>
      <c r="M6985">
        <v>-1.3825139999999901E-3</v>
      </c>
      <c r="N6985">
        <v>0</v>
      </c>
      <c r="O6985">
        <v>0.999969</v>
      </c>
      <c r="P6985">
        <v>2.5667390000000002E-2</v>
      </c>
      <c r="Q6985">
        <v>1.197235E-2</v>
      </c>
      <c r="R6985">
        <v>0.99959889999999996</v>
      </c>
      <c r="S6985">
        <v>0.23591609999999999</v>
      </c>
      <c r="T6985">
        <v>-6.1725849999999999E-2</v>
      </c>
      <c r="U6985">
        <v>2.9958800000000001</v>
      </c>
      <c r="V6985">
        <v>2.704668E-2</v>
      </c>
      <c r="W6985">
        <v>1.9724350000000002E-2</v>
      </c>
      <c r="X6985">
        <v>0.99943950000000004</v>
      </c>
      <c r="Y6985">
        <v>7.9865489999999997E-2</v>
      </c>
      <c r="Z6985">
        <v>-2.0534509999999999E-2</v>
      </c>
      <c r="AA6985">
        <v>0.99659410000000004</v>
      </c>
      <c r="AB6985">
        <v>34</v>
      </c>
      <c r="AC6985">
        <v>4.2381999999999698</v>
      </c>
      <c r="AD6985">
        <v>-1.1087311168559999</v>
      </c>
      <c r="AE6985">
        <v>53.448529999999899</v>
      </c>
      <c r="AF6985">
        <v>4.31024835889116</v>
      </c>
      <c r="AG6985">
        <v>-1.1087311168559999</v>
      </c>
      <c r="AH6985">
        <v>53.419775965562501</v>
      </c>
      <c r="AI6985">
        <v>91.185156630118698</v>
      </c>
      <c r="AJ6985">
        <v>85.387004274263901</v>
      </c>
      <c r="AK6985">
        <v>53.6048504318005</v>
      </c>
      <c r="AL6985">
        <v>88.869804635697093</v>
      </c>
      <c r="AM6985">
        <v>88.449848654883098</v>
      </c>
      <c r="AN6985">
        <v>0.999999943521096</v>
      </c>
    </row>
    <row r="6986" spans="1:40" x14ac:dyDescent="0.25">
      <c r="A6986" t="str">
        <f>"20190312173101654"</f>
        <v>20190312173101654</v>
      </c>
      <c r="B6986" t="str">
        <f>"1552383061644108"</f>
        <v>1552383061644108</v>
      </c>
      <c r="C6986" t="s">
        <v>40</v>
      </c>
      <c r="D6986">
        <v>3.0165899999999999</v>
      </c>
      <c r="E6986">
        <v>0.53182609999999997</v>
      </c>
      <c r="F6986" t="s">
        <v>41</v>
      </c>
      <c r="G6986">
        <v>-177.8458</v>
      </c>
      <c r="H6986">
        <v>7.9985959999999995E-2</v>
      </c>
      <c r="I6986">
        <v>111.3827</v>
      </c>
      <c r="J6986">
        <v>-187.4513</v>
      </c>
      <c r="K6986">
        <v>1.108724</v>
      </c>
      <c r="L6986">
        <v>23.324680000000001</v>
      </c>
      <c r="M6986">
        <v>-1.4599859999999999E-3</v>
      </c>
      <c r="N6986">
        <v>0</v>
      </c>
      <c r="O6986">
        <v>0.999969</v>
      </c>
      <c r="P6986">
        <v>2.5623159999999999E-2</v>
      </c>
      <c r="Q6986">
        <v>1.1662179999999999E-2</v>
      </c>
      <c r="R6986">
        <v>0.99960360000000004</v>
      </c>
      <c r="S6986">
        <v>0.32519530000000002</v>
      </c>
      <c r="T6986">
        <v>-3.483021E-2</v>
      </c>
      <c r="U6986">
        <v>2.9932560000000001</v>
      </c>
      <c r="V6986">
        <v>2.7079929999999999E-2</v>
      </c>
      <c r="W6986">
        <v>1.9397299999999999E-2</v>
      </c>
      <c r="X6986">
        <v>0.99944509999999998</v>
      </c>
      <c r="Y6986">
        <v>0.1094513</v>
      </c>
      <c r="Z6986">
        <v>-1.1566450000000001E-2</v>
      </c>
      <c r="AA6986">
        <v>0.9939249</v>
      </c>
      <c r="AB6986">
        <v>34</v>
      </c>
      <c r="AC6986">
        <v>9.6054999999999993</v>
      </c>
      <c r="AD6986">
        <v>-1.0287380399999999</v>
      </c>
      <c r="AE6986">
        <v>88.058019999999999</v>
      </c>
      <c r="AF6986">
        <v>9.7327443732916397</v>
      </c>
      <c r="AG6986">
        <v>-1.0287380399999999</v>
      </c>
      <c r="AH6986">
        <v>88.032028420151093</v>
      </c>
      <c r="AI6986">
        <v>90.665470830384194</v>
      </c>
      <c r="AJ6986">
        <v>83.6910507115049</v>
      </c>
      <c r="AK6986">
        <v>88.574390445303493</v>
      </c>
      <c r="AL6986">
        <v>88.888546917944495</v>
      </c>
      <c r="AM6986">
        <v>88.447952590553498</v>
      </c>
      <c r="AN6986">
        <v>1.00000004288505</v>
      </c>
    </row>
    <row r="6987" spans="1:40" x14ac:dyDescent="0.25">
      <c r="A6987" t="str">
        <f>"20190312173101676"</f>
        <v>20190312173101676</v>
      </c>
      <c r="B6987" t="str">
        <f>"1552383061664603"</f>
        <v>1552383061664603</v>
      </c>
      <c r="C6987" t="s">
        <v>40</v>
      </c>
      <c r="D6987">
        <v>3.005163</v>
      </c>
      <c r="E6987">
        <v>0.53208339999999998</v>
      </c>
      <c r="F6987" t="s">
        <v>41</v>
      </c>
      <c r="G6987">
        <v>-177.3921</v>
      </c>
      <c r="H6987">
        <v>7.9985589999999995E-2</v>
      </c>
      <c r="I6987">
        <v>114.9873</v>
      </c>
      <c r="J6987">
        <v>-187.45189999999999</v>
      </c>
      <c r="K6987">
        <v>1.108722</v>
      </c>
      <c r="L6987">
        <v>23.6572</v>
      </c>
      <c r="M6987">
        <v>-1.53337E-3</v>
      </c>
      <c r="N6987">
        <v>0</v>
      </c>
      <c r="O6987">
        <v>0.999969</v>
      </c>
      <c r="P6987">
        <v>2.5490479999999999E-2</v>
      </c>
      <c r="Q6987">
        <v>1.172437E-2</v>
      </c>
      <c r="R6987">
        <v>0.99960629999999995</v>
      </c>
      <c r="S6987">
        <v>0.32847599999999999</v>
      </c>
      <c r="T6987">
        <v>-3.3592579999999997E-2</v>
      </c>
      <c r="U6987">
        <v>2.9931640000000002</v>
      </c>
      <c r="V6987">
        <v>2.7020590000000001E-2</v>
      </c>
      <c r="W6987">
        <v>1.9444019999999999E-2</v>
      </c>
      <c r="X6987">
        <v>0.99944569999999999</v>
      </c>
      <c r="Y6987">
        <v>0.11060449999999999</v>
      </c>
      <c r="Z6987">
        <v>-1.115447E-2</v>
      </c>
      <c r="AA6987">
        <v>0.99380190000000002</v>
      </c>
      <c r="AB6987">
        <v>34</v>
      </c>
      <c r="AC6987">
        <v>10.0597999999999</v>
      </c>
      <c r="AD6987">
        <v>-1.02873641</v>
      </c>
      <c r="AE6987">
        <v>91.330100000000002</v>
      </c>
      <c r="AF6987">
        <v>10.1985567411571</v>
      </c>
      <c r="AG6987">
        <v>-1.02873641</v>
      </c>
      <c r="AH6987">
        <v>91.303121431682897</v>
      </c>
      <c r="AI6987">
        <v>90.641549851873194</v>
      </c>
      <c r="AJ6987">
        <v>83.626482229473595</v>
      </c>
      <c r="AK6987">
        <v>91.876704563085497</v>
      </c>
      <c r="AL6987">
        <v>88.885869444913695</v>
      </c>
      <c r="AM6987">
        <v>88.451352848921601</v>
      </c>
      <c r="AN6987">
        <v>0.99999994472309695</v>
      </c>
    </row>
    <row r="6988" spans="1:40" x14ac:dyDescent="0.25">
      <c r="A6988" t="str">
        <f>"20190312173101696"</f>
        <v>20190312173101696</v>
      </c>
      <c r="B6988" t="str">
        <f>"1552383061694471"</f>
        <v>1552383061694471</v>
      </c>
      <c r="C6988" t="s">
        <v>40</v>
      </c>
      <c r="D6988">
        <v>3.01993</v>
      </c>
      <c r="E6988">
        <v>0.53237699999999999</v>
      </c>
      <c r="F6988" t="s">
        <v>41</v>
      </c>
      <c r="G6988">
        <v>-177.04320000000001</v>
      </c>
      <c r="H6988">
        <v>7.9986470000000004E-2</v>
      </c>
      <c r="I6988">
        <v>117.9858</v>
      </c>
      <c r="J6988">
        <v>-187.45240000000001</v>
      </c>
      <c r="K6988">
        <v>1.108717</v>
      </c>
      <c r="L6988">
        <v>23.977080000000001</v>
      </c>
      <c r="M6988">
        <v>-1.604086E-3</v>
      </c>
      <c r="N6988">
        <v>0</v>
      </c>
      <c r="O6988">
        <v>0.99996910000000006</v>
      </c>
      <c r="P6988">
        <v>2.4984289999999999E-2</v>
      </c>
      <c r="Q6988">
        <v>1.182038E-2</v>
      </c>
      <c r="R6988">
        <v>0.99961789999999995</v>
      </c>
      <c r="S6988">
        <v>0.33027649999999997</v>
      </c>
      <c r="T6988">
        <v>-3.264272E-2</v>
      </c>
      <c r="U6988">
        <v>2.993134</v>
      </c>
      <c r="V6988">
        <v>2.6585080000000001E-2</v>
      </c>
      <c r="W6988">
        <v>1.9524119999999999E-2</v>
      </c>
      <c r="X6988">
        <v>0.99945589999999995</v>
      </c>
      <c r="Y6988">
        <v>0.1112669</v>
      </c>
      <c r="Z6988">
        <v>-1.0838449999999999E-2</v>
      </c>
      <c r="AA6988">
        <v>0.99373140000000004</v>
      </c>
      <c r="AB6988">
        <v>34</v>
      </c>
      <c r="AC6988">
        <v>10.409199999999901</v>
      </c>
      <c r="AD6988">
        <v>-1.02873053</v>
      </c>
      <c r="AE6988">
        <v>94.008719999999997</v>
      </c>
      <c r="AF6988">
        <v>10.558740074325099</v>
      </c>
      <c r="AG6988">
        <v>-1.02873053</v>
      </c>
      <c r="AH6988">
        <v>93.980783627465996</v>
      </c>
      <c r="AI6988">
        <v>90.623224158606803</v>
      </c>
      <c r="AJ6988">
        <v>83.589700946763102</v>
      </c>
      <c r="AK6988">
        <v>94.577655763362401</v>
      </c>
      <c r="AL6988">
        <v>88.881279273274799</v>
      </c>
      <c r="AM6988">
        <v>88.476317172483107</v>
      </c>
      <c r="AN6988">
        <v>1.0000000268925899</v>
      </c>
    </row>
    <row r="6989" spans="1:40" x14ac:dyDescent="0.25">
      <c r="A6989" t="str">
        <f>"20190312173101720"</f>
        <v>20190312173101720</v>
      </c>
      <c r="B6989" t="str">
        <f>"1552383061713991"</f>
        <v>1552383061713991</v>
      </c>
      <c r="C6989" t="s">
        <v>40</v>
      </c>
      <c r="D6989">
        <v>3.0254919999999998</v>
      </c>
      <c r="E6989">
        <v>0.53245929999999997</v>
      </c>
      <c r="F6989" t="s">
        <v>64</v>
      </c>
      <c r="G6989">
        <v>-176.94220000000001</v>
      </c>
      <c r="H6989">
        <v>0.11073479999999999</v>
      </c>
      <c r="I6989">
        <v>119.01949999999999</v>
      </c>
      <c r="J6989">
        <v>-187.45310000000001</v>
      </c>
      <c r="K6989">
        <v>1.1087100000000001</v>
      </c>
      <c r="L6989">
        <v>24.352360000000001</v>
      </c>
      <c r="M6989">
        <v>-1.6870019999999999E-3</v>
      </c>
      <c r="N6989">
        <v>0</v>
      </c>
      <c r="O6989">
        <v>0.99996910000000006</v>
      </c>
      <c r="P6989">
        <v>2.438154E-2</v>
      </c>
      <c r="Q6989">
        <v>1.1863469999999999E-2</v>
      </c>
      <c r="R6989">
        <v>0.99963239999999998</v>
      </c>
      <c r="S6989">
        <v>0.33100889999999999</v>
      </c>
      <c r="T6989">
        <v>-3.1430359999999997E-2</v>
      </c>
      <c r="U6989">
        <v>2.9932560000000001</v>
      </c>
      <c r="V6989">
        <v>2.606522E-2</v>
      </c>
      <c r="W6989">
        <v>1.9548429999999999E-2</v>
      </c>
      <c r="X6989">
        <v>0.9994691</v>
      </c>
      <c r="Y6989">
        <v>0.11158559999999999</v>
      </c>
      <c r="Z6989">
        <v>-1.04352E-2</v>
      </c>
      <c r="AA6989">
        <v>0.99370000000000003</v>
      </c>
      <c r="AB6989">
        <v>35</v>
      </c>
      <c r="AC6989">
        <v>10.5108999999999</v>
      </c>
      <c r="AD6989">
        <v>-0.99797519999999995</v>
      </c>
      <c r="AE6989">
        <v>94.667140000000003</v>
      </c>
      <c r="AF6989">
        <v>10.6694221243394</v>
      </c>
      <c r="AG6989">
        <v>-0.99797519999999995</v>
      </c>
      <c r="AH6989">
        <v>94.638883473336406</v>
      </c>
      <c r="AI6989">
        <v>90.600363592988202</v>
      </c>
      <c r="AJ6989">
        <v>83.567733503271796</v>
      </c>
      <c r="AK6989">
        <v>95.243639094938501</v>
      </c>
      <c r="AL6989">
        <v>88.879886127359995</v>
      </c>
      <c r="AM6989">
        <v>88.506118230705695</v>
      </c>
      <c r="AN6989">
        <v>1.0000000093319601</v>
      </c>
    </row>
    <row r="6990" spans="1:40" x14ac:dyDescent="0.25">
      <c r="A6990" t="str">
        <f>"20190312173101742"</f>
        <v>20190312173101742</v>
      </c>
      <c r="B6990" t="str">
        <f>"1552383061734487"</f>
        <v>1552383061734487</v>
      </c>
      <c r="C6990" t="s">
        <v>40</v>
      </c>
      <c r="D6990">
        <v>3.0027780000000002</v>
      </c>
      <c r="E6990">
        <v>0.53262169999999998</v>
      </c>
      <c r="F6990" t="s">
        <v>64</v>
      </c>
      <c r="G6990">
        <v>-177.02359999999999</v>
      </c>
      <c r="H6990">
        <v>0.11555849999999999</v>
      </c>
      <c r="I6990">
        <v>119.01949999999999</v>
      </c>
      <c r="J6990">
        <v>-187.4537</v>
      </c>
      <c r="K6990">
        <v>1.1086990000000001</v>
      </c>
      <c r="L6990">
        <v>24.684999999999999</v>
      </c>
      <c r="M6990">
        <v>-1.7603899999999999E-3</v>
      </c>
      <c r="N6990">
        <v>0</v>
      </c>
      <c r="O6990">
        <v>0.999969</v>
      </c>
      <c r="P6990">
        <v>2.4084330000000001E-2</v>
      </c>
      <c r="Q6990">
        <v>1.189134E-2</v>
      </c>
      <c r="R6990">
        <v>0.99963919999999995</v>
      </c>
      <c r="S6990">
        <v>0.32978819999999998</v>
      </c>
      <c r="T6990">
        <v>-3.1404139999999997E-2</v>
      </c>
      <c r="U6990">
        <v>2.993439</v>
      </c>
      <c r="V6990">
        <v>2.5841369999999999E-2</v>
      </c>
      <c r="W6990">
        <v>1.956225E-2</v>
      </c>
      <c r="X6990">
        <v>0.99947459999999999</v>
      </c>
      <c r="Y6990">
        <v>0.1112515</v>
      </c>
      <c r="Z6990">
        <v>-1.042629E-2</v>
      </c>
      <c r="AA6990">
        <v>0.9937376</v>
      </c>
      <c r="AB6990">
        <v>35</v>
      </c>
      <c r="AC6990">
        <v>10.430099999999999</v>
      </c>
      <c r="AD6990">
        <v>-0.99314049999999998</v>
      </c>
      <c r="AE6990">
        <v>94.334500000000006</v>
      </c>
      <c r="AF6990">
        <v>10.594994115875799</v>
      </c>
      <c r="AG6990">
        <v>-0.99314049999999998</v>
      </c>
      <c r="AH6990">
        <v>94.3056660216794</v>
      </c>
      <c r="AI6990">
        <v>90.599592262139296</v>
      </c>
      <c r="AJ6990">
        <v>83.589848837302597</v>
      </c>
      <c r="AK6990">
        <v>94.904156242815404</v>
      </c>
      <c r="AL6990">
        <v>88.879094100834294</v>
      </c>
      <c r="AM6990">
        <v>88.518950203158397</v>
      </c>
      <c r="AN6990">
        <v>0.99999996703684901</v>
      </c>
    </row>
    <row r="6991" spans="1:40" x14ac:dyDescent="0.25">
      <c r="A6991" t="str">
        <f>"20190312173101764"</f>
        <v>20190312173101764</v>
      </c>
      <c r="B6991" t="str">
        <f>"1552383061754984"</f>
        <v>1552383061754984</v>
      </c>
      <c r="C6991" t="s">
        <v>40</v>
      </c>
      <c r="D6991">
        <v>2.994173</v>
      </c>
      <c r="E6991">
        <v>0.53264429999999996</v>
      </c>
      <c r="F6991" t="s">
        <v>64</v>
      </c>
      <c r="G6991">
        <v>-177.04470000000001</v>
      </c>
      <c r="H6991">
        <v>0.1030129</v>
      </c>
      <c r="I6991">
        <v>119.01949999999999</v>
      </c>
      <c r="J6991">
        <v>-187.45439999999999</v>
      </c>
      <c r="K6991">
        <v>1.1086929999999999</v>
      </c>
      <c r="L6991">
        <v>25.033750000000001</v>
      </c>
      <c r="M6991">
        <v>-1.837024E-3</v>
      </c>
      <c r="N6991">
        <v>0</v>
      </c>
      <c r="O6991">
        <v>0.999969</v>
      </c>
      <c r="P6991">
        <v>2.322571E-2</v>
      </c>
      <c r="Q6991">
        <v>1.1343890000000001E-2</v>
      </c>
      <c r="R6991">
        <v>0.9996659</v>
      </c>
      <c r="S6991">
        <v>0.33030700000000002</v>
      </c>
      <c r="T6991">
        <v>-3.1913280000000002E-2</v>
      </c>
      <c r="U6991">
        <v>2.9935</v>
      </c>
      <c r="V6991">
        <v>2.5059459999999999E-2</v>
      </c>
      <c r="W6991">
        <v>1.9002080000000001E-2</v>
      </c>
      <c r="X6991">
        <v>0.99950530000000004</v>
      </c>
      <c r="Y6991">
        <v>0.11149539999999999</v>
      </c>
      <c r="Z6991">
        <v>-1.0594849999999999E-2</v>
      </c>
      <c r="AA6991">
        <v>0.99370849999999999</v>
      </c>
      <c r="AB6991">
        <v>35</v>
      </c>
      <c r="AC6991">
        <v>10.4096999999999</v>
      </c>
      <c r="AD6991">
        <v>-1.0056801</v>
      </c>
      <c r="AE6991">
        <v>93.985749999999996</v>
      </c>
      <c r="AF6991">
        <v>10.581144742135701</v>
      </c>
      <c r="AG6991">
        <v>-1.0056801</v>
      </c>
      <c r="AH6991">
        <v>93.955840645033902</v>
      </c>
      <c r="AI6991">
        <v>90.609404414561496</v>
      </c>
      <c r="AJ6991">
        <v>83.574521368954393</v>
      </c>
      <c r="AK6991">
        <v>94.555126819398694</v>
      </c>
      <c r="AL6991">
        <v>88.911195428963694</v>
      </c>
      <c r="AM6991">
        <v>88.563788945523797</v>
      </c>
      <c r="AN6991">
        <v>0.99999995015395204</v>
      </c>
    </row>
    <row r="6992" spans="1:40" x14ac:dyDescent="0.25">
      <c r="A6992" t="str">
        <f>"20190312173101786"</f>
        <v>20190312173101786</v>
      </c>
      <c r="B6992" t="str">
        <f>"1552383061784265"</f>
        <v>1552383061784265</v>
      </c>
      <c r="C6992" t="s">
        <v>40</v>
      </c>
      <c r="D6992">
        <v>3.0363090000000001</v>
      </c>
      <c r="E6992">
        <v>0.53279350000000003</v>
      </c>
      <c r="F6992" t="s">
        <v>41</v>
      </c>
      <c r="G6992">
        <v>-177.73929999999999</v>
      </c>
      <c r="H6992">
        <v>7.9986680000000004E-2</v>
      </c>
      <c r="I6992">
        <v>113.7679</v>
      </c>
      <c r="J6992">
        <v>-187.45509999999999</v>
      </c>
      <c r="K6992">
        <v>1.108695</v>
      </c>
      <c r="L6992">
        <v>25.378170000000001</v>
      </c>
      <c r="M6992">
        <v>-1.91278E-3</v>
      </c>
      <c r="N6992">
        <v>0</v>
      </c>
      <c r="O6992">
        <v>0.99996890000000005</v>
      </c>
      <c r="P6992">
        <v>2.3346260000000001E-2</v>
      </c>
      <c r="Q6992">
        <v>1.1424E-2</v>
      </c>
      <c r="R6992">
        <v>0.99966219999999995</v>
      </c>
      <c r="S6992">
        <v>0.32777399999999901</v>
      </c>
      <c r="T6992">
        <v>-3.4707189999999999E-2</v>
      </c>
      <c r="U6992">
        <v>2.9937740000000002</v>
      </c>
      <c r="V6992">
        <v>2.5255699999999999E-2</v>
      </c>
      <c r="W6992">
        <v>1.906834E-2</v>
      </c>
      <c r="X6992">
        <v>0.99949909999999997</v>
      </c>
      <c r="Y6992">
        <v>0.11072890000000001</v>
      </c>
      <c r="Z6992">
        <v>-1.152225E-2</v>
      </c>
      <c r="AA6992">
        <v>0.99378379999999999</v>
      </c>
      <c r="AB6992">
        <v>35</v>
      </c>
      <c r="AC6992">
        <v>9.7157999999999998</v>
      </c>
      <c r="AD6992">
        <v>-1.02870832</v>
      </c>
      <c r="AE6992">
        <v>88.38973</v>
      </c>
      <c r="AF6992">
        <v>9.8835345333248306</v>
      </c>
      <c r="AG6992">
        <v>-1.02870832</v>
      </c>
      <c r="AH6992">
        <v>88.359158141274605</v>
      </c>
      <c r="AI6992">
        <v>90.662893682549594</v>
      </c>
      <c r="AJ6992">
        <v>83.617632354338696</v>
      </c>
      <c r="AK6992">
        <v>88.916158953892193</v>
      </c>
      <c r="AL6992">
        <v>88.907398323842401</v>
      </c>
      <c r="AM6992">
        <v>88.552537804132598</v>
      </c>
      <c r="AN6992">
        <v>0.99999995143682596</v>
      </c>
    </row>
    <row r="6993" spans="1:40" x14ac:dyDescent="0.25">
      <c r="A6993" t="str">
        <f>"20190312173101809"</f>
        <v>20190312173101809</v>
      </c>
      <c r="B6993" t="str">
        <f>"1552383061804424"</f>
        <v>1552383061804424</v>
      </c>
      <c r="C6993" t="s">
        <v>40</v>
      </c>
      <c r="D6993">
        <v>3.0077530000000001</v>
      </c>
      <c r="E6993">
        <v>0.53293279999999998</v>
      </c>
      <c r="F6993" t="s">
        <v>41</v>
      </c>
      <c r="G6993">
        <v>-177.8519</v>
      </c>
      <c r="H6993">
        <v>7.9986360000000006E-2</v>
      </c>
      <c r="I6993">
        <v>112.7312</v>
      </c>
      <c r="J6993">
        <v>-187.45590000000001</v>
      </c>
      <c r="K6993">
        <v>1.1086929999999999</v>
      </c>
      <c r="L6993">
        <v>25.732119999999998</v>
      </c>
      <c r="M6993">
        <v>-1.9905669999999999E-3</v>
      </c>
      <c r="N6993">
        <v>0</v>
      </c>
      <c r="O6993">
        <v>0.99996890000000005</v>
      </c>
      <c r="P6993">
        <v>2.332066E-2</v>
      </c>
      <c r="Q6993">
        <v>1.171109E-2</v>
      </c>
      <c r="R6993">
        <v>0.99965939999999998</v>
      </c>
      <c r="S6993">
        <v>0.32911679999999999</v>
      </c>
      <c r="T6993">
        <v>-3.5255309999999998E-2</v>
      </c>
      <c r="U6993">
        <v>2.9937130000000001</v>
      </c>
      <c r="V6993">
        <v>2.5307799999999998E-2</v>
      </c>
      <c r="W6993">
        <v>1.933961E-2</v>
      </c>
      <c r="X6993">
        <v>0.99949259999999995</v>
      </c>
      <c r="Y6993">
        <v>0.1112486</v>
      </c>
      <c r="Z6993">
        <v>-1.17038E-2</v>
      </c>
      <c r="AA6993">
        <v>0.99372369999999999</v>
      </c>
      <c r="AB6993">
        <v>35</v>
      </c>
      <c r="AC6993">
        <v>9.6040000000000099</v>
      </c>
      <c r="AD6993">
        <v>-1.02870664</v>
      </c>
      <c r="AE6993">
        <v>86.999079999999907</v>
      </c>
      <c r="AF6993">
        <v>9.7758131627414109</v>
      </c>
      <c r="AG6993">
        <v>-1.02870664</v>
      </c>
      <c r="AH6993">
        <v>86.967776662386498</v>
      </c>
      <c r="AI6993">
        <v>90.673456042643494</v>
      </c>
      <c r="AJ6993">
        <v>83.586458130434494</v>
      </c>
      <c r="AK6993">
        <v>87.521534138420705</v>
      </c>
      <c r="AL6993">
        <v>88.891852863292996</v>
      </c>
      <c r="AM6993">
        <v>88.549543678999896</v>
      </c>
      <c r="AN6993">
        <v>0.99999998135527501</v>
      </c>
    </row>
    <row r="6994" spans="1:40" x14ac:dyDescent="0.25">
      <c r="A6994" t="str">
        <f>"20190312173101830"</f>
        <v>20190312173101830</v>
      </c>
      <c r="B6994" t="str">
        <f>"1552383061824920"</f>
        <v>1552383061824920</v>
      </c>
      <c r="C6994" t="s">
        <v>40</v>
      </c>
      <c r="D6994">
        <v>3.0320879999999999</v>
      </c>
      <c r="E6994">
        <v>0.53307990000000005</v>
      </c>
      <c r="F6994" t="s">
        <v>41</v>
      </c>
      <c r="G6994">
        <v>-177.66229999999999</v>
      </c>
      <c r="H6994">
        <v>7.9986899999999903E-2</v>
      </c>
      <c r="I6994">
        <v>114.50320000000001</v>
      </c>
      <c r="J6994">
        <v>-187.45660000000001</v>
      </c>
      <c r="K6994">
        <v>1.108687</v>
      </c>
      <c r="L6994">
        <v>26.074369999999998</v>
      </c>
      <c r="M6994">
        <v>-2.0657179999999998E-3</v>
      </c>
      <c r="N6994">
        <v>0</v>
      </c>
      <c r="O6994">
        <v>0.99996890000000005</v>
      </c>
      <c r="P6994">
        <v>2.384845E-2</v>
      </c>
      <c r="Q6994">
        <v>1.2304839999999999E-2</v>
      </c>
      <c r="R6994">
        <v>0.99963990000000003</v>
      </c>
      <c r="S6994">
        <v>0.33027649999999997</v>
      </c>
      <c r="T6994">
        <v>-3.4692050000000002E-2</v>
      </c>
      <c r="U6994">
        <v>2.9937130000000001</v>
      </c>
      <c r="V6994">
        <v>2.5910579999999999E-2</v>
      </c>
      <c r="W6994">
        <v>1.991981E-2</v>
      </c>
      <c r="X6994">
        <v>0.99946579999999996</v>
      </c>
      <c r="Y6994">
        <v>0.11170389999999999</v>
      </c>
      <c r="Z6994">
        <v>-1.151629E-2</v>
      </c>
      <c r="AA6994">
        <v>0.99367479999999997</v>
      </c>
      <c r="AB6994">
        <v>35</v>
      </c>
      <c r="AC6994">
        <v>9.7943000000000193</v>
      </c>
      <c r="AD6994">
        <v>-1.0287001</v>
      </c>
      <c r="AE6994">
        <v>88.428830000000005</v>
      </c>
      <c r="AF6994">
        <v>9.9756197919946494</v>
      </c>
      <c r="AG6994">
        <v>-1.0287001</v>
      </c>
      <c r="AH6994">
        <v>88.396590850410306</v>
      </c>
      <c r="AI6994">
        <v>90.662534609066299</v>
      </c>
      <c r="AJ6994">
        <v>83.561369857676894</v>
      </c>
      <c r="AK6994">
        <v>88.963635762625103</v>
      </c>
      <c r="AL6994">
        <v>88.858603489850097</v>
      </c>
      <c r="AM6994">
        <v>88.514972265995993</v>
      </c>
      <c r="AN6994">
        <v>1.000000021178</v>
      </c>
    </row>
    <row r="6995" spans="1:40" x14ac:dyDescent="0.25">
      <c r="A6995" t="str">
        <f>"20190312173101855"</f>
        <v>20190312173101855</v>
      </c>
      <c r="B6995" t="str">
        <f>"1552383061844440"</f>
        <v>1552383061844440</v>
      </c>
      <c r="C6995" t="s">
        <v>40</v>
      </c>
      <c r="D6995">
        <v>3.0517280000000002</v>
      </c>
      <c r="E6995">
        <v>0.53320849999999997</v>
      </c>
      <c r="F6995" t="s">
        <v>41</v>
      </c>
      <c r="G6995">
        <v>-177.12389999999999</v>
      </c>
      <c r="H6995">
        <v>7.9986760000000004E-2</v>
      </c>
      <c r="I6995">
        <v>118.9811</v>
      </c>
      <c r="J6995">
        <v>-187.45740000000001</v>
      </c>
      <c r="K6995">
        <v>1.1086879999999999</v>
      </c>
      <c r="L6995">
        <v>26.451930000000001</v>
      </c>
      <c r="M6995">
        <v>-2.1485739999999999E-3</v>
      </c>
      <c r="N6995">
        <v>0</v>
      </c>
      <c r="O6995">
        <v>0.99996879999999999</v>
      </c>
      <c r="P6995">
        <v>2.412361E-2</v>
      </c>
      <c r="Q6995">
        <v>1.265793E-2</v>
      </c>
      <c r="R6995">
        <v>0.99962879999999998</v>
      </c>
      <c r="S6995">
        <v>0.33293149999999999</v>
      </c>
      <c r="T6995">
        <v>-3.3145899999999999E-2</v>
      </c>
      <c r="U6995">
        <v>2.9935610000000001</v>
      </c>
      <c r="V6995">
        <v>2.626846E-2</v>
      </c>
      <c r="W6995">
        <v>2.026068E-2</v>
      </c>
      <c r="X6995">
        <v>0.99944960000000005</v>
      </c>
      <c r="Y6995">
        <v>0.1126629</v>
      </c>
      <c r="Z6995">
        <v>-1.100252E-2</v>
      </c>
      <c r="AA6995">
        <v>0.99357240000000002</v>
      </c>
      <c r="AB6995">
        <v>35</v>
      </c>
      <c r="AC6995">
        <v>10.333500000000001</v>
      </c>
      <c r="AD6995">
        <v>-1.02870124</v>
      </c>
      <c r="AE6995">
        <v>92.529169999999993</v>
      </c>
      <c r="AF6995">
        <v>10.5310020539939</v>
      </c>
      <c r="AG6995">
        <v>-1.02870124</v>
      </c>
      <c r="AH6995">
        <v>92.495461801600499</v>
      </c>
      <c r="AI6995">
        <v>90.633106902010894</v>
      </c>
      <c r="AJ6995">
        <v>83.504601412136793</v>
      </c>
      <c r="AK6995">
        <v>93.098714730084893</v>
      </c>
      <c r="AL6995">
        <v>88.839069128076702</v>
      </c>
      <c r="AM6995">
        <v>88.494445871105199</v>
      </c>
      <c r="AN6995">
        <v>1.0000000150424899</v>
      </c>
    </row>
    <row r="6996" spans="1:40" x14ac:dyDescent="0.25">
      <c r="A6996" t="str">
        <f>"20190312173101877"</f>
        <v>20190312173101877</v>
      </c>
      <c r="B6996" t="str">
        <f>"1552383061874696"</f>
        <v>1552383061874696</v>
      </c>
      <c r="C6996" t="s">
        <v>40</v>
      </c>
      <c r="D6996">
        <v>3.026532</v>
      </c>
      <c r="E6996">
        <v>0.5333</v>
      </c>
      <c r="F6996" t="s">
        <v>64</v>
      </c>
      <c r="G6996">
        <v>-177.1026</v>
      </c>
      <c r="H6996">
        <v>0.1212578</v>
      </c>
      <c r="I6996">
        <v>119.01949999999999</v>
      </c>
      <c r="J6996">
        <v>-187.45830000000001</v>
      </c>
      <c r="K6996">
        <v>1.1086879999999999</v>
      </c>
      <c r="L6996">
        <v>26.801939999999998</v>
      </c>
      <c r="M6996">
        <v>-2.2254620000000001E-3</v>
      </c>
      <c r="N6996">
        <v>0</v>
      </c>
      <c r="O6996">
        <v>0.99996870000000004</v>
      </c>
      <c r="P6996">
        <v>2.4360110000000001E-2</v>
      </c>
      <c r="Q6996">
        <v>1.329841E-2</v>
      </c>
      <c r="R6996">
        <v>0.99961480000000003</v>
      </c>
      <c r="S6996">
        <v>0.33485409999999999</v>
      </c>
      <c r="T6996">
        <v>-3.1931399999999999E-2</v>
      </c>
      <c r="U6996">
        <v>2.993439</v>
      </c>
      <c r="V6996">
        <v>2.6581670000000002E-2</v>
      </c>
      <c r="W6996">
        <v>2.0891400000000001E-2</v>
      </c>
      <c r="X6996">
        <v>0.99942830000000005</v>
      </c>
      <c r="Y6996">
        <v>0.11337460000000001</v>
      </c>
      <c r="Z6996">
        <v>-1.059905E-2</v>
      </c>
      <c r="AA6996">
        <v>0.99349580000000004</v>
      </c>
      <c r="AB6996">
        <v>35</v>
      </c>
      <c r="AC6996">
        <v>10.355700000000001</v>
      </c>
      <c r="AD6996">
        <v>-0.98743020000000004</v>
      </c>
      <c r="AE6996">
        <v>92.217560000000006</v>
      </c>
      <c r="AF6996">
        <v>10.559711319758099</v>
      </c>
      <c r="AG6996">
        <v>-0.98743020000000004</v>
      </c>
      <c r="AH6996">
        <v>92.183847207779394</v>
      </c>
      <c r="AI6996">
        <v>90.609715138740697</v>
      </c>
      <c r="AJ6996">
        <v>83.465219797838103</v>
      </c>
      <c r="AK6996">
        <v>92.791940423636603</v>
      </c>
      <c r="AL6996">
        <v>88.802923841298394</v>
      </c>
      <c r="AM6996">
        <v>88.476470466778906</v>
      </c>
      <c r="AN6996">
        <v>0.99999998130741896</v>
      </c>
    </row>
    <row r="6997" spans="1:40" x14ac:dyDescent="0.25">
      <c r="A6997" t="str">
        <f>"20190312173101898"</f>
        <v>20190312173101898</v>
      </c>
      <c r="B6997" t="str">
        <f>"1552383061894279"</f>
        <v>1552383061894279</v>
      </c>
      <c r="C6997" t="s">
        <v>40</v>
      </c>
      <c r="D6997">
        <v>3.0716920000000001</v>
      </c>
      <c r="E6997">
        <v>0.5333793</v>
      </c>
      <c r="F6997" t="s">
        <v>64</v>
      </c>
      <c r="G6997">
        <v>-177.0977</v>
      </c>
      <c r="H6997">
        <v>0.15911149999999999</v>
      </c>
      <c r="I6997">
        <v>119.01949999999999</v>
      </c>
      <c r="J6997">
        <v>-187.45910000000001</v>
      </c>
      <c r="K6997">
        <v>1.108689</v>
      </c>
      <c r="L6997">
        <v>27.139099999999999</v>
      </c>
      <c r="M6997">
        <v>-2.2995329999999999E-3</v>
      </c>
      <c r="N6997">
        <v>0</v>
      </c>
      <c r="O6997">
        <v>0.99996859999999999</v>
      </c>
      <c r="P6997">
        <v>2.459923E-2</v>
      </c>
      <c r="Q6997">
        <v>1.393263E-2</v>
      </c>
      <c r="R6997">
        <v>0.9996003</v>
      </c>
      <c r="S6997">
        <v>0.33630369999999998</v>
      </c>
      <c r="T6997">
        <v>-3.082323E-2</v>
      </c>
      <c r="U6997">
        <v>2.9933779999999999</v>
      </c>
      <c r="V6997">
        <v>2.6894700000000001E-2</v>
      </c>
      <c r="W6997">
        <v>2.1519259999999998E-2</v>
      </c>
      <c r="X6997">
        <v>0.99940660000000003</v>
      </c>
      <c r="Y6997">
        <v>0.1139259</v>
      </c>
      <c r="Z6997">
        <v>-1.023086E-2</v>
      </c>
      <c r="AA6997">
        <v>0.9934366</v>
      </c>
      <c r="AB6997">
        <v>35</v>
      </c>
      <c r="AC6997">
        <v>10.3614</v>
      </c>
      <c r="AD6997">
        <v>-0.94957749999999996</v>
      </c>
      <c r="AE6997">
        <v>91.880399999999995</v>
      </c>
      <c r="AF6997">
        <v>10.571545715603699</v>
      </c>
      <c r="AG6997">
        <v>-0.94957749999999996</v>
      </c>
      <c r="AH6997">
        <v>91.846642974637405</v>
      </c>
      <c r="AI6997">
        <v>90.588459545054505</v>
      </c>
      <c r="AJ6997">
        <v>83.434150650064495</v>
      </c>
      <c r="AK6997">
        <v>92.457909893940993</v>
      </c>
      <c r="AL6997">
        <v>88.766942016749397</v>
      </c>
      <c r="AM6997">
        <v>88.458504291467804</v>
      </c>
      <c r="AN6997">
        <v>0.99999997778129801</v>
      </c>
    </row>
    <row r="6998" spans="1:40" x14ac:dyDescent="0.25">
      <c r="A6998" t="str">
        <f>"20190312173101920"</f>
        <v>20190312173101920</v>
      </c>
      <c r="B6998" t="str">
        <f>"1552383061914774"</f>
        <v>1552383061914774</v>
      </c>
      <c r="C6998" t="s">
        <v>40</v>
      </c>
      <c r="D6998">
        <v>3.0347559999999998</v>
      </c>
      <c r="E6998">
        <v>0.53346870000000002</v>
      </c>
      <c r="F6998" t="s">
        <v>64</v>
      </c>
      <c r="G6998">
        <v>-177.08760000000001</v>
      </c>
      <c r="H6998">
        <v>0.20043130000000001</v>
      </c>
      <c r="I6998">
        <v>119.1431</v>
      </c>
      <c r="J6998">
        <v>-187.46</v>
      </c>
      <c r="K6998">
        <v>1.1086849999999999</v>
      </c>
      <c r="L6998">
        <v>27.491820000000001</v>
      </c>
      <c r="M6998">
        <v>-2.3768029999999998E-3</v>
      </c>
      <c r="N6998">
        <v>0</v>
      </c>
      <c r="O6998">
        <v>0.99996839999999998</v>
      </c>
      <c r="P6998">
        <v>2.4551170000000001E-2</v>
      </c>
      <c r="Q6998">
        <v>1.4582909999999999E-2</v>
      </c>
      <c r="R6998">
        <v>0.99959219999999904</v>
      </c>
      <c r="S6998">
        <v>0.33743289999999998</v>
      </c>
      <c r="T6998">
        <v>-2.9549840000000001E-2</v>
      </c>
      <c r="U6998">
        <v>2.9933169999999998</v>
      </c>
      <c r="V6998">
        <v>2.6923740000000002E-2</v>
      </c>
      <c r="W6998">
        <v>2.2164260000000002E-2</v>
      </c>
      <c r="X6998">
        <v>0.99939169999999999</v>
      </c>
      <c r="Y6998">
        <v>0.1143754</v>
      </c>
      <c r="Z6998">
        <v>-9.8079670000000008E-3</v>
      </c>
      <c r="AA6998">
        <v>0.99338919999999997</v>
      </c>
      <c r="AB6998">
        <v>35</v>
      </c>
      <c r="AC6998">
        <v>10.372400000000001</v>
      </c>
      <c r="AD6998">
        <v>-0.90825370000000005</v>
      </c>
      <c r="AE6998">
        <v>91.65128</v>
      </c>
      <c r="AF6998">
        <v>10.5891872371114</v>
      </c>
      <c r="AG6998">
        <v>-0.90825370000000005</v>
      </c>
      <c r="AH6998">
        <v>91.617483655803696</v>
      </c>
      <c r="AI6998">
        <v>90.564229489541802</v>
      </c>
      <c r="AJ6998">
        <v>83.406984215690798</v>
      </c>
      <c r="AK6998">
        <v>92.231876932802507</v>
      </c>
      <c r="AL6998">
        <v>88.729977391713206</v>
      </c>
      <c r="AM6998">
        <v>88.456817644250705</v>
      </c>
      <c r="AN6998">
        <v>0.99999995611291104</v>
      </c>
    </row>
    <row r="6999" spans="1:40" x14ac:dyDescent="0.25">
      <c r="A6999" t="str">
        <f>"20190312173101943"</f>
        <v>20190312173101943</v>
      </c>
      <c r="B6999" t="str">
        <f>"1552383061934294"</f>
        <v>1552383061934294</v>
      </c>
      <c r="C6999" t="s">
        <v>40</v>
      </c>
      <c r="D6999">
        <v>3.0626869999999999</v>
      </c>
      <c r="E6999">
        <v>0.53358099999999997</v>
      </c>
      <c r="F6999" t="s">
        <v>51</v>
      </c>
      <c r="G6999">
        <v>-174.26499999999999</v>
      </c>
      <c r="H6999" s="1">
        <v>-7.0435530000000004E-6</v>
      </c>
      <c r="I6999">
        <v>144.35900000000001</v>
      </c>
      <c r="J6999">
        <v>-187.46090000000001</v>
      </c>
      <c r="K6999">
        <v>1.108679</v>
      </c>
      <c r="L6999">
        <v>27.840910000000001</v>
      </c>
      <c r="M6999">
        <v>-2.453607E-3</v>
      </c>
      <c r="N6999">
        <v>0</v>
      </c>
      <c r="O6999">
        <v>0.99996830000000003</v>
      </c>
      <c r="P6999">
        <v>2.4103389999999999E-2</v>
      </c>
      <c r="Q6999">
        <v>1.5166249999999999E-2</v>
      </c>
      <c r="R6999">
        <v>0.99959439999999999</v>
      </c>
      <c r="S6999">
        <v>0.33796690000000001</v>
      </c>
      <c r="T6999">
        <v>-2.8397200000000001E-2</v>
      </c>
      <c r="U6999">
        <v>2.993347</v>
      </c>
      <c r="V6999">
        <v>2.6552650000000001E-2</v>
      </c>
      <c r="W6999">
        <v>2.274491E-2</v>
      </c>
      <c r="X6999">
        <v>0.99938859999999996</v>
      </c>
      <c r="Y6999">
        <v>0.11462600000000001</v>
      </c>
      <c r="Z6999">
        <v>-9.4251000000000005E-3</v>
      </c>
      <c r="AA6999">
        <v>0.99336400000000002</v>
      </c>
      <c r="AB6999">
        <v>35</v>
      </c>
      <c r="AC6999">
        <v>13.1959</v>
      </c>
      <c r="AD6999">
        <v>-1.1086860435529999</v>
      </c>
      <c r="AE6999">
        <v>116.51809</v>
      </c>
      <c r="AF6999">
        <v>13.480553035235999</v>
      </c>
      <c r="AG6999">
        <v>-1.1086860435529999</v>
      </c>
      <c r="AH6999">
        <v>116.47494891191</v>
      </c>
      <c r="AI6999">
        <v>90.5417467475731</v>
      </c>
      <c r="AJ6999">
        <v>83.398086669577495</v>
      </c>
      <c r="AK6999">
        <v>117.257700041025</v>
      </c>
      <c r="AL6999">
        <v>88.696700228325795</v>
      </c>
      <c r="AM6999">
        <v>88.4780725400135</v>
      </c>
      <c r="AN6999">
        <v>0.99999997398144402</v>
      </c>
    </row>
    <row r="7000" spans="1:40" x14ac:dyDescent="0.25">
      <c r="A7000" t="str">
        <f>"20190312173101966"</f>
        <v>20190312173101966</v>
      </c>
      <c r="B7000" t="str">
        <f>"1552383061954793"</f>
        <v>1552383061954793</v>
      </c>
      <c r="C7000" t="s">
        <v>40</v>
      </c>
      <c r="D7000">
        <v>3.0889190000000002</v>
      </c>
      <c r="E7000">
        <v>0.53369639999999996</v>
      </c>
      <c r="F7000" t="s">
        <v>64</v>
      </c>
      <c r="G7000">
        <v>-177.1506</v>
      </c>
      <c r="H7000">
        <v>0.27089960000000002</v>
      </c>
      <c r="I7000">
        <v>119.2577</v>
      </c>
      <c r="J7000">
        <v>-187.46190000000001</v>
      </c>
      <c r="K7000">
        <v>1.1086800000000001</v>
      </c>
      <c r="L7000">
        <v>28.215669999999999</v>
      </c>
      <c r="M7000">
        <v>-2.535823E-3</v>
      </c>
      <c r="N7000">
        <v>0</v>
      </c>
      <c r="O7000">
        <v>0.99996810000000003</v>
      </c>
      <c r="P7000">
        <v>2.384735E-2</v>
      </c>
      <c r="Q7000">
        <v>1.5680880000000001E-2</v>
      </c>
      <c r="R7000">
        <v>0.99959260000000005</v>
      </c>
      <c r="S7000">
        <v>0.33761600000000003</v>
      </c>
      <c r="T7000">
        <v>-2.7433630000000001E-2</v>
      </c>
      <c r="U7000">
        <v>2.9935</v>
      </c>
      <c r="V7000">
        <v>2.637869E-2</v>
      </c>
      <c r="W7000">
        <v>2.3258319999999999E-2</v>
      </c>
      <c r="X7000">
        <v>0.99938139999999998</v>
      </c>
      <c r="Y7000">
        <v>0.11458740000000001</v>
      </c>
      <c r="Z7000">
        <v>-9.1049349999999998E-3</v>
      </c>
      <c r="AA7000">
        <v>0.99337140000000002</v>
      </c>
      <c r="AB7000">
        <v>36</v>
      </c>
      <c r="AC7000">
        <v>10.311299999999999</v>
      </c>
      <c r="AD7000">
        <v>-0.83778039999999998</v>
      </c>
      <c r="AE7000">
        <v>91.042029999999997</v>
      </c>
      <c r="AF7000">
        <v>10.5412586215886</v>
      </c>
      <c r="AG7000">
        <v>-0.83778039999999998</v>
      </c>
      <c r="AH7000">
        <v>91.007980006763106</v>
      </c>
      <c r="AI7000">
        <v>90.523922862815297</v>
      </c>
      <c r="AJ7000">
        <v>83.392994823604198</v>
      </c>
      <c r="AK7000">
        <v>91.620262138007604</v>
      </c>
      <c r="AL7000">
        <v>88.667276229257794</v>
      </c>
      <c r="AM7000">
        <v>88.488027934404499</v>
      </c>
      <c r="AN7000">
        <v>0.99999998370064902</v>
      </c>
    </row>
    <row r="7001" spans="1:40" x14ac:dyDescent="0.25">
      <c r="A7001" t="str">
        <f>"20190312173101989"</f>
        <v>20190312173101989</v>
      </c>
      <c r="B7001" t="str">
        <f>"1552383061984070"</f>
        <v>1552383061984070</v>
      </c>
      <c r="C7001" t="s">
        <v>40</v>
      </c>
      <c r="D7001">
        <v>3.0491329999999999</v>
      </c>
      <c r="E7001">
        <v>0.53383740000000002</v>
      </c>
      <c r="F7001" t="s">
        <v>64</v>
      </c>
      <c r="G7001">
        <v>-177.18979999999999</v>
      </c>
      <c r="H7001">
        <v>0.29902990000000002</v>
      </c>
      <c r="I7001">
        <v>119.264</v>
      </c>
      <c r="J7001">
        <v>-187.46289999999999</v>
      </c>
      <c r="K7001">
        <v>1.1086849999999999</v>
      </c>
      <c r="L7001">
        <v>28.58475</v>
      </c>
      <c r="M7001">
        <v>-2.6167679999999998E-3</v>
      </c>
      <c r="N7001">
        <v>0</v>
      </c>
      <c r="O7001">
        <v>0.99996790000000002</v>
      </c>
      <c r="P7001">
        <v>2.3302059999999999E-2</v>
      </c>
      <c r="Q7001">
        <v>1.6441919999999999E-2</v>
      </c>
      <c r="R7001">
        <v>0.99959330000000002</v>
      </c>
      <c r="S7001">
        <v>0.33773799999999998</v>
      </c>
      <c r="T7001">
        <v>-2.6620629999999999E-2</v>
      </c>
      <c r="U7001">
        <v>2.9935909999999999</v>
      </c>
      <c r="V7001">
        <v>2.591417E-2</v>
      </c>
      <c r="W7001">
        <v>2.4020570000000002E-2</v>
      </c>
      <c r="X7001">
        <v>0.99937549999999997</v>
      </c>
      <c r="Y7001">
        <v>0.11470470000000001</v>
      </c>
      <c r="Z7001">
        <v>-8.8347749999999996E-3</v>
      </c>
      <c r="AA7001">
        <v>0.99336029999999997</v>
      </c>
      <c r="AB7001">
        <v>36</v>
      </c>
      <c r="AC7001">
        <v>10.273099999999999</v>
      </c>
      <c r="AD7001">
        <v>-0.80965509999999996</v>
      </c>
      <c r="AE7001">
        <v>90.679249999999996</v>
      </c>
      <c r="AF7001">
        <v>10.5095309546333</v>
      </c>
      <c r="AG7001">
        <v>-0.80965509999999996</v>
      </c>
      <c r="AH7001">
        <v>90.644921508634695</v>
      </c>
      <c r="AI7001">
        <v>90.508356358934094</v>
      </c>
      <c r="AJ7001">
        <v>83.386555211572798</v>
      </c>
      <c r="AK7001">
        <v>91.255726272787399</v>
      </c>
      <c r="AL7001">
        <v>88.623590280232406</v>
      </c>
      <c r="AM7001">
        <v>88.5146324621833</v>
      </c>
      <c r="AN7001">
        <v>0.99999996099508104</v>
      </c>
    </row>
    <row r="7002" spans="1:40" x14ac:dyDescent="0.25">
      <c r="A7002" t="str">
        <f>"20190312173102010"</f>
        <v>20190312173102010</v>
      </c>
      <c r="B7002" t="str">
        <f>"1552383062004099"</f>
        <v>1552383062004099</v>
      </c>
      <c r="C7002" t="s">
        <v>40</v>
      </c>
      <c r="D7002">
        <v>3.1034229999999998</v>
      </c>
      <c r="E7002">
        <v>0.53384240000000005</v>
      </c>
      <c r="F7002" t="s">
        <v>64</v>
      </c>
      <c r="G7002">
        <v>-177.24780000000001</v>
      </c>
      <c r="H7002">
        <v>0.33396969999999998</v>
      </c>
      <c r="I7002">
        <v>119.2718</v>
      </c>
      <c r="J7002">
        <v>-187.46379999999999</v>
      </c>
      <c r="K7002">
        <v>1.108687</v>
      </c>
      <c r="L7002">
        <v>28.923580000000001</v>
      </c>
      <c r="M7002">
        <v>-2.6910229999999999E-3</v>
      </c>
      <c r="N7002">
        <v>0</v>
      </c>
      <c r="O7002">
        <v>0.99996759999999996</v>
      </c>
      <c r="P7002">
        <v>2.3115670000000001E-2</v>
      </c>
      <c r="Q7002">
        <v>1.736882E-2</v>
      </c>
      <c r="R7002">
        <v>0.99958190000000002</v>
      </c>
      <c r="S7002">
        <v>0.3372192</v>
      </c>
      <c r="T7002">
        <v>-2.557504E-2</v>
      </c>
      <c r="U7002">
        <v>2.9937740000000002</v>
      </c>
      <c r="V7002">
        <v>2.580182E-2</v>
      </c>
      <c r="W7002">
        <v>2.4948700000000001E-2</v>
      </c>
      <c r="X7002">
        <v>0.99935569999999896</v>
      </c>
      <c r="Y7002">
        <v>0.1146021</v>
      </c>
      <c r="Z7002">
        <v>-8.4874080000000001E-3</v>
      </c>
      <c r="AA7002">
        <v>0.99337520000000001</v>
      </c>
      <c r="AB7002">
        <v>36</v>
      </c>
      <c r="AC7002">
        <v>10.2159999999999</v>
      </c>
      <c r="AD7002">
        <v>-0.77471729999999905</v>
      </c>
      <c r="AE7002">
        <v>90.348219999999998</v>
      </c>
      <c r="AF7002">
        <v>10.4583398794519</v>
      </c>
      <c r="AG7002">
        <v>-0.77471729999999905</v>
      </c>
      <c r="AH7002">
        <v>90.313843883705999</v>
      </c>
      <c r="AI7002">
        <v>90.4882120955902</v>
      </c>
      <c r="AJ7002">
        <v>83.394571399290101</v>
      </c>
      <c r="AK7002">
        <v>90.920665731061803</v>
      </c>
      <c r="AL7002">
        <v>88.570396443460297</v>
      </c>
      <c r="AM7002">
        <v>88.521040067525206</v>
      </c>
      <c r="AN7002">
        <v>0.99999999333474598</v>
      </c>
    </row>
    <row r="7003" spans="1:40" x14ac:dyDescent="0.25">
      <c r="A7003" t="str">
        <f>"20190312173102032"</f>
        <v>20190312173102032</v>
      </c>
      <c r="B7003" t="str">
        <f>"1552383062024594"</f>
        <v>1552383062024594</v>
      </c>
      <c r="C7003" t="s">
        <v>40</v>
      </c>
      <c r="D7003">
        <v>3.11578</v>
      </c>
      <c r="E7003">
        <v>0.52991359999999998</v>
      </c>
      <c r="F7003" t="s">
        <v>64</v>
      </c>
      <c r="G7003">
        <v>-177.30459999999999</v>
      </c>
      <c r="H7003">
        <v>0.413045</v>
      </c>
      <c r="I7003">
        <v>119.2895</v>
      </c>
      <c r="J7003">
        <v>-187.4648</v>
      </c>
      <c r="K7003">
        <v>1.108687</v>
      </c>
      <c r="L7003">
        <v>29.27045</v>
      </c>
      <c r="M7003">
        <v>-2.7669840000000001E-3</v>
      </c>
      <c r="N7003">
        <v>0</v>
      </c>
      <c r="O7003">
        <v>0.99996750000000001</v>
      </c>
      <c r="P7003">
        <v>2.3125940000000001E-2</v>
      </c>
      <c r="Q7003">
        <v>1.7868189999999999E-2</v>
      </c>
      <c r="R7003">
        <v>0.99957289999999999</v>
      </c>
      <c r="S7003">
        <v>0.3365784</v>
      </c>
      <c r="T7003">
        <v>-2.304697E-2</v>
      </c>
      <c r="U7003">
        <v>2.9938660000000001</v>
      </c>
      <c r="V7003">
        <v>2.588789E-2</v>
      </c>
      <c r="W7003">
        <v>2.5446360000000001E-2</v>
      </c>
      <c r="X7003">
        <v>0.99934100000000003</v>
      </c>
      <c r="Y7003">
        <v>0.11446489999999999</v>
      </c>
      <c r="Z7003">
        <v>-7.6484040000000001E-3</v>
      </c>
      <c r="AA7003">
        <v>0.9933978</v>
      </c>
      <c r="AB7003">
        <v>36</v>
      </c>
      <c r="AC7003">
        <v>10.1602</v>
      </c>
      <c r="AD7003">
        <v>-0.69564199999999998</v>
      </c>
      <c r="AE7003">
        <v>90.019049999999993</v>
      </c>
      <c r="AF7003">
        <v>10.4086357556771</v>
      </c>
      <c r="AG7003">
        <v>-0.69564199999999998</v>
      </c>
      <c r="AH7003">
        <v>89.9852853452266</v>
      </c>
      <c r="AI7003">
        <v>90.439989491020199</v>
      </c>
      <c r="AJ7003">
        <v>83.401895620391699</v>
      </c>
      <c r="AK7003">
        <v>90.587941773441301</v>
      </c>
      <c r="AL7003">
        <v>88.541873676801103</v>
      </c>
      <c r="AM7003">
        <v>88.516086920740904</v>
      </c>
      <c r="AN7003">
        <v>1.0000000671834399</v>
      </c>
    </row>
    <row r="7004" spans="1:40" x14ac:dyDescent="0.25">
      <c r="A7004" t="str">
        <f>"20190312173102056"</f>
        <v>20190312173102056</v>
      </c>
      <c r="B7004" t="str">
        <f>"1552383062044113"</f>
        <v>1552383062044113</v>
      </c>
      <c r="C7004" t="s">
        <v>40</v>
      </c>
      <c r="D7004">
        <v>3.0918009999999998</v>
      </c>
      <c r="E7004">
        <v>0.52999200000000002</v>
      </c>
      <c r="F7004" t="s">
        <v>41</v>
      </c>
      <c r="G7004">
        <v>-179.95779999999999</v>
      </c>
      <c r="H7004">
        <v>1.481448E-2</v>
      </c>
      <c r="I7004">
        <v>103.09690000000001</v>
      </c>
      <c r="J7004">
        <v>-187.46600000000001</v>
      </c>
      <c r="K7004">
        <v>1.1086849999999999</v>
      </c>
      <c r="L7004">
        <v>29.659389999999998</v>
      </c>
      <c r="M7004">
        <v>-2.8519169999999998E-3</v>
      </c>
      <c r="N7004">
        <v>0</v>
      </c>
      <c r="O7004">
        <v>0.99996719999999895</v>
      </c>
      <c r="P7004">
        <v>2.2914150000000001E-2</v>
      </c>
      <c r="Q7004">
        <v>1.8121419999999999E-2</v>
      </c>
      <c r="R7004">
        <v>0.99957320000000005</v>
      </c>
      <c r="S7004">
        <v>0.30455019999999999</v>
      </c>
      <c r="T7004">
        <v>-4.4376730000000003E-2</v>
      </c>
      <c r="U7004">
        <v>2.9950260000000002</v>
      </c>
      <c r="V7004">
        <v>2.576094E-2</v>
      </c>
      <c r="W7004">
        <v>2.5696139999999999E-2</v>
      </c>
      <c r="X7004">
        <v>0.99933780000000005</v>
      </c>
      <c r="Y7004">
        <v>0.1039896</v>
      </c>
      <c r="Z7004">
        <v>-1.473695E-2</v>
      </c>
      <c r="AA7004">
        <v>0.99446920000000005</v>
      </c>
      <c r="AB7004">
        <v>36</v>
      </c>
      <c r="AC7004">
        <v>7.50819999999998</v>
      </c>
      <c r="AD7004">
        <v>-1.0938705200000001</v>
      </c>
      <c r="AE7004">
        <v>73.437510000000003</v>
      </c>
      <c r="AF7004">
        <v>7.7159189544772202</v>
      </c>
      <c r="AG7004">
        <v>-1.0938705200000001</v>
      </c>
      <c r="AH7004">
        <v>73.399681330793399</v>
      </c>
      <c r="AI7004">
        <v>90.849133797313002</v>
      </c>
      <c r="AJ7004">
        <v>83.998995090292098</v>
      </c>
      <c r="AK7004">
        <v>73.812229186555598</v>
      </c>
      <c r="AL7004">
        <v>88.527557525374604</v>
      </c>
      <c r="AM7004">
        <v>88.523355832992905</v>
      </c>
      <c r="AN7004">
        <v>0.99999997807471097</v>
      </c>
    </row>
    <row r="7005" spans="1:40" x14ac:dyDescent="0.25">
      <c r="A7005" t="str">
        <f>"20190312173102078"</f>
        <v>20190312173102078</v>
      </c>
      <c r="B7005" t="str">
        <f>"1552383062074369"</f>
        <v>1552383062074369</v>
      </c>
      <c r="C7005" t="s">
        <v>40</v>
      </c>
      <c r="D7005">
        <v>3.0971679999999999</v>
      </c>
      <c r="E7005">
        <v>0.52990729999999997</v>
      </c>
      <c r="F7005" t="s">
        <v>41</v>
      </c>
      <c r="G7005">
        <v>-180.1225</v>
      </c>
      <c r="H7005" s="1">
        <v>-3.3963110000000001E-6</v>
      </c>
      <c r="I7005">
        <v>101.9053</v>
      </c>
      <c r="J7005">
        <v>-187.46709999999999</v>
      </c>
      <c r="K7005">
        <v>1.108681</v>
      </c>
      <c r="L7005">
        <v>30.0152</v>
      </c>
      <c r="M7005">
        <v>-2.9297720000000002E-3</v>
      </c>
      <c r="N7005">
        <v>0</v>
      </c>
      <c r="O7005">
        <v>0.99996700000000005</v>
      </c>
      <c r="P7005">
        <v>2.2509560000000001E-2</v>
      </c>
      <c r="Q7005">
        <v>1.852813E-2</v>
      </c>
      <c r="R7005">
        <v>0.99957490000000004</v>
      </c>
      <c r="S7005">
        <v>0.30444339999999998</v>
      </c>
      <c r="T7005">
        <v>-4.596364E-2</v>
      </c>
      <c r="U7005">
        <v>2.9951479999999999</v>
      </c>
      <c r="V7005">
        <v>2.5434100000000001E-2</v>
      </c>
      <c r="W7005">
        <v>2.6099879999999999E-2</v>
      </c>
      <c r="X7005">
        <v>0.99933570000000005</v>
      </c>
      <c r="Y7005">
        <v>0.1040271</v>
      </c>
      <c r="Z7005">
        <v>-1.5263189999999999E-2</v>
      </c>
      <c r="AA7005">
        <v>0.99445740000000005</v>
      </c>
      <c r="AB7005">
        <v>36</v>
      </c>
      <c r="AC7005">
        <v>7.3445999999999803</v>
      </c>
      <c r="AD7005">
        <v>-1.108684396311</v>
      </c>
      <c r="AE7005">
        <v>71.890099999999904</v>
      </c>
      <c r="AF7005">
        <v>7.5534182073655201</v>
      </c>
      <c r="AG7005">
        <v>-1.108684396311</v>
      </c>
      <c r="AH7005">
        <v>71.851360502584299</v>
      </c>
      <c r="AI7005">
        <v>90.879174065339697</v>
      </c>
      <c r="AJ7005">
        <v>83.998788618774597</v>
      </c>
      <c r="AK7005">
        <v>72.255804706461504</v>
      </c>
      <c r="AL7005">
        <v>88.504417151966393</v>
      </c>
      <c r="AM7005">
        <v>88.542079445400304</v>
      </c>
      <c r="AN7005">
        <v>0.99999996923665602</v>
      </c>
    </row>
    <row r="7006" spans="1:40" x14ac:dyDescent="0.25">
      <c r="A7006" t="str">
        <f>"20190312173102099"</f>
        <v>20190312173102099</v>
      </c>
      <c r="B7006" t="str">
        <f>"1552383062094865"</f>
        <v>1552383062094865</v>
      </c>
      <c r="C7006" t="s">
        <v>40</v>
      </c>
      <c r="D7006">
        <v>3.0668310000000001</v>
      </c>
      <c r="E7006">
        <v>0.52994790000000003</v>
      </c>
      <c r="F7006" t="s">
        <v>41</v>
      </c>
      <c r="G7006">
        <v>-180.08349999999999</v>
      </c>
      <c r="H7006" s="1">
        <v>-3.82901E-6</v>
      </c>
      <c r="I7006">
        <v>103.1464</v>
      </c>
      <c r="J7006">
        <v>-187.46809999999999</v>
      </c>
      <c r="K7006">
        <v>1.108676</v>
      </c>
      <c r="L7006">
        <v>30.360440000000001</v>
      </c>
      <c r="M7006">
        <v>-3.0052939999999999E-3</v>
      </c>
      <c r="N7006">
        <v>0</v>
      </c>
      <c r="O7006">
        <v>0.99996680000000004</v>
      </c>
      <c r="P7006">
        <v>2.2429310000000001E-2</v>
      </c>
      <c r="Q7006">
        <v>1.910475E-2</v>
      </c>
      <c r="R7006">
        <v>0.99956590000000001</v>
      </c>
      <c r="S7006">
        <v>0.30241390000000001</v>
      </c>
      <c r="T7006">
        <v>-4.5409440000000002E-2</v>
      </c>
      <c r="U7006">
        <v>2.9952999999999999</v>
      </c>
      <c r="V7006">
        <v>2.5429190000000001E-2</v>
      </c>
      <c r="W7006">
        <v>2.6674750000000001E-2</v>
      </c>
      <c r="X7006">
        <v>0.99932069999999995</v>
      </c>
      <c r="Y7006">
        <v>0.10343040000000001</v>
      </c>
      <c r="Z7006">
        <v>-1.507941E-2</v>
      </c>
      <c r="AA7006">
        <v>0.99452240000000003</v>
      </c>
      <c r="AB7006">
        <v>36</v>
      </c>
      <c r="AC7006">
        <v>7.3845999999999998</v>
      </c>
      <c r="AD7006">
        <v>-1.10867982901</v>
      </c>
      <c r="AE7006">
        <v>72.785959999999903</v>
      </c>
      <c r="AF7006">
        <v>7.60157042029594</v>
      </c>
      <c r="AG7006">
        <v>-1.10867982901</v>
      </c>
      <c r="AH7006">
        <v>72.746731349831194</v>
      </c>
      <c r="AI7006">
        <v>90.868408117522094</v>
      </c>
      <c r="AJ7006">
        <v>84.034604738252199</v>
      </c>
      <c r="AK7006">
        <v>73.151213017300506</v>
      </c>
      <c r="AL7006">
        <v>88.471468135960095</v>
      </c>
      <c r="AM7006">
        <v>88.542338902477297</v>
      </c>
      <c r="AN7006">
        <v>1.0000000237200499</v>
      </c>
    </row>
    <row r="7007" spans="1:40" x14ac:dyDescent="0.25">
      <c r="A7007" t="str">
        <f>"20190312173102121"</f>
        <v>20190312173102121</v>
      </c>
      <c r="B7007" t="str">
        <f>"1552383062114386"</f>
        <v>1552383062114386</v>
      </c>
      <c r="C7007" t="s">
        <v>40</v>
      </c>
      <c r="D7007">
        <v>3.0977749999999999</v>
      </c>
      <c r="E7007">
        <v>0.53006569999999997</v>
      </c>
      <c r="F7007" t="s">
        <v>41</v>
      </c>
      <c r="G7007">
        <v>-180.1242</v>
      </c>
      <c r="H7007" s="1">
        <v>-3.7855340000000001E-6</v>
      </c>
      <c r="I7007">
        <v>103.0504</v>
      </c>
      <c r="J7007">
        <v>-187.4693</v>
      </c>
      <c r="K7007">
        <v>1.1086769999999999</v>
      </c>
      <c r="L7007">
        <v>30.70956</v>
      </c>
      <c r="M7007">
        <v>-3.0813979999999999E-3</v>
      </c>
      <c r="N7007">
        <v>0</v>
      </c>
      <c r="O7007">
        <v>0.99996660000000004</v>
      </c>
      <c r="P7007">
        <v>2.238294E-2</v>
      </c>
      <c r="Q7007">
        <v>1.9661749999999999E-2</v>
      </c>
      <c r="R7007">
        <v>0.99955609999999995</v>
      </c>
      <c r="S7007">
        <v>0.3026276</v>
      </c>
      <c r="T7007">
        <v>-4.5686240000000003E-2</v>
      </c>
      <c r="U7007">
        <v>2.9953919999999998</v>
      </c>
      <c r="V7007">
        <v>2.545876E-2</v>
      </c>
      <c r="W7007">
        <v>2.723101E-2</v>
      </c>
      <c r="X7007">
        <v>0.99930490000000005</v>
      </c>
      <c r="Y7007">
        <v>0.1035732</v>
      </c>
      <c r="Z7007">
        <v>-1.5170680000000001E-2</v>
      </c>
      <c r="AA7007">
        <v>0.99450609999999995</v>
      </c>
      <c r="AB7007">
        <v>36</v>
      </c>
      <c r="AC7007">
        <v>7.3451000000000004</v>
      </c>
      <c r="AD7007">
        <v>-1.108680785534</v>
      </c>
      <c r="AE7007">
        <v>72.34084</v>
      </c>
      <c r="AF7007">
        <v>7.5662234138514499</v>
      </c>
      <c r="AG7007">
        <v>-1.108680785534</v>
      </c>
      <c r="AH7007">
        <v>72.301053934362102</v>
      </c>
      <c r="AI7007">
        <v>90.873747048408404</v>
      </c>
      <c r="AJ7007">
        <v>84.0258067988958</v>
      </c>
      <c r="AK7007">
        <v>72.704327999453099</v>
      </c>
      <c r="AL7007">
        <v>88.439585134482101</v>
      </c>
      <c r="AM7007">
        <v>88.540621549092606</v>
      </c>
      <c r="AN7007">
        <v>0.99999997976518296</v>
      </c>
    </row>
    <row r="7008" spans="1:40" x14ac:dyDescent="0.25">
      <c r="A7008" t="str">
        <f>"20190312173102144"</f>
        <v>20190312173102144</v>
      </c>
      <c r="B7008" t="str">
        <f>"1552383062134882"</f>
        <v>1552383062134882</v>
      </c>
      <c r="C7008" t="s">
        <v>40</v>
      </c>
      <c r="D7008">
        <v>3.1000800000000002</v>
      </c>
      <c r="E7008">
        <v>0.530254</v>
      </c>
      <c r="F7008" t="s">
        <v>41</v>
      </c>
      <c r="G7008">
        <v>-180.1062</v>
      </c>
      <c r="H7008" s="1">
        <v>-3.9205669999999999E-6</v>
      </c>
      <c r="I7008">
        <v>103.4331</v>
      </c>
      <c r="J7008">
        <v>-187.47049999999999</v>
      </c>
      <c r="K7008">
        <v>1.108673</v>
      </c>
      <c r="L7008">
        <v>31.093540000000001</v>
      </c>
      <c r="M7008">
        <v>-3.1654510000000001E-3</v>
      </c>
      <c r="N7008">
        <v>0</v>
      </c>
      <c r="O7008">
        <v>0.99996629999999997</v>
      </c>
      <c r="P7008">
        <v>2.240787E-2</v>
      </c>
      <c r="Q7008">
        <v>1.9993839999999999E-2</v>
      </c>
      <c r="R7008">
        <v>0.99954900000000002</v>
      </c>
      <c r="S7008">
        <v>0.30328369999999999</v>
      </c>
      <c r="T7008">
        <v>-4.5666100000000001E-2</v>
      </c>
      <c r="U7008">
        <v>2.9954529999999999</v>
      </c>
      <c r="V7008">
        <v>2.5567610000000001E-2</v>
      </c>
      <c r="W7008">
        <v>2.7564669999999999E-2</v>
      </c>
      <c r="X7008">
        <v>0.99929299999999999</v>
      </c>
      <c r="Y7008">
        <v>0.1038704</v>
      </c>
      <c r="Z7008">
        <v>-1.5163279999999999E-2</v>
      </c>
      <c r="AA7008">
        <v>0.9944752</v>
      </c>
      <c r="AB7008">
        <v>36</v>
      </c>
      <c r="AC7008">
        <v>7.3642999999999796</v>
      </c>
      <c r="AD7008">
        <v>-1.108676920567</v>
      </c>
      <c r="AE7008">
        <v>72.339559999999906</v>
      </c>
      <c r="AF7008">
        <v>7.5914921549333796</v>
      </c>
      <c r="AG7008">
        <v>-1.108676920567</v>
      </c>
      <c r="AH7008">
        <v>72.299077658776199</v>
      </c>
      <c r="AI7008">
        <v>90.8737359651345</v>
      </c>
      <c r="AJ7008">
        <v>84.005837288453506</v>
      </c>
      <c r="AK7008">
        <v>72.704996719361404</v>
      </c>
      <c r="AL7008">
        <v>88.420460687730795</v>
      </c>
      <c r="AM7008">
        <v>88.534367185242104</v>
      </c>
      <c r="AN7008">
        <v>1.0000000067811601</v>
      </c>
    </row>
    <row r="7009" spans="1:40" x14ac:dyDescent="0.25">
      <c r="A7009" t="str">
        <f>"20190312173102167"</f>
        <v>20190312173102167</v>
      </c>
      <c r="B7009" t="str">
        <f>"1552383062154401"</f>
        <v>1552383062154401</v>
      </c>
      <c r="C7009" t="s">
        <v>40</v>
      </c>
      <c r="D7009">
        <v>3.0948349999999998</v>
      </c>
      <c r="E7009">
        <v>0.53038069999999904</v>
      </c>
      <c r="F7009" t="s">
        <v>41</v>
      </c>
      <c r="G7009">
        <v>-180.05879999999999</v>
      </c>
      <c r="H7009" s="1">
        <v>-4.1145140000000001E-6</v>
      </c>
      <c r="I7009">
        <v>103.96599999999999</v>
      </c>
      <c r="J7009">
        <v>-187.4717</v>
      </c>
      <c r="K7009">
        <v>1.1086739999999999</v>
      </c>
      <c r="L7009">
        <v>31.45148</v>
      </c>
      <c r="M7009">
        <v>-3.2435659999999998E-3</v>
      </c>
      <c r="N7009">
        <v>0</v>
      </c>
      <c r="O7009">
        <v>0.99996609999999997</v>
      </c>
      <c r="P7009">
        <v>2.2232089999999999E-2</v>
      </c>
      <c r="Q7009">
        <v>2.0263349999999999E-2</v>
      </c>
      <c r="R7009">
        <v>0.99954750000000003</v>
      </c>
      <c r="S7009">
        <v>0.30465700000000001</v>
      </c>
      <c r="T7009">
        <v>-4.557216E-2</v>
      </c>
      <c r="U7009">
        <v>2.995422</v>
      </c>
      <c r="V7009">
        <v>2.5469840000000001E-2</v>
      </c>
      <c r="W7009">
        <v>2.7836840000000002E-2</v>
      </c>
      <c r="X7009">
        <v>0.99928799999999995</v>
      </c>
      <c r="Y7009">
        <v>0.1044004</v>
      </c>
      <c r="Z7009">
        <v>-1.5131469999999999E-2</v>
      </c>
      <c r="AA7009">
        <v>0.99442019999999998</v>
      </c>
      <c r="AB7009">
        <v>36</v>
      </c>
      <c r="AC7009">
        <v>7.4128999999999996</v>
      </c>
      <c r="AD7009">
        <v>-1.1086781145139999</v>
      </c>
      <c r="AE7009">
        <v>72.514519999999905</v>
      </c>
      <c r="AF7009">
        <v>7.6463044940050802</v>
      </c>
      <c r="AG7009">
        <v>-1.1086781145139999</v>
      </c>
      <c r="AH7009">
        <v>72.473327806141995</v>
      </c>
      <c r="AI7009">
        <v>90.871590764393602</v>
      </c>
      <c r="AJ7009">
        <v>83.977284982775103</v>
      </c>
      <c r="AK7009">
        <v>72.884006358550096</v>
      </c>
      <c r="AL7009">
        <v>88.404860585493793</v>
      </c>
      <c r="AM7009">
        <v>88.539962001395196</v>
      </c>
      <c r="AN7009">
        <v>1.0000000546773999</v>
      </c>
    </row>
    <row r="7010" spans="1:40" x14ac:dyDescent="0.25">
      <c r="A7010" t="str">
        <f>"20190312173102200"</f>
        <v>20190312173102200</v>
      </c>
      <c r="B7010" t="str">
        <f>"1552383062194418"</f>
        <v>1552383062194418</v>
      </c>
      <c r="C7010" t="s">
        <v>40</v>
      </c>
      <c r="D7010">
        <v>3.1175449999999998</v>
      </c>
      <c r="E7010">
        <v>0.53048499999999998</v>
      </c>
      <c r="F7010" t="s">
        <v>41</v>
      </c>
      <c r="G7010">
        <v>-180.23949999999999</v>
      </c>
      <c r="H7010" s="1">
        <v>-3.5533840000000001E-6</v>
      </c>
      <c r="I7010">
        <v>102.4584</v>
      </c>
      <c r="J7010">
        <v>-187.4736</v>
      </c>
      <c r="K7010">
        <v>1.108681</v>
      </c>
      <c r="L7010">
        <v>31.993770000000001</v>
      </c>
      <c r="M7010">
        <v>-3.3618459999999999E-3</v>
      </c>
      <c r="N7010">
        <v>0</v>
      </c>
      <c r="O7010">
        <v>0.99996560000000001</v>
      </c>
      <c r="P7010">
        <v>2.2130460000000001E-2</v>
      </c>
      <c r="Q7010">
        <v>2.0351419999999999E-2</v>
      </c>
      <c r="R7010">
        <v>0.99954799999999999</v>
      </c>
      <c r="S7010">
        <v>0.30509950000000002</v>
      </c>
      <c r="T7010">
        <v>-4.6770930000000002E-2</v>
      </c>
      <c r="U7010">
        <v>2.995514</v>
      </c>
      <c r="V7010">
        <v>2.5486379999999999E-2</v>
      </c>
      <c r="W7010">
        <v>2.7930750000000001E-2</v>
      </c>
      <c r="X7010">
        <v>0.99928490000000003</v>
      </c>
      <c r="Y7010">
        <v>0.1046598</v>
      </c>
      <c r="Z7010">
        <v>-1.55286E-2</v>
      </c>
      <c r="AA7010">
        <v>0.99438689999999996</v>
      </c>
      <c r="AB7010">
        <v>36</v>
      </c>
      <c r="AC7010">
        <v>7.2341000000000104</v>
      </c>
      <c r="AD7010">
        <v>-1.108684553384</v>
      </c>
      <c r="AE7010">
        <v>70.46463</v>
      </c>
      <c r="AF7010">
        <v>7.4691274194279904</v>
      </c>
      <c r="AG7010">
        <v>-1.108684553384</v>
      </c>
      <c r="AH7010">
        <v>70.422659418822803</v>
      </c>
      <c r="AI7010">
        <v>90.896919925871202</v>
      </c>
      <c r="AJ7010">
        <v>83.945761859588501</v>
      </c>
      <c r="AK7010">
        <v>70.826322828917796</v>
      </c>
      <c r="AL7010">
        <v>88.399477753614306</v>
      </c>
      <c r="AM7010">
        <v>88.539009739728002</v>
      </c>
      <c r="AN7010">
        <v>0.999999996864538</v>
      </c>
    </row>
    <row r="7011" spans="1:40" x14ac:dyDescent="0.25">
      <c r="A7011" t="str">
        <f>"20190312173102221"</f>
        <v>20190312173102221</v>
      </c>
      <c r="B7011" t="str">
        <f>"1552383062214914"</f>
        <v>1552383062214914</v>
      </c>
      <c r="C7011" t="s">
        <v>40</v>
      </c>
      <c r="D7011">
        <v>3.0847069999999999</v>
      </c>
      <c r="E7011">
        <v>0.50343819999999995</v>
      </c>
      <c r="F7011" t="s">
        <v>41</v>
      </c>
      <c r="G7011">
        <v>-180.6148</v>
      </c>
      <c r="H7011" s="1">
        <v>-5.7887259999999996E-6</v>
      </c>
      <c r="I7011">
        <v>99.24579</v>
      </c>
      <c r="J7011">
        <v>-187.47479999999999</v>
      </c>
      <c r="K7011">
        <v>1.1086830000000001</v>
      </c>
      <c r="L7011">
        <v>32.345829999999999</v>
      </c>
      <c r="M7011">
        <v>-3.438605E-3</v>
      </c>
      <c r="N7011">
        <v>0</v>
      </c>
      <c r="O7011">
        <v>0.99996529999999995</v>
      </c>
      <c r="P7011">
        <v>2.18164E-2</v>
      </c>
      <c r="Q7011">
        <v>2.0312569999999999E-2</v>
      </c>
      <c r="R7011">
        <v>0.99955559999999999</v>
      </c>
      <c r="S7011">
        <v>0.30551149999999999</v>
      </c>
      <c r="T7011">
        <v>-4.9384240000000003E-2</v>
      </c>
      <c r="U7011">
        <v>2.9956049999999999</v>
      </c>
      <c r="V7011">
        <v>2.5249049999999999E-2</v>
      </c>
      <c r="W7011">
        <v>2.7897379999999999E-2</v>
      </c>
      <c r="X7011">
        <v>0.99929179999999995</v>
      </c>
      <c r="Y7011">
        <v>0.104867</v>
      </c>
      <c r="Z7011">
        <v>-1.6395219999999999E-2</v>
      </c>
      <c r="AA7011">
        <v>0.99435110000000004</v>
      </c>
      <c r="AB7011">
        <v>37</v>
      </c>
      <c r="AC7011">
        <v>6.8599999999999799</v>
      </c>
      <c r="AD7011">
        <v>-1.108688788726</v>
      </c>
      <c r="AE7011">
        <v>66.899959999999993</v>
      </c>
      <c r="AF7011">
        <v>7.08808216867273</v>
      </c>
      <c r="AG7011">
        <v>-1.108688788726</v>
      </c>
      <c r="AH7011">
        <v>66.857804027457206</v>
      </c>
      <c r="AI7011">
        <v>90.944743192576297</v>
      </c>
      <c r="AJ7011">
        <v>83.948263209927902</v>
      </c>
      <c r="AK7011">
        <v>67.241624452670493</v>
      </c>
      <c r="AL7011">
        <v>88.401390368092706</v>
      </c>
      <c r="AM7011">
        <v>88.552618703981494</v>
      </c>
      <c r="AN7011">
        <v>0.99999993994200098</v>
      </c>
    </row>
    <row r="7012" spans="1:40" x14ac:dyDescent="0.25">
      <c r="A7012" t="str">
        <f>"20190312173102245"</f>
        <v>20190312173102245</v>
      </c>
      <c r="B7012" t="str">
        <f>"1552383062234433"</f>
        <v>1552383062234433</v>
      </c>
      <c r="C7012" t="s">
        <v>40</v>
      </c>
      <c r="D7012">
        <v>3.0596770000000002</v>
      </c>
      <c r="E7012">
        <v>0.49287419999999998</v>
      </c>
      <c r="F7012" t="s">
        <v>41</v>
      </c>
      <c r="G7012">
        <v>-186.4607</v>
      </c>
      <c r="H7012" s="1">
        <v>-3.9297480000000003E-6</v>
      </c>
      <c r="I7012">
        <v>67.329669999999993</v>
      </c>
      <c r="J7012">
        <v>-187.47620000000001</v>
      </c>
      <c r="K7012">
        <v>1.1086800000000001</v>
      </c>
      <c r="L7012">
        <v>32.732849999999999</v>
      </c>
      <c r="M7012">
        <v>-3.5226960000000001E-3</v>
      </c>
      <c r="N7012">
        <v>0</v>
      </c>
      <c r="O7012">
        <v>0.99996499999999999</v>
      </c>
      <c r="P7012">
        <v>2.1189840000000001E-2</v>
      </c>
      <c r="Q7012">
        <v>2.067045E-2</v>
      </c>
      <c r="R7012">
        <v>0.99956179999999994</v>
      </c>
      <c r="S7012">
        <v>8.7005620000000006E-2</v>
      </c>
      <c r="T7012">
        <v>-9.5117690000000005E-2</v>
      </c>
      <c r="U7012">
        <v>3.0013730000000001</v>
      </c>
      <c r="V7012">
        <v>2.4706479999999999E-2</v>
      </c>
      <c r="W7012">
        <v>2.8261540000000002E-2</v>
      </c>
      <c r="X7012">
        <v>0.99929520000000005</v>
      </c>
      <c r="Y7012">
        <v>3.2483049999999999E-2</v>
      </c>
      <c r="Z7012">
        <v>-3.1660189999999998E-2</v>
      </c>
      <c r="AA7012">
        <v>0.99897069999999999</v>
      </c>
      <c r="AB7012">
        <v>37</v>
      </c>
      <c r="AC7012">
        <v>1.0155000000000001</v>
      </c>
      <c r="AD7012">
        <v>-1.10868392974799</v>
      </c>
      <c r="AE7012">
        <v>34.596819999999902</v>
      </c>
      <c r="AF7012">
        <v>1.13620548239733</v>
      </c>
      <c r="AG7012">
        <v>-1.10868392974799</v>
      </c>
      <c r="AH7012">
        <v>34.5575700793366</v>
      </c>
      <c r="AI7012">
        <v>91.836554422922504</v>
      </c>
      <c r="AJ7012">
        <v>88.116871755046205</v>
      </c>
      <c r="AK7012">
        <v>34.5940138281549</v>
      </c>
      <c r="AL7012">
        <v>88.380517420021704</v>
      </c>
      <c r="AM7012">
        <v>88.583713098591105</v>
      </c>
      <c r="AN7012">
        <v>1.0000000107700999</v>
      </c>
    </row>
    <row r="7013" spans="1:40" x14ac:dyDescent="0.25">
      <c r="A7013" t="str">
        <f>"20190312173102268"</f>
        <v>20190312173102268</v>
      </c>
      <c r="B7013" t="str">
        <f>"1552383062264690"</f>
        <v>1552383062264690</v>
      </c>
      <c r="C7013" t="s">
        <v>40</v>
      </c>
      <c r="D7013">
        <v>3.0436580000000002</v>
      </c>
      <c r="E7013">
        <v>0.48725669999999999</v>
      </c>
      <c r="F7013" t="s">
        <v>41</v>
      </c>
      <c r="G7013">
        <v>-187.4588</v>
      </c>
      <c r="H7013" s="1">
        <v>-2.1862299999999999E-6</v>
      </c>
      <c r="I7013">
        <v>73.678159999999906</v>
      </c>
      <c r="J7013">
        <v>-187.4777</v>
      </c>
      <c r="K7013">
        <v>1.108679</v>
      </c>
      <c r="L7013">
        <v>33.114840000000001</v>
      </c>
      <c r="M7013">
        <v>-3.6060150000000002E-3</v>
      </c>
      <c r="N7013">
        <v>0</v>
      </c>
      <c r="O7013">
        <v>0.99996459999999998</v>
      </c>
      <c r="P7013">
        <v>2.087988E-2</v>
      </c>
      <c r="Q7013">
        <v>2.120903E-2</v>
      </c>
      <c r="R7013">
        <v>0.99955700000000003</v>
      </c>
      <c r="S7013">
        <v>1.2817379999999999E-3</v>
      </c>
      <c r="T7013">
        <v>-8.1311579999999994E-2</v>
      </c>
      <c r="U7013">
        <v>3.0029599999999999</v>
      </c>
      <c r="V7013">
        <v>2.4479669999999999E-2</v>
      </c>
      <c r="W7013">
        <v>2.880777E-2</v>
      </c>
      <c r="X7013">
        <v>0.99928519999999998</v>
      </c>
      <c r="Y7013">
        <v>4.032786E-3</v>
      </c>
      <c r="Z7013">
        <v>-2.706685E-2</v>
      </c>
      <c r="AA7013">
        <v>0.99962549999999994</v>
      </c>
      <c r="AB7013">
        <v>37</v>
      </c>
      <c r="AC7013">
        <v>1.8900000000002099E-2</v>
      </c>
      <c r="AD7013">
        <v>-1.1086811862299999</v>
      </c>
      <c r="AE7013">
        <v>40.563319999999898</v>
      </c>
      <c r="AF7013">
        <v>0.16505274289935401</v>
      </c>
      <c r="AG7013">
        <v>-1.1086811862299999</v>
      </c>
      <c r="AH7013">
        <v>40.532708375822097</v>
      </c>
      <c r="AI7013">
        <v>91.566793687857995</v>
      </c>
      <c r="AJ7013">
        <v>89.766687851023306</v>
      </c>
      <c r="AK7013">
        <v>40.548204210051999</v>
      </c>
      <c r="AL7013">
        <v>88.349208023052697</v>
      </c>
      <c r="AM7013">
        <v>88.596695610820305</v>
      </c>
      <c r="AN7013">
        <v>1.0000000263973601</v>
      </c>
    </row>
    <row r="7014" spans="1:40" x14ac:dyDescent="0.25">
      <c r="A7014" t="str">
        <f>"20190312173102291"</f>
        <v>20190312173102291</v>
      </c>
      <c r="B7014" t="str">
        <f>"1552383062284210"</f>
        <v>1552383062284210</v>
      </c>
      <c r="C7014" t="s">
        <v>40</v>
      </c>
      <c r="D7014">
        <v>3.0632169999999999</v>
      </c>
      <c r="E7014">
        <v>0.48577229999999999</v>
      </c>
      <c r="F7014" t="s">
        <v>41</v>
      </c>
      <c r="G7014">
        <v>-188.1354</v>
      </c>
      <c r="H7014" s="1">
        <v>-3.746974E-6</v>
      </c>
      <c r="I7014">
        <v>77.596080000000001</v>
      </c>
      <c r="J7014">
        <v>-187.47909999999999</v>
      </c>
      <c r="K7014">
        <v>1.1086780000000001</v>
      </c>
      <c r="L7014">
        <v>33.492069999999998</v>
      </c>
      <c r="M7014">
        <v>-3.687999E-3</v>
      </c>
      <c r="N7014">
        <v>0</v>
      </c>
      <c r="O7014">
        <v>0.99996419999999997</v>
      </c>
      <c r="P7014">
        <v>1.9883769999999999E-2</v>
      </c>
      <c r="Q7014">
        <v>2.1661590000000001E-2</v>
      </c>
      <c r="R7014">
        <v>0.9995676</v>
      </c>
      <c r="S7014">
        <v>-4.4418329999999999E-2</v>
      </c>
      <c r="T7014">
        <v>-7.4869989999999997E-2</v>
      </c>
      <c r="U7014">
        <v>3.0038450000000001</v>
      </c>
      <c r="V7014">
        <v>2.356546E-2</v>
      </c>
      <c r="W7014">
        <v>2.9268679999999998E-2</v>
      </c>
      <c r="X7014">
        <v>0.99929369999999995</v>
      </c>
      <c r="Y7014">
        <v>-1.109315E-2</v>
      </c>
      <c r="Z7014">
        <v>-2.4914599999999999E-2</v>
      </c>
      <c r="AA7014">
        <v>0.99962799999999996</v>
      </c>
      <c r="AB7014">
        <v>37</v>
      </c>
      <c r="AC7014">
        <v>-0.65630000000001498</v>
      </c>
      <c r="AD7014">
        <v>-1.108681746974</v>
      </c>
      <c r="AE7014">
        <v>44.104009999999903</v>
      </c>
      <c r="AF7014">
        <v>-0.49332360583274798</v>
      </c>
      <c r="AG7014">
        <v>-1.108681746974</v>
      </c>
      <c r="AH7014">
        <v>44.078283052750301</v>
      </c>
      <c r="AI7014">
        <v>91.440741656013699</v>
      </c>
      <c r="AJ7014">
        <v>90.641226892269501</v>
      </c>
      <c r="AK7014">
        <v>44.094983618032103</v>
      </c>
      <c r="AL7014">
        <v>88.322788544370198</v>
      </c>
      <c r="AM7014">
        <v>88.649094661416797</v>
      </c>
      <c r="AN7014">
        <v>0.99999994269682002</v>
      </c>
    </row>
    <row r="7015" spans="1:40" x14ac:dyDescent="0.25">
      <c r="A7015" t="str">
        <f>"20190312173102311"</f>
        <v>20190312173102311</v>
      </c>
      <c r="B7015" t="str">
        <f>"1552383062304706"</f>
        <v>1552383062304706</v>
      </c>
      <c r="C7015" t="s">
        <v>40</v>
      </c>
      <c r="D7015">
        <v>3.055301</v>
      </c>
      <c r="E7015">
        <v>0.48475790000000002</v>
      </c>
      <c r="F7015" t="s">
        <v>41</v>
      </c>
      <c r="G7015">
        <v>-188.3578</v>
      </c>
      <c r="H7015" s="1">
        <v>-3.8860359999999999E-6</v>
      </c>
      <c r="I7015">
        <v>78.012209999999996</v>
      </c>
      <c r="J7015">
        <v>-187.4804</v>
      </c>
      <c r="K7015">
        <v>1.1086739999999999</v>
      </c>
      <c r="L7015">
        <v>33.824739999999998</v>
      </c>
      <c r="M7015">
        <v>-3.760298E-3</v>
      </c>
      <c r="N7015">
        <v>0</v>
      </c>
      <c r="O7015">
        <v>0.99996390000000002</v>
      </c>
      <c r="P7015">
        <v>1.8784249999999999E-2</v>
      </c>
      <c r="Q7015">
        <v>2.1870799999999999E-2</v>
      </c>
      <c r="R7015">
        <v>0.99958429999999998</v>
      </c>
      <c r="S7015">
        <v>-5.9295649999999998E-2</v>
      </c>
      <c r="T7015">
        <v>-7.4810619999999994E-2</v>
      </c>
      <c r="U7015">
        <v>3.004089</v>
      </c>
      <c r="V7015">
        <v>2.2538209999999999E-2</v>
      </c>
      <c r="W7015">
        <v>2.9486020000000002E-2</v>
      </c>
      <c r="X7015">
        <v>0.99931110000000001</v>
      </c>
      <c r="Y7015">
        <v>-1.596854E-2</v>
      </c>
      <c r="Z7015">
        <v>-2.489094E-2</v>
      </c>
      <c r="AA7015">
        <v>0.99956259999999997</v>
      </c>
      <c r="AB7015">
        <v>37</v>
      </c>
      <c r="AC7015">
        <v>-0.87739999999999396</v>
      </c>
      <c r="AD7015">
        <v>-1.108677886036</v>
      </c>
      <c r="AE7015">
        <v>44.187469999999898</v>
      </c>
      <c r="AF7015">
        <v>-0.71078363849912696</v>
      </c>
      <c r="AG7015">
        <v>-1.108677886036</v>
      </c>
      <c r="AH7015">
        <v>44.162666445547501</v>
      </c>
      <c r="AI7015">
        <v>91.437888800779504</v>
      </c>
      <c r="AJ7015">
        <v>90.922077175542398</v>
      </c>
      <c r="AK7015">
        <v>44.1822983514488</v>
      </c>
      <c r="AL7015">
        <v>88.310330658668803</v>
      </c>
      <c r="AM7015">
        <v>88.707984509636702</v>
      </c>
      <c r="AN7015">
        <v>1.0000000354343199</v>
      </c>
    </row>
    <row r="7016" spans="1:40" x14ac:dyDescent="0.25">
      <c r="A7016" t="str">
        <f>"20190312173102333"</f>
        <v>20190312173102333</v>
      </c>
      <c r="B7016" t="str">
        <f>"1552383062325202"</f>
        <v>1552383062325202</v>
      </c>
      <c r="C7016" t="s">
        <v>40</v>
      </c>
      <c r="D7016">
        <v>3.0774919999999999</v>
      </c>
      <c r="E7016">
        <v>0.48413250000000002</v>
      </c>
      <c r="F7016" t="s">
        <v>41</v>
      </c>
      <c r="G7016">
        <v>-188.5437</v>
      </c>
      <c r="H7016" s="1">
        <v>-4.1985660000000002E-6</v>
      </c>
      <c r="I7016">
        <v>78.817580000000007</v>
      </c>
      <c r="J7016">
        <v>-187.4819</v>
      </c>
      <c r="K7016">
        <v>1.1086739999999999</v>
      </c>
      <c r="L7016">
        <v>34.202269999999999</v>
      </c>
      <c r="M7016">
        <v>-3.8424959999999999E-3</v>
      </c>
      <c r="N7016">
        <v>0</v>
      </c>
      <c r="O7016">
        <v>0.99996350000000001</v>
      </c>
      <c r="P7016">
        <v>1.763555E-2</v>
      </c>
      <c r="Q7016">
        <v>2.2117419999999999E-2</v>
      </c>
      <c r="R7016">
        <v>0.99959980000000004</v>
      </c>
      <c r="S7016">
        <v>-7.0999149999999997E-2</v>
      </c>
      <c r="T7016">
        <v>-7.4027419999999997E-2</v>
      </c>
      <c r="U7016">
        <v>3.0042110000000002</v>
      </c>
      <c r="V7016">
        <v>2.147168E-2</v>
      </c>
      <c r="W7016">
        <v>2.974197E-2</v>
      </c>
      <c r="X7016">
        <v>0.99932690000000002</v>
      </c>
      <c r="Y7016">
        <v>-1.9777739999999999E-2</v>
      </c>
      <c r="Z7016">
        <v>-2.4627619999999999E-2</v>
      </c>
      <c r="AA7016">
        <v>0.99950099999999997</v>
      </c>
      <c r="AB7016">
        <v>37</v>
      </c>
      <c r="AC7016">
        <v>-1.0618000000000001</v>
      </c>
      <c r="AD7016">
        <v>-1.1086781985659999</v>
      </c>
      <c r="AE7016">
        <v>44.615310000000001</v>
      </c>
      <c r="AF7016">
        <v>-0.88980386809752898</v>
      </c>
      <c r="AG7016">
        <v>-1.1086781985659999</v>
      </c>
      <c r="AH7016">
        <v>44.591540609418097</v>
      </c>
      <c r="AI7016">
        <v>91.423966545173499</v>
      </c>
      <c r="AJ7016">
        <v>91.143159451748403</v>
      </c>
      <c r="AK7016">
        <v>44.614195187104301</v>
      </c>
      <c r="AL7016">
        <v>88.295659199223607</v>
      </c>
      <c r="AM7016">
        <v>88.769124116649607</v>
      </c>
      <c r="AN7016">
        <v>0.99999993544255406</v>
      </c>
    </row>
    <row r="7017" spans="1:40" x14ac:dyDescent="0.25">
      <c r="A7017" t="str">
        <f>"20190312173102357"</f>
        <v>20190312173102357</v>
      </c>
      <c r="B7017" t="str">
        <f>"1552383062344722"</f>
        <v>1552383062344722</v>
      </c>
      <c r="C7017" t="s">
        <v>40</v>
      </c>
      <c r="D7017">
        <v>3.0008189999999999</v>
      </c>
      <c r="E7017">
        <v>0.4837051</v>
      </c>
      <c r="F7017" t="s">
        <v>41</v>
      </c>
      <c r="G7017">
        <v>-188.70050000000001</v>
      </c>
      <c r="H7017" s="1">
        <v>-5.4259330000000005E-7</v>
      </c>
      <c r="I7017">
        <v>80.226429999999993</v>
      </c>
      <c r="J7017">
        <v>-187.48339999999999</v>
      </c>
      <c r="K7017">
        <v>1.108681</v>
      </c>
      <c r="L7017">
        <v>34.589199999999998</v>
      </c>
      <c r="M7017">
        <v>-3.9263869999999999E-3</v>
      </c>
      <c r="N7017">
        <v>0</v>
      </c>
      <c r="O7017">
        <v>0.99996320000000005</v>
      </c>
      <c r="P7017">
        <v>1.6561490000000002E-2</v>
      </c>
      <c r="Q7017">
        <v>2.2273330000000001E-2</v>
      </c>
      <c r="R7017">
        <v>0.99961469999999997</v>
      </c>
      <c r="S7017">
        <v>-7.9544069999999995E-2</v>
      </c>
      <c r="T7017">
        <v>-7.2368379999999996E-2</v>
      </c>
      <c r="U7017">
        <v>3.0042110000000002</v>
      </c>
      <c r="V7017">
        <v>2.0481490000000002E-2</v>
      </c>
      <c r="W7017">
        <v>2.9908790000000001E-2</v>
      </c>
      <c r="X7017">
        <v>0.99934279999999998</v>
      </c>
      <c r="Y7017">
        <v>-2.253525E-2</v>
      </c>
      <c r="Z7017">
        <v>-2.4074439999999999E-2</v>
      </c>
      <c r="AA7017">
        <v>0.99945620000000002</v>
      </c>
      <c r="AB7017">
        <v>37</v>
      </c>
      <c r="AC7017">
        <v>-1.2171000000000101</v>
      </c>
      <c r="AD7017">
        <v>-1.1086815425933001</v>
      </c>
      <c r="AE7017">
        <v>45.637230000000002</v>
      </c>
      <c r="AF7017">
        <v>-1.03728424200517</v>
      </c>
      <c r="AG7017">
        <v>-1.1086815425933001</v>
      </c>
      <c r="AH7017">
        <v>45.614755938827997</v>
      </c>
      <c r="AI7017">
        <v>91.391958797649096</v>
      </c>
      <c r="AJ7017">
        <v>91.302687405337807</v>
      </c>
      <c r="AK7017">
        <v>45.640016353200899</v>
      </c>
      <c r="AL7017">
        <v>88.286097023914294</v>
      </c>
      <c r="AM7017">
        <v>88.825889705548207</v>
      </c>
      <c r="AN7017">
        <v>1.0000000295318601</v>
      </c>
    </row>
    <row r="7018" spans="1:40" x14ac:dyDescent="0.25">
      <c r="A7018" t="str">
        <f>"20190312173102379"</f>
        <v>20190312173102379</v>
      </c>
      <c r="B7018" t="str">
        <f>"1552383062374979"</f>
        <v>1552383062374979</v>
      </c>
      <c r="C7018" t="s">
        <v>40</v>
      </c>
      <c r="D7018">
        <v>3.0580050000000001</v>
      </c>
      <c r="E7018">
        <v>0.4833886</v>
      </c>
      <c r="F7018" t="s">
        <v>41</v>
      </c>
      <c r="G7018">
        <v>-188.82900000000001</v>
      </c>
      <c r="H7018" s="1">
        <v>-9.3233260000000005E-7</v>
      </c>
      <c r="I7018">
        <v>81.321879999999993</v>
      </c>
      <c r="J7018">
        <v>-187.48490000000001</v>
      </c>
      <c r="K7018">
        <v>1.1086769999999999</v>
      </c>
      <c r="L7018">
        <v>34.955080000000002</v>
      </c>
      <c r="M7018">
        <v>-4.0057069999999998E-3</v>
      </c>
      <c r="N7018">
        <v>0</v>
      </c>
      <c r="O7018">
        <v>0.99996269999999998</v>
      </c>
      <c r="P7018">
        <v>1.532712E-2</v>
      </c>
      <c r="Q7018">
        <v>2.246076E-2</v>
      </c>
      <c r="R7018">
        <v>0.99963020000000002</v>
      </c>
      <c r="S7018">
        <v>-8.6502079999999995E-2</v>
      </c>
      <c r="T7018">
        <v>-7.1270940000000005E-2</v>
      </c>
      <c r="U7018">
        <v>3.004181</v>
      </c>
      <c r="V7018">
        <v>1.9326409999999999E-2</v>
      </c>
      <c r="W7018">
        <v>3.0106589999999999E-2</v>
      </c>
      <c r="X7018">
        <v>0.99935980000000002</v>
      </c>
      <c r="Y7018">
        <v>-2.476948E-2</v>
      </c>
      <c r="Z7018">
        <v>-2.3708409999999999E-2</v>
      </c>
      <c r="AA7018">
        <v>0.99941199999999997</v>
      </c>
      <c r="AB7018">
        <v>37</v>
      </c>
      <c r="AC7018">
        <v>-1.3440999999999901</v>
      </c>
      <c r="AD7018">
        <v>-1.1086779323325999</v>
      </c>
      <c r="AE7018">
        <v>46.366799999999998</v>
      </c>
      <c r="AF7018">
        <v>-1.15769062346612</v>
      </c>
      <c r="AG7018">
        <v>-1.1086779323325999</v>
      </c>
      <c r="AH7018">
        <v>46.3453370994662</v>
      </c>
      <c r="AI7018">
        <v>91.369946995568696</v>
      </c>
      <c r="AJ7018">
        <v>91.430931342532205</v>
      </c>
      <c r="AK7018">
        <v>46.373049125547702</v>
      </c>
      <c r="AL7018">
        <v>88.274758698903597</v>
      </c>
      <c r="AM7018">
        <v>88.892107011785995</v>
      </c>
      <c r="AN7018">
        <v>0.99999996337047703</v>
      </c>
    </row>
    <row r="7019" spans="1:40" x14ac:dyDescent="0.25">
      <c r="A7019" t="str">
        <f>"20190312173102402"</f>
        <v>20190312173102402</v>
      </c>
      <c r="B7019" t="str">
        <f>"1552383062394499"</f>
        <v>1552383062394499</v>
      </c>
      <c r="C7019" t="s">
        <v>40</v>
      </c>
      <c r="D7019">
        <v>3.0582349999999998</v>
      </c>
      <c r="E7019">
        <v>0.48322359999999998</v>
      </c>
      <c r="F7019" t="s">
        <v>41</v>
      </c>
      <c r="G7019">
        <v>-188.9366</v>
      </c>
      <c r="H7019" s="1">
        <v>-1.184182E-6</v>
      </c>
      <c r="I7019">
        <v>81.953419999999994</v>
      </c>
      <c r="J7019">
        <v>-187.48650000000001</v>
      </c>
      <c r="K7019">
        <v>1.108676</v>
      </c>
      <c r="L7019">
        <v>35.341520000000003</v>
      </c>
      <c r="M7019">
        <v>-4.0897249999999998E-3</v>
      </c>
      <c r="N7019">
        <v>0</v>
      </c>
      <c r="O7019">
        <v>0.99996229999999997</v>
      </c>
      <c r="P7019">
        <v>1.4842350000000001E-2</v>
      </c>
      <c r="Q7019">
        <v>2.2879010000000002E-2</v>
      </c>
      <c r="R7019">
        <v>0.99962810000000002</v>
      </c>
      <c r="S7019">
        <v>-9.2788700000000002E-2</v>
      </c>
      <c r="T7019">
        <v>-7.0866349999999995E-2</v>
      </c>
      <c r="U7019">
        <v>3.0041199999999999</v>
      </c>
      <c r="V7019">
        <v>1.8925540000000001E-2</v>
      </c>
      <c r="W7019">
        <v>3.0536500000000001E-2</v>
      </c>
      <c r="X7019">
        <v>0.99935450000000003</v>
      </c>
      <c r="Y7019">
        <v>-2.67757E-2</v>
      </c>
      <c r="Z7019">
        <v>-2.357302E-2</v>
      </c>
      <c r="AA7019">
        <v>0.99936349999999996</v>
      </c>
      <c r="AB7019">
        <v>37</v>
      </c>
      <c r="AC7019">
        <v>-1.45009999999999</v>
      </c>
      <c r="AD7019">
        <v>-1.108677184182</v>
      </c>
      <c r="AE7019">
        <v>46.611899999999899</v>
      </c>
      <c r="AF7019">
        <v>-1.2587409956737501</v>
      </c>
      <c r="AG7019">
        <v>-1.108677184182</v>
      </c>
      <c r="AH7019">
        <v>46.591107897366101</v>
      </c>
      <c r="AI7019">
        <v>91.362650165195205</v>
      </c>
      <c r="AJ7019">
        <v>91.547570135673695</v>
      </c>
      <c r="AK7019">
        <v>46.621292657936102</v>
      </c>
      <c r="AL7019">
        <v>88.250115464008303</v>
      </c>
      <c r="AM7019">
        <v>88.915075716945296</v>
      </c>
      <c r="AN7019">
        <v>1.00000003528339</v>
      </c>
    </row>
    <row r="7020" spans="1:40" x14ac:dyDescent="0.25">
      <c r="A7020" t="str">
        <f>"20190312173102422"</f>
        <v>20190312173102422</v>
      </c>
      <c r="B7020" t="str">
        <f>"1552383062414994"</f>
        <v>1552383062414994</v>
      </c>
      <c r="C7020" t="s">
        <v>40</v>
      </c>
      <c r="D7020">
        <v>3.0163720000000001</v>
      </c>
      <c r="E7020">
        <v>0.48313139999999999</v>
      </c>
      <c r="F7020" t="s">
        <v>41</v>
      </c>
      <c r="G7020">
        <v>-189.0137</v>
      </c>
      <c r="H7020" s="1">
        <v>-1.755033E-6</v>
      </c>
      <c r="I7020">
        <v>83.315960000000004</v>
      </c>
      <c r="J7020">
        <v>-187.488</v>
      </c>
      <c r="K7020">
        <v>1.108676</v>
      </c>
      <c r="L7020">
        <v>35.68835</v>
      </c>
      <c r="M7020">
        <v>-4.1647519999999999E-3</v>
      </c>
      <c r="N7020">
        <v>0</v>
      </c>
      <c r="O7020">
        <v>0.99996189999999996</v>
      </c>
      <c r="P7020">
        <v>1.450512E-2</v>
      </c>
      <c r="Q7020">
        <v>2.2993960000000001E-2</v>
      </c>
      <c r="R7020">
        <v>0.99963040000000003</v>
      </c>
      <c r="S7020">
        <v>-9.5626829999999996E-2</v>
      </c>
      <c r="T7020">
        <v>-6.9424509999999995E-2</v>
      </c>
      <c r="U7020">
        <v>3.0041199999999999</v>
      </c>
      <c r="V7020">
        <v>1.8663260000000001E-2</v>
      </c>
      <c r="W7020">
        <v>3.0661850000000001E-2</v>
      </c>
      <c r="X7020">
        <v>0.99935560000000001</v>
      </c>
      <c r="Y7020">
        <v>-2.7644249999999999E-2</v>
      </c>
      <c r="Z7020">
        <v>-2.3093039999999999E-2</v>
      </c>
      <c r="AA7020">
        <v>0.99935099999999999</v>
      </c>
      <c r="AB7020">
        <v>37</v>
      </c>
      <c r="AC7020">
        <v>-1.5257000000000001</v>
      </c>
      <c r="AD7020">
        <v>-1.108677755033</v>
      </c>
      <c r="AE7020">
        <v>47.627609999999997</v>
      </c>
      <c r="AF7020">
        <v>-1.3266056385971701</v>
      </c>
      <c r="AG7020">
        <v>-1.108677755033</v>
      </c>
      <c r="AH7020">
        <v>47.607780605700903</v>
      </c>
      <c r="AI7020">
        <v>91.333530818248406</v>
      </c>
      <c r="AJ7020">
        <v>91.596151707638199</v>
      </c>
      <c r="AK7020">
        <v>47.639162703446097</v>
      </c>
      <c r="AL7020">
        <v>88.242930083302994</v>
      </c>
      <c r="AM7020">
        <v>88.930108821236203</v>
      </c>
      <c r="AN7020">
        <v>1.0000000407853</v>
      </c>
    </row>
    <row r="7021" spans="1:40" x14ac:dyDescent="0.25">
      <c r="A7021" t="str">
        <f>"20190312173102446"</f>
        <v>20190312173102446</v>
      </c>
      <c r="B7021" t="str">
        <f>"1552383062434514"</f>
        <v>1552383062434514</v>
      </c>
      <c r="C7021" t="s">
        <v>40</v>
      </c>
      <c r="D7021">
        <v>3.0278719999999999</v>
      </c>
      <c r="E7021">
        <v>0.48312939999999999</v>
      </c>
      <c r="F7021" t="s">
        <v>41</v>
      </c>
      <c r="G7021">
        <v>-189.05279999999999</v>
      </c>
      <c r="H7021" s="1">
        <v>-2.0275850000000001E-6</v>
      </c>
      <c r="I7021">
        <v>83.967479999999995</v>
      </c>
      <c r="J7021">
        <v>-187.4897</v>
      </c>
      <c r="K7021">
        <v>1.108671</v>
      </c>
      <c r="L7021">
        <v>36.070770000000003</v>
      </c>
      <c r="M7021">
        <v>-4.2476119999999996E-3</v>
      </c>
      <c r="N7021">
        <v>0</v>
      </c>
      <c r="O7021">
        <v>0.99996149999999995</v>
      </c>
      <c r="P7021">
        <v>1.4576820000000001E-2</v>
      </c>
      <c r="Q7021">
        <v>2.320674E-2</v>
      </c>
      <c r="R7021">
        <v>0.99962439999999997</v>
      </c>
      <c r="S7021">
        <v>-9.7366330000000001E-2</v>
      </c>
      <c r="T7021">
        <v>-6.8985699999999997E-2</v>
      </c>
      <c r="U7021">
        <v>3.004089</v>
      </c>
      <c r="V7021">
        <v>1.88177E-2</v>
      </c>
      <c r="W7021">
        <v>3.0886810000000001E-2</v>
      </c>
      <c r="X7021">
        <v>0.9993457</v>
      </c>
      <c r="Y7021">
        <v>-2.8139919999999999E-2</v>
      </c>
      <c r="Z7021">
        <v>-2.2946999999999999E-2</v>
      </c>
      <c r="AA7021">
        <v>0.99934060000000002</v>
      </c>
      <c r="AB7021">
        <v>37</v>
      </c>
      <c r="AC7021">
        <v>-1.5630999999999899</v>
      </c>
      <c r="AD7021">
        <v>-1.1086730275850001</v>
      </c>
      <c r="AE7021">
        <v>47.896709999999999</v>
      </c>
      <c r="AF7021">
        <v>-1.35890594529424</v>
      </c>
      <c r="AG7021">
        <v>-1.1086730275850001</v>
      </c>
      <c r="AH7021">
        <v>47.877292587458697</v>
      </c>
      <c r="AI7021">
        <v>91.326001823085406</v>
      </c>
      <c r="AJ7021">
        <v>91.625795307430906</v>
      </c>
      <c r="AK7021">
        <v>47.909403322890299</v>
      </c>
      <c r="AL7021">
        <v>88.230034582369001</v>
      </c>
      <c r="AM7021">
        <v>88.921246783884996</v>
      </c>
      <c r="AN7021">
        <v>0.999999964486877</v>
      </c>
    </row>
    <row r="7022" spans="1:40" x14ac:dyDescent="0.25">
      <c r="A7022" t="str">
        <f>"20190312173102469"</f>
        <v>20190312173102469</v>
      </c>
      <c r="B7022" t="str">
        <f>"1552383062464770"</f>
        <v>1552383062464770</v>
      </c>
      <c r="C7022" t="s">
        <v>40</v>
      </c>
      <c r="D7022">
        <v>3.0256460000000001</v>
      </c>
      <c r="E7022">
        <v>0.48313879999999998</v>
      </c>
      <c r="F7022" t="s">
        <v>41</v>
      </c>
      <c r="G7022">
        <v>-189.06219999999999</v>
      </c>
      <c r="H7022" s="1">
        <v>-2.3445300000000001E-6</v>
      </c>
      <c r="I7022">
        <v>84.710160000000002</v>
      </c>
      <c r="J7022">
        <v>-187.4914</v>
      </c>
      <c r="K7022">
        <v>1.1086689999999999</v>
      </c>
      <c r="L7022">
        <v>36.465000000000003</v>
      </c>
      <c r="M7022">
        <v>-4.3328289999999998E-3</v>
      </c>
      <c r="N7022">
        <v>0</v>
      </c>
      <c r="O7022">
        <v>0.99996099999999999</v>
      </c>
      <c r="P7022">
        <v>1.512779E-2</v>
      </c>
      <c r="Q7022">
        <v>2.299414E-2</v>
      </c>
      <c r="R7022">
        <v>0.99962119999999999</v>
      </c>
      <c r="S7022">
        <v>-9.7122189999999997E-2</v>
      </c>
      <c r="T7022">
        <v>-6.8475129999999995E-2</v>
      </c>
      <c r="U7022">
        <v>3.0041199999999999</v>
      </c>
      <c r="V7022">
        <v>1.945384E-2</v>
      </c>
      <c r="W7022">
        <v>3.068711E-2</v>
      </c>
      <c r="X7022">
        <v>0.99933970000000005</v>
      </c>
      <c r="Y7022">
        <v>-2.7973399999999999E-2</v>
      </c>
      <c r="Z7022">
        <v>-2.2777100000000002E-2</v>
      </c>
      <c r="AA7022">
        <v>0.99934909999999999</v>
      </c>
      <c r="AB7022">
        <v>37</v>
      </c>
      <c r="AC7022">
        <v>-1.57079999999999</v>
      </c>
      <c r="AD7022">
        <v>-1.10867134453</v>
      </c>
      <c r="AE7022">
        <v>48.245159999999998</v>
      </c>
      <c r="AF7022">
        <v>-1.36102307028406</v>
      </c>
      <c r="AG7022">
        <v>-1.10867134453</v>
      </c>
      <c r="AH7022">
        <v>48.226073153461201</v>
      </c>
      <c r="AI7022">
        <v>91.316419308377903</v>
      </c>
      <c r="AJ7022">
        <v>91.616556760718893</v>
      </c>
      <c r="AK7022">
        <v>48.258011435937</v>
      </c>
      <c r="AL7022">
        <v>88.241482027071498</v>
      </c>
      <c r="AM7022">
        <v>88.884781458128501</v>
      </c>
      <c r="AN7022">
        <v>0.99999999330349298</v>
      </c>
    </row>
    <row r="7023" spans="1:40" x14ac:dyDescent="0.25">
      <c r="A7023" t="str">
        <f>"20190312173102493"</f>
        <v>20190312173102493</v>
      </c>
      <c r="B7023" t="str">
        <f>"1552383062484290"</f>
        <v>1552383062484290</v>
      </c>
      <c r="C7023" t="s">
        <v>40</v>
      </c>
      <c r="D7023">
        <v>3.004953</v>
      </c>
      <c r="E7023">
        <v>0.48319400000000001</v>
      </c>
      <c r="F7023" t="s">
        <v>41</v>
      </c>
      <c r="G7023">
        <v>-189.0059</v>
      </c>
      <c r="H7023" s="1">
        <v>-2.1175230000000001E-6</v>
      </c>
      <c r="I7023">
        <v>84.157730000000001</v>
      </c>
      <c r="J7023">
        <v>-187.4932</v>
      </c>
      <c r="K7023">
        <v>1.1086720000000001</v>
      </c>
      <c r="L7023">
        <v>36.86298</v>
      </c>
      <c r="M7023">
        <v>-4.4190929999999998E-3</v>
      </c>
      <c r="N7023">
        <v>0</v>
      </c>
      <c r="O7023">
        <v>0.99996050000000003</v>
      </c>
      <c r="P7023">
        <v>1.5116340000000001E-2</v>
      </c>
      <c r="Q7023">
        <v>2.3113450000000001E-2</v>
      </c>
      <c r="R7023">
        <v>0.99961849999999997</v>
      </c>
      <c r="S7023">
        <v>-9.5397949999999995E-2</v>
      </c>
      <c r="T7023">
        <v>-6.9835540000000002E-2</v>
      </c>
      <c r="U7023">
        <v>3.004181</v>
      </c>
      <c r="V7023">
        <v>1.952856E-2</v>
      </c>
      <c r="W7023">
        <v>3.081913E-2</v>
      </c>
      <c r="X7023">
        <v>0.99933419999999895</v>
      </c>
      <c r="Y7023">
        <v>-2.7313190000000001E-2</v>
      </c>
      <c r="Z7023">
        <v>-2.322931E-2</v>
      </c>
      <c r="AA7023">
        <v>0.99935700000000005</v>
      </c>
      <c r="AB7023">
        <v>38</v>
      </c>
      <c r="AC7023">
        <v>-1.5126999999999899</v>
      </c>
      <c r="AD7023">
        <v>-1.1086741175229999</v>
      </c>
      <c r="AE7023">
        <v>47.294750000000001</v>
      </c>
      <c r="AF7023">
        <v>-1.3029638447985501</v>
      </c>
      <c r="AG7023">
        <v>-1.1086741175229999</v>
      </c>
      <c r="AH7023">
        <v>47.275021208418302</v>
      </c>
      <c r="AI7023">
        <v>91.342920743940198</v>
      </c>
      <c r="AJ7023">
        <v>91.578749891216802</v>
      </c>
      <c r="AK7023">
        <v>47.305966889348298</v>
      </c>
      <c r="AL7023">
        <v>88.233914294164407</v>
      </c>
      <c r="AM7023">
        <v>88.880492958032406</v>
      </c>
      <c r="AN7023">
        <v>1.0000000133596301</v>
      </c>
    </row>
    <row r="7024" spans="1:40" x14ac:dyDescent="0.25">
      <c r="A7024" t="str">
        <f>"20190312173102513"</f>
        <v>20190312173102513</v>
      </c>
      <c r="B7024" t="str">
        <f>"1552383062504785"</f>
        <v>1552383062504785</v>
      </c>
      <c r="C7024" t="s">
        <v>40</v>
      </c>
      <c r="D7024">
        <v>3.0164409999999999</v>
      </c>
      <c r="E7024">
        <v>0.48322779999999999</v>
      </c>
      <c r="F7024" t="s">
        <v>41</v>
      </c>
      <c r="G7024">
        <v>-188.99709999999999</v>
      </c>
      <c r="H7024" s="1">
        <v>-2.2643530000000001E-6</v>
      </c>
      <c r="I7024">
        <v>84.496350000000007</v>
      </c>
      <c r="J7024">
        <v>-187.4948</v>
      </c>
      <c r="K7024">
        <v>1.1086769999999999</v>
      </c>
      <c r="L7024">
        <v>37.207030000000003</v>
      </c>
      <c r="M7024">
        <v>-4.4934490000000001E-3</v>
      </c>
      <c r="N7024">
        <v>0</v>
      </c>
      <c r="O7024">
        <v>0.99996010000000002</v>
      </c>
      <c r="P7024">
        <v>1.518652E-2</v>
      </c>
      <c r="Q7024">
        <v>2.309839E-2</v>
      </c>
      <c r="R7024">
        <v>0.9996178</v>
      </c>
      <c r="S7024">
        <v>-9.4848630000000003E-2</v>
      </c>
      <c r="T7024">
        <v>-6.9923520000000003E-2</v>
      </c>
      <c r="U7024">
        <v>3.0042110000000002</v>
      </c>
      <c r="V7024">
        <v>1.9673030000000001E-2</v>
      </c>
      <c r="W7024">
        <v>3.0815789999999999E-2</v>
      </c>
      <c r="X7024">
        <v>0.99933150000000004</v>
      </c>
      <c r="Y7024">
        <v>-2.7055969999999999E-2</v>
      </c>
      <c r="Z7024">
        <v>-2.325847E-2</v>
      </c>
      <c r="AA7024">
        <v>0.99936329999999995</v>
      </c>
      <c r="AB7024">
        <v>38</v>
      </c>
      <c r="AC7024">
        <v>-1.50229999999999</v>
      </c>
      <c r="AD7024">
        <v>-1.1086792643529999</v>
      </c>
      <c r="AE7024">
        <v>47.289319999999996</v>
      </c>
      <c r="AF7024">
        <v>-1.2890785246879799</v>
      </c>
      <c r="AG7024">
        <v>-1.1086792643529999</v>
      </c>
      <c r="AH7024">
        <v>47.269637737127603</v>
      </c>
      <c r="AI7024">
        <v>91.343090552797406</v>
      </c>
      <c r="AJ7024">
        <v>91.562111773873696</v>
      </c>
      <c r="AK7024">
        <v>47.300206605820399</v>
      </c>
      <c r="AL7024">
        <v>88.234105807052501</v>
      </c>
      <c r="AM7024">
        <v>88.872210060946202</v>
      </c>
      <c r="AN7024">
        <v>1.0000000439574701</v>
      </c>
    </row>
    <row r="7025" spans="1:40" x14ac:dyDescent="0.25">
      <c r="A7025" t="str">
        <f>"20190312173102536"</f>
        <v>20190312173102536</v>
      </c>
      <c r="B7025" t="str">
        <f>"1552383062524308"</f>
        <v>1552383062524308</v>
      </c>
      <c r="C7025" t="s">
        <v>40</v>
      </c>
      <c r="D7025">
        <v>3.0113159999999999</v>
      </c>
      <c r="E7025">
        <v>0.483236</v>
      </c>
      <c r="F7025" t="s">
        <v>41</v>
      </c>
      <c r="G7025">
        <v>-188.98509999999999</v>
      </c>
      <c r="H7025" s="1">
        <v>-2.314827E-6</v>
      </c>
      <c r="I7025">
        <v>84.609049999999996</v>
      </c>
      <c r="J7025">
        <v>-187.4966</v>
      </c>
      <c r="K7025">
        <v>1.1086800000000001</v>
      </c>
      <c r="L7025">
        <v>37.58417</v>
      </c>
      <c r="M7025">
        <v>-4.5749359999999999E-3</v>
      </c>
      <c r="N7025">
        <v>0</v>
      </c>
      <c r="O7025">
        <v>0.99995959999999995</v>
      </c>
      <c r="P7025">
        <v>1.545667E-2</v>
      </c>
      <c r="Q7025">
        <v>2.3503940000000001E-2</v>
      </c>
      <c r="R7025">
        <v>0.99960420000000005</v>
      </c>
      <c r="S7025">
        <v>-9.4451900000000005E-2</v>
      </c>
      <c r="T7025">
        <v>-7.0265049999999996E-2</v>
      </c>
      <c r="U7025">
        <v>3.0042110000000002</v>
      </c>
      <c r="V7025">
        <v>2.0024480000000001E-2</v>
      </c>
      <c r="W7025">
        <v>3.1233770000000001E-2</v>
      </c>
      <c r="X7025">
        <v>0.99931150000000002</v>
      </c>
      <c r="Y7025">
        <v>-2.6842580000000001E-2</v>
      </c>
      <c r="Z7025">
        <v>-2.3372110000000001E-2</v>
      </c>
      <c r="AA7025">
        <v>0.99936639999999999</v>
      </c>
      <c r="AB7025">
        <v>38</v>
      </c>
      <c r="AC7025">
        <v>-1.48849999999998</v>
      </c>
      <c r="AD7025">
        <v>-1.108682314827</v>
      </c>
      <c r="AE7025">
        <v>47.024880000000003</v>
      </c>
      <c r="AF7025">
        <v>-1.27263547681045</v>
      </c>
      <c r="AG7025">
        <v>-1.108682314827</v>
      </c>
      <c r="AH7025">
        <v>47.0050961429667</v>
      </c>
      <c r="AI7025">
        <v>91.350657498647195</v>
      </c>
      <c r="AJ7025">
        <v>91.550870840513198</v>
      </c>
      <c r="AK7025">
        <v>47.035389239822301</v>
      </c>
      <c r="AL7025">
        <v>88.210145707314396</v>
      </c>
      <c r="AM7025">
        <v>88.852044966884606</v>
      </c>
      <c r="AN7025">
        <v>1.0000000011099599</v>
      </c>
    </row>
    <row r="7026" spans="1:40" x14ac:dyDescent="0.25">
      <c r="A7026" t="str">
        <f>"20190312173102557"</f>
        <v>20190312173102557</v>
      </c>
      <c r="B7026" t="str">
        <f>"1552383062544806"</f>
        <v>1552383062544806</v>
      </c>
      <c r="C7026" t="s">
        <v>40</v>
      </c>
      <c r="D7026">
        <v>3.0082</v>
      </c>
      <c r="E7026">
        <v>0.48319899999999999</v>
      </c>
      <c r="F7026" t="s">
        <v>41</v>
      </c>
      <c r="G7026">
        <v>-188.99860000000001</v>
      </c>
      <c r="H7026" s="1">
        <v>-2.8140149999999999E-6</v>
      </c>
      <c r="I7026">
        <v>85.778219999999905</v>
      </c>
      <c r="J7026">
        <v>-187.4983</v>
      </c>
      <c r="K7026">
        <v>1.1086819999999999</v>
      </c>
      <c r="L7026">
        <v>37.950530000000001</v>
      </c>
      <c r="M7026">
        <v>-4.654119E-3</v>
      </c>
      <c r="N7026">
        <v>0</v>
      </c>
      <c r="O7026">
        <v>0.99995919999999905</v>
      </c>
      <c r="P7026">
        <v>1.563486E-2</v>
      </c>
      <c r="Q7026">
        <v>2.3909369999999999E-2</v>
      </c>
      <c r="R7026">
        <v>0.99959189999999998</v>
      </c>
      <c r="S7026">
        <v>-9.3627929999999998E-2</v>
      </c>
      <c r="T7026">
        <v>-6.9111939999999997E-2</v>
      </c>
      <c r="U7026">
        <v>3.0042719999999998</v>
      </c>
      <c r="V7026">
        <v>2.0281670000000002E-2</v>
      </c>
      <c r="W7026">
        <v>3.1651760000000001E-2</v>
      </c>
      <c r="X7026">
        <v>0.99929310000000005</v>
      </c>
      <c r="Y7026">
        <v>-2.6489240000000001E-2</v>
      </c>
      <c r="Z7026">
        <v>-2.298849E-2</v>
      </c>
      <c r="AA7026">
        <v>0.99938479999999996</v>
      </c>
      <c r="AB7026">
        <v>38</v>
      </c>
      <c r="AC7026">
        <v>-1.50030000000001</v>
      </c>
      <c r="AD7026">
        <v>-1.1086848140150001</v>
      </c>
      <c r="AE7026">
        <v>47.827689999999897</v>
      </c>
      <c r="AF7026">
        <v>-1.27699579874971</v>
      </c>
      <c r="AG7026">
        <v>-1.1086848140150001</v>
      </c>
      <c r="AH7026">
        <v>47.808490110670299</v>
      </c>
      <c r="AI7026">
        <v>91.327984648640793</v>
      </c>
      <c r="AJ7026">
        <v>91.530043650824794</v>
      </c>
      <c r="AK7026">
        <v>47.838390722817103</v>
      </c>
      <c r="AL7026">
        <v>88.186184685811696</v>
      </c>
      <c r="AM7026">
        <v>88.837283504802699</v>
      </c>
      <c r="AN7026">
        <v>0.99999993987834601</v>
      </c>
    </row>
    <row r="7027" spans="1:40" x14ac:dyDescent="0.25">
      <c r="A7027" t="str">
        <f>"20190312173102579"</f>
        <v>20190312173102579</v>
      </c>
      <c r="B7027" t="str">
        <f>"1552383062574082"</f>
        <v>1552383062574082</v>
      </c>
      <c r="C7027" t="s">
        <v>40</v>
      </c>
      <c r="D7027">
        <v>2.9761890000000002</v>
      </c>
      <c r="E7027">
        <v>0.48312680000000002</v>
      </c>
      <c r="F7027" t="s">
        <v>41</v>
      </c>
      <c r="G7027">
        <v>-189.02289999999999</v>
      </c>
      <c r="H7027" s="1">
        <v>-3.3063539999999998E-6</v>
      </c>
      <c r="I7027">
        <v>86.935969999999998</v>
      </c>
      <c r="J7027">
        <v>-187.50020000000001</v>
      </c>
      <c r="K7027">
        <v>1.1086800000000001</v>
      </c>
      <c r="L7027">
        <v>38.332430000000002</v>
      </c>
      <c r="M7027">
        <v>-4.7368039999999998E-3</v>
      </c>
      <c r="N7027">
        <v>0</v>
      </c>
      <c r="O7027">
        <v>0.99995869999999998</v>
      </c>
      <c r="P7027">
        <v>1.536013E-2</v>
      </c>
      <c r="Q7027">
        <v>2.4193079999999999E-2</v>
      </c>
      <c r="R7027">
        <v>0.99958930000000001</v>
      </c>
      <c r="S7027">
        <v>-9.3505859999999996E-2</v>
      </c>
      <c r="T7027">
        <v>-6.7996260000000003E-2</v>
      </c>
      <c r="U7027">
        <v>3.0043030000000002</v>
      </c>
      <c r="V7027">
        <v>2.0089510000000001E-2</v>
      </c>
      <c r="W7027">
        <v>3.1948209999999998E-2</v>
      </c>
      <c r="X7027">
        <v>0.99928760000000005</v>
      </c>
      <c r="Y7027">
        <v>-2.6365949999999999E-2</v>
      </c>
      <c r="Z7027">
        <v>-2.2617379999999999E-2</v>
      </c>
      <c r="AA7027">
        <v>0.99939639999999996</v>
      </c>
      <c r="AB7027">
        <v>38</v>
      </c>
      <c r="AC7027">
        <v>-1.52269999999998</v>
      </c>
      <c r="AD7027">
        <v>-1.10868330635399</v>
      </c>
      <c r="AE7027">
        <v>48.603540000000002</v>
      </c>
      <c r="AF7027">
        <v>-1.29177905507767</v>
      </c>
      <c r="AG7027">
        <v>-1.10868330635399</v>
      </c>
      <c r="AH7027">
        <v>48.5849522061608</v>
      </c>
      <c r="AI7027">
        <v>91.306771323473995</v>
      </c>
      <c r="AJ7027">
        <v>91.523024132132306</v>
      </c>
      <c r="AK7027">
        <v>48.614765788552901</v>
      </c>
      <c r="AL7027">
        <v>88.169190851755701</v>
      </c>
      <c r="AM7027">
        <v>88.848290419239007</v>
      </c>
      <c r="AN7027">
        <v>0.99999999202400203</v>
      </c>
    </row>
    <row r="7028" spans="1:40" x14ac:dyDescent="0.25">
      <c r="A7028" t="str">
        <f>"20190312173102602"</f>
        <v>20190312173102602</v>
      </c>
      <c r="B7028" t="str">
        <f>"1552383062594578"</f>
        <v>1552383062594578</v>
      </c>
      <c r="C7028" t="s">
        <v>40</v>
      </c>
      <c r="D7028">
        <v>2.951994</v>
      </c>
      <c r="E7028">
        <v>0.48308859999999898</v>
      </c>
      <c r="F7028" t="s">
        <v>41</v>
      </c>
      <c r="G7028">
        <v>-189.0762</v>
      </c>
      <c r="H7028" s="1">
        <v>-3.8480719999999997E-6</v>
      </c>
      <c r="I7028">
        <v>88.220749999999995</v>
      </c>
      <c r="J7028">
        <v>-187.50200000000001</v>
      </c>
      <c r="K7028">
        <v>1.108679</v>
      </c>
      <c r="L7028">
        <v>38.708979999999997</v>
      </c>
      <c r="M7028">
        <v>-4.818236E-3</v>
      </c>
      <c r="N7028">
        <v>0</v>
      </c>
      <c r="O7028">
        <v>0.99995820000000002</v>
      </c>
      <c r="P7028">
        <v>1.499288E-2</v>
      </c>
      <c r="Q7028">
        <v>2.4234260000000001E-2</v>
      </c>
      <c r="R7028">
        <v>0.99959390000000004</v>
      </c>
      <c r="S7028">
        <v>-9.4909670000000002E-2</v>
      </c>
      <c r="T7028">
        <v>-6.6765550000000007E-2</v>
      </c>
      <c r="U7028">
        <v>3.0043030000000002</v>
      </c>
      <c r="V7028">
        <v>1.9803649999999999E-2</v>
      </c>
      <c r="W7028">
        <v>3.2003009999999998E-2</v>
      </c>
      <c r="X7028">
        <v>0.9992915</v>
      </c>
      <c r="Y7028">
        <v>-2.6751359999999998E-2</v>
      </c>
      <c r="Z7028">
        <v>-2.2207919999999999E-2</v>
      </c>
      <c r="AA7028">
        <v>0.99939540000000004</v>
      </c>
      <c r="AB7028">
        <v>38</v>
      </c>
      <c r="AC7028">
        <v>-1.5741999999999901</v>
      </c>
      <c r="AD7028">
        <v>-1.1086828480719999</v>
      </c>
      <c r="AE7028">
        <v>49.511769999999999</v>
      </c>
      <c r="AF7028">
        <v>-1.33494644366971</v>
      </c>
      <c r="AG7028">
        <v>-1.1086828480719999</v>
      </c>
      <c r="AH7028">
        <v>49.493988349458</v>
      </c>
      <c r="AI7028">
        <v>91.282764773433598</v>
      </c>
      <c r="AJ7028">
        <v>91.545000920879403</v>
      </c>
      <c r="AK7028">
        <v>49.524399465327797</v>
      </c>
      <c r="AL7028">
        <v>88.166049340449405</v>
      </c>
      <c r="AM7028">
        <v>88.864678568998499</v>
      </c>
      <c r="AN7028">
        <v>0.99999993958731404</v>
      </c>
    </row>
    <row r="7029" spans="1:40" x14ac:dyDescent="0.25">
      <c r="A7029" t="str">
        <f>"20190312173102624"</f>
        <v>20190312173102624</v>
      </c>
      <c r="B7029" t="str">
        <f>"1552383062615076"</f>
        <v>1552383062615076</v>
      </c>
      <c r="C7029" t="s">
        <v>40</v>
      </c>
      <c r="D7029">
        <v>2.921516</v>
      </c>
      <c r="E7029">
        <v>0.48301040000000001</v>
      </c>
      <c r="F7029" t="s">
        <v>41</v>
      </c>
      <c r="G7029">
        <v>-189.10419999999999</v>
      </c>
      <c r="H7029" s="1">
        <v>-4.0426780000000001E-6</v>
      </c>
      <c r="I7029">
        <v>88.685950000000005</v>
      </c>
      <c r="J7029">
        <v>-187.50389999999999</v>
      </c>
      <c r="K7029">
        <v>1.1086769999999999</v>
      </c>
      <c r="L7029">
        <v>39.092619999999997</v>
      </c>
      <c r="M7029">
        <v>-4.9009129999999998E-3</v>
      </c>
      <c r="N7029">
        <v>0</v>
      </c>
      <c r="O7029">
        <v>0.99995769999999995</v>
      </c>
      <c r="P7029">
        <v>1.4361540000000001E-2</v>
      </c>
      <c r="Q7029">
        <v>2.4361830000000001E-2</v>
      </c>
      <c r="R7029">
        <v>0.99960009999999999</v>
      </c>
      <c r="S7029">
        <v>-9.6313480000000007E-2</v>
      </c>
      <c r="T7029">
        <v>-6.6646460000000005E-2</v>
      </c>
      <c r="U7029">
        <v>3.0042719999999998</v>
      </c>
      <c r="V7029">
        <v>1.925493E-2</v>
      </c>
      <c r="W7029">
        <v>3.2144079999999998E-2</v>
      </c>
      <c r="X7029">
        <v>0.99929769999999896</v>
      </c>
      <c r="Y7029">
        <v>-2.7135579999999999E-2</v>
      </c>
      <c r="Z7029">
        <v>-2.2168259999999999E-2</v>
      </c>
      <c r="AA7029">
        <v>0.999386</v>
      </c>
      <c r="AB7029">
        <v>38</v>
      </c>
      <c r="AC7029">
        <v>-1.6003000000000001</v>
      </c>
      <c r="AD7029">
        <v>-1.1086810426780001</v>
      </c>
      <c r="AE7029">
        <v>49.593330000000002</v>
      </c>
      <c r="AF7029">
        <v>-1.3565435727803601</v>
      </c>
      <c r="AG7029">
        <v>-1.1086810426780001</v>
      </c>
      <c r="AH7029">
        <v>49.575826998258002</v>
      </c>
      <c r="AI7029">
        <v>91.280632242604696</v>
      </c>
      <c r="AJ7029">
        <v>91.567393558607804</v>
      </c>
      <c r="AK7029">
        <v>49.606773798347902</v>
      </c>
      <c r="AL7029">
        <v>88.157962471342202</v>
      </c>
      <c r="AM7029">
        <v>88.896135034345704</v>
      </c>
      <c r="AN7029">
        <v>0.999999943716818</v>
      </c>
    </row>
    <row r="7030" spans="1:40" x14ac:dyDescent="0.25">
      <c r="A7030" t="str">
        <f>"20190312173102646"</f>
        <v>20190312173102646</v>
      </c>
      <c r="B7030" t="str">
        <f>"1552383062634594"</f>
        <v>1552383062634594</v>
      </c>
      <c r="C7030" t="s">
        <v>40</v>
      </c>
      <c r="D7030">
        <v>2.957084</v>
      </c>
      <c r="E7030">
        <v>0.48297909999999999</v>
      </c>
      <c r="F7030" t="s">
        <v>41</v>
      </c>
      <c r="G7030">
        <v>-189.17330000000001</v>
      </c>
      <c r="H7030" s="1">
        <v>-2.89497099999999E-7</v>
      </c>
      <c r="I7030">
        <v>89.852360000000004</v>
      </c>
      <c r="J7030">
        <v>-187.50579999999999</v>
      </c>
      <c r="K7030">
        <v>1.1086769999999999</v>
      </c>
      <c r="L7030">
        <v>39.47101</v>
      </c>
      <c r="M7030">
        <v>-4.98249E-3</v>
      </c>
      <c r="N7030">
        <v>0</v>
      </c>
      <c r="O7030">
        <v>0.99995719999999999</v>
      </c>
      <c r="P7030">
        <v>1.438598E-2</v>
      </c>
      <c r="Q7030">
        <v>2.4603980000000001E-2</v>
      </c>
      <c r="R7030">
        <v>0.99959370000000003</v>
      </c>
      <c r="S7030">
        <v>-9.8800659999999998E-2</v>
      </c>
      <c r="T7030">
        <v>-6.5616969999999997E-2</v>
      </c>
      <c r="U7030">
        <v>3.0042110000000002</v>
      </c>
      <c r="V7030">
        <v>1.9360809999999999E-2</v>
      </c>
      <c r="W7030">
        <v>3.2399049999999999E-2</v>
      </c>
      <c r="X7030">
        <v>0.9992875</v>
      </c>
      <c r="Y7030">
        <v>-2.7881429999999999E-2</v>
      </c>
      <c r="Z7030">
        <v>-2.1825899999999999E-2</v>
      </c>
      <c r="AA7030">
        <v>0.99937299999999996</v>
      </c>
      <c r="AB7030">
        <v>38</v>
      </c>
      <c r="AC7030">
        <v>-1.66750000000001</v>
      </c>
      <c r="AD7030">
        <v>-1.1086772894971</v>
      </c>
      <c r="AE7030">
        <v>50.381349999999998</v>
      </c>
      <c r="AF7030">
        <v>-1.41576226556607</v>
      </c>
      <c r="AG7030">
        <v>-1.1086772894971</v>
      </c>
      <c r="AH7030">
        <v>50.364670684777003</v>
      </c>
      <c r="AI7030">
        <v>91.260550321786496</v>
      </c>
      <c r="AJ7030">
        <v>91.610173277661502</v>
      </c>
      <c r="AK7030">
        <v>50.396761813740397</v>
      </c>
      <c r="AL7030">
        <v>88.143346300721404</v>
      </c>
      <c r="AM7030">
        <v>88.890055232647498</v>
      </c>
      <c r="AN7030">
        <v>1.0000000235305</v>
      </c>
    </row>
    <row r="7031" spans="1:40" x14ac:dyDescent="0.25">
      <c r="A7031" t="str">
        <f>"20190312173102670"</f>
        <v>20190312173102670</v>
      </c>
      <c r="B7031" t="str">
        <f>"1552383062664850"</f>
        <v>1552383062664850</v>
      </c>
      <c r="C7031" t="s">
        <v>40</v>
      </c>
      <c r="D7031">
        <v>2.9306239999999999</v>
      </c>
      <c r="E7031">
        <v>0.4828634</v>
      </c>
      <c r="F7031" t="s">
        <v>41</v>
      </c>
      <c r="G7031">
        <v>-189.1962</v>
      </c>
      <c r="H7031" s="1">
        <v>-6.2227489999999996E-7</v>
      </c>
      <c r="I7031">
        <v>90.75094</v>
      </c>
      <c r="J7031">
        <v>-187.50790000000001</v>
      </c>
      <c r="K7031">
        <v>1.1086800000000001</v>
      </c>
      <c r="L7031">
        <v>39.878079999999997</v>
      </c>
      <c r="M7031">
        <v>-5.0699170000000002E-3</v>
      </c>
      <c r="N7031">
        <v>0</v>
      </c>
      <c r="O7031">
        <v>0.99995670000000003</v>
      </c>
      <c r="P7031">
        <v>1.462954E-2</v>
      </c>
      <c r="Q7031">
        <v>2.4374920000000001E-2</v>
      </c>
      <c r="R7031">
        <v>0.99959580000000003</v>
      </c>
      <c r="S7031">
        <v>-9.9029539999999999E-2</v>
      </c>
      <c r="T7031">
        <v>-6.4952019999999999E-2</v>
      </c>
      <c r="U7031">
        <v>3.0042420000000001</v>
      </c>
      <c r="V7031">
        <v>1.9691750000000001E-2</v>
      </c>
      <c r="W7031">
        <v>3.2184119999999997E-2</v>
      </c>
      <c r="X7031">
        <v>0.99928799999999995</v>
      </c>
      <c r="Y7031">
        <v>-2.7869919999999999E-2</v>
      </c>
      <c r="Z7031">
        <v>-2.1604580000000002E-2</v>
      </c>
      <c r="AA7031">
        <v>0.99937810000000005</v>
      </c>
      <c r="AB7031">
        <v>38</v>
      </c>
      <c r="AC7031">
        <v>-1.6882999999999899</v>
      </c>
      <c r="AD7031">
        <v>-1.1086806222748999</v>
      </c>
      <c r="AE7031">
        <v>50.872859999999903</v>
      </c>
      <c r="AF7031">
        <v>-1.4296710055678701</v>
      </c>
      <c r="AG7031">
        <v>-1.1086806222748999</v>
      </c>
      <c r="AH7031">
        <v>50.856638555509001</v>
      </c>
      <c r="AI7031">
        <v>91.248363809507495</v>
      </c>
      <c r="AJ7031">
        <v>91.610262673730603</v>
      </c>
      <c r="AK7031">
        <v>50.888808367577802</v>
      </c>
      <c r="AL7031">
        <v>88.155667347052898</v>
      </c>
      <c r="AM7031">
        <v>88.871088054838197</v>
      </c>
      <c r="AN7031">
        <v>1.0000000447711099</v>
      </c>
    </row>
    <row r="7032" spans="1:40" x14ac:dyDescent="0.25">
      <c r="A7032" t="str">
        <f>"20190312173102692"</f>
        <v>20190312173102692</v>
      </c>
      <c r="B7032" t="str">
        <f>"1552383062684370"</f>
        <v>1552383062684370</v>
      </c>
      <c r="C7032" t="s">
        <v>40</v>
      </c>
      <c r="D7032">
        <v>2.9501050000000002</v>
      </c>
      <c r="E7032">
        <v>0.48281200000000002</v>
      </c>
      <c r="F7032" t="s">
        <v>41</v>
      </c>
      <c r="G7032">
        <v>-189.17830000000001</v>
      </c>
      <c r="H7032" s="1">
        <v>-4.8699839999999997E-7</v>
      </c>
      <c r="I7032">
        <v>90.428229999999999</v>
      </c>
      <c r="J7032">
        <v>-187.50989999999999</v>
      </c>
      <c r="K7032">
        <v>1.1086780000000001</v>
      </c>
      <c r="L7032">
        <v>40.256039999999999</v>
      </c>
      <c r="M7032">
        <v>-5.1513189999999997E-3</v>
      </c>
      <c r="N7032">
        <v>0</v>
      </c>
      <c r="O7032">
        <v>0.99995610000000001</v>
      </c>
      <c r="P7032">
        <v>1.4460600000000001E-2</v>
      </c>
      <c r="Q7032">
        <v>2.4427959999999999E-2</v>
      </c>
      <c r="R7032">
        <v>0.99959699999999996</v>
      </c>
      <c r="S7032">
        <v>-9.9273680000000003E-2</v>
      </c>
      <c r="T7032">
        <v>-6.5890550000000006E-2</v>
      </c>
      <c r="U7032">
        <v>3.0042719999999998</v>
      </c>
      <c r="V7032">
        <v>1.9604150000000001E-2</v>
      </c>
      <c r="W7032">
        <v>3.2250840000000003E-2</v>
      </c>
      <c r="X7032">
        <v>0.9992875</v>
      </c>
      <c r="Y7032">
        <v>-2.7869109999999999E-2</v>
      </c>
      <c r="Z7032">
        <v>-2.1916339999999999E-2</v>
      </c>
      <c r="AA7032">
        <v>0.99937129999999996</v>
      </c>
      <c r="AB7032">
        <v>38</v>
      </c>
      <c r="AC7032">
        <v>-1.6684000000000101</v>
      </c>
      <c r="AD7032">
        <v>-1.1086784869983899</v>
      </c>
      <c r="AE7032">
        <v>50.172189999999901</v>
      </c>
      <c r="AF7032">
        <v>-1.40922962523197</v>
      </c>
      <c r="AG7032">
        <v>-1.1086784869983899</v>
      </c>
      <c r="AH7032">
        <v>50.155655127692697</v>
      </c>
      <c r="AI7032">
        <v>91.265803587565898</v>
      </c>
      <c r="AJ7032">
        <v>91.609423150623797</v>
      </c>
      <c r="AK7032">
        <v>50.1876960759529</v>
      </c>
      <c r="AL7032">
        <v>88.151842455579398</v>
      </c>
      <c r="AM7032">
        <v>88.876108238089699</v>
      </c>
      <c r="AN7032">
        <v>0.99999997351708803</v>
      </c>
    </row>
    <row r="7033" spans="1:40" x14ac:dyDescent="0.25">
      <c r="A7033" t="str">
        <f>"20190312173102714"</f>
        <v>20190312173102714</v>
      </c>
      <c r="B7033" t="str">
        <f>"1552383062704866"</f>
        <v>1552383062704866</v>
      </c>
      <c r="C7033" t="s">
        <v>40</v>
      </c>
      <c r="D7033">
        <v>2.9388700000000001</v>
      </c>
      <c r="E7033">
        <v>0.482792</v>
      </c>
      <c r="F7033" t="s">
        <v>41</v>
      </c>
      <c r="G7033">
        <v>-189.19579999999999</v>
      </c>
      <c r="H7033" s="1">
        <v>-6.9935529999999998E-7</v>
      </c>
      <c r="I7033">
        <v>90.930440000000004</v>
      </c>
      <c r="J7033">
        <v>-187.512</v>
      </c>
      <c r="K7033">
        <v>1.1086800000000001</v>
      </c>
      <c r="L7033">
        <v>40.646880000000003</v>
      </c>
      <c r="M7033">
        <v>-5.23559E-3</v>
      </c>
      <c r="N7033">
        <v>0</v>
      </c>
      <c r="O7033">
        <v>0.99995560000000006</v>
      </c>
      <c r="P7033">
        <v>1.4448859999999999E-2</v>
      </c>
      <c r="Q7033">
        <v>2.4385440000000001E-2</v>
      </c>
      <c r="R7033">
        <v>0.99959819999999999</v>
      </c>
      <c r="S7033">
        <v>-9.9945069999999997E-2</v>
      </c>
      <c r="T7033">
        <v>-6.5728899999999896E-2</v>
      </c>
      <c r="U7033">
        <v>3.0042719999999998</v>
      </c>
      <c r="V7033">
        <v>1.967665E-2</v>
      </c>
      <c r="W7033">
        <v>3.222129E-2</v>
      </c>
      <c r="X7033">
        <v>0.99928709999999998</v>
      </c>
      <c r="Y7033">
        <v>-2.800799E-2</v>
      </c>
      <c r="Z7033">
        <v>-2.186246E-2</v>
      </c>
      <c r="AA7033">
        <v>0.99936860000000005</v>
      </c>
      <c r="AB7033">
        <v>38</v>
      </c>
      <c r="AC7033">
        <v>-1.68379999999999</v>
      </c>
      <c r="AD7033">
        <v>-1.10868069935529</v>
      </c>
      <c r="AE7033">
        <v>50.283560000000001</v>
      </c>
      <c r="AF7033">
        <v>-1.41981528080689</v>
      </c>
      <c r="AG7033">
        <v>-1.10868069935529</v>
      </c>
      <c r="AH7033">
        <v>50.267277198768198</v>
      </c>
      <c r="AI7033">
        <v>91.262990944505603</v>
      </c>
      <c r="AJ7033">
        <v>91.617907407956196</v>
      </c>
      <c r="AK7033">
        <v>50.299544782259602</v>
      </c>
      <c r="AL7033">
        <v>88.153536558617802</v>
      </c>
      <c r="AM7033">
        <v>88.871952486031702</v>
      </c>
      <c r="AN7033">
        <v>1.0000000451554401</v>
      </c>
    </row>
    <row r="7034" spans="1:40" x14ac:dyDescent="0.25">
      <c r="A7034" t="str">
        <f>"20190312173102737"</f>
        <v>20190312173102737</v>
      </c>
      <c r="B7034" t="str">
        <f>"1552383062724386"</f>
        <v>1552383062724386</v>
      </c>
      <c r="C7034" t="s">
        <v>40</v>
      </c>
      <c r="D7034">
        <v>2.933996</v>
      </c>
      <c r="E7034">
        <v>0.48276049999999998</v>
      </c>
      <c r="F7034" t="s">
        <v>41</v>
      </c>
      <c r="G7034">
        <v>-189.2021</v>
      </c>
      <c r="H7034" s="1">
        <v>-8.3195499999999996E-7</v>
      </c>
      <c r="I7034">
        <v>91.242180000000005</v>
      </c>
      <c r="J7034">
        <v>-187.51410000000001</v>
      </c>
      <c r="K7034">
        <v>1.1086800000000001</v>
      </c>
      <c r="L7034">
        <v>41.025730000000003</v>
      </c>
      <c r="M7034">
        <v>-5.3173990000000004E-3</v>
      </c>
      <c r="N7034">
        <v>0</v>
      </c>
      <c r="O7034">
        <v>0.99995509999999999</v>
      </c>
      <c r="P7034">
        <v>1.4509009999999999E-2</v>
      </c>
      <c r="Q7034">
        <v>2.4684500000000002E-2</v>
      </c>
      <c r="R7034">
        <v>0.99958999999999998</v>
      </c>
      <c r="S7034">
        <v>-0.1003571</v>
      </c>
      <c r="T7034">
        <v>-6.5831780000000006E-2</v>
      </c>
      <c r="U7034">
        <v>3.0042719999999998</v>
      </c>
      <c r="V7034">
        <v>1.981846E-2</v>
      </c>
      <c r="W7034">
        <v>3.2533930000000003E-2</v>
      </c>
      <c r="X7034">
        <v>0.99927410000000005</v>
      </c>
      <c r="Y7034">
        <v>-2.8063080000000001E-2</v>
      </c>
      <c r="Z7034">
        <v>-2.1896579999999999E-2</v>
      </c>
      <c r="AA7034">
        <v>0.99936630000000004</v>
      </c>
      <c r="AB7034">
        <v>38</v>
      </c>
      <c r="AC7034">
        <v>-1.68799999999998</v>
      </c>
      <c r="AD7034">
        <v>-1.1086808319549999</v>
      </c>
      <c r="AE7034">
        <v>50.216450000000002</v>
      </c>
      <c r="AF7034">
        <v>-1.4202555112733399</v>
      </c>
      <c r="AG7034">
        <v>-1.1086808319549999</v>
      </c>
      <c r="AH7034">
        <v>50.200274070581202</v>
      </c>
      <c r="AI7034">
        <v>91.264674623875706</v>
      </c>
      <c r="AJ7034">
        <v>91.620567758091099</v>
      </c>
      <c r="AK7034">
        <v>50.232597142352901</v>
      </c>
      <c r="AL7034">
        <v>88.135614084014705</v>
      </c>
      <c r="AM7034">
        <v>88.863809971957394</v>
      </c>
      <c r="AN7034">
        <v>0.99999997744441305</v>
      </c>
    </row>
    <row r="7035" spans="1:40" x14ac:dyDescent="0.25">
      <c r="A7035" t="str">
        <f>"20190312173102758"</f>
        <v>20190312173102758</v>
      </c>
      <c r="B7035" t="str">
        <f>"1552383062754643"</f>
        <v>1552383062754643</v>
      </c>
      <c r="C7035" t="s">
        <v>40</v>
      </c>
      <c r="D7035">
        <v>2.9358949999999999</v>
      </c>
      <c r="E7035">
        <v>0.48271340000000001</v>
      </c>
      <c r="F7035" t="s">
        <v>41</v>
      </c>
      <c r="G7035">
        <v>-189.22720000000001</v>
      </c>
      <c r="H7035" s="1">
        <v>-1.3331589999999999E-6</v>
      </c>
      <c r="I7035">
        <v>92.420879999999997</v>
      </c>
      <c r="J7035">
        <v>-187.51609999999999</v>
      </c>
      <c r="K7035">
        <v>1.108673</v>
      </c>
      <c r="L7035">
        <v>41.399259999999998</v>
      </c>
      <c r="M7035">
        <v>-5.3978350000000001E-3</v>
      </c>
      <c r="N7035">
        <v>0</v>
      </c>
      <c r="O7035">
        <v>0.99995449999999997</v>
      </c>
      <c r="P7035">
        <v>1.4256110000000001E-2</v>
      </c>
      <c r="Q7035">
        <v>2.514338E-2</v>
      </c>
      <c r="R7035">
        <v>0.99958219999999998</v>
      </c>
      <c r="S7035">
        <v>-0.10014339999999999</v>
      </c>
      <c r="T7035">
        <v>-6.4807299999999998E-2</v>
      </c>
      <c r="U7035">
        <v>3.0042719999999998</v>
      </c>
      <c r="V7035">
        <v>1.964581E-2</v>
      </c>
      <c r="W7035">
        <v>3.3006220000000003E-2</v>
      </c>
      <c r="X7035">
        <v>0.99926199999999998</v>
      </c>
      <c r="Y7035">
        <v>-2.791194E-2</v>
      </c>
      <c r="Z7035">
        <v>-2.1556039999999999E-2</v>
      </c>
      <c r="AA7035">
        <v>0.99937799999999999</v>
      </c>
      <c r="AB7035">
        <v>39</v>
      </c>
      <c r="AC7035">
        <v>-1.7111000000000101</v>
      </c>
      <c r="AD7035">
        <v>-1.1086743331589901</v>
      </c>
      <c r="AE7035">
        <v>51.021619999999999</v>
      </c>
      <c r="AF7035">
        <v>-1.43498346868311</v>
      </c>
      <c r="AG7035">
        <v>-1.1086743331589901</v>
      </c>
      <c r="AH7035">
        <v>51.006056636403898</v>
      </c>
      <c r="AI7035">
        <v>91.244700160903903</v>
      </c>
      <c r="AJ7035">
        <v>91.611510871331106</v>
      </c>
      <c r="AK7035">
        <v>51.038281220358897</v>
      </c>
      <c r="AL7035">
        <v>88.108539278465102</v>
      </c>
      <c r="AM7035">
        <v>88.873691780991507</v>
      </c>
      <c r="AN7035">
        <v>0.99999995652662099</v>
      </c>
    </row>
    <row r="7036" spans="1:40" x14ac:dyDescent="0.25">
      <c r="A7036" t="str">
        <f>"20190312173102780"</f>
        <v>20190312173102780</v>
      </c>
      <c r="B7036" t="str">
        <f>"1552383062774162"</f>
        <v>1552383062774162</v>
      </c>
      <c r="C7036" t="s">
        <v>40</v>
      </c>
      <c r="D7036">
        <v>2.936909</v>
      </c>
      <c r="E7036">
        <v>0.48268230000000001</v>
      </c>
      <c r="F7036" t="s">
        <v>41</v>
      </c>
      <c r="G7036">
        <v>-189.29140000000001</v>
      </c>
      <c r="H7036" s="1">
        <v>-1.9795650000000002E-6</v>
      </c>
      <c r="I7036">
        <v>93.9542</v>
      </c>
      <c r="J7036">
        <v>-187.51820000000001</v>
      </c>
      <c r="K7036">
        <v>1.108671</v>
      </c>
      <c r="L7036">
        <v>41.781799999999997</v>
      </c>
      <c r="M7036">
        <v>-5.480146E-3</v>
      </c>
      <c r="N7036">
        <v>0</v>
      </c>
      <c r="O7036">
        <v>0.99995400000000001</v>
      </c>
      <c r="P7036">
        <v>1.420916E-2</v>
      </c>
      <c r="Q7036">
        <v>2.5295580000000002E-2</v>
      </c>
      <c r="R7036">
        <v>0.999579</v>
      </c>
      <c r="S7036">
        <v>-0.1014862</v>
      </c>
      <c r="T7036">
        <v>-6.3377379999999997E-2</v>
      </c>
      <c r="U7036">
        <v>3.0043030000000002</v>
      </c>
      <c r="V7036">
        <v>1.968106E-2</v>
      </c>
      <c r="W7036">
        <v>3.3171590000000001E-2</v>
      </c>
      <c r="X7036">
        <v>0.99925589999999997</v>
      </c>
      <c r="Y7036">
        <v>-2.8275829999999998E-2</v>
      </c>
      <c r="Z7036">
        <v>-2.1080149999999999E-2</v>
      </c>
      <c r="AA7036">
        <v>0.99937779999999998</v>
      </c>
      <c r="AB7036">
        <v>39</v>
      </c>
      <c r="AC7036">
        <v>-1.7732000000000001</v>
      </c>
      <c r="AD7036">
        <v>-1.1086729795650001</v>
      </c>
      <c r="AE7036">
        <v>52.172400000000003</v>
      </c>
      <c r="AF7036">
        <v>-1.48658162234149</v>
      </c>
      <c r="AG7036">
        <v>-1.1086729795650001</v>
      </c>
      <c r="AH7036">
        <v>52.157808483086797</v>
      </c>
      <c r="AI7036">
        <v>91.217208823202697</v>
      </c>
      <c r="AJ7036">
        <v>91.632580103975201</v>
      </c>
      <c r="AK7036">
        <v>52.190766103343002</v>
      </c>
      <c r="AL7036">
        <v>88.099059216039905</v>
      </c>
      <c r="AM7036">
        <v>88.8716645093306</v>
      </c>
      <c r="AN7036">
        <v>1.0000000260953299</v>
      </c>
    </row>
    <row r="7037" spans="1:40" x14ac:dyDescent="0.25">
      <c r="A7037" t="str">
        <f>"20190312173102803"</f>
        <v>20190312173102803</v>
      </c>
      <c r="B7037" t="str">
        <f>"1552383062794659"</f>
        <v>1552383062794659</v>
      </c>
      <c r="C7037" t="s">
        <v>40</v>
      </c>
      <c r="D7037">
        <v>2.9245730000000001</v>
      </c>
      <c r="E7037">
        <v>0.48265000000000002</v>
      </c>
      <c r="F7037" t="s">
        <v>41</v>
      </c>
      <c r="G7037">
        <v>-189.32220000000001</v>
      </c>
      <c r="H7037" s="1">
        <v>-2.430129E-6</v>
      </c>
      <c r="I7037">
        <v>95.017210000000006</v>
      </c>
      <c r="J7037">
        <v>-187.5205</v>
      </c>
      <c r="K7037">
        <v>1.1086739999999999</v>
      </c>
      <c r="L7037">
        <v>42.172640000000001</v>
      </c>
      <c r="M7037">
        <v>-5.5638579999999997E-3</v>
      </c>
      <c r="N7037">
        <v>0</v>
      </c>
      <c r="O7037">
        <v>0.99995339999999999</v>
      </c>
      <c r="P7037">
        <v>1.4473629999999999E-2</v>
      </c>
      <c r="Q7037">
        <v>2.5132580000000002E-2</v>
      </c>
      <c r="R7037">
        <v>0.99957940000000001</v>
      </c>
      <c r="S7037">
        <v>-0.1018066</v>
      </c>
      <c r="T7037">
        <v>-6.2567230000000001E-2</v>
      </c>
      <c r="U7037">
        <v>3.0043030000000002</v>
      </c>
      <c r="V7037">
        <v>2.0029180000000001E-2</v>
      </c>
      <c r="W7037">
        <v>3.3022429999999998E-2</v>
      </c>
      <c r="X7037">
        <v>0.99925390000000003</v>
      </c>
      <c r="Y7037">
        <v>-2.8298810000000001E-2</v>
      </c>
      <c r="Z7037">
        <v>-2.0810740000000001E-2</v>
      </c>
      <c r="AA7037">
        <v>0.99938289999999996</v>
      </c>
      <c r="AB7037">
        <v>39</v>
      </c>
      <c r="AC7037">
        <v>-1.8017000000000101</v>
      </c>
      <c r="AD7037">
        <v>-1.108676430129</v>
      </c>
      <c r="AE7037">
        <v>52.844569999999898</v>
      </c>
      <c r="AF7037">
        <v>-1.5069807368841399</v>
      </c>
      <c r="AG7037">
        <v>-1.108676430129</v>
      </c>
      <c r="AH7037">
        <v>52.830549910304903</v>
      </c>
      <c r="AI7037">
        <v>91.201716470449497</v>
      </c>
      <c r="AJ7037">
        <v>91.633907452515601</v>
      </c>
      <c r="AK7037">
        <v>52.863665765753403</v>
      </c>
      <c r="AL7037">
        <v>88.107610094872101</v>
      </c>
      <c r="AM7037">
        <v>88.851709429985604</v>
      </c>
      <c r="AN7037">
        <v>1.0000000027998901</v>
      </c>
    </row>
    <row r="7038" spans="1:40" x14ac:dyDescent="0.25">
      <c r="A7038" t="str">
        <f>"20190312173102826"</f>
        <v>20190312173102826</v>
      </c>
      <c r="B7038" t="str">
        <f>"1552383062814181"</f>
        <v>1552383062814181</v>
      </c>
      <c r="C7038" t="s">
        <v>40</v>
      </c>
      <c r="D7038">
        <v>2.9131689999999999</v>
      </c>
      <c r="E7038">
        <v>0.48264180000000001</v>
      </c>
      <c r="F7038" t="s">
        <v>41</v>
      </c>
      <c r="G7038">
        <v>-189.3023</v>
      </c>
      <c r="H7038" s="1">
        <v>-2.4398299999999999E-6</v>
      </c>
      <c r="I7038">
        <v>95.031589999999994</v>
      </c>
      <c r="J7038">
        <v>-187.52279999999999</v>
      </c>
      <c r="K7038">
        <v>1.108671</v>
      </c>
      <c r="L7038">
        <v>42.574829999999999</v>
      </c>
      <c r="M7038">
        <v>-5.6500839999999997E-3</v>
      </c>
      <c r="N7038">
        <v>0</v>
      </c>
      <c r="O7038">
        <v>0.99995279999999998</v>
      </c>
      <c r="P7038">
        <v>1.4694240000000001E-2</v>
      </c>
      <c r="Q7038">
        <v>2.537404E-2</v>
      </c>
      <c r="R7038">
        <v>0.99956999999999996</v>
      </c>
      <c r="S7038">
        <v>-0.1012726</v>
      </c>
      <c r="T7038">
        <v>-6.3012960000000007E-2</v>
      </c>
      <c r="U7038">
        <v>3.0043030000000002</v>
      </c>
      <c r="V7038">
        <v>2.0335860000000001E-2</v>
      </c>
      <c r="W7038">
        <v>3.3277870000000001E-2</v>
      </c>
      <c r="X7038">
        <v>0.99923919999999999</v>
      </c>
      <c r="Y7038">
        <v>-2.8035060000000001E-2</v>
      </c>
      <c r="Z7038">
        <v>-2.095905E-2</v>
      </c>
      <c r="AA7038">
        <v>0.99938720000000003</v>
      </c>
      <c r="AB7038">
        <v>39</v>
      </c>
      <c r="AC7038">
        <v>-1.7795000000000101</v>
      </c>
      <c r="AD7038">
        <v>-1.10867343983</v>
      </c>
      <c r="AE7038">
        <v>52.456760000000003</v>
      </c>
      <c r="AF7038">
        <v>-1.4824158187523699</v>
      </c>
      <c r="AG7038">
        <v>-1.10867343983</v>
      </c>
      <c r="AH7038">
        <v>52.442578731151798</v>
      </c>
      <c r="AI7038">
        <v>91.210609729473603</v>
      </c>
      <c r="AJ7038">
        <v>91.619172057229207</v>
      </c>
      <c r="AK7038">
        <v>52.4752396605192</v>
      </c>
      <c r="AL7038">
        <v>88.092966352488205</v>
      </c>
      <c r="AM7038">
        <v>88.834114864604203</v>
      </c>
      <c r="AN7038">
        <v>0.99999997132515706</v>
      </c>
    </row>
    <row r="7039" spans="1:40" x14ac:dyDescent="0.25">
      <c r="A7039" t="str">
        <f>"20190312173102846"</f>
        <v>20190312173102846</v>
      </c>
      <c r="B7039" t="str">
        <f>"1552383062834677"</f>
        <v>1552383062834677</v>
      </c>
      <c r="C7039" t="s">
        <v>40</v>
      </c>
      <c r="D7039">
        <v>2.936639</v>
      </c>
      <c r="E7039">
        <v>0.48265360000000002</v>
      </c>
      <c r="F7039" t="s">
        <v>41</v>
      </c>
      <c r="G7039">
        <v>-189.30690000000001</v>
      </c>
      <c r="H7039" s="1">
        <v>-2.8099489999999999E-6</v>
      </c>
      <c r="I7039">
        <v>95.896240000000006</v>
      </c>
      <c r="J7039">
        <v>-187.5248</v>
      </c>
      <c r="K7039">
        <v>1.108662</v>
      </c>
      <c r="L7039">
        <v>42.93018</v>
      </c>
      <c r="M7039">
        <v>-5.726208E-3</v>
      </c>
      <c r="N7039">
        <v>0</v>
      </c>
      <c r="O7039">
        <v>0.99995230000000002</v>
      </c>
      <c r="P7039">
        <v>1.4667940000000001E-2</v>
      </c>
      <c r="Q7039">
        <v>2.5907980000000001E-2</v>
      </c>
      <c r="R7039">
        <v>0.99955669999999996</v>
      </c>
      <c r="S7039">
        <v>-0.1005249</v>
      </c>
      <c r="T7039">
        <v>-6.2467580000000002E-2</v>
      </c>
      <c r="U7039">
        <v>3.0043639999999998</v>
      </c>
      <c r="V7039">
        <v>2.0385440000000001E-2</v>
      </c>
      <c r="W7039">
        <v>3.3824970000000003E-2</v>
      </c>
      <c r="X7039">
        <v>0.99921979999999999</v>
      </c>
      <c r="Y7039">
        <v>-2.770997E-2</v>
      </c>
      <c r="Z7039">
        <v>-2.0777480000000001E-2</v>
      </c>
      <c r="AA7039">
        <v>0.99939999999999996</v>
      </c>
      <c r="AB7039">
        <v>39</v>
      </c>
      <c r="AC7039">
        <v>-1.78210000000001</v>
      </c>
      <c r="AD7039">
        <v>-1.108664809949</v>
      </c>
      <c r="AE7039">
        <v>52.966059999999999</v>
      </c>
      <c r="AF7039">
        <v>-1.4781197299920299</v>
      </c>
      <c r="AG7039">
        <v>-1.108664809949</v>
      </c>
      <c r="AH7039">
        <v>52.952222728438898</v>
      </c>
      <c r="AI7039">
        <v>91.198964064592403</v>
      </c>
      <c r="AJ7039">
        <v>91.598951491392299</v>
      </c>
      <c r="AK7039">
        <v>52.984449298631198</v>
      </c>
      <c r="AL7039">
        <v>88.061602133972301</v>
      </c>
      <c r="AM7039">
        <v>88.831250472118995</v>
      </c>
      <c r="AN7039">
        <v>0.99999995173576595</v>
      </c>
    </row>
    <row r="7040" spans="1:40" x14ac:dyDescent="0.25">
      <c r="A7040" t="str">
        <f>"20190312173102871"</f>
        <v>20190312173102871</v>
      </c>
      <c r="B7040" t="str">
        <f>"1552383062864931"</f>
        <v>1552383062864931</v>
      </c>
      <c r="C7040" t="s">
        <v>40</v>
      </c>
      <c r="D7040">
        <v>2.9304359999999998</v>
      </c>
      <c r="E7040">
        <v>0.48263279999999997</v>
      </c>
      <c r="F7040" t="s">
        <v>41</v>
      </c>
      <c r="G7040">
        <v>-189.3536</v>
      </c>
      <c r="H7040" s="1">
        <v>-3.5370129999999999E-6</v>
      </c>
      <c r="I7040">
        <v>97.610339999999994</v>
      </c>
      <c r="J7040">
        <v>-187.5274</v>
      </c>
      <c r="K7040">
        <v>1.10866</v>
      </c>
      <c r="L7040">
        <v>43.370359999999998</v>
      </c>
      <c r="M7040">
        <v>-5.8204140000000003E-3</v>
      </c>
      <c r="N7040">
        <v>0</v>
      </c>
      <c r="O7040">
        <v>0.99995160000000005</v>
      </c>
      <c r="P7040">
        <v>1.484892E-2</v>
      </c>
      <c r="Q7040">
        <v>2.6089600000000001E-2</v>
      </c>
      <c r="R7040">
        <v>0.99954929999999997</v>
      </c>
      <c r="S7040">
        <v>-0.1004791</v>
      </c>
      <c r="T7040">
        <v>-6.0915469999999999E-2</v>
      </c>
      <c r="U7040">
        <v>3.0043950000000001</v>
      </c>
      <c r="V7040">
        <v>2.0660459999999999E-2</v>
      </c>
      <c r="W7040">
        <v>3.402227E-2</v>
      </c>
      <c r="X7040">
        <v>0.99920750000000003</v>
      </c>
      <c r="Y7040">
        <v>-2.7600599999999999E-2</v>
      </c>
      <c r="Z7040">
        <v>-2.026126E-2</v>
      </c>
      <c r="AA7040">
        <v>0.99941369999999896</v>
      </c>
      <c r="AB7040">
        <v>39</v>
      </c>
      <c r="AC7040">
        <v>-1.8262</v>
      </c>
      <c r="AD7040">
        <v>-1.108663537013</v>
      </c>
      <c r="AE7040">
        <v>54.239980000000003</v>
      </c>
      <c r="AF7040">
        <v>-1.5098299119826</v>
      </c>
      <c r="AG7040">
        <v>-1.108663537013</v>
      </c>
      <c r="AH7040">
        <v>54.227060760932702</v>
      </c>
      <c r="AI7040">
        <v>91.170786234118594</v>
      </c>
      <c r="AJ7040">
        <v>91.594859411821204</v>
      </c>
      <c r="AK7040">
        <v>54.2594032400957</v>
      </c>
      <c r="AL7040">
        <v>88.050291257555898</v>
      </c>
      <c r="AM7040">
        <v>88.815472756112399</v>
      </c>
      <c r="AN7040">
        <v>0.99999999875980705</v>
      </c>
    </row>
    <row r="7041" spans="1:40" x14ac:dyDescent="0.25">
      <c r="A7041" t="str">
        <f>"20190312173102893"</f>
        <v>20190312173102893</v>
      </c>
      <c r="B7041" t="str">
        <f>"1552383062884450"</f>
        <v>1552383062884450</v>
      </c>
      <c r="C7041" t="s">
        <v>40</v>
      </c>
      <c r="D7041">
        <v>2.92293</v>
      </c>
      <c r="E7041">
        <v>0.48263739999999999</v>
      </c>
      <c r="F7041" t="s">
        <v>41</v>
      </c>
      <c r="G7041">
        <v>-189.35929999999999</v>
      </c>
      <c r="H7041" s="1">
        <v>-3.8582849999999998E-6</v>
      </c>
      <c r="I7041">
        <v>98.361599999999996</v>
      </c>
      <c r="J7041">
        <v>-187.52969999999999</v>
      </c>
      <c r="K7041">
        <v>1.108668</v>
      </c>
      <c r="L7041">
        <v>43.742400000000004</v>
      </c>
      <c r="M7041">
        <v>-5.900064E-3</v>
      </c>
      <c r="N7041">
        <v>0</v>
      </c>
      <c r="O7041">
        <v>0.99995100000000003</v>
      </c>
      <c r="P7041">
        <v>1.5025180000000001E-2</v>
      </c>
      <c r="Q7041">
        <v>2.6382559999999999E-2</v>
      </c>
      <c r="R7041">
        <v>0.99953899999999996</v>
      </c>
      <c r="S7041">
        <v>-0.1000824</v>
      </c>
      <c r="T7041">
        <v>-6.0571430000000002E-2</v>
      </c>
      <c r="U7041">
        <v>3.0044249999999999</v>
      </c>
      <c r="V7041">
        <v>2.0916190000000001E-2</v>
      </c>
      <c r="W7041">
        <v>3.4328209999999998E-2</v>
      </c>
      <c r="X7041">
        <v>0.99919170000000002</v>
      </c>
      <c r="Y7041">
        <v>-2.7388880000000001E-2</v>
      </c>
      <c r="Z7041">
        <v>-2.014676E-2</v>
      </c>
      <c r="AA7041">
        <v>0.99942180000000003</v>
      </c>
      <c r="AB7041">
        <v>39</v>
      </c>
      <c r="AC7041">
        <v>-1.8295999999999899</v>
      </c>
      <c r="AD7041">
        <v>-1.1086718582849999</v>
      </c>
      <c r="AE7041">
        <v>54.6191999999999</v>
      </c>
      <c r="AF7041">
        <v>-1.50668111272637</v>
      </c>
      <c r="AG7041">
        <v>-1.1086718582849999</v>
      </c>
      <c r="AH7041">
        <v>54.6065707310728</v>
      </c>
      <c r="AI7041">
        <v>91.162668442943001</v>
      </c>
      <c r="AJ7041">
        <v>91.580479620774199</v>
      </c>
      <c r="AK7041">
        <v>54.638601814765103</v>
      </c>
      <c r="AL7041">
        <v>88.032751910526002</v>
      </c>
      <c r="AM7041">
        <v>88.800796272837601</v>
      </c>
      <c r="AN7041">
        <v>0.99999998317740402</v>
      </c>
    </row>
    <row r="7042" spans="1:40" x14ac:dyDescent="0.25">
      <c r="A7042" t="str">
        <f>"20190312173102916"</f>
        <v>20190312173102916</v>
      </c>
      <c r="B7042" t="str">
        <f>"1552383062904946"</f>
        <v>1552383062904946</v>
      </c>
      <c r="C7042" t="s">
        <v>40</v>
      </c>
      <c r="D7042">
        <v>2.93126</v>
      </c>
      <c r="E7042">
        <v>0.4826821</v>
      </c>
      <c r="F7042" t="s">
        <v>41</v>
      </c>
      <c r="G7042">
        <v>-189.3742</v>
      </c>
      <c r="H7042" s="1">
        <v>-4.3319979999999997E-6</v>
      </c>
      <c r="I7042">
        <v>99.472009999999997</v>
      </c>
      <c r="J7042">
        <v>-187.53210000000001</v>
      </c>
      <c r="K7042">
        <v>1.1086720000000001</v>
      </c>
      <c r="L7042">
        <v>44.144869999999997</v>
      </c>
      <c r="M7042">
        <v>-5.9862099999999996E-3</v>
      </c>
      <c r="N7042">
        <v>0</v>
      </c>
      <c r="O7042">
        <v>0.99995040000000002</v>
      </c>
      <c r="P7042">
        <v>1.4903980000000001E-2</v>
      </c>
      <c r="Q7042">
        <v>2.6693020000000001E-2</v>
      </c>
      <c r="R7042">
        <v>0.99953259999999999</v>
      </c>
      <c r="S7042">
        <v>-9.944153E-2</v>
      </c>
      <c r="T7042">
        <v>-5.9769990000000002E-2</v>
      </c>
      <c r="U7042">
        <v>3.0044559999999998</v>
      </c>
      <c r="V7042">
        <v>2.088096E-2</v>
      </c>
      <c r="W7042">
        <v>3.465323E-2</v>
      </c>
      <c r="X7042">
        <v>0.99918119999999999</v>
      </c>
      <c r="Y7042">
        <v>-2.7089660000000002E-2</v>
      </c>
      <c r="Z7042">
        <v>-1.9880229999999999E-2</v>
      </c>
      <c r="AA7042">
        <v>0.99943530000000003</v>
      </c>
      <c r="AB7042">
        <v>39</v>
      </c>
      <c r="AC7042">
        <v>-1.8420999999999801</v>
      </c>
      <c r="AD7042">
        <v>-1.108676331998</v>
      </c>
      <c r="AE7042">
        <v>55.327139999999901</v>
      </c>
      <c r="AF7042">
        <v>-1.5102508593131601</v>
      </c>
      <c r="AG7042">
        <v>-1.108676331998</v>
      </c>
      <c r="AH7042">
        <v>55.314989353450301</v>
      </c>
      <c r="AI7042">
        <v>91.147795886972702</v>
      </c>
      <c r="AJ7042">
        <v>91.563943329885902</v>
      </c>
      <c r="AK7042">
        <v>55.346707833795399</v>
      </c>
      <c r="AL7042">
        <v>88.014118514512603</v>
      </c>
      <c r="AM7042">
        <v>88.802802975622399</v>
      </c>
      <c r="AN7042">
        <v>0.99999996563669602</v>
      </c>
    </row>
    <row r="7043" spans="1:40" x14ac:dyDescent="0.25">
      <c r="A7043" t="str">
        <f>"20190312173102937"</f>
        <v>20190312173102937</v>
      </c>
      <c r="B7043" t="str">
        <f>"1552383062924466"</f>
        <v>1552383062924466</v>
      </c>
      <c r="C7043" t="s">
        <v>40</v>
      </c>
      <c r="D7043">
        <v>2.9158659999999998</v>
      </c>
      <c r="E7043">
        <v>0.48271009999999998</v>
      </c>
      <c r="F7043" t="s">
        <v>41</v>
      </c>
      <c r="G7043">
        <v>-189.40100000000001</v>
      </c>
      <c r="H7043" s="1">
        <v>-5.3698679999999998E-7</v>
      </c>
      <c r="I7043">
        <v>100.63679999999999</v>
      </c>
      <c r="J7043">
        <v>-187.53440000000001</v>
      </c>
      <c r="K7043">
        <v>1.1086689999999999</v>
      </c>
      <c r="L7043">
        <v>44.51361</v>
      </c>
      <c r="M7043">
        <v>-6.065188E-3</v>
      </c>
      <c r="N7043">
        <v>0</v>
      </c>
      <c r="O7043">
        <v>0.9999498</v>
      </c>
      <c r="P7043">
        <v>1.502477E-2</v>
      </c>
      <c r="Q7043">
        <v>2.739107E-2</v>
      </c>
      <c r="R7043">
        <v>0.99951190000000001</v>
      </c>
      <c r="S7043">
        <v>-9.9395750000000005E-2</v>
      </c>
      <c r="T7043">
        <v>-5.8963420000000002E-2</v>
      </c>
      <c r="U7043">
        <v>3.0044559999999998</v>
      </c>
      <c r="V7043">
        <v>2.1080410000000001E-2</v>
      </c>
      <c r="W7043">
        <v>3.536661E-2</v>
      </c>
      <c r="X7043">
        <v>0.99915209999999999</v>
      </c>
      <c r="Y7043">
        <v>-2.6995669999999999E-2</v>
      </c>
      <c r="Z7043">
        <v>-1.9612069999999999E-2</v>
      </c>
      <c r="AA7043">
        <v>0.99944319999999998</v>
      </c>
      <c r="AB7043">
        <v>39</v>
      </c>
      <c r="AC7043">
        <v>-1.8665999999999701</v>
      </c>
      <c r="AD7043">
        <v>-1.1086695369868</v>
      </c>
      <c r="AE7043">
        <v>56.123190000000001</v>
      </c>
      <c r="AF7043">
        <v>-1.5255624781941799</v>
      </c>
      <c r="AG7043">
        <v>-1.1086695369868</v>
      </c>
      <c r="AH7043">
        <v>56.1116070950373</v>
      </c>
      <c r="AI7043">
        <v>91.131501470590393</v>
      </c>
      <c r="AJ7043">
        <v>91.557374105249494</v>
      </c>
      <c r="AK7043">
        <v>56.1432893568319</v>
      </c>
      <c r="AL7043">
        <v>87.973219947458702</v>
      </c>
      <c r="AM7043">
        <v>88.791335817784699</v>
      </c>
      <c r="AN7043">
        <v>1.00000004986153</v>
      </c>
    </row>
    <row r="7044" spans="1:40" x14ac:dyDescent="0.25">
      <c r="A7044" t="str">
        <f>"20190312173102961"</f>
        <v>20190312173102961</v>
      </c>
      <c r="B7044" t="str">
        <f>"1552383062954722"</f>
        <v>1552383062954722</v>
      </c>
      <c r="C7044" t="s">
        <v>40</v>
      </c>
      <c r="D7044">
        <v>2.9213849999999999</v>
      </c>
      <c r="E7044">
        <v>0.4827864</v>
      </c>
      <c r="F7044" t="s">
        <v>41</v>
      </c>
      <c r="G7044">
        <v>-189.45570000000001</v>
      </c>
      <c r="H7044" s="1">
        <v>-1.460973E-6</v>
      </c>
      <c r="I7044">
        <v>102.8133</v>
      </c>
      <c r="J7044">
        <v>-187.53700000000001</v>
      </c>
      <c r="K7044">
        <v>1.108668</v>
      </c>
      <c r="L7044">
        <v>44.928130000000003</v>
      </c>
      <c r="M7044">
        <v>-6.1541130000000001E-3</v>
      </c>
      <c r="N7044">
        <v>0</v>
      </c>
      <c r="O7044">
        <v>0.99994899999999998</v>
      </c>
      <c r="P7044">
        <v>1.4862800000000001E-2</v>
      </c>
      <c r="Q7044">
        <v>2.7341569999999999E-2</v>
      </c>
      <c r="R7044">
        <v>0.99951570000000001</v>
      </c>
      <c r="S7044">
        <v>-9.9014279999999996E-2</v>
      </c>
      <c r="T7044">
        <v>-5.7136180000000002E-2</v>
      </c>
      <c r="U7044">
        <v>3.0045169999999999</v>
      </c>
      <c r="V7044">
        <v>2.1007330000000001E-2</v>
      </c>
      <c r="W7044">
        <v>3.5340879999999998E-2</v>
      </c>
      <c r="X7044">
        <v>0.99915449999999995</v>
      </c>
      <c r="Y7044">
        <v>-2.677972E-2</v>
      </c>
      <c r="Z7044">
        <v>-1.9004219999999999E-2</v>
      </c>
      <c r="AA7044">
        <v>0.99946069999999998</v>
      </c>
      <c r="AB7044">
        <v>39</v>
      </c>
      <c r="AC7044">
        <v>-1.9187000000000001</v>
      </c>
      <c r="AD7044">
        <v>-1.1086694609729999</v>
      </c>
      <c r="AE7044">
        <v>57.885169999999903</v>
      </c>
      <c r="AF7044">
        <v>-1.5618480543276401</v>
      </c>
      <c r="AG7044">
        <v>-1.1086694609729999</v>
      </c>
      <c r="AH7044">
        <v>57.8746749525383</v>
      </c>
      <c r="AI7044">
        <v>91.097046379028498</v>
      </c>
      <c r="AJ7044">
        <v>91.545850361579298</v>
      </c>
      <c r="AK7044">
        <v>57.906359911329801</v>
      </c>
      <c r="AL7044">
        <v>87.974694989525105</v>
      </c>
      <c r="AM7044">
        <v>88.795527580835298</v>
      </c>
      <c r="AN7044">
        <v>1.0000000002915701</v>
      </c>
    </row>
    <row r="7045" spans="1:40" x14ac:dyDescent="0.25">
      <c r="A7045" t="str">
        <f>"20190312173102982"</f>
        <v>20190312173102982</v>
      </c>
      <c r="B7045" t="str">
        <f>"1552383062974243"</f>
        <v>1552383062974243</v>
      </c>
      <c r="C7045" t="s">
        <v>40</v>
      </c>
      <c r="D7045">
        <v>2.9482729999999999</v>
      </c>
      <c r="E7045">
        <v>0.48285139999999999</v>
      </c>
      <c r="F7045" t="s">
        <v>41</v>
      </c>
      <c r="G7045">
        <v>-189.43129999999999</v>
      </c>
      <c r="H7045" s="1">
        <v>-1.341968E-6</v>
      </c>
      <c r="I7045">
        <v>102.5258</v>
      </c>
      <c r="J7045">
        <v>-187.5393</v>
      </c>
      <c r="K7045">
        <v>1.108671</v>
      </c>
      <c r="L7045">
        <v>45.288600000000002</v>
      </c>
      <c r="M7045">
        <v>-6.2313159999999998E-3</v>
      </c>
      <c r="N7045">
        <v>0</v>
      </c>
      <c r="O7045">
        <v>0.99994839999999996</v>
      </c>
      <c r="P7045">
        <v>1.481388E-2</v>
      </c>
      <c r="Q7045">
        <v>2.7095859999999999E-2</v>
      </c>
      <c r="R7045">
        <v>0.99952300000000005</v>
      </c>
      <c r="S7045">
        <v>-9.8815920000000002E-2</v>
      </c>
      <c r="T7045">
        <v>-5.7832479999999999E-2</v>
      </c>
      <c r="U7045">
        <v>3.0045169999999999</v>
      </c>
      <c r="V7045">
        <v>2.1035640000000001E-2</v>
      </c>
      <c r="W7045">
        <v>3.5121670000000001E-2</v>
      </c>
      <c r="X7045">
        <v>0.99916170000000004</v>
      </c>
      <c r="Y7045">
        <v>-2.6636489999999999E-2</v>
      </c>
      <c r="Z7045">
        <v>-1.9235780000000001E-2</v>
      </c>
      <c r="AA7045">
        <v>0.99946009999999996</v>
      </c>
      <c r="AB7045">
        <v>39</v>
      </c>
      <c r="AC7045">
        <v>-1.8919999999999899</v>
      </c>
      <c r="AD7045">
        <v>-1.108672341968</v>
      </c>
      <c r="AE7045">
        <v>57.237200000000001</v>
      </c>
      <c r="AF7045">
        <v>-1.5347135266142899</v>
      </c>
      <c r="AG7045">
        <v>-1.108672341968</v>
      </c>
      <c r="AH7045">
        <v>57.226431435145798</v>
      </c>
      <c r="AI7045">
        <v>91.109478201864903</v>
      </c>
      <c r="AJ7045">
        <v>91.536205102825704</v>
      </c>
      <c r="AK7045">
        <v>57.257741439669601</v>
      </c>
      <c r="AL7045">
        <v>87.987262732435894</v>
      </c>
      <c r="AM7045">
        <v>88.793913571611398</v>
      </c>
      <c r="AN7045">
        <v>1.0000000663003401</v>
      </c>
    </row>
    <row r="7046" spans="1:40" x14ac:dyDescent="0.25">
      <c r="A7046" t="str">
        <f>"20190312173103005"</f>
        <v>20190312173103005</v>
      </c>
      <c r="B7046" t="str">
        <f>"1552383062994738"</f>
        <v>1552383062994738</v>
      </c>
      <c r="C7046" t="s">
        <v>40</v>
      </c>
      <c r="D7046">
        <v>2.9615680000000002</v>
      </c>
      <c r="E7046">
        <v>0.48291820000000002</v>
      </c>
      <c r="F7046" t="s">
        <v>41</v>
      </c>
      <c r="G7046">
        <v>-189.3905</v>
      </c>
      <c r="H7046" s="1">
        <v>-1.027143E-6</v>
      </c>
      <c r="I7046">
        <v>101.77500000000001</v>
      </c>
      <c r="J7046">
        <v>-187.5419</v>
      </c>
      <c r="K7046">
        <v>1.108676</v>
      </c>
      <c r="L7046">
        <v>45.700780000000002</v>
      </c>
      <c r="M7046">
        <v>-6.3198019999999898E-3</v>
      </c>
      <c r="N7046">
        <v>0</v>
      </c>
      <c r="O7046">
        <v>0.99994749999999999</v>
      </c>
      <c r="P7046">
        <v>1.492193E-2</v>
      </c>
      <c r="Q7046">
        <v>2.7056489999999999E-2</v>
      </c>
      <c r="R7046">
        <v>0.99952249999999998</v>
      </c>
      <c r="S7046">
        <v>-9.8464969999999999E-2</v>
      </c>
      <c r="T7046">
        <v>-5.896974E-2</v>
      </c>
      <c r="U7046">
        <v>3.004486</v>
      </c>
      <c r="V7046">
        <v>2.123212E-2</v>
      </c>
      <c r="W7046">
        <v>3.5114050000000001E-2</v>
      </c>
      <c r="X7046">
        <v>0.99915770000000004</v>
      </c>
      <c r="Y7046">
        <v>-2.6431489999999998E-2</v>
      </c>
      <c r="Z7046">
        <v>-1.9614179999999998E-2</v>
      </c>
      <c r="AA7046">
        <v>0.99945819999999996</v>
      </c>
      <c r="AB7046">
        <v>39</v>
      </c>
      <c r="AC7046">
        <v>-1.8486</v>
      </c>
      <c r="AD7046">
        <v>-1.108677027143</v>
      </c>
      <c r="AE7046">
        <v>56.074219999999997</v>
      </c>
      <c r="AF7046">
        <v>-1.4935903503521</v>
      </c>
      <c r="AG7046">
        <v>-1.108677027143</v>
      </c>
      <c r="AH7046">
        <v>56.062891185876801</v>
      </c>
      <c r="AI7046">
        <v>91.132508729545506</v>
      </c>
      <c r="AJ7046">
        <v>91.526075162030196</v>
      </c>
      <c r="AK7046">
        <v>56.093740693633897</v>
      </c>
      <c r="AL7046">
        <v>87.987699370541094</v>
      </c>
      <c r="AM7046">
        <v>88.782646818258996</v>
      </c>
      <c r="AN7046">
        <v>0.99999995444819201</v>
      </c>
    </row>
    <row r="7047" spans="1:40" x14ac:dyDescent="0.25">
      <c r="A7047" t="str">
        <f>"20190312173103026"</f>
        <v>20190312173103026</v>
      </c>
      <c r="B7047" t="str">
        <f>"1552383063014261"</f>
        <v>1552383063014261</v>
      </c>
      <c r="C7047" t="s">
        <v>40</v>
      </c>
      <c r="D7047">
        <v>2.9619209999999998</v>
      </c>
      <c r="E7047">
        <v>0.48298049999999998</v>
      </c>
      <c r="F7047" t="s">
        <v>41</v>
      </c>
      <c r="G7047">
        <v>-189.35659999999999</v>
      </c>
      <c r="H7047" s="1">
        <v>-9.3212340000000001E-7</v>
      </c>
      <c r="I7047">
        <v>101.5395</v>
      </c>
      <c r="J7047">
        <v>-187.5445</v>
      </c>
      <c r="K7047">
        <v>1.1086800000000001</v>
      </c>
      <c r="L7047">
        <v>46.096679999999999</v>
      </c>
      <c r="M7047">
        <v>-6.40458E-3</v>
      </c>
      <c r="N7047">
        <v>0</v>
      </c>
      <c r="O7047">
        <v>0.99994680000000002</v>
      </c>
      <c r="P7047">
        <v>1.5002089999999999E-2</v>
      </c>
      <c r="Q7047">
        <v>2.7226779999999999E-2</v>
      </c>
      <c r="R7047">
        <v>0.99951670000000004</v>
      </c>
      <c r="S7047">
        <v>-9.7640989999999997E-2</v>
      </c>
      <c r="T7047">
        <v>-5.965459E-2</v>
      </c>
      <c r="U7047">
        <v>3.0045169999999999</v>
      </c>
      <c r="V7047">
        <v>2.1396910000000002E-2</v>
      </c>
      <c r="W7047">
        <v>3.5315149999999997E-2</v>
      </c>
      <c r="X7047">
        <v>0.99914709999999995</v>
      </c>
      <c r="Y7047">
        <v>-2.6072459999999999E-2</v>
      </c>
      <c r="Z7047">
        <v>-1.9841839999999999E-2</v>
      </c>
      <c r="AA7047">
        <v>0.99946310000000005</v>
      </c>
      <c r="AB7047">
        <v>40</v>
      </c>
      <c r="AC7047">
        <v>-1.8120999999999801</v>
      </c>
      <c r="AD7047">
        <v>-1.1086809321233999</v>
      </c>
      <c r="AE7047">
        <v>55.442819999999998</v>
      </c>
      <c r="AF7047">
        <v>-1.45638150120266</v>
      </c>
      <c r="AG7047">
        <v>-1.1086809321233999</v>
      </c>
      <c r="AH7047">
        <v>55.431147148968101</v>
      </c>
      <c r="AI7047">
        <v>91.145427578991601</v>
      </c>
      <c r="AJ7047">
        <v>91.505026051761007</v>
      </c>
      <c r="AK7047">
        <v>55.461358572765299</v>
      </c>
      <c r="AL7047">
        <v>87.976170044134506</v>
      </c>
      <c r="AM7047">
        <v>88.773188374456396</v>
      </c>
      <c r="AN7047">
        <v>0.99999995750773896</v>
      </c>
    </row>
    <row r="7048" spans="1:40" x14ac:dyDescent="0.25">
      <c r="A7048" t="str">
        <f>"20190312173103049"</f>
        <v>20190312173103049</v>
      </c>
      <c r="B7048" t="str">
        <f>"1552383063044518"</f>
        <v>1552383063044518</v>
      </c>
      <c r="C7048" t="s">
        <v>40</v>
      </c>
      <c r="D7048">
        <v>2.969786</v>
      </c>
      <c r="E7048">
        <v>0.4830797</v>
      </c>
      <c r="F7048" t="s">
        <v>41</v>
      </c>
      <c r="G7048">
        <v>-189.3443</v>
      </c>
      <c r="H7048" s="1">
        <v>-1.118409E-6</v>
      </c>
      <c r="I7048">
        <v>101.9687</v>
      </c>
      <c r="J7048">
        <v>-187.547</v>
      </c>
      <c r="K7048">
        <v>1.108679</v>
      </c>
      <c r="L7048">
        <v>46.485410000000002</v>
      </c>
      <c r="M7048">
        <v>-6.4878820000000004E-3</v>
      </c>
      <c r="N7048">
        <v>0</v>
      </c>
      <c r="O7048">
        <v>0.999946</v>
      </c>
      <c r="P7048">
        <v>1.4757930000000001E-2</v>
      </c>
      <c r="Q7048">
        <v>2.7558220000000001E-2</v>
      </c>
      <c r="R7048">
        <v>0.99951120000000004</v>
      </c>
      <c r="S7048">
        <v>-9.6786499999999998E-2</v>
      </c>
      <c r="T7048">
        <v>-5.9619310000000002E-2</v>
      </c>
      <c r="U7048">
        <v>3.0045169999999999</v>
      </c>
      <c r="V7048">
        <v>2.123589E-2</v>
      </c>
      <c r="W7048">
        <v>3.5675400000000003E-2</v>
      </c>
      <c r="X7048">
        <v>0.99913779999999996</v>
      </c>
      <c r="Y7048">
        <v>-2.5705229999999999E-2</v>
      </c>
      <c r="Z7048">
        <v>-1.9830279999999999E-2</v>
      </c>
      <c r="AA7048">
        <v>0.9994729</v>
      </c>
      <c r="AB7048">
        <v>40</v>
      </c>
      <c r="AC7048">
        <v>-1.7972999999999999</v>
      </c>
      <c r="AD7048">
        <v>-1.108680118409</v>
      </c>
      <c r="AE7048">
        <v>55.483289999999997</v>
      </c>
      <c r="AF7048">
        <v>-1.43670820826639</v>
      </c>
      <c r="AG7048">
        <v>-1.108680118409</v>
      </c>
      <c r="AH7048">
        <v>55.471657203385497</v>
      </c>
      <c r="AI7048">
        <v>91.144601626442096</v>
      </c>
      <c r="AJ7048">
        <v>91.483621042716706</v>
      </c>
      <c r="AK7048">
        <v>55.501333812536103</v>
      </c>
      <c r="AL7048">
        <v>87.955516351859103</v>
      </c>
      <c r="AM7048">
        <v>88.782406485434294</v>
      </c>
      <c r="AN7048">
        <v>1.00000002028904</v>
      </c>
    </row>
    <row r="7049" spans="1:40" x14ac:dyDescent="0.25">
      <c r="A7049" t="str">
        <f>"20190312173103071"</f>
        <v>20190312173103071</v>
      </c>
      <c r="B7049" t="str">
        <f>"1552383063064035"</f>
        <v>1552383063064035</v>
      </c>
      <c r="C7049" t="s">
        <v>40</v>
      </c>
      <c r="D7049">
        <v>2.9730729999999999</v>
      </c>
      <c r="E7049">
        <v>0.4831531</v>
      </c>
      <c r="F7049" t="s">
        <v>41</v>
      </c>
      <c r="G7049">
        <v>-189.35810000000001</v>
      </c>
      <c r="H7049" s="1">
        <v>-1.4174679999999999E-6</v>
      </c>
      <c r="I7049">
        <v>102.67149999999999</v>
      </c>
      <c r="J7049">
        <v>-187.5497</v>
      </c>
      <c r="K7049">
        <v>1.1086800000000001</v>
      </c>
      <c r="L7049">
        <v>46.889499999999998</v>
      </c>
      <c r="M7049">
        <v>-6.5742989999999996E-3</v>
      </c>
      <c r="N7049">
        <v>0</v>
      </c>
      <c r="O7049">
        <v>0.99994519999999998</v>
      </c>
      <c r="P7049">
        <v>1.475505E-2</v>
      </c>
      <c r="Q7049">
        <v>2.7629419999999998E-2</v>
      </c>
      <c r="R7049">
        <v>0.99950930000000004</v>
      </c>
      <c r="S7049">
        <v>-9.6847530000000001E-2</v>
      </c>
      <c r="T7049">
        <v>-5.9285999999999998E-2</v>
      </c>
      <c r="U7049">
        <v>3.0045169999999999</v>
      </c>
      <c r="V7049">
        <v>2.1319310000000001E-2</v>
      </c>
      <c r="W7049">
        <v>3.5775479999999998E-2</v>
      </c>
      <c r="X7049">
        <v>0.99913249999999998</v>
      </c>
      <c r="Y7049">
        <v>-2.5639189999999999E-2</v>
      </c>
      <c r="Z7049">
        <v>-1.9719460000000001E-2</v>
      </c>
      <c r="AA7049">
        <v>0.9994767</v>
      </c>
      <c r="AB7049">
        <v>40</v>
      </c>
      <c r="AC7049">
        <v>-1.8084</v>
      </c>
      <c r="AD7049">
        <v>-1.108681417468</v>
      </c>
      <c r="AE7049">
        <v>55.781999999999996</v>
      </c>
      <c r="AF7049">
        <v>-1.4410525427191401</v>
      </c>
      <c r="AG7049">
        <v>-1.108681417468</v>
      </c>
      <c r="AH7049">
        <v>55.770676054090202</v>
      </c>
      <c r="AI7049">
        <v>91.138469502154507</v>
      </c>
      <c r="AJ7049">
        <v>91.480130184569504</v>
      </c>
      <c r="AK7049">
        <v>55.800305684167903</v>
      </c>
      <c r="AL7049">
        <v>87.949778640312303</v>
      </c>
      <c r="AM7049">
        <v>88.777618433252997</v>
      </c>
      <c r="AN7049">
        <v>1.0000000752521701</v>
      </c>
    </row>
    <row r="7050" spans="1:40" x14ac:dyDescent="0.25">
      <c r="A7050" t="str">
        <f>"20190312173103095"</f>
        <v>20190312173103095</v>
      </c>
      <c r="B7050" t="str">
        <f>"1552383063084530"</f>
        <v>1552383063084530</v>
      </c>
      <c r="C7050" t="s">
        <v>40</v>
      </c>
      <c r="D7050">
        <v>2.969592</v>
      </c>
      <c r="E7050">
        <v>0.48323700000000003</v>
      </c>
      <c r="F7050" t="s">
        <v>41</v>
      </c>
      <c r="G7050">
        <v>-189.33580000000001</v>
      </c>
      <c r="H7050" s="1">
        <v>-1.462147E-6</v>
      </c>
      <c r="I7050">
        <v>102.7664</v>
      </c>
      <c r="J7050">
        <v>-187.55260000000001</v>
      </c>
      <c r="K7050">
        <v>1.1086849999999999</v>
      </c>
      <c r="L7050">
        <v>47.305050000000001</v>
      </c>
      <c r="M7050">
        <v>-6.6631340000000002E-3</v>
      </c>
      <c r="N7050">
        <v>0</v>
      </c>
      <c r="O7050">
        <v>0.99994439999999996</v>
      </c>
      <c r="P7050">
        <v>1.474901E-2</v>
      </c>
      <c r="Q7050">
        <v>2.7542190000000001E-2</v>
      </c>
      <c r="R7050">
        <v>0.99951179999999995</v>
      </c>
      <c r="S7050">
        <v>-9.6038819999999997E-2</v>
      </c>
      <c r="T7050">
        <v>-5.961466E-2</v>
      </c>
      <c r="U7050">
        <v>3.0045470000000001</v>
      </c>
      <c r="V7050">
        <v>2.1402060000000001E-2</v>
      </c>
      <c r="W7050">
        <v>3.5716390000000001E-2</v>
      </c>
      <c r="X7050">
        <v>0.99913280000000004</v>
      </c>
      <c r="Y7050">
        <v>-2.5281229999999998E-2</v>
      </c>
      <c r="Z7050">
        <v>-1.9828680000000001E-2</v>
      </c>
      <c r="AA7050">
        <v>0.99948369999999997</v>
      </c>
      <c r="AB7050">
        <v>40</v>
      </c>
      <c r="AC7050">
        <v>-1.7831999999999899</v>
      </c>
      <c r="AD7050">
        <v>-1.1086864621470001</v>
      </c>
      <c r="AE7050">
        <v>55.461350000000003</v>
      </c>
      <c r="AF7050">
        <v>-1.4130375808055</v>
      </c>
      <c r="AG7050">
        <v>-1.1086864621470001</v>
      </c>
      <c r="AH7050">
        <v>55.449865381222601</v>
      </c>
      <c r="AI7050">
        <v>91.145070133211405</v>
      </c>
      <c r="AJ7050">
        <v>91.459761368241402</v>
      </c>
      <c r="AK7050">
        <v>55.478945841389397</v>
      </c>
      <c r="AL7050">
        <v>87.953166320837994</v>
      </c>
      <c r="AM7050">
        <v>88.772875627230903</v>
      </c>
      <c r="AN7050">
        <v>1.0000000303613501</v>
      </c>
    </row>
    <row r="7051" spans="1:40" x14ac:dyDescent="0.25">
      <c r="A7051" t="str">
        <f>"20190312173103117"</f>
        <v>20190312173103117</v>
      </c>
      <c r="B7051" t="str">
        <f>"1552383063104441"</f>
        <v>1552383063104441</v>
      </c>
      <c r="C7051" t="s">
        <v>40</v>
      </c>
      <c r="D7051">
        <v>3.0168140000000001</v>
      </c>
      <c r="E7051">
        <v>0.4833055</v>
      </c>
      <c r="F7051" t="s">
        <v>41</v>
      </c>
      <c r="G7051">
        <v>-189.30439999999999</v>
      </c>
      <c r="H7051" s="1">
        <v>-1.34394E-6</v>
      </c>
      <c r="I7051">
        <v>102.47790000000001</v>
      </c>
      <c r="J7051">
        <v>-187.55520000000001</v>
      </c>
      <c r="K7051">
        <v>1.108684</v>
      </c>
      <c r="L7051">
        <v>47.697690000000001</v>
      </c>
      <c r="M7051">
        <v>-6.7470389999999998E-3</v>
      </c>
      <c r="N7051">
        <v>0</v>
      </c>
      <c r="O7051">
        <v>0.99994360000000004</v>
      </c>
      <c r="P7051">
        <v>1.491898E-2</v>
      </c>
      <c r="Q7051">
        <v>2.7928149999999999E-2</v>
      </c>
      <c r="R7051">
        <v>0.99949860000000001</v>
      </c>
      <c r="S7051">
        <v>-9.5397949999999995E-2</v>
      </c>
      <c r="T7051">
        <v>-6.0375089999999999E-2</v>
      </c>
      <c r="U7051">
        <v>3.0045169999999999</v>
      </c>
      <c r="V7051">
        <v>2.16557E-2</v>
      </c>
      <c r="W7051">
        <v>3.6130019999999999E-2</v>
      </c>
      <c r="X7051">
        <v>0.99911240000000001</v>
      </c>
      <c r="Y7051">
        <v>-2.4984530000000001E-2</v>
      </c>
      <c r="Z7051">
        <v>-2.008184E-2</v>
      </c>
      <c r="AA7051">
        <v>0.99948610000000004</v>
      </c>
      <c r="AB7051">
        <v>40</v>
      </c>
      <c r="AC7051">
        <v>-1.7491999999999699</v>
      </c>
      <c r="AD7051">
        <v>-1.10868534394</v>
      </c>
      <c r="AE7051">
        <v>54.780209999999997</v>
      </c>
      <c r="AF7051">
        <v>-1.37897926985488</v>
      </c>
      <c r="AG7051">
        <v>-1.10868534394</v>
      </c>
      <c r="AH7051">
        <v>54.768354605236503</v>
      </c>
      <c r="AI7051">
        <v>91.159322736997794</v>
      </c>
      <c r="AJ7051">
        <v>91.442311039094804</v>
      </c>
      <c r="AK7051">
        <v>54.796929048838898</v>
      </c>
      <c r="AL7051">
        <v>87.929451631952205</v>
      </c>
      <c r="AM7051">
        <v>88.758311917911698</v>
      </c>
      <c r="AN7051">
        <v>0.99999996776072397</v>
      </c>
    </row>
    <row r="7052" spans="1:40" x14ac:dyDescent="0.25">
      <c r="A7052" t="str">
        <f>"20190312173103137"</f>
        <v>20190312173103137</v>
      </c>
      <c r="B7052" t="str">
        <f>"1552383063134698"</f>
        <v>1552383063134698</v>
      </c>
      <c r="C7052" t="s">
        <v>40</v>
      </c>
      <c r="D7052">
        <v>3.0372059999999999</v>
      </c>
      <c r="E7052">
        <v>0.48685030000000001</v>
      </c>
      <c r="F7052" t="s">
        <v>41</v>
      </c>
      <c r="G7052">
        <v>-189.30680000000001</v>
      </c>
      <c r="H7052" s="1">
        <v>-1.773853E-6</v>
      </c>
      <c r="I7052">
        <v>103.4811</v>
      </c>
      <c r="J7052">
        <v>-187.55779999999999</v>
      </c>
      <c r="K7052">
        <v>1.108684</v>
      </c>
      <c r="L7052">
        <v>48.069180000000003</v>
      </c>
      <c r="M7052">
        <v>-6.8263000000000004E-3</v>
      </c>
      <c r="N7052">
        <v>0</v>
      </c>
      <c r="O7052">
        <v>0.99994280000000002</v>
      </c>
      <c r="P7052">
        <v>1.5187620000000001E-2</v>
      </c>
      <c r="Q7052">
        <v>2.8022169999999999E-2</v>
      </c>
      <c r="R7052">
        <v>0.99949189999999999</v>
      </c>
      <c r="S7052">
        <v>-9.4345090000000006E-2</v>
      </c>
      <c r="T7052">
        <v>-5.9715509999999999E-2</v>
      </c>
      <c r="U7052">
        <v>3.004578</v>
      </c>
      <c r="V7052">
        <v>2.2003459999999999E-2</v>
      </c>
      <c r="W7052">
        <v>3.6252489999999998E-2</v>
      </c>
      <c r="X7052">
        <v>0.9991004</v>
      </c>
      <c r="Y7052">
        <v>-2.4554900000000001E-2</v>
      </c>
      <c r="Z7052">
        <v>-1.9862339999999999E-2</v>
      </c>
      <c r="AA7052">
        <v>0.99950119999999998</v>
      </c>
      <c r="AB7052">
        <v>40</v>
      </c>
      <c r="AC7052">
        <v>-1.7490000000000201</v>
      </c>
      <c r="AD7052">
        <v>-1.108685773853</v>
      </c>
      <c r="AE7052">
        <v>55.411919999999903</v>
      </c>
      <c r="AF7052">
        <v>-1.3701400809931901</v>
      </c>
      <c r="AG7052">
        <v>-1.108685773853</v>
      </c>
      <c r="AH7052">
        <v>55.400412461564102</v>
      </c>
      <c r="AI7052">
        <v>91.146112898375193</v>
      </c>
      <c r="AJ7052">
        <v>91.416726714259497</v>
      </c>
      <c r="AK7052">
        <v>55.428441876875098</v>
      </c>
      <c r="AL7052">
        <v>87.922430089369101</v>
      </c>
      <c r="AM7052">
        <v>88.738363404078797</v>
      </c>
      <c r="AN7052">
        <v>1.00000000228166</v>
      </c>
    </row>
    <row r="7053" spans="1:40" x14ac:dyDescent="0.25">
      <c r="A7053" t="str">
        <f>"20190312173103161"</f>
        <v>20190312173103161</v>
      </c>
      <c r="B7053" t="str">
        <f>"1552383063154218"</f>
        <v>1552383063154218</v>
      </c>
      <c r="C7053" t="s">
        <v>40</v>
      </c>
      <c r="D7053">
        <v>3.0450249999999999</v>
      </c>
      <c r="E7053">
        <v>0.4912784</v>
      </c>
      <c r="F7053" t="s">
        <v>41</v>
      </c>
      <c r="G7053">
        <v>-188.41919999999999</v>
      </c>
      <c r="H7053" s="1">
        <v>-3.4539999999999999E-6</v>
      </c>
      <c r="I7053">
        <v>87.03049</v>
      </c>
      <c r="J7053">
        <v>-187.5607</v>
      </c>
      <c r="K7053">
        <v>1.108687</v>
      </c>
      <c r="L7053">
        <v>48.485379999999999</v>
      </c>
      <c r="M7053">
        <v>-6.9151839999999996E-3</v>
      </c>
      <c r="N7053">
        <v>0</v>
      </c>
      <c r="O7053">
        <v>0.99994190000000005</v>
      </c>
      <c r="P7053">
        <v>1.5268540000000001E-2</v>
      </c>
      <c r="Q7053">
        <v>2.7892940000000001E-2</v>
      </c>
      <c r="R7053">
        <v>0.99949429999999995</v>
      </c>
      <c r="S7053">
        <v>-6.6436770000000006E-2</v>
      </c>
      <c r="T7053">
        <v>-8.5509059999999998E-2</v>
      </c>
      <c r="U7053">
        <v>3.0049440000000001</v>
      </c>
      <c r="V7053">
        <v>2.217322E-2</v>
      </c>
      <c r="W7053">
        <v>3.6156220000000003E-2</v>
      </c>
      <c r="X7053">
        <v>0.99910010000000005</v>
      </c>
      <c r="Y7053">
        <v>-1.5180549999999999E-2</v>
      </c>
      <c r="Z7053">
        <v>-2.8438479999999999E-2</v>
      </c>
      <c r="AA7053">
        <v>0.99948020000000004</v>
      </c>
      <c r="AB7053">
        <v>40</v>
      </c>
      <c r="AC7053">
        <v>-0.85849999999999205</v>
      </c>
      <c r="AD7053">
        <v>-1.108690454</v>
      </c>
      <c r="AE7053">
        <v>38.545110000000001</v>
      </c>
      <c r="AF7053">
        <v>-0.59143475770770404</v>
      </c>
      <c r="AG7053">
        <v>-1.108690454</v>
      </c>
      <c r="AH7053">
        <v>38.518273443185301</v>
      </c>
      <c r="AI7053">
        <v>91.648523240372199</v>
      </c>
      <c r="AJ7053">
        <v>90.879687735631705</v>
      </c>
      <c r="AK7053">
        <v>38.538764622642098</v>
      </c>
      <c r="AL7053">
        <v>87.927949499188003</v>
      </c>
      <c r="AM7053">
        <v>88.728632489106801</v>
      </c>
      <c r="AN7053">
        <v>0.99999996687493298</v>
      </c>
    </row>
    <row r="7054" spans="1:40" x14ac:dyDescent="0.25">
      <c r="A7054" t="str">
        <f>"20190312173103182"</f>
        <v>20190312173103182</v>
      </c>
      <c r="B7054" t="str">
        <f>"1552383063174713"</f>
        <v>1552383063174713</v>
      </c>
      <c r="C7054" t="s">
        <v>40</v>
      </c>
      <c r="D7054">
        <v>3.0565060000000002</v>
      </c>
      <c r="E7054">
        <v>0.52079949999999997</v>
      </c>
      <c r="F7054" t="s">
        <v>41</v>
      </c>
      <c r="G7054">
        <v>-187.87049999999999</v>
      </c>
      <c r="H7054" s="1">
        <v>-3.9054559999999998E-6</v>
      </c>
      <c r="I7054">
        <v>77.855950000000007</v>
      </c>
      <c r="J7054">
        <v>-187.5635</v>
      </c>
      <c r="K7054">
        <v>1.1086910000000001</v>
      </c>
      <c r="L7054">
        <v>48.875459999999997</v>
      </c>
      <c r="M7054">
        <v>-6.9983060000000001E-3</v>
      </c>
      <c r="N7054">
        <v>0</v>
      </c>
      <c r="O7054">
        <v>0.99994110000000003</v>
      </c>
      <c r="P7054">
        <v>1.5671069999999999E-2</v>
      </c>
      <c r="Q7054">
        <v>2.7630109999999999E-2</v>
      </c>
      <c r="R7054">
        <v>0.99949540000000003</v>
      </c>
      <c r="S7054">
        <v>-3.1692499999999998E-2</v>
      </c>
      <c r="T7054">
        <v>-0.11343979999999999</v>
      </c>
      <c r="U7054">
        <v>3.0051570000000001</v>
      </c>
      <c r="V7054">
        <v>2.265884E-2</v>
      </c>
      <c r="W7054">
        <v>3.5923209999999997E-2</v>
      </c>
      <c r="X7054">
        <v>0.99909760000000003</v>
      </c>
      <c r="Y7054">
        <v>-3.5395309999999998E-3</v>
      </c>
      <c r="Z7054">
        <v>-3.7718960000000003E-2</v>
      </c>
      <c r="AA7054">
        <v>0.99928209999999995</v>
      </c>
      <c r="AB7054">
        <v>40</v>
      </c>
      <c r="AC7054">
        <v>-0.30699999999998701</v>
      </c>
      <c r="AD7054">
        <v>-1.108694905456</v>
      </c>
      <c r="AE7054">
        <v>28.98049</v>
      </c>
      <c r="AF7054">
        <v>-0.104018943626669</v>
      </c>
      <c r="AG7054">
        <v>-1.108694905456</v>
      </c>
      <c r="AH7054">
        <v>28.939578553708699</v>
      </c>
      <c r="AI7054">
        <v>92.193953112730796</v>
      </c>
      <c r="AJ7054">
        <v>90.205940137745401</v>
      </c>
      <c r="AK7054">
        <v>28.960994996724398</v>
      </c>
      <c r="AL7054">
        <v>87.941308647962003</v>
      </c>
      <c r="AM7054">
        <v>88.700794213737694</v>
      </c>
      <c r="AN7054">
        <v>0.99999995718630397</v>
      </c>
    </row>
    <row r="7055" spans="1:40" x14ac:dyDescent="0.25">
      <c r="A7055" t="str">
        <f>"20190312173103204"</f>
        <v>20190312173103204</v>
      </c>
      <c r="B7055" t="str">
        <f>"1552383063194236"</f>
        <v>1552383063194236</v>
      </c>
      <c r="C7055" t="s">
        <v>40</v>
      </c>
      <c r="D7055">
        <v>3.115437</v>
      </c>
      <c r="E7055">
        <v>0.52268729999999997</v>
      </c>
      <c r="F7055" t="s">
        <v>42</v>
      </c>
      <c r="G7055">
        <v>-187.5164</v>
      </c>
      <c r="H7055">
        <v>1.0189090000000001</v>
      </c>
      <c r="I7055">
        <v>49.600340000000003</v>
      </c>
      <c r="J7055">
        <v>-187.56630000000001</v>
      </c>
      <c r="K7055">
        <v>1.1086819999999999</v>
      </c>
      <c r="L7055">
        <v>49.270319999999998</v>
      </c>
      <c r="M7055">
        <v>-7.0823329999999997E-3</v>
      </c>
      <c r="N7055">
        <v>0</v>
      </c>
      <c r="O7055">
        <v>0.9999403</v>
      </c>
      <c r="P7055">
        <v>1.6508410000000001E-2</v>
      </c>
      <c r="Q7055">
        <v>2.7330190000000001E-2</v>
      </c>
      <c r="R7055">
        <v>0.99949010000000005</v>
      </c>
      <c r="S7055">
        <v>0.19462589999999999</v>
      </c>
      <c r="T7055">
        <v>-0.37268030000000002</v>
      </c>
      <c r="U7055">
        <v>3.008759</v>
      </c>
      <c r="V7055">
        <v>2.358012E-2</v>
      </c>
      <c r="W7055">
        <v>3.5652059999999999E-2</v>
      </c>
      <c r="X7055">
        <v>0.99908600000000003</v>
      </c>
      <c r="Y7055">
        <v>7.1130360000000004E-2</v>
      </c>
      <c r="Z7055">
        <v>-0.1226391</v>
      </c>
      <c r="AA7055">
        <v>0.98989899999999997</v>
      </c>
      <c r="AB7055">
        <v>40</v>
      </c>
      <c r="AC7055">
        <v>4.9900000000008E-2</v>
      </c>
      <c r="AD7055">
        <v>-8.9772999999999797E-2</v>
      </c>
      <c r="AE7055">
        <v>0.33002000000000398</v>
      </c>
      <c r="AF7055">
        <v>4.8712178044146501E-2</v>
      </c>
      <c r="AG7055">
        <v>-8.9772999999999797E-2</v>
      </c>
      <c r="AH7055">
        <v>0.30741884115358398</v>
      </c>
      <c r="AI7055">
        <v>106.08879653001</v>
      </c>
      <c r="AJ7055">
        <v>80.996033375079705</v>
      </c>
      <c r="AK7055">
        <v>0.32394198819390002</v>
      </c>
      <c r="AL7055">
        <v>87.956854370340807</v>
      </c>
      <c r="AM7055">
        <v>88.647973669008195</v>
      </c>
      <c r="AN7055">
        <v>0.99999996341872799</v>
      </c>
    </row>
    <row r="7056" spans="1:40" x14ac:dyDescent="0.25">
      <c r="A7056" t="str">
        <f>"20190312173103238"</f>
        <v>20190312173103238</v>
      </c>
      <c r="B7056" t="str">
        <f>"1552383063224489"</f>
        <v>1552383063224489</v>
      </c>
      <c r="C7056" t="s">
        <v>40</v>
      </c>
      <c r="D7056">
        <v>3.0993680000000001</v>
      </c>
      <c r="E7056">
        <v>0.52408679999999996</v>
      </c>
      <c r="F7056" t="s">
        <v>42</v>
      </c>
      <c r="G7056">
        <v>-187.49420000000001</v>
      </c>
      <c r="H7056">
        <v>0.97034560000000003</v>
      </c>
      <c r="I7056">
        <v>50.29533</v>
      </c>
      <c r="J7056">
        <v>-187.57060000000001</v>
      </c>
      <c r="K7056">
        <v>1.1086849999999999</v>
      </c>
      <c r="L7056">
        <v>49.869230000000002</v>
      </c>
      <c r="M7056">
        <v>-7.2093779999999998E-3</v>
      </c>
      <c r="N7056">
        <v>0</v>
      </c>
      <c r="O7056">
        <v>0.99993900000000002</v>
      </c>
      <c r="P7056">
        <v>1.8147159999999999E-2</v>
      </c>
      <c r="Q7056">
        <v>2.719245E-2</v>
      </c>
      <c r="R7056">
        <v>0.99946550000000001</v>
      </c>
      <c r="S7056">
        <v>0.21130370000000001</v>
      </c>
      <c r="T7056">
        <v>-0.4061323</v>
      </c>
      <c r="U7056">
        <v>3.0091549999999998</v>
      </c>
      <c r="V7056">
        <v>2.5345579999999999E-2</v>
      </c>
      <c r="W7056">
        <v>3.5554839999999997E-2</v>
      </c>
      <c r="X7056">
        <v>0.99904630000000005</v>
      </c>
      <c r="Y7056">
        <v>7.6611799999999994E-2</v>
      </c>
      <c r="Z7056">
        <v>-0.1333897</v>
      </c>
      <c r="AA7056">
        <v>0.98809809999999998</v>
      </c>
      <c r="AB7056">
        <v>40</v>
      </c>
      <c r="AC7056">
        <v>7.6400000000006602E-2</v>
      </c>
      <c r="AD7056">
        <v>-0.1383394</v>
      </c>
      <c r="AE7056">
        <v>0.42609999999999798</v>
      </c>
      <c r="AF7056">
        <v>7.2106279714373098E-2</v>
      </c>
      <c r="AG7056">
        <v>-0.1383394</v>
      </c>
      <c r="AH7056">
        <v>0.38610740347334599</v>
      </c>
      <c r="AI7056">
        <v>109.402437114647</v>
      </c>
      <c r="AJ7056">
        <v>79.421759224673593</v>
      </c>
      <c r="AK7056">
        <v>0.41643250615620298</v>
      </c>
      <c r="AL7056">
        <v>87.962428330295097</v>
      </c>
      <c r="AM7056">
        <v>88.546730690010406</v>
      </c>
      <c r="AN7056">
        <v>1.00000002730832</v>
      </c>
    </row>
    <row r="7057" spans="1:40" x14ac:dyDescent="0.25">
      <c r="A7057" t="str">
        <f>"20190312173103260"</f>
        <v>20190312173103260</v>
      </c>
      <c r="B7057" t="str">
        <f>"1552383063254746"</f>
        <v>1552383063254746</v>
      </c>
      <c r="C7057" t="s">
        <v>40</v>
      </c>
      <c r="D7057">
        <v>3.146814</v>
      </c>
      <c r="E7057">
        <v>0.52491589999999999</v>
      </c>
      <c r="F7057" t="s">
        <v>42</v>
      </c>
      <c r="G7057">
        <v>-187.5104</v>
      </c>
      <c r="H7057">
        <v>0.99516009999999999</v>
      </c>
      <c r="I7057">
        <v>50.66742</v>
      </c>
      <c r="J7057">
        <v>-187.5736</v>
      </c>
      <c r="K7057">
        <v>1.108684</v>
      </c>
      <c r="L7057">
        <v>50.267270000000003</v>
      </c>
      <c r="M7057">
        <v>-7.293636E-3</v>
      </c>
      <c r="N7057">
        <v>0</v>
      </c>
      <c r="O7057">
        <v>0.9999382</v>
      </c>
      <c r="P7057">
        <v>1.935893E-2</v>
      </c>
      <c r="Q7057">
        <v>2.7579860000000001E-2</v>
      </c>
      <c r="R7057">
        <v>0.99943210000000005</v>
      </c>
      <c r="S7057">
        <v>0.22677610000000001</v>
      </c>
      <c r="T7057">
        <v>-0.42798730000000001</v>
      </c>
      <c r="U7057">
        <v>3.009125</v>
      </c>
      <c r="V7057">
        <v>2.6641169999999999E-2</v>
      </c>
      <c r="W7057">
        <v>3.5966570000000003E-2</v>
      </c>
      <c r="X7057">
        <v>0.99899780000000005</v>
      </c>
      <c r="Y7057">
        <v>8.1676739999999998E-2</v>
      </c>
      <c r="Z7057">
        <v>-0.14037659999999999</v>
      </c>
      <c r="AA7057">
        <v>0.98672349999999998</v>
      </c>
      <c r="AB7057">
        <v>40</v>
      </c>
      <c r="AC7057">
        <v>6.3199999999994802E-2</v>
      </c>
      <c r="AD7057">
        <v>-0.113523899999999</v>
      </c>
      <c r="AE7057">
        <v>0.40014999999999601</v>
      </c>
      <c r="AF7057">
        <v>6.1302931889770498E-2</v>
      </c>
      <c r="AG7057">
        <v>-0.113523899999999</v>
      </c>
      <c r="AH7057">
        <v>0.37057742671618599</v>
      </c>
      <c r="AI7057">
        <v>106.816693963253</v>
      </c>
      <c r="AJ7057">
        <v>80.606886953483695</v>
      </c>
      <c r="AK7057">
        <v>0.39239438645460001</v>
      </c>
      <c r="AL7057">
        <v>87.938822733618096</v>
      </c>
      <c r="AM7057">
        <v>88.472404139826807</v>
      </c>
      <c r="AN7057">
        <v>0.99999997525068596</v>
      </c>
    </row>
    <row r="7058" spans="1:40" x14ac:dyDescent="0.25">
      <c r="A7058" t="str">
        <f>"20190312173103285"</f>
        <v>20190312173103285</v>
      </c>
      <c r="B7058" t="str">
        <f>"1552383063274266"</f>
        <v>1552383063274266</v>
      </c>
      <c r="C7058" t="s">
        <v>40</v>
      </c>
      <c r="D7058">
        <v>3.1154609999999998</v>
      </c>
      <c r="E7058">
        <v>0.52509090000000003</v>
      </c>
      <c r="F7058" t="s">
        <v>42</v>
      </c>
      <c r="G7058">
        <v>-187.5136</v>
      </c>
      <c r="H7058">
        <v>0.99790389999999995</v>
      </c>
      <c r="I7058">
        <v>51.029429999999998</v>
      </c>
      <c r="J7058">
        <v>-187.57669999999999</v>
      </c>
      <c r="K7058">
        <v>1.108684</v>
      </c>
      <c r="L7058">
        <v>50.691040000000001</v>
      </c>
      <c r="M7058">
        <v>-7.3834759999999999E-3</v>
      </c>
      <c r="N7058">
        <v>0</v>
      </c>
      <c r="O7058">
        <v>0.99993739999999998</v>
      </c>
      <c r="P7058">
        <v>2.0326090000000002E-2</v>
      </c>
      <c r="Q7058">
        <v>2.768663E-2</v>
      </c>
      <c r="R7058">
        <v>0.99941000000000002</v>
      </c>
      <c r="S7058">
        <v>0.23649600000000001</v>
      </c>
      <c r="T7058">
        <v>-0.43739929999999999</v>
      </c>
      <c r="U7058">
        <v>3.0091860000000001</v>
      </c>
      <c r="V7058">
        <v>2.7697860000000001E-2</v>
      </c>
      <c r="W7058">
        <v>3.6099050000000001E-2</v>
      </c>
      <c r="X7058">
        <v>0.99896430000000003</v>
      </c>
      <c r="Y7058">
        <v>8.4899189999999999E-2</v>
      </c>
      <c r="Z7058">
        <v>-0.14336090000000001</v>
      </c>
      <c r="AA7058">
        <v>0.98602219999999996</v>
      </c>
      <c r="AB7058">
        <v>40</v>
      </c>
      <c r="AC7058">
        <v>6.3099999999991496E-2</v>
      </c>
      <c r="AD7058">
        <v>-0.11078009999999899</v>
      </c>
      <c r="AE7058">
        <v>0.33838999999999603</v>
      </c>
      <c r="AF7058">
        <v>5.9440470990973202E-2</v>
      </c>
      <c r="AG7058">
        <v>-0.11078009999999899</v>
      </c>
      <c r="AH7058">
        <v>0.306200902378225</v>
      </c>
      <c r="AI7058">
        <v>109.55295238403799</v>
      </c>
      <c r="AJ7058">
        <v>79.014236732245394</v>
      </c>
      <c r="AK7058">
        <v>0.33100512498279799</v>
      </c>
      <c r="AL7058">
        <v>87.931227292361001</v>
      </c>
      <c r="AM7058">
        <v>88.411791093098202</v>
      </c>
      <c r="AN7058">
        <v>0.99999999276698603</v>
      </c>
    </row>
    <row r="7059" spans="1:40" x14ac:dyDescent="0.25">
      <c r="A7059" t="str">
        <f>"20190312173103307"</f>
        <v>20190312173103307</v>
      </c>
      <c r="B7059" t="str">
        <f>"1552383063294762"</f>
        <v>1552383063294762</v>
      </c>
      <c r="C7059" t="s">
        <v>40</v>
      </c>
      <c r="D7059">
        <v>3.1097410000000001</v>
      </c>
      <c r="E7059">
        <v>0.52519269999999996</v>
      </c>
      <c r="F7059" t="s">
        <v>42</v>
      </c>
      <c r="G7059">
        <v>-187.4933</v>
      </c>
      <c r="H7059">
        <v>0.95606709999999995</v>
      </c>
      <c r="I7059">
        <v>51.73245</v>
      </c>
      <c r="J7059">
        <v>-187.57990000000001</v>
      </c>
      <c r="K7059">
        <v>1.1086860000000001</v>
      </c>
      <c r="L7059">
        <v>51.11365</v>
      </c>
      <c r="M7059">
        <v>-7.4729250000000001E-3</v>
      </c>
      <c r="N7059">
        <v>0</v>
      </c>
      <c r="O7059">
        <v>0.99993650000000001</v>
      </c>
      <c r="P7059">
        <v>2.1675150000000001E-2</v>
      </c>
      <c r="Q7059">
        <v>2.8115190000000002E-2</v>
      </c>
      <c r="R7059">
        <v>0.99936970000000003</v>
      </c>
      <c r="S7059">
        <v>0.24078369999999999</v>
      </c>
      <c r="T7059">
        <v>-0.44098540000000003</v>
      </c>
      <c r="U7059">
        <v>3.0090940000000002</v>
      </c>
      <c r="V7059">
        <v>2.9135850000000001E-2</v>
      </c>
      <c r="W7059">
        <v>3.655079E-2</v>
      </c>
      <c r="X7059">
        <v>0.99890699999999999</v>
      </c>
      <c r="Y7059">
        <v>8.6373580000000005E-2</v>
      </c>
      <c r="Z7059">
        <v>-0.14449879999999901</v>
      </c>
      <c r="AA7059">
        <v>0.98572800000000005</v>
      </c>
      <c r="AB7059">
        <v>40</v>
      </c>
      <c r="AC7059">
        <v>8.6600000000004201E-2</v>
      </c>
      <c r="AD7059">
        <v>-0.152618899999999</v>
      </c>
      <c r="AE7059">
        <v>0.61880000000000002</v>
      </c>
      <c r="AF7059">
        <v>8.6085993993450294E-2</v>
      </c>
      <c r="AG7059">
        <v>-0.152618899999999</v>
      </c>
      <c r="AH7059">
        <v>0.58333315512195505</v>
      </c>
      <c r="AI7059">
        <v>104.51136298316</v>
      </c>
      <c r="AJ7059">
        <v>81.605109323431805</v>
      </c>
      <c r="AK7059">
        <v>0.60908201160729203</v>
      </c>
      <c r="AL7059">
        <v>87.905327473753701</v>
      </c>
      <c r="AM7059">
        <v>88.329285837025196</v>
      </c>
      <c r="AN7059">
        <v>1.00000002632692</v>
      </c>
    </row>
    <row r="7060" spans="1:40" x14ac:dyDescent="0.25">
      <c r="A7060" t="str">
        <f>"20190312173103326"</f>
        <v>20190312173103326</v>
      </c>
      <c r="B7060" t="str">
        <f>"1552383063314281"</f>
        <v>1552383063314281</v>
      </c>
      <c r="C7060" t="s">
        <v>40</v>
      </c>
      <c r="D7060">
        <v>3.1209549999999999</v>
      </c>
      <c r="E7060">
        <v>0.52521589999999996</v>
      </c>
      <c r="F7060" t="s">
        <v>42</v>
      </c>
      <c r="G7060">
        <v>-187.49950000000001</v>
      </c>
      <c r="H7060">
        <v>0.9638371</v>
      </c>
      <c r="I7060">
        <v>52.098500000000001</v>
      </c>
      <c r="J7060">
        <v>-187.58269999999999</v>
      </c>
      <c r="K7060">
        <v>1.108689</v>
      </c>
      <c r="L7060">
        <v>51.47269</v>
      </c>
      <c r="M7060">
        <v>-7.5491150000000003E-3</v>
      </c>
      <c r="N7060">
        <v>0</v>
      </c>
      <c r="O7060">
        <v>0.99993569999999998</v>
      </c>
      <c r="P7060">
        <v>2.3402550000000001E-2</v>
      </c>
      <c r="Q7060">
        <v>2.8527299999999998E-2</v>
      </c>
      <c r="R7060">
        <v>0.99931899999999996</v>
      </c>
      <c r="S7060">
        <v>0.24568180000000001</v>
      </c>
      <c r="T7060">
        <v>-0.44255630000000001</v>
      </c>
      <c r="U7060">
        <v>3.0090029999999999</v>
      </c>
      <c r="V7060">
        <v>3.0938859999999999E-2</v>
      </c>
      <c r="W7060">
        <v>3.6982029999999999E-2</v>
      </c>
      <c r="X7060">
        <v>0.99883690000000003</v>
      </c>
      <c r="Y7060">
        <v>8.8040060000000003E-2</v>
      </c>
      <c r="Z7060">
        <v>-0.1449869</v>
      </c>
      <c r="AA7060">
        <v>0.98550890000000002</v>
      </c>
      <c r="AB7060">
        <v>40</v>
      </c>
      <c r="AC7060">
        <v>8.3199999999976598E-2</v>
      </c>
      <c r="AD7060">
        <v>-0.14485190000000001</v>
      </c>
      <c r="AE7060">
        <v>0.62581000000000098</v>
      </c>
      <c r="AF7060">
        <v>8.3524967122356394E-2</v>
      </c>
      <c r="AG7060">
        <v>-0.14485190000000001</v>
      </c>
      <c r="AH7060">
        <v>0.59389847928664297</v>
      </c>
      <c r="AI7060">
        <v>103.578226278949</v>
      </c>
      <c r="AJ7060">
        <v>81.994514935903595</v>
      </c>
      <c r="AK7060">
        <v>0.61698776062851302</v>
      </c>
      <c r="AL7060">
        <v>87.880602508166703</v>
      </c>
      <c r="AM7060">
        <v>88.225836968288405</v>
      </c>
      <c r="AN7060">
        <v>1.00000001820131</v>
      </c>
    </row>
    <row r="7061" spans="1:40" x14ac:dyDescent="0.25">
      <c r="A7061" t="str">
        <f>"20190312173103351"</f>
        <v>20190312173103351</v>
      </c>
      <c r="B7061" t="str">
        <f>"1552383063344538"</f>
        <v>1552383063344538</v>
      </c>
      <c r="C7061" t="s">
        <v>40</v>
      </c>
      <c r="D7061">
        <v>3.1011069999999998</v>
      </c>
      <c r="E7061">
        <v>0.54416560000000003</v>
      </c>
      <c r="F7061" t="s">
        <v>42</v>
      </c>
      <c r="G7061">
        <v>-187.5001</v>
      </c>
      <c r="H7061">
        <v>0.96326029999999996</v>
      </c>
      <c r="I7061">
        <v>52.461170000000003</v>
      </c>
      <c r="J7061">
        <v>-187.58600000000001</v>
      </c>
      <c r="K7061">
        <v>1.108689</v>
      </c>
      <c r="L7061">
        <v>51.910980000000002</v>
      </c>
      <c r="M7061">
        <v>-7.6422290000000004E-3</v>
      </c>
      <c r="N7061">
        <v>0</v>
      </c>
      <c r="O7061">
        <v>0.99993489999999996</v>
      </c>
      <c r="P7061">
        <v>2.507941E-2</v>
      </c>
      <c r="Q7061">
        <v>2.8928969999999998E-2</v>
      </c>
      <c r="R7061">
        <v>0.99926680000000001</v>
      </c>
      <c r="S7061">
        <v>0.25100709999999998</v>
      </c>
      <c r="T7061">
        <v>-0.4426756</v>
      </c>
      <c r="U7061">
        <v>3.0088200000000001</v>
      </c>
      <c r="V7061">
        <v>3.2708210000000001E-2</v>
      </c>
      <c r="W7061">
        <v>3.7405170000000001E-2</v>
      </c>
      <c r="X7061">
        <v>0.99876480000000001</v>
      </c>
      <c r="Y7061">
        <v>8.9869690000000002E-2</v>
      </c>
      <c r="Z7061">
        <v>-0.14501140000000001</v>
      </c>
      <c r="AA7061">
        <v>0.98534010000000005</v>
      </c>
      <c r="AB7061">
        <v>41</v>
      </c>
      <c r="AC7061">
        <v>8.5899999999980894E-2</v>
      </c>
      <c r="AD7061">
        <v>-0.14542869999999899</v>
      </c>
      <c r="AE7061">
        <v>0.55018999999999296</v>
      </c>
      <c r="AF7061">
        <v>8.4349286620120603E-2</v>
      </c>
      <c r="AG7061">
        <v>-0.14542869999999899</v>
      </c>
      <c r="AH7061">
        <v>0.51443074942024503</v>
      </c>
      <c r="AI7061">
        <v>105.587671749404</v>
      </c>
      <c r="AJ7061">
        <v>80.688283561969996</v>
      </c>
      <c r="AK7061">
        <v>0.54120541838204805</v>
      </c>
      <c r="AL7061">
        <v>87.856341653255797</v>
      </c>
      <c r="AM7061">
        <v>88.124310283274895</v>
      </c>
      <c r="AN7061">
        <v>1.00000004973158</v>
      </c>
    </row>
    <row r="7062" spans="1:40" x14ac:dyDescent="0.25">
      <c r="A7062" t="str">
        <f>"20190312173103374"</f>
        <v>20190312173103374</v>
      </c>
      <c r="B7062" t="str">
        <f>"1552383063364058"</f>
        <v>1552383063364058</v>
      </c>
      <c r="C7062" t="s">
        <v>40</v>
      </c>
      <c r="D7062">
        <v>3.087548</v>
      </c>
      <c r="E7062">
        <v>0.54598349999999995</v>
      </c>
      <c r="F7062" t="s">
        <v>42</v>
      </c>
      <c r="G7062">
        <v>-187.46619999999999</v>
      </c>
      <c r="H7062">
        <v>0.92915859999999995</v>
      </c>
      <c r="I7062">
        <v>52.809869999999997</v>
      </c>
      <c r="J7062">
        <v>-187.58930000000001</v>
      </c>
      <c r="K7062">
        <v>1.1086879999999999</v>
      </c>
      <c r="L7062">
        <v>52.33014</v>
      </c>
      <c r="M7062">
        <v>-7.7313709999999999E-3</v>
      </c>
      <c r="N7062">
        <v>0</v>
      </c>
      <c r="O7062">
        <v>0.99993399999999999</v>
      </c>
      <c r="P7062">
        <v>2.6503289999999999E-2</v>
      </c>
      <c r="Q7062">
        <v>2.9358800000000001E-2</v>
      </c>
      <c r="R7062">
        <v>0.99921749999999998</v>
      </c>
      <c r="S7062">
        <v>0.40129090000000001</v>
      </c>
      <c r="T7062">
        <v>-0.60106499999999996</v>
      </c>
      <c r="U7062">
        <v>3.0095209999999999</v>
      </c>
      <c r="V7062">
        <v>3.422062E-2</v>
      </c>
      <c r="W7062">
        <v>3.7854989999999998E-2</v>
      </c>
      <c r="X7062">
        <v>0.9986971</v>
      </c>
      <c r="Y7062">
        <v>0.137316299999999</v>
      </c>
      <c r="Z7062">
        <v>-0.19408980000000001</v>
      </c>
      <c r="AA7062">
        <v>0.97132560000000001</v>
      </c>
      <c r="AB7062">
        <v>41</v>
      </c>
      <c r="AC7062">
        <v>0.123100000000022</v>
      </c>
      <c r="AD7062">
        <v>-0.17952939999999901</v>
      </c>
      <c r="AE7062">
        <v>0.47972999999999599</v>
      </c>
      <c r="AF7062">
        <v>0.112078691533294</v>
      </c>
      <c r="AG7062">
        <v>-0.17952939999999901</v>
      </c>
      <c r="AH7062">
        <v>0.42316194939195301</v>
      </c>
      <c r="AI7062">
        <v>112.29930759956601</v>
      </c>
      <c r="AJ7062">
        <v>75.165266040852103</v>
      </c>
      <c r="AK7062">
        <v>0.47313684486982499</v>
      </c>
      <c r="AL7062">
        <v>87.830550436280504</v>
      </c>
      <c r="AM7062">
        <v>88.037512793907894</v>
      </c>
      <c r="AN7062">
        <v>0.99999997432474597</v>
      </c>
    </row>
    <row r="7063" spans="1:40" x14ac:dyDescent="0.25">
      <c r="A7063" t="str">
        <f>"20190312173103396"</f>
        <v>20190312173103396</v>
      </c>
      <c r="B7063" t="str">
        <f>"1552383063384554"</f>
        <v>1552383063384554</v>
      </c>
      <c r="C7063" t="s">
        <v>40</v>
      </c>
      <c r="D7063">
        <v>3.0952999999999999</v>
      </c>
      <c r="E7063">
        <v>0.54678099999999996</v>
      </c>
      <c r="F7063" t="s">
        <v>42</v>
      </c>
      <c r="G7063">
        <v>-187.47110000000001</v>
      </c>
      <c r="H7063">
        <v>0.93661799999999995</v>
      </c>
      <c r="I7063">
        <v>53.177269999999901</v>
      </c>
      <c r="J7063">
        <v>-187.5924</v>
      </c>
      <c r="K7063">
        <v>1.1086910000000001</v>
      </c>
      <c r="L7063">
        <v>52.72034</v>
      </c>
      <c r="M7063">
        <v>-7.8143929999999993E-3</v>
      </c>
      <c r="N7063">
        <v>0</v>
      </c>
      <c r="O7063">
        <v>0.99993319999999997</v>
      </c>
      <c r="P7063">
        <v>2.7338290000000001E-2</v>
      </c>
      <c r="Q7063">
        <v>2.9487269999999999E-2</v>
      </c>
      <c r="R7063">
        <v>0.99919119999999995</v>
      </c>
      <c r="S7063">
        <v>0.41975400000000002</v>
      </c>
      <c r="T7063">
        <v>-0.61123509999999903</v>
      </c>
      <c r="U7063">
        <v>3.0091860000000001</v>
      </c>
      <c r="V7063">
        <v>3.5138290000000003E-2</v>
      </c>
      <c r="W7063">
        <v>3.8000800000000001E-2</v>
      </c>
      <c r="X7063">
        <v>0.99865970000000004</v>
      </c>
      <c r="Y7063">
        <v>0.14317769999999999</v>
      </c>
      <c r="Z7063">
        <v>-0.197106</v>
      </c>
      <c r="AA7063">
        <v>0.96987080000000003</v>
      </c>
      <c r="AB7063">
        <v>41</v>
      </c>
      <c r="AC7063">
        <v>0.12129999999999</v>
      </c>
      <c r="AD7063">
        <v>-0.172073</v>
      </c>
      <c r="AE7063">
        <v>0.45692999999999201</v>
      </c>
      <c r="AF7063">
        <v>0.11025983015179799</v>
      </c>
      <c r="AG7063">
        <v>-0.172073</v>
      </c>
      <c r="AH7063">
        <v>0.40262796139263901</v>
      </c>
      <c r="AI7063">
        <v>112.401353554829</v>
      </c>
      <c r="AJ7063">
        <v>74.685002720926605</v>
      </c>
      <c r="AK7063">
        <v>0.45152588272356597</v>
      </c>
      <c r="AL7063">
        <v>87.822190131715502</v>
      </c>
      <c r="AM7063">
        <v>87.984853588759904</v>
      </c>
      <c r="AN7063">
        <v>0.999999978314426</v>
      </c>
    </row>
    <row r="7064" spans="1:40" x14ac:dyDescent="0.25">
      <c r="A7064" t="str">
        <f>"20190312173103417"</f>
        <v>20190312173103417</v>
      </c>
      <c r="B7064" t="str">
        <f>"1552383063414810"</f>
        <v>1552383063414810</v>
      </c>
      <c r="C7064" t="s">
        <v>40</v>
      </c>
      <c r="D7064">
        <v>3.1325769999999999</v>
      </c>
      <c r="E7064">
        <v>0.54731730000000001</v>
      </c>
      <c r="F7064" t="s">
        <v>42</v>
      </c>
      <c r="G7064">
        <v>-187.4753</v>
      </c>
      <c r="H7064">
        <v>0.93942369999999997</v>
      </c>
      <c r="I7064">
        <v>53.543089999999999</v>
      </c>
      <c r="J7064">
        <v>-187.59559999999999</v>
      </c>
      <c r="K7064">
        <v>1.1086940000000001</v>
      </c>
      <c r="L7064">
        <v>53.122340000000001</v>
      </c>
      <c r="M7064">
        <v>-7.8998109999999996E-3</v>
      </c>
      <c r="N7064">
        <v>0</v>
      </c>
      <c r="O7064">
        <v>0.99993240000000005</v>
      </c>
      <c r="P7064">
        <v>2.785893E-2</v>
      </c>
      <c r="Q7064">
        <v>2.9463059999999999E-2</v>
      </c>
      <c r="R7064">
        <v>0.9991776</v>
      </c>
      <c r="S7064">
        <v>0.4281006</v>
      </c>
      <c r="T7064">
        <v>-0.61904359999999903</v>
      </c>
      <c r="U7064">
        <v>3.008972</v>
      </c>
      <c r="V7064">
        <v>3.5744119999999997E-2</v>
      </c>
      <c r="W7064">
        <v>3.7994119999999999E-2</v>
      </c>
      <c r="X7064">
        <v>0.99863849999999998</v>
      </c>
      <c r="Y7064">
        <v>0.14584179999999999</v>
      </c>
      <c r="Z7064">
        <v>-0.19946059999999999</v>
      </c>
      <c r="AA7064">
        <v>0.96899210000000002</v>
      </c>
      <c r="AB7064">
        <v>41</v>
      </c>
      <c r="AC7064">
        <v>0.120299999999986</v>
      </c>
      <c r="AD7064">
        <v>-0.16927030000000001</v>
      </c>
      <c r="AE7064">
        <v>0.42074999999999801</v>
      </c>
      <c r="AF7064">
        <v>0.107531462899023</v>
      </c>
      <c r="AG7064">
        <v>-0.16927030000000001</v>
      </c>
      <c r="AH7064">
        <v>0.36515270696819102</v>
      </c>
      <c r="AI7064">
        <v>113.97374348936501</v>
      </c>
      <c r="AJ7064">
        <v>73.591166413944507</v>
      </c>
      <c r="AK7064">
        <v>0.416595666541902</v>
      </c>
      <c r="AL7064">
        <v>87.822573244690105</v>
      </c>
      <c r="AM7064">
        <v>87.950095743387095</v>
      </c>
      <c r="AN7064">
        <v>1.0000000244756899</v>
      </c>
    </row>
    <row r="7065" spans="1:40" x14ac:dyDescent="0.25">
      <c r="A7065" t="str">
        <f>"20190312173103439"</f>
        <v>20190312173103439</v>
      </c>
      <c r="B7065" t="str">
        <f>"1552383063434330"</f>
        <v>1552383063434330</v>
      </c>
      <c r="C7065" t="s">
        <v>40</v>
      </c>
      <c r="D7065">
        <v>3.130925</v>
      </c>
      <c r="E7065">
        <v>0.54751159999999999</v>
      </c>
      <c r="F7065" t="s">
        <v>42</v>
      </c>
      <c r="G7065">
        <v>-187.4821</v>
      </c>
      <c r="H7065">
        <v>0.94387509999999997</v>
      </c>
      <c r="I7065">
        <v>53.9101199999999</v>
      </c>
      <c r="J7065">
        <v>-187.59880000000001</v>
      </c>
      <c r="K7065">
        <v>1.108692</v>
      </c>
      <c r="L7065">
        <v>53.519559999999998</v>
      </c>
      <c r="M7065">
        <v>-7.9840190000000002E-3</v>
      </c>
      <c r="N7065">
        <v>0</v>
      </c>
      <c r="O7065">
        <v>0.99993160000000003</v>
      </c>
      <c r="P7065">
        <v>2.8432430000000002E-2</v>
      </c>
      <c r="Q7065">
        <v>2.9968870000000002E-2</v>
      </c>
      <c r="R7065">
        <v>0.99914630000000004</v>
      </c>
      <c r="S7065">
        <v>0.43321229999999999</v>
      </c>
      <c r="T7065">
        <v>-0.62953619999999899</v>
      </c>
      <c r="U7065">
        <v>3.0089419999999998</v>
      </c>
      <c r="V7065">
        <v>3.6401339999999997E-2</v>
      </c>
      <c r="W7065">
        <v>3.8516349999999998E-2</v>
      </c>
      <c r="X7065">
        <v>0.99859469999999995</v>
      </c>
      <c r="Y7065">
        <v>0.14744579999999999</v>
      </c>
      <c r="Z7065">
        <v>-0.20265630000000001</v>
      </c>
      <c r="AA7065">
        <v>0.9680858</v>
      </c>
      <c r="AB7065">
        <v>41</v>
      </c>
      <c r="AC7065">
        <v>0.11670000000000801</v>
      </c>
      <c r="AD7065">
        <v>-0.16481689999999999</v>
      </c>
      <c r="AE7065">
        <v>0.39055999999999302</v>
      </c>
      <c r="AF7065">
        <v>0.10297877753479399</v>
      </c>
      <c r="AG7065">
        <v>-0.16481689999999999</v>
      </c>
      <c r="AH7065">
        <v>0.33486858882981202</v>
      </c>
      <c r="AI7065">
        <v>115.194251621758</v>
      </c>
      <c r="AJ7065">
        <v>72.906291837279994</v>
      </c>
      <c r="AK7065">
        <v>0.38717723452320901</v>
      </c>
      <c r="AL7065">
        <v>87.792629633029406</v>
      </c>
      <c r="AM7065">
        <v>87.912346127234201</v>
      </c>
      <c r="AN7065">
        <v>0.99999997081960301</v>
      </c>
    </row>
    <row r="7066" spans="1:40" x14ac:dyDescent="0.25">
      <c r="A7066" t="str">
        <f>"20190312173103460"</f>
        <v>20190312173103460</v>
      </c>
      <c r="B7066" t="str">
        <f>"1552383063454826"</f>
        <v>1552383063454826</v>
      </c>
      <c r="C7066" t="s">
        <v>40</v>
      </c>
      <c r="D7066">
        <v>3.1127370000000001</v>
      </c>
      <c r="E7066">
        <v>0.54796559999999905</v>
      </c>
      <c r="F7066" t="s">
        <v>42</v>
      </c>
      <c r="G7066">
        <v>-187.4888</v>
      </c>
      <c r="H7066">
        <v>0.94951140000000001</v>
      </c>
      <c r="I7066">
        <v>54.278280000000002</v>
      </c>
      <c r="J7066">
        <v>-187.60210000000001</v>
      </c>
      <c r="K7066">
        <v>1.1086929999999999</v>
      </c>
      <c r="L7066">
        <v>53.923000000000002</v>
      </c>
      <c r="M7066">
        <v>-8.0692019999999993E-3</v>
      </c>
      <c r="N7066">
        <v>0</v>
      </c>
      <c r="O7066">
        <v>0.99993069999999895</v>
      </c>
      <c r="P7066">
        <v>2.857386E-2</v>
      </c>
      <c r="Q7066">
        <v>2.9979329999999998E-2</v>
      </c>
      <c r="R7066">
        <v>0.99914199999999997</v>
      </c>
      <c r="S7066">
        <v>0.43609619999999999</v>
      </c>
      <c r="T7066">
        <v>-0.63131839999999995</v>
      </c>
      <c r="U7066">
        <v>3.0090940000000002</v>
      </c>
      <c r="V7066">
        <v>3.6627779999999999E-2</v>
      </c>
      <c r="W7066">
        <v>3.8543510000000003E-2</v>
      </c>
      <c r="X7066">
        <v>0.99858539999999996</v>
      </c>
      <c r="Y7066">
        <v>0.14841670000000001</v>
      </c>
      <c r="Z7066">
        <v>-0.20316799999999999</v>
      </c>
      <c r="AA7066">
        <v>0.96783019999999997</v>
      </c>
      <c r="AB7066">
        <v>41</v>
      </c>
      <c r="AC7066">
        <v>0.113300000000009</v>
      </c>
      <c r="AD7066">
        <v>-0.15918159999999901</v>
      </c>
      <c r="AE7066">
        <v>0.35527999999999998</v>
      </c>
      <c r="AF7066">
        <v>9.82590873510584E-2</v>
      </c>
      <c r="AG7066">
        <v>-0.15918159999999901</v>
      </c>
      <c r="AH7066">
        <v>0.29973781243971498</v>
      </c>
      <c r="AI7066">
        <v>116.777597172619</v>
      </c>
      <c r="AJ7066">
        <v>71.849987605025007</v>
      </c>
      <c r="AK7066">
        <v>0.35332193001817602</v>
      </c>
      <c r="AL7066">
        <v>87.791072384979898</v>
      </c>
      <c r="AM7066">
        <v>87.899351615298102</v>
      </c>
      <c r="AN7066">
        <v>0.99999999876200396</v>
      </c>
    </row>
    <row r="7067" spans="1:40" x14ac:dyDescent="0.25">
      <c r="A7067" t="str">
        <f>"20190312173103487"</f>
        <v>20190312173103487</v>
      </c>
      <c r="B7067" t="str">
        <f>"1552383063474345"</f>
        <v>1552383063474345</v>
      </c>
      <c r="C7067" t="s">
        <v>40</v>
      </c>
      <c r="D7067">
        <v>3.1435749999999998</v>
      </c>
      <c r="E7067">
        <v>0.55984789999999995</v>
      </c>
      <c r="F7067" t="s">
        <v>42</v>
      </c>
      <c r="G7067">
        <v>-187.49629999999999</v>
      </c>
      <c r="H7067">
        <v>0.95573450000000004</v>
      </c>
      <c r="I7067">
        <v>54.647269999999899</v>
      </c>
      <c r="J7067">
        <v>-187.60579999999999</v>
      </c>
      <c r="K7067">
        <v>1.108684</v>
      </c>
      <c r="L7067">
        <v>54.37585</v>
      </c>
      <c r="M7067">
        <v>-8.1648339999999993E-3</v>
      </c>
      <c r="N7067">
        <v>0</v>
      </c>
      <c r="O7067">
        <v>0.99992979999999998</v>
      </c>
      <c r="P7067">
        <v>2.8602700000000002E-2</v>
      </c>
      <c r="Q7067">
        <v>3.0051060000000001E-2</v>
      </c>
      <c r="R7067">
        <v>0.999139</v>
      </c>
      <c r="S7067">
        <v>0.43926999999999999</v>
      </c>
      <c r="T7067">
        <v>-0.63549389999999994</v>
      </c>
      <c r="U7067">
        <v>3.0090940000000002</v>
      </c>
      <c r="V7067">
        <v>3.6752069999999998E-2</v>
      </c>
      <c r="W7067">
        <v>3.8633090000000002E-2</v>
      </c>
      <c r="X7067">
        <v>0.99857739999999995</v>
      </c>
      <c r="Y7067">
        <v>0.14947299999999999</v>
      </c>
      <c r="Z7067">
        <v>-0.20442370000000001</v>
      </c>
      <c r="AA7067">
        <v>0.96740309999999896</v>
      </c>
      <c r="AB7067">
        <v>41</v>
      </c>
      <c r="AC7067">
        <v>0.109499999999997</v>
      </c>
      <c r="AD7067">
        <v>-0.15294949999999999</v>
      </c>
      <c r="AE7067">
        <v>0.271419999999992</v>
      </c>
      <c r="AF7067">
        <v>8.7748386450472504E-2</v>
      </c>
      <c r="AG7067">
        <v>-0.15294949999999999</v>
      </c>
      <c r="AH7067">
        <v>0.21248662689525</v>
      </c>
      <c r="AI7067">
        <v>123.636225537744</v>
      </c>
      <c r="AJ7067">
        <v>67.561353596676994</v>
      </c>
      <c r="AK7067">
        <v>0.27612297167065403</v>
      </c>
      <c r="AL7067">
        <v>87.785936066079998</v>
      </c>
      <c r="AM7067">
        <v>87.892212978019401</v>
      </c>
      <c r="AN7067">
        <v>1.0000000270414899</v>
      </c>
    </row>
    <row r="7068" spans="1:40" x14ac:dyDescent="0.25">
      <c r="A7068" t="str">
        <f>"20190312173103508"</f>
        <v>20190312173103508</v>
      </c>
      <c r="B7068" t="str">
        <f>"1552383063504602"</f>
        <v>1552383063504602</v>
      </c>
      <c r="C7068" t="s">
        <v>40</v>
      </c>
      <c r="D7068">
        <v>3.0980159999999999</v>
      </c>
      <c r="E7068">
        <v>0.55943240000000005</v>
      </c>
      <c r="F7068" t="s">
        <v>42</v>
      </c>
      <c r="G7068">
        <v>-187.4331</v>
      </c>
      <c r="H7068">
        <v>0.88239129999999999</v>
      </c>
      <c r="I7068">
        <v>55.352809999999998</v>
      </c>
      <c r="J7068">
        <v>-187.60919999999999</v>
      </c>
      <c r="K7068">
        <v>1.1086910000000001</v>
      </c>
      <c r="L7068">
        <v>54.783869999999901</v>
      </c>
      <c r="M7068">
        <v>-8.2510280000000005E-3</v>
      </c>
      <c r="N7068">
        <v>0</v>
      </c>
      <c r="O7068">
        <v>0.99992899999999996</v>
      </c>
      <c r="P7068">
        <v>2.795779E-2</v>
      </c>
      <c r="Q7068">
        <v>3.073099E-2</v>
      </c>
      <c r="R7068">
        <v>0.99913660000000004</v>
      </c>
      <c r="S7068">
        <v>0.53155520000000001</v>
      </c>
      <c r="T7068">
        <v>-0.69682549999999999</v>
      </c>
      <c r="U7068">
        <v>3.0083310000000001</v>
      </c>
      <c r="V7068">
        <v>3.6193099999999999E-2</v>
      </c>
      <c r="W7068">
        <v>3.9327800000000003E-2</v>
      </c>
      <c r="X7068">
        <v>0.99857070000000003</v>
      </c>
      <c r="Y7068">
        <v>0.17776639999999999</v>
      </c>
      <c r="Z7068">
        <v>-0.22221270000000001</v>
      </c>
      <c r="AA7068">
        <v>0.95865560000000005</v>
      </c>
      <c r="AB7068">
        <v>41</v>
      </c>
      <c r="AC7068">
        <v>0.17609999999999101</v>
      </c>
      <c r="AD7068">
        <v>-0.22629969999999999</v>
      </c>
      <c r="AE7068">
        <v>0.568940000000004</v>
      </c>
      <c r="AF7068">
        <v>0.15797967941878499</v>
      </c>
      <c r="AG7068">
        <v>-0.22629969999999999</v>
      </c>
      <c r="AH7068">
        <v>0.49587410679650501</v>
      </c>
      <c r="AI7068">
        <v>113.500902042593</v>
      </c>
      <c r="AJ7068">
        <v>72.328730623996407</v>
      </c>
      <c r="AK7068">
        <v>0.56750353577804602</v>
      </c>
      <c r="AL7068">
        <v>87.746101846118705</v>
      </c>
      <c r="AM7068">
        <v>87.924228581009004</v>
      </c>
      <c r="AN7068">
        <v>1.00000002961946</v>
      </c>
    </row>
    <row r="7069" spans="1:40" x14ac:dyDescent="0.25">
      <c r="A7069" t="str">
        <f>"20190312173103529"</f>
        <v>20190312173103529</v>
      </c>
      <c r="B7069" t="str">
        <f>"1552383063524122"</f>
        <v>1552383063524122</v>
      </c>
      <c r="C7069" t="s">
        <v>40</v>
      </c>
      <c r="D7069">
        <v>3.1292409999999999</v>
      </c>
      <c r="E7069">
        <v>0.55923409999999996</v>
      </c>
      <c r="F7069" t="s">
        <v>42</v>
      </c>
      <c r="G7069">
        <v>-187.44489999999999</v>
      </c>
      <c r="H7069">
        <v>0.8910323</v>
      </c>
      <c r="I7069">
        <v>55.723820000000003</v>
      </c>
      <c r="J7069">
        <v>-187.6123</v>
      </c>
      <c r="K7069">
        <v>1.108692</v>
      </c>
      <c r="L7069">
        <v>55.15204</v>
      </c>
      <c r="M7069">
        <v>-8.3289719999999901E-3</v>
      </c>
      <c r="N7069">
        <v>0</v>
      </c>
      <c r="O7069">
        <v>0.99992820000000004</v>
      </c>
      <c r="P7069">
        <v>2.7397870000000001E-2</v>
      </c>
      <c r="Q7069">
        <v>3.1478010000000001E-2</v>
      </c>
      <c r="R7069">
        <v>0.99912889999999999</v>
      </c>
      <c r="S7069">
        <v>0.52622990000000003</v>
      </c>
      <c r="T7069">
        <v>-0.69685509999999995</v>
      </c>
      <c r="U7069">
        <v>3.0093079999999999</v>
      </c>
      <c r="V7069">
        <v>3.5710840000000001E-2</v>
      </c>
      <c r="W7069">
        <v>4.008871E-2</v>
      </c>
      <c r="X7069">
        <v>0.99855769999999999</v>
      </c>
      <c r="Y7069">
        <v>0.17614369999999999</v>
      </c>
      <c r="Z7069">
        <v>-0.22221879999999999</v>
      </c>
      <c r="AA7069">
        <v>0.95895370000000002</v>
      </c>
      <c r="AB7069">
        <v>41</v>
      </c>
      <c r="AC7069">
        <v>0.16740000000001401</v>
      </c>
      <c r="AD7069">
        <v>-0.21765970000000001</v>
      </c>
      <c r="AE7069">
        <v>0.57177999999999596</v>
      </c>
      <c r="AF7069">
        <v>0.151884707171449</v>
      </c>
      <c r="AG7069">
        <v>-0.21765970000000001</v>
      </c>
      <c r="AH7069">
        <v>0.50320344451320997</v>
      </c>
      <c r="AI7069">
        <v>112.49425820611501</v>
      </c>
      <c r="AJ7069">
        <v>73.204317054574204</v>
      </c>
      <c r="AK7069">
        <v>0.56890984861101301</v>
      </c>
      <c r="AL7069">
        <v>87.702470261779098</v>
      </c>
      <c r="AM7069">
        <v>87.951837129730905</v>
      </c>
      <c r="AN7069">
        <v>0.99999992449612696</v>
      </c>
    </row>
    <row r="7070" spans="1:40" x14ac:dyDescent="0.25">
      <c r="A7070" t="str">
        <f>"20190312173103550"</f>
        <v>20190312173103550</v>
      </c>
      <c r="B7070" t="str">
        <f>"1552383063544617"</f>
        <v>1552383063544617</v>
      </c>
      <c r="C7070" t="s">
        <v>40</v>
      </c>
      <c r="D7070">
        <v>3.151243</v>
      </c>
      <c r="E7070">
        <v>0.55879719999999999</v>
      </c>
      <c r="F7070" t="s">
        <v>42</v>
      </c>
      <c r="G7070">
        <v>-187.44909999999999</v>
      </c>
      <c r="H7070">
        <v>0.89084959999999902</v>
      </c>
      <c r="I7070">
        <v>56.092059999999996</v>
      </c>
      <c r="J7070">
        <v>-187.61580000000001</v>
      </c>
      <c r="K7070">
        <v>1.108697</v>
      </c>
      <c r="L7070">
        <v>55.558810000000001</v>
      </c>
      <c r="M7070">
        <v>-8.41499699999999E-3</v>
      </c>
      <c r="N7070">
        <v>0</v>
      </c>
      <c r="O7070">
        <v>0.99992729999999996</v>
      </c>
      <c r="P7070">
        <v>2.6829749999999999E-2</v>
      </c>
      <c r="Q7070">
        <v>3.2217959999999997E-2</v>
      </c>
      <c r="R7070">
        <v>0.99912069999999997</v>
      </c>
      <c r="S7070">
        <v>0.52238459999999998</v>
      </c>
      <c r="T7070">
        <v>-0.6976135</v>
      </c>
      <c r="U7070">
        <v>3.010284</v>
      </c>
      <c r="V7070">
        <v>3.5228420000000003E-2</v>
      </c>
      <c r="W7070">
        <v>4.084339E-2</v>
      </c>
      <c r="X7070">
        <v>0.99854430000000005</v>
      </c>
      <c r="Y7070">
        <v>0.17497839999999901</v>
      </c>
      <c r="Z7070">
        <v>-0.22242700000000001</v>
      </c>
      <c r="AA7070">
        <v>0.95911880000000005</v>
      </c>
      <c r="AB7070">
        <v>41</v>
      </c>
      <c r="AC7070">
        <v>0.16670000000002</v>
      </c>
      <c r="AD7070">
        <v>-0.2178474</v>
      </c>
      <c r="AE7070">
        <v>0.53324999999999501</v>
      </c>
      <c r="AF7070">
        <v>0.14859034005169899</v>
      </c>
      <c r="AG7070">
        <v>-0.2178474</v>
      </c>
      <c r="AH7070">
        <v>0.461641692027141</v>
      </c>
      <c r="AI7070">
        <v>114.18967682029199</v>
      </c>
      <c r="AJ7070">
        <v>72.157996017509802</v>
      </c>
      <c r="AK7070">
        <v>0.53164803268809502</v>
      </c>
      <c r="AL7070">
        <v>87.6591949425503</v>
      </c>
      <c r="AM7070">
        <v>87.979455709466606</v>
      </c>
      <c r="AN7070">
        <v>0.99999997157243903</v>
      </c>
    </row>
    <row r="7071" spans="1:40" x14ac:dyDescent="0.25">
      <c r="A7071" t="str">
        <f>"20190312173103572"</f>
        <v>20190312173103572</v>
      </c>
      <c r="B7071" t="str">
        <f>"1552383063564137"</f>
        <v>1552383063564137</v>
      </c>
      <c r="C7071" t="s">
        <v>40</v>
      </c>
      <c r="D7071">
        <v>3.1384439999999998</v>
      </c>
      <c r="E7071">
        <v>0.55851039999999996</v>
      </c>
      <c r="F7071" t="s">
        <v>42</v>
      </c>
      <c r="G7071">
        <v>-187.46039999999999</v>
      </c>
      <c r="H7071">
        <v>0.89948030000000001</v>
      </c>
      <c r="I7071">
        <v>56.464179999999999</v>
      </c>
      <c r="J7071">
        <v>-187.61930000000001</v>
      </c>
      <c r="K7071">
        <v>1.108697</v>
      </c>
      <c r="L7071">
        <v>55.972470000000001</v>
      </c>
      <c r="M7071">
        <v>-8.5024609999999994E-3</v>
      </c>
      <c r="N7071">
        <v>0</v>
      </c>
      <c r="O7071">
        <v>0.99992650000000005</v>
      </c>
      <c r="P7071">
        <v>2.6363890000000001E-2</v>
      </c>
      <c r="Q7071">
        <v>3.3035500000000002E-2</v>
      </c>
      <c r="R7071">
        <v>0.99910639999999995</v>
      </c>
      <c r="S7071">
        <v>0.51663210000000004</v>
      </c>
      <c r="T7071">
        <v>-0.69583390000000001</v>
      </c>
      <c r="U7071">
        <v>3.0112000000000001</v>
      </c>
      <c r="V7071">
        <v>3.4849640000000001E-2</v>
      </c>
      <c r="W7071">
        <v>4.167477E-2</v>
      </c>
      <c r="X7071">
        <v>0.9985233</v>
      </c>
      <c r="Y7071">
        <v>0.173256299999999</v>
      </c>
      <c r="Z7071">
        <v>-0.2218926</v>
      </c>
      <c r="AA7071">
        <v>0.95955509999999999</v>
      </c>
      <c r="AB7071">
        <v>41</v>
      </c>
      <c r="AC7071">
        <v>0.158900000000016</v>
      </c>
      <c r="AD7071">
        <v>-0.20921670000000001</v>
      </c>
      <c r="AE7071">
        <v>0.49171000000001103</v>
      </c>
      <c r="AF7071">
        <v>0.140108377510966</v>
      </c>
      <c r="AG7071">
        <v>-0.20921670000000001</v>
      </c>
      <c r="AH7071">
        <v>0.42128366973707798</v>
      </c>
      <c r="AI7071">
        <v>115.23166618911</v>
      </c>
      <c r="AJ7071">
        <v>71.604169208761704</v>
      </c>
      <c r="AK7071">
        <v>0.49079722431446698</v>
      </c>
      <c r="AL7071">
        <v>87.611519923380101</v>
      </c>
      <c r="AM7071">
        <v>88.001121110727297</v>
      </c>
      <c r="AN7071">
        <v>1.00000003225278</v>
      </c>
    </row>
    <row r="7072" spans="1:40" x14ac:dyDescent="0.25">
      <c r="A7072" t="str">
        <f>"20190312173103596"</f>
        <v>20190312173103596</v>
      </c>
      <c r="B7072" t="str">
        <f>"1552383063584634"</f>
        <v>1552383063584634</v>
      </c>
      <c r="C7072" t="s">
        <v>40</v>
      </c>
      <c r="D7072">
        <v>3.1292430000000002</v>
      </c>
      <c r="E7072">
        <v>0.55884230000000001</v>
      </c>
      <c r="F7072" t="s">
        <v>42</v>
      </c>
      <c r="G7072">
        <v>-187.4718</v>
      </c>
      <c r="H7072">
        <v>0.90984830000000005</v>
      </c>
      <c r="I7072">
        <v>56.837580000000003</v>
      </c>
      <c r="J7072">
        <v>-187.62299999999999</v>
      </c>
      <c r="K7072">
        <v>1.1087020000000001</v>
      </c>
      <c r="L7072">
        <v>56.394170000000003</v>
      </c>
      <c r="M7072">
        <v>-8.5913810000000004E-3</v>
      </c>
      <c r="N7072">
        <v>0</v>
      </c>
      <c r="O7072">
        <v>0.99992559999999997</v>
      </c>
      <c r="P7072">
        <v>2.661647E-2</v>
      </c>
      <c r="Q7072">
        <v>3.3424199999999897E-2</v>
      </c>
      <c r="R7072">
        <v>0.99908680000000005</v>
      </c>
      <c r="S7072">
        <v>0.51313779999999998</v>
      </c>
      <c r="T7072">
        <v>-0.69233319999999998</v>
      </c>
      <c r="U7072">
        <v>3.0120239999999998</v>
      </c>
      <c r="V7072">
        <v>3.5190739999999998E-2</v>
      </c>
      <c r="W7072">
        <v>4.2078289999999997E-2</v>
      </c>
      <c r="X7072">
        <v>0.9984944</v>
      </c>
      <c r="Y7072">
        <v>0.17225950000000001</v>
      </c>
      <c r="Z7072">
        <v>-0.2208147</v>
      </c>
      <c r="AA7072">
        <v>0.95998309999999998</v>
      </c>
      <c r="AB7072">
        <v>41</v>
      </c>
      <c r="AC7072">
        <v>0.15119999999998801</v>
      </c>
      <c r="AD7072">
        <v>-0.19885369999999999</v>
      </c>
      <c r="AE7072">
        <v>0.44341000000000702</v>
      </c>
      <c r="AF7072">
        <v>0.13134036144408501</v>
      </c>
      <c r="AG7072">
        <v>-0.19885369999999999</v>
      </c>
      <c r="AH7072">
        <v>0.374602175120193</v>
      </c>
      <c r="AI7072">
        <v>116.608197491981</v>
      </c>
      <c r="AJ7072">
        <v>70.678674617614703</v>
      </c>
      <c r="AK7072">
        <v>0.443981839890702</v>
      </c>
      <c r="AL7072">
        <v>87.588379599623394</v>
      </c>
      <c r="AM7072">
        <v>87.981514291087706</v>
      </c>
      <c r="AN7072">
        <v>1.0000000187512099</v>
      </c>
    </row>
    <row r="7073" spans="1:40" x14ac:dyDescent="0.25">
      <c r="A7073" t="str">
        <f>"20190312173103617"</f>
        <v>20190312173103617</v>
      </c>
      <c r="B7073" t="str">
        <f>"1552383063614314"</f>
        <v>1552383063614314</v>
      </c>
      <c r="C7073" t="s">
        <v>40</v>
      </c>
      <c r="D7073">
        <v>3.1634980000000001</v>
      </c>
      <c r="E7073">
        <v>0.55901429999999996</v>
      </c>
      <c r="F7073" t="s">
        <v>42</v>
      </c>
      <c r="G7073">
        <v>-187.48269999999999</v>
      </c>
      <c r="H7073">
        <v>0.92051300000000003</v>
      </c>
      <c r="I7073">
        <v>57.211680000000001</v>
      </c>
      <c r="J7073">
        <v>-187.62649999999999</v>
      </c>
      <c r="K7073">
        <v>1.1087020000000001</v>
      </c>
      <c r="L7073">
        <v>56.795259999999999</v>
      </c>
      <c r="M7073">
        <v>-8.6760399999999994E-3</v>
      </c>
      <c r="N7073">
        <v>0</v>
      </c>
      <c r="O7073">
        <v>0.99992479999999995</v>
      </c>
      <c r="P7073">
        <v>2.6939279999999999E-2</v>
      </c>
      <c r="Q7073">
        <v>3.410958E-2</v>
      </c>
      <c r="R7073">
        <v>0.99905500000000003</v>
      </c>
      <c r="S7073">
        <v>0.516571</v>
      </c>
      <c r="T7073">
        <v>-0.69340100000000005</v>
      </c>
      <c r="U7073">
        <v>3.0121769999999999</v>
      </c>
      <c r="V7073">
        <v>3.5597660000000003E-2</v>
      </c>
      <c r="W7073">
        <v>4.2777179999999998E-2</v>
      </c>
      <c r="X7073">
        <v>0.99845030000000001</v>
      </c>
      <c r="Y7073">
        <v>0.1733874</v>
      </c>
      <c r="Z7073">
        <v>-0.22108549999999999</v>
      </c>
      <c r="AA7073">
        <v>0.95971770000000001</v>
      </c>
      <c r="AB7073">
        <v>41</v>
      </c>
      <c r="AC7073">
        <v>0.14379999999999801</v>
      </c>
      <c r="AD7073">
        <v>-0.188189</v>
      </c>
      <c r="AE7073">
        <v>0.41642000000000201</v>
      </c>
      <c r="AF7073">
        <v>0.12466043604737299</v>
      </c>
      <c r="AG7073">
        <v>-0.188189</v>
      </c>
      <c r="AH7073">
        <v>0.35109187687874199</v>
      </c>
      <c r="AI7073">
        <v>116.799039888555</v>
      </c>
      <c r="AJ7073">
        <v>70.451830508060894</v>
      </c>
      <c r="AK7073">
        <v>0.417397688118608</v>
      </c>
      <c r="AL7073">
        <v>87.548300116818595</v>
      </c>
      <c r="AM7073">
        <v>87.958103533140203</v>
      </c>
      <c r="AN7073">
        <v>1.00000004104815</v>
      </c>
    </row>
    <row r="7074" spans="1:40" x14ac:dyDescent="0.25">
      <c r="A7074" t="str">
        <f>"20190312173103640"</f>
        <v>20190312173103640</v>
      </c>
      <c r="B7074" t="str">
        <f>"1552383063634810"</f>
        <v>1552383063634810</v>
      </c>
      <c r="C7074" t="s">
        <v>40</v>
      </c>
      <c r="D7074">
        <v>3.293228</v>
      </c>
      <c r="E7074">
        <v>0.55912109999999904</v>
      </c>
      <c r="F7074" t="s">
        <v>42</v>
      </c>
      <c r="G7074">
        <v>-187.49029999999999</v>
      </c>
      <c r="H7074">
        <v>0.92683839999999995</v>
      </c>
      <c r="I7074">
        <v>57.58466</v>
      </c>
      <c r="J7074">
        <v>-187.6302</v>
      </c>
      <c r="K7074">
        <v>1.1087020000000001</v>
      </c>
      <c r="L7074">
        <v>57.21799</v>
      </c>
      <c r="M7074">
        <v>-8.765185E-3</v>
      </c>
      <c r="N7074">
        <v>0</v>
      </c>
      <c r="O7074">
        <v>0.99992389999999998</v>
      </c>
      <c r="P7074">
        <v>2.7599680000000001E-2</v>
      </c>
      <c r="Q7074">
        <v>3.4771320000000001E-2</v>
      </c>
      <c r="R7074">
        <v>0.99901410000000002</v>
      </c>
      <c r="S7074">
        <v>0.5189667</v>
      </c>
      <c r="T7074">
        <v>-0.69404440000000001</v>
      </c>
      <c r="U7074">
        <v>3.012543</v>
      </c>
      <c r="V7074">
        <v>3.634656E-2</v>
      </c>
      <c r="W7074">
        <v>4.3452709999999999E-2</v>
      </c>
      <c r="X7074">
        <v>0.99839409999999895</v>
      </c>
      <c r="Y7074">
        <v>0.1741915</v>
      </c>
      <c r="Z7074">
        <v>-0.22122510000000001</v>
      </c>
      <c r="AA7074">
        <v>0.9595399</v>
      </c>
      <c r="AB7074">
        <v>41</v>
      </c>
      <c r="AC7074">
        <v>0.13990000000001099</v>
      </c>
      <c r="AD7074">
        <v>-0.18186359999999999</v>
      </c>
      <c r="AE7074">
        <v>0.366669999999999</v>
      </c>
      <c r="AF7074">
        <v>0.117809908806167</v>
      </c>
      <c r="AG7074">
        <v>-0.18186359999999999</v>
      </c>
      <c r="AH7074">
        <v>0.300828928684305</v>
      </c>
      <c r="AI7074">
        <v>119.375818694112</v>
      </c>
      <c r="AJ7074">
        <v>68.613813672010494</v>
      </c>
      <c r="AK7074">
        <v>0.37074463981455502</v>
      </c>
      <c r="AL7074">
        <v>87.509558959584595</v>
      </c>
      <c r="AM7074">
        <v>87.915066585620707</v>
      </c>
      <c r="AN7074">
        <v>0.99999999467249301</v>
      </c>
    </row>
    <row r="7075" spans="1:40" x14ac:dyDescent="0.25">
      <c r="A7075" t="str">
        <f>"20190312173103663"</f>
        <v>20190312173103663</v>
      </c>
      <c r="B7075" t="str">
        <f>"1552383063654330"</f>
        <v>1552383063654330</v>
      </c>
      <c r="C7075" t="s">
        <v>40</v>
      </c>
      <c r="D7075">
        <v>3.2077749999999998</v>
      </c>
      <c r="E7075">
        <v>0.55910199999999999</v>
      </c>
      <c r="F7075" t="s">
        <v>42</v>
      </c>
      <c r="G7075">
        <v>-187.50149999999999</v>
      </c>
      <c r="H7075">
        <v>0.93791159999999996</v>
      </c>
      <c r="I7075">
        <v>57.960259999999998</v>
      </c>
      <c r="J7075">
        <v>-187.63390000000001</v>
      </c>
      <c r="K7075">
        <v>1.1087020000000001</v>
      </c>
      <c r="L7075">
        <v>57.63599</v>
      </c>
      <c r="M7075">
        <v>-8.8534849999999995E-3</v>
      </c>
      <c r="N7075">
        <v>0</v>
      </c>
      <c r="O7075">
        <v>0.99992289999999995</v>
      </c>
      <c r="P7075">
        <v>2.7813709999999998E-2</v>
      </c>
      <c r="Q7075">
        <v>3.490571E-2</v>
      </c>
      <c r="R7075">
        <v>0.99900350000000004</v>
      </c>
      <c r="S7075">
        <v>0.521698</v>
      </c>
      <c r="T7075">
        <v>-0.69319750000000002</v>
      </c>
      <c r="U7075">
        <v>3.0126650000000001</v>
      </c>
      <c r="V7075">
        <v>3.6648630000000001E-2</v>
      </c>
      <c r="W7075">
        <v>4.3600859999999998E-2</v>
      </c>
      <c r="X7075">
        <v>0.99837659999999995</v>
      </c>
      <c r="Y7075">
        <v>0.17512810000000001</v>
      </c>
      <c r="Z7075">
        <v>-0.22092529999999999</v>
      </c>
      <c r="AA7075">
        <v>0.95943840000000002</v>
      </c>
      <c r="AB7075">
        <v>41</v>
      </c>
      <c r="AC7075">
        <v>0.132400000000018</v>
      </c>
      <c r="AD7075">
        <v>-0.17079040000000001</v>
      </c>
      <c r="AE7075">
        <v>0.324269999999998</v>
      </c>
      <c r="AF7075">
        <v>0.109282209923267</v>
      </c>
      <c r="AG7075">
        <v>-0.17079040000000001</v>
      </c>
      <c r="AH7075">
        <v>0.26102264922569601</v>
      </c>
      <c r="AI7075">
        <v>121.113114763753</v>
      </c>
      <c r="AJ7075">
        <v>67.282428418635703</v>
      </c>
      <c r="AK7075">
        <v>0.33052198950549999</v>
      </c>
      <c r="AL7075">
        <v>87.501062541346897</v>
      </c>
      <c r="AM7075">
        <v>87.897717730196007</v>
      </c>
      <c r="AN7075">
        <v>0.999999996250588</v>
      </c>
    </row>
    <row r="7076" spans="1:40" x14ac:dyDescent="0.25">
      <c r="A7076" t="str">
        <f>"20190312173103687"</f>
        <v>20190312173103687</v>
      </c>
      <c r="B7076" t="str">
        <f>"1552383063674825"</f>
        <v>1552383063674825</v>
      </c>
      <c r="C7076" t="s">
        <v>40</v>
      </c>
      <c r="D7076">
        <v>3.1614450000000001</v>
      </c>
      <c r="E7076">
        <v>0.55905749999999999</v>
      </c>
      <c r="F7076" t="s">
        <v>42</v>
      </c>
      <c r="G7076">
        <v>-187.51259999999999</v>
      </c>
      <c r="H7076">
        <v>0.94747769999999998</v>
      </c>
      <c r="I7076">
        <v>58.336010000000002</v>
      </c>
      <c r="J7076">
        <v>-187.63800000000001</v>
      </c>
      <c r="K7076">
        <v>1.1087089999999999</v>
      </c>
      <c r="L7076">
        <v>58.084229999999998</v>
      </c>
      <c r="M7076">
        <v>-8.9477029999999996E-3</v>
      </c>
      <c r="N7076">
        <v>0</v>
      </c>
      <c r="O7076">
        <v>0.99992199999999998</v>
      </c>
      <c r="P7076">
        <v>2.7764400000000002E-2</v>
      </c>
      <c r="Q7076">
        <v>3.4782380000000002E-2</v>
      </c>
      <c r="R7076">
        <v>0.99900919999999904</v>
      </c>
      <c r="S7076">
        <v>0.52194209999999996</v>
      </c>
      <c r="T7076">
        <v>-0.69387339999999997</v>
      </c>
      <c r="U7076">
        <v>3.0126949999999999</v>
      </c>
      <c r="V7076">
        <v>3.6693440000000001E-2</v>
      </c>
      <c r="W7076">
        <v>4.3492240000000001E-2</v>
      </c>
      <c r="X7076">
        <v>0.99837969999999998</v>
      </c>
      <c r="Y7076">
        <v>0.1752869</v>
      </c>
      <c r="Z7076">
        <v>-0.22112299999999999</v>
      </c>
      <c r="AA7076">
        <v>0.95936390000000005</v>
      </c>
      <c r="AB7076">
        <v>42</v>
      </c>
      <c r="AC7076">
        <v>0.125400000000013</v>
      </c>
      <c r="AD7076">
        <v>-0.16123129999999899</v>
      </c>
      <c r="AE7076">
        <v>0.25177999999998901</v>
      </c>
      <c r="AF7076">
        <v>9.6079525929635395E-2</v>
      </c>
      <c r="AG7076">
        <v>-0.16123129999999899</v>
      </c>
      <c r="AH7076">
        <v>0.188660540781422</v>
      </c>
      <c r="AI7076">
        <v>127.29078428050001</v>
      </c>
      <c r="AJ7076">
        <v>63.011530966834698</v>
      </c>
      <c r="AK7076">
        <v>0.26611953526656401</v>
      </c>
      <c r="AL7076">
        <v>87.507291938527601</v>
      </c>
      <c r="AM7076">
        <v>87.895156126106897</v>
      </c>
      <c r="AN7076">
        <v>1.0000000044256701</v>
      </c>
    </row>
    <row r="7077" spans="1:40" x14ac:dyDescent="0.25">
      <c r="A7077" t="str">
        <f>"20190312173103708"</f>
        <v>20190312173103708</v>
      </c>
      <c r="B7077" t="str">
        <f>"1552383063704105"</f>
        <v>1552383063704105</v>
      </c>
      <c r="C7077" t="s">
        <v>40</v>
      </c>
      <c r="D7077">
        <v>3.1880329999999999</v>
      </c>
      <c r="E7077">
        <v>0.55901440000000002</v>
      </c>
      <c r="F7077" t="s">
        <v>42</v>
      </c>
      <c r="G7077">
        <v>-187.46950000000001</v>
      </c>
      <c r="H7077">
        <v>0.88444609999999901</v>
      </c>
      <c r="I7077">
        <v>59.056240000000003</v>
      </c>
      <c r="J7077">
        <v>-187.64160000000001</v>
      </c>
      <c r="K7077">
        <v>1.108708</v>
      </c>
      <c r="L7077">
        <v>58.478299999999997</v>
      </c>
      <c r="M7077">
        <v>-9.0305349999999993E-3</v>
      </c>
      <c r="N7077">
        <v>0</v>
      </c>
      <c r="O7077">
        <v>0.99992110000000001</v>
      </c>
      <c r="P7077">
        <v>2.8112930000000001E-2</v>
      </c>
      <c r="Q7077">
        <v>3.4867740000000001E-2</v>
      </c>
      <c r="R7077">
        <v>0.99899640000000001</v>
      </c>
      <c r="S7077">
        <v>0.52166749999999995</v>
      </c>
      <c r="T7077">
        <v>-0.69509790000000005</v>
      </c>
      <c r="U7077">
        <v>3.0126949999999999</v>
      </c>
      <c r="V7077">
        <v>3.7124530000000003E-2</v>
      </c>
      <c r="W7077">
        <v>4.3590860000000002E-2</v>
      </c>
      <c r="X7077">
        <v>0.99835940000000001</v>
      </c>
      <c r="Y7077">
        <v>0.17526910000000001</v>
      </c>
      <c r="Z7077">
        <v>-0.22149550000000001</v>
      </c>
      <c r="AA7077">
        <v>0.9592813</v>
      </c>
      <c r="AB7077">
        <v>42</v>
      </c>
      <c r="AC7077">
        <v>0.1721</v>
      </c>
      <c r="AD7077">
        <v>-0.22426189999999999</v>
      </c>
      <c r="AE7077">
        <v>0.57794000000000501</v>
      </c>
      <c r="AF7077">
        <v>0.15576827307038299</v>
      </c>
      <c r="AG7077">
        <v>-0.22426189999999999</v>
      </c>
      <c r="AH7077">
        <v>0.50633234840771901</v>
      </c>
      <c r="AI7077">
        <v>112.94461618091201</v>
      </c>
      <c r="AJ7077">
        <v>72.899989300509006</v>
      </c>
      <c r="AK7077">
        <v>0.57526481009272201</v>
      </c>
      <c r="AL7077">
        <v>87.501635910493803</v>
      </c>
      <c r="AM7077">
        <v>87.870406907687098</v>
      </c>
      <c r="AN7077">
        <v>0.99999994268580805</v>
      </c>
    </row>
    <row r="7078" spans="1:40" x14ac:dyDescent="0.25">
      <c r="A7078" t="str">
        <f>"20190312173103729"</f>
        <v>20190312173103729</v>
      </c>
      <c r="B7078" t="str">
        <f>"1552383063724602"</f>
        <v>1552383063724602</v>
      </c>
      <c r="C7078" t="s">
        <v>40</v>
      </c>
      <c r="D7078">
        <v>3.1644869999999998</v>
      </c>
      <c r="E7078">
        <v>0.55903570000000002</v>
      </c>
      <c r="F7078" t="s">
        <v>42</v>
      </c>
      <c r="G7078">
        <v>-187.47640000000001</v>
      </c>
      <c r="H7078">
        <v>0.88856590000000002</v>
      </c>
      <c r="I7078">
        <v>59.430990000000001</v>
      </c>
      <c r="J7078">
        <v>-187.64529999999999</v>
      </c>
      <c r="K7078">
        <v>1.1087049999999901</v>
      </c>
      <c r="L7078">
        <v>58.881619999999998</v>
      </c>
      <c r="M7078">
        <v>-9.1155260000000005E-3</v>
      </c>
      <c r="N7078">
        <v>0</v>
      </c>
      <c r="O7078">
        <v>0.99992020000000004</v>
      </c>
      <c r="P7078">
        <v>2.7912030000000001E-2</v>
      </c>
      <c r="Q7078">
        <v>3.5272959999999999E-2</v>
      </c>
      <c r="R7078">
        <v>0.99898790000000004</v>
      </c>
      <c r="S7078">
        <v>0.52210999999999996</v>
      </c>
      <c r="T7078">
        <v>-0.69613809999999998</v>
      </c>
      <c r="U7078">
        <v>3.0126040000000001</v>
      </c>
      <c r="V7078">
        <v>3.7008340000000001E-2</v>
      </c>
      <c r="W7078">
        <v>4.4009119999999999E-2</v>
      </c>
      <c r="X7078">
        <v>0.99834540000000005</v>
      </c>
      <c r="Y7078">
        <v>0.1754822</v>
      </c>
      <c r="Z7078">
        <v>-0.2218096</v>
      </c>
      <c r="AA7078">
        <v>0.95916970000000001</v>
      </c>
      <c r="AB7078">
        <v>42</v>
      </c>
      <c r="AC7078">
        <v>0.16889999999997901</v>
      </c>
      <c r="AD7078">
        <v>-0.22013909999999901</v>
      </c>
      <c r="AE7078">
        <v>0.54937000000000302</v>
      </c>
      <c r="AF7078">
        <v>0.15165295931530201</v>
      </c>
      <c r="AG7078">
        <v>-0.22013909999999901</v>
      </c>
      <c r="AH7078">
        <v>0.47772378005154098</v>
      </c>
      <c r="AI7078">
        <v>113.71151511271</v>
      </c>
      <c r="AJ7078">
        <v>72.388008721408099</v>
      </c>
      <c r="AK7078">
        <v>0.54743022701037602</v>
      </c>
      <c r="AL7078">
        <v>87.477648446943405</v>
      </c>
      <c r="AM7078">
        <v>87.877036121977994</v>
      </c>
      <c r="AN7078">
        <v>0.99999997878694402</v>
      </c>
    </row>
    <row r="7079" spans="1:40" x14ac:dyDescent="0.25">
      <c r="A7079" t="str">
        <f>"20190312173103751"</f>
        <v>20190312173103751</v>
      </c>
      <c r="B7079" t="str">
        <f>"1552383063744122"</f>
        <v>1552383063744122</v>
      </c>
      <c r="C7079" t="s">
        <v>40</v>
      </c>
      <c r="D7079">
        <v>3.1928010000000002</v>
      </c>
      <c r="E7079">
        <v>0.5589769</v>
      </c>
      <c r="F7079" t="s">
        <v>42</v>
      </c>
      <c r="G7079">
        <v>-187.48490000000001</v>
      </c>
      <c r="H7079">
        <v>0.89475149999999903</v>
      </c>
      <c r="I7079">
        <v>59.807070000000003</v>
      </c>
      <c r="J7079">
        <v>-187.6491</v>
      </c>
      <c r="K7079">
        <v>1.1086990000000001</v>
      </c>
      <c r="L7079">
        <v>59.297939999999997</v>
      </c>
      <c r="M7079">
        <v>-9.2031649999999993E-3</v>
      </c>
      <c r="N7079">
        <v>0</v>
      </c>
      <c r="O7079">
        <v>0.99991929999999996</v>
      </c>
      <c r="P7079">
        <v>2.7999570000000001E-2</v>
      </c>
      <c r="Q7079">
        <v>3.5636380000000002E-2</v>
      </c>
      <c r="R7079">
        <v>0.99897250000000004</v>
      </c>
      <c r="S7079">
        <v>0.52171329999999905</v>
      </c>
      <c r="T7079">
        <v>-0.69658830000000005</v>
      </c>
      <c r="U7079">
        <v>3.0130620000000001</v>
      </c>
      <c r="V7079">
        <v>3.7183180000000003E-2</v>
      </c>
      <c r="W7079">
        <v>4.4386889999999998E-2</v>
      </c>
      <c r="X7079">
        <v>0.99832220000000005</v>
      </c>
      <c r="Y7079">
        <v>0.17541709999999999</v>
      </c>
      <c r="Z7079">
        <v>-0.22191759999999999</v>
      </c>
      <c r="AA7079">
        <v>0.95915660000000003</v>
      </c>
      <c r="AB7079">
        <v>42</v>
      </c>
      <c r="AC7079">
        <v>0.16419999999999299</v>
      </c>
      <c r="AD7079">
        <v>-0.21394750000000001</v>
      </c>
      <c r="AE7079">
        <v>0.50912999999999098</v>
      </c>
      <c r="AF7079">
        <v>0.14559154537996399</v>
      </c>
      <c r="AG7079">
        <v>-0.21394750000000001</v>
      </c>
      <c r="AH7079">
        <v>0.43760287998316799</v>
      </c>
      <c r="AI7079">
        <v>114.88689072913699</v>
      </c>
      <c r="AJ7079">
        <v>71.597590168777799</v>
      </c>
      <c r="AK7079">
        <v>0.50839621498585097</v>
      </c>
      <c r="AL7079">
        <v>87.455982701570505</v>
      </c>
      <c r="AM7079">
        <v>87.866966237436003</v>
      </c>
      <c r="AN7079">
        <v>0.99999999994581201</v>
      </c>
    </row>
    <row r="7080" spans="1:40" x14ac:dyDescent="0.25">
      <c r="A7080" t="str">
        <f>"20190312173103774"</f>
        <v>20190312173103774</v>
      </c>
      <c r="B7080" t="str">
        <f>"1552383063764621"</f>
        <v>1552383063764621</v>
      </c>
      <c r="C7080" t="s">
        <v>40</v>
      </c>
      <c r="D7080">
        <v>3.1712560000000001</v>
      </c>
      <c r="E7080">
        <v>0.55911309999999903</v>
      </c>
      <c r="F7080" t="s">
        <v>42</v>
      </c>
      <c r="G7080">
        <v>-187.4957</v>
      </c>
      <c r="H7080">
        <v>0.90369359999999999</v>
      </c>
      <c r="I7080">
        <v>60.184699999999999</v>
      </c>
      <c r="J7080">
        <v>-187.65309999999999</v>
      </c>
      <c r="K7080">
        <v>1.1087039999999999</v>
      </c>
      <c r="L7080">
        <v>59.719450000000002</v>
      </c>
      <c r="M7080">
        <v>-9.2918849999999997E-3</v>
      </c>
      <c r="N7080">
        <v>0</v>
      </c>
      <c r="O7080">
        <v>0.99991830000000004</v>
      </c>
      <c r="P7080">
        <v>2.781231E-2</v>
      </c>
      <c r="Q7080">
        <v>3.6082179999999998E-2</v>
      </c>
      <c r="R7080">
        <v>0.99896169999999995</v>
      </c>
      <c r="S7080">
        <v>0.52131649999999996</v>
      </c>
      <c r="T7080">
        <v>-0.69664230000000005</v>
      </c>
      <c r="U7080">
        <v>3.0133359999999998</v>
      </c>
      <c r="V7080">
        <v>3.7084319999999997E-2</v>
      </c>
      <c r="W7080">
        <v>4.4850380000000002E-2</v>
      </c>
      <c r="X7080">
        <v>0.99830509999999995</v>
      </c>
      <c r="Y7080">
        <v>0.175367</v>
      </c>
      <c r="Z7080">
        <v>-0.22191810000000001</v>
      </c>
      <c r="AA7080">
        <v>0.95916559999999995</v>
      </c>
      <c r="AB7080">
        <v>42</v>
      </c>
      <c r="AC7080">
        <v>0.15739999999999499</v>
      </c>
      <c r="AD7080">
        <v>-0.20501040000000001</v>
      </c>
      <c r="AE7080">
        <v>0.465249999999997</v>
      </c>
      <c r="AF7080">
        <v>0.137721560381456</v>
      </c>
      <c r="AG7080">
        <v>-0.20501040000000001</v>
      </c>
      <c r="AH7080">
        <v>0.39495530500593701</v>
      </c>
      <c r="AI7080">
        <v>116.110810163925</v>
      </c>
      <c r="AJ7080">
        <v>70.776253079350596</v>
      </c>
      <c r="AK7080">
        <v>0.46581775970264999</v>
      </c>
      <c r="AL7080">
        <v>87.429400047519707</v>
      </c>
      <c r="AM7080">
        <v>87.8725957722571</v>
      </c>
      <c r="AN7080">
        <v>0.99999993803100595</v>
      </c>
    </row>
    <row r="7081" spans="1:40" x14ac:dyDescent="0.25">
      <c r="A7081" t="str">
        <f>"20190312173103795"</f>
        <v>20190312173103795</v>
      </c>
      <c r="B7081" t="str">
        <f>"1552383063784141"</f>
        <v>1552383063784141</v>
      </c>
      <c r="C7081" t="s">
        <v>40</v>
      </c>
      <c r="D7081">
        <v>3.2354259999999999</v>
      </c>
      <c r="E7081">
        <v>0.55905899999999997</v>
      </c>
      <c r="F7081" t="s">
        <v>42</v>
      </c>
      <c r="G7081">
        <v>-187.5069</v>
      </c>
      <c r="H7081">
        <v>0.91350509999999996</v>
      </c>
      <c r="I7081">
        <v>60.563180000000003</v>
      </c>
      <c r="J7081">
        <v>-187.65690000000001</v>
      </c>
      <c r="K7081">
        <v>1.108706</v>
      </c>
      <c r="L7081">
        <v>60.124969999999998</v>
      </c>
      <c r="M7081">
        <v>-9.3773309999999992E-3</v>
      </c>
      <c r="N7081">
        <v>0</v>
      </c>
      <c r="O7081">
        <v>0.99991730000000001</v>
      </c>
      <c r="P7081">
        <v>2.8245760000000002E-2</v>
      </c>
      <c r="Q7081">
        <v>3.6456160000000001E-2</v>
      </c>
      <c r="R7081">
        <v>0.99893600000000005</v>
      </c>
      <c r="S7081">
        <v>0.52177429999999902</v>
      </c>
      <c r="T7081">
        <v>-0.69725419999999905</v>
      </c>
      <c r="U7081">
        <v>3.013763</v>
      </c>
      <c r="V7081">
        <v>3.7602799999999999E-2</v>
      </c>
      <c r="W7081">
        <v>4.5245760000000003E-2</v>
      </c>
      <c r="X7081">
        <v>0.99826789999999999</v>
      </c>
      <c r="Y7081">
        <v>0.17556389999999999</v>
      </c>
      <c r="Z7081">
        <v>-0.22206690000000001</v>
      </c>
      <c r="AA7081">
        <v>0.95909520000000004</v>
      </c>
      <c r="AB7081">
        <v>42</v>
      </c>
      <c r="AC7081">
        <v>0.15000000000000499</v>
      </c>
      <c r="AD7081">
        <v>-0.19520090000000001</v>
      </c>
      <c r="AE7081">
        <v>0.43821000000000498</v>
      </c>
      <c r="AF7081">
        <v>0.13086008899121501</v>
      </c>
      <c r="AG7081">
        <v>-0.19520090000000001</v>
      </c>
      <c r="AH7081">
        <v>0.37090566717663398</v>
      </c>
      <c r="AI7081">
        <v>116.39514559351601</v>
      </c>
      <c r="AJ7081">
        <v>70.566530560197407</v>
      </c>
      <c r="AK7081">
        <v>0.439088565320646</v>
      </c>
      <c r="AL7081">
        <v>87.406723515145103</v>
      </c>
      <c r="AM7081">
        <v>87.842799894040994</v>
      </c>
      <c r="AN7081">
        <v>0.99999997476811298</v>
      </c>
    </row>
    <row r="7082" spans="1:40" x14ac:dyDescent="0.25">
      <c r="A7082" t="str">
        <f>"20190312173103819"</f>
        <v>20190312173103819</v>
      </c>
      <c r="B7082" t="str">
        <f>"1552383063814394"</f>
        <v>1552383063814394</v>
      </c>
      <c r="C7082" t="s">
        <v>40</v>
      </c>
      <c r="D7082">
        <v>3.3289360000000001</v>
      </c>
      <c r="E7082">
        <v>0.5580773</v>
      </c>
      <c r="F7082" t="s">
        <v>42</v>
      </c>
      <c r="G7082">
        <v>-187.5154</v>
      </c>
      <c r="H7082">
        <v>0.9200218</v>
      </c>
      <c r="I7082">
        <v>60.940930000000002</v>
      </c>
      <c r="J7082">
        <v>-187.6611</v>
      </c>
      <c r="K7082">
        <v>1.1087209999999901</v>
      </c>
      <c r="L7082">
        <v>60.561160000000001</v>
      </c>
      <c r="M7082">
        <v>-9.4692800000000001E-3</v>
      </c>
      <c r="N7082">
        <v>0</v>
      </c>
      <c r="O7082">
        <v>0.99991620000000003</v>
      </c>
      <c r="P7082">
        <v>2.8798839999999999E-2</v>
      </c>
      <c r="Q7082">
        <v>3.7026169999999997E-2</v>
      </c>
      <c r="R7082">
        <v>0.99889919999999999</v>
      </c>
      <c r="S7082">
        <v>0.5226288</v>
      </c>
      <c r="T7082">
        <v>-0.69691959999999997</v>
      </c>
      <c r="U7082">
        <v>3.013855</v>
      </c>
      <c r="V7082">
        <v>3.8247219999999998E-2</v>
      </c>
      <c r="W7082">
        <v>4.5844990000000002E-2</v>
      </c>
      <c r="X7082">
        <v>0.99821610000000005</v>
      </c>
      <c r="Y7082">
        <v>0.17591799999999999</v>
      </c>
      <c r="Z7082">
        <v>-0.2219469</v>
      </c>
      <c r="AA7082">
        <v>0.95905810000000002</v>
      </c>
      <c r="AB7082">
        <v>42</v>
      </c>
      <c r="AC7082">
        <v>0.14570000000000499</v>
      </c>
      <c r="AD7082">
        <v>-0.18869919999999901</v>
      </c>
      <c r="AE7082">
        <v>0.37977</v>
      </c>
      <c r="AF7082">
        <v>0.122850939574794</v>
      </c>
      <c r="AG7082">
        <v>-0.18869919999999901</v>
      </c>
      <c r="AH7082">
        <v>0.311364355319939</v>
      </c>
      <c r="AI7082">
        <v>119.411945468775</v>
      </c>
      <c r="AJ7082">
        <v>68.467947084157103</v>
      </c>
      <c r="AK7082">
        <v>0.38424927221642302</v>
      </c>
      <c r="AL7082">
        <v>87.372354558170002</v>
      </c>
      <c r="AM7082">
        <v>87.805752842550604</v>
      </c>
      <c r="AN7082">
        <v>0.99999999762251901</v>
      </c>
    </row>
    <row r="7083" spans="1:40" x14ac:dyDescent="0.25">
      <c r="A7083" t="str">
        <f>"20190312173103840"</f>
        <v>20190312173103840</v>
      </c>
      <c r="B7083" t="str">
        <f>"1552383063834890"</f>
        <v>1552383063834890</v>
      </c>
      <c r="C7083" t="s">
        <v>40</v>
      </c>
      <c r="D7083">
        <v>3.3219959999999999</v>
      </c>
      <c r="E7083">
        <v>0.51739349999999995</v>
      </c>
      <c r="F7083" t="s">
        <v>42</v>
      </c>
      <c r="G7083">
        <v>-187.53039999999999</v>
      </c>
      <c r="H7083">
        <v>0.93530919999999895</v>
      </c>
      <c r="I7083">
        <v>61.322629999999997</v>
      </c>
      <c r="J7083">
        <v>-187.66489999999999</v>
      </c>
      <c r="K7083">
        <v>1.108733</v>
      </c>
      <c r="L7083">
        <v>60.965240000000001</v>
      </c>
      <c r="M7083">
        <v>-9.5542939999999996E-3</v>
      </c>
      <c r="N7083">
        <v>0</v>
      </c>
      <c r="O7083">
        <v>0.99991509999999995</v>
      </c>
      <c r="P7083">
        <v>2.9160430000000001E-2</v>
      </c>
      <c r="Q7083">
        <v>3.8028090000000001E-2</v>
      </c>
      <c r="R7083">
        <v>0.99885109999999999</v>
      </c>
      <c r="S7083">
        <v>0.51702879999999996</v>
      </c>
      <c r="T7083">
        <v>-0.68634359999999905</v>
      </c>
      <c r="U7083">
        <v>3.0138240000000001</v>
      </c>
      <c r="V7083">
        <v>3.869301E-2</v>
      </c>
      <c r="W7083">
        <v>4.688196E-2</v>
      </c>
      <c r="X7083">
        <v>0.9981508</v>
      </c>
      <c r="Y7083">
        <v>0.17439250000000001</v>
      </c>
      <c r="Z7083">
        <v>-0.21880820000000001</v>
      </c>
      <c r="AA7083">
        <v>0.96005739999999995</v>
      </c>
      <c r="AB7083">
        <v>42</v>
      </c>
      <c r="AC7083">
        <v>0.13450000000000201</v>
      </c>
      <c r="AD7083">
        <v>-0.17342379999999999</v>
      </c>
      <c r="AE7083">
        <v>0.35739000000000198</v>
      </c>
      <c r="AF7083">
        <v>0.114327803886526</v>
      </c>
      <c r="AG7083">
        <v>-0.17342379999999999</v>
      </c>
      <c r="AH7083">
        <v>0.29520149309286697</v>
      </c>
      <c r="AI7083">
        <v>118.715084516781</v>
      </c>
      <c r="AJ7083">
        <v>68.829244571373394</v>
      </c>
      <c r="AK7083">
        <v>0.36095786827857601</v>
      </c>
      <c r="AL7083">
        <v>87.312876713405004</v>
      </c>
      <c r="AM7083">
        <v>87.780058183212603</v>
      </c>
      <c r="AN7083">
        <v>1.0000000433684699</v>
      </c>
    </row>
    <row r="7084" spans="1:40" x14ac:dyDescent="0.25">
      <c r="A7084" t="str">
        <f>"20190312173103865"</f>
        <v>20190312173103865</v>
      </c>
      <c r="B7084" t="str">
        <f>"1552383063854409"</f>
        <v>1552383063854409</v>
      </c>
      <c r="C7084" t="s">
        <v>40</v>
      </c>
      <c r="D7084">
        <v>3.341167</v>
      </c>
      <c r="E7084">
        <v>0.51280619999999999</v>
      </c>
      <c r="F7084" t="s">
        <v>42</v>
      </c>
      <c r="G7084">
        <v>-187.60919999999999</v>
      </c>
      <c r="H7084">
        <v>1.0503739999999999</v>
      </c>
      <c r="I7084">
        <v>61.753689999999999</v>
      </c>
      <c r="J7084">
        <v>-187.66929999999999</v>
      </c>
      <c r="K7084">
        <v>1.1087469999999999</v>
      </c>
      <c r="L7084">
        <v>61.41516</v>
      </c>
      <c r="M7084">
        <v>-9.6487459999999997E-3</v>
      </c>
      <c r="N7084">
        <v>0</v>
      </c>
      <c r="O7084">
        <v>0.99991379999999996</v>
      </c>
      <c r="P7084">
        <v>2.91293E-2</v>
      </c>
      <c r="Q7084">
        <v>3.8676729999999999E-2</v>
      </c>
      <c r="R7084">
        <v>0.99882709999999997</v>
      </c>
      <c r="S7084">
        <v>0.2125397</v>
      </c>
      <c r="T7084">
        <v>-0.22246460000000001</v>
      </c>
      <c r="U7084">
        <v>3.0057070000000001</v>
      </c>
      <c r="V7084">
        <v>3.8755810000000002E-2</v>
      </c>
      <c r="W7084">
        <v>4.7583550000000002E-2</v>
      </c>
      <c r="X7084">
        <v>0.99811510000000003</v>
      </c>
      <c r="Y7084">
        <v>7.9966389999999998E-2</v>
      </c>
      <c r="Z7084">
        <v>-7.3597399999999993E-2</v>
      </c>
      <c r="AA7084">
        <v>0.99407679999999998</v>
      </c>
      <c r="AB7084">
        <v>42</v>
      </c>
      <c r="AC7084">
        <v>6.0100000000005503E-2</v>
      </c>
      <c r="AD7084">
        <v>-5.8373000000000001E-2</v>
      </c>
      <c r="AE7084">
        <v>0.338529999999998</v>
      </c>
      <c r="AF7084">
        <v>6.1588499721370003E-2</v>
      </c>
      <c r="AG7084">
        <v>-5.8373000000000001E-2</v>
      </c>
      <c r="AH7084">
        <v>0.328466632117004</v>
      </c>
      <c r="AI7084">
        <v>99.907881733618794</v>
      </c>
      <c r="AJ7084">
        <v>79.380175169355596</v>
      </c>
      <c r="AK7084">
        <v>0.33925046623581301</v>
      </c>
      <c r="AL7084">
        <v>87.272633480405901</v>
      </c>
      <c r="AM7084">
        <v>87.776379309332796</v>
      </c>
      <c r="AN7084">
        <v>0.99999997994368395</v>
      </c>
    </row>
    <row r="7085" spans="1:40" x14ac:dyDescent="0.25">
      <c r="A7085" t="str">
        <f>"20190312173103886"</f>
        <v>20190312173103886</v>
      </c>
      <c r="B7085" t="str">
        <f>"1552383063874909"</f>
        <v>1552383063874909</v>
      </c>
      <c r="C7085" t="s">
        <v>40</v>
      </c>
      <c r="D7085">
        <v>3.34077</v>
      </c>
      <c r="E7085">
        <v>0.51120109999999996</v>
      </c>
      <c r="F7085" t="s">
        <v>42</v>
      </c>
      <c r="G7085">
        <v>-187.60499999999999</v>
      </c>
      <c r="H7085">
        <v>1.044673</v>
      </c>
      <c r="I7085">
        <v>62.503399999999999</v>
      </c>
      <c r="J7085">
        <v>-187.67339999999999</v>
      </c>
      <c r="K7085">
        <v>1.1087659999999999</v>
      </c>
      <c r="L7085">
        <v>61.83569</v>
      </c>
      <c r="M7085">
        <v>-9.7366550000000003E-3</v>
      </c>
      <c r="N7085">
        <v>0</v>
      </c>
      <c r="O7085">
        <v>0.99991229999999998</v>
      </c>
      <c r="P7085">
        <v>2.9202840000000001E-2</v>
      </c>
      <c r="Q7085">
        <v>3.9120780000000001E-2</v>
      </c>
      <c r="R7085">
        <v>0.99880769999999997</v>
      </c>
      <c r="S7085">
        <v>0.177612299999999</v>
      </c>
      <c r="T7085">
        <v>-0.17694470000000001</v>
      </c>
      <c r="U7085">
        <v>3.005188</v>
      </c>
      <c r="V7085">
        <v>3.8916819999999998E-2</v>
      </c>
      <c r="W7085">
        <v>4.808842E-2</v>
      </c>
      <c r="X7085">
        <v>0.99808470000000005</v>
      </c>
      <c r="Y7085">
        <v>6.8614649999999999E-2</v>
      </c>
      <c r="Z7085">
        <v>-5.8653509999999999E-2</v>
      </c>
      <c r="AA7085">
        <v>0.99591759999999996</v>
      </c>
      <c r="AB7085">
        <v>42</v>
      </c>
      <c r="AC7085">
        <v>6.8399999999996894E-2</v>
      </c>
      <c r="AD7085">
        <v>-6.40929999999999E-2</v>
      </c>
      <c r="AE7085">
        <v>0.66770999999999903</v>
      </c>
      <c r="AF7085">
        <v>7.4221510628876594E-2</v>
      </c>
      <c r="AG7085">
        <v>-6.40929999999999E-2</v>
      </c>
      <c r="AH7085">
        <v>0.66098529967300101</v>
      </c>
      <c r="AI7085">
        <v>95.504042293859797</v>
      </c>
      <c r="AJ7085">
        <v>83.593140538144993</v>
      </c>
      <c r="AK7085">
        <v>0.66822025685610498</v>
      </c>
      <c r="AL7085">
        <v>87.243673576273594</v>
      </c>
      <c r="AM7085">
        <v>87.767082726259204</v>
      </c>
      <c r="AN7085">
        <v>1.0000000416955399</v>
      </c>
    </row>
    <row r="7086" spans="1:40" x14ac:dyDescent="0.25">
      <c r="A7086" t="str">
        <f>"20190312173103910"</f>
        <v>20190312173103910</v>
      </c>
      <c r="B7086" t="str">
        <f>"1552383063894425"</f>
        <v>1552383063894425</v>
      </c>
      <c r="C7086" t="s">
        <v>40</v>
      </c>
      <c r="D7086">
        <v>3.2262409999999999</v>
      </c>
      <c r="E7086">
        <v>0.51078869999999998</v>
      </c>
      <c r="F7086" t="s">
        <v>42</v>
      </c>
      <c r="G7086">
        <v>-187.61539999999999</v>
      </c>
      <c r="H7086">
        <v>1.0531140000000001</v>
      </c>
      <c r="I7086">
        <v>62.88729</v>
      </c>
      <c r="J7086">
        <v>-187.67769999999999</v>
      </c>
      <c r="K7086">
        <v>1.1087830000000001</v>
      </c>
      <c r="L7086">
        <v>62.261989999999997</v>
      </c>
      <c r="M7086">
        <v>-9.8259850000000006E-3</v>
      </c>
      <c r="N7086">
        <v>0</v>
      </c>
      <c r="O7086">
        <v>0.99991079999999999</v>
      </c>
      <c r="P7086">
        <v>2.906713E-2</v>
      </c>
      <c r="Q7086">
        <v>3.996595E-2</v>
      </c>
      <c r="R7086">
        <v>0.99877819999999995</v>
      </c>
      <c r="S7086">
        <v>0.1656647</v>
      </c>
      <c r="T7086">
        <v>-0.15903030000000001</v>
      </c>
      <c r="U7086">
        <v>3.0049440000000001</v>
      </c>
      <c r="V7086">
        <v>3.8869830000000001E-2</v>
      </c>
      <c r="W7086">
        <v>4.9001919999999997E-2</v>
      </c>
      <c r="X7086">
        <v>0.99804199999999998</v>
      </c>
      <c r="Y7086">
        <v>6.477927E-2</v>
      </c>
      <c r="Z7086">
        <v>-5.2749659999999997E-2</v>
      </c>
      <c r="AA7086">
        <v>0.99650439999999996</v>
      </c>
      <c r="AB7086">
        <v>42</v>
      </c>
      <c r="AC7086">
        <v>6.2299999999993298E-2</v>
      </c>
      <c r="AD7086">
        <v>-5.56690000000001E-2</v>
      </c>
      <c r="AE7086">
        <v>0.62529999999999497</v>
      </c>
      <c r="AF7086">
        <v>6.7908484763171906E-2</v>
      </c>
      <c r="AG7086">
        <v>-5.56690000000001E-2</v>
      </c>
      <c r="AH7086">
        <v>0.61979347402071805</v>
      </c>
      <c r="AI7086">
        <v>95.102085347504001</v>
      </c>
      <c r="AJ7086">
        <v>83.747254121385296</v>
      </c>
      <c r="AK7086">
        <v>0.62598286741930897</v>
      </c>
      <c r="AL7086">
        <v>87.191271822103403</v>
      </c>
      <c r="AM7086">
        <v>87.769680810480196</v>
      </c>
      <c r="AN7086">
        <v>0.99999994280595605</v>
      </c>
    </row>
    <row r="7087" spans="1:40" x14ac:dyDescent="0.25">
      <c r="A7087" t="str">
        <f>"20190312173103932"</f>
        <v>20190312173103932</v>
      </c>
      <c r="B7087" t="str">
        <f>"1552383063924682"</f>
        <v>1552383063924682</v>
      </c>
      <c r="C7087" t="s">
        <v>40</v>
      </c>
      <c r="D7087">
        <v>3.2450809999999999</v>
      </c>
      <c r="E7087">
        <v>0.51081100000000002</v>
      </c>
      <c r="F7087" t="s">
        <v>41</v>
      </c>
      <c r="G7087">
        <v>-186.47890000000001</v>
      </c>
      <c r="H7087" s="1">
        <v>-2.7061580000000001E-6</v>
      </c>
      <c r="I7087">
        <v>84.484969999999905</v>
      </c>
      <c r="J7087">
        <v>-187.68209999999999</v>
      </c>
      <c r="K7087">
        <v>1.108803</v>
      </c>
      <c r="L7087">
        <v>62.703670000000002</v>
      </c>
      <c r="M7087">
        <v>-9.9181630000000007E-3</v>
      </c>
      <c r="N7087">
        <v>0</v>
      </c>
      <c r="O7087">
        <v>0.99990919999999905</v>
      </c>
      <c r="P7087">
        <v>2.903785E-2</v>
      </c>
      <c r="Q7087">
        <v>4.0761029999999997E-2</v>
      </c>
      <c r="R7087">
        <v>0.99874689999999999</v>
      </c>
      <c r="S7087">
        <v>0.16209409999999999</v>
      </c>
      <c r="T7087">
        <v>-0.14992920000000001</v>
      </c>
      <c r="U7087">
        <v>3.0049739999999998</v>
      </c>
      <c r="V7087">
        <v>3.8932059999999998E-2</v>
      </c>
      <c r="W7087">
        <v>4.9881080000000001E-2</v>
      </c>
      <c r="X7087">
        <v>0.99799610000000005</v>
      </c>
      <c r="Y7087">
        <v>6.3698469999999993E-2</v>
      </c>
      <c r="Z7087">
        <v>-4.974133E-2</v>
      </c>
      <c r="AA7087">
        <v>0.99672879999999997</v>
      </c>
      <c r="AB7087">
        <v>42</v>
      </c>
      <c r="AC7087">
        <v>1.2031999999999801</v>
      </c>
      <c r="AD7087">
        <v>-1.1088057061579999</v>
      </c>
      <c r="AE7087">
        <v>21.781299999999899</v>
      </c>
      <c r="AF7087">
        <v>1.4155231857085</v>
      </c>
      <c r="AG7087">
        <v>-1.1088057061579999</v>
      </c>
      <c r="AH7087">
        <v>21.712199571692999</v>
      </c>
      <c r="AI7087">
        <v>92.917277486685506</v>
      </c>
      <c r="AJ7087">
        <v>86.269890127869999</v>
      </c>
      <c r="AK7087">
        <v>21.786527172184002</v>
      </c>
      <c r="AL7087">
        <v>87.140838205803206</v>
      </c>
      <c r="AM7087">
        <v>87.766011081198798</v>
      </c>
      <c r="AN7087">
        <v>1.0000000215265099</v>
      </c>
    </row>
    <row r="7088" spans="1:40" x14ac:dyDescent="0.25">
      <c r="A7088" t="str">
        <f>"20190312173103953"</f>
        <v>20190312173103953</v>
      </c>
      <c r="B7088" t="str">
        <f>"1552383063944201"</f>
        <v>1552383063944201</v>
      </c>
      <c r="C7088" t="s">
        <v>40</v>
      </c>
      <c r="D7088">
        <v>3.223525</v>
      </c>
      <c r="E7088">
        <v>0.51078679999999999</v>
      </c>
      <c r="F7088" t="s">
        <v>41</v>
      </c>
      <c r="G7088">
        <v>-186.46619999999999</v>
      </c>
      <c r="H7088" s="1">
        <v>-3.03139E-6</v>
      </c>
      <c r="I7088">
        <v>85.237849999999995</v>
      </c>
      <c r="J7088">
        <v>-187.68600000000001</v>
      </c>
      <c r="K7088">
        <v>1.108819</v>
      </c>
      <c r="L7088">
        <v>63.095550000000003</v>
      </c>
      <c r="M7088">
        <v>-9.9998440000000008E-3</v>
      </c>
      <c r="N7088">
        <v>0</v>
      </c>
      <c r="O7088">
        <v>0.99990749999999995</v>
      </c>
      <c r="P7088">
        <v>2.91154E-2</v>
      </c>
      <c r="Q7088">
        <v>4.167204E-2</v>
      </c>
      <c r="R7088">
        <v>0.99870709999999996</v>
      </c>
      <c r="S7088">
        <v>0.162139899999999</v>
      </c>
      <c r="T7088">
        <v>-0.14786579999999999</v>
      </c>
      <c r="U7088">
        <v>3.0050659999999998</v>
      </c>
      <c r="V7088">
        <v>3.909054E-2</v>
      </c>
      <c r="W7088">
        <v>5.088355E-2</v>
      </c>
      <c r="X7088">
        <v>0.99793929999999997</v>
      </c>
      <c r="Y7088">
        <v>6.3795329999999997E-2</v>
      </c>
      <c r="Z7088">
        <v>-4.9056700000000002E-2</v>
      </c>
      <c r="AA7088">
        <v>0.99675659999999999</v>
      </c>
      <c r="AB7088">
        <v>42</v>
      </c>
      <c r="AC7088">
        <v>1.21979999999999</v>
      </c>
      <c r="AD7088">
        <v>-1.1088220313899999</v>
      </c>
      <c r="AE7088">
        <v>22.142299999999899</v>
      </c>
      <c r="AF7088">
        <v>1.43757384286058</v>
      </c>
      <c r="AG7088">
        <v>-1.1088220313899999</v>
      </c>
      <c r="AH7088">
        <v>22.073807128725299</v>
      </c>
      <c r="AI7088">
        <v>92.869622934737507</v>
      </c>
      <c r="AJ7088">
        <v>86.273829907541099</v>
      </c>
      <c r="AK7088">
        <v>22.148342285759</v>
      </c>
      <c r="AL7088">
        <v>87.083327880399906</v>
      </c>
      <c r="AM7088">
        <v>87.756798955658397</v>
      </c>
      <c r="AN7088">
        <v>1.00000002623129</v>
      </c>
    </row>
    <row r="7089" spans="1:40" x14ac:dyDescent="0.25">
      <c r="A7089" t="str">
        <f>"20190312173103976"</f>
        <v>20190312173103976</v>
      </c>
      <c r="B7089" t="str">
        <f>"1552383063964701"</f>
        <v>1552383063964701</v>
      </c>
      <c r="C7089" t="s">
        <v>40</v>
      </c>
      <c r="D7089">
        <v>3.491997</v>
      </c>
      <c r="E7089">
        <v>0.51055159999999999</v>
      </c>
      <c r="F7089" t="s">
        <v>41</v>
      </c>
      <c r="G7089">
        <v>-186.45769999999999</v>
      </c>
      <c r="H7089" s="1">
        <v>-3.3140139999999999E-6</v>
      </c>
      <c r="I7089">
        <v>85.893109999999993</v>
      </c>
      <c r="J7089">
        <v>-187.69040000000001</v>
      </c>
      <c r="K7089">
        <v>1.10884</v>
      </c>
      <c r="L7089">
        <v>63.526670000000003</v>
      </c>
      <c r="M7089">
        <v>-1.008968E-2</v>
      </c>
      <c r="N7089">
        <v>0</v>
      </c>
      <c r="O7089">
        <v>0.99990540000000006</v>
      </c>
      <c r="P7089">
        <v>2.9340479999999999E-2</v>
      </c>
      <c r="Q7089">
        <v>4.2141240000000003E-2</v>
      </c>
      <c r="R7089">
        <v>0.99868080000000004</v>
      </c>
      <c r="S7089">
        <v>0.1619263</v>
      </c>
      <c r="T7089">
        <v>-0.14616999999999999</v>
      </c>
      <c r="U7089">
        <v>3.00528</v>
      </c>
      <c r="V7089">
        <v>3.9404889999999998E-2</v>
      </c>
      <c r="W7089">
        <v>5.148167E-2</v>
      </c>
      <c r="X7089">
        <v>0.99789629999999996</v>
      </c>
      <c r="Y7089">
        <v>6.3812019999999997E-2</v>
      </c>
      <c r="Z7089">
        <v>-4.8492010000000002E-2</v>
      </c>
      <c r="AA7089">
        <v>0.99678310000000003</v>
      </c>
      <c r="AB7089">
        <v>42</v>
      </c>
      <c r="AC7089">
        <v>1.2327000000000199</v>
      </c>
      <c r="AD7089">
        <v>-1.1088433140139999</v>
      </c>
      <c r="AE7089">
        <v>22.366440000000001</v>
      </c>
      <c r="AF7089">
        <v>1.4547526669472199</v>
      </c>
      <c r="AG7089">
        <v>-1.1088433140139999</v>
      </c>
      <c r="AH7089">
        <v>22.298224687222799</v>
      </c>
      <c r="AI7089">
        <v>92.840822812560106</v>
      </c>
      <c r="AJ7089">
        <v>86.267270918597504</v>
      </c>
      <c r="AK7089">
        <v>22.373123675939802</v>
      </c>
      <c r="AL7089">
        <v>87.049013272531298</v>
      </c>
      <c r="AM7089">
        <v>87.738681372252699</v>
      </c>
      <c r="AN7089">
        <v>1.00000006662779</v>
      </c>
    </row>
    <row r="7090" spans="1:40" x14ac:dyDescent="0.25">
      <c r="A7090" t="str">
        <f>"20190312173103998"</f>
        <v>20190312173103998</v>
      </c>
      <c r="B7090" t="str">
        <f>"1552383063994954"</f>
        <v>1552383063994954</v>
      </c>
      <c r="C7090" t="s">
        <v>40</v>
      </c>
      <c r="D7090">
        <v>3.291404</v>
      </c>
      <c r="E7090">
        <v>0.51016459999999997</v>
      </c>
      <c r="F7090" t="s">
        <v>41</v>
      </c>
      <c r="G7090">
        <v>-186.4658</v>
      </c>
      <c r="H7090" s="1">
        <v>-3.5462340000000001E-6</v>
      </c>
      <c r="I7090">
        <v>86.43777</v>
      </c>
      <c r="J7090">
        <v>-187.69470000000001</v>
      </c>
      <c r="K7090">
        <v>1.1088739999999999</v>
      </c>
      <c r="L7090">
        <v>63.942929999999997</v>
      </c>
      <c r="M7090">
        <v>-1.017647E-2</v>
      </c>
      <c r="N7090">
        <v>0</v>
      </c>
      <c r="O7090">
        <v>0.99990299999999999</v>
      </c>
      <c r="P7090">
        <v>2.9846040000000001E-2</v>
      </c>
      <c r="Q7090">
        <v>4.2204369999999998E-2</v>
      </c>
      <c r="R7090">
        <v>0.99866310000000003</v>
      </c>
      <c r="S7090">
        <v>0.1606445</v>
      </c>
      <c r="T7090">
        <v>-0.1454529</v>
      </c>
      <c r="U7090">
        <v>3.0053709999999998</v>
      </c>
      <c r="V7090">
        <v>3.9996839999999999E-2</v>
      </c>
      <c r="W7090">
        <v>5.1700719999999999E-2</v>
      </c>
      <c r="X7090">
        <v>0.99786140000000001</v>
      </c>
      <c r="Y7090">
        <v>6.3473749999999995E-2</v>
      </c>
      <c r="Z7090">
        <v>-4.8254199999999997E-2</v>
      </c>
      <c r="AA7090">
        <v>0.99681620000000004</v>
      </c>
      <c r="AB7090">
        <v>42</v>
      </c>
      <c r="AC7090">
        <v>1.2289000000000001</v>
      </c>
      <c r="AD7090">
        <v>-1.1088775462339999</v>
      </c>
      <c r="AE7090">
        <v>22.49484</v>
      </c>
      <c r="AF7090">
        <v>1.4542415235787001</v>
      </c>
      <c r="AG7090">
        <v>-1.1088775462339999</v>
      </c>
      <c r="AH7090">
        <v>22.4268342147959</v>
      </c>
      <c r="AI7090">
        <v>92.824717769025</v>
      </c>
      <c r="AJ7090">
        <v>86.289917120487999</v>
      </c>
      <c r="AK7090">
        <v>22.501273757709399</v>
      </c>
      <c r="AL7090">
        <v>87.036445825541804</v>
      </c>
      <c r="AM7090">
        <v>87.704667157575798</v>
      </c>
      <c r="AN7090">
        <v>1.0000000426342299</v>
      </c>
    </row>
    <row r="7091" spans="1:40" x14ac:dyDescent="0.25">
      <c r="A7091" t="str">
        <f>"20190312173104020"</f>
        <v>20190312173104020</v>
      </c>
      <c r="B7091" t="str">
        <f>"1552383064014475"</f>
        <v>1552383064014475</v>
      </c>
      <c r="C7091" t="s">
        <v>40</v>
      </c>
      <c r="D7091">
        <v>3.3388499999999999</v>
      </c>
      <c r="E7091">
        <v>0.51000590000000001</v>
      </c>
      <c r="F7091" t="s">
        <v>41</v>
      </c>
      <c r="G7091">
        <v>-186.48310000000001</v>
      </c>
      <c r="H7091" s="1">
        <v>-3.6997470000000002E-6</v>
      </c>
      <c r="I7091">
        <v>86.802800000000005</v>
      </c>
      <c r="J7091">
        <v>-187.69909999999999</v>
      </c>
      <c r="K7091">
        <v>1.108914</v>
      </c>
      <c r="L7091">
        <v>64.369600000000005</v>
      </c>
      <c r="M7091">
        <v>-1.026518E-2</v>
      </c>
      <c r="N7091">
        <v>0</v>
      </c>
      <c r="O7091">
        <v>0.99990029999999996</v>
      </c>
      <c r="P7091">
        <v>3.040352E-2</v>
      </c>
      <c r="Q7091">
        <v>4.3168860000000003E-2</v>
      </c>
      <c r="R7091">
        <v>0.99860510000000002</v>
      </c>
      <c r="S7091">
        <v>0.1592865</v>
      </c>
      <c r="T7091">
        <v>-0.14578640000000001</v>
      </c>
      <c r="U7091">
        <v>3.0054319999999999</v>
      </c>
      <c r="V7091">
        <v>4.0642009999999999E-2</v>
      </c>
      <c r="W7091">
        <v>5.285405E-2</v>
      </c>
      <c r="X7091">
        <v>0.99777479999999996</v>
      </c>
      <c r="Y7091">
        <v>6.3111799999999996E-2</v>
      </c>
      <c r="Z7091">
        <v>-4.836468E-2</v>
      </c>
      <c r="AA7091">
        <v>0.99683390000000005</v>
      </c>
      <c r="AB7091">
        <v>42</v>
      </c>
      <c r="AC7091">
        <v>1.21599999999997</v>
      </c>
      <c r="AD7091">
        <v>-1.1089176997470001</v>
      </c>
      <c r="AE7091">
        <v>22.433199999999999</v>
      </c>
      <c r="AF7091">
        <v>1.4427126151379699</v>
      </c>
      <c r="AG7091">
        <v>-1.1089176997470001</v>
      </c>
      <c r="AH7091">
        <v>22.365045506041401</v>
      </c>
      <c r="AI7091">
        <v>92.832672689038802</v>
      </c>
      <c r="AJ7091">
        <v>86.309107794780402</v>
      </c>
      <c r="AK7091">
        <v>22.4389478060356</v>
      </c>
      <c r="AL7091">
        <v>86.970274081961605</v>
      </c>
      <c r="AM7091">
        <v>87.667480593197894</v>
      </c>
      <c r="AN7091">
        <v>0.99999993754663896</v>
      </c>
    </row>
    <row r="7092" spans="1:40" x14ac:dyDescent="0.25">
      <c r="A7092" t="str">
        <f>"20190312173104042"</f>
        <v>20190312173104042</v>
      </c>
      <c r="B7092" t="str">
        <f>"1552383064034970"</f>
        <v>1552383064034970</v>
      </c>
      <c r="C7092" t="s">
        <v>40</v>
      </c>
      <c r="D7092">
        <v>3.310889</v>
      </c>
      <c r="E7092">
        <v>0.50987510000000003</v>
      </c>
      <c r="F7092" t="s">
        <v>41</v>
      </c>
      <c r="G7092">
        <v>-186.47190000000001</v>
      </c>
      <c r="H7092" s="1">
        <v>-3.9991200000000001E-6</v>
      </c>
      <c r="I7092">
        <v>87.496009999999998</v>
      </c>
      <c r="J7092">
        <v>-187.70330000000001</v>
      </c>
      <c r="K7092">
        <v>1.1089549999999999</v>
      </c>
      <c r="L7092">
        <v>64.777680000000004</v>
      </c>
      <c r="M7092">
        <v>-1.034969E-2</v>
      </c>
      <c r="N7092">
        <v>0</v>
      </c>
      <c r="O7092">
        <v>0.99989740000000005</v>
      </c>
      <c r="P7092">
        <v>3.0557669999999999E-2</v>
      </c>
      <c r="Q7092">
        <v>4.4017140000000003E-2</v>
      </c>
      <c r="R7092">
        <v>0.99856330000000004</v>
      </c>
      <c r="S7092">
        <v>0.15948490000000001</v>
      </c>
      <c r="T7092">
        <v>-0.1441171</v>
      </c>
      <c r="U7092">
        <v>3.0055540000000001</v>
      </c>
      <c r="V7092">
        <v>4.0879779999999998E-2</v>
      </c>
      <c r="W7092">
        <v>5.390445E-2</v>
      </c>
      <c r="X7092">
        <v>0.99770899999999996</v>
      </c>
      <c r="Y7092">
        <v>6.3261049999999999E-2</v>
      </c>
      <c r="Z7092">
        <v>-4.7809869999999997E-2</v>
      </c>
      <c r="AA7092">
        <v>0.99685109999999999</v>
      </c>
      <c r="AB7092">
        <v>42</v>
      </c>
      <c r="AC7092">
        <v>1.2314000000000001</v>
      </c>
      <c r="AD7092">
        <v>-1.10895899912</v>
      </c>
      <c r="AE7092">
        <v>22.718329999999899</v>
      </c>
      <c r="AF7092">
        <v>1.4629975006934199</v>
      </c>
      <c r="AG7092">
        <v>-1.10895899912</v>
      </c>
      <c r="AH7092">
        <v>22.650555391527899</v>
      </c>
      <c r="AI7092">
        <v>92.797113161355796</v>
      </c>
      <c r="AJ7092">
        <v>86.304403798664495</v>
      </c>
      <c r="AK7092">
        <v>22.724828080613499</v>
      </c>
      <c r="AL7092">
        <v>86.9100050029908</v>
      </c>
      <c r="AM7092">
        <v>87.653695183634497</v>
      </c>
      <c r="AN7092">
        <v>1.00000004741182</v>
      </c>
    </row>
    <row r="7093" spans="1:40" x14ac:dyDescent="0.25">
      <c r="A7093" t="str">
        <f>"20190312173104065"</f>
        <v>20190312173104065</v>
      </c>
      <c r="B7093" t="str">
        <f>"1552383064054489"</f>
        <v>1552383064054489</v>
      </c>
      <c r="C7093" t="s">
        <v>40</v>
      </c>
      <c r="D7093">
        <v>3.3312309999999998</v>
      </c>
      <c r="E7093">
        <v>0.50976379999999999</v>
      </c>
      <c r="F7093" t="s">
        <v>41</v>
      </c>
      <c r="G7093">
        <v>-186.46619999999999</v>
      </c>
      <c r="H7093" s="1">
        <v>-4.3001980000000003E-6</v>
      </c>
      <c r="I7093">
        <v>88.195490000000007</v>
      </c>
      <c r="J7093">
        <v>-187.7079</v>
      </c>
      <c r="K7093">
        <v>1.1089929999999999</v>
      </c>
      <c r="L7093">
        <v>65.208619999999996</v>
      </c>
      <c r="M7093">
        <v>-1.0438680000000001E-2</v>
      </c>
      <c r="N7093">
        <v>0</v>
      </c>
      <c r="O7093">
        <v>0.99989430000000001</v>
      </c>
      <c r="P7093">
        <v>3.0161569999999999E-2</v>
      </c>
      <c r="Q7093">
        <v>4.4730039999999999E-2</v>
      </c>
      <c r="R7093">
        <v>0.99854370000000003</v>
      </c>
      <c r="S7093">
        <v>0.15878299999999901</v>
      </c>
      <c r="T7093">
        <v>-0.14233779999999999</v>
      </c>
      <c r="U7093">
        <v>3.0057369999999999</v>
      </c>
      <c r="V7093">
        <v>4.0572030000000002E-2</v>
      </c>
      <c r="W7093">
        <v>5.48429E-2</v>
      </c>
      <c r="X7093">
        <v>0.99767039999999996</v>
      </c>
      <c r="Y7093">
        <v>6.3116019999999995E-2</v>
      </c>
      <c r="Z7093">
        <v>-4.7218490000000002E-2</v>
      </c>
      <c r="AA7093">
        <v>0.99688860000000001</v>
      </c>
      <c r="AB7093">
        <v>42</v>
      </c>
      <c r="AC7093">
        <v>1.2417</v>
      </c>
      <c r="AD7093">
        <v>-1.108997300198</v>
      </c>
      <c r="AE7093">
        <v>22.98687</v>
      </c>
      <c r="AF7093">
        <v>1.4781666940734399</v>
      </c>
      <c r="AG7093">
        <v>-1.108997300198</v>
      </c>
      <c r="AH7093">
        <v>22.919463800746598</v>
      </c>
      <c r="AI7093">
        <v>92.764458881527304</v>
      </c>
      <c r="AJ7093">
        <v>86.309879658059998</v>
      </c>
      <c r="AK7093">
        <v>22.993839885957399</v>
      </c>
      <c r="AL7093">
        <v>86.856156064055597</v>
      </c>
      <c r="AM7093">
        <v>87.671249053424404</v>
      </c>
      <c r="AN7093">
        <v>1.0000000301674401</v>
      </c>
    </row>
    <row r="7094" spans="1:40" x14ac:dyDescent="0.25">
      <c r="A7094" t="str">
        <f>"20190312173104087"</f>
        <v>20190312173104087</v>
      </c>
      <c r="B7094" t="str">
        <f>"1552383064074989"</f>
        <v>1552383064074989</v>
      </c>
      <c r="C7094" t="s">
        <v>40</v>
      </c>
      <c r="D7094">
        <v>3.3315009999999998</v>
      </c>
      <c r="E7094">
        <v>0.50961820000000002</v>
      </c>
      <c r="F7094" t="s">
        <v>41</v>
      </c>
      <c r="G7094">
        <v>-186.4803</v>
      </c>
      <c r="H7094" s="1">
        <v>-4.535482E-6</v>
      </c>
      <c r="I7094">
        <v>88.74973</v>
      </c>
      <c r="J7094">
        <v>-187.7124</v>
      </c>
      <c r="K7094">
        <v>1.1090279999999999</v>
      </c>
      <c r="L7094">
        <v>65.633240000000001</v>
      </c>
      <c r="M7094">
        <v>-1.0525619999999999E-2</v>
      </c>
      <c r="N7094">
        <v>0</v>
      </c>
      <c r="O7094">
        <v>0.99989099999999997</v>
      </c>
      <c r="P7094">
        <v>3.0057759999999999E-2</v>
      </c>
      <c r="Q7094">
        <v>4.5657219999999998E-2</v>
      </c>
      <c r="R7094">
        <v>0.99850490000000003</v>
      </c>
      <c r="S7094">
        <v>0.15675349999999999</v>
      </c>
      <c r="T7094">
        <v>-0.1416086</v>
      </c>
      <c r="U7094">
        <v>3.0059809999999998</v>
      </c>
      <c r="V7094">
        <v>4.0554260000000002E-2</v>
      </c>
      <c r="W7094">
        <v>5.599175E-2</v>
      </c>
      <c r="X7094">
        <v>0.99760729999999997</v>
      </c>
      <c r="Y7094">
        <v>6.2527959999999994E-2</v>
      </c>
      <c r="Z7094">
        <v>-4.6974950000000001E-2</v>
      </c>
      <c r="AA7094">
        <v>0.99693710000000002</v>
      </c>
      <c r="AB7094">
        <v>42</v>
      </c>
      <c r="AC7094">
        <v>1.2321</v>
      </c>
      <c r="AD7094">
        <v>-1.1090325354819901</v>
      </c>
      <c r="AE7094">
        <v>23.116489999999999</v>
      </c>
      <c r="AF7094">
        <v>1.4719817394655601</v>
      </c>
      <c r="AG7094">
        <v>-1.1090325354819901</v>
      </c>
      <c r="AH7094">
        <v>23.049338097464599</v>
      </c>
      <c r="AI7094">
        <v>92.749104195259306</v>
      </c>
      <c r="AJ7094">
        <v>86.345926901694597</v>
      </c>
      <c r="AK7094">
        <v>23.122903583618299</v>
      </c>
      <c r="AL7094">
        <v>86.790230478832001</v>
      </c>
      <c r="AM7094">
        <v>87.672120822423494</v>
      </c>
      <c r="AN7094">
        <v>1.0000000245427401</v>
      </c>
    </row>
    <row r="7095" spans="1:40" x14ac:dyDescent="0.25">
      <c r="A7095" t="str">
        <f>"20190312173104111"</f>
        <v>20190312173104111</v>
      </c>
      <c r="B7095" t="str">
        <f>"1552383064104265"</f>
        <v>1552383064104265</v>
      </c>
      <c r="C7095" t="s">
        <v>40</v>
      </c>
      <c r="D7095">
        <v>3.3387030000000002</v>
      </c>
      <c r="E7095">
        <v>0.5094938</v>
      </c>
      <c r="F7095" t="s">
        <v>41</v>
      </c>
      <c r="G7095">
        <v>-186.49209999999999</v>
      </c>
      <c r="H7095" s="1">
        <v>-4.7641370000000002E-6</v>
      </c>
      <c r="I7095">
        <v>89.287610000000001</v>
      </c>
      <c r="J7095">
        <v>-187.71709999999999</v>
      </c>
      <c r="K7095">
        <v>1.1090599999999999</v>
      </c>
      <c r="L7095">
        <v>66.073089999999993</v>
      </c>
      <c r="M7095">
        <v>-1.061528E-2</v>
      </c>
      <c r="N7095">
        <v>0</v>
      </c>
      <c r="O7095">
        <v>0.99988779999999999</v>
      </c>
      <c r="P7095">
        <v>3.042299E-2</v>
      </c>
      <c r="Q7095">
        <v>4.711431E-2</v>
      </c>
      <c r="R7095">
        <v>0.99842609999999998</v>
      </c>
      <c r="S7095">
        <v>0.15509029999999999</v>
      </c>
      <c r="T7095">
        <v>-0.1409494</v>
      </c>
      <c r="U7095">
        <v>3.0062869999999999</v>
      </c>
      <c r="V7095">
        <v>4.1007679999999998E-2</v>
      </c>
      <c r="W7095">
        <v>5.7667980000000001E-2</v>
      </c>
      <c r="X7095">
        <v>0.99749330000000003</v>
      </c>
      <c r="Y7095">
        <v>6.2062680000000002E-2</v>
      </c>
      <c r="Z7095">
        <v>-4.6753309999999999E-2</v>
      </c>
      <c r="AA7095">
        <v>0.99697659999999999</v>
      </c>
      <c r="AB7095">
        <v>42</v>
      </c>
      <c r="AC7095">
        <v>1.2249999999999901</v>
      </c>
      <c r="AD7095">
        <v>-1.1090647641369999</v>
      </c>
      <c r="AE7095">
        <v>23.21452</v>
      </c>
      <c r="AF7095">
        <v>1.46803201322777</v>
      </c>
      <c r="AG7095">
        <v>-1.1090647641369999</v>
      </c>
      <c r="AH7095">
        <v>23.147521897798502</v>
      </c>
      <c r="AI7095">
        <v>92.737617144241995</v>
      </c>
      <c r="AJ7095">
        <v>86.371121759910096</v>
      </c>
      <c r="AK7095">
        <v>23.220527828883899</v>
      </c>
      <c r="AL7095">
        <v>86.694034199775004</v>
      </c>
      <c r="AM7095">
        <v>87.645854192132205</v>
      </c>
      <c r="AN7095">
        <v>1.0000000546405701</v>
      </c>
    </row>
    <row r="7096" spans="1:40" x14ac:dyDescent="0.25">
      <c r="A7096" t="str">
        <f>"20190312173104133"</f>
        <v>20190312173104133</v>
      </c>
      <c r="B7096" t="str">
        <f>"1552383064124762"</f>
        <v>1552383064124762</v>
      </c>
      <c r="C7096" t="s">
        <v>40</v>
      </c>
      <c r="D7096">
        <v>3.304405</v>
      </c>
      <c r="E7096">
        <v>0.50939269999999903</v>
      </c>
      <c r="F7096" t="s">
        <v>41</v>
      </c>
      <c r="G7096">
        <v>-186.48089999999999</v>
      </c>
      <c r="H7096" s="1">
        <v>-1.0604940000000001E-6</v>
      </c>
      <c r="I7096">
        <v>90.012919999999994</v>
      </c>
      <c r="J7096">
        <v>-187.7218</v>
      </c>
      <c r="K7096">
        <v>1.1090899999999999</v>
      </c>
      <c r="L7096">
        <v>66.507319999999893</v>
      </c>
      <c r="M7096">
        <v>-1.070394E-2</v>
      </c>
      <c r="N7096">
        <v>0</v>
      </c>
      <c r="O7096">
        <v>0.99988469999999996</v>
      </c>
      <c r="P7096">
        <v>3.0670099999999902E-2</v>
      </c>
      <c r="Q7096">
        <v>4.820899E-2</v>
      </c>
      <c r="R7096">
        <v>0.99836630000000004</v>
      </c>
      <c r="S7096">
        <v>0.15524289999999999</v>
      </c>
      <c r="T7096">
        <v>-0.1392851</v>
      </c>
      <c r="U7096">
        <v>3.006561</v>
      </c>
      <c r="V7096">
        <v>4.1342370000000003E-2</v>
      </c>
      <c r="W7096">
        <v>5.8962290000000001E-2</v>
      </c>
      <c r="X7096">
        <v>0.9974037</v>
      </c>
      <c r="Y7096">
        <v>6.219831E-2</v>
      </c>
      <c r="Z7096">
        <v>-4.6197920000000003E-2</v>
      </c>
      <c r="AA7096">
        <v>0.99699400000000005</v>
      </c>
      <c r="AB7096">
        <v>42</v>
      </c>
      <c r="AC7096">
        <v>1.2409000000000101</v>
      </c>
      <c r="AD7096">
        <v>-1.1090910604940001</v>
      </c>
      <c r="AE7096">
        <v>23.505600000000001</v>
      </c>
      <c r="AF7096">
        <v>1.4891399103730301</v>
      </c>
      <c r="AG7096">
        <v>-1.1090910604940001</v>
      </c>
      <c r="AH7096">
        <v>23.438931914035201</v>
      </c>
      <c r="AI7096">
        <v>92.703676779406607</v>
      </c>
      <c r="AJ7096">
        <v>86.364727196141303</v>
      </c>
      <c r="AK7096">
        <v>23.512361640718002</v>
      </c>
      <c r="AL7096">
        <v>86.619748900716999</v>
      </c>
      <c r="AM7096">
        <v>87.626449418218499</v>
      </c>
      <c r="AN7096">
        <v>0.99999994198647302</v>
      </c>
    </row>
    <row r="7097" spans="1:40" x14ac:dyDescent="0.25">
      <c r="A7097" t="str">
        <f>"20190312173104154"</f>
        <v>20190312173104154</v>
      </c>
      <c r="B7097" t="str">
        <f>"1552383064144285"</f>
        <v>1552383064144285</v>
      </c>
      <c r="C7097" t="s">
        <v>40</v>
      </c>
      <c r="D7097">
        <v>3.3433389999999998</v>
      </c>
      <c r="E7097">
        <v>0.50940659999999904</v>
      </c>
      <c r="F7097" t="s">
        <v>41</v>
      </c>
      <c r="G7097">
        <v>-186.47559999999999</v>
      </c>
      <c r="H7097" s="1">
        <v>-1.289044E-6</v>
      </c>
      <c r="I7097">
        <v>90.68038</v>
      </c>
      <c r="J7097">
        <v>-187.726</v>
      </c>
      <c r="K7097">
        <v>1.1091120000000001</v>
      </c>
      <c r="L7097">
        <v>66.900570000000002</v>
      </c>
      <c r="M7097">
        <v>-1.078498E-2</v>
      </c>
      <c r="N7097">
        <v>0</v>
      </c>
      <c r="O7097">
        <v>0.99988200000000005</v>
      </c>
      <c r="P7097">
        <v>3.1059389999999999E-2</v>
      </c>
      <c r="Q7097">
        <v>4.9229330000000002E-2</v>
      </c>
      <c r="R7097">
        <v>0.99830439999999998</v>
      </c>
      <c r="S7097">
        <v>0.15499879999999999</v>
      </c>
      <c r="T7097">
        <v>-0.1379561</v>
      </c>
      <c r="U7097">
        <v>3.0068049999999999</v>
      </c>
      <c r="V7097">
        <v>4.1811729999999998E-2</v>
      </c>
      <c r="W7097">
        <v>6.014655E-2</v>
      </c>
      <c r="X7097">
        <v>0.99731349999999996</v>
      </c>
      <c r="Y7097">
        <v>6.219537E-2</v>
      </c>
      <c r="Z7097">
        <v>-4.5754400000000001E-2</v>
      </c>
      <c r="AA7097">
        <v>0.99701470000000003</v>
      </c>
      <c r="AB7097">
        <v>42</v>
      </c>
      <c r="AC7097">
        <v>1.2504000000000099</v>
      </c>
      <c r="AD7097">
        <v>-1.1091132890440001</v>
      </c>
      <c r="AE7097">
        <v>23.779810000000001</v>
      </c>
      <c r="AF7097">
        <v>1.50354562674508</v>
      </c>
      <c r="AG7097">
        <v>-1.1091132890440001</v>
      </c>
      <c r="AH7097">
        <v>23.713496843626899</v>
      </c>
      <c r="AI7097">
        <v>92.672493206061006</v>
      </c>
      <c r="AJ7097">
        <v>86.372038423511796</v>
      </c>
      <c r="AK7097">
        <v>23.786986238116398</v>
      </c>
      <c r="AL7097">
        <v>86.551775422450504</v>
      </c>
      <c r="AM7097">
        <v>87.599316988177307</v>
      </c>
      <c r="AN7097">
        <v>1.00000002276237</v>
      </c>
    </row>
    <row r="7098" spans="1:40" x14ac:dyDescent="0.25">
      <c r="A7098" t="str">
        <f>"20190312173104178"</f>
        <v>20190312173104178</v>
      </c>
      <c r="B7098" t="str">
        <f>"1552383064174538"</f>
        <v>1552383064174538</v>
      </c>
      <c r="C7098" t="s">
        <v>40</v>
      </c>
      <c r="D7098">
        <v>3.3201679999999998</v>
      </c>
      <c r="E7098">
        <v>0.50937029999999905</v>
      </c>
      <c r="F7098" t="s">
        <v>41</v>
      </c>
      <c r="G7098">
        <v>-186.45920000000001</v>
      </c>
      <c r="H7098" s="1">
        <v>-1.506449E-6</v>
      </c>
      <c r="I7098">
        <v>91.306370000000001</v>
      </c>
      <c r="J7098">
        <v>-187.7311</v>
      </c>
      <c r="K7098">
        <v>1.1091299999999999</v>
      </c>
      <c r="L7098">
        <v>67.359889999999993</v>
      </c>
      <c r="M7098">
        <v>-1.088048E-2</v>
      </c>
      <c r="N7098">
        <v>0</v>
      </c>
      <c r="O7098">
        <v>0.99987910000000002</v>
      </c>
      <c r="P7098">
        <v>3.145274E-2</v>
      </c>
      <c r="Q7098">
        <v>5.06227E-2</v>
      </c>
      <c r="R7098">
        <v>0.99822250000000001</v>
      </c>
      <c r="S7098">
        <v>0.1560822</v>
      </c>
      <c r="T7098">
        <v>-0.13665160000000001</v>
      </c>
      <c r="U7098">
        <v>3.0069889999999999</v>
      </c>
      <c r="V7098">
        <v>4.2299360000000001E-2</v>
      </c>
      <c r="W7098">
        <v>6.1711009999999997E-2</v>
      </c>
      <c r="X7098">
        <v>0.99719729999999995</v>
      </c>
      <c r="Y7098">
        <v>6.2646869999999993E-2</v>
      </c>
      <c r="Z7098">
        <v>-4.5318770000000001E-2</v>
      </c>
      <c r="AA7098">
        <v>0.99700630000000001</v>
      </c>
      <c r="AB7098">
        <v>42</v>
      </c>
      <c r="AC7098">
        <v>1.27189999999998</v>
      </c>
      <c r="AD7098">
        <v>-1.1091315064489999</v>
      </c>
      <c r="AE7098">
        <v>23.946479999999902</v>
      </c>
      <c r="AF7098">
        <v>1.52911882565271</v>
      </c>
      <c r="AG7098">
        <v>-1.1091315064489999</v>
      </c>
      <c r="AH7098">
        <v>23.8801372831187</v>
      </c>
      <c r="AI7098">
        <v>92.653808600256497</v>
      </c>
      <c r="AJ7098">
        <v>86.336176613603399</v>
      </c>
      <c r="AK7098">
        <v>23.954735100646801</v>
      </c>
      <c r="AL7098">
        <v>86.461971427573104</v>
      </c>
      <c r="AM7098">
        <v>87.571069651042095</v>
      </c>
      <c r="AN7098">
        <v>0.99999996986945905</v>
      </c>
    </row>
    <row r="7099" spans="1:40" x14ac:dyDescent="0.25">
      <c r="A7099" t="str">
        <f>"20190312173104199"</f>
        <v>20190312173104199</v>
      </c>
      <c r="B7099" t="str">
        <f>"1552383064195034"</f>
        <v>1552383064195034</v>
      </c>
      <c r="C7099" t="s">
        <v>40</v>
      </c>
      <c r="D7099">
        <v>3.3277679999999998</v>
      </c>
      <c r="E7099">
        <v>0.50934069999999998</v>
      </c>
      <c r="F7099" t="s">
        <v>41</v>
      </c>
      <c r="G7099">
        <v>-186.4521</v>
      </c>
      <c r="H7099" s="1">
        <v>-1.729473E-6</v>
      </c>
      <c r="I7099">
        <v>91.956199999999995</v>
      </c>
      <c r="J7099">
        <v>-187.7355</v>
      </c>
      <c r="K7099">
        <v>1.109138</v>
      </c>
      <c r="L7099">
        <v>67.762419999999906</v>
      </c>
      <c r="M7099">
        <v>-1.0964949999999999E-2</v>
      </c>
      <c r="N7099">
        <v>0</v>
      </c>
      <c r="O7099">
        <v>0.99987669999999995</v>
      </c>
      <c r="P7099">
        <v>3.2435150000000003E-2</v>
      </c>
      <c r="Q7099">
        <v>5.1424060000000001E-2</v>
      </c>
      <c r="R7099">
        <v>0.99815010000000004</v>
      </c>
      <c r="S7099">
        <v>0.15637210000000001</v>
      </c>
      <c r="T7099">
        <v>-0.13560910000000001</v>
      </c>
      <c r="U7099">
        <v>3.0072939999999999</v>
      </c>
      <c r="V7099">
        <v>4.3365180000000003E-2</v>
      </c>
      <c r="W7099">
        <v>6.2648079999999995E-2</v>
      </c>
      <c r="X7099">
        <v>0.99709309999999995</v>
      </c>
      <c r="Y7099">
        <v>6.2822649999999994E-2</v>
      </c>
      <c r="Z7099">
        <v>-4.4968769999999998E-2</v>
      </c>
      <c r="AA7099">
        <v>0.99701110000000004</v>
      </c>
      <c r="AB7099">
        <v>42</v>
      </c>
      <c r="AC7099">
        <v>1.2834000000000001</v>
      </c>
      <c r="AD7099">
        <v>-1.1091397294730001</v>
      </c>
      <c r="AE7099">
        <v>24.19378</v>
      </c>
      <c r="AF7099">
        <v>1.5453844074107399</v>
      </c>
      <c r="AG7099">
        <v>-1.1091397294730001</v>
      </c>
      <c r="AH7099">
        <v>24.127685849599398</v>
      </c>
      <c r="AI7099">
        <v>92.626635590931699</v>
      </c>
      <c r="AJ7099">
        <v>86.335196836502007</v>
      </c>
      <c r="AK7099">
        <v>24.202554170234201</v>
      </c>
      <c r="AL7099">
        <v>86.408177230801002</v>
      </c>
      <c r="AM7099">
        <v>87.509683915838806</v>
      </c>
      <c r="AN7099">
        <v>0.99999998541586399</v>
      </c>
    </row>
    <row r="7100" spans="1:40" x14ac:dyDescent="0.25">
      <c r="A7100" t="str">
        <f>"20190312173104220"</f>
        <v>20190312173104220</v>
      </c>
      <c r="B7100" t="str">
        <f>"1552383064214554"</f>
        <v>1552383064214554</v>
      </c>
      <c r="C7100" t="s">
        <v>40</v>
      </c>
      <c r="D7100">
        <v>3.3353329999999999</v>
      </c>
      <c r="E7100">
        <v>0.50932529999999998</v>
      </c>
      <c r="F7100" t="s">
        <v>41</v>
      </c>
      <c r="G7100">
        <v>-186.43790000000001</v>
      </c>
      <c r="H7100" s="1">
        <v>-1.8931219999999999E-6</v>
      </c>
      <c r="I7100">
        <v>92.426019999999994</v>
      </c>
      <c r="J7100">
        <v>-187.73990000000001</v>
      </c>
      <c r="K7100">
        <v>1.1091489999999999</v>
      </c>
      <c r="L7100">
        <v>68.161379999999994</v>
      </c>
      <c r="M7100">
        <v>-1.1048789999999999E-2</v>
      </c>
      <c r="N7100">
        <v>0</v>
      </c>
      <c r="O7100">
        <v>0.99987440000000005</v>
      </c>
      <c r="P7100">
        <v>3.3596710000000002E-2</v>
      </c>
      <c r="Q7100">
        <v>5.1549409999999997E-2</v>
      </c>
      <c r="R7100">
        <v>0.99810520000000003</v>
      </c>
      <c r="S7100">
        <v>0.15821840000000001</v>
      </c>
      <c r="T7100">
        <v>-0.13524439999999999</v>
      </c>
      <c r="U7100">
        <v>3.0073850000000002</v>
      </c>
      <c r="V7100">
        <v>4.4609900000000001E-2</v>
      </c>
      <c r="W7100">
        <v>6.2897439999999999E-2</v>
      </c>
      <c r="X7100">
        <v>0.99702250000000003</v>
      </c>
      <c r="Y7100">
        <v>6.3515459999999996E-2</v>
      </c>
      <c r="Z7100">
        <v>-4.4844929999999998E-2</v>
      </c>
      <c r="AA7100">
        <v>0.99697279999999999</v>
      </c>
      <c r="AB7100">
        <v>42</v>
      </c>
      <c r="AC7100">
        <v>1.3019999999999901</v>
      </c>
      <c r="AD7100">
        <v>-1.109150893122</v>
      </c>
      <c r="AE7100">
        <v>24.264639999999901</v>
      </c>
      <c r="AF7100">
        <v>1.56676843851835</v>
      </c>
      <c r="AG7100">
        <v>-1.109150893122</v>
      </c>
      <c r="AH7100">
        <v>24.198355968715902</v>
      </c>
      <c r="AI7100">
        <v>92.618884804722896</v>
      </c>
      <c r="AJ7100">
        <v>86.295447038878706</v>
      </c>
      <c r="AK7100">
        <v>24.274377656952201</v>
      </c>
      <c r="AL7100">
        <v>86.393861769183104</v>
      </c>
      <c r="AM7100">
        <v>87.438116583301905</v>
      </c>
      <c r="AN7100">
        <v>0.99999999832140596</v>
      </c>
    </row>
    <row r="7101" spans="1:40" x14ac:dyDescent="0.25">
      <c r="A7101" t="str">
        <f>"20190312173104242"</f>
        <v>20190312173104242</v>
      </c>
      <c r="B7101" t="str">
        <f>"1552383064235050"</f>
        <v>1552383064235050</v>
      </c>
      <c r="C7101" t="s">
        <v>40</v>
      </c>
      <c r="D7101">
        <v>3.3238110000000001</v>
      </c>
      <c r="E7101">
        <v>0.50930149999999996</v>
      </c>
      <c r="F7101" t="s">
        <v>41</v>
      </c>
      <c r="G7101">
        <v>-186.43819999999999</v>
      </c>
      <c r="H7101" s="1">
        <v>-1.9198869999999999E-6</v>
      </c>
      <c r="I7101">
        <v>92.504869999999997</v>
      </c>
      <c r="J7101">
        <v>-187.74469999999999</v>
      </c>
      <c r="K7101">
        <v>1.109156</v>
      </c>
      <c r="L7101">
        <v>68.585750000000004</v>
      </c>
      <c r="M7101">
        <v>-1.113755E-2</v>
      </c>
      <c r="N7101">
        <v>0</v>
      </c>
      <c r="O7101">
        <v>0.99987199999999998</v>
      </c>
      <c r="P7101">
        <v>3.6243989999999997E-2</v>
      </c>
      <c r="Q7101">
        <v>5.2257070000000003E-2</v>
      </c>
      <c r="R7101">
        <v>0.99797579999999997</v>
      </c>
      <c r="S7101">
        <v>0.16081239999999999</v>
      </c>
      <c r="T7101">
        <v>-0.13702259999999999</v>
      </c>
      <c r="U7101">
        <v>3.007355</v>
      </c>
      <c r="V7101">
        <v>4.7344020000000001E-2</v>
      </c>
      <c r="W7101">
        <v>6.3723589999999997E-2</v>
      </c>
      <c r="X7101">
        <v>0.9968439</v>
      </c>
      <c r="Y7101">
        <v>6.4460690000000001E-2</v>
      </c>
      <c r="Z7101">
        <v>-4.5431340000000001E-2</v>
      </c>
      <c r="AA7101">
        <v>0.99688549999999998</v>
      </c>
      <c r="AB7101">
        <v>42</v>
      </c>
      <c r="AC7101">
        <v>1.30649999999999</v>
      </c>
      <c r="AD7101">
        <v>-1.1091579198870001</v>
      </c>
      <c r="AE7101">
        <v>23.9191199999999</v>
      </c>
      <c r="AF7101">
        <v>1.56947214906293</v>
      </c>
      <c r="AG7101">
        <v>-1.1091579198870001</v>
      </c>
      <c r="AH7101">
        <v>23.851948102847601</v>
      </c>
      <c r="AI7101">
        <v>92.656700533751504</v>
      </c>
      <c r="AJ7101">
        <v>86.235331222556397</v>
      </c>
      <c r="AK7101">
        <v>23.9292478448209</v>
      </c>
      <c r="AL7101">
        <v>86.346431556173599</v>
      </c>
      <c r="AM7101">
        <v>87.280842367524997</v>
      </c>
      <c r="AN7101">
        <v>0.99999995655972795</v>
      </c>
    </row>
    <row r="7102" spans="1:40" x14ac:dyDescent="0.25">
      <c r="A7102" t="str">
        <f>"20190312173104276"</f>
        <v>20190312173104276</v>
      </c>
      <c r="B7102" t="str">
        <f>"1552383064264330"</f>
        <v>1552383064264330</v>
      </c>
      <c r="C7102" t="s">
        <v>40</v>
      </c>
      <c r="D7102">
        <v>3.3303400000000001</v>
      </c>
      <c r="E7102">
        <v>0.50932339999999998</v>
      </c>
      <c r="F7102" t="s">
        <v>41</v>
      </c>
      <c r="G7102">
        <v>-186.38409999999999</v>
      </c>
      <c r="H7102" s="1">
        <v>-2.0897040000000002E-6</v>
      </c>
      <c r="I7102">
        <v>92.961590000000001</v>
      </c>
      <c r="J7102">
        <v>-187.7517</v>
      </c>
      <c r="K7102">
        <v>1.109162</v>
      </c>
      <c r="L7102">
        <v>69.210750000000004</v>
      </c>
      <c r="M7102">
        <v>-1.1267559999999999E-2</v>
      </c>
      <c r="N7102">
        <v>0</v>
      </c>
      <c r="O7102">
        <v>0.9998688</v>
      </c>
      <c r="P7102">
        <v>3.9765769999999999E-2</v>
      </c>
      <c r="Q7102">
        <v>5.2651429999999999E-2</v>
      </c>
      <c r="R7102">
        <v>0.99782090000000001</v>
      </c>
      <c r="S7102">
        <v>0.16784669999999999</v>
      </c>
      <c r="T7102">
        <v>-0.13683199999999901</v>
      </c>
      <c r="U7102">
        <v>3.0071409999999998</v>
      </c>
      <c r="V7102">
        <v>5.0993440000000001E-2</v>
      </c>
      <c r="W7102">
        <v>6.4268919999999993E-2</v>
      </c>
      <c r="X7102">
        <v>0.99662890000000004</v>
      </c>
      <c r="Y7102">
        <v>6.6919190000000003E-2</v>
      </c>
      <c r="Z7102">
        <v>-4.536482E-2</v>
      </c>
      <c r="AA7102">
        <v>0.99672660000000002</v>
      </c>
      <c r="AB7102">
        <v>42</v>
      </c>
      <c r="AC7102">
        <v>1.3676000000000099</v>
      </c>
      <c r="AD7102">
        <v>-1.109164089704</v>
      </c>
      <c r="AE7102">
        <v>23.75084</v>
      </c>
      <c r="AF7102">
        <v>1.6315987315670499</v>
      </c>
      <c r="AG7102">
        <v>-1.109164089704</v>
      </c>
      <c r="AH7102">
        <v>23.682443399838</v>
      </c>
      <c r="AI7102">
        <v>92.6751487124737</v>
      </c>
      <c r="AJ7102">
        <v>86.058842725729505</v>
      </c>
      <c r="AK7102">
        <v>23.764479476421801</v>
      </c>
      <c r="AL7102">
        <v>86.315122407857601</v>
      </c>
      <c r="AM7102">
        <v>87.070962661104005</v>
      </c>
      <c r="AN7102">
        <v>0.99999999465810496</v>
      </c>
    </row>
    <row r="7103" spans="1:40" x14ac:dyDescent="0.25">
      <c r="A7103" t="str">
        <f>"20190312173104300"</f>
        <v>20190312173104300</v>
      </c>
      <c r="B7103" t="str">
        <f>"1552383064294586"</f>
        <v>1552383064294586</v>
      </c>
      <c r="C7103" t="s">
        <v>40</v>
      </c>
      <c r="D7103">
        <v>3.3348599999999999</v>
      </c>
      <c r="E7103">
        <v>0.50936780000000004</v>
      </c>
      <c r="F7103" t="s">
        <v>41</v>
      </c>
      <c r="G7103">
        <v>-186.32310000000001</v>
      </c>
      <c r="H7103" s="1">
        <v>-2.2372290000000001E-6</v>
      </c>
      <c r="I7103">
        <v>93.327460000000002</v>
      </c>
      <c r="J7103">
        <v>-187.75700000000001</v>
      </c>
      <c r="K7103">
        <v>1.109173</v>
      </c>
      <c r="L7103">
        <v>69.670649999999995</v>
      </c>
      <c r="M7103">
        <v>-1.1363120000000001E-2</v>
      </c>
      <c r="N7103">
        <v>0</v>
      </c>
      <c r="O7103">
        <v>0.99986649999999999</v>
      </c>
      <c r="P7103">
        <v>4.1598740000000002E-2</v>
      </c>
      <c r="Q7103">
        <v>5.3408490000000003E-2</v>
      </c>
      <c r="R7103">
        <v>0.99770590000000003</v>
      </c>
      <c r="S7103">
        <v>0.17811579999999999</v>
      </c>
      <c r="T7103">
        <v>-0.13828480000000001</v>
      </c>
      <c r="U7103">
        <v>3.0067439999999999</v>
      </c>
      <c r="V7103">
        <v>5.292007E-2</v>
      </c>
      <c r="W7103">
        <v>6.51259E-2</v>
      </c>
      <c r="X7103">
        <v>0.99647280000000005</v>
      </c>
      <c r="Y7103">
        <v>7.0413119999999996E-2</v>
      </c>
      <c r="Z7103">
        <v>-4.5841409999999999E-2</v>
      </c>
      <c r="AA7103">
        <v>0.99646400000000002</v>
      </c>
      <c r="AB7103">
        <v>42</v>
      </c>
      <c r="AC7103">
        <v>1.43389999999999</v>
      </c>
      <c r="AD7103">
        <v>-1.109175237229</v>
      </c>
      <c r="AE7103">
        <v>23.65681</v>
      </c>
      <c r="AF7103">
        <v>1.69892003993501</v>
      </c>
      <c r="AG7103">
        <v>-1.109175237229</v>
      </c>
      <c r="AH7103">
        <v>23.5873254132939</v>
      </c>
      <c r="AI7103">
        <v>92.6853587987993</v>
      </c>
      <c r="AJ7103">
        <v>85.880281555737</v>
      </c>
      <c r="AK7103">
        <v>23.674427536090398</v>
      </c>
      <c r="AL7103">
        <v>86.265917923193399</v>
      </c>
      <c r="AM7103">
        <v>86.960026498788096</v>
      </c>
      <c r="AN7103">
        <v>0.99999997889972703</v>
      </c>
    </row>
    <row r="7104" spans="1:40" x14ac:dyDescent="0.25">
      <c r="A7104" t="str">
        <f>"20190312173104321"</f>
        <v>20190312173104321</v>
      </c>
      <c r="B7104" t="str">
        <f>"1552383064315082"</f>
        <v>1552383064315082</v>
      </c>
      <c r="C7104" t="s">
        <v>40</v>
      </c>
      <c r="D7104">
        <v>3.3474840000000001</v>
      </c>
      <c r="E7104">
        <v>0.50938170000000005</v>
      </c>
      <c r="F7104" t="s">
        <v>41</v>
      </c>
      <c r="G7104">
        <v>-186.2868</v>
      </c>
      <c r="H7104" s="1">
        <v>-2.4202979999999999E-6</v>
      </c>
      <c r="I7104">
        <v>93.739199999999997</v>
      </c>
      <c r="J7104">
        <v>-187.76179999999999</v>
      </c>
      <c r="K7104">
        <v>1.109191</v>
      </c>
      <c r="L7104">
        <v>70.085569999999905</v>
      </c>
      <c r="M7104">
        <v>-1.144997E-2</v>
      </c>
      <c r="N7104">
        <v>0</v>
      </c>
      <c r="O7104">
        <v>0.99986450000000004</v>
      </c>
      <c r="P7104">
        <v>4.3024319999999998E-2</v>
      </c>
      <c r="Q7104">
        <v>5.4209210000000001E-2</v>
      </c>
      <c r="R7104">
        <v>0.99760230000000005</v>
      </c>
      <c r="S7104">
        <v>0.18365480000000001</v>
      </c>
      <c r="T7104">
        <v>-0.1385586</v>
      </c>
      <c r="U7104">
        <v>3.006653</v>
      </c>
      <c r="V7104">
        <v>5.4430699999999999E-2</v>
      </c>
      <c r="W7104">
        <v>6.6013279999999994E-2</v>
      </c>
      <c r="X7104">
        <v>0.99633309999999997</v>
      </c>
      <c r="Y7104">
        <v>7.2330290000000005E-2</v>
      </c>
      <c r="Z7104">
        <v>-4.5927629999999997E-2</v>
      </c>
      <c r="AA7104">
        <v>0.99632279999999995</v>
      </c>
      <c r="AB7104">
        <v>42</v>
      </c>
      <c r="AC7104">
        <v>1.4749999999999901</v>
      </c>
      <c r="AD7104">
        <v>-1.1091934202980001</v>
      </c>
      <c r="AE7104">
        <v>23.65363</v>
      </c>
      <c r="AF7104">
        <v>1.7419399601886301</v>
      </c>
      <c r="AG7104">
        <v>-1.1091934202980001</v>
      </c>
      <c r="AH7104">
        <v>23.583530768672802</v>
      </c>
      <c r="AI7104">
        <v>92.685477009216598</v>
      </c>
      <c r="AJ7104">
        <v>85.775658110249694</v>
      </c>
      <c r="AK7104">
        <v>23.673774274193601</v>
      </c>
      <c r="AL7104">
        <v>86.214965411407306</v>
      </c>
      <c r="AM7104">
        <v>86.872981192074704</v>
      </c>
      <c r="AN7104">
        <v>1.0000000501972199</v>
      </c>
    </row>
    <row r="7105" spans="1:40" x14ac:dyDescent="0.25">
      <c r="A7105" t="str">
        <f>"20190312173104344"</f>
        <v>20190312173104344</v>
      </c>
      <c r="B7105" t="str">
        <f>"1552383064334602"</f>
        <v>1552383064334602</v>
      </c>
      <c r="C7105" t="s">
        <v>40</v>
      </c>
      <c r="D7105">
        <v>3.2981980000000002</v>
      </c>
      <c r="E7105">
        <v>0.50937370000000004</v>
      </c>
      <c r="F7105" t="s">
        <v>41</v>
      </c>
      <c r="G7105">
        <v>-186.25030000000001</v>
      </c>
      <c r="H7105" s="1">
        <v>-2.665266E-6</v>
      </c>
      <c r="I7105">
        <v>94.295119999999997</v>
      </c>
      <c r="J7105">
        <v>-187.76650000000001</v>
      </c>
      <c r="K7105">
        <v>1.1092070000000001</v>
      </c>
      <c r="L7105">
        <v>70.492980000000003</v>
      </c>
      <c r="M7105">
        <v>-1.1540180000000001E-2</v>
      </c>
      <c r="N7105">
        <v>0</v>
      </c>
      <c r="O7105">
        <v>0.99986229999999998</v>
      </c>
      <c r="P7105">
        <v>4.4628899999999999E-2</v>
      </c>
      <c r="Q7105">
        <v>5.5025289999999998E-2</v>
      </c>
      <c r="R7105">
        <v>0.99748709999999996</v>
      </c>
      <c r="S7105">
        <v>0.18771360000000001</v>
      </c>
      <c r="T7105">
        <v>-0.13775109999999999</v>
      </c>
      <c r="U7105">
        <v>3.0065919999999999</v>
      </c>
      <c r="V7105">
        <v>5.6123109999999997E-2</v>
      </c>
      <c r="W7105">
        <v>6.6919649999999997E-2</v>
      </c>
      <c r="X7105">
        <v>0.99617869999999997</v>
      </c>
      <c r="Y7105">
        <v>7.3762129999999995E-2</v>
      </c>
      <c r="Z7105">
        <v>-4.5657080000000003E-2</v>
      </c>
      <c r="AA7105">
        <v>0.99623019999999995</v>
      </c>
      <c r="AB7105">
        <v>42</v>
      </c>
      <c r="AC7105">
        <v>1.51619999999999</v>
      </c>
      <c r="AD7105">
        <v>-1.109209665266</v>
      </c>
      <c r="AE7105">
        <v>23.802139999999898</v>
      </c>
      <c r="AF7105">
        <v>1.78693457210587</v>
      </c>
      <c r="AG7105">
        <v>-1.109209665266</v>
      </c>
      <c r="AH7105">
        <v>23.731726951074702</v>
      </c>
      <c r="AI7105">
        <v>92.668486954069607</v>
      </c>
      <c r="AJ7105">
        <v>85.693909232719307</v>
      </c>
      <c r="AK7105">
        <v>23.824742292979199</v>
      </c>
      <c r="AL7105">
        <v>86.1629190387888</v>
      </c>
      <c r="AM7105">
        <v>86.775456390006795</v>
      </c>
      <c r="AN7105">
        <v>1.00000002268294</v>
      </c>
    </row>
    <row r="7106" spans="1:40" x14ac:dyDescent="0.25">
      <c r="A7106" t="str">
        <f>"20190312173104367"</f>
        <v>20190312173104367</v>
      </c>
      <c r="B7106" t="str">
        <f>"1552383064355098"</f>
        <v>1552383064355098</v>
      </c>
      <c r="C7106" t="s">
        <v>40</v>
      </c>
      <c r="D7106">
        <v>3.3320050000000001</v>
      </c>
      <c r="E7106">
        <v>0.50935129999999995</v>
      </c>
      <c r="F7106" t="s">
        <v>41</v>
      </c>
      <c r="G7106">
        <v>-186.20959999999999</v>
      </c>
      <c r="H7106" s="1">
        <v>-2.905208E-6</v>
      </c>
      <c r="I7106">
        <v>94.837609999999998</v>
      </c>
      <c r="J7106">
        <v>-187.77180000000001</v>
      </c>
      <c r="K7106">
        <v>1.109227</v>
      </c>
      <c r="L7106">
        <v>70.943330000000003</v>
      </c>
      <c r="M7106">
        <v>-1.163515E-2</v>
      </c>
      <c r="N7106">
        <v>0</v>
      </c>
      <c r="O7106">
        <v>0.99985990000000002</v>
      </c>
      <c r="P7106">
        <v>4.5964379999999999E-2</v>
      </c>
      <c r="Q7106">
        <v>5.5752599999999902E-2</v>
      </c>
      <c r="R7106">
        <v>0.99738599999999999</v>
      </c>
      <c r="S7106">
        <v>0.192276</v>
      </c>
      <c r="T7106">
        <v>-0.13698460000000001</v>
      </c>
      <c r="U7106">
        <v>3.0065</v>
      </c>
      <c r="V7106">
        <v>5.7551419999999999E-2</v>
      </c>
      <c r="W7106">
        <v>6.7760780000000007E-2</v>
      </c>
      <c r="X7106">
        <v>0.99604029999999999</v>
      </c>
      <c r="Y7106">
        <v>7.5365169999999995E-2</v>
      </c>
      <c r="Z7106">
        <v>-4.5399960000000003E-2</v>
      </c>
      <c r="AA7106">
        <v>0.9961219</v>
      </c>
      <c r="AB7106">
        <v>42</v>
      </c>
      <c r="AC7106">
        <v>1.56220000000001</v>
      </c>
      <c r="AD7106">
        <v>-1.1092299052079999</v>
      </c>
      <c r="AE7106">
        <v>23.894279999999899</v>
      </c>
      <c r="AF7106">
        <v>1.83618768655548</v>
      </c>
      <c r="AG7106">
        <v>-1.1092299052079999</v>
      </c>
      <c r="AH7106">
        <v>23.8233628301575</v>
      </c>
      <c r="AI7106">
        <v>92.657928449902499</v>
      </c>
      <c r="AJ7106">
        <v>85.592636624636597</v>
      </c>
      <c r="AK7106">
        <v>23.9197531914566</v>
      </c>
      <c r="AL7106">
        <v>86.114616045808404</v>
      </c>
      <c r="AM7106">
        <v>86.693114495646597</v>
      </c>
      <c r="AN7106">
        <v>0.99999998423715697</v>
      </c>
    </row>
    <row r="7107" spans="1:40" x14ac:dyDescent="0.25">
      <c r="A7107" t="str">
        <f>"20190312173104390"</f>
        <v>20190312173104390</v>
      </c>
      <c r="B7107" t="str">
        <f>"1552383064384379"</f>
        <v>1552383064384379</v>
      </c>
      <c r="C7107" t="s">
        <v>40</v>
      </c>
      <c r="D7107">
        <v>3.3282850000000002</v>
      </c>
      <c r="E7107">
        <v>0.50993569999999999</v>
      </c>
      <c r="F7107" t="s">
        <v>41</v>
      </c>
      <c r="G7107">
        <v>-186.1807</v>
      </c>
      <c r="H7107" s="1">
        <v>-3.1416230000000001E-6</v>
      </c>
      <c r="I7107">
        <v>95.376739999999998</v>
      </c>
      <c r="J7107">
        <v>-187.77690000000001</v>
      </c>
      <c r="K7107">
        <v>1.109256</v>
      </c>
      <c r="L7107">
        <v>71.37021</v>
      </c>
      <c r="M7107">
        <v>-1.1714850000000001E-2</v>
      </c>
      <c r="N7107">
        <v>0</v>
      </c>
      <c r="O7107">
        <v>0.99985749999999995</v>
      </c>
      <c r="P7107">
        <v>4.7406240000000002E-2</v>
      </c>
      <c r="Q7107">
        <v>5.6659609999999999E-2</v>
      </c>
      <c r="R7107">
        <v>0.99726740000000003</v>
      </c>
      <c r="S7107">
        <v>0.1957855</v>
      </c>
      <c r="T7107">
        <v>-0.136488</v>
      </c>
      <c r="U7107">
        <v>3.0064700000000002</v>
      </c>
      <c r="V7107">
        <v>5.9070549999999999E-2</v>
      </c>
      <c r="W7107">
        <v>6.8783109999999995E-2</v>
      </c>
      <c r="X7107">
        <v>0.99588129999999997</v>
      </c>
      <c r="Y7107">
        <v>7.6603729999999995E-2</v>
      </c>
      <c r="Z7107">
        <v>-4.5232269999999998E-2</v>
      </c>
      <c r="AA7107">
        <v>0.99603509999999995</v>
      </c>
      <c r="AB7107">
        <v>42</v>
      </c>
      <c r="AC7107">
        <v>1.5962000000000101</v>
      </c>
      <c r="AD7107">
        <v>-1.109259141623</v>
      </c>
      <c r="AE7107">
        <v>24.006530000000001</v>
      </c>
      <c r="AF7107">
        <v>1.87336201634803</v>
      </c>
      <c r="AG7107">
        <v>-1.109259141623</v>
      </c>
      <c r="AH7107">
        <v>23.935303727357802</v>
      </c>
      <c r="AI7107">
        <v>92.645341904968006</v>
      </c>
      <c r="AJ7107">
        <v>85.524712511275993</v>
      </c>
      <c r="AK7107">
        <v>24.0341154530064</v>
      </c>
      <c r="AL7107">
        <v>86.055903939327095</v>
      </c>
      <c r="AM7107">
        <v>86.605486617533103</v>
      </c>
      <c r="AN7107">
        <v>1.00000000489413</v>
      </c>
    </row>
    <row r="7108" spans="1:40" x14ac:dyDescent="0.25">
      <c r="A7108" t="str">
        <f>"20190312173104410"</f>
        <v>20190312173104410</v>
      </c>
      <c r="B7108" t="str">
        <f>"1552383064404875"</f>
        <v>1552383064404875</v>
      </c>
      <c r="C7108" t="s">
        <v>40</v>
      </c>
      <c r="D7108">
        <v>3.4168850000000002</v>
      </c>
      <c r="E7108">
        <v>0.52570319999999904</v>
      </c>
      <c r="F7108" t="s">
        <v>42</v>
      </c>
      <c r="G7108">
        <v>-187.71</v>
      </c>
      <c r="H7108">
        <v>1.0511349999999999</v>
      </c>
      <c r="I7108">
        <v>72.364249999999998</v>
      </c>
      <c r="J7108">
        <v>-187.7816</v>
      </c>
      <c r="K7108">
        <v>1.1092839999999999</v>
      </c>
      <c r="L7108">
        <v>71.766909999999996</v>
      </c>
      <c r="M7108">
        <v>-1.1786680000000001E-2</v>
      </c>
      <c r="N7108">
        <v>0</v>
      </c>
      <c r="O7108">
        <v>0.99985520000000006</v>
      </c>
      <c r="P7108">
        <v>4.8959660000000002E-2</v>
      </c>
      <c r="Q7108">
        <v>5.7334900000000001E-2</v>
      </c>
      <c r="R7108">
        <v>0.99715379999999998</v>
      </c>
      <c r="S7108">
        <v>0.2022552</v>
      </c>
      <c r="T7108">
        <v>-0.1759202</v>
      </c>
      <c r="U7108">
        <v>3.0086059999999999</v>
      </c>
      <c r="V7108">
        <v>6.0694089999999999E-2</v>
      </c>
      <c r="W7108">
        <v>6.9579429999999998E-2</v>
      </c>
      <c r="X7108">
        <v>0.99572830000000001</v>
      </c>
      <c r="Y7108">
        <v>7.8716770000000005E-2</v>
      </c>
      <c r="Z7108">
        <v>-5.8210499999999998E-2</v>
      </c>
      <c r="AA7108">
        <v>0.99519599999999997</v>
      </c>
      <c r="AB7108">
        <v>42</v>
      </c>
      <c r="AC7108">
        <v>7.1599999999989394E-2</v>
      </c>
      <c r="AD7108">
        <v>-5.8148999999999999E-2</v>
      </c>
      <c r="AE7108">
        <v>0.59734000000000198</v>
      </c>
      <c r="AF7108">
        <v>7.7908381065342702E-2</v>
      </c>
      <c r="AG7108">
        <v>-5.8148999999999999E-2</v>
      </c>
      <c r="AH7108">
        <v>0.59093392726012195</v>
      </c>
      <c r="AI7108">
        <v>95.572009686803995</v>
      </c>
      <c r="AJ7108">
        <v>82.489473346369905</v>
      </c>
      <c r="AK7108">
        <v>0.59887722316706404</v>
      </c>
      <c r="AL7108">
        <v>86.010168400829897</v>
      </c>
      <c r="AM7108">
        <v>86.511881873215501</v>
      </c>
      <c r="AN7108">
        <v>0.99999995853046997</v>
      </c>
    </row>
    <row r="7109" spans="1:40" x14ac:dyDescent="0.25">
      <c r="A7109" t="str">
        <f>"20190312173104433"</f>
        <v>20190312173104433</v>
      </c>
      <c r="B7109" t="str">
        <f>"1552383064424396"</f>
        <v>1552383064424396</v>
      </c>
      <c r="C7109" t="s">
        <v>40</v>
      </c>
      <c r="D7109">
        <v>3.3825349999999998</v>
      </c>
      <c r="E7109">
        <v>0.53216940000000001</v>
      </c>
      <c r="F7109" t="s">
        <v>41</v>
      </c>
      <c r="G7109">
        <v>-185.4007</v>
      </c>
      <c r="H7109" s="1">
        <v>-2.430306E-6</v>
      </c>
      <c r="I7109">
        <v>93.193569999999994</v>
      </c>
      <c r="J7109">
        <v>-187.7867</v>
      </c>
      <c r="K7109">
        <v>1.1093109999999999</v>
      </c>
      <c r="L7109">
        <v>72.192840000000004</v>
      </c>
      <c r="M7109">
        <v>-1.187038E-2</v>
      </c>
      <c r="N7109">
        <v>0</v>
      </c>
      <c r="O7109">
        <v>0.99985210000000002</v>
      </c>
      <c r="P7109">
        <v>5.0200210000000002E-2</v>
      </c>
      <c r="Q7109">
        <v>5.81968E-2</v>
      </c>
      <c r="R7109">
        <v>0.99704219999999999</v>
      </c>
      <c r="S7109">
        <v>0.33348080000000002</v>
      </c>
      <c r="T7109">
        <v>-0.155370799999999</v>
      </c>
      <c r="U7109">
        <v>3.001099</v>
      </c>
      <c r="V7109">
        <v>6.2017490000000002E-2</v>
      </c>
      <c r="W7109">
        <v>7.0608299999999999E-2</v>
      </c>
      <c r="X7109">
        <v>0.99557439999999997</v>
      </c>
      <c r="Y7109">
        <v>0.122085</v>
      </c>
      <c r="Z7109">
        <v>-5.1345630000000003E-2</v>
      </c>
      <c r="AA7109">
        <v>0.99119060000000003</v>
      </c>
      <c r="AB7109">
        <v>42</v>
      </c>
      <c r="AC7109">
        <v>2.3859999999999899</v>
      </c>
      <c r="AD7109">
        <v>-1.1093134303059999</v>
      </c>
      <c r="AE7109">
        <v>21.000729999999901</v>
      </c>
      <c r="AF7109">
        <v>2.6278988244385602</v>
      </c>
      <c r="AG7109">
        <v>-1.1093134303059999</v>
      </c>
      <c r="AH7109">
        <v>20.913315949409299</v>
      </c>
      <c r="AI7109">
        <v>93.0126704109272</v>
      </c>
      <c r="AJ7109">
        <v>82.837937875546103</v>
      </c>
      <c r="AK7109">
        <v>21.106947020304901</v>
      </c>
      <c r="AL7109">
        <v>85.951073481025304</v>
      </c>
      <c r="AM7109">
        <v>86.435469885317403</v>
      </c>
      <c r="AN7109">
        <v>1.00000004351507</v>
      </c>
    </row>
    <row r="7110" spans="1:40" x14ac:dyDescent="0.25">
      <c r="A7110" t="str">
        <f>"20190312173104456"</f>
        <v>20190312173104456</v>
      </c>
      <c r="B7110" t="str">
        <f>"1552383064444890"</f>
        <v>1552383064444890</v>
      </c>
      <c r="C7110" t="s">
        <v>40</v>
      </c>
      <c r="D7110">
        <v>3.4062160000000001</v>
      </c>
      <c r="E7110">
        <v>0.53455779999999997</v>
      </c>
      <c r="F7110" t="s">
        <v>41</v>
      </c>
      <c r="G7110">
        <v>-184.7336</v>
      </c>
      <c r="H7110" s="1">
        <v>-3.532052E-6</v>
      </c>
      <c r="I7110">
        <v>95.688509999999994</v>
      </c>
      <c r="J7110">
        <v>-187.7921</v>
      </c>
      <c r="K7110">
        <v>1.1093519999999999</v>
      </c>
      <c r="L7110">
        <v>72.633179999999996</v>
      </c>
      <c r="M7110">
        <v>-1.196439E-2</v>
      </c>
      <c r="N7110">
        <v>0</v>
      </c>
      <c r="O7110">
        <v>0.99984810000000002</v>
      </c>
      <c r="P7110">
        <v>5.0985620000000002E-2</v>
      </c>
      <c r="Q7110">
        <v>5.8384409999999998E-2</v>
      </c>
      <c r="R7110">
        <v>0.99699130000000002</v>
      </c>
      <c r="S7110">
        <v>0.3895111</v>
      </c>
      <c r="T7110">
        <v>-0.1415254</v>
      </c>
      <c r="U7110">
        <v>2.9975589999999999</v>
      </c>
      <c r="V7110">
        <v>6.2897170000000002E-2</v>
      </c>
      <c r="W7110">
        <v>7.1018299999999895E-2</v>
      </c>
      <c r="X7110">
        <v>0.99548999999999999</v>
      </c>
      <c r="Y7110">
        <v>0.14057500000000001</v>
      </c>
      <c r="Z7110">
        <v>-4.6725799999999998E-2</v>
      </c>
      <c r="AA7110">
        <v>0.98896680000000003</v>
      </c>
      <c r="AB7110">
        <v>42</v>
      </c>
      <c r="AC7110">
        <v>3.0585</v>
      </c>
      <c r="AD7110">
        <v>-1.1093555320520001</v>
      </c>
      <c r="AE7110">
        <v>23.055329999999898</v>
      </c>
      <c r="AF7110">
        <v>3.3265774887167998</v>
      </c>
      <c r="AG7110">
        <v>-1.1093555320520001</v>
      </c>
      <c r="AH7110">
        <v>22.9648335761526</v>
      </c>
      <c r="AI7110">
        <v>92.737097527046998</v>
      </c>
      <c r="AJ7110">
        <v>81.757733814949304</v>
      </c>
      <c r="AK7110">
        <v>23.231021687935201</v>
      </c>
      <c r="AL7110">
        <v>85.9275228993518</v>
      </c>
      <c r="AM7110">
        <v>86.3847366813783</v>
      </c>
      <c r="AN7110">
        <v>0.99999999651444904</v>
      </c>
    </row>
    <row r="7111" spans="1:40" x14ac:dyDescent="0.25">
      <c r="A7111" t="str">
        <f>"20190312173104478"</f>
        <v>20190312173104478</v>
      </c>
      <c r="B7111" t="str">
        <f>"1552383064464410"</f>
        <v>1552383064464410</v>
      </c>
      <c r="C7111" t="s">
        <v>40</v>
      </c>
      <c r="D7111">
        <v>3.4047010000000002</v>
      </c>
      <c r="E7111">
        <v>0.53609059999999997</v>
      </c>
      <c r="F7111" t="s">
        <v>41</v>
      </c>
      <c r="G7111">
        <v>-184.4897</v>
      </c>
      <c r="H7111" s="1">
        <v>-4.0083149999999996E-6</v>
      </c>
      <c r="I7111">
        <v>96.697839999999999</v>
      </c>
      <c r="J7111">
        <v>-187.79689999999999</v>
      </c>
      <c r="K7111">
        <v>1.1093959999999901</v>
      </c>
      <c r="L7111">
        <v>73.032839999999993</v>
      </c>
      <c r="M7111">
        <v>-1.205233E-2</v>
      </c>
      <c r="N7111">
        <v>0</v>
      </c>
      <c r="O7111">
        <v>0.99984399999999996</v>
      </c>
      <c r="P7111">
        <v>5.1431629999999999E-2</v>
      </c>
      <c r="Q7111">
        <v>5.8875080000000003E-2</v>
      </c>
      <c r="R7111">
        <v>0.99693960000000004</v>
      </c>
      <c r="S7111">
        <v>0.41114810000000002</v>
      </c>
      <c r="T7111">
        <v>-0.13811679999999901</v>
      </c>
      <c r="U7111">
        <v>2.9960939999999998</v>
      </c>
      <c r="V7111">
        <v>6.3430899999999998E-2</v>
      </c>
      <c r="W7111">
        <v>7.1743150000000006E-2</v>
      </c>
      <c r="X7111">
        <v>0.99540419999999996</v>
      </c>
      <c r="Y7111">
        <v>0.14774409999999999</v>
      </c>
      <c r="Z7111">
        <v>-4.5579210000000002E-2</v>
      </c>
      <c r="AA7111">
        <v>0.98797480000000004</v>
      </c>
      <c r="AB7111">
        <v>42</v>
      </c>
      <c r="AC7111">
        <v>3.3071999999999901</v>
      </c>
      <c r="AD7111">
        <v>-1.10940000831499</v>
      </c>
      <c r="AE7111">
        <v>23.6649999999999</v>
      </c>
      <c r="AF7111">
        <v>3.5844753129366702</v>
      </c>
      <c r="AG7111">
        <v>-1.10940000831499</v>
      </c>
      <c r="AH7111">
        <v>23.5726055632827</v>
      </c>
      <c r="AI7111">
        <v>92.663951242045499</v>
      </c>
      <c r="AJ7111">
        <v>81.353778154811096</v>
      </c>
      <c r="AK7111">
        <v>23.8693729429495</v>
      </c>
      <c r="AL7111">
        <v>85.885886021566606</v>
      </c>
      <c r="AM7111">
        <v>86.353827428296199</v>
      </c>
      <c r="AN7111">
        <v>1.00000004001218</v>
      </c>
    </row>
    <row r="7112" spans="1:40" x14ac:dyDescent="0.25">
      <c r="A7112" t="str">
        <f>"20190312173104501"</f>
        <v>20190312173104501</v>
      </c>
      <c r="B7112" t="str">
        <f>"1552383064494666"</f>
        <v>1552383064494666</v>
      </c>
      <c r="C7112" t="s">
        <v>40</v>
      </c>
      <c r="D7112">
        <v>3.4108559999999999</v>
      </c>
      <c r="E7112">
        <v>0.53720310000000004</v>
      </c>
      <c r="F7112" t="s">
        <v>41</v>
      </c>
      <c r="G7112">
        <v>-184.3382</v>
      </c>
      <c r="H7112" s="1">
        <v>-4.3433389999999996E-6</v>
      </c>
      <c r="I7112">
        <v>97.416139999999999</v>
      </c>
      <c r="J7112">
        <v>-187.80240000000001</v>
      </c>
      <c r="K7112">
        <v>1.1094469999999901</v>
      </c>
      <c r="L7112">
        <v>73.478089999999995</v>
      </c>
      <c r="M7112">
        <v>-1.214813E-2</v>
      </c>
      <c r="N7112">
        <v>0</v>
      </c>
      <c r="O7112">
        <v>0.99983940000000004</v>
      </c>
      <c r="P7112">
        <v>5.1488369999999999E-2</v>
      </c>
      <c r="Q7112">
        <v>6.0015039999999999E-2</v>
      </c>
      <c r="R7112">
        <v>0.99686870000000005</v>
      </c>
      <c r="S7112">
        <v>0.42488100000000001</v>
      </c>
      <c r="T7112">
        <v>-0.13628270000000001</v>
      </c>
      <c r="U7112">
        <v>2.9953310000000002</v>
      </c>
      <c r="V7112">
        <v>6.3582269999999996E-2</v>
      </c>
      <c r="W7112">
        <v>7.3151350000000004E-2</v>
      </c>
      <c r="X7112">
        <v>0.99529199999999995</v>
      </c>
      <c r="Y7112">
        <v>0.15231819999999999</v>
      </c>
      <c r="Z7112">
        <v>-4.4956580000000003E-2</v>
      </c>
      <c r="AA7112">
        <v>0.98730850000000003</v>
      </c>
      <c r="AB7112">
        <v>42</v>
      </c>
      <c r="AC7112">
        <v>3.4641999999999999</v>
      </c>
      <c r="AD7112">
        <v>-1.1094513433390001</v>
      </c>
      <c r="AE7112">
        <v>23.938049999999901</v>
      </c>
      <c r="AF7112">
        <v>3.7468888076215601</v>
      </c>
      <c r="AG7112">
        <v>-1.1094513433390001</v>
      </c>
      <c r="AH7112">
        <v>23.844029160085601</v>
      </c>
      <c r="AI7112">
        <v>92.631774525918601</v>
      </c>
      <c r="AJ7112">
        <v>81.069480392187401</v>
      </c>
      <c r="AK7112">
        <v>24.162114655115101</v>
      </c>
      <c r="AL7112">
        <v>85.804989336683207</v>
      </c>
      <c r="AM7112">
        <v>86.344738947759097</v>
      </c>
      <c r="AN7112">
        <v>0.99999999516458704</v>
      </c>
    </row>
    <row r="7113" spans="1:40" x14ac:dyDescent="0.25">
      <c r="A7113" t="str">
        <f>"20190312173104523"</f>
        <v>20190312173104523</v>
      </c>
      <c r="B7113" t="str">
        <f>"1552383064514570"</f>
        <v>1552383064514570</v>
      </c>
      <c r="C7113" t="s">
        <v>40</v>
      </c>
      <c r="D7113">
        <v>3.4383180000000002</v>
      </c>
      <c r="E7113">
        <v>0.53757100000000002</v>
      </c>
      <c r="F7113" t="s">
        <v>41</v>
      </c>
      <c r="G7113">
        <v>-184.1498</v>
      </c>
      <c r="H7113" s="1">
        <v>-4.9181249999999996E-6</v>
      </c>
      <c r="I7113">
        <v>98.678070000000005</v>
      </c>
      <c r="J7113">
        <v>-187.8074</v>
      </c>
      <c r="K7113">
        <v>1.109483</v>
      </c>
      <c r="L7113">
        <v>73.891599999999997</v>
      </c>
      <c r="M7113">
        <v>-1.223262E-2</v>
      </c>
      <c r="N7113">
        <v>0</v>
      </c>
      <c r="O7113">
        <v>0.99983509999999998</v>
      </c>
      <c r="P7113">
        <v>5.2531109999999999E-2</v>
      </c>
      <c r="Q7113">
        <v>6.1351889999999999E-2</v>
      </c>
      <c r="R7113">
        <v>0.99673290000000003</v>
      </c>
      <c r="S7113">
        <v>0.43409730000000002</v>
      </c>
      <c r="T7113">
        <v>-0.131854799999999</v>
      </c>
      <c r="U7113">
        <v>2.9949340000000002</v>
      </c>
      <c r="V7113">
        <v>6.4706940000000004E-2</v>
      </c>
      <c r="W7113">
        <v>7.4725369999999999E-2</v>
      </c>
      <c r="X7113">
        <v>0.99510259999999995</v>
      </c>
      <c r="Y7113">
        <v>0.1554056</v>
      </c>
      <c r="Z7113">
        <v>-4.3484429999999998E-2</v>
      </c>
      <c r="AA7113">
        <v>0.98689320000000003</v>
      </c>
      <c r="AB7113">
        <v>42</v>
      </c>
      <c r="AC7113">
        <v>3.6576</v>
      </c>
      <c r="AD7113">
        <v>-1.1094879181249999</v>
      </c>
      <c r="AE7113">
        <v>24.786469999999898</v>
      </c>
      <c r="AF7113">
        <v>3.9528059197308698</v>
      </c>
      <c r="AG7113">
        <v>-1.1094879181249999</v>
      </c>
      <c r="AH7113">
        <v>24.6914510283504</v>
      </c>
      <c r="AI7113">
        <v>92.540498135724306</v>
      </c>
      <c r="AJ7113">
        <v>80.9048049189349</v>
      </c>
      <c r="AK7113">
        <v>25.030449296106401</v>
      </c>
      <c r="AL7113">
        <v>85.714557229614201</v>
      </c>
      <c r="AM7113">
        <v>86.279557103341602</v>
      </c>
      <c r="AN7113">
        <v>1.0000000267662701</v>
      </c>
    </row>
    <row r="7114" spans="1:40" x14ac:dyDescent="0.25">
      <c r="A7114" t="str">
        <f>"20190312173104546"</f>
        <v>20190312173104546</v>
      </c>
      <c r="B7114" t="str">
        <f>"1552383064535065"</f>
        <v>1552383064535065</v>
      </c>
      <c r="C7114" t="s">
        <v>40</v>
      </c>
      <c r="D7114">
        <v>3.4473039999999999</v>
      </c>
      <c r="E7114">
        <v>0.53800599999999998</v>
      </c>
      <c r="F7114" t="s">
        <v>41</v>
      </c>
      <c r="G7114">
        <v>-184.03290000000001</v>
      </c>
      <c r="H7114" s="1">
        <v>-5.3309360000000002E-6</v>
      </c>
      <c r="I7114">
        <v>99.592029999999994</v>
      </c>
      <c r="J7114">
        <v>-187.81280000000001</v>
      </c>
      <c r="K7114">
        <v>1.109521</v>
      </c>
      <c r="L7114">
        <v>74.321079999999995</v>
      </c>
      <c r="M7114">
        <v>-1.2316219999999999E-2</v>
      </c>
      <c r="N7114">
        <v>0</v>
      </c>
      <c r="O7114">
        <v>0.99983100000000003</v>
      </c>
      <c r="P7114">
        <v>5.3642059999999998E-2</v>
      </c>
      <c r="Q7114">
        <v>6.2528009999999995E-2</v>
      </c>
      <c r="R7114">
        <v>0.99660059999999995</v>
      </c>
      <c r="S7114">
        <v>0.43980409999999998</v>
      </c>
      <c r="T7114">
        <v>-0.129277</v>
      </c>
      <c r="U7114">
        <v>2.9945979999999999</v>
      </c>
      <c r="V7114">
        <v>6.5898760000000001E-2</v>
      </c>
      <c r="W7114">
        <v>7.6125159999999997E-2</v>
      </c>
      <c r="X7114">
        <v>0.99491819999999997</v>
      </c>
      <c r="Y7114">
        <v>0.1573505</v>
      </c>
      <c r="Z7114">
        <v>-4.2628109999999997E-2</v>
      </c>
      <c r="AA7114">
        <v>0.98662229999999995</v>
      </c>
      <c r="AB7114">
        <v>42</v>
      </c>
      <c r="AC7114">
        <v>3.7798999999999898</v>
      </c>
      <c r="AD7114">
        <v>-1.1095263309359999</v>
      </c>
      <c r="AE7114">
        <v>25.270949999999999</v>
      </c>
      <c r="AF7114">
        <v>4.0831860416955497</v>
      </c>
      <c r="AG7114">
        <v>-1.1095263309359999</v>
      </c>
      <c r="AH7114">
        <v>25.1750074122474</v>
      </c>
      <c r="AI7114">
        <v>92.491026753245905</v>
      </c>
      <c r="AJ7114">
        <v>80.787304940456195</v>
      </c>
      <c r="AK7114">
        <v>25.528111076553401</v>
      </c>
      <c r="AL7114">
        <v>85.634125743051598</v>
      </c>
      <c r="AM7114">
        <v>86.210528869967206</v>
      </c>
      <c r="AN7114">
        <v>0.99999995562290001</v>
      </c>
    </row>
    <row r="7115" spans="1:40" x14ac:dyDescent="0.25">
      <c r="A7115" t="str">
        <f>"20190312173104567"</f>
        <v>20190312173104567</v>
      </c>
      <c r="B7115" t="str">
        <f>"1552383064554586"</f>
        <v>1552383064554586</v>
      </c>
      <c r="C7115" t="s">
        <v>40</v>
      </c>
      <c r="D7115">
        <v>3.4415960000000001</v>
      </c>
      <c r="E7115">
        <v>0.53830990000000001</v>
      </c>
      <c r="F7115" t="s">
        <v>41</v>
      </c>
      <c r="G7115">
        <v>-183.8937</v>
      </c>
      <c r="H7115" s="1">
        <v>-1.9521770000000001E-6</v>
      </c>
      <c r="I7115">
        <v>100.6103</v>
      </c>
      <c r="J7115">
        <v>-187.8177</v>
      </c>
      <c r="K7115">
        <v>1.1095520000000001</v>
      </c>
      <c r="L7115">
        <v>74.7179</v>
      </c>
      <c r="M7115">
        <v>-1.2392820000000001E-2</v>
      </c>
      <c r="N7115">
        <v>0</v>
      </c>
      <c r="O7115">
        <v>0.99982740000000003</v>
      </c>
      <c r="P7115">
        <v>5.4635259999999998E-2</v>
      </c>
      <c r="Q7115">
        <v>6.3356770000000007E-2</v>
      </c>
      <c r="R7115">
        <v>0.99649430000000006</v>
      </c>
      <c r="S7115">
        <v>0.44635010000000003</v>
      </c>
      <c r="T7115">
        <v>-0.12636610000000001</v>
      </c>
      <c r="U7115">
        <v>2.9941409999999999</v>
      </c>
      <c r="V7115">
        <v>6.6966360000000003E-2</v>
      </c>
      <c r="W7115">
        <v>7.7142130000000003E-2</v>
      </c>
      <c r="X7115">
        <v>0.9947686</v>
      </c>
      <c r="Y7115">
        <v>0.15956429999999999</v>
      </c>
      <c r="Z7115">
        <v>-4.1662159999999997E-2</v>
      </c>
      <c r="AA7115">
        <v>0.98630799999999996</v>
      </c>
      <c r="AB7115">
        <v>42</v>
      </c>
      <c r="AC7115">
        <v>3.9239999999999999</v>
      </c>
      <c r="AD7115">
        <v>-1.1095539521769999</v>
      </c>
      <c r="AE7115">
        <v>25.892399999999899</v>
      </c>
      <c r="AF7115">
        <v>4.2370033227446102</v>
      </c>
      <c r="AG7115">
        <v>-1.1095539521769999</v>
      </c>
      <c r="AH7115">
        <v>25.795471516291698</v>
      </c>
      <c r="AI7115">
        <v>92.430446930948904</v>
      </c>
      <c r="AJ7115">
        <v>80.672242804142698</v>
      </c>
      <c r="AK7115">
        <v>26.164664298965398</v>
      </c>
      <c r="AL7115">
        <v>85.575685924035099</v>
      </c>
      <c r="AM7115">
        <v>86.148743013895896</v>
      </c>
      <c r="AN7115">
        <v>0.99999998456927297</v>
      </c>
    </row>
    <row r="7116" spans="1:40" x14ac:dyDescent="0.25">
      <c r="A7116" t="str">
        <f>"20190312173104591"</f>
        <v>20190312173104591</v>
      </c>
      <c r="B7116" t="str">
        <f>"1552383064584843"</f>
        <v>1552383064584843</v>
      </c>
      <c r="C7116" t="s">
        <v>40</v>
      </c>
      <c r="D7116">
        <v>3.3876059999999999</v>
      </c>
      <c r="E7116">
        <v>0.53872010000000004</v>
      </c>
      <c r="F7116" t="s">
        <v>41</v>
      </c>
      <c r="G7116">
        <v>-183.79480000000001</v>
      </c>
      <c r="H7116" s="1">
        <v>-2.2371999999999999E-6</v>
      </c>
      <c r="I7116">
        <v>101.37050000000001</v>
      </c>
      <c r="J7116">
        <v>-187.82329999999999</v>
      </c>
      <c r="K7116">
        <v>1.1095809999999999</v>
      </c>
      <c r="L7116">
        <v>75.162480000000002</v>
      </c>
      <c r="M7116">
        <v>-1.247988E-2</v>
      </c>
      <c r="N7116">
        <v>0</v>
      </c>
      <c r="O7116">
        <v>0.99982369999999998</v>
      </c>
      <c r="P7116">
        <v>5.518029E-2</v>
      </c>
      <c r="Q7116">
        <v>6.3419450000000002E-2</v>
      </c>
      <c r="R7116">
        <v>0.99646029999999997</v>
      </c>
      <c r="S7116">
        <v>0.45187379999999999</v>
      </c>
      <c r="T7116">
        <v>-0.12462910000000001</v>
      </c>
      <c r="U7116">
        <v>2.9937130000000001</v>
      </c>
      <c r="V7116">
        <v>6.7597420000000005E-2</v>
      </c>
      <c r="W7116">
        <v>7.7394080000000004E-2</v>
      </c>
      <c r="X7116">
        <v>0.99470630000000004</v>
      </c>
      <c r="Y7116">
        <v>0.16145390000000001</v>
      </c>
      <c r="Z7116">
        <v>-4.1084229999999999E-2</v>
      </c>
      <c r="AA7116">
        <v>0.98602469999999998</v>
      </c>
      <c r="AB7116">
        <v>42</v>
      </c>
      <c r="AC7116">
        <v>4.0284999999999798</v>
      </c>
      <c r="AD7116">
        <v>-1.1095832372000001</v>
      </c>
      <c r="AE7116">
        <v>26.208020000000001</v>
      </c>
      <c r="AF7116">
        <v>4.3476781567205096</v>
      </c>
      <c r="AG7116">
        <v>-1.1095832372000001</v>
      </c>
      <c r="AH7116">
        <v>26.109977440356602</v>
      </c>
      <c r="AI7116">
        <v>92.400396378035097</v>
      </c>
      <c r="AJ7116">
        <v>80.546185816583204</v>
      </c>
      <c r="AK7116">
        <v>26.492723571777798</v>
      </c>
      <c r="AL7116">
        <v>85.561206762594296</v>
      </c>
      <c r="AM7116">
        <v>86.1123185803729</v>
      </c>
      <c r="AN7116">
        <v>0.99999993903469397</v>
      </c>
    </row>
    <row r="7117" spans="1:40" x14ac:dyDescent="0.25">
      <c r="A7117" t="str">
        <f>"20190312173104612"</f>
        <v>20190312173104612</v>
      </c>
      <c r="B7117" t="str">
        <f>"1552383064604362"</f>
        <v>1552383064604362</v>
      </c>
      <c r="C7117" t="s">
        <v>40</v>
      </c>
      <c r="D7117">
        <v>3.4249670000000001</v>
      </c>
      <c r="E7117">
        <v>0.53897119999999998</v>
      </c>
      <c r="F7117" t="s">
        <v>41</v>
      </c>
      <c r="G7117">
        <v>-183.7784</v>
      </c>
      <c r="H7117" s="1">
        <v>-2.3405860000000001E-6</v>
      </c>
      <c r="I7117">
        <v>101.6614</v>
      </c>
      <c r="J7117">
        <v>-187.82820000000001</v>
      </c>
      <c r="K7117">
        <v>1.10961</v>
      </c>
      <c r="L7117">
        <v>75.550839999999994</v>
      </c>
      <c r="M7117">
        <v>-1.255742E-2</v>
      </c>
      <c r="N7117">
        <v>0</v>
      </c>
      <c r="O7117">
        <v>0.99982059999999995</v>
      </c>
      <c r="P7117">
        <v>5.5514439999999998E-2</v>
      </c>
      <c r="Q7117">
        <v>6.4113169999999997E-2</v>
      </c>
      <c r="R7117">
        <v>0.99639730000000004</v>
      </c>
      <c r="S7117">
        <v>0.45692440000000001</v>
      </c>
      <c r="T7117">
        <v>-0.12533949999999999</v>
      </c>
      <c r="U7117">
        <v>2.993347</v>
      </c>
      <c r="V7117">
        <v>6.8007849999999995E-2</v>
      </c>
      <c r="W7117">
        <v>7.8234109999999996E-2</v>
      </c>
      <c r="X7117">
        <v>0.99461270000000002</v>
      </c>
      <c r="Y7117">
        <v>0.16317279999999901</v>
      </c>
      <c r="Z7117">
        <v>-4.1311870000000001E-2</v>
      </c>
      <c r="AA7117">
        <v>0.98573219999999995</v>
      </c>
      <c r="AB7117">
        <v>42</v>
      </c>
      <c r="AC7117">
        <v>4.0498000000000003</v>
      </c>
      <c r="AD7117">
        <v>-1.1096123405859999</v>
      </c>
      <c r="AE7117">
        <v>26.1105599999999</v>
      </c>
      <c r="AF7117">
        <v>4.3696887207564998</v>
      </c>
      <c r="AG7117">
        <v>-1.1096123405859999</v>
      </c>
      <c r="AH7117">
        <v>26.011767792581502</v>
      </c>
      <c r="AI7117">
        <v>92.408934303604795</v>
      </c>
      <c r="AJ7117">
        <v>80.463981778346394</v>
      </c>
      <c r="AK7117">
        <v>26.3995735336362</v>
      </c>
      <c r="AL7117">
        <v>85.5129306284324</v>
      </c>
      <c r="AM7117">
        <v>86.088419929812204</v>
      </c>
      <c r="AN7117">
        <v>1.0000000333151999</v>
      </c>
    </row>
    <row r="7118" spans="1:40" x14ac:dyDescent="0.25">
      <c r="A7118" t="str">
        <f>"20190312173104634"</f>
        <v>20190312173104634</v>
      </c>
      <c r="B7118" t="str">
        <f>"1552383064624861"</f>
        <v>1552383064624861</v>
      </c>
      <c r="C7118" t="s">
        <v>40</v>
      </c>
      <c r="D7118">
        <v>3.4151880000000001</v>
      </c>
      <c r="E7118">
        <v>0.53919910000000004</v>
      </c>
      <c r="F7118" t="s">
        <v>41</v>
      </c>
      <c r="G7118">
        <v>-183.70599999999999</v>
      </c>
      <c r="H7118" s="1">
        <v>-2.5934130000000002E-6</v>
      </c>
      <c r="I7118">
        <v>102.34780000000001</v>
      </c>
      <c r="J7118">
        <v>-187.83359999999999</v>
      </c>
      <c r="K7118">
        <v>1.1096330000000001</v>
      </c>
      <c r="L7118">
        <v>75.97354</v>
      </c>
      <c r="M7118">
        <v>-1.264321E-2</v>
      </c>
      <c r="N7118">
        <v>0</v>
      </c>
      <c r="O7118">
        <v>0.99981759999999997</v>
      </c>
      <c r="P7118">
        <v>5.5718150000000001E-2</v>
      </c>
      <c r="Q7118">
        <v>6.4474959999999998E-2</v>
      </c>
      <c r="R7118">
        <v>0.99636259999999999</v>
      </c>
      <c r="S7118">
        <v>0.4604492</v>
      </c>
      <c r="T7118">
        <v>-0.12394139999999999</v>
      </c>
      <c r="U7118">
        <v>2.9931640000000002</v>
      </c>
      <c r="V7118">
        <v>6.8296510000000005E-2</v>
      </c>
      <c r="W7118">
        <v>7.8737520000000005E-2</v>
      </c>
      <c r="X7118">
        <v>0.99455309999999997</v>
      </c>
      <c r="Y7118">
        <v>0.16440339999999901</v>
      </c>
      <c r="Z7118">
        <v>-4.084641E-2</v>
      </c>
      <c r="AA7118">
        <v>0.98554710000000001</v>
      </c>
      <c r="AB7118">
        <v>42</v>
      </c>
      <c r="AC7118">
        <v>4.1276000000000002</v>
      </c>
      <c r="AD7118">
        <v>-1.109635593413</v>
      </c>
      <c r="AE7118">
        <v>26.37426</v>
      </c>
      <c r="AF7118">
        <v>4.4530655279300602</v>
      </c>
      <c r="AG7118">
        <v>-1.109635593413</v>
      </c>
      <c r="AH7118">
        <v>26.274563078835602</v>
      </c>
      <c r="AI7118">
        <v>92.384334819501703</v>
      </c>
      <c r="AJ7118">
        <v>80.3808026673087</v>
      </c>
      <c r="AK7118">
        <v>26.672340518408198</v>
      </c>
      <c r="AL7118">
        <v>85.483997686146395</v>
      </c>
      <c r="AM7118">
        <v>86.071634394451806</v>
      </c>
      <c r="AN7118">
        <v>0.99999993952676802</v>
      </c>
    </row>
    <row r="7119" spans="1:40" x14ac:dyDescent="0.25">
      <c r="A7119" t="str">
        <f>"20190312173104657"</f>
        <v>20190312173104657</v>
      </c>
      <c r="B7119" t="str">
        <f>"1552383064644378"</f>
        <v>1552383064644378</v>
      </c>
      <c r="C7119" t="s">
        <v>40</v>
      </c>
      <c r="D7119">
        <v>3.4089719999999999</v>
      </c>
      <c r="E7119">
        <v>0.53941919999999899</v>
      </c>
      <c r="F7119" t="s">
        <v>41</v>
      </c>
      <c r="G7119">
        <v>-183.68790000000001</v>
      </c>
      <c r="H7119" s="1">
        <v>-2.7459069999999998E-6</v>
      </c>
      <c r="I7119">
        <v>102.7818</v>
      </c>
      <c r="J7119">
        <v>-187.8391</v>
      </c>
      <c r="K7119">
        <v>1.109653</v>
      </c>
      <c r="L7119">
        <v>76.400509999999997</v>
      </c>
      <c r="M7119">
        <v>-1.273053E-2</v>
      </c>
      <c r="N7119">
        <v>0</v>
      </c>
      <c r="O7119">
        <v>0.9998146</v>
      </c>
      <c r="P7119">
        <v>5.6128199999999899E-2</v>
      </c>
      <c r="Q7119">
        <v>6.538571E-2</v>
      </c>
      <c r="R7119">
        <v>0.99628030000000001</v>
      </c>
      <c r="S7119">
        <v>0.4628601</v>
      </c>
      <c r="T7119">
        <v>-0.123888</v>
      </c>
      <c r="U7119">
        <v>2.9930729999999999</v>
      </c>
      <c r="V7119">
        <v>6.8792339999999993E-2</v>
      </c>
      <c r="W7119">
        <v>7.9772800000000005E-2</v>
      </c>
      <c r="X7119">
        <v>0.99443649999999995</v>
      </c>
      <c r="Y7119">
        <v>0.16526959999999999</v>
      </c>
      <c r="Z7119">
        <v>-4.0824560000000003E-2</v>
      </c>
      <c r="AA7119">
        <v>0.98540309999999998</v>
      </c>
      <c r="AB7119">
        <v>42</v>
      </c>
      <c r="AC7119">
        <v>4.1511999999999798</v>
      </c>
      <c r="AD7119">
        <v>-1.109655745907</v>
      </c>
      <c r="AE7119">
        <v>26.38129</v>
      </c>
      <c r="AF7119">
        <v>4.4790134473181702</v>
      </c>
      <c r="AG7119">
        <v>-1.109655745907</v>
      </c>
      <c r="AH7119">
        <v>26.280925655011298</v>
      </c>
      <c r="AI7119">
        <v>92.383429323164904</v>
      </c>
      <c r="AJ7119">
        <v>80.328105943201706</v>
      </c>
      <c r="AK7119">
        <v>26.682952434464902</v>
      </c>
      <c r="AL7119">
        <v>85.424493690898601</v>
      </c>
      <c r="AM7119">
        <v>86.042742409427703</v>
      </c>
      <c r="AN7119">
        <v>1.0000000190973799</v>
      </c>
    </row>
    <row r="7120" spans="1:40" x14ac:dyDescent="0.25">
      <c r="A7120" t="str">
        <f>"20190312173104679"</f>
        <v>20190312173104679</v>
      </c>
      <c r="B7120" t="str">
        <f>"1552383064674634"</f>
        <v>1552383064674634</v>
      </c>
      <c r="C7120" t="s">
        <v>40</v>
      </c>
      <c r="D7120">
        <v>3.4661780000000002</v>
      </c>
      <c r="E7120">
        <v>0.53966059999999905</v>
      </c>
      <c r="F7120" t="s">
        <v>41</v>
      </c>
      <c r="G7120">
        <v>-183.5907</v>
      </c>
      <c r="H7120" s="1">
        <v>-3.0752689999999998E-6</v>
      </c>
      <c r="I7120">
        <v>103.67359999999999</v>
      </c>
      <c r="J7120">
        <v>-187.84440000000001</v>
      </c>
      <c r="K7120">
        <v>1.109672</v>
      </c>
      <c r="L7120">
        <v>76.810180000000003</v>
      </c>
      <c r="M7120">
        <v>-1.281412E-2</v>
      </c>
      <c r="N7120">
        <v>0</v>
      </c>
      <c r="O7120">
        <v>0.99981200000000003</v>
      </c>
      <c r="P7120">
        <v>5.7009589999999999E-2</v>
      </c>
      <c r="Q7120">
        <v>6.5579819999999997E-2</v>
      </c>
      <c r="R7120">
        <v>0.99621740000000003</v>
      </c>
      <c r="S7120">
        <v>0.46621699999999999</v>
      </c>
      <c r="T7120">
        <v>-0.1217724</v>
      </c>
      <c r="U7120">
        <v>2.9929199999999998</v>
      </c>
      <c r="V7120">
        <v>6.975605E-2</v>
      </c>
      <c r="W7120">
        <v>8.007177E-2</v>
      </c>
      <c r="X7120">
        <v>0.99434529999999999</v>
      </c>
      <c r="Y7120">
        <v>0.16644320000000001</v>
      </c>
      <c r="Z7120">
        <v>-4.012309E-2</v>
      </c>
      <c r="AA7120">
        <v>0.98523439999999995</v>
      </c>
      <c r="AB7120">
        <v>42</v>
      </c>
      <c r="AC7120">
        <v>4.2537000000000003</v>
      </c>
      <c r="AD7120">
        <v>-1.1096750752690001</v>
      </c>
      <c r="AE7120">
        <v>26.863419999999898</v>
      </c>
      <c r="AF7120">
        <v>4.5899776686430096</v>
      </c>
      <c r="AG7120">
        <v>-1.1096750752690001</v>
      </c>
      <c r="AH7120">
        <v>26.762152023744001</v>
      </c>
      <c r="AI7120">
        <v>92.340240182935801</v>
      </c>
      <c r="AJ7120">
        <v>80.267887163408403</v>
      </c>
      <c r="AK7120">
        <v>27.175578277440501</v>
      </c>
      <c r="AL7120">
        <v>85.407308844016697</v>
      </c>
      <c r="AM7120">
        <v>85.987118312454797</v>
      </c>
      <c r="AN7120">
        <v>0.99999998524731204</v>
      </c>
    </row>
    <row r="7121" spans="1:40" x14ac:dyDescent="0.25">
      <c r="A7121" t="str">
        <f>"20190312173104701"</f>
        <v>20190312173104701</v>
      </c>
      <c r="B7121" t="str">
        <f>"1552383064695131"</f>
        <v>1552383064695131</v>
      </c>
      <c r="C7121" t="s">
        <v>40</v>
      </c>
      <c r="D7121">
        <v>3.4409999999999998</v>
      </c>
      <c r="E7121">
        <v>0.53980850000000002</v>
      </c>
      <c r="F7121" t="s">
        <v>41</v>
      </c>
      <c r="G7121">
        <v>-183.62469999999999</v>
      </c>
      <c r="H7121" s="1">
        <v>-3.0549300000000002E-6</v>
      </c>
      <c r="I7121">
        <v>103.6405</v>
      </c>
      <c r="J7121">
        <v>-187.84989999999999</v>
      </c>
      <c r="K7121">
        <v>1.109693</v>
      </c>
      <c r="L7121">
        <v>77.235839999999996</v>
      </c>
      <c r="M7121">
        <v>-1.290091E-2</v>
      </c>
      <c r="N7121">
        <v>0</v>
      </c>
      <c r="O7121">
        <v>0.99980950000000002</v>
      </c>
      <c r="P7121">
        <v>5.837635E-2</v>
      </c>
      <c r="Q7121">
        <v>6.5297629999999995E-2</v>
      </c>
      <c r="R7121">
        <v>0.99615679999999995</v>
      </c>
      <c r="S7121">
        <v>0.4706573</v>
      </c>
      <c r="T7121">
        <v>-0.123771699999999</v>
      </c>
      <c r="U7121">
        <v>2.9926149999999998</v>
      </c>
      <c r="V7121">
        <v>7.1208419999999994E-2</v>
      </c>
      <c r="W7121">
        <v>7.9883549999999998E-2</v>
      </c>
      <c r="X7121">
        <v>0.99425750000000002</v>
      </c>
      <c r="Y7121">
        <v>0.1679667</v>
      </c>
      <c r="Z7121">
        <v>-4.0774810000000002E-2</v>
      </c>
      <c r="AA7121">
        <v>0.98494910000000002</v>
      </c>
      <c r="AB7121">
        <v>42</v>
      </c>
      <c r="AC7121">
        <v>4.2252000000000001</v>
      </c>
      <c r="AD7121">
        <v>-1.1096960549299999</v>
      </c>
      <c r="AE7121">
        <v>26.40466</v>
      </c>
      <c r="AF7121">
        <v>4.5576800606235501</v>
      </c>
      <c r="AG7121">
        <v>-1.1096960549299999</v>
      </c>
      <c r="AH7121">
        <v>26.3026507030755</v>
      </c>
      <c r="AI7121">
        <v>92.380417945299499</v>
      </c>
      <c r="AJ7121">
        <v>80.169494179252297</v>
      </c>
      <c r="AK7121">
        <v>26.717659083035901</v>
      </c>
      <c r="AL7121">
        <v>85.418127773094795</v>
      </c>
      <c r="AM7121">
        <v>85.903488317813995</v>
      </c>
      <c r="AN7121">
        <v>0.99999999847287402</v>
      </c>
    </row>
    <row r="7122" spans="1:40" x14ac:dyDescent="0.25">
      <c r="A7122" t="str">
        <f>"20190312173104725"</f>
        <v>20190312173104725</v>
      </c>
      <c r="B7122" t="str">
        <f>"1552383064714650"</f>
        <v>1552383064714650</v>
      </c>
      <c r="C7122" t="s">
        <v>40</v>
      </c>
      <c r="D7122">
        <v>3.4438439999999999</v>
      </c>
      <c r="E7122">
        <v>0.53989030000000005</v>
      </c>
      <c r="F7122" t="s">
        <v>41</v>
      </c>
      <c r="G7122">
        <v>-183.66499999999999</v>
      </c>
      <c r="H7122" s="1">
        <v>-3.0072709999999998E-6</v>
      </c>
      <c r="I7122">
        <v>103.53189999999999</v>
      </c>
      <c r="J7122">
        <v>-187.8554</v>
      </c>
      <c r="K7122">
        <v>1.1097129999999999</v>
      </c>
      <c r="L7122">
        <v>77.654569999999893</v>
      </c>
      <c r="M7122">
        <v>-1.298565E-2</v>
      </c>
      <c r="N7122">
        <v>0</v>
      </c>
      <c r="O7122">
        <v>0.99980720000000001</v>
      </c>
      <c r="P7122">
        <v>5.9544699999999999E-2</v>
      </c>
      <c r="Q7122">
        <v>6.5339549999999996E-2</v>
      </c>
      <c r="R7122">
        <v>0.99608490000000005</v>
      </c>
      <c r="S7122">
        <v>0.47615049999999998</v>
      </c>
      <c r="T7122">
        <v>-0.12625999999999901</v>
      </c>
      <c r="U7122">
        <v>2.991943</v>
      </c>
      <c r="V7122">
        <v>7.2460090000000005E-2</v>
      </c>
      <c r="W7122">
        <v>8.0004770000000003E-2</v>
      </c>
      <c r="X7122">
        <v>0.99415730000000002</v>
      </c>
      <c r="Y7122">
        <v>0.16984270000000001</v>
      </c>
      <c r="Z7122">
        <v>-4.1589630000000002E-2</v>
      </c>
      <c r="AA7122">
        <v>0.98459319999999895</v>
      </c>
      <c r="AB7122">
        <v>42</v>
      </c>
      <c r="AC7122">
        <v>4.1904000000000101</v>
      </c>
      <c r="AD7122">
        <v>-1.1097160072709999</v>
      </c>
      <c r="AE7122">
        <v>25.877330000000001</v>
      </c>
      <c r="AF7122">
        <v>4.5180206145338397</v>
      </c>
      <c r="AG7122">
        <v>-1.1097160072709999</v>
      </c>
      <c r="AH7122">
        <v>25.7745381192351</v>
      </c>
      <c r="AI7122">
        <v>92.428352325455293</v>
      </c>
      <c r="AJ7122">
        <v>80.057629307389803</v>
      </c>
      <c r="AK7122">
        <v>26.191044178307401</v>
      </c>
      <c r="AL7122">
        <v>85.4111600040535</v>
      </c>
      <c r="AM7122">
        <v>85.831314637464402</v>
      </c>
      <c r="AN7122">
        <v>0.99999998250442501</v>
      </c>
    </row>
    <row r="7123" spans="1:40" x14ac:dyDescent="0.25">
      <c r="A7123" t="str">
        <f>"20190312173104745"</f>
        <v>20190312173104745</v>
      </c>
      <c r="B7123" t="str">
        <f>"1552383064735146"</f>
        <v>1552383064735146</v>
      </c>
      <c r="C7123" t="s">
        <v>40</v>
      </c>
      <c r="D7123">
        <v>3.4603959999999998</v>
      </c>
      <c r="E7123">
        <v>0.54002410000000001</v>
      </c>
      <c r="F7123" t="s">
        <v>41</v>
      </c>
      <c r="G7123">
        <v>-183.67310000000001</v>
      </c>
      <c r="H7123" s="1">
        <v>-3.065903E-6</v>
      </c>
      <c r="I7123">
        <v>103.7105</v>
      </c>
      <c r="J7123">
        <v>-187.86070000000001</v>
      </c>
      <c r="K7123">
        <v>1.109726</v>
      </c>
      <c r="L7123">
        <v>78.055759999999907</v>
      </c>
      <c r="M7123">
        <v>-1.306715E-2</v>
      </c>
      <c r="N7123">
        <v>0</v>
      </c>
      <c r="O7123">
        <v>0.99980519999999995</v>
      </c>
      <c r="P7123">
        <v>6.1195920000000001E-2</v>
      </c>
      <c r="Q7123">
        <v>6.6290680000000005E-2</v>
      </c>
      <c r="R7123">
        <v>0.99592199999999997</v>
      </c>
      <c r="S7123">
        <v>0.48016360000000002</v>
      </c>
      <c r="T7123">
        <v>-0.12740409999999999</v>
      </c>
      <c r="U7123">
        <v>2.991425</v>
      </c>
      <c r="V7123">
        <v>7.4190019999999995E-2</v>
      </c>
      <c r="W7123">
        <v>8.1019980000000005E-2</v>
      </c>
      <c r="X7123">
        <v>0.99394749999999998</v>
      </c>
      <c r="Y7123">
        <v>0.1712349</v>
      </c>
      <c r="Z7123">
        <v>-4.196341E-2</v>
      </c>
      <c r="AA7123">
        <v>0.98433610000000005</v>
      </c>
      <c r="AB7123">
        <v>42</v>
      </c>
      <c r="AC7123">
        <v>4.1875999999999998</v>
      </c>
      <c r="AD7123">
        <v>-1.1097290659029999</v>
      </c>
      <c r="AE7123">
        <v>25.65474</v>
      </c>
      <c r="AF7123">
        <v>4.5142859058799898</v>
      </c>
      <c r="AG7123">
        <v>-1.1097290659029999</v>
      </c>
      <c r="AH7123">
        <v>25.551254780497899</v>
      </c>
      <c r="AI7123">
        <v>92.448997281698297</v>
      </c>
      <c r="AJ7123">
        <v>79.980623310093094</v>
      </c>
      <c r="AK7123">
        <v>25.970693034604501</v>
      </c>
      <c r="AL7123">
        <v>85.352803452468194</v>
      </c>
      <c r="AM7123">
        <v>85.731256367899206</v>
      </c>
      <c r="AN7123">
        <v>1.00000001449152</v>
      </c>
    </row>
    <row r="7124" spans="1:40" x14ac:dyDescent="0.25">
      <c r="A7124" t="str">
        <f>"20190312173104768"</f>
        <v>20190312173104768</v>
      </c>
      <c r="B7124" t="str">
        <f>"1552383064764426"</f>
        <v>1552383064764426</v>
      </c>
      <c r="C7124" t="s">
        <v>40</v>
      </c>
      <c r="D7124">
        <v>3.4544700000000002</v>
      </c>
      <c r="E7124">
        <v>0.54016409999999904</v>
      </c>
      <c r="F7124" t="s">
        <v>41</v>
      </c>
      <c r="G7124">
        <v>-183.55520000000001</v>
      </c>
      <c r="H7124" s="1">
        <v>-3.3721770000000001E-6</v>
      </c>
      <c r="I7124">
        <v>104.5184</v>
      </c>
      <c r="J7124">
        <v>-187.86619999999999</v>
      </c>
      <c r="K7124">
        <v>1.1097300000000001</v>
      </c>
      <c r="L7124">
        <v>78.475369999999998</v>
      </c>
      <c r="M7124">
        <v>-1.3152179999999999E-2</v>
      </c>
      <c r="N7124">
        <v>0</v>
      </c>
      <c r="O7124">
        <v>0.9998032</v>
      </c>
      <c r="P7124">
        <v>6.2232620000000002E-2</v>
      </c>
      <c r="Q7124">
        <v>6.6370579999999998E-2</v>
      </c>
      <c r="R7124">
        <v>0.99585239999999997</v>
      </c>
      <c r="S7124">
        <v>0.48658750000000001</v>
      </c>
      <c r="T7124">
        <v>-0.12541820000000001</v>
      </c>
      <c r="U7124">
        <v>2.990723</v>
      </c>
      <c r="V7124">
        <v>7.5310329999999995E-2</v>
      </c>
      <c r="W7124">
        <v>8.1157800000000002E-2</v>
      </c>
      <c r="X7124">
        <v>0.99385199999999996</v>
      </c>
      <c r="Y7124">
        <v>0.1734193</v>
      </c>
      <c r="Z7124">
        <v>-4.1304960000000002E-2</v>
      </c>
      <c r="AA7124">
        <v>0.98398149999999995</v>
      </c>
      <c r="AB7124">
        <v>42</v>
      </c>
      <c r="AC7124">
        <v>4.3109999999999697</v>
      </c>
      <c r="AD7124">
        <v>-1.109733372177</v>
      </c>
      <c r="AE7124">
        <v>26.043029999999899</v>
      </c>
      <c r="AF7124">
        <v>4.6449783025837803</v>
      </c>
      <c r="AG7124">
        <v>-1.109733372177</v>
      </c>
      <c r="AH7124">
        <v>25.938230604137601</v>
      </c>
      <c r="AI7124">
        <v>92.4115151366357</v>
      </c>
      <c r="AJ7124">
        <v>79.847177983460199</v>
      </c>
      <c r="AK7124">
        <v>26.3742135136239</v>
      </c>
      <c r="AL7124">
        <v>85.344880865666497</v>
      </c>
      <c r="AM7124">
        <v>85.666624898031102</v>
      </c>
      <c r="AN7124">
        <v>1.00000001610477</v>
      </c>
    </row>
    <row r="7125" spans="1:40" x14ac:dyDescent="0.25">
      <c r="A7125" t="str">
        <f>"20190312173104789"</f>
        <v>20190312173104789</v>
      </c>
      <c r="B7125" t="str">
        <f>"1552383064784922"</f>
        <v>1552383064784922</v>
      </c>
      <c r="C7125" t="s">
        <v>40</v>
      </c>
      <c r="D7125">
        <v>3.433554</v>
      </c>
      <c r="E7125">
        <v>0.54023500000000002</v>
      </c>
      <c r="F7125" t="s">
        <v>41</v>
      </c>
      <c r="G7125">
        <v>-183.59540000000001</v>
      </c>
      <c r="H7125" s="1">
        <v>-3.3584150000000001E-6</v>
      </c>
      <c r="I7125">
        <v>104.5094</v>
      </c>
      <c r="J7125">
        <v>-187.8715</v>
      </c>
      <c r="K7125">
        <v>1.1097429999999999</v>
      </c>
      <c r="L7125">
        <v>78.870850000000004</v>
      </c>
      <c r="M7125">
        <v>-1.323268E-2</v>
      </c>
      <c r="N7125">
        <v>0</v>
      </c>
      <c r="O7125">
        <v>0.9998013</v>
      </c>
      <c r="P7125">
        <v>6.3338030000000003E-2</v>
      </c>
      <c r="Q7125">
        <v>6.6376539999999998E-2</v>
      </c>
      <c r="R7125">
        <v>0.99578230000000001</v>
      </c>
      <c r="S7125">
        <v>0.49055480000000001</v>
      </c>
      <c r="T7125">
        <v>-0.12746669999999999</v>
      </c>
      <c r="U7125">
        <v>2.990326</v>
      </c>
      <c r="V7125">
        <v>7.6494870000000006E-2</v>
      </c>
      <c r="W7125">
        <v>8.1211510000000001E-2</v>
      </c>
      <c r="X7125">
        <v>0.99375709999999995</v>
      </c>
      <c r="Y7125">
        <v>0.1747861</v>
      </c>
      <c r="Z7125">
        <v>-4.1974259999999999E-2</v>
      </c>
      <c r="AA7125">
        <v>0.98371129999999996</v>
      </c>
      <c r="AB7125">
        <v>42</v>
      </c>
      <c r="AC7125">
        <v>4.27609999999998</v>
      </c>
      <c r="AD7125">
        <v>-1.109746358415</v>
      </c>
      <c r="AE7125">
        <v>25.638549999999899</v>
      </c>
      <c r="AF7125">
        <v>4.6066328740990201</v>
      </c>
      <c r="AG7125">
        <v>-1.109746358415</v>
      </c>
      <c r="AH7125">
        <v>25.533171663760601</v>
      </c>
      <c r="AI7125">
        <v>92.449183421732698</v>
      </c>
      <c r="AJ7125">
        <v>79.7728536190494</v>
      </c>
      <c r="AK7125">
        <v>25.969125103241598</v>
      </c>
      <c r="AL7125">
        <v>85.3417931217611</v>
      </c>
      <c r="AM7125">
        <v>85.598313269567797</v>
      </c>
      <c r="AN7125">
        <v>0.99999997414660302</v>
      </c>
    </row>
    <row r="7126" spans="1:40" x14ac:dyDescent="0.25">
      <c r="A7126" t="str">
        <f>"20190312173104812"</f>
        <v>20190312173104812</v>
      </c>
      <c r="B7126" t="str">
        <f>"1552383064804442"</f>
        <v>1552383064804442</v>
      </c>
      <c r="C7126" t="s">
        <v>40</v>
      </c>
      <c r="D7126">
        <v>3.4231029999999998</v>
      </c>
      <c r="E7126">
        <v>0.54029479999999996</v>
      </c>
      <c r="F7126" t="s">
        <v>41</v>
      </c>
      <c r="G7126">
        <v>-183.62299999999999</v>
      </c>
      <c r="H7126" s="1">
        <v>-3.369406E-6</v>
      </c>
      <c r="I7126">
        <v>104.56319999999999</v>
      </c>
      <c r="J7126">
        <v>-187.87700000000001</v>
      </c>
      <c r="K7126">
        <v>1.1097629999999901</v>
      </c>
      <c r="L7126">
        <v>79.28058</v>
      </c>
      <c r="M7126">
        <v>-1.331601E-2</v>
      </c>
      <c r="N7126">
        <v>0</v>
      </c>
      <c r="O7126">
        <v>0.99979960000000001</v>
      </c>
      <c r="P7126">
        <v>6.4463690000000004E-2</v>
      </c>
      <c r="Q7126">
        <v>6.6605280000000003E-2</v>
      </c>
      <c r="R7126">
        <v>0.99569479999999999</v>
      </c>
      <c r="S7126">
        <v>0.49440000000000001</v>
      </c>
      <c r="T7126">
        <v>-0.12914310000000001</v>
      </c>
      <c r="U7126">
        <v>2.989868</v>
      </c>
      <c r="V7126">
        <v>7.7702190000000004E-2</v>
      </c>
      <c r="W7126">
        <v>8.1481929999999994E-2</v>
      </c>
      <c r="X7126">
        <v>0.99364129999999995</v>
      </c>
      <c r="Y7126">
        <v>0.17612</v>
      </c>
      <c r="Z7126">
        <v>-4.2522129999999998E-2</v>
      </c>
      <c r="AA7126">
        <v>0.98344989999999999</v>
      </c>
      <c r="AB7126">
        <v>42</v>
      </c>
      <c r="AC7126">
        <v>4.2540000000000102</v>
      </c>
      <c r="AD7126">
        <v>-1.10976636940599</v>
      </c>
      <c r="AE7126">
        <v>25.282619999999898</v>
      </c>
      <c r="AF7126">
        <v>4.5817392901952898</v>
      </c>
      <c r="AG7126">
        <v>-1.10976636940599</v>
      </c>
      <c r="AH7126">
        <v>25.176552541060001</v>
      </c>
      <c r="AI7126">
        <v>92.483195213017893</v>
      </c>
      <c r="AJ7126">
        <v>79.685936097091798</v>
      </c>
      <c r="AK7126">
        <v>25.614111621735798</v>
      </c>
      <c r="AL7126">
        <v>85.326247723780099</v>
      </c>
      <c r="AM7126">
        <v>85.528601924057796</v>
      </c>
      <c r="AN7126">
        <v>0.99999998415650504</v>
      </c>
    </row>
    <row r="7127" spans="1:40" x14ac:dyDescent="0.25">
      <c r="A7127" t="str">
        <f>"20190312173104835"</f>
        <v>20190312173104835</v>
      </c>
      <c r="B7127" t="str">
        <f>"1552383064824941"</f>
        <v>1552383064824941</v>
      </c>
      <c r="C7127" t="s">
        <v>40</v>
      </c>
      <c r="D7127">
        <v>3.4287920000000001</v>
      </c>
      <c r="E7127">
        <v>0.54035900000000003</v>
      </c>
      <c r="F7127" t="s">
        <v>41</v>
      </c>
      <c r="G7127">
        <v>-183.6292</v>
      </c>
      <c r="H7127" s="1">
        <v>-3.4414249999999998E-6</v>
      </c>
      <c r="I7127">
        <v>104.77970000000001</v>
      </c>
      <c r="J7127">
        <v>-187.88290000000001</v>
      </c>
      <c r="K7127">
        <v>1.109777</v>
      </c>
      <c r="L7127">
        <v>79.716519999999903</v>
      </c>
      <c r="M7127">
        <v>-1.340475E-2</v>
      </c>
      <c r="N7127">
        <v>0</v>
      </c>
      <c r="O7127">
        <v>0.99979779999999996</v>
      </c>
      <c r="P7127">
        <v>6.5725829999999999E-2</v>
      </c>
      <c r="Q7127">
        <v>6.6695669999999999E-2</v>
      </c>
      <c r="R7127">
        <v>0.9956062</v>
      </c>
      <c r="S7127">
        <v>0.49800109999999997</v>
      </c>
      <c r="T7127">
        <v>-0.1301059</v>
      </c>
      <c r="U7127">
        <v>2.9894409999999998</v>
      </c>
      <c r="V7127">
        <v>7.9051319999999994E-2</v>
      </c>
      <c r="W7127">
        <v>8.1609299999999996E-2</v>
      </c>
      <c r="X7127">
        <v>0.99352439999999997</v>
      </c>
      <c r="Y7127">
        <v>0.1773805</v>
      </c>
      <c r="Z7127">
        <v>-4.2835409999999997E-2</v>
      </c>
      <c r="AA7127">
        <v>0.98320969999999996</v>
      </c>
      <c r="AB7127">
        <v>41</v>
      </c>
      <c r="AC7127">
        <v>4.2537000000000003</v>
      </c>
      <c r="AD7127">
        <v>-1.1097804414249901</v>
      </c>
      <c r="AE7127">
        <v>25.063179999999999</v>
      </c>
      <c r="AF7127">
        <v>4.5805916161671902</v>
      </c>
      <c r="AG7127">
        <v>-1.1097804414249901</v>
      </c>
      <c r="AH7127">
        <v>24.956340561618301</v>
      </c>
      <c r="AI7127">
        <v>92.504420487584397</v>
      </c>
      <c r="AJ7127">
        <v>79.599453611117298</v>
      </c>
      <c r="AK7127">
        <v>25.397487403476401</v>
      </c>
      <c r="AL7127">
        <v>85.318925466996603</v>
      </c>
      <c r="AM7127">
        <v>85.450755873144203</v>
      </c>
      <c r="AN7127">
        <v>0.999999961217795</v>
      </c>
    </row>
    <row r="7128" spans="1:40" x14ac:dyDescent="0.25">
      <c r="A7128" t="str">
        <f>"20190312173104857"</f>
        <v>20190312173104857</v>
      </c>
      <c r="B7128" t="str">
        <f>"1552383064844458"</f>
        <v>1552383064844458</v>
      </c>
      <c r="C7128" t="s">
        <v>40</v>
      </c>
      <c r="D7128">
        <v>3.4250409999999998</v>
      </c>
      <c r="E7128">
        <v>0.54259999999999997</v>
      </c>
      <c r="F7128" t="s">
        <v>41</v>
      </c>
      <c r="G7128">
        <v>-183.64420000000001</v>
      </c>
      <c r="H7128" s="1">
        <v>-3.4905479999999999E-6</v>
      </c>
      <c r="I7128">
        <v>104.9358</v>
      </c>
      <c r="J7128">
        <v>-187.88820000000001</v>
      </c>
      <c r="K7128">
        <v>1.109793</v>
      </c>
      <c r="L7128">
        <v>80.111940000000004</v>
      </c>
      <c r="M7128">
        <v>-1.3485260000000001E-2</v>
      </c>
      <c r="N7128">
        <v>0</v>
      </c>
      <c r="O7128">
        <v>0.99979629999999997</v>
      </c>
      <c r="P7128">
        <v>6.7445279999999996E-2</v>
      </c>
      <c r="Q7128">
        <v>6.7238549999999994E-2</v>
      </c>
      <c r="R7128">
        <v>0.99545470000000003</v>
      </c>
      <c r="S7128">
        <v>0.50234990000000002</v>
      </c>
      <c r="T7128">
        <v>-0.13152710000000001</v>
      </c>
      <c r="U7128">
        <v>2.9888919999999999</v>
      </c>
      <c r="V7128">
        <v>8.0848500000000004E-2</v>
      </c>
      <c r="W7128">
        <v>8.2179100000000005E-2</v>
      </c>
      <c r="X7128">
        <v>0.99333280000000002</v>
      </c>
      <c r="Y7128">
        <v>0.17887719999999999</v>
      </c>
      <c r="Z7128">
        <v>-4.329914E-2</v>
      </c>
      <c r="AA7128">
        <v>0.98291819999999996</v>
      </c>
      <c r="AB7128">
        <v>41</v>
      </c>
      <c r="AC7128">
        <v>4.2439999999999998</v>
      </c>
      <c r="AD7128">
        <v>-1.109796490548</v>
      </c>
      <c r="AE7128">
        <v>24.82386</v>
      </c>
      <c r="AF7128">
        <v>4.5695341951395099</v>
      </c>
      <c r="AG7128">
        <v>-1.109796490548</v>
      </c>
      <c r="AH7128">
        <v>24.716366619514599</v>
      </c>
      <c r="AI7128">
        <v>92.528140826192697</v>
      </c>
      <c r="AJ7128">
        <v>79.525491978005604</v>
      </c>
      <c r="AK7128">
        <v>25.159711243995599</v>
      </c>
      <c r="AL7128">
        <v>85.286168331722493</v>
      </c>
      <c r="AM7128">
        <v>85.346887343476993</v>
      </c>
      <c r="AN7128">
        <v>0.99999996799244895</v>
      </c>
    </row>
    <row r="7129" spans="1:40" x14ac:dyDescent="0.25">
      <c r="A7129" t="str">
        <f>"20190312173104879"</f>
        <v>20190312173104879</v>
      </c>
      <c r="B7129" t="str">
        <f>"1552383064874714"</f>
        <v>1552383064874714</v>
      </c>
      <c r="C7129" t="s">
        <v>40</v>
      </c>
      <c r="D7129">
        <v>3.4281969999999999</v>
      </c>
      <c r="E7129">
        <v>0.54261169999999903</v>
      </c>
      <c r="F7129" t="s">
        <v>41</v>
      </c>
      <c r="G7129">
        <v>-184.47550000000001</v>
      </c>
      <c r="H7129" s="1">
        <v>-1.4606080000000001E-6</v>
      </c>
      <c r="I7129">
        <v>99.620699999999999</v>
      </c>
      <c r="J7129">
        <v>-187.8939</v>
      </c>
      <c r="K7129">
        <v>1.1098059999999901</v>
      </c>
      <c r="L7129">
        <v>80.530909999999906</v>
      </c>
      <c r="M7129">
        <v>-1.357032E-2</v>
      </c>
      <c r="N7129">
        <v>0</v>
      </c>
      <c r="O7129">
        <v>0.99979479999999998</v>
      </c>
      <c r="P7129">
        <v>6.9125530000000004E-2</v>
      </c>
      <c r="Q7129">
        <v>6.7554799999999998E-2</v>
      </c>
      <c r="R7129">
        <v>0.99531809999999998</v>
      </c>
      <c r="S7129">
        <v>0.52299499999999999</v>
      </c>
      <c r="T7129">
        <v>-0.1700777</v>
      </c>
      <c r="U7129">
        <v>2.9897459999999998</v>
      </c>
      <c r="V7129">
        <v>8.2611219999999999E-2</v>
      </c>
      <c r="W7129">
        <v>8.251936E-2</v>
      </c>
      <c r="X7129">
        <v>0.99315960000000003</v>
      </c>
      <c r="Y7129">
        <v>0.1853967</v>
      </c>
      <c r="Z7129">
        <v>-5.5872129999999999E-2</v>
      </c>
      <c r="AA7129">
        <v>0.98107409999999995</v>
      </c>
      <c r="AB7129">
        <v>41</v>
      </c>
      <c r="AC7129">
        <v>3.4183999999999899</v>
      </c>
      <c r="AD7129">
        <v>-1.109807460608</v>
      </c>
      <c r="AE7129">
        <v>19.089790000000001</v>
      </c>
      <c r="AF7129">
        <v>3.6651663147728302</v>
      </c>
      <c r="AG7129">
        <v>-1.109807460608</v>
      </c>
      <c r="AH7129">
        <v>18.979483642487001</v>
      </c>
      <c r="AI7129">
        <v>93.2859337758034</v>
      </c>
      <c r="AJ7129">
        <v>79.070038850185696</v>
      </c>
      <c r="AK7129">
        <v>19.361970872047099</v>
      </c>
      <c r="AL7129">
        <v>85.266606697030596</v>
      </c>
      <c r="AM7129">
        <v>85.245071469123204</v>
      </c>
      <c r="AN7129">
        <v>1.00000002475842</v>
      </c>
    </row>
    <row r="7130" spans="1:40" x14ac:dyDescent="0.25">
      <c r="A7130" t="str">
        <f>"20190312173104902"</f>
        <v>20190312173104902</v>
      </c>
      <c r="B7130" t="str">
        <f>"1552383064894234"</f>
        <v>1552383064894234</v>
      </c>
      <c r="C7130" t="s">
        <v>40</v>
      </c>
      <c r="D7130">
        <v>3.4898220000000002</v>
      </c>
      <c r="E7130">
        <v>0.54266819999999905</v>
      </c>
      <c r="F7130" t="s">
        <v>41</v>
      </c>
      <c r="G7130">
        <v>-184.2236</v>
      </c>
      <c r="H7130" s="1">
        <v>-2.0941410000000001E-6</v>
      </c>
      <c r="I7130">
        <v>101.2854</v>
      </c>
      <c r="J7130">
        <v>-187.89949999999999</v>
      </c>
      <c r="K7130">
        <v>1.1098129999999999</v>
      </c>
      <c r="L7130">
        <v>80.938140000000004</v>
      </c>
      <c r="M7130">
        <v>-1.3653220000000001E-2</v>
      </c>
      <c r="N7130">
        <v>0</v>
      </c>
      <c r="O7130">
        <v>0.9997933</v>
      </c>
      <c r="P7130">
        <v>7.084493E-2</v>
      </c>
      <c r="Q7130">
        <v>6.7613030000000005E-2</v>
      </c>
      <c r="R7130">
        <v>0.9951932</v>
      </c>
      <c r="S7130">
        <v>0.52845759999999997</v>
      </c>
      <c r="T7130">
        <v>-0.1597914</v>
      </c>
      <c r="U7130">
        <v>2.988251</v>
      </c>
      <c r="V7130">
        <v>8.441121E-2</v>
      </c>
      <c r="W7130">
        <v>8.2597299999999998E-2</v>
      </c>
      <c r="X7130">
        <v>0.99300169999999999</v>
      </c>
      <c r="Y7130">
        <v>0.18733250000000001</v>
      </c>
      <c r="Z7130">
        <v>-5.2510510000000003E-2</v>
      </c>
      <c r="AA7130">
        <v>0.98089210000000004</v>
      </c>
      <c r="AB7130">
        <v>41</v>
      </c>
      <c r="AC7130">
        <v>3.67589999999998</v>
      </c>
      <c r="AD7130">
        <v>-1.1098150941410001</v>
      </c>
      <c r="AE7130">
        <v>20.347259999999899</v>
      </c>
      <c r="AF7130">
        <v>3.9420374743911402</v>
      </c>
      <c r="AG7130">
        <v>-1.1098150941410001</v>
      </c>
      <c r="AH7130">
        <v>20.236867259693099</v>
      </c>
      <c r="AI7130">
        <v>93.081228118986701</v>
      </c>
      <c r="AJ7130">
        <v>78.977115211233993</v>
      </c>
      <c r="AK7130">
        <v>20.647085641298698</v>
      </c>
      <c r="AL7130">
        <v>85.262125513249003</v>
      </c>
      <c r="AM7130">
        <v>85.141189614795906</v>
      </c>
      <c r="AN7130">
        <v>0.99999997127192097</v>
      </c>
    </row>
    <row r="7131" spans="1:40" x14ac:dyDescent="0.25">
      <c r="A7131" t="str">
        <f>"20190312173104926"</f>
        <v>20190312173104926</v>
      </c>
      <c r="B7131" t="str">
        <f>"1552383064914399"</f>
        <v>1552383064914399</v>
      </c>
      <c r="C7131" t="s">
        <v>40</v>
      </c>
      <c r="D7131">
        <v>3.44557</v>
      </c>
      <c r="E7131">
        <v>0.54256000000000004</v>
      </c>
      <c r="F7131" t="s">
        <v>41</v>
      </c>
      <c r="G7131">
        <v>-184.1414</v>
      </c>
      <c r="H7131" s="1">
        <v>-2.3501869999999998E-6</v>
      </c>
      <c r="I7131">
        <v>101.9735</v>
      </c>
      <c r="J7131">
        <v>-187.90559999999999</v>
      </c>
      <c r="K7131">
        <v>1.109815</v>
      </c>
      <c r="L7131">
        <v>81.380769999999998</v>
      </c>
      <c r="M7131">
        <v>-1.374307E-2</v>
      </c>
      <c r="N7131">
        <v>0</v>
      </c>
      <c r="O7131">
        <v>0.99979180000000001</v>
      </c>
      <c r="P7131">
        <v>7.2953400000000002E-2</v>
      </c>
      <c r="Q7131">
        <v>6.7377510000000002E-2</v>
      </c>
      <c r="R7131">
        <v>0.99505679999999996</v>
      </c>
      <c r="S7131">
        <v>0.53369140000000004</v>
      </c>
      <c r="T7131">
        <v>-0.15760399999999999</v>
      </c>
      <c r="U7131">
        <v>2.9872130000000001</v>
      </c>
      <c r="V7131">
        <v>8.6606970000000005E-2</v>
      </c>
      <c r="W7131">
        <v>8.2379179999999996E-2</v>
      </c>
      <c r="X7131">
        <v>0.99283080000000001</v>
      </c>
      <c r="Y7131">
        <v>0.1891514</v>
      </c>
      <c r="Z7131">
        <v>-5.1794279999999998E-2</v>
      </c>
      <c r="AA7131">
        <v>0.98058100000000004</v>
      </c>
      <c r="AB7131">
        <v>41</v>
      </c>
      <c r="AC7131">
        <v>3.7641999999999798</v>
      </c>
      <c r="AD7131">
        <v>-1.1098173501869999</v>
      </c>
      <c r="AE7131">
        <v>20.59273</v>
      </c>
      <c r="AF7131">
        <v>4.0355416025443498</v>
      </c>
      <c r="AG7131">
        <v>-1.1098173501869999</v>
      </c>
      <c r="AH7131">
        <v>20.4814816855549</v>
      </c>
      <c r="AI7131">
        <v>93.043220896388306</v>
      </c>
      <c r="AJ7131">
        <v>78.853581428253605</v>
      </c>
      <c r="AK7131">
        <v>20.904745456770399</v>
      </c>
      <c r="AL7131">
        <v>85.274665963823495</v>
      </c>
      <c r="AM7131">
        <v>85.014574100018905</v>
      </c>
      <c r="AN7131">
        <v>1.00000004698934</v>
      </c>
    </row>
    <row r="7132" spans="1:40" x14ac:dyDescent="0.25">
      <c r="A7132" t="str">
        <f>"20190312173104947"</f>
        <v>20190312173104947</v>
      </c>
      <c r="B7132" t="str">
        <f>"1552383064934895"</f>
        <v>1552383064934895</v>
      </c>
      <c r="C7132" t="s">
        <v>40</v>
      </c>
      <c r="D7132">
        <v>3.4473720000000001</v>
      </c>
      <c r="E7132">
        <v>0.54246989999999995</v>
      </c>
      <c r="F7132" t="s">
        <v>41</v>
      </c>
      <c r="G7132">
        <v>-184.11969999999999</v>
      </c>
      <c r="H7132" s="1">
        <v>-2.4917129999999999E-6</v>
      </c>
      <c r="I7132">
        <v>102.3724</v>
      </c>
      <c r="J7132">
        <v>-187.9111</v>
      </c>
      <c r="K7132">
        <v>1.1098190000000001</v>
      </c>
      <c r="L7132">
        <v>81.773709999999994</v>
      </c>
      <c r="M7132">
        <v>-1.382333E-2</v>
      </c>
      <c r="N7132">
        <v>0</v>
      </c>
      <c r="O7132">
        <v>0.99979050000000003</v>
      </c>
      <c r="P7132">
        <v>7.5269390000000005E-2</v>
      </c>
      <c r="Q7132">
        <v>6.7820019999999995E-2</v>
      </c>
      <c r="R7132">
        <v>0.99485429999999997</v>
      </c>
      <c r="S7132">
        <v>0.53855900000000001</v>
      </c>
      <c r="T7132">
        <v>-0.1578743</v>
      </c>
      <c r="U7132">
        <v>2.9861149999999999</v>
      </c>
      <c r="V7132">
        <v>8.8999659999999994E-2</v>
      </c>
      <c r="W7132">
        <v>8.2832520000000007E-2</v>
      </c>
      <c r="X7132">
        <v>0.99258139999999995</v>
      </c>
      <c r="Y7132">
        <v>0.19084000000000001</v>
      </c>
      <c r="Z7132">
        <v>-5.1885590000000002E-2</v>
      </c>
      <c r="AA7132">
        <v>0.98024889999999998</v>
      </c>
      <c r="AB7132">
        <v>41</v>
      </c>
      <c r="AC7132">
        <v>3.7913999999999999</v>
      </c>
      <c r="AD7132">
        <v>-1.109821491713</v>
      </c>
      <c r="AE7132">
        <v>20.598690000000001</v>
      </c>
      <c r="AF7132">
        <v>4.0644007969359004</v>
      </c>
      <c r="AG7132">
        <v>-1.109821491713</v>
      </c>
      <c r="AH7132">
        <v>20.486783997919702</v>
      </c>
      <c r="AI7132">
        <v>93.041661690864501</v>
      </c>
      <c r="AJ7132">
        <v>78.778718611771396</v>
      </c>
      <c r="AK7132">
        <v>20.915529545268999</v>
      </c>
      <c r="AL7132">
        <v>85.248602198403304</v>
      </c>
      <c r="AM7132">
        <v>84.876284534150798</v>
      </c>
      <c r="AN7132">
        <v>1.00000000073781</v>
      </c>
    </row>
    <row r="7133" spans="1:40" x14ac:dyDescent="0.25">
      <c r="A7133" t="str">
        <f>"20190312173104969"</f>
        <v>20190312173104969</v>
      </c>
      <c r="B7133" t="str">
        <f>"1552383064965151"</f>
        <v>1552383064965151</v>
      </c>
      <c r="C7133" t="s">
        <v>40</v>
      </c>
      <c r="D7133">
        <v>3.453983</v>
      </c>
      <c r="E7133">
        <v>0.54227499999999995</v>
      </c>
      <c r="F7133" t="s">
        <v>41</v>
      </c>
      <c r="G7133">
        <v>-184.06039999999999</v>
      </c>
      <c r="H7133" s="1">
        <v>-2.6884529999999999E-6</v>
      </c>
      <c r="I7133">
        <v>102.9042</v>
      </c>
      <c r="J7133">
        <v>-187.91669999999999</v>
      </c>
      <c r="K7133">
        <v>1.109818</v>
      </c>
      <c r="L7133">
        <v>82.176819999999907</v>
      </c>
      <c r="M7133">
        <v>-1.3905570000000001E-2</v>
      </c>
      <c r="N7133">
        <v>0</v>
      </c>
      <c r="O7133">
        <v>0.99978909999999999</v>
      </c>
      <c r="P7133">
        <v>7.7576199999999998E-2</v>
      </c>
      <c r="Q7133">
        <v>6.9095290000000004E-2</v>
      </c>
      <c r="R7133">
        <v>0.99458930000000001</v>
      </c>
      <c r="S7133">
        <v>0.54397580000000001</v>
      </c>
      <c r="T7133">
        <v>-0.15678300000000001</v>
      </c>
      <c r="U7133">
        <v>2.985077</v>
      </c>
      <c r="V7133">
        <v>9.1384080000000006E-2</v>
      </c>
      <c r="W7133">
        <v>8.4115480000000006E-2</v>
      </c>
      <c r="X7133">
        <v>0.99225680000000005</v>
      </c>
      <c r="Y7133">
        <v>0.1927054</v>
      </c>
      <c r="Z7133">
        <v>-5.1527629999999998E-2</v>
      </c>
      <c r="AA7133">
        <v>0.97990279999999996</v>
      </c>
      <c r="AB7133">
        <v>41</v>
      </c>
      <c r="AC7133">
        <v>3.8563000000000001</v>
      </c>
      <c r="AD7133">
        <v>-1.109820688453</v>
      </c>
      <c r="AE7133">
        <v>20.72738</v>
      </c>
      <c r="AF7133">
        <v>4.1327341569863396</v>
      </c>
      <c r="AG7133">
        <v>-1.109820688453</v>
      </c>
      <c r="AH7133">
        <v>20.614621929697702</v>
      </c>
      <c r="AI7133">
        <v>93.021626166537402</v>
      </c>
      <c r="AJ7133">
        <v>78.663853542683597</v>
      </c>
      <c r="AK7133">
        <v>21.0540692237205</v>
      </c>
      <c r="AL7133">
        <v>85.174836602305405</v>
      </c>
      <c r="AM7133">
        <v>84.738062296397999</v>
      </c>
      <c r="AN7133">
        <v>1.00000001059965</v>
      </c>
    </row>
    <row r="7134" spans="1:40" x14ac:dyDescent="0.25">
      <c r="A7134" t="str">
        <f>"20190312173104993"</f>
        <v>20190312173104993</v>
      </c>
      <c r="B7134" t="str">
        <f>"1552383064984671"</f>
        <v>1552383064984671</v>
      </c>
      <c r="C7134" t="s">
        <v>40</v>
      </c>
      <c r="D7134">
        <v>3.80796</v>
      </c>
      <c r="E7134">
        <v>0.54220690000000005</v>
      </c>
      <c r="F7134" t="s">
        <v>41</v>
      </c>
      <c r="G7134">
        <v>-183.87289999999999</v>
      </c>
      <c r="H7134" s="1">
        <v>-3.1681429999999999E-6</v>
      </c>
      <c r="I7134">
        <v>104.16719999999999</v>
      </c>
      <c r="J7134">
        <v>-187.92310000000001</v>
      </c>
      <c r="K7134">
        <v>1.1098220000000001</v>
      </c>
      <c r="L7134">
        <v>82.62979</v>
      </c>
      <c r="M7134">
        <v>-1.399806E-2</v>
      </c>
      <c r="N7134">
        <v>0</v>
      </c>
      <c r="O7134">
        <v>0.99978769999999995</v>
      </c>
      <c r="P7134">
        <v>7.9886239999999997E-2</v>
      </c>
      <c r="Q7134">
        <v>7.0150690000000002E-2</v>
      </c>
      <c r="R7134">
        <v>0.99433249999999995</v>
      </c>
      <c r="S7134">
        <v>0.54872129999999997</v>
      </c>
      <c r="T7134">
        <v>-0.15059700000000001</v>
      </c>
      <c r="U7134">
        <v>2.983978</v>
      </c>
      <c r="V7134">
        <v>9.3781980000000001E-2</v>
      </c>
      <c r="W7134">
        <v>8.5177870000000003E-2</v>
      </c>
      <c r="X7134">
        <v>0.99194230000000005</v>
      </c>
      <c r="Y7134">
        <v>0.1943859</v>
      </c>
      <c r="Z7134">
        <v>-4.9502240000000003E-2</v>
      </c>
      <c r="AA7134">
        <v>0.97967530000000003</v>
      </c>
      <c r="AB7134">
        <v>41</v>
      </c>
      <c r="AC7134">
        <v>4.05020000000001</v>
      </c>
      <c r="AD7134">
        <v>-1.10982516814299</v>
      </c>
      <c r="AE7134">
        <v>21.537409999999898</v>
      </c>
      <c r="AF7134">
        <v>4.3401884179358801</v>
      </c>
      <c r="AG7134">
        <v>-1.10982516814299</v>
      </c>
      <c r="AH7134">
        <v>21.423653625918899</v>
      </c>
      <c r="AI7134">
        <v>92.906542947589003</v>
      </c>
      <c r="AJ7134">
        <v>78.547526292265701</v>
      </c>
      <c r="AK7134">
        <v>21.887025428101801</v>
      </c>
      <c r="AL7134">
        <v>85.113746482673704</v>
      </c>
      <c r="AM7134">
        <v>84.599093984125005</v>
      </c>
      <c r="AN7134">
        <v>0.99999992791987102</v>
      </c>
    </row>
    <row r="7135" spans="1:40" x14ac:dyDescent="0.25">
      <c r="A7135" t="str">
        <f>"20190312173105014"</f>
        <v>20190312173105014</v>
      </c>
      <c r="B7135" t="str">
        <f>"1552383065005167"</f>
        <v>1552383065005167</v>
      </c>
      <c r="C7135" t="s">
        <v>40</v>
      </c>
      <c r="D7135">
        <v>3.4664860000000002</v>
      </c>
      <c r="E7135">
        <v>0.54206219999999905</v>
      </c>
      <c r="F7135" t="s">
        <v>41</v>
      </c>
      <c r="G7135">
        <v>-183.72300000000001</v>
      </c>
      <c r="H7135" s="1">
        <v>-3.5666849999999999E-6</v>
      </c>
      <c r="I7135">
        <v>105.22110000000001</v>
      </c>
      <c r="J7135">
        <v>-187.92850000000001</v>
      </c>
      <c r="K7135">
        <v>1.1098170000000001</v>
      </c>
      <c r="L7135">
        <v>83.011049999999997</v>
      </c>
      <c r="M7135">
        <v>-1.4075910000000001E-2</v>
      </c>
      <c r="N7135">
        <v>0</v>
      </c>
      <c r="O7135">
        <v>0.99978650000000002</v>
      </c>
      <c r="P7135">
        <v>8.1955180000000002E-2</v>
      </c>
      <c r="Q7135">
        <v>7.1419469999999999E-2</v>
      </c>
      <c r="R7135">
        <v>0.99407369999999995</v>
      </c>
      <c r="S7135">
        <v>0.55456539999999999</v>
      </c>
      <c r="T7135">
        <v>-0.14653749999999999</v>
      </c>
      <c r="U7135">
        <v>2.9828800000000002</v>
      </c>
      <c r="V7135">
        <v>9.5924190000000006E-2</v>
      </c>
      <c r="W7135">
        <v>8.6449650000000003E-2</v>
      </c>
      <c r="X7135">
        <v>0.9916275</v>
      </c>
      <c r="Y7135">
        <v>0.19639390000000001</v>
      </c>
      <c r="Z7135">
        <v>-4.8170190000000002E-2</v>
      </c>
      <c r="AA7135">
        <v>0.97934109999999996</v>
      </c>
      <c r="AB7135">
        <v>41</v>
      </c>
      <c r="AC7135">
        <v>4.2055000000000202</v>
      </c>
      <c r="AD7135">
        <v>-1.1098205666850001</v>
      </c>
      <c r="AE7135">
        <v>22.210049999999999</v>
      </c>
      <c r="AF7135">
        <v>4.5068818432177302</v>
      </c>
      <c r="AG7135">
        <v>-1.1098205666850001</v>
      </c>
      <c r="AH7135">
        <v>22.095385093945399</v>
      </c>
      <c r="AI7135">
        <v>92.817552074925104</v>
      </c>
      <c r="AJ7135">
        <v>78.471305357133403</v>
      </c>
      <c r="AK7135">
        <v>22.577637788057199</v>
      </c>
      <c r="AL7135">
        <v>85.040609640707999</v>
      </c>
      <c r="AM7135">
        <v>84.474735948590904</v>
      </c>
      <c r="AN7135">
        <v>1.0000000454842599</v>
      </c>
    </row>
    <row r="7136" spans="1:40" x14ac:dyDescent="0.25">
      <c r="A7136" t="str">
        <f>"20190312173105035"</f>
        <v>20190312173105035</v>
      </c>
      <c r="B7136" t="str">
        <f>"1552383065024710"</f>
        <v>1552383065024710</v>
      </c>
      <c r="C7136" t="s">
        <v>40</v>
      </c>
      <c r="D7136">
        <v>3.4191519999999902</v>
      </c>
      <c r="E7136">
        <v>0.52772649999999999</v>
      </c>
      <c r="F7136" t="s">
        <v>41</v>
      </c>
      <c r="G7136">
        <v>-183.57980000000001</v>
      </c>
      <c r="H7136" s="1">
        <v>-3.9590700000000004E-6</v>
      </c>
      <c r="I7136">
        <v>106.2068</v>
      </c>
      <c r="J7136">
        <v>-187.934</v>
      </c>
      <c r="K7136">
        <v>1.109818</v>
      </c>
      <c r="L7136">
        <v>83.40164</v>
      </c>
      <c r="M7136">
        <v>-1.41558E-2</v>
      </c>
      <c r="N7136">
        <v>0</v>
      </c>
      <c r="O7136">
        <v>0.99978520000000004</v>
      </c>
      <c r="P7136">
        <v>8.3596550000000006E-2</v>
      </c>
      <c r="Q7136">
        <v>7.2628709999999999E-2</v>
      </c>
      <c r="R7136">
        <v>0.99384950000000005</v>
      </c>
      <c r="S7136">
        <v>0.55906679999999997</v>
      </c>
      <c r="T7136">
        <v>-0.142679</v>
      </c>
      <c r="U7136">
        <v>2.982056</v>
      </c>
      <c r="V7136">
        <v>9.764138E-2</v>
      </c>
      <c r="W7136">
        <v>8.7661450000000002E-2</v>
      </c>
      <c r="X7136">
        <v>0.9913535</v>
      </c>
      <c r="Y7136">
        <v>0.1979602</v>
      </c>
      <c r="Z7136">
        <v>-4.6903420000000001E-2</v>
      </c>
      <c r="AA7136">
        <v>0.97908720000000005</v>
      </c>
      <c r="AB7136">
        <v>41</v>
      </c>
      <c r="AC7136">
        <v>4.3542000000000201</v>
      </c>
      <c r="AD7136">
        <v>-1.10982195907</v>
      </c>
      <c r="AE7136">
        <v>22.805160000000001</v>
      </c>
      <c r="AF7136">
        <v>4.6659640720303601</v>
      </c>
      <c r="AG7136">
        <v>-1.10982195907</v>
      </c>
      <c r="AH7136">
        <v>22.689384472577199</v>
      </c>
      <c r="AI7136">
        <v>92.743007397708794</v>
      </c>
      <c r="AJ7136">
        <v>78.379399360050002</v>
      </c>
      <c r="AK7136">
        <v>23.190754477738299</v>
      </c>
      <c r="AL7136">
        <v>84.970914112150098</v>
      </c>
      <c r="AM7136">
        <v>84.3749094137778</v>
      </c>
      <c r="AN7136">
        <v>1.0000000654333201</v>
      </c>
    </row>
    <row r="7137" spans="1:40" x14ac:dyDescent="0.25">
      <c r="A7137" t="str">
        <f>"20190312173105056"</f>
        <v>20190312173105056</v>
      </c>
      <c r="B7137" t="str">
        <f>"1552383065044226"</f>
        <v>1552383065044226</v>
      </c>
      <c r="C7137" t="s">
        <v>40</v>
      </c>
      <c r="D7137">
        <v>3.4356360000000001</v>
      </c>
      <c r="E7137">
        <v>0.51624040000000004</v>
      </c>
      <c r="F7137" t="s">
        <v>41</v>
      </c>
      <c r="G7137">
        <v>-184.67500000000001</v>
      </c>
      <c r="H7137" s="1">
        <v>-3.3075180000000002E-6</v>
      </c>
      <c r="I7137">
        <v>105.1409</v>
      </c>
      <c r="J7137">
        <v>-187.93969999999999</v>
      </c>
      <c r="K7137">
        <v>1.109826</v>
      </c>
      <c r="L7137">
        <v>83.793669999999906</v>
      </c>
      <c r="M7137">
        <v>-1.423583E-2</v>
      </c>
      <c r="N7137">
        <v>0</v>
      </c>
      <c r="O7137">
        <v>0.99978409999999995</v>
      </c>
      <c r="P7137">
        <v>8.5054260000000007E-2</v>
      </c>
      <c r="Q7137">
        <v>7.3573840000000001E-2</v>
      </c>
      <c r="R7137">
        <v>0.99365619999999999</v>
      </c>
      <c r="S7137">
        <v>0.44854739999999999</v>
      </c>
      <c r="T7137">
        <v>-0.15274499999999999</v>
      </c>
      <c r="U7137">
        <v>2.9919739999999999</v>
      </c>
      <c r="V7137">
        <v>9.9175390000000002E-2</v>
      </c>
      <c r="W7137">
        <v>8.860809E-2</v>
      </c>
      <c r="X7137">
        <v>0.99111700000000003</v>
      </c>
      <c r="Y7137">
        <v>0.1621369</v>
      </c>
      <c r="Z7137">
        <v>-5.0359439999999998E-2</v>
      </c>
      <c r="AA7137">
        <v>0.98548239999999998</v>
      </c>
      <c r="AB7137">
        <v>41</v>
      </c>
      <c r="AC7137">
        <v>3.2646999999999702</v>
      </c>
      <c r="AD7137">
        <v>-1.1098293075179999</v>
      </c>
      <c r="AE7137">
        <v>21.34723</v>
      </c>
      <c r="AF7137">
        <v>3.55889995544758</v>
      </c>
      <c r="AG7137">
        <v>-1.1098293075179999</v>
      </c>
      <c r="AH7137">
        <v>21.2424812302033</v>
      </c>
      <c r="AI7137">
        <v>92.949705133087804</v>
      </c>
      <c r="AJ7137">
        <v>80.489170221336494</v>
      </c>
      <c r="AK7137">
        <v>21.5671161447295</v>
      </c>
      <c r="AL7137">
        <v>84.916463564136706</v>
      </c>
      <c r="AM7137">
        <v>84.285761465613305</v>
      </c>
      <c r="AN7137">
        <v>1.0000000296420399</v>
      </c>
    </row>
    <row r="7138" spans="1:40" x14ac:dyDescent="0.25">
      <c r="A7138" t="str">
        <f>"20190312173105079"</f>
        <v>20190312173105079</v>
      </c>
      <c r="B7138" t="str">
        <f>"1552383065064723"</f>
        <v>1552383065064723</v>
      </c>
      <c r="C7138" t="s">
        <v>40</v>
      </c>
      <c r="D7138">
        <v>3.3383039999999999</v>
      </c>
      <c r="E7138">
        <v>0.51173619999999997</v>
      </c>
      <c r="F7138" t="s">
        <v>41</v>
      </c>
      <c r="G7138">
        <v>-185.30799999999999</v>
      </c>
      <c r="H7138" s="1">
        <v>-3.4248120000000001E-6</v>
      </c>
      <c r="I7138">
        <v>105.676</v>
      </c>
      <c r="J7138">
        <v>-187.94550000000001</v>
      </c>
      <c r="K7138">
        <v>1.109836</v>
      </c>
      <c r="L7138">
        <v>84.198520000000002</v>
      </c>
      <c r="M7138">
        <v>-1.431867E-2</v>
      </c>
      <c r="N7138">
        <v>0</v>
      </c>
      <c r="O7138">
        <v>0.99978279999999997</v>
      </c>
      <c r="P7138">
        <v>8.6211899999999994E-2</v>
      </c>
      <c r="Q7138">
        <v>7.4738879999999994E-2</v>
      </c>
      <c r="R7138">
        <v>0.99346950000000001</v>
      </c>
      <c r="S7138">
        <v>0.36073300000000003</v>
      </c>
      <c r="T7138">
        <v>-0.15213080000000001</v>
      </c>
      <c r="U7138">
        <v>2.9995419999999999</v>
      </c>
      <c r="V7138">
        <v>0.1004123</v>
      </c>
      <c r="W7138">
        <v>8.9773569999999997E-2</v>
      </c>
      <c r="X7138">
        <v>0.99088750000000003</v>
      </c>
      <c r="Y7138">
        <v>0.1334571</v>
      </c>
      <c r="Z7138">
        <v>-5.023801E-2</v>
      </c>
      <c r="AA7138">
        <v>0.9897804</v>
      </c>
      <c r="AB7138">
        <v>41</v>
      </c>
      <c r="AC7138">
        <v>2.6375000000000099</v>
      </c>
      <c r="AD7138">
        <v>-1.109839424812</v>
      </c>
      <c r="AE7138">
        <v>21.47748</v>
      </c>
      <c r="AF7138">
        <v>2.9370675456595401</v>
      </c>
      <c r="AG7138">
        <v>-1.109839424812</v>
      </c>
      <c r="AH7138">
        <v>21.381262525583502</v>
      </c>
      <c r="AI7138">
        <v>92.943796342832002</v>
      </c>
      <c r="AJ7138">
        <v>82.178435029126703</v>
      </c>
      <c r="AK7138">
        <v>21.610564465199801</v>
      </c>
      <c r="AL7138">
        <v>84.849419023413702</v>
      </c>
      <c r="AM7138">
        <v>84.213643441487093</v>
      </c>
      <c r="AN7138">
        <v>0.99999998075904195</v>
      </c>
    </row>
    <row r="7139" spans="1:40" x14ac:dyDescent="0.25">
      <c r="A7139" t="str">
        <f>"20190312173105102"</f>
        <v>20190312173105102</v>
      </c>
      <c r="B7139" t="str">
        <f>"1552383065094979"</f>
        <v>1552383065094979</v>
      </c>
      <c r="C7139" t="s">
        <v>40</v>
      </c>
      <c r="D7139">
        <v>3.34646</v>
      </c>
      <c r="E7139">
        <v>0.50844630000000002</v>
      </c>
      <c r="F7139" t="s">
        <v>41</v>
      </c>
      <c r="G7139">
        <v>-185.46709999999999</v>
      </c>
      <c r="H7139" s="1">
        <v>-3.9117589999999999E-6</v>
      </c>
      <c r="I7139">
        <v>106.87690000000001</v>
      </c>
      <c r="J7139">
        <v>-187.95160000000001</v>
      </c>
      <c r="K7139">
        <v>1.109847</v>
      </c>
      <c r="L7139">
        <v>84.619349999999997</v>
      </c>
      <c r="M7139">
        <v>-1.4404749999999999E-2</v>
      </c>
      <c r="N7139">
        <v>0</v>
      </c>
      <c r="O7139">
        <v>0.99978149999999999</v>
      </c>
      <c r="P7139">
        <v>8.7360019999999997E-2</v>
      </c>
      <c r="Q7139">
        <v>7.5765550000000001E-2</v>
      </c>
      <c r="R7139">
        <v>0.99329140000000005</v>
      </c>
      <c r="S7139">
        <v>0.3281097</v>
      </c>
      <c r="T7139">
        <v>-0.1469269</v>
      </c>
      <c r="U7139">
        <v>3.0022890000000002</v>
      </c>
      <c r="V7139">
        <v>0.101643</v>
      </c>
      <c r="W7139">
        <v>9.0799320000000003E-2</v>
      </c>
      <c r="X7139">
        <v>0.99066849999999995</v>
      </c>
      <c r="Y7139">
        <v>0.1228214</v>
      </c>
      <c r="Z7139">
        <v>-4.8542950000000001E-2</v>
      </c>
      <c r="AA7139">
        <v>0.99124089999999998</v>
      </c>
      <c r="AB7139">
        <v>41</v>
      </c>
      <c r="AC7139">
        <v>2.4845000000000201</v>
      </c>
      <c r="AD7139">
        <v>-1.1098509117590001</v>
      </c>
      <c r="AE7139">
        <v>22.257549999999998</v>
      </c>
      <c r="AF7139">
        <v>2.7980219577205201</v>
      </c>
      <c r="AG7139">
        <v>-1.1098509117590001</v>
      </c>
      <c r="AH7139">
        <v>22.165014159045999</v>
      </c>
      <c r="AI7139">
        <v>92.843998133853702</v>
      </c>
      <c r="AJ7139">
        <v>82.805268167288105</v>
      </c>
      <c r="AK7139">
        <v>22.3684722006874</v>
      </c>
      <c r="AL7139">
        <v>84.790406679227502</v>
      </c>
      <c r="AM7139">
        <v>84.141927486911001</v>
      </c>
      <c r="AN7139">
        <v>0.99999994642685397</v>
      </c>
    </row>
    <row r="7140" spans="1:40" x14ac:dyDescent="0.25">
      <c r="A7140" t="str">
        <f>"20190312173105126"</f>
        <v>20190312173105126</v>
      </c>
      <c r="B7140" t="str">
        <f>"1552383065115004"</f>
        <v>1552383065115004</v>
      </c>
      <c r="C7140" t="s">
        <v>40</v>
      </c>
      <c r="D7140">
        <v>3.3542429999999999</v>
      </c>
      <c r="E7140">
        <v>0.5073626</v>
      </c>
      <c r="F7140" t="s">
        <v>41</v>
      </c>
      <c r="G7140">
        <v>-185.5643</v>
      </c>
      <c r="H7140" s="1">
        <v>-4.4357249999999998E-6</v>
      </c>
      <c r="I7140">
        <v>108.1384</v>
      </c>
      <c r="J7140">
        <v>-187.9579</v>
      </c>
      <c r="K7140">
        <v>1.109856</v>
      </c>
      <c r="L7140">
        <v>85.053919999999906</v>
      </c>
      <c r="M7140">
        <v>-1.449368E-2</v>
      </c>
      <c r="N7140">
        <v>0</v>
      </c>
      <c r="O7140">
        <v>0.99978020000000001</v>
      </c>
      <c r="P7140">
        <v>8.8645280000000007E-2</v>
      </c>
      <c r="Q7140">
        <v>7.6975379999999996E-2</v>
      </c>
      <c r="R7140">
        <v>0.99308450000000004</v>
      </c>
      <c r="S7140">
        <v>0.30494690000000002</v>
      </c>
      <c r="T7140">
        <v>-0.14176830000000001</v>
      </c>
      <c r="U7140">
        <v>3.0042420000000001</v>
      </c>
      <c r="V7140">
        <v>0.1030132</v>
      </c>
      <c r="W7140">
        <v>9.2007809999999995E-2</v>
      </c>
      <c r="X7140">
        <v>0.9904155</v>
      </c>
      <c r="Y7140">
        <v>0.11528620000000001</v>
      </c>
      <c r="Z7140">
        <v>-4.6852240000000003E-2</v>
      </c>
      <c r="AA7140">
        <v>0.99222679999999996</v>
      </c>
      <c r="AB7140">
        <v>41</v>
      </c>
      <c r="AC7140">
        <v>2.39359999999999</v>
      </c>
      <c r="AD7140">
        <v>-1.1098604357249999</v>
      </c>
      <c r="AE7140">
        <v>23.084479999999999</v>
      </c>
      <c r="AF7140">
        <v>2.7217415612433302</v>
      </c>
      <c r="AG7140">
        <v>-1.1098604357249999</v>
      </c>
      <c r="AH7140">
        <v>22.994771268180799</v>
      </c>
      <c r="AI7140">
        <v>92.744154474985905</v>
      </c>
      <c r="AJ7140">
        <v>83.249678023124503</v>
      </c>
      <c r="AK7140">
        <v>23.1818716455108</v>
      </c>
      <c r="AL7140">
        <v>84.720874561235405</v>
      </c>
      <c r="AM7140">
        <v>84.062012275564598</v>
      </c>
      <c r="AN7140">
        <v>1.0000000095577399</v>
      </c>
    </row>
    <row r="7141" spans="1:40" x14ac:dyDescent="0.25">
      <c r="A7141" t="str">
        <f>"20190312173105147"</f>
        <v>20190312173105147</v>
      </c>
      <c r="B7141" t="str">
        <f>"1552383065134524"</f>
        <v>1552383065134524</v>
      </c>
      <c r="C7141" t="s">
        <v>40</v>
      </c>
      <c r="D7141">
        <v>3.354635</v>
      </c>
      <c r="E7141">
        <v>0.50669600000000004</v>
      </c>
      <c r="F7141" t="s">
        <v>41</v>
      </c>
      <c r="G7141">
        <v>-185.5624</v>
      </c>
      <c r="H7141" s="1">
        <v>-4.8509950000000003E-6</v>
      </c>
      <c r="I7141">
        <v>109.1057</v>
      </c>
      <c r="J7141">
        <v>-187.96350000000001</v>
      </c>
      <c r="K7141">
        <v>1.1098699999999999</v>
      </c>
      <c r="L7141">
        <v>85.437010000000001</v>
      </c>
      <c r="M7141">
        <v>-1.4572119999999999E-2</v>
      </c>
      <c r="N7141">
        <v>0</v>
      </c>
      <c r="O7141">
        <v>0.99977910000000003</v>
      </c>
      <c r="P7141">
        <v>9.0036740000000004E-2</v>
      </c>
      <c r="Q7141">
        <v>7.7708620000000006E-2</v>
      </c>
      <c r="R7141">
        <v>0.99290219999999996</v>
      </c>
      <c r="S7141">
        <v>0.29928589999999999</v>
      </c>
      <c r="T7141">
        <v>-0.1386608</v>
      </c>
      <c r="U7141">
        <v>3.0049130000000002</v>
      </c>
      <c r="V7141">
        <v>0.1044795</v>
      </c>
      <c r="W7141">
        <v>9.2738520000000005E-2</v>
      </c>
      <c r="X7141">
        <v>0.99019369999999995</v>
      </c>
      <c r="Y7141">
        <v>0.11349579999999999</v>
      </c>
      <c r="Z7141">
        <v>-4.5826230000000003E-2</v>
      </c>
      <c r="AA7141">
        <v>0.9924811</v>
      </c>
      <c r="AB7141">
        <v>41</v>
      </c>
      <c r="AC7141">
        <v>2.4011000000000098</v>
      </c>
      <c r="AD7141">
        <v>-1.1098748509950001</v>
      </c>
      <c r="AE7141">
        <v>23.668690000000002</v>
      </c>
      <c r="AF7141">
        <v>2.7398244048265301</v>
      </c>
      <c r="AG7141">
        <v>-1.1098748509950001</v>
      </c>
      <c r="AH7141">
        <v>23.579862280909101</v>
      </c>
      <c r="AI7141">
        <v>92.676869244430193</v>
      </c>
      <c r="AJ7141">
        <v>83.372328383137599</v>
      </c>
      <c r="AK7141">
        <v>23.764434879474699</v>
      </c>
      <c r="AL7141">
        <v>84.678828039668602</v>
      </c>
      <c r="AM7141">
        <v>83.976768167410498</v>
      </c>
      <c r="AN7141">
        <v>0.99999998126586498</v>
      </c>
    </row>
    <row r="7142" spans="1:40" x14ac:dyDescent="0.25">
      <c r="A7142" t="str">
        <f>"20190312173105169"</f>
        <v>20190312173105169</v>
      </c>
      <c r="B7142" t="str">
        <f>"1552383065155020"</f>
        <v>1552383065155020</v>
      </c>
      <c r="C7142" t="s">
        <v>40</v>
      </c>
      <c r="D7142">
        <v>3.3468170000000002</v>
      </c>
      <c r="E7142">
        <v>0.50604090000000002</v>
      </c>
      <c r="F7142" t="s">
        <v>41</v>
      </c>
      <c r="G7142">
        <v>-185.59100000000001</v>
      </c>
      <c r="H7142" s="1">
        <v>-4.9802829999999997E-6</v>
      </c>
      <c r="I7142">
        <v>109.41889999999999</v>
      </c>
      <c r="J7142">
        <v>-187.96940000000001</v>
      </c>
      <c r="K7142">
        <v>1.10988</v>
      </c>
      <c r="L7142">
        <v>85.832400000000007</v>
      </c>
      <c r="M7142">
        <v>-1.4653080000000001E-2</v>
      </c>
      <c r="N7142">
        <v>0</v>
      </c>
      <c r="O7142">
        <v>0.9997779</v>
      </c>
      <c r="P7142">
        <v>9.2139929999999995E-2</v>
      </c>
      <c r="Q7142">
        <v>7.8278150000000005E-2</v>
      </c>
      <c r="R7142">
        <v>0.99266449999999995</v>
      </c>
      <c r="S7142">
        <v>0.29731750000000001</v>
      </c>
      <c r="T7142">
        <v>-0.13908779999999901</v>
      </c>
      <c r="U7142">
        <v>3.0053709999999998</v>
      </c>
      <c r="V7142">
        <v>0.106659199999999</v>
      </c>
      <c r="W7142">
        <v>9.3303990000000003E-2</v>
      </c>
      <c r="X7142">
        <v>0.98990820000000002</v>
      </c>
      <c r="Y7142">
        <v>0.112917</v>
      </c>
      <c r="Z7142">
        <v>-4.596302E-2</v>
      </c>
      <c r="AA7142">
        <v>0.9925408</v>
      </c>
      <c r="AB7142">
        <v>41</v>
      </c>
      <c r="AC7142">
        <v>2.3784000000000201</v>
      </c>
      <c r="AD7142">
        <v>-1.109884980283</v>
      </c>
      <c r="AE7142">
        <v>23.586499999999901</v>
      </c>
      <c r="AF7142">
        <v>2.7178416816030899</v>
      </c>
      <c r="AG7142">
        <v>-1.109884980283</v>
      </c>
      <c r="AH7142">
        <v>23.497606111404799</v>
      </c>
      <c r="AI7142">
        <v>92.686412975718895</v>
      </c>
      <c r="AJ7142">
        <v>83.402223552762507</v>
      </c>
      <c r="AK7142">
        <v>23.680287182431801</v>
      </c>
      <c r="AL7142">
        <v>84.646288176347099</v>
      </c>
      <c r="AM7142">
        <v>83.850301753802597</v>
      </c>
      <c r="AN7142">
        <v>1.0000000319608899</v>
      </c>
    </row>
    <row r="7143" spans="1:40" x14ac:dyDescent="0.25">
      <c r="A7143" t="str">
        <f>"20190312173105192"</f>
        <v>20190312173105192</v>
      </c>
      <c r="B7143" t="str">
        <f>"1552383065184300"</f>
        <v>1552383065184300</v>
      </c>
      <c r="C7143" t="s">
        <v>40</v>
      </c>
      <c r="D7143">
        <v>3.3690540000000002</v>
      </c>
      <c r="E7143">
        <v>0.50552889999999995</v>
      </c>
      <c r="F7143" t="s">
        <v>41</v>
      </c>
      <c r="G7143">
        <v>-185.58150000000001</v>
      </c>
      <c r="H7143" s="1">
        <v>-1.2811380000000001E-6</v>
      </c>
      <c r="I7143">
        <v>109.958</v>
      </c>
      <c r="J7143">
        <v>-187.97540000000001</v>
      </c>
      <c r="K7143">
        <v>1.1098809999999999</v>
      </c>
      <c r="L7143">
        <v>86.237340000000003</v>
      </c>
      <c r="M7143">
        <v>-1.473613E-2</v>
      </c>
      <c r="N7143">
        <v>0</v>
      </c>
      <c r="O7143">
        <v>0.99977669999999996</v>
      </c>
      <c r="P7143">
        <v>9.4031279999999995E-2</v>
      </c>
      <c r="Q7143">
        <v>7.8621099999999999E-2</v>
      </c>
      <c r="R7143">
        <v>0.99246000000000001</v>
      </c>
      <c r="S7143">
        <v>0.29747010000000002</v>
      </c>
      <c r="T7143">
        <v>-0.1382639</v>
      </c>
      <c r="U7143">
        <v>3.0054630000000002</v>
      </c>
      <c r="V7143">
        <v>0.1086297</v>
      </c>
      <c r="W7143">
        <v>9.364248E-2</v>
      </c>
      <c r="X7143">
        <v>0.98966189999999998</v>
      </c>
      <c r="Y7143">
        <v>0.1130477</v>
      </c>
      <c r="Z7143">
        <v>-4.5689420000000001E-2</v>
      </c>
      <c r="AA7143">
        <v>0.99253849999999999</v>
      </c>
      <c r="AB7143">
        <v>41</v>
      </c>
      <c r="AC7143">
        <v>2.3938999999999999</v>
      </c>
      <c r="AD7143">
        <v>-1.10988228113799</v>
      </c>
      <c r="AE7143">
        <v>23.720659999999899</v>
      </c>
      <c r="AF7143">
        <v>2.73729855442161</v>
      </c>
      <c r="AG7143">
        <v>-1.10988228113799</v>
      </c>
      <c r="AH7143">
        <v>23.631588460438699</v>
      </c>
      <c r="AI7143">
        <v>92.671146596475893</v>
      </c>
      <c r="AJ7143">
        <v>83.392749645587699</v>
      </c>
      <c r="AK7143">
        <v>23.815470081809501</v>
      </c>
      <c r="AL7143">
        <v>84.626808677321705</v>
      </c>
      <c r="AM7143">
        <v>83.736036187635904</v>
      </c>
      <c r="AN7143">
        <v>1.0000000010471199</v>
      </c>
    </row>
    <row r="7144" spans="1:40" x14ac:dyDescent="0.25">
      <c r="A7144" t="str">
        <f>"20190312173105215"</f>
        <v>20190312173105215</v>
      </c>
      <c r="B7144" t="str">
        <f>"1552383065204796"</f>
        <v>1552383065204796</v>
      </c>
      <c r="C7144" t="s">
        <v>40</v>
      </c>
      <c r="D7144">
        <v>3.3753030000000002</v>
      </c>
      <c r="E7144">
        <v>0.50527599999999995</v>
      </c>
      <c r="F7144" t="s">
        <v>41</v>
      </c>
      <c r="G7144">
        <v>-185.59460000000001</v>
      </c>
      <c r="H7144" s="1">
        <v>-1.3642889999999999E-6</v>
      </c>
      <c r="I7144">
        <v>110.2127</v>
      </c>
      <c r="J7144">
        <v>-187.98169999999999</v>
      </c>
      <c r="K7144">
        <v>1.1098709999999901</v>
      </c>
      <c r="L7144">
        <v>86.664550000000006</v>
      </c>
      <c r="M7144">
        <v>-1.48237E-2</v>
      </c>
      <c r="N7144">
        <v>0</v>
      </c>
      <c r="O7144">
        <v>0.99977539999999998</v>
      </c>
      <c r="P7144">
        <v>9.6747650000000004E-2</v>
      </c>
      <c r="Q7144">
        <v>7.8859730000000003E-2</v>
      </c>
      <c r="R7144">
        <v>0.9921799</v>
      </c>
      <c r="S7144">
        <v>0.29844670000000001</v>
      </c>
      <c r="T7144">
        <v>-0.1391338</v>
      </c>
      <c r="U7144">
        <v>3.0055239999999999</v>
      </c>
      <c r="V7144">
        <v>0.111428399999999</v>
      </c>
      <c r="W7144">
        <v>9.3875570000000005E-2</v>
      </c>
      <c r="X7144">
        <v>0.9893286</v>
      </c>
      <c r="Y7144">
        <v>0.11345089999999999</v>
      </c>
      <c r="Z7144">
        <v>-4.5973449999999999E-2</v>
      </c>
      <c r="AA7144">
        <v>0.99247940000000001</v>
      </c>
      <c r="AB7144">
        <v>41</v>
      </c>
      <c r="AC7144">
        <v>2.38709999999997</v>
      </c>
      <c r="AD7144">
        <v>-1.1098723642889901</v>
      </c>
      <c r="AE7144">
        <v>23.54815</v>
      </c>
      <c r="AF7144">
        <v>2.7299457129320999</v>
      </c>
      <c r="AG7144">
        <v>-1.1098723642889901</v>
      </c>
      <c r="AH7144">
        <v>23.4585907468906</v>
      </c>
      <c r="AI7144">
        <v>92.690625933914006</v>
      </c>
      <c r="AJ7144">
        <v>83.362177523737301</v>
      </c>
      <c r="AK7144">
        <v>23.6429672437846</v>
      </c>
      <c r="AL7144">
        <v>84.613394480244594</v>
      </c>
      <c r="AM7144">
        <v>83.573839728166604</v>
      </c>
      <c r="AN7144">
        <v>0.99999999487367197</v>
      </c>
    </row>
    <row r="7145" spans="1:40" x14ac:dyDescent="0.25">
      <c r="A7145" t="str">
        <f>"20190312173105237"</f>
        <v>20190312173105237</v>
      </c>
      <c r="B7145" t="str">
        <f>"1552383065224320"</f>
        <v>1552383065224320</v>
      </c>
      <c r="C7145" t="s">
        <v>40</v>
      </c>
      <c r="D7145">
        <v>3.3367330000000002</v>
      </c>
      <c r="E7145">
        <v>0.5050654</v>
      </c>
      <c r="F7145" t="s">
        <v>41</v>
      </c>
      <c r="G7145">
        <v>-185.58009999999999</v>
      </c>
      <c r="H7145" s="1">
        <v>-1.435742E-6</v>
      </c>
      <c r="I7145">
        <v>110.4113</v>
      </c>
      <c r="J7145">
        <v>-187.98750000000001</v>
      </c>
      <c r="K7145">
        <v>1.1098539999999999</v>
      </c>
      <c r="L7145">
        <v>87.053190000000001</v>
      </c>
      <c r="M7145">
        <v>-1.490346E-2</v>
      </c>
      <c r="N7145">
        <v>0</v>
      </c>
      <c r="O7145">
        <v>0.9997743</v>
      </c>
      <c r="P7145">
        <v>9.9493499999999999E-2</v>
      </c>
      <c r="Q7145">
        <v>7.9099340000000004E-2</v>
      </c>
      <c r="R7145">
        <v>0.99188929999999997</v>
      </c>
      <c r="S7145">
        <v>0.30392459999999999</v>
      </c>
      <c r="T7145">
        <v>-0.1404562</v>
      </c>
      <c r="U7145">
        <v>3.005188</v>
      </c>
      <c r="V7145">
        <v>0.11424860000000001</v>
      </c>
      <c r="W7145">
        <v>9.4108650000000002E-2</v>
      </c>
      <c r="X7145">
        <v>0.9889848</v>
      </c>
      <c r="Y7145">
        <v>0.1153299</v>
      </c>
      <c r="Z7145">
        <v>-4.6405290000000002E-2</v>
      </c>
      <c r="AA7145">
        <v>0.99224270000000003</v>
      </c>
      <c r="AB7145">
        <v>41</v>
      </c>
      <c r="AC7145">
        <v>2.40740000000002</v>
      </c>
      <c r="AD7145">
        <v>-1.1098554357420001</v>
      </c>
      <c r="AE7145">
        <v>23.35811</v>
      </c>
      <c r="AF7145">
        <v>2.7491477426609601</v>
      </c>
      <c r="AG7145">
        <v>-1.1098554357420001</v>
      </c>
      <c r="AH7145">
        <v>23.267654300118298</v>
      </c>
      <c r="AI7145">
        <v>92.712073585971694</v>
      </c>
      <c r="AJ7145">
        <v>83.261561190854295</v>
      </c>
      <c r="AK7145">
        <v>23.455773895334101</v>
      </c>
      <c r="AL7145">
        <v>84.599980935646002</v>
      </c>
      <c r="AM7145">
        <v>83.410338901666194</v>
      </c>
      <c r="AN7145">
        <v>1.0000000576189001</v>
      </c>
    </row>
    <row r="7146" spans="1:40" x14ac:dyDescent="0.25">
      <c r="A7146" t="str">
        <f>"20190312173105259"</f>
        <v>20190312173105259</v>
      </c>
      <c r="B7146" t="str">
        <f>"1552383065244812"</f>
        <v>1552383065244812</v>
      </c>
      <c r="C7146" t="s">
        <v>40</v>
      </c>
      <c r="D7146">
        <v>3.3406739999999999</v>
      </c>
      <c r="E7146">
        <v>0.50477859999999997</v>
      </c>
      <c r="F7146" t="s">
        <v>41</v>
      </c>
      <c r="G7146">
        <v>-185.5549</v>
      </c>
      <c r="H7146" s="1">
        <v>-1.517842E-6</v>
      </c>
      <c r="I7146">
        <v>110.6328</v>
      </c>
      <c r="J7146">
        <v>-187.99359999999999</v>
      </c>
      <c r="K7146">
        <v>1.109836</v>
      </c>
      <c r="L7146">
        <v>87.452999999999903</v>
      </c>
      <c r="M7146">
        <v>-1.498538E-2</v>
      </c>
      <c r="N7146">
        <v>0</v>
      </c>
      <c r="O7146">
        <v>0.99977309999999997</v>
      </c>
      <c r="P7146">
        <v>0.1022265</v>
      </c>
      <c r="Q7146">
        <v>7.9999879999999995E-2</v>
      </c>
      <c r="R7146">
        <v>0.99153910000000001</v>
      </c>
      <c r="S7146">
        <v>0.30999759999999998</v>
      </c>
      <c r="T7146">
        <v>-0.1414281</v>
      </c>
      <c r="U7146">
        <v>3.0047299999999999</v>
      </c>
      <c r="V7146">
        <v>0.1170571</v>
      </c>
      <c r="W7146">
        <v>9.5001559999999999E-2</v>
      </c>
      <c r="X7146">
        <v>0.98857090000000003</v>
      </c>
      <c r="Y7146">
        <v>0.1174094</v>
      </c>
      <c r="Z7146">
        <v>-4.6722180000000002E-2</v>
      </c>
      <c r="AA7146">
        <v>0.99198390000000003</v>
      </c>
      <c r="AB7146">
        <v>41</v>
      </c>
      <c r="AC7146">
        <v>2.4386999999999799</v>
      </c>
      <c r="AD7146">
        <v>-1.1098375178419999</v>
      </c>
      <c r="AE7146">
        <v>23.1798</v>
      </c>
      <c r="AF7146">
        <v>2.7795218740220098</v>
      </c>
      <c r="AG7146">
        <v>-1.1098375178419999</v>
      </c>
      <c r="AH7146">
        <v>23.088298299110001</v>
      </c>
      <c r="AI7146">
        <v>92.732349174537603</v>
      </c>
      <c r="AJ7146">
        <v>83.135391131254195</v>
      </c>
      <c r="AK7146">
        <v>23.2814733106147</v>
      </c>
      <c r="AL7146">
        <v>84.548590633526899</v>
      </c>
      <c r="AM7146">
        <v>83.247026486075697</v>
      </c>
      <c r="AN7146">
        <v>1.0000000426948199</v>
      </c>
    </row>
    <row r="7147" spans="1:40" x14ac:dyDescent="0.25">
      <c r="A7147" t="str">
        <f>"20190312173105281"</f>
        <v>20190312173105281</v>
      </c>
      <c r="B7147" t="str">
        <f>"1552383065275068"</f>
        <v>1552383065275068</v>
      </c>
      <c r="C7147" t="s">
        <v>40</v>
      </c>
      <c r="D7147">
        <v>3.3643380000000001</v>
      </c>
      <c r="E7147">
        <v>0.50456369999999995</v>
      </c>
      <c r="F7147" t="s">
        <v>41</v>
      </c>
      <c r="G7147">
        <v>-185.48490000000001</v>
      </c>
      <c r="H7147" s="1">
        <v>-1.7732330000000001E-6</v>
      </c>
      <c r="I7147">
        <v>111.32859999999999</v>
      </c>
      <c r="J7147">
        <v>-187.99979999999999</v>
      </c>
      <c r="K7147">
        <v>1.1098239999999999</v>
      </c>
      <c r="L7147">
        <v>87.861719999999906</v>
      </c>
      <c r="M7147">
        <v>-1.506917E-2</v>
      </c>
      <c r="N7147">
        <v>0</v>
      </c>
      <c r="O7147">
        <v>0.99977179999999999</v>
      </c>
      <c r="P7147">
        <v>0.10575229999999999</v>
      </c>
      <c r="Q7147">
        <v>8.2107230000000003E-2</v>
      </c>
      <c r="R7147">
        <v>0.99099689999999996</v>
      </c>
      <c r="S7147">
        <v>0.3156738</v>
      </c>
      <c r="T7147">
        <v>-0.13965429999999901</v>
      </c>
      <c r="U7147">
        <v>3.0043329999999999</v>
      </c>
      <c r="V7147">
        <v>0.1206569</v>
      </c>
      <c r="W7147">
        <v>9.7098019999999993E-2</v>
      </c>
      <c r="X7147">
        <v>0.98793419999999998</v>
      </c>
      <c r="Y7147">
        <v>0.11936280000000001</v>
      </c>
      <c r="Z7147">
        <v>-4.6133519999999997E-2</v>
      </c>
      <c r="AA7147">
        <v>0.9917783</v>
      </c>
      <c r="AB7147">
        <v>40</v>
      </c>
      <c r="AC7147">
        <v>2.5148999999999799</v>
      </c>
      <c r="AD7147">
        <v>-1.1098257732329999</v>
      </c>
      <c r="AE7147">
        <v>23.46688</v>
      </c>
      <c r="AF7147">
        <v>2.8619528086583501</v>
      </c>
      <c r="AG7147">
        <v>-1.1098257732329999</v>
      </c>
      <c r="AH7147">
        <v>23.374625675195102</v>
      </c>
      <c r="AI7147">
        <v>92.698239032834707</v>
      </c>
      <c r="AJ7147">
        <v>83.019537292921797</v>
      </c>
      <c r="AK7147">
        <v>23.575317868088501</v>
      </c>
      <c r="AL7147">
        <v>84.427914394078797</v>
      </c>
      <c r="AM7147">
        <v>83.036921137481997</v>
      </c>
      <c r="AN7147">
        <v>1.0000000482675799</v>
      </c>
    </row>
    <row r="7148" spans="1:40" x14ac:dyDescent="0.25">
      <c r="A7148" t="str">
        <f>"20190312173105317"</f>
        <v>20190312173105317</v>
      </c>
      <c r="B7148" t="str">
        <f>"1552383065304348"</f>
        <v>1552383065304348</v>
      </c>
      <c r="C7148" t="s">
        <v>40</v>
      </c>
      <c r="D7148">
        <v>3.3389030000000002</v>
      </c>
      <c r="E7148">
        <v>0.50434209999999902</v>
      </c>
      <c r="F7148" t="s">
        <v>41</v>
      </c>
      <c r="G7148">
        <v>-185.35480000000001</v>
      </c>
      <c r="H7148" s="1">
        <v>-2.17066E-6</v>
      </c>
      <c r="I7148">
        <v>112.3947</v>
      </c>
      <c r="J7148">
        <v>-188.0093</v>
      </c>
      <c r="K7148">
        <v>1.1098410000000001</v>
      </c>
      <c r="L7148">
        <v>88.488069999999993</v>
      </c>
      <c r="M7148">
        <v>-1.5197820000000001E-2</v>
      </c>
      <c r="N7148">
        <v>0</v>
      </c>
      <c r="O7148">
        <v>0.99976989999999999</v>
      </c>
      <c r="P7148">
        <v>0.10988920000000001</v>
      </c>
      <c r="Q7148">
        <v>8.6464410000000005E-2</v>
      </c>
      <c r="R7148">
        <v>0.9901759</v>
      </c>
      <c r="S7148">
        <v>0.32386779999999998</v>
      </c>
      <c r="T7148">
        <v>-0.13589389999999901</v>
      </c>
      <c r="U7148">
        <v>3.0039669999999998</v>
      </c>
      <c r="V7148">
        <v>0.1249074</v>
      </c>
      <c r="W7148">
        <v>0.1014376</v>
      </c>
      <c r="X7148">
        <v>0.9869694</v>
      </c>
      <c r="Y7148">
        <v>0.12218370000000001</v>
      </c>
      <c r="Z7148">
        <v>-4.4885000000000001E-2</v>
      </c>
      <c r="AA7148">
        <v>0.99149200000000004</v>
      </c>
      <c r="AB7148">
        <v>40</v>
      </c>
      <c r="AC7148">
        <v>2.6544999999999801</v>
      </c>
      <c r="AD7148">
        <v>-1.10984317066</v>
      </c>
      <c r="AE7148">
        <v>23.90663</v>
      </c>
      <c r="AF7148">
        <v>3.0111530666211102</v>
      </c>
      <c r="AG7148">
        <v>-1.10984317066</v>
      </c>
      <c r="AH7148">
        <v>23.812824830753101</v>
      </c>
      <c r="AI7148">
        <v>92.647399149388093</v>
      </c>
      <c r="AJ7148">
        <v>82.793146957394896</v>
      </c>
      <c r="AK7148">
        <v>24.0280964929437</v>
      </c>
      <c r="AL7148">
        <v>84.1780402351135</v>
      </c>
      <c r="AM7148">
        <v>82.787191263474199</v>
      </c>
      <c r="AN7148">
        <v>1.00000002090243</v>
      </c>
    </row>
    <row r="7149" spans="1:40" x14ac:dyDescent="0.25">
      <c r="A7149" t="str">
        <f>"20190312173105338"</f>
        <v>20190312173105338</v>
      </c>
      <c r="B7149" t="str">
        <f>"1552383065324844"</f>
        <v>1552383065324844</v>
      </c>
      <c r="C7149" t="s">
        <v>40</v>
      </c>
      <c r="D7149">
        <v>3.3314149999999998</v>
      </c>
      <c r="E7149">
        <v>0.50423629999999997</v>
      </c>
      <c r="F7149" t="s">
        <v>41</v>
      </c>
      <c r="G7149">
        <v>-185.05080000000001</v>
      </c>
      <c r="H7149" s="1">
        <v>-3.2379649999999998E-6</v>
      </c>
      <c r="I7149">
        <v>115.1341</v>
      </c>
      <c r="J7149">
        <v>-188.0153</v>
      </c>
      <c r="K7149">
        <v>1.1098600000000001</v>
      </c>
      <c r="L7149">
        <v>88.874939999999995</v>
      </c>
      <c r="M7149">
        <v>-1.5277249999999999E-2</v>
      </c>
      <c r="N7149">
        <v>0</v>
      </c>
      <c r="O7149">
        <v>0.99976880000000001</v>
      </c>
      <c r="P7149">
        <v>0.1133334</v>
      </c>
      <c r="Q7149">
        <v>9.0345759999999997E-2</v>
      </c>
      <c r="R7149">
        <v>0.98944089999999996</v>
      </c>
      <c r="S7149">
        <v>0.33349610000000002</v>
      </c>
      <c r="T7149">
        <v>-0.12510779999999999</v>
      </c>
      <c r="U7149">
        <v>3.0036930000000002</v>
      </c>
      <c r="V7149">
        <v>0.1284178</v>
      </c>
      <c r="W7149">
        <v>0.10530440000000001</v>
      </c>
      <c r="X7149">
        <v>0.98611349999999998</v>
      </c>
      <c r="Y7149">
        <v>0.12542909999999999</v>
      </c>
      <c r="Z7149">
        <v>-4.1316890000000002E-2</v>
      </c>
      <c r="AA7149">
        <v>0.99124190000000001</v>
      </c>
      <c r="AB7149">
        <v>40</v>
      </c>
      <c r="AC7149">
        <v>2.9644999999999802</v>
      </c>
      <c r="AD7149">
        <v>-1.109863237965</v>
      </c>
      <c r="AE7149">
        <v>26.259159999999898</v>
      </c>
      <c r="AF7149">
        <v>3.3594418728657098</v>
      </c>
      <c r="AG7149">
        <v>-1.109863237965</v>
      </c>
      <c r="AH7149">
        <v>26.1646479948174</v>
      </c>
      <c r="AI7149">
        <v>92.409187114818295</v>
      </c>
      <c r="AJ7149">
        <v>82.683469081601601</v>
      </c>
      <c r="AK7149">
        <v>26.402773543642201</v>
      </c>
      <c r="AL7149">
        <v>83.955295324068103</v>
      </c>
      <c r="AM7149">
        <v>82.580344116667206</v>
      </c>
      <c r="AN7149">
        <v>0.99999999144922502</v>
      </c>
    </row>
    <row r="7150" spans="1:40" x14ac:dyDescent="0.25">
      <c r="A7150" t="str">
        <f>"20190312173105360"</f>
        <v>20190312173105360</v>
      </c>
      <c r="B7150" t="str">
        <f>"1552383065355101"</f>
        <v>1552383065355101</v>
      </c>
      <c r="C7150" t="s">
        <v>40</v>
      </c>
      <c r="D7150">
        <v>3.3465009999999999</v>
      </c>
      <c r="E7150">
        <v>0.50402360000000002</v>
      </c>
      <c r="F7150" t="s">
        <v>41</v>
      </c>
      <c r="G7150">
        <v>-184.71559999999999</v>
      </c>
      <c r="H7150" s="1">
        <v>-4.4601849999999999E-6</v>
      </c>
      <c r="I7150">
        <v>117.8445</v>
      </c>
      <c r="J7150">
        <v>-188.02170000000001</v>
      </c>
      <c r="K7150">
        <v>1.109874</v>
      </c>
      <c r="L7150">
        <v>89.290559999999999</v>
      </c>
      <c r="M7150">
        <v>-1.536269E-2</v>
      </c>
      <c r="N7150">
        <v>0</v>
      </c>
      <c r="O7150">
        <v>0.99976750000000003</v>
      </c>
      <c r="P7150">
        <v>0.1162121</v>
      </c>
      <c r="Q7150">
        <v>9.3159679999999995E-2</v>
      </c>
      <c r="R7150">
        <v>0.9888458</v>
      </c>
      <c r="S7150">
        <v>0.34208680000000002</v>
      </c>
      <c r="T7150">
        <v>-0.1150626</v>
      </c>
      <c r="U7150">
        <v>3.0033569999999998</v>
      </c>
      <c r="V7150">
        <v>0.13137089999999901</v>
      </c>
      <c r="W7150">
        <v>0.10810500000000001</v>
      </c>
      <c r="X7150">
        <v>0.9854212</v>
      </c>
      <c r="Y7150">
        <v>0.12834029999999999</v>
      </c>
      <c r="Z7150">
        <v>-3.7995500000000001E-2</v>
      </c>
      <c r="AA7150">
        <v>0.9910021</v>
      </c>
      <c r="AB7150">
        <v>40</v>
      </c>
      <c r="AC7150">
        <v>3.30610000000001</v>
      </c>
      <c r="AD7150">
        <v>-1.109878460185</v>
      </c>
      <c r="AE7150">
        <v>28.553940000000001</v>
      </c>
      <c r="AF7150">
        <v>3.73885121393623</v>
      </c>
      <c r="AG7150">
        <v>-1.109878460185</v>
      </c>
      <c r="AH7150">
        <v>28.457347319252801</v>
      </c>
      <c r="AI7150">
        <v>92.214475772693405</v>
      </c>
      <c r="AJ7150">
        <v>82.515100251852701</v>
      </c>
      <c r="AK7150">
        <v>28.723360789519699</v>
      </c>
      <c r="AL7150">
        <v>83.793911211477507</v>
      </c>
      <c r="AM7150">
        <v>82.406418830915598</v>
      </c>
      <c r="AN7150">
        <v>0.99999997290062403</v>
      </c>
    </row>
    <row r="7151" spans="1:40" x14ac:dyDescent="0.25">
      <c r="A7151" t="str">
        <f>"20190312173105382"</f>
        <v>20190312173105382</v>
      </c>
      <c r="B7151" t="str">
        <f>"1552383065374621"</f>
        <v>1552383065374621</v>
      </c>
      <c r="C7151" t="s">
        <v>40</v>
      </c>
      <c r="D7151">
        <v>3.321269</v>
      </c>
      <c r="E7151">
        <v>0.5038608</v>
      </c>
      <c r="F7151" t="s">
        <v>51</v>
      </c>
      <c r="G7151">
        <v>-184.4777</v>
      </c>
      <c r="H7151" s="1">
        <v>-1.5316059999999901E-6</v>
      </c>
      <c r="I7151">
        <v>119.8659</v>
      </c>
      <c r="J7151">
        <v>-188.02760000000001</v>
      </c>
      <c r="K7151">
        <v>1.1098779999999999</v>
      </c>
      <c r="L7151">
        <v>89.678039999999996</v>
      </c>
      <c r="M7151">
        <v>-1.5442320000000001E-2</v>
      </c>
      <c r="N7151">
        <v>0</v>
      </c>
      <c r="O7151">
        <v>0.9997663</v>
      </c>
      <c r="P7151">
        <v>0.11972530000000001</v>
      </c>
      <c r="Q7151">
        <v>9.4483200000000003E-2</v>
      </c>
      <c r="R7151">
        <v>0.98830099999999999</v>
      </c>
      <c r="S7151">
        <v>0.34809879999999999</v>
      </c>
      <c r="T7151">
        <v>-0.1090155</v>
      </c>
      <c r="U7151">
        <v>3.0032040000000002</v>
      </c>
      <c r="V7151">
        <v>0.13495370000000001</v>
      </c>
      <c r="W7151">
        <v>0.1094166</v>
      </c>
      <c r="X7151">
        <v>0.98479209999999995</v>
      </c>
      <c r="Y7151">
        <v>0.13039120000000001</v>
      </c>
      <c r="Z7151">
        <v>-3.5994140000000001E-2</v>
      </c>
      <c r="AA7151">
        <v>0.99080900000000005</v>
      </c>
      <c r="AB7151">
        <v>40</v>
      </c>
      <c r="AC7151">
        <v>3.5499000000000001</v>
      </c>
      <c r="AD7151">
        <v>-1.1098795316059999</v>
      </c>
      <c r="AE7151">
        <v>30.187859999999901</v>
      </c>
      <c r="AF7151">
        <v>4.0103536260092696</v>
      </c>
      <c r="AG7151">
        <v>-1.1098795316059999</v>
      </c>
      <c r="AH7151">
        <v>30.089317015142701</v>
      </c>
      <c r="AI7151">
        <v>92.0939638858124</v>
      </c>
      <c r="AJ7151">
        <v>82.408266524675298</v>
      </c>
      <c r="AK7151">
        <v>30.375677230608101</v>
      </c>
      <c r="AL7151">
        <v>83.718313698627099</v>
      </c>
      <c r="AM7151">
        <v>82.196918278174806</v>
      </c>
      <c r="AN7151">
        <v>0.99999998686082903</v>
      </c>
    </row>
    <row r="7152" spans="1:40" x14ac:dyDescent="0.25">
      <c r="A7152" t="str">
        <f>"20190312173105407"</f>
        <v>20190312173105407</v>
      </c>
      <c r="B7152" t="str">
        <f>"1552383065394140"</f>
        <v>1552383065394140</v>
      </c>
      <c r="C7152" t="s">
        <v>40</v>
      </c>
      <c r="D7152">
        <v>3.3289840000000002</v>
      </c>
      <c r="E7152">
        <v>0.50367099999999998</v>
      </c>
      <c r="F7152" t="s">
        <v>51</v>
      </c>
      <c r="G7152">
        <v>-184.3126</v>
      </c>
      <c r="H7152" s="1">
        <v>-1.8955779999999999E-6</v>
      </c>
      <c r="I7152">
        <v>120.9525</v>
      </c>
      <c r="J7152">
        <v>-188.03460000000001</v>
      </c>
      <c r="K7152">
        <v>1.109869</v>
      </c>
      <c r="L7152">
        <v>90.119780000000006</v>
      </c>
      <c r="M7152">
        <v>-1.553297E-2</v>
      </c>
      <c r="N7152">
        <v>0</v>
      </c>
      <c r="O7152">
        <v>0.99976500000000001</v>
      </c>
      <c r="P7152">
        <v>0.1230569</v>
      </c>
      <c r="Q7152">
        <v>9.4439040000000002E-2</v>
      </c>
      <c r="R7152">
        <v>0.98789590000000005</v>
      </c>
      <c r="S7152">
        <v>0.3566589</v>
      </c>
      <c r="T7152">
        <v>-0.1065538</v>
      </c>
      <c r="U7152">
        <v>3.0025019999999998</v>
      </c>
      <c r="V7152">
        <v>0.13836809999999999</v>
      </c>
      <c r="W7152">
        <v>0.1093621</v>
      </c>
      <c r="X7152">
        <v>0.98432419999999998</v>
      </c>
      <c r="Y7152">
        <v>0.1332969</v>
      </c>
      <c r="Z7152">
        <v>-3.5177819999999999E-2</v>
      </c>
      <c r="AA7152">
        <v>0.99045159999999999</v>
      </c>
      <c r="AB7152">
        <v>40</v>
      </c>
      <c r="AC7152">
        <v>3.722</v>
      </c>
      <c r="AD7152">
        <v>-1.1098708955779999</v>
      </c>
      <c r="AE7152">
        <v>30.832719999999899</v>
      </c>
      <c r="AF7152">
        <v>4.1951715251773196</v>
      </c>
      <c r="AG7152">
        <v>-1.1098708955779999</v>
      </c>
      <c r="AH7152">
        <v>30.7319300928304</v>
      </c>
      <c r="AI7152">
        <v>92.049324796566793</v>
      </c>
      <c r="AJ7152">
        <v>82.226682208498005</v>
      </c>
      <c r="AK7152">
        <v>31.036797591909</v>
      </c>
      <c r="AL7152">
        <v>83.721455035154605</v>
      </c>
      <c r="AM7152">
        <v>81.998267301865596</v>
      </c>
      <c r="AN7152">
        <v>0.99999996535982905</v>
      </c>
    </row>
    <row r="7153" spans="1:40" x14ac:dyDescent="0.25">
      <c r="A7153" t="str">
        <f>"20190312173105427"</f>
        <v>20190312173105427</v>
      </c>
      <c r="B7153" t="str">
        <f>"1552383065414637"</f>
        <v>1552383065414637</v>
      </c>
      <c r="C7153" t="s">
        <v>40</v>
      </c>
      <c r="D7153">
        <v>3.3237719999999999</v>
      </c>
      <c r="E7153">
        <v>0.50358409999999998</v>
      </c>
      <c r="F7153" t="s">
        <v>51</v>
      </c>
      <c r="G7153">
        <v>-184.2989</v>
      </c>
      <c r="H7153" s="1">
        <v>-1.8726450000000001E-6</v>
      </c>
      <c r="I7153">
        <v>120.8623</v>
      </c>
      <c r="J7153">
        <v>-188.0401</v>
      </c>
      <c r="K7153">
        <v>1.109855</v>
      </c>
      <c r="L7153">
        <v>90.472750000000005</v>
      </c>
      <c r="M7153">
        <v>-1.560576E-2</v>
      </c>
      <c r="N7153">
        <v>0</v>
      </c>
      <c r="O7153">
        <v>0.99976390000000004</v>
      </c>
      <c r="P7153">
        <v>0.1260964</v>
      </c>
      <c r="Q7153">
        <v>9.3534610000000004E-2</v>
      </c>
      <c r="R7153">
        <v>0.98759859999999999</v>
      </c>
      <c r="S7153">
        <v>0.36474610000000002</v>
      </c>
      <c r="T7153">
        <v>-0.1083672</v>
      </c>
      <c r="U7153">
        <v>3.0016780000000001</v>
      </c>
      <c r="V7153">
        <v>0.14147460000000001</v>
      </c>
      <c r="W7153">
        <v>0.1084492</v>
      </c>
      <c r="X7153">
        <v>0.98398359999999996</v>
      </c>
      <c r="Y7153">
        <v>0.13602839999999999</v>
      </c>
      <c r="Z7153">
        <v>-3.5773020000000003E-2</v>
      </c>
      <c r="AA7153">
        <v>0.99005889999999996</v>
      </c>
      <c r="AB7153">
        <v>40</v>
      </c>
      <c r="AC7153">
        <v>3.7411999999999899</v>
      </c>
      <c r="AD7153">
        <v>-1.109856872645</v>
      </c>
      <c r="AE7153">
        <v>30.38955</v>
      </c>
      <c r="AF7153">
        <v>4.2095197769779</v>
      </c>
      <c r="AG7153">
        <v>-1.109856872645</v>
      </c>
      <c r="AH7153">
        <v>30.2876633640245</v>
      </c>
      <c r="AI7153">
        <v>92.078637074122497</v>
      </c>
      <c r="AJ7153">
        <v>82.087455451790206</v>
      </c>
      <c r="AK7153">
        <v>30.598927940092899</v>
      </c>
      <c r="AL7153">
        <v>83.774073592885102</v>
      </c>
      <c r="AM7153">
        <v>81.8182322111643</v>
      </c>
      <c r="AN7153">
        <v>1.0000000082473799</v>
      </c>
    </row>
    <row r="7154" spans="1:40" x14ac:dyDescent="0.25">
      <c r="A7154" t="str">
        <f>"20190312173105448"</f>
        <v>20190312173105448</v>
      </c>
      <c r="B7154" t="str">
        <f>"1552383065434156"</f>
        <v>1552383065434156</v>
      </c>
      <c r="C7154" t="s">
        <v>40</v>
      </c>
      <c r="D7154">
        <v>3.3455900000000001</v>
      </c>
      <c r="E7154">
        <v>0.49941580000000002</v>
      </c>
      <c r="F7154" t="s">
        <v>51</v>
      </c>
      <c r="G7154">
        <v>-184.3459</v>
      </c>
      <c r="H7154" s="1">
        <v>-1.6627369999999999E-6</v>
      </c>
      <c r="I7154">
        <v>120.1921</v>
      </c>
      <c r="J7154">
        <v>-188.0462</v>
      </c>
      <c r="K7154">
        <v>1.109853</v>
      </c>
      <c r="L7154">
        <v>90.860169999999997</v>
      </c>
      <c r="M7154">
        <v>-1.5685439999999998E-2</v>
      </c>
      <c r="N7154">
        <v>0</v>
      </c>
      <c r="O7154">
        <v>0.9997627</v>
      </c>
      <c r="P7154">
        <v>0.12904469999999901</v>
      </c>
      <c r="Q7154">
        <v>9.4163010000000005E-2</v>
      </c>
      <c r="R7154">
        <v>0.98715790000000003</v>
      </c>
      <c r="S7154">
        <v>0.37298579999999998</v>
      </c>
      <c r="T7154">
        <v>-0.11205900000000001</v>
      </c>
      <c r="U7154">
        <v>3.0006710000000001</v>
      </c>
      <c r="V7154">
        <v>0.14449409999999999</v>
      </c>
      <c r="W7154">
        <v>0.10906639999999999</v>
      </c>
      <c r="X7154">
        <v>0.98347649999999998</v>
      </c>
      <c r="Y7154">
        <v>0.13881930000000001</v>
      </c>
      <c r="Z7154">
        <v>-3.6988939999999998E-2</v>
      </c>
      <c r="AA7154">
        <v>0.98962669999999997</v>
      </c>
      <c r="AB7154">
        <v>40</v>
      </c>
      <c r="AC7154">
        <v>3.7002999999999902</v>
      </c>
      <c r="AD7154">
        <v>-1.1098546627370001</v>
      </c>
      <c r="AE7154">
        <v>29.33193</v>
      </c>
      <c r="AF7154">
        <v>4.1541271929206003</v>
      </c>
      <c r="AG7154">
        <v>-1.1098546627370001</v>
      </c>
      <c r="AH7154">
        <v>29.229081547024499</v>
      </c>
      <c r="AI7154">
        <v>92.152913946553795</v>
      </c>
      <c r="AJ7154">
        <v>81.911119216501604</v>
      </c>
      <c r="AK7154">
        <v>29.543658510583398</v>
      </c>
      <c r="AL7154">
        <v>83.738499729756697</v>
      </c>
      <c r="AM7154">
        <v>81.641800852656701</v>
      </c>
      <c r="AN7154">
        <v>1.0000000252979999</v>
      </c>
    </row>
    <row r="7155" spans="1:40" x14ac:dyDescent="0.25">
      <c r="A7155" t="str">
        <f>"20190312173105470"</f>
        <v>20190312173105470</v>
      </c>
      <c r="B7155" t="str">
        <f>"1552383065464413"</f>
        <v>1552383065464413</v>
      </c>
      <c r="C7155" t="s">
        <v>40</v>
      </c>
      <c r="D7155">
        <v>3.354095</v>
      </c>
      <c r="E7155">
        <v>0.49897829999999899</v>
      </c>
      <c r="F7155" t="s">
        <v>41</v>
      </c>
      <c r="G7155">
        <v>-185.3853</v>
      </c>
      <c r="H7155" s="1">
        <v>-2.7225959999999999E-6</v>
      </c>
      <c r="I7155">
        <v>114.04040000000001</v>
      </c>
      <c r="J7155">
        <v>-188.05240000000001</v>
      </c>
      <c r="K7155">
        <v>1.109855</v>
      </c>
      <c r="L7155">
        <v>91.250399999999999</v>
      </c>
      <c r="M7155">
        <v>-1.5765640000000001E-2</v>
      </c>
      <c r="N7155">
        <v>0</v>
      </c>
      <c r="O7155">
        <v>0.99976149999999997</v>
      </c>
      <c r="P7155">
        <v>0.13226760000000001</v>
      </c>
      <c r="Q7155">
        <v>9.5082899999999998E-2</v>
      </c>
      <c r="R7155">
        <v>0.9866431</v>
      </c>
      <c r="S7155">
        <v>0.34524539999999998</v>
      </c>
      <c r="T7155">
        <v>-0.1440033</v>
      </c>
      <c r="U7155">
        <v>3.0076290000000001</v>
      </c>
      <c r="V7155">
        <v>0.14778740000000001</v>
      </c>
      <c r="W7155">
        <v>0.1099745</v>
      </c>
      <c r="X7155">
        <v>0.98288580000000003</v>
      </c>
      <c r="Y7155">
        <v>0.12956280000000001</v>
      </c>
      <c r="Z7155">
        <v>-4.7458590000000002E-2</v>
      </c>
      <c r="AA7155">
        <v>0.99043479999999995</v>
      </c>
      <c r="AB7155">
        <v>40</v>
      </c>
      <c r="AC7155">
        <v>2.6671</v>
      </c>
      <c r="AD7155">
        <v>-1.109857722596</v>
      </c>
      <c r="AE7155">
        <v>22.79</v>
      </c>
      <c r="AF7155">
        <v>3.0190451111563901</v>
      </c>
      <c r="AG7155">
        <v>-1.109857722596</v>
      </c>
      <c r="AH7155">
        <v>22.692023695291901</v>
      </c>
      <c r="AI7155">
        <v>92.775662933947899</v>
      </c>
      <c r="AJ7155">
        <v>82.421626628541901</v>
      </c>
      <c r="AK7155">
        <v>22.9188646519694</v>
      </c>
      <c r="AL7155">
        <v>83.686154397900907</v>
      </c>
      <c r="AM7155">
        <v>81.449023462393001</v>
      </c>
      <c r="AN7155">
        <v>1.0000000010453201</v>
      </c>
    </row>
    <row r="7156" spans="1:40" x14ac:dyDescent="0.25">
      <c r="A7156" t="str">
        <f>"20190312173105493"</f>
        <v>20190312173105493</v>
      </c>
      <c r="B7156" t="str">
        <f>"1552383065484912"</f>
        <v>1552383065484912</v>
      </c>
      <c r="C7156" t="s">
        <v>40</v>
      </c>
      <c r="D7156">
        <v>3.4289459999999998</v>
      </c>
      <c r="E7156">
        <v>0.5162445</v>
      </c>
      <c r="F7156" t="s">
        <v>41</v>
      </c>
      <c r="G7156">
        <v>-185.3441</v>
      </c>
      <c r="H7156" s="1">
        <v>-2.8841239999999999E-6</v>
      </c>
      <c r="I7156">
        <v>114.4306</v>
      </c>
      <c r="J7156">
        <v>-188.05879999999999</v>
      </c>
      <c r="K7156">
        <v>1.1098600000000001</v>
      </c>
      <c r="L7156">
        <v>91.656980000000004</v>
      </c>
      <c r="M7156">
        <v>-1.5849510000000001E-2</v>
      </c>
      <c r="N7156">
        <v>0</v>
      </c>
      <c r="O7156">
        <v>0.99976030000000005</v>
      </c>
      <c r="P7156">
        <v>0.1345924</v>
      </c>
      <c r="Q7156">
        <v>9.6640420000000005E-2</v>
      </c>
      <c r="R7156">
        <v>0.98617719999999998</v>
      </c>
      <c r="S7156">
        <v>0.35136410000000001</v>
      </c>
      <c r="T7156">
        <v>-0.14399229999999999</v>
      </c>
      <c r="U7156">
        <v>3.0073850000000002</v>
      </c>
      <c r="V7156">
        <v>0.15018689999999901</v>
      </c>
      <c r="W7156">
        <v>0.1115208</v>
      </c>
      <c r="X7156">
        <v>0.98234770000000005</v>
      </c>
      <c r="Y7156">
        <v>0.13164329999999999</v>
      </c>
      <c r="Z7156">
        <v>-4.7446639999999998E-2</v>
      </c>
      <c r="AA7156">
        <v>0.99016099999999996</v>
      </c>
      <c r="AB7156">
        <v>40</v>
      </c>
      <c r="AC7156">
        <v>2.7146999999999899</v>
      </c>
      <c r="AD7156">
        <v>-1.1098628841239999</v>
      </c>
      <c r="AE7156">
        <v>22.773619999999902</v>
      </c>
      <c r="AF7156">
        <v>3.06816584117911</v>
      </c>
      <c r="AG7156">
        <v>-1.1098628841239999</v>
      </c>
      <c r="AH7156">
        <v>22.674628067038501</v>
      </c>
      <c r="AI7156">
        <v>92.776972841275693</v>
      </c>
      <c r="AJ7156">
        <v>82.293955524742003</v>
      </c>
      <c r="AK7156">
        <v>22.9081687445562</v>
      </c>
      <c r="AL7156">
        <v>83.597009540729005</v>
      </c>
      <c r="AM7156">
        <v>81.307603963524301</v>
      </c>
      <c r="AN7156">
        <v>0.99999999872976997</v>
      </c>
    </row>
    <row r="7157" spans="1:40" x14ac:dyDescent="0.25">
      <c r="A7157" t="str">
        <f>"20190312173105516"</f>
        <v>20190312173105516</v>
      </c>
      <c r="B7157" t="str">
        <f>"1552383065504428"</f>
        <v>1552383065504428</v>
      </c>
      <c r="C7157" t="s">
        <v>40</v>
      </c>
      <c r="D7157">
        <v>3.39676</v>
      </c>
      <c r="E7157">
        <v>0.52537609999999901</v>
      </c>
      <c r="F7157" t="s">
        <v>41</v>
      </c>
      <c r="G7157">
        <v>-184.1208</v>
      </c>
      <c r="H7157" s="1">
        <v>-3.5281109999999998E-6</v>
      </c>
      <c r="I7157">
        <v>115.4188</v>
      </c>
      <c r="J7157">
        <v>-188.06530000000001</v>
      </c>
      <c r="K7157">
        <v>1.1098619999999999</v>
      </c>
      <c r="L7157">
        <v>92.06</v>
      </c>
      <c r="M7157">
        <v>-1.593257E-2</v>
      </c>
      <c r="N7157">
        <v>0</v>
      </c>
      <c r="O7157">
        <v>0.99975899999999995</v>
      </c>
      <c r="P7157">
        <v>0.13719890000000001</v>
      </c>
      <c r="Q7157">
        <v>9.8928349999999998E-2</v>
      </c>
      <c r="R7157">
        <v>0.98559099999999999</v>
      </c>
      <c r="S7157">
        <v>0.495224</v>
      </c>
      <c r="T7157">
        <v>-0.13957049999999999</v>
      </c>
      <c r="U7157">
        <v>2.988159</v>
      </c>
      <c r="V7157">
        <v>0.152865</v>
      </c>
      <c r="W7157">
        <v>0.1137951</v>
      </c>
      <c r="X7157">
        <v>0.98167349999999998</v>
      </c>
      <c r="Y7157">
        <v>0.17902489999999999</v>
      </c>
      <c r="Z7157">
        <v>-4.5958409999999998E-2</v>
      </c>
      <c r="AA7157">
        <v>0.98277049999999999</v>
      </c>
      <c r="AB7157">
        <v>40</v>
      </c>
      <c r="AC7157">
        <v>3.9445000000000001</v>
      </c>
      <c r="AD7157">
        <v>-1.1098655281109999</v>
      </c>
      <c r="AE7157">
        <v>23.358799999999999</v>
      </c>
      <c r="AF7157">
        <v>4.3067541723585103</v>
      </c>
      <c r="AG7157">
        <v>-1.1098655281109999</v>
      </c>
      <c r="AH7157">
        <v>23.241965726666201</v>
      </c>
      <c r="AI7157">
        <v>92.688254570711393</v>
      </c>
      <c r="AJ7157">
        <v>79.502120113682807</v>
      </c>
      <c r="AK7157">
        <v>23.6636620967918</v>
      </c>
      <c r="AL7157">
        <v>83.4658665020862</v>
      </c>
      <c r="AM7157">
        <v>81.149054532421204</v>
      </c>
      <c r="AN7157">
        <v>0.99999994680562798</v>
      </c>
    </row>
    <row r="7158" spans="1:40" x14ac:dyDescent="0.25">
      <c r="A7158" t="str">
        <f>"20190312173105539"</f>
        <v>20190312173105539</v>
      </c>
      <c r="B7158" t="str">
        <f>"1552383065534684"</f>
        <v>1552383065534684</v>
      </c>
      <c r="C7158" t="s">
        <v>40</v>
      </c>
      <c r="D7158">
        <v>3.3708999999999998</v>
      </c>
      <c r="E7158">
        <v>0.52957109999999996</v>
      </c>
      <c r="F7158" t="s">
        <v>41</v>
      </c>
      <c r="G7158">
        <v>-183.35069999999999</v>
      </c>
      <c r="H7158" s="1">
        <v>-4.1093060000000004E-6</v>
      </c>
      <c r="I7158">
        <v>116.4623</v>
      </c>
      <c r="J7158">
        <v>-188.072</v>
      </c>
      <c r="K7158">
        <v>1.1098669999999999</v>
      </c>
      <c r="L7158">
        <v>92.478210000000004</v>
      </c>
      <c r="M7158">
        <v>-1.6018850000000001E-2</v>
      </c>
      <c r="N7158">
        <v>0</v>
      </c>
      <c r="O7158">
        <v>0.99975769999999997</v>
      </c>
      <c r="P7158">
        <v>0.13945560000000001</v>
      </c>
      <c r="Q7158">
        <v>0.10114380000000001</v>
      </c>
      <c r="R7158">
        <v>0.98504919999999996</v>
      </c>
      <c r="S7158">
        <v>0.57524109999999995</v>
      </c>
      <c r="T7158">
        <v>-0.1354177</v>
      </c>
      <c r="U7158">
        <v>2.9773860000000001</v>
      </c>
      <c r="V7158">
        <v>0.15519729999999901</v>
      </c>
      <c r="W7158">
        <v>0.11599719999999999</v>
      </c>
      <c r="X7158">
        <v>0.98104970000000002</v>
      </c>
      <c r="Y7158">
        <v>0.20521249999999999</v>
      </c>
      <c r="Z7158">
        <v>-4.4531910000000001E-2</v>
      </c>
      <c r="AA7158">
        <v>0.97770380000000001</v>
      </c>
      <c r="AB7158">
        <v>40</v>
      </c>
      <c r="AC7158">
        <v>4.72130000000001</v>
      </c>
      <c r="AD7158">
        <v>-1.1098711093060001</v>
      </c>
      <c r="AE7158">
        <v>23.984089999999899</v>
      </c>
      <c r="AF7158">
        <v>5.0944331343594502</v>
      </c>
      <c r="AG7158">
        <v>-1.1098711093060001</v>
      </c>
      <c r="AH7158">
        <v>23.856193481705699</v>
      </c>
      <c r="AI7158">
        <v>92.605021477566495</v>
      </c>
      <c r="AJ7158">
        <v>77.945682571475501</v>
      </c>
      <c r="AK7158">
        <v>24.4193167446657</v>
      </c>
      <c r="AL7158">
        <v>83.338854872548197</v>
      </c>
      <c r="AM7158">
        <v>81.010580690336099</v>
      </c>
      <c r="AN7158">
        <v>1.0000000331026</v>
      </c>
    </row>
    <row r="7159" spans="1:40" x14ac:dyDescent="0.25">
      <c r="A7159" t="str">
        <f>"20190312173105561"</f>
        <v>20190312173105561</v>
      </c>
      <c r="B7159" t="str">
        <f>"1552383065554204"</f>
        <v>1552383065554204</v>
      </c>
      <c r="C7159" t="s">
        <v>40</v>
      </c>
      <c r="D7159">
        <v>3.3887230000000002</v>
      </c>
      <c r="E7159">
        <v>0.53107869999999902</v>
      </c>
      <c r="F7159" t="s">
        <v>41</v>
      </c>
      <c r="G7159">
        <v>-182.9144</v>
      </c>
      <c r="H7159" s="1">
        <v>-4.5962180000000002E-6</v>
      </c>
      <c r="I7159">
        <v>117.4169</v>
      </c>
      <c r="J7159">
        <v>-188.07830000000001</v>
      </c>
      <c r="K7159">
        <v>1.1098760000000001</v>
      </c>
      <c r="L7159">
        <v>92.86703</v>
      </c>
      <c r="M7159">
        <v>-1.609903E-2</v>
      </c>
      <c r="N7159">
        <v>0</v>
      </c>
      <c r="O7159">
        <v>0.99975650000000005</v>
      </c>
      <c r="P7159">
        <v>0.142009</v>
      </c>
      <c r="Q7159">
        <v>0.1030838</v>
      </c>
      <c r="R7159">
        <v>0.9844832</v>
      </c>
      <c r="S7159">
        <v>0.61466980000000004</v>
      </c>
      <c r="T7159">
        <v>-0.13227079999999999</v>
      </c>
      <c r="U7159">
        <v>2.9721069999999998</v>
      </c>
      <c r="V7159">
        <v>0.15781970000000001</v>
      </c>
      <c r="W7159">
        <v>0.1179241</v>
      </c>
      <c r="X7159">
        <v>0.98040139999999998</v>
      </c>
      <c r="Y7159">
        <v>0.2180764</v>
      </c>
      <c r="Z7159">
        <v>-4.3457410000000002E-2</v>
      </c>
      <c r="AA7159">
        <v>0.97496369999999999</v>
      </c>
      <c r="AB7159">
        <v>40</v>
      </c>
      <c r="AC7159">
        <v>5.1639000000000097</v>
      </c>
      <c r="AD7159">
        <v>-1.1098805962180001</v>
      </c>
      <c r="AE7159">
        <v>24.549869999999999</v>
      </c>
      <c r="AF7159">
        <v>5.5476464540975599</v>
      </c>
      <c r="AG7159">
        <v>-1.1098805962180001</v>
      </c>
      <c r="AH7159">
        <v>24.4157560493882</v>
      </c>
      <c r="AI7159">
        <v>92.538128639768004</v>
      </c>
      <c r="AJ7159">
        <v>77.198833432060894</v>
      </c>
      <c r="AK7159">
        <v>25.062668644435199</v>
      </c>
      <c r="AL7159">
        <v>83.227688602668906</v>
      </c>
      <c r="AM7159">
        <v>80.855286061497495</v>
      </c>
      <c r="AN7159">
        <v>1.00000002809542</v>
      </c>
    </row>
    <row r="7160" spans="1:40" x14ac:dyDescent="0.25">
      <c r="A7160" t="str">
        <f>"20190312173105581"</f>
        <v>20190312173105581</v>
      </c>
      <c r="B7160" t="str">
        <f>"1552383065574701"</f>
        <v>1552383065574701</v>
      </c>
      <c r="C7160" t="s">
        <v>40</v>
      </c>
      <c r="D7160">
        <v>3.3987699999999998</v>
      </c>
      <c r="E7160">
        <v>0.53203210000000001</v>
      </c>
      <c r="F7160" t="s">
        <v>41</v>
      </c>
      <c r="G7160">
        <v>-182.6396</v>
      </c>
      <c r="H7160" s="1">
        <v>-5.0487740000000004E-6</v>
      </c>
      <c r="I7160">
        <v>118.3582</v>
      </c>
      <c r="J7160">
        <v>-188.08430000000001</v>
      </c>
      <c r="K7160">
        <v>1.109883</v>
      </c>
      <c r="L7160">
        <v>93.234859999999998</v>
      </c>
      <c r="M7160">
        <v>-1.6174890000000001E-2</v>
      </c>
      <c r="N7160">
        <v>0</v>
      </c>
      <c r="O7160">
        <v>0.99975530000000001</v>
      </c>
      <c r="P7160">
        <v>0.144352799999999</v>
      </c>
      <c r="Q7160">
        <v>0.104714</v>
      </c>
      <c r="R7160">
        <v>0.98397020000000002</v>
      </c>
      <c r="S7160">
        <v>0.63354489999999997</v>
      </c>
      <c r="T7160">
        <v>-0.12928819999999999</v>
      </c>
      <c r="U7160">
        <v>2.9694210000000001</v>
      </c>
      <c r="V7160">
        <v>0.16022919999999999</v>
      </c>
      <c r="W7160">
        <v>0.11954239999999999</v>
      </c>
      <c r="X7160">
        <v>0.97981439999999997</v>
      </c>
      <c r="Y7160">
        <v>0.22426499999999999</v>
      </c>
      <c r="Z7160">
        <v>-4.2459160000000003E-2</v>
      </c>
      <c r="AA7160">
        <v>0.97360279999999999</v>
      </c>
      <c r="AB7160">
        <v>40</v>
      </c>
      <c r="AC7160">
        <v>5.4447000000000099</v>
      </c>
      <c r="AD7160">
        <v>-1.1098880487739999</v>
      </c>
      <c r="AE7160">
        <v>25.123339999999999</v>
      </c>
      <c r="AF7160">
        <v>5.8395156113902598</v>
      </c>
      <c r="AG7160">
        <v>-1.1098880487739999</v>
      </c>
      <c r="AH7160">
        <v>24.9853996792306</v>
      </c>
      <c r="AI7160">
        <v>92.476829434090902</v>
      </c>
      <c r="AJ7160">
        <v>76.845125587178202</v>
      </c>
      <c r="AK7160">
        <v>25.682717753138601</v>
      </c>
      <c r="AL7160">
        <v>83.134306211005097</v>
      </c>
      <c r="AM7160">
        <v>80.712618151542898</v>
      </c>
      <c r="AN7160">
        <v>1.0000000201888799</v>
      </c>
    </row>
    <row r="7161" spans="1:40" x14ac:dyDescent="0.25">
      <c r="A7161" t="str">
        <f>"20190312173105605"</f>
        <v>20190312173105605</v>
      </c>
      <c r="B7161" t="str">
        <f>"1552383065595196"</f>
        <v>1552383065595196</v>
      </c>
      <c r="C7161" t="s">
        <v>40</v>
      </c>
      <c r="D7161">
        <v>3.401376</v>
      </c>
      <c r="E7161">
        <v>0.53262379999999998</v>
      </c>
      <c r="F7161" t="s">
        <v>41</v>
      </c>
      <c r="G7161">
        <v>-182.45230000000001</v>
      </c>
      <c r="H7161" s="1">
        <v>-5.379334E-6</v>
      </c>
      <c r="I7161">
        <v>119.0513</v>
      </c>
      <c r="J7161">
        <v>-188.09100000000001</v>
      </c>
      <c r="K7161">
        <v>1.10989</v>
      </c>
      <c r="L7161">
        <v>93.648009999999999</v>
      </c>
      <c r="M7161">
        <v>-1.6260199999999999E-2</v>
      </c>
      <c r="N7161">
        <v>0</v>
      </c>
      <c r="O7161">
        <v>0.99975400000000003</v>
      </c>
      <c r="P7161">
        <v>0.1467348</v>
      </c>
      <c r="Q7161">
        <v>0.10643710000000001</v>
      </c>
      <c r="R7161">
        <v>0.9834328</v>
      </c>
      <c r="S7161">
        <v>0.64736939999999998</v>
      </c>
      <c r="T7161">
        <v>-0.1275762</v>
      </c>
      <c r="U7161">
        <v>2.9674680000000002</v>
      </c>
      <c r="V7161">
        <v>0.16268560000000001</v>
      </c>
      <c r="W7161">
        <v>0.12125229999999999</v>
      </c>
      <c r="X7161">
        <v>0.97919929999999999</v>
      </c>
      <c r="Y7161">
        <v>0.2288154</v>
      </c>
      <c r="Z7161">
        <v>-4.1882000000000003E-2</v>
      </c>
      <c r="AA7161">
        <v>0.97256849999999995</v>
      </c>
      <c r="AB7161">
        <v>40</v>
      </c>
      <c r="AC7161">
        <v>5.6386999999999698</v>
      </c>
      <c r="AD7161">
        <v>-1.1098953793340001</v>
      </c>
      <c r="AE7161">
        <v>25.403289999999998</v>
      </c>
      <c r="AF7161">
        <v>6.0400754140473003</v>
      </c>
      <c r="AG7161">
        <v>-1.1098953793340001</v>
      </c>
      <c r="AH7161">
        <v>25.262275056461899</v>
      </c>
      <c r="AI7161">
        <v>92.446788621635406</v>
      </c>
      <c r="AJ7161">
        <v>76.553323088913402</v>
      </c>
      <c r="AK7161">
        <v>25.9980176126716</v>
      </c>
      <c r="AL7161">
        <v>83.035618106454294</v>
      </c>
      <c r="AM7161">
        <v>80.566959183863105</v>
      </c>
      <c r="AN7161">
        <v>0.99999999691156904</v>
      </c>
    </row>
    <row r="7162" spans="1:40" x14ac:dyDescent="0.25">
      <c r="A7162" t="str">
        <f>"20190312173105627"</f>
        <v>20190312173105627</v>
      </c>
      <c r="B7162" t="str">
        <f>"1552383065614717"</f>
        <v>1552383065614717</v>
      </c>
      <c r="C7162" t="s">
        <v>40</v>
      </c>
      <c r="D7162">
        <v>3.3933599999999999</v>
      </c>
      <c r="E7162">
        <v>0.53304619999999903</v>
      </c>
      <c r="F7162" t="s">
        <v>51</v>
      </c>
      <c r="G7162">
        <v>-182.29179999999999</v>
      </c>
      <c r="H7162" s="1">
        <v>-2.0863829999999998E-6</v>
      </c>
      <c r="I7162">
        <v>119.7747</v>
      </c>
      <c r="J7162">
        <v>-188.0976</v>
      </c>
      <c r="K7162">
        <v>1.1098939999999999</v>
      </c>
      <c r="L7162">
        <v>94.045990000000003</v>
      </c>
      <c r="M7162">
        <v>-1.6342559999999999E-2</v>
      </c>
      <c r="N7162">
        <v>0</v>
      </c>
      <c r="O7162">
        <v>0.99975270000000005</v>
      </c>
      <c r="P7162">
        <v>0.14853189999999999</v>
      </c>
      <c r="Q7162">
        <v>0.10797470000000001</v>
      </c>
      <c r="R7162">
        <v>0.98299530000000002</v>
      </c>
      <c r="S7162">
        <v>0.6583405</v>
      </c>
      <c r="T7162">
        <v>-0.12599649999999901</v>
      </c>
      <c r="U7162">
        <v>2.9659420000000001</v>
      </c>
      <c r="V7162">
        <v>0.16455600000000001</v>
      </c>
      <c r="W7162">
        <v>0.1227786</v>
      </c>
      <c r="X7162">
        <v>0.97869649999999997</v>
      </c>
      <c r="Y7162">
        <v>0.23243430000000001</v>
      </c>
      <c r="Z7162">
        <v>-4.1350749999999999E-2</v>
      </c>
      <c r="AA7162">
        <v>0.9717327</v>
      </c>
      <c r="AB7162">
        <v>40</v>
      </c>
      <c r="AC7162">
        <v>5.8057999999999996</v>
      </c>
      <c r="AD7162">
        <v>-1.1098960863830001</v>
      </c>
      <c r="AE7162">
        <v>25.7287099999999</v>
      </c>
      <c r="AF7162">
        <v>6.21454084093748</v>
      </c>
      <c r="AG7162">
        <v>-1.1098960863830001</v>
      </c>
      <c r="AH7162">
        <v>25.585075806076102</v>
      </c>
      <c r="AI7162">
        <v>92.413867427943501</v>
      </c>
      <c r="AJ7162">
        <v>76.347418752603701</v>
      </c>
      <c r="AK7162">
        <v>26.352390616202399</v>
      </c>
      <c r="AL7162">
        <v>82.947509596375795</v>
      </c>
      <c r="AM7162">
        <v>80.455678739647993</v>
      </c>
      <c r="AN7162">
        <v>1.0000000504330999</v>
      </c>
    </row>
    <row r="7163" spans="1:40" x14ac:dyDescent="0.25">
      <c r="A7163" t="str">
        <f>"20190312173105649"</f>
        <v>20190312173105649</v>
      </c>
      <c r="B7163" t="str">
        <f>"1552383065644973"</f>
        <v>1552383065644973</v>
      </c>
      <c r="C7163" t="s">
        <v>40</v>
      </c>
      <c r="D7163">
        <v>3.3842409999999998</v>
      </c>
      <c r="E7163">
        <v>0.53345880000000001</v>
      </c>
      <c r="F7163" t="s">
        <v>51</v>
      </c>
      <c r="G7163">
        <v>-182.15520000000001</v>
      </c>
      <c r="H7163" s="1">
        <v>-2.330102E-6</v>
      </c>
      <c r="I7163">
        <v>120.47880000000001</v>
      </c>
      <c r="J7163">
        <v>-188.10390000000001</v>
      </c>
      <c r="K7163">
        <v>1.109891</v>
      </c>
      <c r="L7163">
        <v>94.432649999999995</v>
      </c>
      <c r="M7163">
        <v>-1.64222999999999E-2</v>
      </c>
      <c r="N7163">
        <v>0</v>
      </c>
      <c r="O7163">
        <v>0.99975139999999996</v>
      </c>
      <c r="P7163">
        <v>0.15024279999999901</v>
      </c>
      <c r="Q7163">
        <v>0.1092012</v>
      </c>
      <c r="R7163">
        <v>0.98259969999999996</v>
      </c>
      <c r="S7163">
        <v>0.66653439999999997</v>
      </c>
      <c r="T7163">
        <v>-0.1244919</v>
      </c>
      <c r="U7163">
        <v>2.9648439999999998</v>
      </c>
      <c r="V7163">
        <v>0.16633809999999999</v>
      </c>
      <c r="W7163">
        <v>0.1239942</v>
      </c>
      <c r="X7163">
        <v>0.97824180000000005</v>
      </c>
      <c r="Y7163">
        <v>0.23514959999999999</v>
      </c>
      <c r="Z7163">
        <v>-4.0846830000000001E-2</v>
      </c>
      <c r="AA7163">
        <v>0.97110050000000003</v>
      </c>
      <c r="AB7163">
        <v>40</v>
      </c>
      <c r="AC7163">
        <v>5.9486999999999997</v>
      </c>
      <c r="AD7163">
        <v>-1.109893330102</v>
      </c>
      <c r="AE7163">
        <v>26.046150000000001</v>
      </c>
      <c r="AF7163">
        <v>6.3646996921531498</v>
      </c>
      <c r="AG7163">
        <v>-1.109893330102</v>
      </c>
      <c r="AH7163">
        <v>25.900235446210001</v>
      </c>
      <c r="AI7163">
        <v>92.3829630695178</v>
      </c>
      <c r="AJ7163">
        <v>76.193758579530297</v>
      </c>
      <c r="AK7163">
        <v>26.693884347254802</v>
      </c>
      <c r="AL7163">
        <v>82.877323980915193</v>
      </c>
      <c r="AM7163">
        <v>80.349848812593805</v>
      </c>
      <c r="AN7163">
        <v>0.99999997220624404</v>
      </c>
    </row>
    <row r="7164" spans="1:40" x14ac:dyDescent="0.25">
      <c r="A7164" t="str">
        <f>"20190312173105671"</f>
        <v>20190312173105671</v>
      </c>
      <c r="B7164" t="str">
        <f>"1552383065664493"</f>
        <v>1552383065664493</v>
      </c>
      <c r="C7164" t="s">
        <v>40</v>
      </c>
      <c r="D7164">
        <v>3.357361</v>
      </c>
      <c r="E7164">
        <v>0.53373669999999995</v>
      </c>
      <c r="F7164" t="s">
        <v>51</v>
      </c>
      <c r="G7164">
        <v>-182.0282</v>
      </c>
      <c r="H7164" s="1">
        <v>-2.5546099999999999E-6</v>
      </c>
      <c r="I7164">
        <v>121.1264</v>
      </c>
      <c r="J7164">
        <v>-188.1104</v>
      </c>
      <c r="K7164">
        <v>1.109885</v>
      </c>
      <c r="L7164">
        <v>94.82123</v>
      </c>
      <c r="M7164">
        <v>-1.6502099999999999E-2</v>
      </c>
      <c r="N7164">
        <v>0</v>
      </c>
      <c r="O7164">
        <v>0.99975020000000003</v>
      </c>
      <c r="P7164">
        <v>0.15136620000000001</v>
      </c>
      <c r="Q7164">
        <v>0.10977919999999999</v>
      </c>
      <c r="R7164">
        <v>0.98236290000000004</v>
      </c>
      <c r="S7164">
        <v>0.67456050000000001</v>
      </c>
      <c r="T7164">
        <v>-0.1232264</v>
      </c>
      <c r="U7164">
        <v>2.9636840000000002</v>
      </c>
      <c r="V7164">
        <v>0.16753570000000001</v>
      </c>
      <c r="W7164">
        <v>0.1245638</v>
      </c>
      <c r="X7164">
        <v>0.97796510000000003</v>
      </c>
      <c r="Y7164">
        <v>0.23781330000000001</v>
      </c>
      <c r="Z7164">
        <v>-4.0422430000000002E-2</v>
      </c>
      <c r="AA7164">
        <v>0.97046940000000004</v>
      </c>
      <c r="AB7164">
        <v>40</v>
      </c>
      <c r="AC7164">
        <v>6.0822000000000003</v>
      </c>
      <c r="AD7164">
        <v>-1.10988755461</v>
      </c>
      <c r="AE7164">
        <v>26.30517</v>
      </c>
      <c r="AF7164">
        <v>6.5045195855165003</v>
      </c>
      <c r="AG7164">
        <v>-1.10988755461</v>
      </c>
      <c r="AH7164">
        <v>26.157004430513801</v>
      </c>
      <c r="AI7164">
        <v>92.357975140253998</v>
      </c>
      <c r="AJ7164">
        <v>76.035381589673904</v>
      </c>
      <c r="AK7164">
        <v>26.9764620771547</v>
      </c>
      <c r="AL7164">
        <v>82.844433828375998</v>
      </c>
      <c r="AM7164">
        <v>80.278992885890403</v>
      </c>
      <c r="AN7164">
        <v>1.00000004393146</v>
      </c>
    </row>
    <row r="7165" spans="1:40" x14ac:dyDescent="0.25">
      <c r="A7165" t="str">
        <f>"20190312173105694"</f>
        <v>20190312173105694</v>
      </c>
      <c r="B7165" t="str">
        <f>"1552383065684992"</f>
        <v>1552383065684992</v>
      </c>
      <c r="C7165" t="s">
        <v>40</v>
      </c>
      <c r="D7165">
        <v>3.3853420000000001</v>
      </c>
      <c r="E7165">
        <v>0.53400530000000002</v>
      </c>
      <c r="F7165" t="s">
        <v>51</v>
      </c>
      <c r="G7165">
        <v>-182.00389999999999</v>
      </c>
      <c r="H7165" s="1">
        <v>-2.649839E-6</v>
      </c>
      <c r="I7165">
        <v>121.4277</v>
      </c>
      <c r="J7165">
        <v>-188.11709999999999</v>
      </c>
      <c r="K7165">
        <v>1.10988</v>
      </c>
      <c r="L7165">
        <v>95.223479999999995</v>
      </c>
      <c r="M7165">
        <v>-1.6582860000000001E-2</v>
      </c>
      <c r="N7165">
        <v>0</v>
      </c>
      <c r="O7165">
        <v>0.99974890000000005</v>
      </c>
      <c r="P7165">
        <v>0.1525118</v>
      </c>
      <c r="Q7165">
        <v>0.10968319999999999</v>
      </c>
      <c r="R7165">
        <v>0.98219639999999997</v>
      </c>
      <c r="S7165">
        <v>0.68002320000000005</v>
      </c>
      <c r="T7165">
        <v>-0.12359680000000001</v>
      </c>
      <c r="U7165">
        <v>2.9628909999999999</v>
      </c>
      <c r="V7165">
        <v>0.16875799999999999</v>
      </c>
      <c r="W7165">
        <v>0.12446069999999999</v>
      </c>
      <c r="X7165">
        <v>0.97776799999999997</v>
      </c>
      <c r="Y7165">
        <v>0.2396469</v>
      </c>
      <c r="Z7165">
        <v>-4.0536719999999998E-2</v>
      </c>
      <c r="AA7165">
        <v>0.97001349999999997</v>
      </c>
      <c r="AB7165">
        <v>40</v>
      </c>
      <c r="AC7165">
        <v>6.1132</v>
      </c>
      <c r="AD7165">
        <v>-1.109882649839</v>
      </c>
      <c r="AE7165">
        <v>26.2042199999999</v>
      </c>
      <c r="AF7165">
        <v>6.5358296877045703</v>
      </c>
      <c r="AG7165">
        <v>-1.109882649839</v>
      </c>
      <c r="AH7165">
        <v>26.054901353154701</v>
      </c>
      <c r="AI7165">
        <v>92.365985160111094</v>
      </c>
      <c r="AJ7165">
        <v>75.918016630994302</v>
      </c>
      <c r="AK7165">
        <v>26.885066370119301</v>
      </c>
      <c r="AL7165">
        <v>82.850387002057701</v>
      </c>
      <c r="AM7165">
        <v>80.207503092866901</v>
      </c>
      <c r="AN7165">
        <v>0.99999999511624404</v>
      </c>
    </row>
    <row r="7166" spans="1:40" x14ac:dyDescent="0.25">
      <c r="A7166" t="str">
        <f>"20190312173105716"</f>
        <v>20190312173105716</v>
      </c>
      <c r="B7166" t="str">
        <f>"1552383065704508"</f>
        <v>1552383065704508</v>
      </c>
      <c r="C7166" t="s">
        <v>40</v>
      </c>
      <c r="D7166">
        <v>3.4516010000000001</v>
      </c>
      <c r="E7166">
        <v>0.53392620000000002</v>
      </c>
      <c r="F7166" t="s">
        <v>51</v>
      </c>
      <c r="G7166">
        <v>-182.1104</v>
      </c>
      <c r="H7166" s="1">
        <v>-2.553609E-6</v>
      </c>
      <c r="I7166">
        <v>121.1972</v>
      </c>
      <c r="J7166">
        <v>-188.12360000000001</v>
      </c>
      <c r="K7166">
        <v>1.109872</v>
      </c>
      <c r="L7166">
        <v>95.609129999999993</v>
      </c>
      <c r="M7166">
        <v>-1.665848E-2</v>
      </c>
      <c r="N7166">
        <v>0</v>
      </c>
      <c r="O7166">
        <v>0.99974779999999996</v>
      </c>
      <c r="P7166">
        <v>0.15292169999999999</v>
      </c>
      <c r="Q7166">
        <v>0.1095223</v>
      </c>
      <c r="R7166">
        <v>0.98215059999999998</v>
      </c>
      <c r="S7166">
        <v>0.68502810000000003</v>
      </c>
      <c r="T7166">
        <v>-0.12657460000000001</v>
      </c>
      <c r="U7166">
        <v>2.9621279999999999</v>
      </c>
      <c r="V7166">
        <v>0.16924169999999999</v>
      </c>
      <c r="W7166">
        <v>0.12429419999999999</v>
      </c>
      <c r="X7166">
        <v>0.97770559999999995</v>
      </c>
      <c r="Y7166">
        <v>0.2413218</v>
      </c>
      <c r="Z7166">
        <v>-4.1505489999999999E-2</v>
      </c>
      <c r="AA7166">
        <v>0.96955720000000001</v>
      </c>
      <c r="AB7166">
        <v>39</v>
      </c>
      <c r="AC7166">
        <v>6.0132000000000101</v>
      </c>
      <c r="AD7166">
        <v>-1.109874553609</v>
      </c>
      <c r="AE7166">
        <v>25.588069999999899</v>
      </c>
      <c r="AF7166">
        <v>6.4272130162404899</v>
      </c>
      <c r="AG7166">
        <v>-1.109874553609</v>
      </c>
      <c r="AH7166">
        <v>25.438981178205601</v>
      </c>
      <c r="AI7166">
        <v>92.422151147047003</v>
      </c>
      <c r="AJ7166">
        <v>75.820828243289299</v>
      </c>
      <c r="AK7166">
        <v>26.2618097637231</v>
      </c>
      <c r="AL7166">
        <v>82.860001589244604</v>
      </c>
      <c r="AM7166">
        <v>80.1793666433948</v>
      </c>
      <c r="AN7166">
        <v>1.0000000207219399</v>
      </c>
    </row>
    <row r="7167" spans="1:40" x14ac:dyDescent="0.25">
      <c r="A7167" t="str">
        <f>"20190312173105740"</f>
        <v>20190312173105740</v>
      </c>
      <c r="B7167" t="str">
        <f>"1552383065734764"</f>
        <v>1552383065734764</v>
      </c>
      <c r="C7167" t="s">
        <v>40</v>
      </c>
      <c r="D7167">
        <v>3.4041030000000001</v>
      </c>
      <c r="E7167">
        <v>0.53398500000000004</v>
      </c>
      <c r="F7167" t="s">
        <v>51</v>
      </c>
      <c r="G7167">
        <v>-182.37629999999999</v>
      </c>
      <c r="H7167" s="1">
        <v>-2.2695160000000001E-6</v>
      </c>
      <c r="I7167">
        <v>120.47280000000001</v>
      </c>
      <c r="J7167">
        <v>-188.13069999999999</v>
      </c>
      <c r="K7167">
        <v>1.1098699999999999</v>
      </c>
      <c r="L7167">
        <v>96.031189999999995</v>
      </c>
      <c r="M7167">
        <v>-1.6739790000000001E-2</v>
      </c>
      <c r="N7167">
        <v>0</v>
      </c>
      <c r="O7167">
        <v>0.99974649999999998</v>
      </c>
      <c r="P7167">
        <v>0.1533813</v>
      </c>
      <c r="Q7167">
        <v>0.109608</v>
      </c>
      <c r="R7167">
        <v>0.98206939999999998</v>
      </c>
      <c r="S7167">
        <v>0.68482969999999999</v>
      </c>
      <c r="T7167">
        <v>-0.1322477</v>
      </c>
      <c r="U7167">
        <v>2.9626459999999999</v>
      </c>
      <c r="V7167">
        <v>0.16978009999999999</v>
      </c>
      <c r="W7167">
        <v>0.1243727</v>
      </c>
      <c r="X7167">
        <v>0.97760219999999998</v>
      </c>
      <c r="Y7167">
        <v>0.2412841</v>
      </c>
      <c r="Z7167">
        <v>-4.3355280000000003E-2</v>
      </c>
      <c r="AA7167">
        <v>0.96948559999999995</v>
      </c>
      <c r="AB7167">
        <v>39</v>
      </c>
      <c r="AC7167">
        <v>5.7544000000000004</v>
      </c>
      <c r="AD7167">
        <v>-1.1098722695159999</v>
      </c>
      <c r="AE7167">
        <v>24.441610000000001</v>
      </c>
      <c r="AF7167">
        <v>6.1507705754061801</v>
      </c>
      <c r="AG7167">
        <v>-1.1098722695159999</v>
      </c>
      <c r="AH7167">
        <v>24.294382235367198</v>
      </c>
      <c r="AI7167">
        <v>92.535801074476495</v>
      </c>
      <c r="AJ7167">
        <v>75.792582145266906</v>
      </c>
      <c r="AK7167">
        <v>25.0854699641854</v>
      </c>
      <c r="AL7167">
        <v>82.855468233915502</v>
      </c>
      <c r="AM7167">
        <v>80.147714372966902</v>
      </c>
      <c r="AN7167">
        <v>0.99999995615306903</v>
      </c>
    </row>
    <row r="7168" spans="1:40" x14ac:dyDescent="0.25">
      <c r="A7168" t="str">
        <f>"20190312173105763"</f>
        <v>20190312173105763</v>
      </c>
      <c r="B7168" t="str">
        <f>"1552383065754285"</f>
        <v>1552383065754285</v>
      </c>
      <c r="C7168" t="s">
        <v>40</v>
      </c>
      <c r="D7168">
        <v>3.396855</v>
      </c>
      <c r="E7168">
        <v>0.53420029999999996</v>
      </c>
      <c r="F7168" t="s">
        <v>51</v>
      </c>
      <c r="G7168">
        <v>-182.571</v>
      </c>
      <c r="H7168" s="1">
        <v>-2.0883910000000002E-6</v>
      </c>
      <c r="I7168">
        <v>120.0338</v>
      </c>
      <c r="J7168">
        <v>-188.13730000000001</v>
      </c>
      <c r="K7168">
        <v>1.109864</v>
      </c>
      <c r="L7168">
        <v>96.417509999999993</v>
      </c>
      <c r="M7168">
        <v>-1.681274E-2</v>
      </c>
      <c r="N7168">
        <v>0</v>
      </c>
      <c r="O7168">
        <v>0.99974529999999995</v>
      </c>
      <c r="P7168">
        <v>0.153394899999999</v>
      </c>
      <c r="Q7168">
        <v>0.1098933</v>
      </c>
      <c r="R7168">
        <v>0.98203530000000006</v>
      </c>
      <c r="S7168">
        <v>0.68629459999999998</v>
      </c>
      <c r="T7168">
        <v>-0.13700319999999999</v>
      </c>
      <c r="U7168">
        <v>2.9628909999999999</v>
      </c>
      <c r="V7168">
        <v>0.16986490000000001</v>
      </c>
      <c r="W7168">
        <v>0.12465279999999999</v>
      </c>
      <c r="X7168">
        <v>0.97755179999999997</v>
      </c>
      <c r="Y7168">
        <v>0.24177679999999999</v>
      </c>
      <c r="Z7168">
        <v>-4.4902160000000003E-2</v>
      </c>
      <c r="AA7168">
        <v>0.96929240000000005</v>
      </c>
      <c r="AB7168">
        <v>39</v>
      </c>
      <c r="AC7168">
        <v>5.5663000000000098</v>
      </c>
      <c r="AD7168">
        <v>-1.1098660883910001</v>
      </c>
      <c r="AE7168">
        <v>23.616289999999999</v>
      </c>
      <c r="AF7168">
        <v>5.9501626907276801</v>
      </c>
      <c r="AG7168">
        <v>-1.1098660883910001</v>
      </c>
      <c r="AH7168">
        <v>23.470247509794302</v>
      </c>
      <c r="AI7168">
        <v>92.624492386770299</v>
      </c>
      <c r="AJ7168">
        <v>75.774129924506596</v>
      </c>
      <c r="AK7168">
        <v>24.238167359585901</v>
      </c>
      <c r="AL7168">
        <v>82.839293867135197</v>
      </c>
      <c r="AM7168">
        <v>80.142391719519793</v>
      </c>
      <c r="AN7168">
        <v>0.99999996324154405</v>
      </c>
    </row>
    <row r="7169" spans="1:40" x14ac:dyDescent="0.25">
      <c r="A7169" t="str">
        <f>"20190312173105784"</f>
        <v>20190312173105784</v>
      </c>
      <c r="B7169" t="str">
        <f>"1552383065774784"</f>
        <v>1552383065774784</v>
      </c>
      <c r="C7169" t="s">
        <v>40</v>
      </c>
      <c r="D7169">
        <v>3.408118</v>
      </c>
      <c r="E7169">
        <v>0.53441949999999905</v>
      </c>
      <c r="F7169" t="s">
        <v>51</v>
      </c>
      <c r="G7169">
        <v>-182.63050000000001</v>
      </c>
      <c r="H7169" s="1">
        <v>-2.1029499999999999E-6</v>
      </c>
      <c r="I7169">
        <v>120.1369</v>
      </c>
      <c r="J7169">
        <v>-188.1437</v>
      </c>
      <c r="K7169">
        <v>1.1098570000000001</v>
      </c>
      <c r="L7169">
        <v>96.798069999999996</v>
      </c>
      <c r="M7169">
        <v>-1.6883700000000001E-2</v>
      </c>
      <c r="N7169">
        <v>0</v>
      </c>
      <c r="O7169">
        <v>0.99974419999999997</v>
      </c>
      <c r="P7169">
        <v>0.153174799999999</v>
      </c>
      <c r="Q7169">
        <v>0.1096019</v>
      </c>
      <c r="R7169">
        <v>0.98210229999999998</v>
      </c>
      <c r="S7169">
        <v>0.68788149999999904</v>
      </c>
      <c r="T7169">
        <v>-0.13863929999999999</v>
      </c>
      <c r="U7169">
        <v>2.9629210000000001</v>
      </c>
      <c r="V7169">
        <v>0.1697158</v>
      </c>
      <c r="W7169">
        <v>0.124358</v>
      </c>
      <c r="X7169">
        <v>0.97761529999999996</v>
      </c>
      <c r="Y7169">
        <v>0.24233070000000001</v>
      </c>
      <c r="Z7169">
        <v>-4.5430829999999998E-2</v>
      </c>
      <c r="AA7169">
        <v>0.96912940000000003</v>
      </c>
      <c r="AB7169">
        <v>39</v>
      </c>
      <c r="AC7169">
        <v>5.5131999999999799</v>
      </c>
      <c r="AD7169">
        <v>-1.10985910294999</v>
      </c>
      <c r="AE7169">
        <v>23.338829999999898</v>
      </c>
      <c r="AF7169">
        <v>5.8938804209635496</v>
      </c>
      <c r="AG7169">
        <v>-1.10985910294999</v>
      </c>
      <c r="AH7169">
        <v>23.192732732734399</v>
      </c>
      <c r="AI7169">
        <v>92.655450893574894</v>
      </c>
      <c r="AJ7169">
        <v>75.741467744381396</v>
      </c>
      <c r="AK7169">
        <v>23.9556353549028</v>
      </c>
      <c r="AL7169">
        <v>82.856317529373399</v>
      </c>
      <c r="AM7169">
        <v>80.151501990273999</v>
      </c>
      <c r="AN7169">
        <v>1.0000000198638599</v>
      </c>
    </row>
    <row r="7170" spans="1:40" x14ac:dyDescent="0.25">
      <c r="A7170" t="str">
        <f>"20190312173105806"</f>
        <v>20190312173105806</v>
      </c>
      <c r="B7170" t="str">
        <f>"1552383065794301"</f>
        <v>1552383065794301</v>
      </c>
      <c r="C7170" t="s">
        <v>40</v>
      </c>
      <c r="D7170">
        <v>3.384398</v>
      </c>
      <c r="E7170">
        <v>0.53467699999999996</v>
      </c>
      <c r="F7170" t="s">
        <v>51</v>
      </c>
      <c r="G7170">
        <v>-182.77260000000001</v>
      </c>
      <c r="H7170" s="1">
        <v>-1.9925439999999999E-6</v>
      </c>
      <c r="I7170">
        <v>119.8905</v>
      </c>
      <c r="J7170">
        <v>-188.15039999999999</v>
      </c>
      <c r="K7170">
        <v>1.1098589999999999</v>
      </c>
      <c r="L7170">
        <v>97.190060000000003</v>
      </c>
      <c r="M7170">
        <v>-1.6955439999999999E-2</v>
      </c>
      <c r="N7170">
        <v>0</v>
      </c>
      <c r="O7170">
        <v>0.99974289999999999</v>
      </c>
      <c r="P7170">
        <v>0.1529623</v>
      </c>
      <c r="Q7170">
        <v>0.10968559999999999</v>
      </c>
      <c r="R7170">
        <v>0.9821261</v>
      </c>
      <c r="S7170">
        <v>0.68919370000000002</v>
      </c>
      <c r="T7170">
        <v>-0.14241029999999999</v>
      </c>
      <c r="U7170">
        <v>2.9630740000000002</v>
      </c>
      <c r="V7170">
        <v>0.16957439999999999</v>
      </c>
      <c r="W7170">
        <v>0.1244437</v>
      </c>
      <c r="X7170">
        <v>0.97762890000000002</v>
      </c>
      <c r="Y7170">
        <v>0.24278369999999999</v>
      </c>
      <c r="Z7170">
        <v>-4.6656389999999999E-2</v>
      </c>
      <c r="AA7170">
        <v>0.96895779999999998</v>
      </c>
      <c r="AB7170">
        <v>39</v>
      </c>
      <c r="AC7170">
        <v>5.3777999999999704</v>
      </c>
      <c r="AD7170">
        <v>-1.1098609925439999</v>
      </c>
      <c r="AE7170">
        <v>22.70044</v>
      </c>
      <c r="AF7170">
        <v>5.7489543509104397</v>
      </c>
      <c r="AG7170">
        <v>-1.1098609925439999</v>
      </c>
      <c r="AH7170">
        <v>22.554932694675301</v>
      </c>
      <c r="AI7170">
        <v>92.729937706417601</v>
      </c>
      <c r="AJ7170">
        <v>75.700538844642395</v>
      </c>
      <c r="AK7170">
        <v>23.302516096184899</v>
      </c>
      <c r="AL7170">
        <v>82.8513686171719</v>
      </c>
      <c r="AM7170">
        <v>80.159681083593796</v>
      </c>
      <c r="AN7170">
        <v>0.99999998886012997</v>
      </c>
    </row>
    <row r="7171" spans="1:40" x14ac:dyDescent="0.25">
      <c r="A7171" t="str">
        <f>"20190312173105828"</f>
        <v>20190312173105828</v>
      </c>
      <c r="B7171" t="str">
        <f>"1552383065814797"</f>
        <v>1552383065814797</v>
      </c>
      <c r="C7171" t="s">
        <v>40</v>
      </c>
      <c r="D7171">
        <v>3.405681</v>
      </c>
      <c r="E7171">
        <v>0.54024589999999995</v>
      </c>
      <c r="F7171" t="s">
        <v>51</v>
      </c>
      <c r="G7171">
        <v>-182.84630000000001</v>
      </c>
      <c r="H7171" s="1">
        <v>-1.9900340000000001E-6</v>
      </c>
      <c r="I7171">
        <v>119.9486</v>
      </c>
      <c r="J7171">
        <v>-188.15690000000001</v>
      </c>
      <c r="K7171">
        <v>1.109866</v>
      </c>
      <c r="L7171">
        <v>97.569670000000002</v>
      </c>
      <c r="M7171">
        <v>-1.7022099999999998E-2</v>
      </c>
      <c r="N7171">
        <v>0</v>
      </c>
      <c r="O7171">
        <v>0.99974130000000005</v>
      </c>
      <c r="P7171">
        <v>0.15308369999999999</v>
      </c>
      <c r="Q7171">
        <v>0.1103012</v>
      </c>
      <c r="R7171">
        <v>0.98203819999999997</v>
      </c>
      <c r="S7171">
        <v>0.69059749999999998</v>
      </c>
      <c r="T7171">
        <v>-0.14450569999999999</v>
      </c>
      <c r="U7171">
        <v>2.9631959999999999</v>
      </c>
      <c r="V7171">
        <v>0.16975979999999999</v>
      </c>
      <c r="W7171">
        <v>0.12509039999999999</v>
      </c>
      <c r="X7171">
        <v>0.9775142</v>
      </c>
      <c r="Y7171">
        <v>0.2432677</v>
      </c>
      <c r="Z7171">
        <v>-4.7333930000000003E-2</v>
      </c>
      <c r="AA7171">
        <v>0.96880350000000004</v>
      </c>
      <c r="AB7171">
        <v>39</v>
      </c>
      <c r="AC7171">
        <v>5.3105999999999902</v>
      </c>
      <c r="AD7171">
        <v>-1.1098679900340001</v>
      </c>
      <c r="AE7171">
        <v>22.37893</v>
      </c>
      <c r="AF7171">
        <v>5.67759000876935</v>
      </c>
      <c r="AG7171">
        <v>-1.1098679900340001</v>
      </c>
      <c r="AH7171">
        <v>22.233508858056101</v>
      </c>
      <c r="AI7171">
        <v>92.769045483207407</v>
      </c>
      <c r="AJ7171">
        <v>75.674983049640403</v>
      </c>
      <c r="AK7171">
        <v>22.973805766660401</v>
      </c>
      <c r="AL7171">
        <v>82.814023737256704</v>
      </c>
      <c r="AM7171">
        <v>80.147999831393307</v>
      </c>
      <c r="AN7171">
        <v>1.00000000453492</v>
      </c>
    </row>
    <row r="7172" spans="1:40" x14ac:dyDescent="0.25">
      <c r="A7172" t="str">
        <f>"20190312173105849"</f>
        <v>20190312173105849</v>
      </c>
      <c r="B7172" t="str">
        <f>"1552383065845053"</f>
        <v>1552383065845053</v>
      </c>
      <c r="C7172" t="s">
        <v>40</v>
      </c>
      <c r="D7172">
        <v>3.3226849999999999</v>
      </c>
      <c r="E7172">
        <v>0.5405276</v>
      </c>
      <c r="F7172" t="s">
        <v>41</v>
      </c>
      <c r="G7172">
        <v>-183.77590000000001</v>
      </c>
      <c r="H7172" s="1">
        <v>-3.5822830000000002E-6</v>
      </c>
      <c r="I7172">
        <v>115.3083</v>
      </c>
      <c r="J7172">
        <v>-188.1635</v>
      </c>
      <c r="K7172">
        <v>1.109874</v>
      </c>
      <c r="L7172">
        <v>97.956299999999999</v>
      </c>
      <c r="M7172">
        <v>-1.7079509999999999E-2</v>
      </c>
      <c r="N7172">
        <v>0</v>
      </c>
      <c r="O7172">
        <v>0.99973920000000005</v>
      </c>
      <c r="P7172">
        <v>0.1537463</v>
      </c>
      <c r="Q7172">
        <v>0.1104028</v>
      </c>
      <c r="R7172">
        <v>0.98192330000000005</v>
      </c>
      <c r="S7172">
        <v>0.73146060000000002</v>
      </c>
      <c r="T7172">
        <v>-0.18530559999999999</v>
      </c>
      <c r="U7172">
        <v>2.9616699999999998</v>
      </c>
      <c r="V7172">
        <v>0.1704783</v>
      </c>
      <c r="W7172">
        <v>0.12525929999999999</v>
      </c>
      <c r="X7172">
        <v>0.97736749999999994</v>
      </c>
      <c r="Y7172">
        <v>0.25587989999999999</v>
      </c>
      <c r="Z7172">
        <v>-6.0487340000000001E-2</v>
      </c>
      <c r="AA7172">
        <v>0.96481439999999996</v>
      </c>
      <c r="AB7172">
        <v>39</v>
      </c>
      <c r="AC7172">
        <v>4.3875999999999902</v>
      </c>
      <c r="AD7172">
        <v>-1.109877582283</v>
      </c>
      <c r="AE7172">
        <v>17.352</v>
      </c>
      <c r="AF7172">
        <v>4.6654174453900898</v>
      </c>
      <c r="AG7172">
        <v>-1.109877582283</v>
      </c>
      <c r="AH7172">
        <v>17.208349694809002</v>
      </c>
      <c r="AI7172">
        <v>93.562024670811098</v>
      </c>
      <c r="AJ7172">
        <v>74.8309728804971</v>
      </c>
      <c r="AK7172">
        <v>17.864077009636901</v>
      </c>
      <c r="AL7172">
        <v>82.804269631928506</v>
      </c>
      <c r="AM7172">
        <v>80.105668320595598</v>
      </c>
      <c r="AN7172">
        <v>0.99999998653181399</v>
      </c>
    </row>
    <row r="7173" spans="1:40" x14ac:dyDescent="0.25">
      <c r="A7173" t="str">
        <f>"20190312173105873"</f>
        <v>20190312173105873</v>
      </c>
      <c r="B7173" t="str">
        <f>"1552383065864576"</f>
        <v>1552383065864576</v>
      </c>
      <c r="C7173" t="s">
        <v>40</v>
      </c>
      <c r="D7173">
        <v>3.3691360000000001</v>
      </c>
      <c r="E7173">
        <v>0.54094770000000003</v>
      </c>
      <c r="F7173" t="s">
        <v>41</v>
      </c>
      <c r="G7173">
        <v>-183.5702</v>
      </c>
      <c r="H7173" s="1">
        <v>-4.0517090000000001E-6</v>
      </c>
      <c r="I7173">
        <v>116.4188</v>
      </c>
      <c r="J7173">
        <v>-188.1704</v>
      </c>
      <c r="K7173">
        <v>1.1098969999999999</v>
      </c>
      <c r="L7173">
        <v>98.353390000000005</v>
      </c>
      <c r="M7173">
        <v>-1.711998E-2</v>
      </c>
      <c r="N7173">
        <v>0</v>
      </c>
      <c r="O7173">
        <v>0.99973639999999997</v>
      </c>
      <c r="P7173">
        <v>0.15478549999999999</v>
      </c>
      <c r="Q7173">
        <v>0.11025219999999999</v>
      </c>
      <c r="R7173">
        <v>0.98177689999999995</v>
      </c>
      <c r="S7173">
        <v>0.73641969999999901</v>
      </c>
      <c r="T7173">
        <v>-0.1779374</v>
      </c>
      <c r="U7173">
        <v>2.9599299999999999</v>
      </c>
      <c r="V7173">
        <v>0.1715575</v>
      </c>
      <c r="W7173">
        <v>0.12523989999999999</v>
      </c>
      <c r="X7173">
        <v>0.97718110000000002</v>
      </c>
      <c r="Y7173">
        <v>0.2576078</v>
      </c>
      <c r="Z7173">
        <v>-5.8098700000000003E-2</v>
      </c>
      <c r="AA7173">
        <v>0.96450130000000001</v>
      </c>
      <c r="AB7173">
        <v>39</v>
      </c>
      <c r="AC7173">
        <v>4.6002000000000001</v>
      </c>
      <c r="AD7173">
        <v>-1.109901051709</v>
      </c>
      <c r="AE7173">
        <v>18.06541</v>
      </c>
      <c r="AF7173">
        <v>4.8915020711952097</v>
      </c>
      <c r="AG7173">
        <v>-1.109901051709</v>
      </c>
      <c r="AH7173">
        <v>17.9204733153944</v>
      </c>
      <c r="AI7173">
        <v>93.419299877734304</v>
      </c>
      <c r="AJ7173">
        <v>74.732680137033597</v>
      </c>
      <c r="AK7173">
        <v>18.609192263632899</v>
      </c>
      <c r="AL7173">
        <v>82.805389766561504</v>
      </c>
      <c r="AM7173">
        <v>80.042421265419193</v>
      </c>
      <c r="AN7173">
        <v>0.999999955277734</v>
      </c>
    </row>
    <row r="7174" spans="1:40" x14ac:dyDescent="0.25">
      <c r="A7174" t="str">
        <f>"20190312173105894"</f>
        <v>20190312173105894</v>
      </c>
      <c r="B7174" t="str">
        <f>"1552383065885071"</f>
        <v>1552383065885071</v>
      </c>
      <c r="C7174" t="s">
        <v>40</v>
      </c>
      <c r="D7174">
        <v>3.3331430000000002</v>
      </c>
      <c r="E7174">
        <v>0.54116109999999995</v>
      </c>
      <c r="F7174" t="s">
        <v>41</v>
      </c>
      <c r="G7174">
        <v>-183.50129999999999</v>
      </c>
      <c r="H7174" s="1">
        <v>-4.2821909999999998E-6</v>
      </c>
      <c r="I7174">
        <v>116.9276</v>
      </c>
      <c r="J7174">
        <v>-188.17699999999999</v>
      </c>
      <c r="K7174">
        <v>1.109926</v>
      </c>
      <c r="L7174">
        <v>98.739410000000007</v>
      </c>
      <c r="M7174">
        <v>-1.7130010000000001E-2</v>
      </c>
      <c r="N7174">
        <v>0</v>
      </c>
      <c r="O7174">
        <v>0.99973270000000003</v>
      </c>
      <c r="P7174">
        <v>0.15597839999999999</v>
      </c>
      <c r="Q7174">
        <v>0.1094005</v>
      </c>
      <c r="R7174">
        <v>0.98168339999999998</v>
      </c>
      <c r="S7174">
        <v>0.74363710000000005</v>
      </c>
      <c r="T7174">
        <v>-0.1767726</v>
      </c>
      <c r="U7174">
        <v>2.9582820000000001</v>
      </c>
      <c r="V7174">
        <v>0.17276459999999999</v>
      </c>
      <c r="W7174">
        <v>0.1246012</v>
      </c>
      <c r="X7174">
        <v>0.97705010000000003</v>
      </c>
      <c r="Y7174">
        <v>0.25996269999999999</v>
      </c>
      <c r="Z7174">
        <v>-5.7715469999999998E-2</v>
      </c>
      <c r="AA7174">
        <v>0.96389230000000004</v>
      </c>
      <c r="AB7174">
        <v>39</v>
      </c>
      <c r="AC7174">
        <v>4.6757000000000302</v>
      </c>
      <c r="AD7174">
        <v>-1.109930282191</v>
      </c>
      <c r="AE7174">
        <v>18.188189999999999</v>
      </c>
      <c r="AF7174">
        <v>4.9692567474589397</v>
      </c>
      <c r="AG7174">
        <v>-1.109930282191</v>
      </c>
      <c r="AH7174">
        <v>18.042391005636802</v>
      </c>
      <c r="AI7174">
        <v>93.394208750917898</v>
      </c>
      <c r="AJ7174">
        <v>74.601315617811807</v>
      </c>
      <c r="AK7174">
        <v>18.747088602067699</v>
      </c>
      <c r="AL7174">
        <v>82.842273695000202</v>
      </c>
      <c r="AM7174">
        <v>79.972458245631799</v>
      </c>
      <c r="AN7174">
        <v>0.999999981982304</v>
      </c>
    </row>
    <row r="7175" spans="1:40" x14ac:dyDescent="0.25">
      <c r="A7175" t="str">
        <f>"20190312173105917"</f>
        <v>20190312173105917</v>
      </c>
      <c r="B7175" t="str">
        <f>"1552383065904589"</f>
        <v>1552383065904589</v>
      </c>
      <c r="C7175" t="s">
        <v>40</v>
      </c>
      <c r="D7175">
        <v>3.3902489999999998</v>
      </c>
      <c r="E7175">
        <v>0.54144459999999905</v>
      </c>
      <c r="F7175" t="s">
        <v>41</v>
      </c>
      <c r="G7175">
        <v>-183.57599999999999</v>
      </c>
      <c r="H7175" s="1">
        <v>-4.2546319999999999E-6</v>
      </c>
      <c r="I7175">
        <v>116.8942</v>
      </c>
      <c r="J7175">
        <v>-188.18360000000001</v>
      </c>
      <c r="K7175">
        <v>1.109952</v>
      </c>
      <c r="L7175">
        <v>99.12482</v>
      </c>
      <c r="M7175">
        <v>-1.7083919999999999E-2</v>
      </c>
      <c r="N7175">
        <v>0</v>
      </c>
      <c r="O7175">
        <v>0.99972830000000001</v>
      </c>
      <c r="P7175">
        <v>0.15779480000000001</v>
      </c>
      <c r="Q7175">
        <v>0.10861079999999999</v>
      </c>
      <c r="R7175">
        <v>0.98148080000000004</v>
      </c>
      <c r="S7175">
        <v>0.74940490000000004</v>
      </c>
      <c r="T7175">
        <v>-0.1807859</v>
      </c>
      <c r="U7175">
        <v>2.9570620000000001</v>
      </c>
      <c r="V7175">
        <v>0.17454449999999999</v>
      </c>
      <c r="W7175">
        <v>0.1241134</v>
      </c>
      <c r="X7175">
        <v>0.97679579999999999</v>
      </c>
      <c r="Y7175">
        <v>0.26176060000000001</v>
      </c>
      <c r="Z7175">
        <v>-5.9016310000000002E-2</v>
      </c>
      <c r="AA7175">
        <v>0.96332680000000004</v>
      </c>
      <c r="AB7175">
        <v>39</v>
      </c>
      <c r="AC7175">
        <v>4.6076000000000104</v>
      </c>
      <c r="AD7175">
        <v>-1.1099562546320001</v>
      </c>
      <c r="AE7175">
        <v>17.769379999999899</v>
      </c>
      <c r="AF7175">
        <v>4.8926486993103699</v>
      </c>
      <c r="AG7175">
        <v>-1.1099562546320001</v>
      </c>
      <c r="AH7175">
        <v>17.623628267842399</v>
      </c>
      <c r="AI7175">
        <v>93.472789713659793</v>
      </c>
      <c r="AJ7175">
        <v>74.484351145865602</v>
      </c>
      <c r="AK7175">
        <v>18.323817492682998</v>
      </c>
      <c r="AL7175">
        <v>82.870441189723095</v>
      </c>
      <c r="AM7175">
        <v>79.868695978151607</v>
      </c>
      <c r="AN7175">
        <v>0.99999997671872398</v>
      </c>
    </row>
    <row r="7176" spans="1:40" x14ac:dyDescent="0.25">
      <c r="A7176" t="str">
        <f>"20190312173105940"</f>
        <v>20190312173105940</v>
      </c>
      <c r="B7176" t="str">
        <f>"1552383065934845"</f>
        <v>1552383065934845</v>
      </c>
      <c r="C7176" t="s">
        <v>40</v>
      </c>
      <c r="D7176">
        <v>3.3677630000000001</v>
      </c>
      <c r="E7176">
        <v>0.54520690000000005</v>
      </c>
      <c r="F7176" t="s">
        <v>41</v>
      </c>
      <c r="G7176">
        <v>-183.6353</v>
      </c>
      <c r="H7176" s="1">
        <v>-4.2325849999999997E-6</v>
      </c>
      <c r="I7176">
        <v>116.8673</v>
      </c>
      <c r="J7176">
        <v>-188.19040000000001</v>
      </c>
      <c r="K7176">
        <v>1.10997099999999</v>
      </c>
      <c r="L7176">
        <v>99.528989999999993</v>
      </c>
      <c r="M7176">
        <v>-1.6937810000000001E-2</v>
      </c>
      <c r="N7176">
        <v>0</v>
      </c>
      <c r="O7176">
        <v>0.99972340000000004</v>
      </c>
      <c r="P7176">
        <v>0.16016920000000001</v>
      </c>
      <c r="Q7176">
        <v>0.10834530000000001</v>
      </c>
      <c r="R7176">
        <v>0.98112549999999998</v>
      </c>
      <c r="S7176">
        <v>0.75758359999999902</v>
      </c>
      <c r="T7176">
        <v>-0.18487880000000001</v>
      </c>
      <c r="U7176">
        <v>2.9552610000000001</v>
      </c>
      <c r="V7176">
        <v>0.17679149999999999</v>
      </c>
      <c r="W7176">
        <v>0.1242568</v>
      </c>
      <c r="X7176">
        <v>0.97637339999999995</v>
      </c>
      <c r="Y7176">
        <v>0.26424209999999998</v>
      </c>
      <c r="Z7176">
        <v>-6.0342130000000001E-2</v>
      </c>
      <c r="AA7176">
        <v>0.9625669</v>
      </c>
      <c r="AB7176">
        <v>39</v>
      </c>
      <c r="AC7176">
        <v>4.5551000000000004</v>
      </c>
      <c r="AD7176">
        <v>-1.1099752325850001</v>
      </c>
      <c r="AE7176">
        <v>17.3383099999999</v>
      </c>
      <c r="AF7176">
        <v>4.8296427065926597</v>
      </c>
      <c r="AG7176">
        <v>-1.1099752325850001</v>
      </c>
      <c r="AH7176">
        <v>17.192745243996399</v>
      </c>
      <c r="AI7176">
        <v>93.556636518774994</v>
      </c>
      <c r="AJ7176">
        <v>74.309327884218106</v>
      </c>
      <c r="AK7176">
        <v>17.892679584546698</v>
      </c>
      <c r="AL7176">
        <v>82.862161055387602</v>
      </c>
      <c r="AM7176">
        <v>79.736679403937003</v>
      </c>
      <c r="AN7176">
        <v>1.0000000015230199</v>
      </c>
    </row>
    <row r="7177" spans="1:40" x14ac:dyDescent="0.25">
      <c r="A7177" t="str">
        <f>"20190312173105963"</f>
        <v>20190312173105963</v>
      </c>
      <c r="B7177" t="str">
        <f>"1552383065954365"</f>
        <v>1552383065954365</v>
      </c>
      <c r="C7177" t="s">
        <v>40</v>
      </c>
      <c r="D7177">
        <v>3.3409339999999998</v>
      </c>
      <c r="E7177">
        <v>0.54546149999999904</v>
      </c>
      <c r="F7177" t="s">
        <v>41</v>
      </c>
      <c r="G7177">
        <v>-183.32859999999999</v>
      </c>
      <c r="H7177" s="1">
        <v>-4.5815470000000003E-6</v>
      </c>
      <c r="I7177">
        <v>117.5539</v>
      </c>
      <c r="J7177">
        <v>-188.19640000000001</v>
      </c>
      <c r="K7177">
        <v>1.1099669999999999</v>
      </c>
      <c r="L7177">
        <v>99.89819</v>
      </c>
      <c r="M7177">
        <v>-1.667356E-2</v>
      </c>
      <c r="N7177">
        <v>0</v>
      </c>
      <c r="O7177">
        <v>0.99971960000000004</v>
      </c>
      <c r="P7177">
        <v>0.16268920000000001</v>
      </c>
      <c r="Q7177">
        <v>0.1081384</v>
      </c>
      <c r="R7177">
        <v>0.98073359999999998</v>
      </c>
      <c r="S7177">
        <v>0.7951355</v>
      </c>
      <c r="T7177">
        <v>-0.1815338</v>
      </c>
      <c r="U7177">
        <v>2.947937</v>
      </c>
      <c r="V7177">
        <v>0.17907609999999999</v>
      </c>
      <c r="W7177">
        <v>0.12448819999999999</v>
      </c>
      <c r="X7177">
        <v>0.97592749999999995</v>
      </c>
      <c r="Y7177">
        <v>0.2760263</v>
      </c>
      <c r="Z7177">
        <v>-5.92026999999999E-2</v>
      </c>
      <c r="AA7177">
        <v>0.95932499999999998</v>
      </c>
      <c r="AB7177">
        <v>39</v>
      </c>
      <c r="AC7177">
        <v>4.8678000000000097</v>
      </c>
      <c r="AD7177">
        <v>-1.1099715815469999</v>
      </c>
      <c r="AE7177">
        <v>17.655709999999999</v>
      </c>
      <c r="AF7177">
        <v>5.1426586696959298</v>
      </c>
      <c r="AG7177">
        <v>-1.1099715815469999</v>
      </c>
      <c r="AH7177">
        <v>17.507771717332499</v>
      </c>
      <c r="AI7177">
        <v>93.480950040437804</v>
      </c>
      <c r="AJ7177">
        <v>73.630600068885698</v>
      </c>
      <c r="AK7177">
        <v>18.281166418231301</v>
      </c>
      <c r="AL7177">
        <v>82.848799221337202</v>
      </c>
      <c r="AM7177">
        <v>79.602278331418304</v>
      </c>
      <c r="AN7177">
        <v>1.0000000233933399</v>
      </c>
    </row>
    <row r="7178" spans="1:40" x14ac:dyDescent="0.25">
      <c r="A7178" t="str">
        <f>"20190312173105986"</f>
        <v>20190312173105986</v>
      </c>
      <c r="B7178" t="str">
        <f>"1552383065974864"</f>
        <v>1552383065974864</v>
      </c>
      <c r="C7178" t="s">
        <v>40</v>
      </c>
      <c r="D7178">
        <v>3.36077</v>
      </c>
      <c r="E7178">
        <v>0.54565869999999905</v>
      </c>
      <c r="F7178" t="s">
        <v>41</v>
      </c>
      <c r="G7178">
        <v>-183.26480000000001</v>
      </c>
      <c r="H7178" s="1">
        <v>-4.758421E-6</v>
      </c>
      <c r="I7178">
        <v>117.93989999999999</v>
      </c>
      <c r="J7178">
        <v>-188.20269999999999</v>
      </c>
      <c r="K7178">
        <v>1.109928</v>
      </c>
      <c r="L7178">
        <v>100.30629999999999</v>
      </c>
      <c r="M7178">
        <v>-1.6181540000000001E-2</v>
      </c>
      <c r="N7178">
        <v>0</v>
      </c>
      <c r="O7178">
        <v>0.99971739999999998</v>
      </c>
      <c r="P7178">
        <v>0.16563810000000001</v>
      </c>
      <c r="Q7178">
        <v>0.107277</v>
      </c>
      <c r="R7178">
        <v>0.9803345</v>
      </c>
      <c r="S7178">
        <v>0.80509949999999997</v>
      </c>
      <c r="T7178">
        <v>-0.18120710000000001</v>
      </c>
      <c r="U7178">
        <v>2.9453740000000002</v>
      </c>
      <c r="V7178">
        <v>0.1815812</v>
      </c>
      <c r="W7178">
        <v>0.1241404</v>
      </c>
      <c r="X7178">
        <v>0.97550879999999995</v>
      </c>
      <c r="Y7178">
        <v>0.27878619999999998</v>
      </c>
      <c r="Z7178">
        <v>-5.9097049999999998E-2</v>
      </c>
      <c r="AA7178">
        <v>0.95853319999999997</v>
      </c>
      <c r="AB7178">
        <v>39</v>
      </c>
      <c r="AC7178">
        <v>4.9378999999999804</v>
      </c>
      <c r="AD7178">
        <v>-1.1099327584209999</v>
      </c>
      <c r="AE7178">
        <v>17.633600000000001</v>
      </c>
      <c r="AF7178">
        <v>5.2035182564355402</v>
      </c>
      <c r="AG7178">
        <v>-1.1099327584209999</v>
      </c>
      <c r="AH7178">
        <v>17.487129941321299</v>
      </c>
      <c r="AI7178">
        <v>93.481311998670606</v>
      </c>
      <c r="AJ7178">
        <v>73.428956095248196</v>
      </c>
      <c r="AK7178">
        <v>18.278628683736901</v>
      </c>
      <c r="AL7178">
        <v>82.868882277530503</v>
      </c>
      <c r="AM7178">
        <v>79.455639528204998</v>
      </c>
      <c r="AN7178">
        <v>0.99999999499152004</v>
      </c>
    </row>
    <row r="7179" spans="1:40" x14ac:dyDescent="0.25">
      <c r="A7179" t="str">
        <f>"20190312173106007"</f>
        <v>20190312173106007</v>
      </c>
      <c r="B7179" t="str">
        <f>"1552383065994381"</f>
        <v>1552383065994381</v>
      </c>
      <c r="C7179" t="s">
        <v>40</v>
      </c>
      <c r="D7179">
        <v>3.339709</v>
      </c>
      <c r="E7179">
        <v>0.54584469999999996</v>
      </c>
      <c r="F7179" t="s">
        <v>41</v>
      </c>
      <c r="G7179">
        <v>-183.27619999999999</v>
      </c>
      <c r="H7179" s="1">
        <v>-4.8163699999999998E-6</v>
      </c>
      <c r="I7179">
        <v>118.0797</v>
      </c>
      <c r="J7179">
        <v>-188.208</v>
      </c>
      <c r="K7179">
        <v>1.1098589999999999</v>
      </c>
      <c r="L7179">
        <v>100.66330000000001</v>
      </c>
      <c r="M7179">
        <v>-1.556567E-2</v>
      </c>
      <c r="N7179">
        <v>0</v>
      </c>
      <c r="O7179">
        <v>0.99971750000000004</v>
      </c>
      <c r="P7179">
        <v>0.168785299999999</v>
      </c>
      <c r="Q7179">
        <v>0.1067835</v>
      </c>
      <c r="R7179">
        <v>0.97985140000000004</v>
      </c>
      <c r="S7179">
        <v>0.81561280000000003</v>
      </c>
      <c r="T7179">
        <v>-0.1837549</v>
      </c>
      <c r="U7179">
        <v>2.9424739999999998</v>
      </c>
      <c r="V7179">
        <v>0.1841651</v>
      </c>
      <c r="W7179">
        <v>0.12409779999999999</v>
      </c>
      <c r="X7179">
        <v>0.9750297</v>
      </c>
      <c r="Y7179">
        <v>0.28160390000000002</v>
      </c>
      <c r="Z7179">
        <v>-5.9929549999999998E-2</v>
      </c>
      <c r="AA7179">
        <v>0.95765739999999999</v>
      </c>
      <c r="AB7179">
        <v>38</v>
      </c>
      <c r="AC7179">
        <v>4.9318000000000097</v>
      </c>
      <c r="AD7179">
        <v>-1.1098638163700001</v>
      </c>
      <c r="AE7179">
        <v>17.4163999999999</v>
      </c>
      <c r="AF7179">
        <v>5.1828592818969996</v>
      </c>
      <c r="AG7179">
        <v>-1.1098638163700001</v>
      </c>
      <c r="AH7179">
        <v>17.272574730411598</v>
      </c>
      <c r="AI7179">
        <v>93.521819030190699</v>
      </c>
      <c r="AJ7179">
        <v>73.297448217315704</v>
      </c>
      <c r="AK7179">
        <v>18.067530706892001</v>
      </c>
      <c r="AL7179">
        <v>82.871342005308904</v>
      </c>
      <c r="AM7179">
        <v>79.303896459722196</v>
      </c>
      <c r="AN7179">
        <v>0.99999998195246897</v>
      </c>
    </row>
    <row r="7180" spans="1:40" x14ac:dyDescent="0.25">
      <c r="A7180" t="str">
        <f>"20190312173106029"</f>
        <v>20190312173106029</v>
      </c>
      <c r="B7180" t="str">
        <f>"1552383066024637"</f>
        <v>1552383066024637</v>
      </c>
      <c r="C7180" t="s">
        <v>40</v>
      </c>
      <c r="D7180">
        <v>3.34816</v>
      </c>
      <c r="E7180">
        <v>0.5460718</v>
      </c>
      <c r="F7180" t="s">
        <v>41</v>
      </c>
      <c r="G7180">
        <v>-183.23750000000001</v>
      </c>
      <c r="H7180" s="1">
        <v>-4.9329039999999999E-6</v>
      </c>
      <c r="I7180">
        <v>118.3353</v>
      </c>
      <c r="J7180">
        <v>-188.21299999999999</v>
      </c>
      <c r="K7180">
        <v>1.1097680000000001</v>
      </c>
      <c r="L7180">
        <v>101.04089999999999</v>
      </c>
      <c r="M7180">
        <v>-1.4734000000000001E-2</v>
      </c>
      <c r="N7180">
        <v>0</v>
      </c>
      <c r="O7180">
        <v>0.99971960000000004</v>
      </c>
      <c r="P7180">
        <v>0.17224629999999999</v>
      </c>
      <c r="Q7180">
        <v>0.10604280000000001</v>
      </c>
      <c r="R7180">
        <v>0.97932940000000002</v>
      </c>
      <c r="S7180">
        <v>0.82673649999999999</v>
      </c>
      <c r="T7180">
        <v>-0.1846043</v>
      </c>
      <c r="U7180">
        <v>2.9393919999999998</v>
      </c>
      <c r="V7180">
        <v>0.1868562</v>
      </c>
      <c r="W7180">
        <v>0.123832399999999</v>
      </c>
      <c r="X7180">
        <v>0.97455130000000001</v>
      </c>
      <c r="Y7180">
        <v>0.28442030000000001</v>
      </c>
      <c r="Z7180">
        <v>-6.021174E-2</v>
      </c>
      <c r="AA7180">
        <v>0.95680699999999996</v>
      </c>
      <c r="AB7180">
        <v>38</v>
      </c>
      <c r="AC7180">
        <v>4.9754999999999798</v>
      </c>
      <c r="AD7180">
        <v>-1.109772932904</v>
      </c>
      <c r="AE7180">
        <v>17.2944</v>
      </c>
      <c r="AF7180">
        <v>5.2100057521331697</v>
      </c>
      <c r="AG7180">
        <v>-1.109772932904</v>
      </c>
      <c r="AH7180">
        <v>17.153964555466001</v>
      </c>
      <c r="AI7180">
        <v>93.542241901763504</v>
      </c>
      <c r="AJ7180">
        <v>73.105403841494194</v>
      </c>
      <c r="AK7180">
        <v>17.962022599642101</v>
      </c>
      <c r="AL7180">
        <v>82.886666421200701</v>
      </c>
      <c r="AM7180">
        <v>79.146084546806406</v>
      </c>
      <c r="AN7180">
        <v>0.99999996954994397</v>
      </c>
    </row>
    <row r="7181" spans="1:40" x14ac:dyDescent="0.25">
      <c r="A7181" t="str">
        <f>"20190312173106050"</f>
        <v>20190312173106050</v>
      </c>
      <c r="B7181" t="str">
        <f>"1552383066044157"</f>
        <v>1552383066044157</v>
      </c>
      <c r="C7181" t="s">
        <v>40</v>
      </c>
      <c r="D7181">
        <v>3.3546879999999999</v>
      </c>
      <c r="E7181">
        <v>0.5476512</v>
      </c>
      <c r="F7181" t="s">
        <v>41</v>
      </c>
      <c r="G7181">
        <v>-183.21019999999999</v>
      </c>
      <c r="H7181" s="1">
        <v>-5.026581E-6</v>
      </c>
      <c r="I7181">
        <v>118.5424</v>
      </c>
      <c r="J7181">
        <v>-188.2174</v>
      </c>
      <c r="K7181">
        <v>1.109666</v>
      </c>
      <c r="L7181">
        <v>101.4036</v>
      </c>
      <c r="M7181">
        <v>-1.374324E-2</v>
      </c>
      <c r="N7181">
        <v>0</v>
      </c>
      <c r="O7181">
        <v>0.99972360000000005</v>
      </c>
      <c r="P7181">
        <v>0.17612459999999999</v>
      </c>
      <c r="Q7181">
        <v>0.1055767</v>
      </c>
      <c r="R7181">
        <v>0.97868980000000005</v>
      </c>
      <c r="S7181">
        <v>0.83921809999999997</v>
      </c>
      <c r="T7181">
        <v>-0.18616460000000001</v>
      </c>
      <c r="U7181">
        <v>2.935883</v>
      </c>
      <c r="V7181">
        <v>0.18980849999999999</v>
      </c>
      <c r="W7181">
        <v>0.1238002</v>
      </c>
      <c r="X7181">
        <v>0.97398470000000004</v>
      </c>
      <c r="Y7181">
        <v>0.28752319999999998</v>
      </c>
      <c r="Z7181">
        <v>-6.0726460000000003E-2</v>
      </c>
      <c r="AA7181">
        <v>0.95584659999999999</v>
      </c>
      <c r="AB7181">
        <v>38</v>
      </c>
      <c r="AC7181">
        <v>5.0072000000000099</v>
      </c>
      <c r="AD7181">
        <v>-1.1096710265809999</v>
      </c>
      <c r="AE7181">
        <v>17.1388</v>
      </c>
      <c r="AF7181">
        <v>5.2221424997006096</v>
      </c>
      <c r="AG7181">
        <v>-1.1096710265809999</v>
      </c>
      <c r="AH7181">
        <v>17.002682152388701</v>
      </c>
      <c r="AI7181">
        <v>93.569950747337003</v>
      </c>
      <c r="AJ7181">
        <v>72.926372312563302</v>
      </c>
      <c r="AK7181">
        <v>17.821148741020401</v>
      </c>
      <c r="AL7181">
        <v>82.888525698047403</v>
      </c>
      <c r="AM7181">
        <v>78.972507626789493</v>
      </c>
      <c r="AN7181">
        <v>0.99999997601318902</v>
      </c>
    </row>
    <row r="7182" spans="1:40" x14ac:dyDescent="0.25">
      <c r="A7182" t="str">
        <f>"20190312173106073"</f>
        <v>20190312173106073</v>
      </c>
      <c r="B7182" t="str">
        <f>"1552383066064656"</f>
        <v>1552383066064656</v>
      </c>
      <c r="C7182" t="s">
        <v>40</v>
      </c>
      <c r="D7182">
        <v>3.3336009999999998</v>
      </c>
      <c r="E7182">
        <v>0.547602699999999</v>
      </c>
      <c r="F7182" t="s">
        <v>41</v>
      </c>
      <c r="G7182">
        <v>-182.976</v>
      </c>
      <c r="H7182" s="1">
        <v>-5.3406280000000001E-6</v>
      </c>
      <c r="I7182">
        <v>119.1776</v>
      </c>
      <c r="J7182">
        <v>-188.22130000000001</v>
      </c>
      <c r="K7182">
        <v>1.109537</v>
      </c>
      <c r="L7182">
        <v>101.7794</v>
      </c>
      <c r="M7182">
        <v>-1.24957E-2</v>
      </c>
      <c r="N7182">
        <v>0</v>
      </c>
      <c r="O7182">
        <v>0.99972969999999906</v>
      </c>
      <c r="P7182">
        <v>0.18015510000000001</v>
      </c>
      <c r="Q7182">
        <v>0.104976399999999</v>
      </c>
      <c r="R7182">
        <v>0.97802049999999996</v>
      </c>
      <c r="S7182">
        <v>0.86390689999999903</v>
      </c>
      <c r="T7182">
        <v>-0.18290000000000001</v>
      </c>
      <c r="U7182">
        <v>2.9295650000000002</v>
      </c>
      <c r="V7182">
        <v>0.19266839999999999</v>
      </c>
      <c r="W7182">
        <v>0.1236138</v>
      </c>
      <c r="X7182">
        <v>0.9734467</v>
      </c>
      <c r="Y7182">
        <v>0.29431160000000001</v>
      </c>
      <c r="Z7182">
        <v>-5.965869E-2</v>
      </c>
      <c r="AA7182">
        <v>0.95384559999999996</v>
      </c>
      <c r="AB7182">
        <v>38</v>
      </c>
      <c r="AC7182">
        <v>5.2453000000000101</v>
      </c>
      <c r="AD7182">
        <v>-1.1095423406280001</v>
      </c>
      <c r="AE7182">
        <v>17.398199999999999</v>
      </c>
      <c r="AF7182">
        <v>5.4420458774285896</v>
      </c>
      <c r="AG7182">
        <v>-1.1095423406280001</v>
      </c>
      <c r="AH7182">
        <v>17.2669106839816</v>
      </c>
      <c r="AI7182">
        <v>93.5070689844285</v>
      </c>
      <c r="AJ7182">
        <v>72.506610532333696</v>
      </c>
      <c r="AK7182">
        <v>18.138168377933901</v>
      </c>
      <c r="AL7182">
        <v>82.899288335800506</v>
      </c>
      <c r="AM7182">
        <v>78.804487905079995</v>
      </c>
      <c r="AN7182">
        <v>0.99999998082494401</v>
      </c>
    </row>
    <row r="7183" spans="1:40" x14ac:dyDescent="0.25">
      <c r="A7183" t="str">
        <f>"20190312173106094"</f>
        <v>20190312173106094</v>
      </c>
      <c r="B7183" t="str">
        <f>"1552383066085149"</f>
        <v>1552383066085149</v>
      </c>
      <c r="C7183" t="s">
        <v>40</v>
      </c>
      <c r="D7183">
        <v>3.3626740000000002</v>
      </c>
      <c r="E7183">
        <v>0.54775769999999901</v>
      </c>
      <c r="F7183" t="s">
        <v>41</v>
      </c>
      <c r="G7183">
        <v>-182.92590000000001</v>
      </c>
      <c r="H7183" s="1">
        <v>-5.4756819999999999E-6</v>
      </c>
      <c r="I7183">
        <v>119.4717</v>
      </c>
      <c r="J7183">
        <v>-188.2244</v>
      </c>
      <c r="K7183">
        <v>1.109391</v>
      </c>
      <c r="L7183">
        <v>102.1407</v>
      </c>
      <c r="M7183">
        <v>-1.1073899999999999E-2</v>
      </c>
      <c r="N7183">
        <v>0</v>
      </c>
      <c r="O7183">
        <v>0.99973699999999999</v>
      </c>
      <c r="P7183">
        <v>0.18508430000000001</v>
      </c>
      <c r="Q7183">
        <v>0.10488359999999999</v>
      </c>
      <c r="R7183">
        <v>0.97710960000000002</v>
      </c>
      <c r="S7183">
        <v>0.87570190000000003</v>
      </c>
      <c r="T7183">
        <v>-0.18348680000000001</v>
      </c>
      <c r="U7183">
        <v>2.9258120000000001</v>
      </c>
      <c r="V7183">
        <v>0.19625919999999999</v>
      </c>
      <c r="W7183">
        <v>0.1238697</v>
      </c>
      <c r="X7183">
        <v>0.97269660000000002</v>
      </c>
      <c r="Y7183">
        <v>0.2968132</v>
      </c>
      <c r="Z7183">
        <v>-5.986706E-2</v>
      </c>
      <c r="AA7183">
        <v>0.95305709999999999</v>
      </c>
      <c r="AB7183">
        <v>37</v>
      </c>
      <c r="AC7183">
        <v>5.29849999999999</v>
      </c>
      <c r="AD7183">
        <v>-1.1093964756820001</v>
      </c>
      <c r="AE7183">
        <v>17.331</v>
      </c>
      <c r="AF7183">
        <v>5.4696389722238701</v>
      </c>
      <c r="AG7183">
        <v>-1.1093964756820001</v>
      </c>
      <c r="AH7183">
        <v>17.206770732168302</v>
      </c>
      <c r="AI7183">
        <v>93.516103694303297</v>
      </c>
      <c r="AJ7183">
        <v>72.365729397649403</v>
      </c>
      <c r="AK7183">
        <v>18.089241831987501</v>
      </c>
      <c r="AL7183">
        <v>82.884513109806505</v>
      </c>
      <c r="AM7183">
        <v>78.592689273795102</v>
      </c>
      <c r="AN7183">
        <v>1.00000002590714</v>
      </c>
    </row>
    <row r="7184" spans="1:40" x14ac:dyDescent="0.25">
      <c r="A7184" t="str">
        <f>"20190312173106117"</f>
        <v>20190312173106117</v>
      </c>
      <c r="B7184" t="str">
        <f>"1552383066104669"</f>
        <v>1552383066104669</v>
      </c>
      <c r="C7184" t="s">
        <v>40</v>
      </c>
      <c r="D7184">
        <v>3.3632939999999998</v>
      </c>
      <c r="E7184">
        <v>0.54790269999999996</v>
      </c>
      <c r="F7184" t="s">
        <v>51</v>
      </c>
      <c r="G7184">
        <v>-182.80709999999999</v>
      </c>
      <c r="H7184" s="1">
        <v>-1.9802440000000001E-6</v>
      </c>
      <c r="I7184">
        <v>119.87990000000001</v>
      </c>
      <c r="J7184">
        <v>-188.22669999999999</v>
      </c>
      <c r="K7184">
        <v>1.109218</v>
      </c>
      <c r="L7184">
        <v>102.5099</v>
      </c>
      <c r="M7184">
        <v>-9.3885319999999998E-3</v>
      </c>
      <c r="N7184">
        <v>0</v>
      </c>
      <c r="O7184">
        <v>0.99974499999999999</v>
      </c>
      <c r="P7184">
        <v>0.1901583</v>
      </c>
      <c r="Q7184">
        <v>0.10478460000000001</v>
      </c>
      <c r="R7184">
        <v>0.9761455</v>
      </c>
      <c r="S7184">
        <v>0.89201350000000001</v>
      </c>
      <c r="T7184">
        <v>-0.1826719</v>
      </c>
      <c r="U7184">
        <v>2.9209290000000001</v>
      </c>
      <c r="V7184">
        <v>0.1997456</v>
      </c>
      <c r="W7184">
        <v>0.1240836</v>
      </c>
      <c r="X7184">
        <v>0.97195940000000003</v>
      </c>
      <c r="Y7184">
        <v>0.30051939999999999</v>
      </c>
      <c r="Z7184">
        <v>-5.9616420000000003E-2</v>
      </c>
      <c r="AA7184">
        <v>0.9519107</v>
      </c>
      <c r="AB7184">
        <v>37</v>
      </c>
      <c r="AC7184">
        <v>5.4196</v>
      </c>
      <c r="AD7184">
        <v>-1.1092199802439999</v>
      </c>
      <c r="AE7184">
        <v>17.37</v>
      </c>
      <c r="AF7184">
        <v>5.5618058617518003</v>
      </c>
      <c r="AG7184">
        <v>-1.1092199802439999</v>
      </c>
      <c r="AH7184">
        <v>17.2542224039017</v>
      </c>
      <c r="AI7184">
        <v>93.501368120060206</v>
      </c>
      <c r="AJ7184">
        <v>72.133552625352493</v>
      </c>
      <c r="AK7184">
        <v>18.1623854207451</v>
      </c>
      <c r="AL7184">
        <v>82.872162501114801</v>
      </c>
      <c r="AM7184">
        <v>78.386934690774396</v>
      </c>
      <c r="AN7184">
        <v>1.0000000598783301</v>
      </c>
    </row>
    <row r="7185" spans="1:40" x14ac:dyDescent="0.25">
      <c r="A7185" t="str">
        <f>"20190312173106130"</f>
        <v>20190312173106130</v>
      </c>
      <c r="B7185" t="str">
        <f>"1552383066124189"</f>
        <v>1552383066124189</v>
      </c>
      <c r="C7185" t="s">
        <v>40</v>
      </c>
      <c r="D7185">
        <v>3.3472520000000001</v>
      </c>
      <c r="E7185">
        <v>0.54790569999999905</v>
      </c>
      <c r="F7185" t="s">
        <v>51</v>
      </c>
      <c r="G7185">
        <v>-182.75059999999999</v>
      </c>
      <c r="H7185" s="1">
        <v>-2.0586640000000001E-6</v>
      </c>
      <c r="I7185">
        <v>120.0951</v>
      </c>
      <c r="J7185">
        <v>-188.2277</v>
      </c>
      <c r="K7185">
        <v>1.1091089999999999</v>
      </c>
      <c r="L7185">
        <v>102.71550000000001</v>
      </c>
      <c r="M7185">
        <v>-8.3393349999999998E-3</v>
      </c>
      <c r="N7185">
        <v>0</v>
      </c>
      <c r="O7185">
        <v>0.99974949999999996</v>
      </c>
      <c r="P7185">
        <v>0.1928965</v>
      </c>
      <c r="Q7185">
        <v>0.1046425</v>
      </c>
      <c r="R7185">
        <v>0.97562329999999997</v>
      </c>
      <c r="S7185">
        <v>0.90811160000000002</v>
      </c>
      <c r="T7185">
        <v>-0.18394099999999999</v>
      </c>
      <c r="U7185">
        <v>2.9161380000000001</v>
      </c>
      <c r="V7185">
        <v>0.20149429999999999</v>
      </c>
      <c r="W7185">
        <v>0.1240969</v>
      </c>
      <c r="X7185">
        <v>0.97159660000000003</v>
      </c>
      <c r="Y7185">
        <v>0.30474279999999998</v>
      </c>
      <c r="Z7185">
        <v>-6.003501E-2</v>
      </c>
      <c r="AA7185">
        <v>0.95054070000000002</v>
      </c>
      <c r="AB7185">
        <v>37</v>
      </c>
      <c r="AC7185">
        <v>5.4771000000000001</v>
      </c>
      <c r="AD7185">
        <v>-1.1091110586640001</v>
      </c>
      <c r="AE7185">
        <v>17.3795999999999</v>
      </c>
      <c r="AF7185">
        <v>5.6011248084299901</v>
      </c>
      <c r="AG7185">
        <v>-1.1091110586640001</v>
      </c>
      <c r="AH7185">
        <v>17.2693332569796</v>
      </c>
      <c r="AI7185">
        <v>93.495932399137402</v>
      </c>
      <c r="AJ7185">
        <v>72.030079836761601</v>
      </c>
      <c r="AK7185">
        <v>18.188804182812099</v>
      </c>
      <c r="AL7185">
        <v>82.871393911412895</v>
      </c>
      <c r="AM7185">
        <v>78.283810952076493</v>
      </c>
      <c r="AN7185">
        <v>0.99999997332682899</v>
      </c>
    </row>
    <row r="7186" spans="1:40" x14ac:dyDescent="0.25">
      <c r="A7186" t="str">
        <f>"20190312173106153"</f>
        <v>20190312173106153</v>
      </c>
      <c r="B7186" t="str">
        <f>"1552383066144685"</f>
        <v>1552383066144685</v>
      </c>
      <c r="C7186" t="s">
        <v>40</v>
      </c>
      <c r="D7186">
        <v>3.3467039999999999</v>
      </c>
      <c r="E7186">
        <v>0.54790380000000005</v>
      </c>
      <c r="F7186" t="s">
        <v>51</v>
      </c>
      <c r="G7186">
        <v>-182.71549999999999</v>
      </c>
      <c r="H7186" s="1">
        <v>-2.1102830000000001E-6</v>
      </c>
      <c r="I7186">
        <v>120.23869999999999</v>
      </c>
      <c r="J7186">
        <v>-188.2286</v>
      </c>
      <c r="K7186">
        <v>1.108897</v>
      </c>
      <c r="L7186">
        <v>103.0869</v>
      </c>
      <c r="M7186">
        <v>-6.2484089999999999E-3</v>
      </c>
      <c r="N7186">
        <v>0</v>
      </c>
      <c r="O7186">
        <v>0.99975650000000005</v>
      </c>
      <c r="P7186">
        <v>0.19871069999999999</v>
      </c>
      <c r="Q7186">
        <v>0.1036329</v>
      </c>
      <c r="R7186">
        <v>0.97456370000000003</v>
      </c>
      <c r="S7186">
        <v>0.91648859999999999</v>
      </c>
      <c r="T7186">
        <v>-0.18440819999999999</v>
      </c>
      <c r="U7186">
        <v>2.913513</v>
      </c>
      <c r="V7186">
        <v>0.20533000000000001</v>
      </c>
      <c r="W7186">
        <v>0.12332609999999999</v>
      </c>
      <c r="X7186">
        <v>0.97089150000000002</v>
      </c>
      <c r="Y7186">
        <v>0.30548019999999998</v>
      </c>
      <c r="Z7186">
        <v>-6.0207419999999998E-2</v>
      </c>
      <c r="AA7186">
        <v>0.9502931</v>
      </c>
      <c r="AB7186">
        <v>37</v>
      </c>
      <c r="AC7186">
        <v>5.5130999999999997</v>
      </c>
      <c r="AD7186">
        <v>-1.1088991102829999</v>
      </c>
      <c r="AE7186">
        <v>17.151799999999898</v>
      </c>
      <c r="AF7186">
        <v>5.59897622293101</v>
      </c>
      <c r="AG7186">
        <v>-1.1088991102829999</v>
      </c>
      <c r="AH7186">
        <v>17.052406602664</v>
      </c>
      <c r="AI7186">
        <v>93.535454874603801</v>
      </c>
      <c r="AJ7186">
        <v>71.822956208265694</v>
      </c>
      <c r="AK7186">
        <v>17.982290258037501</v>
      </c>
      <c r="AL7186">
        <v>82.915899716029799</v>
      </c>
      <c r="AM7186">
        <v>78.058697649260594</v>
      </c>
      <c r="AN7186">
        <v>1.0000000203067201</v>
      </c>
    </row>
    <row r="7187" spans="1:40" x14ac:dyDescent="0.25">
      <c r="A7187" t="str">
        <f>"20190312173106174"</f>
        <v>20190312173106174</v>
      </c>
      <c r="B7187" t="str">
        <f>"1552383066164206"</f>
        <v>1552383066164206</v>
      </c>
      <c r="C7187" t="s">
        <v>40</v>
      </c>
      <c r="D7187">
        <v>3.3635009999999999</v>
      </c>
      <c r="E7187">
        <v>0.54794309999999902</v>
      </c>
      <c r="F7187" t="s">
        <v>51</v>
      </c>
      <c r="G7187">
        <v>-182.69630000000001</v>
      </c>
      <c r="H7187" s="1">
        <v>-2.137115E-6</v>
      </c>
      <c r="I7187">
        <v>120.3124</v>
      </c>
      <c r="J7187">
        <v>-188.2285</v>
      </c>
      <c r="K7187">
        <v>1.1086990000000001</v>
      </c>
      <c r="L7187">
        <v>103.4532</v>
      </c>
      <c r="M7187">
        <v>-3.947023E-3</v>
      </c>
      <c r="N7187">
        <v>0</v>
      </c>
      <c r="O7187">
        <v>0.99976089999999995</v>
      </c>
      <c r="P7187">
        <v>0.2045893</v>
      </c>
      <c r="Q7187">
        <v>0.1025254</v>
      </c>
      <c r="R7187">
        <v>0.97346379999999999</v>
      </c>
      <c r="S7187">
        <v>0.93389889999999998</v>
      </c>
      <c r="T7187">
        <v>-0.18718950000000001</v>
      </c>
      <c r="U7187">
        <v>2.9077760000000001</v>
      </c>
      <c r="V7187">
        <v>0.2090246</v>
      </c>
      <c r="W7187">
        <v>0.1224137</v>
      </c>
      <c r="X7187">
        <v>0.97021829999999998</v>
      </c>
      <c r="Y7187">
        <v>0.30897279999999999</v>
      </c>
      <c r="Z7187">
        <v>-6.1138289999999998E-2</v>
      </c>
      <c r="AA7187">
        <v>0.94910380000000005</v>
      </c>
      <c r="AB7187">
        <v>37</v>
      </c>
      <c r="AC7187">
        <v>5.53219999999998</v>
      </c>
      <c r="AD7187">
        <v>-1.108701137115</v>
      </c>
      <c r="AE7187">
        <v>16.859200000000001</v>
      </c>
      <c r="AF7187">
        <v>5.5769419358791898</v>
      </c>
      <c r="AG7187">
        <v>-1.108701137115</v>
      </c>
      <c r="AH7187">
        <v>16.771746086400601</v>
      </c>
      <c r="AI7187">
        <v>93.589362337127</v>
      </c>
      <c r="AJ7187">
        <v>71.606999063929706</v>
      </c>
      <c r="AK7187">
        <v>17.7094033314029</v>
      </c>
      <c r="AL7187">
        <v>82.968575191166494</v>
      </c>
      <c r="AM7187">
        <v>77.841982293606904</v>
      </c>
      <c r="AN7187">
        <v>0.99999997350386904</v>
      </c>
    </row>
    <row r="7188" spans="1:40" x14ac:dyDescent="0.25">
      <c r="A7188" t="str">
        <f>"20190312173106197"</f>
        <v>20190312173106197</v>
      </c>
      <c r="B7188" t="str">
        <f>"1552383066184701"</f>
        <v>1552383066184701</v>
      </c>
      <c r="C7188" t="s">
        <v>40</v>
      </c>
      <c r="D7188">
        <v>3.3582529999999999</v>
      </c>
      <c r="E7188">
        <v>0.54792850000000004</v>
      </c>
      <c r="F7188" t="s">
        <v>51</v>
      </c>
      <c r="G7188">
        <v>-182.6686</v>
      </c>
      <c r="H7188" s="1">
        <v>-2.1693659999999998E-6</v>
      </c>
      <c r="I7188">
        <v>120.3969</v>
      </c>
      <c r="J7188">
        <v>-188.22730000000001</v>
      </c>
      <c r="K7188">
        <v>1.108517</v>
      </c>
      <c r="L7188">
        <v>103.8065</v>
      </c>
      <c r="M7188">
        <v>-1.512836E-3</v>
      </c>
      <c r="N7188">
        <v>0</v>
      </c>
      <c r="O7188">
        <v>0.99976109999999896</v>
      </c>
      <c r="P7188">
        <v>0.21104529999999999</v>
      </c>
      <c r="Q7188">
        <v>0.10191169999999999</v>
      </c>
      <c r="R7188">
        <v>0.97214909999999999</v>
      </c>
      <c r="S7188">
        <v>0.95214840000000001</v>
      </c>
      <c r="T7188">
        <v>-0.18986800000000001</v>
      </c>
      <c r="U7188">
        <v>2.9016570000000002</v>
      </c>
      <c r="V7188">
        <v>0.21316640000000001</v>
      </c>
      <c r="W7188">
        <v>0.121948</v>
      </c>
      <c r="X7188">
        <v>0.96937549999999995</v>
      </c>
      <c r="Y7188">
        <v>0.3126197</v>
      </c>
      <c r="Z7188">
        <v>-6.2037700000000001E-2</v>
      </c>
      <c r="AA7188">
        <v>0.94785030000000003</v>
      </c>
      <c r="AB7188">
        <v>36</v>
      </c>
      <c r="AC7188">
        <v>5.5587000000000097</v>
      </c>
      <c r="AD7188">
        <v>-1.1085191693659999</v>
      </c>
      <c r="AE7188">
        <v>16.590399999999999</v>
      </c>
      <c r="AF7188">
        <v>5.5614750031515801</v>
      </c>
      <c r="AG7188">
        <v>-1.1085191693659999</v>
      </c>
      <c r="AH7188">
        <v>16.5156774711804</v>
      </c>
      <c r="AI7188">
        <v>93.639656813726603</v>
      </c>
      <c r="AJ7188">
        <v>71.389606550086796</v>
      </c>
      <c r="AK7188">
        <v>17.462142517216702</v>
      </c>
      <c r="AL7188">
        <v>82.995459755062797</v>
      </c>
      <c r="AM7188">
        <v>77.598005636941707</v>
      </c>
      <c r="AN7188">
        <v>1.0000000443966</v>
      </c>
    </row>
    <row r="7189" spans="1:40" x14ac:dyDescent="0.25">
      <c r="A7189" t="str">
        <f>"20190312173106218"</f>
        <v>20190312173106218</v>
      </c>
      <c r="B7189" t="str">
        <f>"1552383066204221"</f>
        <v>1552383066204221</v>
      </c>
      <c r="C7189" t="s">
        <v>40</v>
      </c>
      <c r="D7189">
        <v>3.325037</v>
      </c>
      <c r="E7189">
        <v>0.54801529999999998</v>
      </c>
      <c r="F7189" t="s">
        <v>51</v>
      </c>
      <c r="G7189">
        <v>-182.61099999999999</v>
      </c>
      <c r="H7189" s="1">
        <v>-2.2259729999999998E-6</v>
      </c>
      <c r="I7189">
        <v>120.5371</v>
      </c>
      <c r="J7189">
        <v>-188.2252</v>
      </c>
      <c r="K7189">
        <v>1.1083540000000001</v>
      </c>
      <c r="L7189">
        <v>104.149</v>
      </c>
      <c r="M7189">
        <v>1.042741E-3</v>
      </c>
      <c r="N7189">
        <v>0</v>
      </c>
      <c r="O7189">
        <v>0.99975619999999998</v>
      </c>
      <c r="P7189">
        <v>0.21751319999999999</v>
      </c>
      <c r="Q7189">
        <v>0.10133159999999999</v>
      </c>
      <c r="R7189">
        <v>0.97078319999999996</v>
      </c>
      <c r="S7189">
        <v>0.97184749999999998</v>
      </c>
      <c r="T7189">
        <v>-0.19181899999999999</v>
      </c>
      <c r="U7189">
        <v>2.8950650000000002</v>
      </c>
      <c r="V7189">
        <v>0.21720110000000001</v>
      </c>
      <c r="W7189">
        <v>0.1214809</v>
      </c>
      <c r="X7189">
        <v>0.96853809999999996</v>
      </c>
      <c r="Y7189">
        <v>0.31662370000000001</v>
      </c>
      <c r="Z7189">
        <v>-6.2699599999999994E-2</v>
      </c>
      <c r="AA7189">
        <v>0.94647680000000001</v>
      </c>
      <c r="AB7189">
        <v>36</v>
      </c>
      <c r="AC7189">
        <v>5.6142000000000101</v>
      </c>
      <c r="AD7189">
        <v>-1.108356225973</v>
      </c>
      <c r="AE7189">
        <v>16.388099999999898</v>
      </c>
      <c r="AF7189">
        <v>5.57428518484938</v>
      </c>
      <c r="AG7189">
        <v>-1.108356225973</v>
      </c>
      <c r="AH7189">
        <v>16.3271095254788</v>
      </c>
      <c r="AI7189">
        <v>93.675824058560394</v>
      </c>
      <c r="AJ7189">
        <v>71.149435295249305</v>
      </c>
      <c r="AK7189">
        <v>17.288019386345699</v>
      </c>
      <c r="AL7189">
        <v>83.022422692540601</v>
      </c>
      <c r="AM7189">
        <v>77.360162055925002</v>
      </c>
      <c r="AN7189">
        <v>0.99999998902881404</v>
      </c>
    </row>
    <row r="7190" spans="1:40" x14ac:dyDescent="0.25">
      <c r="A7190" t="str">
        <f>"20190312173106232"</f>
        <v>20190312173106232</v>
      </c>
      <c r="B7190" t="str">
        <f>"1552383066224717"</f>
        <v>1552383066224717</v>
      </c>
      <c r="C7190" t="s">
        <v>40</v>
      </c>
      <c r="D7190">
        <v>3.3406090000000002</v>
      </c>
      <c r="E7190">
        <v>0.5480775</v>
      </c>
      <c r="F7190" t="s">
        <v>51</v>
      </c>
      <c r="G7190">
        <v>-182.52979999999999</v>
      </c>
      <c r="H7190" s="1">
        <v>-2.3029110000000001E-6</v>
      </c>
      <c r="I7190">
        <v>120.72490000000001</v>
      </c>
      <c r="J7190">
        <v>-188.22309999999999</v>
      </c>
      <c r="K7190">
        <v>1.1082459999999901</v>
      </c>
      <c r="L7190">
        <v>104.3815</v>
      </c>
      <c r="M7190">
        <v>2.890002E-3</v>
      </c>
      <c r="N7190">
        <v>0</v>
      </c>
      <c r="O7190">
        <v>0.9997492</v>
      </c>
      <c r="P7190">
        <v>0.2210106</v>
      </c>
      <c r="Q7190">
        <v>0.1013051</v>
      </c>
      <c r="R7190">
        <v>0.96999570000000002</v>
      </c>
      <c r="S7190">
        <v>0.99234009999999995</v>
      </c>
      <c r="T7190">
        <v>-0.19311439999999999</v>
      </c>
      <c r="U7190">
        <v>2.8880919999999999</v>
      </c>
      <c r="V7190">
        <v>0.21894060000000001</v>
      </c>
      <c r="W7190">
        <v>0.12152159999999999</v>
      </c>
      <c r="X7190">
        <v>0.96814129999999998</v>
      </c>
      <c r="Y7190">
        <v>0.32156699999999999</v>
      </c>
      <c r="Z7190">
        <v>-6.3140859999999993E-2</v>
      </c>
      <c r="AA7190">
        <v>0.94477929999999999</v>
      </c>
      <c r="AB7190">
        <v>36</v>
      </c>
      <c r="AC7190">
        <v>5.69329999999999</v>
      </c>
      <c r="AD7190">
        <v>-1.10824830291099</v>
      </c>
      <c r="AE7190">
        <v>16.343399999999999</v>
      </c>
      <c r="AF7190">
        <v>5.62297451452097</v>
      </c>
      <c r="AG7190">
        <v>-1.10824830291099</v>
      </c>
      <c r="AH7190">
        <v>16.292978381133999</v>
      </c>
      <c r="AI7190">
        <v>93.678970523422507</v>
      </c>
      <c r="AJ7190">
        <v>70.959604524295003</v>
      </c>
      <c r="AK7190">
        <v>17.2715720540997</v>
      </c>
      <c r="AL7190">
        <v>83.0200736443323</v>
      </c>
      <c r="AM7190">
        <v>77.257173239437407</v>
      </c>
      <c r="AN7190">
        <v>1.0000000311802999</v>
      </c>
    </row>
    <row r="7191" spans="1:40" x14ac:dyDescent="0.25">
      <c r="A7191" t="str">
        <f>"20190312173106252"</f>
        <v>20190312173106252</v>
      </c>
      <c r="B7191" t="str">
        <f>"1552383066245213"</f>
        <v>1552383066245213</v>
      </c>
      <c r="C7191" t="s">
        <v>40</v>
      </c>
      <c r="D7191">
        <v>3.3531680000000001</v>
      </c>
      <c r="E7191">
        <v>0.54809830000000004</v>
      </c>
      <c r="F7191" t="s">
        <v>51</v>
      </c>
      <c r="G7191">
        <v>-182.46420000000001</v>
      </c>
      <c r="H7191" s="1">
        <v>-2.3821189999999999E-6</v>
      </c>
      <c r="I7191">
        <v>120.9346</v>
      </c>
      <c r="J7191">
        <v>-188.21950000000001</v>
      </c>
      <c r="K7191">
        <v>1.108109</v>
      </c>
      <c r="L7191">
        <v>104.6876</v>
      </c>
      <c r="M7191">
        <v>5.4406879999999999E-3</v>
      </c>
      <c r="N7191">
        <v>0</v>
      </c>
      <c r="O7191">
        <v>0.99973469999999998</v>
      </c>
      <c r="P7191">
        <v>0.22701489999999999</v>
      </c>
      <c r="Q7191">
        <v>0.10086820000000001</v>
      </c>
      <c r="R7191">
        <v>0.9686536</v>
      </c>
      <c r="S7191">
        <v>1.0034639999999999</v>
      </c>
      <c r="T7191">
        <v>-0.19310959999999999</v>
      </c>
      <c r="U7191">
        <v>2.8843380000000001</v>
      </c>
      <c r="V7191">
        <v>0.22251570000000001</v>
      </c>
      <c r="W7191">
        <v>0.1211372</v>
      </c>
      <c r="X7191">
        <v>0.96737399999999996</v>
      </c>
      <c r="Y7191">
        <v>0.32278299999999999</v>
      </c>
      <c r="Z7191">
        <v>-6.316368E-2</v>
      </c>
      <c r="AA7191">
        <v>0.94436299999999995</v>
      </c>
      <c r="AB7191">
        <v>36</v>
      </c>
      <c r="AC7191">
        <v>5.7553000000000001</v>
      </c>
      <c r="AD7191">
        <v>-1.1081113821190001</v>
      </c>
      <c r="AE7191">
        <v>16.247</v>
      </c>
      <c r="AF7191">
        <v>5.6434724593646504</v>
      </c>
      <c r="AG7191">
        <v>-1.1081113821190001</v>
      </c>
      <c r="AH7191">
        <v>16.2110772609247</v>
      </c>
      <c r="AI7191">
        <v>93.693620205841498</v>
      </c>
      <c r="AJ7191">
        <v>70.805743100674704</v>
      </c>
      <c r="AK7191">
        <v>17.201038288267899</v>
      </c>
      <c r="AL7191">
        <v>83.042261543602507</v>
      </c>
      <c r="AM7191">
        <v>77.046128444211007</v>
      </c>
      <c r="AN7191">
        <v>0.99999995692316401</v>
      </c>
    </row>
    <row r="7192" spans="1:40" x14ac:dyDescent="0.25">
      <c r="A7192" t="str">
        <f>"20190312173106273"</f>
        <v>20190312173106273</v>
      </c>
      <c r="B7192" t="str">
        <f>"1552383066264736"</f>
        <v>1552383066264736</v>
      </c>
      <c r="C7192" t="s">
        <v>40</v>
      </c>
      <c r="D7192">
        <v>3.3626939999999998</v>
      </c>
      <c r="E7192">
        <v>0.54806269999999901</v>
      </c>
      <c r="F7192" t="s">
        <v>51</v>
      </c>
      <c r="G7192">
        <v>-182.36519999999999</v>
      </c>
      <c r="H7192" s="1">
        <v>-2.477845E-6</v>
      </c>
      <c r="I7192">
        <v>121.17010000000001</v>
      </c>
      <c r="J7192">
        <v>-188.21440000000001</v>
      </c>
      <c r="K7192">
        <v>1.1079589999999999</v>
      </c>
      <c r="L7192">
        <v>105.036</v>
      </c>
      <c r="M7192">
        <v>8.5046129999999994E-3</v>
      </c>
      <c r="N7192">
        <v>0</v>
      </c>
      <c r="O7192">
        <v>0.99970950000000003</v>
      </c>
      <c r="P7192">
        <v>0.2331443</v>
      </c>
      <c r="Q7192">
        <v>0.10018000000000001</v>
      </c>
      <c r="R7192">
        <v>0.96726820000000002</v>
      </c>
      <c r="S7192">
        <v>1.0221100000000001</v>
      </c>
      <c r="T7192">
        <v>-0.19346459999999999</v>
      </c>
      <c r="U7192">
        <v>2.8776860000000002</v>
      </c>
      <c r="V7192">
        <v>0.22572490000000001</v>
      </c>
      <c r="W7192">
        <v>0.1204911</v>
      </c>
      <c r="X7192">
        <v>0.96671099999999999</v>
      </c>
      <c r="Y7192">
        <v>0.32600010000000001</v>
      </c>
      <c r="Z7192">
        <v>-6.331299E-2</v>
      </c>
      <c r="AA7192">
        <v>0.94324730000000001</v>
      </c>
      <c r="AB7192">
        <v>36</v>
      </c>
      <c r="AC7192">
        <v>5.8492000000000202</v>
      </c>
      <c r="AD7192">
        <v>-1.107961477845</v>
      </c>
      <c r="AE7192">
        <v>16.1341</v>
      </c>
      <c r="AF7192">
        <v>5.6880312745382797</v>
      </c>
      <c r="AG7192">
        <v>-1.107961477845</v>
      </c>
      <c r="AH7192">
        <v>16.116101616027301</v>
      </c>
      <c r="AI7192">
        <v>93.709259830339903</v>
      </c>
      <c r="AJ7192">
        <v>70.559979682389695</v>
      </c>
      <c r="AK7192">
        <v>17.1262958550479</v>
      </c>
      <c r="AL7192">
        <v>83.079553783173296</v>
      </c>
      <c r="AM7192">
        <v>76.857040861815904</v>
      </c>
      <c r="AN7192">
        <v>0.99999999659010996</v>
      </c>
    </row>
    <row r="7193" spans="1:40" x14ac:dyDescent="0.25">
      <c r="A7193" t="str">
        <f>"20190312173106286"</f>
        <v>20190312173106286</v>
      </c>
      <c r="B7193" t="str">
        <f>"1552383066274494"</f>
        <v>1552383066274494</v>
      </c>
      <c r="C7193" t="s">
        <v>40</v>
      </c>
      <c r="D7193">
        <v>3.3591920000000002</v>
      </c>
      <c r="E7193">
        <v>0.54807720000000004</v>
      </c>
      <c r="F7193" t="s">
        <v>51</v>
      </c>
      <c r="G7193">
        <v>-182.2861</v>
      </c>
      <c r="H7193" s="1">
        <v>-2.5624919999999998E-6</v>
      </c>
      <c r="I7193">
        <v>121.3861</v>
      </c>
      <c r="J7193">
        <v>-188.21080000000001</v>
      </c>
      <c r="K7193">
        <v>1.107877</v>
      </c>
      <c r="L7193">
        <v>105.24039999999999</v>
      </c>
      <c r="M7193">
        <v>1.036773E-2</v>
      </c>
      <c r="N7193">
        <v>0</v>
      </c>
      <c r="O7193">
        <v>0.99968999999999997</v>
      </c>
      <c r="P7193">
        <v>0.23617830000000001</v>
      </c>
      <c r="Q7193">
        <v>9.9548020000000001E-2</v>
      </c>
      <c r="R7193">
        <v>0.96659709999999999</v>
      </c>
      <c r="S7193">
        <v>1.040894</v>
      </c>
      <c r="T7193">
        <v>-0.19453780000000001</v>
      </c>
      <c r="U7193">
        <v>2.8707889999999998</v>
      </c>
      <c r="V7193">
        <v>0.22697999999999999</v>
      </c>
      <c r="W7193">
        <v>0.1198823</v>
      </c>
      <c r="X7193">
        <v>0.96649280000000004</v>
      </c>
      <c r="Y7193">
        <v>0.33040760000000002</v>
      </c>
      <c r="Z7193">
        <v>-6.3686149999999997E-2</v>
      </c>
      <c r="AA7193">
        <v>0.9416873</v>
      </c>
      <c r="AB7193">
        <v>36</v>
      </c>
      <c r="AC7193">
        <v>5.9246999999999996</v>
      </c>
      <c r="AD7193">
        <v>-1.1078795624919999</v>
      </c>
      <c r="AE7193">
        <v>16.145700000000001</v>
      </c>
      <c r="AF7193">
        <v>5.7331538552802899</v>
      </c>
      <c r="AG7193">
        <v>-1.1078795624919999</v>
      </c>
      <c r="AH7193">
        <v>16.1393013101329</v>
      </c>
      <c r="AI7193">
        <v>93.701011248681695</v>
      </c>
      <c r="AJ7193">
        <v>70.443467374159695</v>
      </c>
      <c r="AK7193">
        <v>17.163143564993</v>
      </c>
      <c r="AL7193">
        <v>83.114690235453907</v>
      </c>
      <c r="AM7193">
        <v>76.783640523629302</v>
      </c>
      <c r="AN7193">
        <v>1.0000000093525601</v>
      </c>
    </row>
    <row r="7194" spans="1:40" x14ac:dyDescent="0.25">
      <c r="A7194" t="str">
        <f>"20190312173106298"</f>
        <v>20190312173106298</v>
      </c>
      <c r="B7194" t="str">
        <f>"1552383066284253"</f>
        <v>1552383066284253</v>
      </c>
      <c r="C7194" t="s">
        <v>40</v>
      </c>
      <c r="D7194">
        <v>3.3426100000000001</v>
      </c>
      <c r="E7194">
        <v>0.54806829999999995</v>
      </c>
      <c r="F7194" t="s">
        <v>51</v>
      </c>
      <c r="G7194">
        <v>-182.27979999999999</v>
      </c>
      <c r="H7194" s="1">
        <v>-2.576347E-6</v>
      </c>
      <c r="I7194">
        <v>121.42749999999999</v>
      </c>
      <c r="J7194">
        <v>-188.20689999999999</v>
      </c>
      <c r="K7194">
        <v>1.1077999999999999</v>
      </c>
      <c r="L7194">
        <v>105.4406</v>
      </c>
      <c r="M7194">
        <v>1.225131E-2</v>
      </c>
      <c r="N7194">
        <v>0</v>
      </c>
      <c r="O7194">
        <v>0.99966710000000003</v>
      </c>
      <c r="P7194">
        <v>0.24113989999999999</v>
      </c>
      <c r="Q7194">
        <v>9.9106780000000005E-2</v>
      </c>
      <c r="R7194">
        <v>0.96541670000000002</v>
      </c>
      <c r="S7194">
        <v>1.0505519999999999</v>
      </c>
      <c r="T7194">
        <v>-0.19623669999999999</v>
      </c>
      <c r="U7194">
        <v>2.8671880000000001</v>
      </c>
      <c r="V7194">
        <v>0.2301493</v>
      </c>
      <c r="W7194">
        <v>0.1194293</v>
      </c>
      <c r="X7194">
        <v>0.96579910000000002</v>
      </c>
      <c r="Y7194">
        <v>0.33179550000000002</v>
      </c>
      <c r="Z7194">
        <v>-6.4261470000000001E-2</v>
      </c>
      <c r="AA7194">
        <v>0.94116</v>
      </c>
      <c r="AB7194">
        <v>35</v>
      </c>
      <c r="AC7194">
        <v>5.9270999999999896</v>
      </c>
      <c r="AD7194">
        <v>-1.1078025763470001</v>
      </c>
      <c r="AE7194">
        <v>15.986899999999901</v>
      </c>
      <c r="AF7194">
        <v>5.7066535586831497</v>
      </c>
      <c r="AG7194">
        <v>-1.1078025763470001</v>
      </c>
      <c r="AH7194">
        <v>15.9908284063927</v>
      </c>
      <c r="AI7194">
        <v>93.733088189943302</v>
      </c>
      <c r="AJ7194">
        <v>70.360021143243998</v>
      </c>
      <c r="AK7194">
        <v>17.014691137651798</v>
      </c>
      <c r="AL7194">
        <v>83.140832844426598</v>
      </c>
      <c r="AM7194">
        <v>76.596435279743304</v>
      </c>
      <c r="AN7194">
        <v>0.99999997977489397</v>
      </c>
    </row>
    <row r="7195" spans="1:40" x14ac:dyDescent="0.25">
      <c r="A7195" t="str">
        <f>"20190312173106330"</f>
        <v>20190312173106330</v>
      </c>
      <c r="B7195" t="str">
        <f>"1552383066324269"</f>
        <v>1552383066324269</v>
      </c>
      <c r="C7195" t="s">
        <v>40</v>
      </c>
      <c r="D7195">
        <v>3.3557769999999998</v>
      </c>
      <c r="E7195">
        <v>0.54804339999999996</v>
      </c>
      <c r="F7195" t="s">
        <v>51</v>
      </c>
      <c r="G7195">
        <v>-182.209</v>
      </c>
      <c r="H7195" s="1">
        <v>-2.6292190000000001E-6</v>
      </c>
      <c r="I7195">
        <v>121.54300000000001</v>
      </c>
      <c r="J7195">
        <v>-188.19589999999999</v>
      </c>
      <c r="K7195">
        <v>1.107637</v>
      </c>
      <c r="L7195">
        <v>105.9106</v>
      </c>
      <c r="M7195">
        <v>1.6869459999999999E-2</v>
      </c>
      <c r="N7195">
        <v>0</v>
      </c>
      <c r="O7195">
        <v>0.99959710000000002</v>
      </c>
      <c r="P7195">
        <v>0.2499101</v>
      </c>
      <c r="Q7195">
        <v>9.7586199999999998E-2</v>
      </c>
      <c r="R7195">
        <v>0.9633389</v>
      </c>
      <c r="S7195">
        <v>1.065842</v>
      </c>
      <c r="T7195">
        <v>-0.1968596</v>
      </c>
      <c r="U7195">
        <v>2.86145</v>
      </c>
      <c r="V7195">
        <v>0.23451540000000001</v>
      </c>
      <c r="W7195">
        <v>0.1178792</v>
      </c>
      <c r="X7195">
        <v>0.96493890000000004</v>
      </c>
      <c r="Y7195">
        <v>0.33246629999999999</v>
      </c>
      <c r="Z7195">
        <v>-6.4513219999999996E-2</v>
      </c>
      <c r="AA7195">
        <v>0.94090600000000002</v>
      </c>
      <c r="AB7195">
        <v>35</v>
      </c>
      <c r="AC7195">
        <v>5.9868999999999897</v>
      </c>
      <c r="AD7195">
        <v>-1.1076396292190001</v>
      </c>
      <c r="AE7195">
        <v>15.632399999999899</v>
      </c>
      <c r="AF7195">
        <v>5.69732413812772</v>
      </c>
      <c r="AG7195">
        <v>-1.1076396292190001</v>
      </c>
      <c r="AH7195">
        <v>15.6626207622433</v>
      </c>
      <c r="AI7195">
        <v>93.802197401036096</v>
      </c>
      <c r="AJ7195">
        <v>70.010995119202803</v>
      </c>
      <c r="AK7195">
        <v>16.703414531914198</v>
      </c>
      <c r="AL7195">
        <v>83.2302792629458</v>
      </c>
      <c r="AM7195">
        <v>76.339875683507302</v>
      </c>
      <c r="AN7195">
        <v>1.0000000296814999</v>
      </c>
    </row>
    <row r="7196" spans="1:40" x14ac:dyDescent="0.25">
      <c r="A7196" t="str">
        <f>"20190312173106353"</f>
        <v>20190312173106353</v>
      </c>
      <c r="B7196" t="str">
        <f>"1552383066344765"</f>
        <v>1552383066344765</v>
      </c>
      <c r="C7196" t="s">
        <v>40</v>
      </c>
      <c r="D7196">
        <v>3.324983</v>
      </c>
      <c r="E7196">
        <v>0.54802189999999995</v>
      </c>
      <c r="F7196" t="s">
        <v>51</v>
      </c>
      <c r="G7196">
        <v>-182.16990000000001</v>
      </c>
      <c r="H7196" s="1">
        <v>-2.6679759999999999E-6</v>
      </c>
      <c r="I7196">
        <v>121.63930000000001</v>
      </c>
      <c r="J7196">
        <v>-188.18520000000001</v>
      </c>
      <c r="K7196">
        <v>1.1075079999999999</v>
      </c>
      <c r="L7196">
        <v>106.28700000000001</v>
      </c>
      <c r="M7196">
        <v>2.0756670000000001E-2</v>
      </c>
      <c r="N7196">
        <v>0</v>
      </c>
      <c r="O7196">
        <v>0.99952280000000004</v>
      </c>
      <c r="P7196">
        <v>0.25609660000000001</v>
      </c>
      <c r="Q7196">
        <v>9.6956440000000005E-2</v>
      </c>
      <c r="R7196">
        <v>0.96177639999999998</v>
      </c>
      <c r="S7196">
        <v>1.0923160000000001</v>
      </c>
      <c r="T7196">
        <v>-0.20078090000000001</v>
      </c>
      <c r="U7196">
        <v>2.8511350000000002</v>
      </c>
      <c r="V7196">
        <v>0.2369993</v>
      </c>
      <c r="W7196">
        <v>0.11719540000000001</v>
      </c>
      <c r="X7196">
        <v>0.96441509999999997</v>
      </c>
      <c r="Y7196">
        <v>0.33751890000000001</v>
      </c>
      <c r="Z7196">
        <v>-6.5841769999999994E-2</v>
      </c>
      <c r="AA7196">
        <v>0.93901319999999999</v>
      </c>
      <c r="AB7196">
        <v>35</v>
      </c>
      <c r="AC7196">
        <v>6.0152999999999901</v>
      </c>
      <c r="AD7196">
        <v>-1.1075106679759901</v>
      </c>
      <c r="AE7196">
        <v>15.3523</v>
      </c>
      <c r="AF7196">
        <v>5.6696784262121298</v>
      </c>
      <c r="AG7196">
        <v>-1.1075106679759901</v>
      </c>
      <c r="AH7196">
        <v>15.404383730028799</v>
      </c>
      <c r="AI7196">
        <v>93.859948946678401</v>
      </c>
      <c r="AJ7196">
        <v>69.793550598052093</v>
      </c>
      <c r="AK7196">
        <v>16.451956462327299</v>
      </c>
      <c r="AL7196">
        <v>83.269731093849501</v>
      </c>
      <c r="AM7196">
        <v>76.193487793378196</v>
      </c>
      <c r="AN7196">
        <v>0.99999995754482895</v>
      </c>
    </row>
    <row r="7197" spans="1:40" x14ac:dyDescent="0.25">
      <c r="A7197" t="str">
        <f>"20190312173106375"</f>
        <v>20190312173106375</v>
      </c>
      <c r="B7197" t="str">
        <f>"1552383066364285"</f>
        <v>1552383066364285</v>
      </c>
      <c r="C7197" t="s">
        <v>40</v>
      </c>
      <c r="D7197">
        <v>3.417637</v>
      </c>
      <c r="E7197">
        <v>0.54798169999999902</v>
      </c>
      <c r="F7197" t="s">
        <v>51</v>
      </c>
      <c r="G7197">
        <v>-182.10169999999999</v>
      </c>
      <c r="H7197" s="1">
        <v>-2.7512130000000002E-6</v>
      </c>
      <c r="I7197">
        <v>121.8603</v>
      </c>
      <c r="J7197">
        <v>-188.17420000000001</v>
      </c>
      <c r="K7197">
        <v>1.10741</v>
      </c>
      <c r="L7197">
        <v>106.6285</v>
      </c>
      <c r="M7197">
        <v>2.4407849999999998E-2</v>
      </c>
      <c r="N7197">
        <v>0</v>
      </c>
      <c r="O7197">
        <v>0.99944</v>
      </c>
      <c r="P7197">
        <v>0.26243339999999998</v>
      </c>
      <c r="Q7197">
        <v>9.6471489999999993E-2</v>
      </c>
      <c r="R7197">
        <v>0.96011559999999996</v>
      </c>
      <c r="S7197">
        <v>1.1109009999999999</v>
      </c>
      <c r="T7197">
        <v>-0.20224030000000001</v>
      </c>
      <c r="U7197">
        <v>2.8438110000000001</v>
      </c>
      <c r="V7197">
        <v>0.23986469999999999</v>
      </c>
      <c r="W7197">
        <v>0.1166285</v>
      </c>
      <c r="X7197">
        <v>0.9637753</v>
      </c>
      <c r="Y7197">
        <v>0.34021119999999999</v>
      </c>
      <c r="Z7197">
        <v>-6.6359959999999996E-2</v>
      </c>
      <c r="AA7197">
        <v>0.93800470000000002</v>
      </c>
      <c r="AB7197">
        <v>35</v>
      </c>
      <c r="AC7197">
        <v>6.0725000000000096</v>
      </c>
      <c r="AD7197">
        <v>-1.1074127512129901</v>
      </c>
      <c r="AE7197">
        <v>15.2317999999999</v>
      </c>
      <c r="AF7197">
        <v>5.6729430009297497</v>
      </c>
      <c r="AG7197">
        <v>-1.1074127512129901</v>
      </c>
      <c r="AH7197">
        <v>15.3057067097733</v>
      </c>
      <c r="AI7197">
        <v>93.881162320390601</v>
      </c>
      <c r="AJ7197">
        <v>69.663161205469507</v>
      </c>
      <c r="AK7197">
        <v>16.3607244087463</v>
      </c>
      <c r="AL7197">
        <v>83.302437012923903</v>
      </c>
      <c r="AM7197">
        <v>76.024151941145902</v>
      </c>
      <c r="AN7197">
        <v>1.0000000551042101</v>
      </c>
    </row>
    <row r="7198" spans="1:40" x14ac:dyDescent="0.25">
      <c r="A7198" t="str">
        <f>"20190312173106397"</f>
        <v>20190312173106397</v>
      </c>
      <c r="B7198" t="str">
        <f>"1552383066384782"</f>
        <v>1552383066384782</v>
      </c>
      <c r="C7198" t="s">
        <v>40</v>
      </c>
      <c r="D7198">
        <v>3.4092950000000002</v>
      </c>
      <c r="E7198">
        <v>0.54777830000000005</v>
      </c>
      <c r="F7198" t="s">
        <v>51</v>
      </c>
      <c r="G7198">
        <v>-182.01169999999999</v>
      </c>
      <c r="H7198" s="1">
        <v>-2.8443430000000002E-6</v>
      </c>
      <c r="I7198">
        <v>122.09520000000001</v>
      </c>
      <c r="J7198">
        <v>-188.16220000000001</v>
      </c>
      <c r="K7198">
        <v>1.1073170000000001</v>
      </c>
      <c r="L7198">
        <v>106.9598</v>
      </c>
      <c r="M7198">
        <v>2.806966E-2</v>
      </c>
      <c r="N7198">
        <v>0</v>
      </c>
      <c r="O7198">
        <v>0.99934420000000002</v>
      </c>
      <c r="P7198">
        <v>0.26857550000000002</v>
      </c>
      <c r="Q7198">
        <v>9.6161510000000006E-2</v>
      </c>
      <c r="R7198">
        <v>0.95844669999999998</v>
      </c>
      <c r="S7198">
        <v>1.1300349999999999</v>
      </c>
      <c r="T7198">
        <v>-0.203068</v>
      </c>
      <c r="U7198">
        <v>2.8361510000000001</v>
      </c>
      <c r="V7198">
        <v>0.2425311</v>
      </c>
      <c r="W7198">
        <v>0.1162174</v>
      </c>
      <c r="X7198">
        <v>0.96315740000000005</v>
      </c>
      <c r="Y7198">
        <v>0.34309000000000001</v>
      </c>
      <c r="Z7198">
        <v>-6.6671830000000001E-2</v>
      </c>
      <c r="AA7198">
        <v>0.93693329999999997</v>
      </c>
      <c r="AB7198">
        <v>35</v>
      </c>
      <c r="AC7198">
        <v>6.1505000000000196</v>
      </c>
      <c r="AD7198">
        <v>-1.1073198443429999</v>
      </c>
      <c r="AE7198">
        <v>15.135400000000001</v>
      </c>
      <c r="AF7198">
        <v>5.6969472248468804</v>
      </c>
      <c r="AG7198">
        <v>-1.1073198443429999</v>
      </c>
      <c r="AH7198">
        <v>15.2321455127848</v>
      </c>
      <c r="AI7198">
        <v>93.895245603726806</v>
      </c>
      <c r="AJ7198">
        <v>69.493791364325006</v>
      </c>
      <c r="AK7198">
        <v>16.3002951458867</v>
      </c>
      <c r="AL7198">
        <v>83.326152195249605</v>
      </c>
      <c r="AM7198">
        <v>75.866280672152399</v>
      </c>
      <c r="AN7198">
        <v>0.99999999785236504</v>
      </c>
    </row>
    <row r="7199" spans="1:40" x14ac:dyDescent="0.25">
      <c r="A7199" t="str">
        <f>"20190312173106418"</f>
        <v>20190312173106418</v>
      </c>
      <c r="B7199" t="str">
        <f>"1552383066415038"</f>
        <v>1552383066415038</v>
      </c>
      <c r="C7199" t="s">
        <v>40</v>
      </c>
      <c r="D7199">
        <v>3.3833929999999999</v>
      </c>
      <c r="E7199">
        <v>0.54747969999999901</v>
      </c>
      <c r="F7199" t="s">
        <v>51</v>
      </c>
      <c r="G7199">
        <v>-181.9426</v>
      </c>
      <c r="H7199" s="1">
        <v>-2.9237890000000002E-6</v>
      </c>
      <c r="I7199">
        <v>122.30249999999999</v>
      </c>
      <c r="J7199">
        <v>-188.14859999999999</v>
      </c>
      <c r="K7199">
        <v>1.1072139999999999</v>
      </c>
      <c r="L7199">
        <v>107.2983</v>
      </c>
      <c r="M7199">
        <v>3.192905E-2</v>
      </c>
      <c r="N7199">
        <v>0</v>
      </c>
      <c r="O7199">
        <v>0.99922929999999999</v>
      </c>
      <c r="P7199">
        <v>0.274725</v>
      </c>
      <c r="Q7199">
        <v>9.5238610000000001E-2</v>
      </c>
      <c r="R7199">
        <v>0.95679460000000005</v>
      </c>
      <c r="S7199">
        <v>1.1468959999999999</v>
      </c>
      <c r="T7199">
        <v>-0.2041895</v>
      </c>
      <c r="U7199">
        <v>2.8291780000000002</v>
      </c>
      <c r="V7199">
        <v>0.2450148</v>
      </c>
      <c r="W7199">
        <v>0.1151726</v>
      </c>
      <c r="X7199">
        <v>0.96265420000000002</v>
      </c>
      <c r="Y7199">
        <v>0.34505200000000003</v>
      </c>
      <c r="Z7199">
        <v>-6.7082639999999999E-2</v>
      </c>
      <c r="AA7199">
        <v>0.93618319999999999</v>
      </c>
      <c r="AB7199">
        <v>34</v>
      </c>
      <c r="AC7199">
        <v>6.20599999999998</v>
      </c>
      <c r="AD7199">
        <v>-1.1072169237889999</v>
      </c>
      <c r="AE7199">
        <v>15.0041999999999</v>
      </c>
      <c r="AF7199">
        <v>5.6971476020582301</v>
      </c>
      <c r="AG7199">
        <v>-1.1072169237889999</v>
      </c>
      <c r="AH7199">
        <v>15.124420667270501</v>
      </c>
      <c r="AI7199">
        <v>93.919097418296403</v>
      </c>
      <c r="AJ7199">
        <v>69.3593436643594</v>
      </c>
      <c r="AK7199">
        <v>16.1997382891367</v>
      </c>
      <c r="AL7199">
        <v>83.386419845935393</v>
      </c>
      <c r="AM7199">
        <v>75.7202709999993</v>
      </c>
      <c r="AN7199">
        <v>1.00000004439371</v>
      </c>
    </row>
    <row r="7200" spans="1:40" x14ac:dyDescent="0.25">
      <c r="A7200" t="str">
        <f>"20190312173106441"</f>
        <v>20190312173106441</v>
      </c>
      <c r="B7200" t="str">
        <f>"1552383066434557"</f>
        <v>1552383066434557</v>
      </c>
      <c r="C7200" t="s">
        <v>40</v>
      </c>
      <c r="D7200">
        <v>3.3719600000000001</v>
      </c>
      <c r="E7200">
        <v>0.54727720000000002</v>
      </c>
      <c r="F7200" t="s">
        <v>51</v>
      </c>
      <c r="G7200">
        <v>-181.9494</v>
      </c>
      <c r="H7200" s="1">
        <v>-2.9330519999999999E-6</v>
      </c>
      <c r="I7200">
        <v>122.34010000000001</v>
      </c>
      <c r="J7200">
        <v>-188.13339999999999</v>
      </c>
      <c r="K7200">
        <v>1.107124</v>
      </c>
      <c r="L7200">
        <v>107.64060000000001</v>
      </c>
      <c r="M7200">
        <v>3.5948059999999997E-2</v>
      </c>
      <c r="N7200">
        <v>0</v>
      </c>
      <c r="O7200">
        <v>0.99909420000000004</v>
      </c>
      <c r="P7200">
        <v>0.28076109999999999</v>
      </c>
      <c r="Q7200">
        <v>9.4808219999999999E-2</v>
      </c>
      <c r="R7200">
        <v>0.95508349999999997</v>
      </c>
      <c r="S7200">
        <v>1.163116</v>
      </c>
      <c r="T7200">
        <v>-0.20773920000000001</v>
      </c>
      <c r="U7200">
        <v>2.822174</v>
      </c>
      <c r="V7200">
        <v>0.2472434</v>
      </c>
      <c r="W7200">
        <v>0.1146028</v>
      </c>
      <c r="X7200">
        <v>0.96215220000000001</v>
      </c>
      <c r="Y7200">
        <v>0.34666370000000002</v>
      </c>
      <c r="Z7200">
        <v>-6.8292779999999997E-2</v>
      </c>
      <c r="AA7200">
        <v>0.93550009999999995</v>
      </c>
      <c r="AB7200">
        <v>34</v>
      </c>
      <c r="AC7200">
        <v>6.1839999999999904</v>
      </c>
      <c r="AD7200">
        <v>-1.1071269330519999</v>
      </c>
      <c r="AE7200">
        <v>14.6995</v>
      </c>
      <c r="AF7200">
        <v>5.6243378296579802</v>
      </c>
      <c r="AG7200">
        <v>-1.1071269330519999</v>
      </c>
      <c r="AH7200">
        <v>14.8408264542652</v>
      </c>
      <c r="AI7200">
        <v>93.990408654018196</v>
      </c>
      <c r="AJ7200">
        <v>69.244424057422506</v>
      </c>
      <c r="AK7200">
        <v>15.9094008659543</v>
      </c>
      <c r="AL7200">
        <v>83.419284157547196</v>
      </c>
      <c r="AM7200">
        <v>75.588564513454003</v>
      </c>
      <c r="AN7200">
        <v>0.99999997828811904</v>
      </c>
    </row>
    <row r="7201" spans="1:40" x14ac:dyDescent="0.25">
      <c r="A7201" t="str">
        <f>"20190312173106463"</f>
        <v>20190312173106463</v>
      </c>
      <c r="B7201" t="str">
        <f>"1552383066455057"</f>
        <v>1552383066455057</v>
      </c>
      <c r="C7201" t="s">
        <v>40</v>
      </c>
      <c r="D7201">
        <v>3.3854880000000001</v>
      </c>
      <c r="E7201">
        <v>0.54710259999999999</v>
      </c>
      <c r="F7201" t="s">
        <v>51</v>
      </c>
      <c r="G7201">
        <v>-181.89349999999999</v>
      </c>
      <c r="H7201" s="1">
        <v>-3.0044110000000001E-6</v>
      </c>
      <c r="I7201">
        <v>122.53189999999999</v>
      </c>
      <c r="J7201">
        <v>-188.11709999999999</v>
      </c>
      <c r="K7201">
        <v>1.1070420000000001</v>
      </c>
      <c r="L7201">
        <v>107.9743</v>
      </c>
      <c r="M7201">
        <v>3.9973300000000003E-2</v>
      </c>
      <c r="N7201">
        <v>0</v>
      </c>
      <c r="O7201">
        <v>0.99894300000000003</v>
      </c>
      <c r="P7201">
        <v>0.28605219999999998</v>
      </c>
      <c r="Q7201">
        <v>9.4325829999999999E-2</v>
      </c>
      <c r="R7201">
        <v>0.95356010000000002</v>
      </c>
      <c r="S7201">
        <v>1.179611</v>
      </c>
      <c r="T7201">
        <v>-0.20929610000000001</v>
      </c>
      <c r="U7201">
        <v>2.8151090000000001</v>
      </c>
      <c r="V7201">
        <v>0.24871869999999999</v>
      </c>
      <c r="W7201">
        <v>0.11397789999999999</v>
      </c>
      <c r="X7201">
        <v>0.96184619999999998</v>
      </c>
      <c r="Y7201">
        <v>0.34836990000000001</v>
      </c>
      <c r="Z7201">
        <v>-6.8848039999999999E-2</v>
      </c>
      <c r="AA7201">
        <v>0.93482529999999997</v>
      </c>
      <c r="AB7201">
        <v>34</v>
      </c>
      <c r="AC7201">
        <v>6.2236000000000002</v>
      </c>
      <c r="AD7201">
        <v>-1.1070450044110001</v>
      </c>
      <c r="AE7201">
        <v>14.5575999999999</v>
      </c>
      <c r="AF7201">
        <v>5.6091329964080696</v>
      </c>
      <c r="AG7201">
        <v>-1.1070450044110001</v>
      </c>
      <c r="AH7201">
        <v>14.7228157763537</v>
      </c>
      <c r="AI7201">
        <v>94.019324654376803</v>
      </c>
      <c r="AJ7201">
        <v>69.144042340890394</v>
      </c>
      <c r="AK7201">
        <v>15.793961694192999</v>
      </c>
      <c r="AL7201">
        <v>83.455324808776794</v>
      </c>
      <c r="AM7201">
        <v>75.501766650464305</v>
      </c>
      <c r="AN7201">
        <v>1.0000000329362599</v>
      </c>
    </row>
    <row r="7202" spans="1:40" x14ac:dyDescent="0.25">
      <c r="A7202" t="str">
        <f>"20190312173106486"</f>
        <v>20190312173106486</v>
      </c>
      <c r="B7202" t="str">
        <f>"1552383066474573"</f>
        <v>1552383066474573</v>
      </c>
      <c r="C7202" t="s">
        <v>40</v>
      </c>
      <c r="D7202">
        <v>3.3816600000000001</v>
      </c>
      <c r="E7202">
        <v>0.54691250000000002</v>
      </c>
      <c r="F7202" t="s">
        <v>51</v>
      </c>
      <c r="G7202">
        <v>-181.86969999999999</v>
      </c>
      <c r="H7202" s="1">
        <v>-3.0530100000000001E-6</v>
      </c>
      <c r="I7202">
        <v>122.6754</v>
      </c>
      <c r="J7202">
        <v>-188.09899999999999</v>
      </c>
      <c r="K7202">
        <v>1.106973</v>
      </c>
      <c r="L7202">
        <v>108.3129</v>
      </c>
      <c r="M7202">
        <v>4.4162050000000001E-2</v>
      </c>
      <c r="N7202">
        <v>0</v>
      </c>
      <c r="O7202">
        <v>0.99876869999999995</v>
      </c>
      <c r="P7202">
        <v>0.290931099999999</v>
      </c>
      <c r="Q7202">
        <v>9.5097769999999998E-2</v>
      </c>
      <c r="R7202">
        <v>0.95200600000000002</v>
      </c>
      <c r="S7202">
        <v>1.193695</v>
      </c>
      <c r="T7202">
        <v>-0.2115244</v>
      </c>
      <c r="U7202">
        <v>2.808945</v>
      </c>
      <c r="V7202">
        <v>0.24964030000000001</v>
      </c>
      <c r="W7202">
        <v>0.1146032</v>
      </c>
      <c r="X7202">
        <v>0.96153310000000003</v>
      </c>
      <c r="Y7202">
        <v>0.34912789999999999</v>
      </c>
      <c r="Z7202">
        <v>-6.9623459999999998E-2</v>
      </c>
      <c r="AA7202">
        <v>0.93448500000000001</v>
      </c>
      <c r="AB7202">
        <v>34</v>
      </c>
      <c r="AC7202">
        <v>6.2293000000000198</v>
      </c>
      <c r="AD7202">
        <v>-1.1069760530099999</v>
      </c>
      <c r="AE7202">
        <v>14.362499999999899</v>
      </c>
      <c r="AF7202">
        <v>5.56097581448123</v>
      </c>
      <c r="AG7202">
        <v>-1.1069760530099999</v>
      </c>
      <c r="AH7202">
        <v>14.550896860864899</v>
      </c>
      <c r="AI7202">
        <v>94.064793743728302</v>
      </c>
      <c r="AJ7202">
        <v>69.0844390119981</v>
      </c>
      <c r="AK7202">
        <v>15.616608064708201</v>
      </c>
      <c r="AL7202">
        <v>83.419261479373503</v>
      </c>
      <c r="AM7202">
        <v>75.445784414934806</v>
      </c>
      <c r="AN7202">
        <v>1.00000003761496</v>
      </c>
    </row>
    <row r="7203" spans="1:40" x14ac:dyDescent="0.25">
      <c r="A7203" t="str">
        <f>"20190312173106507"</f>
        <v>20190312173106507</v>
      </c>
      <c r="B7203" t="str">
        <f>"1552383066495073"</f>
        <v>1552383066495073</v>
      </c>
      <c r="C7203" t="s">
        <v>40</v>
      </c>
      <c r="D7203">
        <v>3.3058689999999999</v>
      </c>
      <c r="E7203">
        <v>0.54680220000000002</v>
      </c>
      <c r="F7203" t="s">
        <v>51</v>
      </c>
      <c r="G7203">
        <v>-181.7209</v>
      </c>
      <c r="H7203" s="1">
        <v>-3.225396E-6</v>
      </c>
      <c r="I7203">
        <v>123.1263</v>
      </c>
      <c r="J7203">
        <v>-188.07990000000001</v>
      </c>
      <c r="K7203">
        <v>1.1069150000000001</v>
      </c>
      <c r="L7203">
        <v>108.64149999999999</v>
      </c>
      <c r="M7203">
        <v>4.8301789999999997E-2</v>
      </c>
      <c r="N7203">
        <v>0</v>
      </c>
      <c r="O7203">
        <v>0.9985792</v>
      </c>
      <c r="P7203">
        <v>0.29535850000000002</v>
      </c>
      <c r="Q7203">
        <v>9.5752889999999993E-2</v>
      </c>
      <c r="R7203">
        <v>0.95057599999999998</v>
      </c>
      <c r="S7203">
        <v>1.206985</v>
      </c>
      <c r="T7203">
        <v>-0.20948600000000001</v>
      </c>
      <c r="U7203">
        <v>2.8033139999999999</v>
      </c>
      <c r="V7203">
        <v>0.25015310000000002</v>
      </c>
      <c r="W7203">
        <v>0.11513</v>
      </c>
      <c r="X7203">
        <v>0.96133690000000005</v>
      </c>
      <c r="Y7203">
        <v>0.34968179999999999</v>
      </c>
      <c r="Z7203">
        <v>-6.8993620000000005E-2</v>
      </c>
      <c r="AA7203">
        <v>0.93432459999999995</v>
      </c>
      <c r="AB7203">
        <v>34</v>
      </c>
      <c r="AC7203">
        <v>6.359</v>
      </c>
      <c r="AD7203">
        <v>-1.1069182253959999</v>
      </c>
      <c r="AE7203">
        <v>14.4848</v>
      </c>
      <c r="AF7203">
        <v>5.6242173434007396</v>
      </c>
      <c r="AG7203">
        <v>-1.1069182253959999</v>
      </c>
      <c r="AH7203">
        <v>14.7031233506949</v>
      </c>
      <c r="AI7203">
        <v>94.022178301102301</v>
      </c>
      <c r="AJ7203">
        <v>69.067220556897595</v>
      </c>
      <c r="AK7203">
        <v>15.7809671740763</v>
      </c>
      <c r="AL7203">
        <v>83.3888771134161</v>
      </c>
      <c r="AM7203">
        <v>75.414311770066504</v>
      </c>
      <c r="AN7203">
        <v>1.0000000628206001</v>
      </c>
    </row>
    <row r="7204" spans="1:40" x14ac:dyDescent="0.25">
      <c r="A7204" t="str">
        <f>"20190312173106530"</f>
        <v>20190312173106530</v>
      </c>
      <c r="B7204" t="str">
        <f>"1552383066524349"</f>
        <v>1552383066524349</v>
      </c>
      <c r="C7204" t="s">
        <v>40</v>
      </c>
      <c r="D7204">
        <v>3.3082009999999999</v>
      </c>
      <c r="E7204">
        <v>0.546624</v>
      </c>
      <c r="F7204" t="s">
        <v>51</v>
      </c>
      <c r="G7204">
        <v>-181.55459999999999</v>
      </c>
      <c r="H7204" s="1">
        <v>-3.4140080000000001E-6</v>
      </c>
      <c r="I7204">
        <v>123.6164</v>
      </c>
      <c r="J7204">
        <v>-188.05879999999999</v>
      </c>
      <c r="K7204">
        <v>1.106876</v>
      </c>
      <c r="L7204">
        <v>108.9799</v>
      </c>
      <c r="M7204">
        <v>5.2634189999999997E-2</v>
      </c>
      <c r="N7204">
        <v>0</v>
      </c>
      <c r="O7204">
        <v>0.99836239999999998</v>
      </c>
      <c r="P7204">
        <v>0.2994252</v>
      </c>
      <c r="Q7204">
        <v>9.6934690000000004E-2</v>
      </c>
      <c r="R7204">
        <v>0.94918290000000005</v>
      </c>
      <c r="S7204">
        <v>1.2192229999999999</v>
      </c>
      <c r="T7204">
        <v>-0.2068217</v>
      </c>
      <c r="U7204">
        <v>2.797974</v>
      </c>
      <c r="V7204">
        <v>0.25012420000000002</v>
      </c>
      <c r="W7204">
        <v>0.1161938</v>
      </c>
      <c r="X7204">
        <v>0.96121630000000002</v>
      </c>
      <c r="Y7204">
        <v>0.3497287</v>
      </c>
      <c r="Z7204">
        <v>-6.8159239999999996E-2</v>
      </c>
      <c r="AA7204">
        <v>0.93436830000000004</v>
      </c>
      <c r="AB7204">
        <v>33</v>
      </c>
      <c r="AC7204">
        <v>6.5041999999999902</v>
      </c>
      <c r="AD7204">
        <v>-1.1068794140080001</v>
      </c>
      <c r="AE7204">
        <v>14.6364999999999</v>
      </c>
      <c r="AF7204">
        <v>5.6973954569235703</v>
      </c>
      <c r="AG7204">
        <v>-1.1068794140080001</v>
      </c>
      <c r="AH7204">
        <v>14.887528804876601</v>
      </c>
      <c r="AI7204">
        <v>93.972144657293498</v>
      </c>
      <c r="AJ7204">
        <v>69.058359048484206</v>
      </c>
      <c r="AK7204">
        <v>15.978861378263399</v>
      </c>
      <c r="AL7204">
        <v>83.327513244552605</v>
      </c>
      <c r="AM7204">
        <v>75.414173218688404</v>
      </c>
      <c r="AN7204">
        <v>0.99999994498488298</v>
      </c>
    </row>
    <row r="7205" spans="1:40" x14ac:dyDescent="0.25">
      <c r="A7205" t="str">
        <f>"20190312173106553"</f>
        <v>20190312173106553</v>
      </c>
      <c r="B7205" t="str">
        <f>"1552383066544846"</f>
        <v>1552383066544846</v>
      </c>
      <c r="C7205" t="s">
        <v>40</v>
      </c>
      <c r="D7205">
        <v>3.3334540000000001</v>
      </c>
      <c r="E7205">
        <v>0.54649269999999905</v>
      </c>
      <c r="F7205" t="s">
        <v>51</v>
      </c>
      <c r="G7205">
        <v>-181.32810000000001</v>
      </c>
      <c r="H7205" s="1">
        <v>-3.7490090000000001E-6</v>
      </c>
      <c r="I7205">
        <v>124.2632</v>
      </c>
      <c r="J7205">
        <v>-188.03579999999999</v>
      </c>
      <c r="K7205">
        <v>1.106849</v>
      </c>
      <c r="L7205">
        <v>109.3244</v>
      </c>
      <c r="M7205">
        <v>5.7108659999999999E-2</v>
      </c>
      <c r="N7205">
        <v>0</v>
      </c>
      <c r="O7205">
        <v>0.99811879999999997</v>
      </c>
      <c r="P7205">
        <v>0.30313299999999999</v>
      </c>
      <c r="Q7205">
        <v>9.7417160000000003E-2</v>
      </c>
      <c r="R7205">
        <v>0.94795580000000002</v>
      </c>
      <c r="S7205">
        <v>1.2301329999999999</v>
      </c>
      <c r="T7205">
        <v>-0.20229659999999999</v>
      </c>
      <c r="U7205">
        <v>2.7932130000000002</v>
      </c>
      <c r="V7205">
        <v>0.24958640000000001</v>
      </c>
      <c r="W7205">
        <v>0.1165674</v>
      </c>
      <c r="X7205">
        <v>0.96131089999999997</v>
      </c>
      <c r="Y7205">
        <v>0.34921459999999999</v>
      </c>
      <c r="Z7205">
        <v>-6.6710359999999996E-2</v>
      </c>
      <c r="AA7205">
        <v>0.93466510000000003</v>
      </c>
      <c r="AB7205">
        <v>33</v>
      </c>
      <c r="AC7205">
        <v>6.7076999999999796</v>
      </c>
      <c r="AD7205">
        <v>-1.1068527490090001</v>
      </c>
      <c r="AE7205">
        <v>14.938800000000001</v>
      </c>
      <c r="AF7205">
        <v>5.81682543249776</v>
      </c>
      <c r="AG7205">
        <v>-1.1068527490090001</v>
      </c>
      <c r="AH7205">
        <v>15.227999547778399</v>
      </c>
      <c r="AI7205">
        <v>93.884437936059001</v>
      </c>
      <c r="AJ7205">
        <v>69.094030927565598</v>
      </c>
      <c r="AK7205">
        <v>16.338682668663399</v>
      </c>
      <c r="AL7205">
        <v>83.305961376560703</v>
      </c>
      <c r="AM7205">
        <v>75.445572834253298</v>
      </c>
      <c r="AN7205">
        <v>0.99999998813326396</v>
      </c>
    </row>
    <row r="7206" spans="1:40" x14ac:dyDescent="0.25">
      <c r="A7206" t="str">
        <f>"20190312173106576"</f>
        <v>20190312173106576</v>
      </c>
      <c r="B7206" t="str">
        <f>"1552383066564365"</f>
        <v>1552383066564365</v>
      </c>
      <c r="C7206" t="s">
        <v>40</v>
      </c>
      <c r="D7206">
        <v>3.3260079999999999</v>
      </c>
      <c r="E7206">
        <v>0.54637550000000001</v>
      </c>
      <c r="F7206" t="s">
        <v>51</v>
      </c>
      <c r="G7206">
        <v>-181.1951</v>
      </c>
      <c r="H7206" s="1">
        <v>-3.984448E-6</v>
      </c>
      <c r="I7206">
        <v>124.7062</v>
      </c>
      <c r="J7206">
        <v>-188.01240000000001</v>
      </c>
      <c r="K7206">
        <v>1.1068340000000001</v>
      </c>
      <c r="L7206">
        <v>109.6525</v>
      </c>
      <c r="M7206">
        <v>6.1419799999999997E-2</v>
      </c>
      <c r="N7206">
        <v>0</v>
      </c>
      <c r="O7206">
        <v>0.99786490000000005</v>
      </c>
      <c r="P7206">
        <v>0.30701600000000001</v>
      </c>
      <c r="Q7206">
        <v>9.8062869999999996E-2</v>
      </c>
      <c r="R7206">
        <v>0.94663869999999894</v>
      </c>
      <c r="S7206">
        <v>1.240219</v>
      </c>
      <c r="T7206">
        <v>-0.2006732</v>
      </c>
      <c r="U7206">
        <v>2.7887270000000002</v>
      </c>
      <c r="V7206">
        <v>0.24938940000000001</v>
      </c>
      <c r="W7206">
        <v>0.1171069</v>
      </c>
      <c r="X7206">
        <v>0.9612965</v>
      </c>
      <c r="Y7206">
        <v>0.34856219999999999</v>
      </c>
      <c r="Z7206">
        <v>-6.6210630000000006E-2</v>
      </c>
      <c r="AA7206">
        <v>0.9349442</v>
      </c>
      <c r="AB7206">
        <v>33</v>
      </c>
      <c r="AC7206">
        <v>6.8173000000000101</v>
      </c>
      <c r="AD7206">
        <v>-1.1068379844480001</v>
      </c>
      <c r="AE7206">
        <v>15.0536999999999</v>
      </c>
      <c r="AF7206">
        <v>5.8533410495686304</v>
      </c>
      <c r="AG7206">
        <v>-1.1068379844480001</v>
      </c>
      <c r="AH7206">
        <v>15.375112039779101</v>
      </c>
      <c r="AI7206">
        <v>93.8489665979112</v>
      </c>
      <c r="AJ7206">
        <v>69.158053949096299</v>
      </c>
      <c r="AK7206">
        <v>16.488807173417499</v>
      </c>
      <c r="AL7206">
        <v>83.274837417598604</v>
      </c>
      <c r="AM7206">
        <v>75.456364806007898</v>
      </c>
      <c r="AN7206">
        <v>1.0000000298861</v>
      </c>
    </row>
    <row r="7207" spans="1:40" x14ac:dyDescent="0.25">
      <c r="A7207" t="str">
        <f>"20190312173106597"</f>
        <v>20190312173106597</v>
      </c>
      <c r="B7207" t="str">
        <f>"1552383066584861"</f>
        <v>1552383066584861</v>
      </c>
      <c r="C7207" t="s">
        <v>40</v>
      </c>
      <c r="D7207">
        <v>3.3319899999999998</v>
      </c>
      <c r="E7207">
        <v>0.54628880000000002</v>
      </c>
      <c r="F7207" t="s">
        <v>51</v>
      </c>
      <c r="G7207">
        <v>-181.0479</v>
      </c>
      <c r="H7207" s="1">
        <v>-4.1211799999999999E-6</v>
      </c>
      <c r="I7207">
        <v>125.1537</v>
      </c>
      <c r="J7207">
        <v>-187.98859999999999</v>
      </c>
      <c r="K7207">
        <v>1.1068199999999999</v>
      </c>
      <c r="L7207">
        <v>109.96639999999999</v>
      </c>
      <c r="M7207">
        <v>6.5590040000000002E-2</v>
      </c>
      <c r="N7207">
        <v>0</v>
      </c>
      <c r="O7207">
        <v>0.99760159999999998</v>
      </c>
      <c r="P7207">
        <v>0.31011699999999998</v>
      </c>
      <c r="Q7207">
        <v>9.8693879999999998E-2</v>
      </c>
      <c r="R7207">
        <v>0.94556169999999995</v>
      </c>
      <c r="S7207">
        <v>1.2508239999999999</v>
      </c>
      <c r="T7207">
        <v>-0.19878709999999999</v>
      </c>
      <c r="U7207">
        <v>2.7840120000000002</v>
      </c>
      <c r="V7207">
        <v>0.24853459999999999</v>
      </c>
      <c r="W7207">
        <v>0.11764810000000001</v>
      </c>
      <c r="X7207">
        <v>0.96145179999999997</v>
      </c>
      <c r="Y7207">
        <v>0.34821729999999901</v>
      </c>
      <c r="Z7207">
        <v>-6.5621250000000006E-2</v>
      </c>
      <c r="AA7207">
        <v>0.93511420000000001</v>
      </c>
      <c r="AB7207">
        <v>33</v>
      </c>
      <c r="AC7207">
        <v>6.9406999999999899</v>
      </c>
      <c r="AD7207">
        <v>-1.1068241211799901</v>
      </c>
      <c r="AE7207">
        <v>15.1873</v>
      </c>
      <c r="AF7207">
        <v>5.9034303142578102</v>
      </c>
      <c r="AG7207">
        <v>-1.1068241211799901</v>
      </c>
      <c r="AH7207">
        <v>15.541648634262501</v>
      </c>
      <c r="AI7207">
        <v>93.808877929645206</v>
      </c>
      <c r="AJ7207">
        <v>69.200928448125794</v>
      </c>
      <c r="AK7207">
        <v>16.661884388669801</v>
      </c>
      <c r="AL7207">
        <v>83.243613190976902</v>
      </c>
      <c r="AM7207">
        <v>75.506353478659605</v>
      </c>
      <c r="AN7207">
        <v>1.000000043277</v>
      </c>
    </row>
    <row r="7208" spans="1:40" x14ac:dyDescent="0.25">
      <c r="A7208" t="str">
        <f>"20190312173106619"</f>
        <v>20190312173106619</v>
      </c>
      <c r="B7208" t="str">
        <f>"1552383066615118"</f>
        <v>1552383066615118</v>
      </c>
      <c r="C7208" t="s">
        <v>40</v>
      </c>
      <c r="D7208">
        <v>3.3693520000000001</v>
      </c>
      <c r="E7208">
        <v>0.54615069999999999</v>
      </c>
      <c r="F7208" t="s">
        <v>51</v>
      </c>
      <c r="G7208">
        <v>-180.9188</v>
      </c>
      <c r="H7208" s="1">
        <v>-4.2482500000000004E-6</v>
      </c>
      <c r="I7208">
        <v>125.57380000000001</v>
      </c>
      <c r="J7208">
        <v>-187.96250000000001</v>
      </c>
      <c r="K7208">
        <v>1.106806</v>
      </c>
      <c r="L7208">
        <v>110.2914</v>
      </c>
      <c r="M7208">
        <v>6.9949750000000005E-2</v>
      </c>
      <c r="N7208">
        <v>0</v>
      </c>
      <c r="O7208">
        <v>0.99730750000000001</v>
      </c>
      <c r="P7208">
        <v>0.31344070000000002</v>
      </c>
      <c r="Q7208">
        <v>9.9802340000000003E-2</v>
      </c>
      <c r="R7208">
        <v>0.94434870000000004</v>
      </c>
      <c r="S7208">
        <v>1.2593840000000001</v>
      </c>
      <c r="T7208">
        <v>-0.19716620000000001</v>
      </c>
      <c r="U7208">
        <v>2.780243</v>
      </c>
      <c r="V7208">
        <v>0.24773439999999999</v>
      </c>
      <c r="W7208">
        <v>0.1186604</v>
      </c>
      <c r="X7208">
        <v>0.96153379999999999</v>
      </c>
      <c r="Y7208">
        <v>0.34700039999999999</v>
      </c>
      <c r="Z7208">
        <v>-6.511509E-2</v>
      </c>
      <c r="AA7208">
        <v>0.93560180000000004</v>
      </c>
      <c r="AB7208">
        <v>33</v>
      </c>
      <c r="AC7208">
        <v>7.0437000000000003</v>
      </c>
      <c r="AD7208">
        <v>-1.10681024825</v>
      </c>
      <c r="AE7208">
        <v>15.282400000000001</v>
      </c>
      <c r="AF7208">
        <v>5.9315180205349698</v>
      </c>
      <c r="AG7208">
        <v>-1.10681024825</v>
      </c>
      <c r="AH7208">
        <v>15.669980966642999</v>
      </c>
      <c r="AI7208">
        <v>93.779374562666504</v>
      </c>
      <c r="AJ7208">
        <v>69.266969754172905</v>
      </c>
      <c r="AK7208">
        <v>16.791552591958801</v>
      </c>
      <c r="AL7208">
        <v>83.185202793925697</v>
      </c>
      <c r="AM7208">
        <v>75.552242527606893</v>
      </c>
      <c r="AN7208">
        <v>0.99999993600697701</v>
      </c>
    </row>
    <row r="7209" spans="1:40" x14ac:dyDescent="0.25">
      <c r="A7209" t="str">
        <f>"20190312173106642"</f>
        <v>20190312173106642</v>
      </c>
      <c r="B7209" t="str">
        <f>"1552383066634641"</f>
        <v>1552383066634641</v>
      </c>
      <c r="C7209" t="s">
        <v>40</v>
      </c>
      <c r="D7209">
        <v>3.3866489999999998</v>
      </c>
      <c r="E7209">
        <v>0.54608699999999999</v>
      </c>
      <c r="F7209" t="s">
        <v>51</v>
      </c>
      <c r="G7209">
        <v>-180.73759999999999</v>
      </c>
      <c r="H7209" s="1">
        <v>-4.4095279999999998E-6</v>
      </c>
      <c r="I7209">
        <v>126.0976</v>
      </c>
      <c r="J7209">
        <v>-187.9342</v>
      </c>
      <c r="K7209">
        <v>1.1067910000000001</v>
      </c>
      <c r="L7209">
        <v>110.6253</v>
      </c>
      <c r="M7209">
        <v>7.4477870000000002E-2</v>
      </c>
      <c r="N7209">
        <v>0</v>
      </c>
      <c r="O7209">
        <v>0.99698189999999998</v>
      </c>
      <c r="P7209">
        <v>0.31685920000000001</v>
      </c>
      <c r="Q7209">
        <v>0.1009594</v>
      </c>
      <c r="R7209">
        <v>0.94308400000000003</v>
      </c>
      <c r="S7209">
        <v>1.2689509999999999</v>
      </c>
      <c r="T7209">
        <v>-0.1943964</v>
      </c>
      <c r="U7209">
        <v>2.776154</v>
      </c>
      <c r="V7209">
        <v>0.24687239999999999</v>
      </c>
      <c r="W7209">
        <v>0.11971619999999999</v>
      </c>
      <c r="X7209">
        <v>0.9616247</v>
      </c>
      <c r="Y7209">
        <v>0.34595520000000002</v>
      </c>
      <c r="Z7209">
        <v>-6.4227069999999997E-2</v>
      </c>
      <c r="AA7209">
        <v>0.93605020000000005</v>
      </c>
      <c r="AB7209">
        <v>33</v>
      </c>
      <c r="AC7209">
        <v>7.1966000000000099</v>
      </c>
      <c r="AD7209">
        <v>-1.1067954095279999</v>
      </c>
      <c r="AE7209">
        <v>15.472300000000001</v>
      </c>
      <c r="AF7209">
        <v>5.9987458475090198</v>
      </c>
      <c r="AG7209">
        <v>-1.1067954095279999</v>
      </c>
      <c r="AH7209">
        <v>15.898539216356401</v>
      </c>
      <c r="AI7209">
        <v>93.726636931701606</v>
      </c>
      <c r="AJ7209">
        <v>69.327792698055404</v>
      </c>
      <c r="AK7209">
        <v>17.028608194317599</v>
      </c>
      <c r="AL7209">
        <v>83.124276084447104</v>
      </c>
      <c r="AM7209">
        <v>75.601724892952603</v>
      </c>
      <c r="AN7209">
        <v>1.00000000703714</v>
      </c>
    </row>
    <row r="7210" spans="1:40" x14ac:dyDescent="0.25">
      <c r="A7210" t="str">
        <f>"20190312173106663"</f>
        <v>20190312173106663</v>
      </c>
      <c r="B7210" t="str">
        <f>"1552383066655137"</f>
        <v>1552383066655137</v>
      </c>
      <c r="C7210" t="s">
        <v>40</v>
      </c>
      <c r="D7210">
        <v>3.3457400000000002</v>
      </c>
      <c r="E7210">
        <v>0.5460488</v>
      </c>
      <c r="F7210" t="s">
        <v>51</v>
      </c>
      <c r="G7210">
        <v>-180.53870000000001</v>
      </c>
      <c r="H7210" s="1">
        <v>-4.5807650000000003E-6</v>
      </c>
      <c r="I7210">
        <v>126.6503</v>
      </c>
      <c r="J7210">
        <v>-187.90620000000001</v>
      </c>
      <c r="K7210">
        <v>1.106779</v>
      </c>
      <c r="L7210">
        <v>110.93770000000001</v>
      </c>
      <c r="M7210">
        <v>7.8765299999999996E-2</v>
      </c>
      <c r="N7210">
        <v>0</v>
      </c>
      <c r="O7210">
        <v>0.99665459999999995</v>
      </c>
      <c r="P7210">
        <v>0.3204535</v>
      </c>
      <c r="Q7210">
        <v>0.101621</v>
      </c>
      <c r="R7210">
        <v>0.94179760000000001</v>
      </c>
      <c r="S7210">
        <v>1.279175</v>
      </c>
      <c r="T7210">
        <v>-0.19143760000000001</v>
      </c>
      <c r="U7210">
        <v>2.7717740000000002</v>
      </c>
      <c r="V7210">
        <v>0.24641740000000001</v>
      </c>
      <c r="W7210">
        <v>0.1202781</v>
      </c>
      <c r="X7210">
        <v>0.96167130000000001</v>
      </c>
      <c r="Y7210">
        <v>0.34535579999999999</v>
      </c>
      <c r="Z7210">
        <v>-6.327315E-2</v>
      </c>
      <c r="AA7210">
        <v>0.93633639999999996</v>
      </c>
      <c r="AB7210">
        <v>33</v>
      </c>
      <c r="AC7210">
        <v>7.3674999999999997</v>
      </c>
      <c r="AD7210">
        <v>-1.1067835807649999</v>
      </c>
      <c r="AE7210">
        <v>15.712599999999901</v>
      </c>
      <c r="AF7210">
        <v>6.0819596453681601</v>
      </c>
      <c r="AG7210">
        <v>-1.1067835807649999</v>
      </c>
      <c r="AH7210">
        <v>16.17839759876</v>
      </c>
      <c r="AI7210">
        <v>93.663977385350805</v>
      </c>
      <c r="AJ7210">
        <v>69.397207972378098</v>
      </c>
      <c r="AK7210">
        <v>17.319230695562101</v>
      </c>
      <c r="AL7210">
        <v>83.091847372156707</v>
      </c>
      <c r="AM7210">
        <v>75.627829074472203</v>
      </c>
      <c r="AN7210">
        <v>1.0000000228030199</v>
      </c>
    </row>
    <row r="7211" spans="1:40" x14ac:dyDescent="0.25">
      <c r="A7211" t="str">
        <f>"20190312173106687"</f>
        <v>20190312173106687</v>
      </c>
      <c r="B7211" t="str">
        <f>"1552383066674653"</f>
        <v>1552383066674653</v>
      </c>
      <c r="C7211" t="s">
        <v>40</v>
      </c>
      <c r="D7211">
        <v>3.384166</v>
      </c>
      <c r="E7211">
        <v>0.54603950000000001</v>
      </c>
      <c r="F7211" t="s">
        <v>51</v>
      </c>
      <c r="G7211">
        <v>-180.3956</v>
      </c>
      <c r="H7211" s="1">
        <v>-4.7052040000000004E-6</v>
      </c>
      <c r="I7211">
        <v>127.0527</v>
      </c>
      <c r="J7211">
        <v>-187.87530000000001</v>
      </c>
      <c r="K7211">
        <v>1.1067560000000001</v>
      </c>
      <c r="L7211">
        <v>111.265</v>
      </c>
      <c r="M7211">
        <v>8.3316150000000005E-2</v>
      </c>
      <c r="N7211">
        <v>0</v>
      </c>
      <c r="O7211">
        <v>0.99628689999999998</v>
      </c>
      <c r="P7211">
        <v>0.32417180000000001</v>
      </c>
      <c r="Q7211">
        <v>0.10223649999999999</v>
      </c>
      <c r="R7211">
        <v>0.94045749999999995</v>
      </c>
      <c r="S7211">
        <v>1.2896270000000001</v>
      </c>
      <c r="T7211">
        <v>-0.19004389999999999</v>
      </c>
      <c r="U7211">
        <v>2.76709</v>
      </c>
      <c r="V7211">
        <v>0.245838</v>
      </c>
      <c r="W7211">
        <v>0.120786</v>
      </c>
      <c r="X7211">
        <v>0.9617559</v>
      </c>
      <c r="Y7211">
        <v>0.34459580000000001</v>
      </c>
      <c r="Z7211">
        <v>-6.2836569999999994E-2</v>
      </c>
      <c r="AA7211">
        <v>0.93664579999999997</v>
      </c>
      <c r="AB7211">
        <v>32</v>
      </c>
      <c r="AC7211">
        <v>7.4797000000000002</v>
      </c>
      <c r="AD7211">
        <v>-1.1067607052039901</v>
      </c>
      <c r="AE7211">
        <v>15.787699999999999</v>
      </c>
      <c r="AF7211">
        <v>6.1134653141273603</v>
      </c>
      <c r="AG7211">
        <v>-1.1067607052039901</v>
      </c>
      <c r="AH7211">
        <v>16.290726102270099</v>
      </c>
      <c r="AI7211">
        <v>93.639492759439804</v>
      </c>
      <c r="AJ7211">
        <v>69.430256085636699</v>
      </c>
      <c r="AK7211">
        <v>17.435226822293</v>
      </c>
      <c r="AL7211">
        <v>83.062532939163603</v>
      </c>
      <c r="AM7211">
        <v>75.661436536532605</v>
      </c>
      <c r="AN7211">
        <v>0.99999999561240405</v>
      </c>
    </row>
    <row r="7212" spans="1:40" x14ac:dyDescent="0.25">
      <c r="A7212" t="str">
        <f>"20190312173106707"</f>
        <v>20190312173106707</v>
      </c>
      <c r="B7212" t="str">
        <f>"1552383066695153"</f>
        <v>1552383066695153</v>
      </c>
      <c r="C7212" t="s">
        <v>40</v>
      </c>
      <c r="D7212">
        <v>3.3493569999999999</v>
      </c>
      <c r="E7212">
        <v>0.54604019999999898</v>
      </c>
      <c r="F7212" t="s">
        <v>51</v>
      </c>
      <c r="G7212">
        <v>-180.26920000000001</v>
      </c>
      <c r="H7212" s="1">
        <v>-4.8181609999999999E-6</v>
      </c>
      <c r="I7212">
        <v>127.4198</v>
      </c>
      <c r="J7212">
        <v>-187.84530000000001</v>
      </c>
      <c r="K7212">
        <v>1.1067419999999999</v>
      </c>
      <c r="L7212">
        <v>111.56789999999999</v>
      </c>
      <c r="M7212">
        <v>8.757123E-2</v>
      </c>
      <c r="N7212">
        <v>0</v>
      </c>
      <c r="O7212">
        <v>0.99592420000000004</v>
      </c>
      <c r="P7212">
        <v>0.32788659999999997</v>
      </c>
      <c r="Q7212">
        <v>0.10232049999999999</v>
      </c>
      <c r="R7212">
        <v>0.93915970000000004</v>
      </c>
      <c r="S7212">
        <v>1.300522</v>
      </c>
      <c r="T7212">
        <v>-0.1892383</v>
      </c>
      <c r="U7212">
        <v>2.762222</v>
      </c>
      <c r="V7212">
        <v>0.24553420000000001</v>
      </c>
      <c r="W7212">
        <v>0.1207699</v>
      </c>
      <c r="X7212">
        <v>0.96183560000000001</v>
      </c>
      <c r="Y7212">
        <v>0.344254</v>
      </c>
      <c r="Z7212">
        <v>-6.2590140000000002E-2</v>
      </c>
      <c r="AA7212">
        <v>0.93678799999999995</v>
      </c>
      <c r="AB7212">
        <v>32</v>
      </c>
      <c r="AC7212">
        <v>7.5760999999999896</v>
      </c>
      <c r="AD7212">
        <v>-1.1067468181610001</v>
      </c>
      <c r="AE7212">
        <v>15.851900000000001</v>
      </c>
      <c r="AF7212">
        <v>6.1341456617122398</v>
      </c>
      <c r="AG7212">
        <v>-1.1067468181610001</v>
      </c>
      <c r="AH7212">
        <v>16.389539640759299</v>
      </c>
      <c r="AI7212">
        <v>93.618749916555998</v>
      </c>
      <c r="AJ7212">
        <v>69.480532729091607</v>
      </c>
      <c r="AK7212">
        <v>17.534812264596201</v>
      </c>
      <c r="AL7212">
        <v>83.063462699878102</v>
      </c>
      <c r="AM7212">
        <v>75.679564348010999</v>
      </c>
      <c r="AN7212">
        <v>1.0000000667715001</v>
      </c>
    </row>
    <row r="7213" spans="1:40" x14ac:dyDescent="0.25">
      <c r="A7213" t="str">
        <f>"20190312173106731"</f>
        <v>20190312173106731</v>
      </c>
      <c r="B7213" t="str">
        <f>"1552383066724429"</f>
        <v>1552383066724429</v>
      </c>
      <c r="C7213" t="s">
        <v>40</v>
      </c>
      <c r="D7213">
        <v>3.3873600000000001</v>
      </c>
      <c r="E7213">
        <v>0.54605800000000004</v>
      </c>
      <c r="F7213" t="s">
        <v>51</v>
      </c>
      <c r="G7213">
        <v>-180.20339999999999</v>
      </c>
      <c r="H7213" s="1">
        <v>-4.8822179999999997E-6</v>
      </c>
      <c r="I7213">
        <v>127.63120000000001</v>
      </c>
      <c r="J7213">
        <v>-187.81129999999999</v>
      </c>
      <c r="K7213">
        <v>1.1067290000000001</v>
      </c>
      <c r="L7213">
        <v>111.8956</v>
      </c>
      <c r="M7213">
        <v>9.2225039999999994E-2</v>
      </c>
      <c r="N7213">
        <v>0</v>
      </c>
      <c r="O7213">
        <v>0.99550629999999996</v>
      </c>
      <c r="P7213">
        <v>0.33228999999999997</v>
      </c>
      <c r="Q7213">
        <v>0.1025523</v>
      </c>
      <c r="R7213">
        <v>0.93758540000000001</v>
      </c>
      <c r="S7213">
        <v>1.311661</v>
      </c>
      <c r="T7213">
        <v>-0.18996260000000001</v>
      </c>
      <c r="U7213">
        <v>2.7571110000000001</v>
      </c>
      <c r="V7213">
        <v>0.2455582</v>
      </c>
      <c r="W7213">
        <v>0.1208911</v>
      </c>
      <c r="X7213">
        <v>0.96181419999999995</v>
      </c>
      <c r="Y7213">
        <v>0.34362039999999999</v>
      </c>
      <c r="Z7213">
        <v>-6.2849150000000006E-2</v>
      </c>
      <c r="AA7213">
        <v>0.93700320000000004</v>
      </c>
      <c r="AB7213">
        <v>32</v>
      </c>
      <c r="AC7213">
        <v>7.6078999999999999</v>
      </c>
      <c r="AD7213">
        <v>-1.106733882218</v>
      </c>
      <c r="AE7213">
        <v>15.7356</v>
      </c>
      <c r="AF7213">
        <v>6.0994542805234397</v>
      </c>
      <c r="AG7213">
        <v>-1.106733882218</v>
      </c>
      <c r="AH7213">
        <v>16.304933067715201</v>
      </c>
      <c r="AI7213">
        <v>93.637655932858394</v>
      </c>
      <c r="AJ7213">
        <v>69.489858689821503</v>
      </c>
      <c r="AK7213">
        <v>17.4435960956712</v>
      </c>
      <c r="AL7213">
        <v>83.056466880889204</v>
      </c>
      <c r="AM7213">
        <v>75.677916615578795</v>
      </c>
      <c r="AN7213">
        <v>1.0000000214840401</v>
      </c>
    </row>
    <row r="7214" spans="1:40" x14ac:dyDescent="0.25">
      <c r="A7214" t="str">
        <f>"20190312173106754"</f>
        <v>20190312173106754</v>
      </c>
      <c r="B7214" t="str">
        <f>"1552383066744925"</f>
        <v>1552383066744925</v>
      </c>
      <c r="C7214" t="s">
        <v>40</v>
      </c>
      <c r="D7214">
        <v>3.3788689999999999</v>
      </c>
      <c r="E7214">
        <v>0.54610740000000002</v>
      </c>
      <c r="F7214" t="s">
        <v>51</v>
      </c>
      <c r="G7214">
        <v>-180.10849999999999</v>
      </c>
      <c r="H7214" s="1">
        <v>-4.9610149999999998E-6</v>
      </c>
      <c r="I7214">
        <v>127.88379999999999</v>
      </c>
      <c r="J7214">
        <v>-187.77510000000001</v>
      </c>
      <c r="K7214">
        <v>1.1067229999999999</v>
      </c>
      <c r="L7214">
        <v>112.2294</v>
      </c>
      <c r="M7214">
        <v>9.7023209999999999E-2</v>
      </c>
      <c r="N7214">
        <v>0</v>
      </c>
      <c r="O7214">
        <v>0.99505259999999995</v>
      </c>
      <c r="P7214">
        <v>0.33651740000000002</v>
      </c>
      <c r="Q7214">
        <v>0.1021262</v>
      </c>
      <c r="R7214">
        <v>0.93612300000000004</v>
      </c>
      <c r="S7214">
        <v>1.325302</v>
      </c>
      <c r="T7214">
        <v>-0.19041920000000001</v>
      </c>
      <c r="U7214">
        <v>2.750839</v>
      </c>
      <c r="V7214">
        <v>0.24525379999999999</v>
      </c>
      <c r="W7214">
        <v>0.1203576</v>
      </c>
      <c r="X7214">
        <v>0.9619588</v>
      </c>
      <c r="Y7214">
        <v>0.34369699999999997</v>
      </c>
      <c r="Z7214">
        <v>-6.3019749999999999E-2</v>
      </c>
      <c r="AA7214">
        <v>0.93696360000000001</v>
      </c>
      <c r="AB7214">
        <v>32</v>
      </c>
      <c r="AC7214">
        <v>7.6666000000000096</v>
      </c>
      <c r="AD7214">
        <v>-1.10672796101499</v>
      </c>
      <c r="AE7214">
        <v>15.6543999999999</v>
      </c>
      <c r="AF7214">
        <v>6.0866891055502803</v>
      </c>
      <c r="AG7214">
        <v>-1.10672796101499</v>
      </c>
      <c r="AH7214">
        <v>16.258974472880301</v>
      </c>
      <c r="AI7214">
        <v>93.647565994420901</v>
      </c>
      <c r="AJ7214">
        <v>69.4761735718956</v>
      </c>
      <c r="AK7214">
        <v>17.3961743483184</v>
      </c>
      <c r="AL7214">
        <v>83.087259253166707</v>
      </c>
      <c r="AM7214">
        <v>75.697003621540006</v>
      </c>
      <c r="AN7214">
        <v>1.0000000555948101</v>
      </c>
    </row>
    <row r="7215" spans="1:40" x14ac:dyDescent="0.25">
      <c r="A7215" t="str">
        <f>"20190312173106777"</f>
        <v>20190312173106777</v>
      </c>
      <c r="B7215" t="str">
        <f>"1552383066764445"</f>
        <v>1552383066764445</v>
      </c>
      <c r="C7215" t="s">
        <v>40</v>
      </c>
      <c r="D7215">
        <v>3.3582450000000001</v>
      </c>
      <c r="E7215">
        <v>0.54617399999999905</v>
      </c>
      <c r="F7215" t="s">
        <v>51</v>
      </c>
      <c r="G7215">
        <v>-180.08029999999999</v>
      </c>
      <c r="H7215" s="1">
        <v>-4.9971050000000003E-6</v>
      </c>
      <c r="I7215">
        <v>128.0076</v>
      </c>
      <c r="J7215">
        <v>-187.73990000000001</v>
      </c>
      <c r="K7215">
        <v>1.106716</v>
      </c>
      <c r="L7215">
        <v>112.5394</v>
      </c>
      <c r="M7215">
        <v>0.1015297</v>
      </c>
      <c r="N7215">
        <v>0</v>
      </c>
      <c r="O7215">
        <v>0.99460510000000002</v>
      </c>
      <c r="P7215">
        <v>0.34079710000000002</v>
      </c>
      <c r="Q7215">
        <v>0.1024373</v>
      </c>
      <c r="R7215">
        <v>0.93453940000000002</v>
      </c>
      <c r="S7215">
        <v>1.33847</v>
      </c>
      <c r="T7215">
        <v>-0.19251170000000001</v>
      </c>
      <c r="U7215">
        <v>2.7445680000000001</v>
      </c>
      <c r="V7215">
        <v>0.24530589999999999</v>
      </c>
      <c r="W7215">
        <v>0.12055970000000001</v>
      </c>
      <c r="X7215">
        <v>0.96192009999999994</v>
      </c>
      <c r="Y7215">
        <v>0.34390019999999999</v>
      </c>
      <c r="Z7215">
        <v>-6.3730250000000002E-2</v>
      </c>
      <c r="AA7215">
        <v>0.93684100000000003</v>
      </c>
      <c r="AB7215">
        <v>32</v>
      </c>
      <c r="AC7215">
        <v>7.65960000000001</v>
      </c>
      <c r="AD7215">
        <v>-1.106720997105</v>
      </c>
      <c r="AE7215">
        <v>15.4681999999999</v>
      </c>
      <c r="AF7215">
        <v>6.0243972999491699</v>
      </c>
      <c r="AG7215">
        <v>-1.106720997105</v>
      </c>
      <c r="AH7215">
        <v>16.099896943051998</v>
      </c>
      <c r="AI7215">
        <v>93.683689698723498</v>
      </c>
      <c r="AJ7215">
        <v>69.4847256906571</v>
      </c>
      <c r="AK7215">
        <v>17.225703926689398</v>
      </c>
      <c r="AL7215">
        <v>83.075594121859396</v>
      </c>
      <c r="AM7215">
        <v>75.693537968269695</v>
      </c>
      <c r="AN7215">
        <v>0.999999952311453</v>
      </c>
    </row>
    <row r="7216" spans="1:40" x14ac:dyDescent="0.25">
      <c r="A7216" t="str">
        <f>"20190312173106797"</f>
        <v>20190312173106797</v>
      </c>
      <c r="B7216" t="str">
        <f>"1552383066784941"</f>
        <v>1552383066784941</v>
      </c>
      <c r="C7216" t="s">
        <v>40</v>
      </c>
      <c r="D7216">
        <v>3.3446899999999999</v>
      </c>
      <c r="E7216">
        <v>0.54623239999999995</v>
      </c>
      <c r="F7216" t="s">
        <v>51</v>
      </c>
      <c r="G7216">
        <v>-179.9599</v>
      </c>
      <c r="H7216" s="1">
        <v>-5.088275E-6</v>
      </c>
      <c r="I7216">
        <v>128.29399999999899</v>
      </c>
      <c r="J7216">
        <v>-187.70519999999999</v>
      </c>
      <c r="K7216">
        <v>1.106708</v>
      </c>
      <c r="L7216">
        <v>112.8327</v>
      </c>
      <c r="M7216">
        <v>0.10583579999999999</v>
      </c>
      <c r="N7216">
        <v>0</v>
      </c>
      <c r="O7216">
        <v>0.99415830000000005</v>
      </c>
      <c r="P7216">
        <v>0.34488780000000002</v>
      </c>
      <c r="Q7216">
        <v>0.10283680000000001</v>
      </c>
      <c r="R7216">
        <v>0.93299359999999998</v>
      </c>
      <c r="S7216">
        <v>1.352158</v>
      </c>
      <c r="T7216">
        <v>-0.19234680000000001</v>
      </c>
      <c r="U7216">
        <v>2.7381440000000001</v>
      </c>
      <c r="V7216">
        <v>0.2453641</v>
      </c>
      <c r="W7216">
        <v>0.12085419999999999</v>
      </c>
      <c r="X7216">
        <v>0.96186830000000001</v>
      </c>
      <c r="Y7216">
        <v>0.34447430000000001</v>
      </c>
      <c r="Z7216">
        <v>-6.3692449999999998E-2</v>
      </c>
      <c r="AA7216">
        <v>0.93663260000000004</v>
      </c>
      <c r="AB7216">
        <v>32</v>
      </c>
      <c r="AC7216">
        <v>7.7452999999999799</v>
      </c>
      <c r="AD7216">
        <v>-1.106713088275</v>
      </c>
      <c r="AE7216">
        <v>15.4612999999999</v>
      </c>
      <c r="AF7216">
        <v>6.0403142115660398</v>
      </c>
      <c r="AG7216">
        <v>-1.106713088275</v>
      </c>
      <c r="AH7216">
        <v>16.1282799545519</v>
      </c>
      <c r="AI7216">
        <v>93.676803257056704</v>
      </c>
      <c r="AJ7216">
        <v>69.468223178153593</v>
      </c>
      <c r="AK7216">
        <v>17.2577989305301</v>
      </c>
      <c r="AL7216">
        <v>83.058596232461596</v>
      </c>
      <c r="AM7216">
        <v>75.689544095186804</v>
      </c>
      <c r="AN7216">
        <v>0.99999995288566801</v>
      </c>
    </row>
    <row r="7217" spans="1:40" x14ac:dyDescent="0.25">
      <c r="A7217" t="str">
        <f>"20190312173106821"</f>
        <v>20190312173106821</v>
      </c>
      <c r="B7217" t="str">
        <f>"1552383066815198"</f>
        <v>1552383066815198</v>
      </c>
      <c r="C7217" t="s">
        <v>40</v>
      </c>
      <c r="D7217">
        <v>3.3664740000000002</v>
      </c>
      <c r="E7217">
        <v>0.54631289999999999</v>
      </c>
      <c r="F7217" t="s">
        <v>51</v>
      </c>
      <c r="G7217">
        <v>-179.85059999999999</v>
      </c>
      <c r="H7217" s="1">
        <v>-5.0872179999999901E-6</v>
      </c>
      <c r="I7217">
        <v>128.55799999999999</v>
      </c>
      <c r="J7217">
        <v>-187.66560000000001</v>
      </c>
      <c r="K7217">
        <v>1.1066990000000001</v>
      </c>
      <c r="L7217">
        <v>113.1557</v>
      </c>
      <c r="M7217">
        <v>0.1106191</v>
      </c>
      <c r="N7217">
        <v>0</v>
      </c>
      <c r="O7217">
        <v>0.99363990000000002</v>
      </c>
      <c r="P7217">
        <v>0.34883120000000001</v>
      </c>
      <c r="Q7217">
        <v>0.1028953</v>
      </c>
      <c r="R7217">
        <v>0.93151989999999996</v>
      </c>
      <c r="S7217">
        <v>1.3646849999999999</v>
      </c>
      <c r="T7217">
        <v>-0.1922835</v>
      </c>
      <c r="U7217">
        <v>2.7321620000000002</v>
      </c>
      <c r="V7217">
        <v>0.24480389999999999</v>
      </c>
      <c r="W7217">
        <v>0.120806399999999</v>
      </c>
      <c r="X7217">
        <v>0.96201709999999996</v>
      </c>
      <c r="Y7217">
        <v>0.3442151</v>
      </c>
      <c r="Z7217">
        <v>-6.3686909999999999E-2</v>
      </c>
      <c r="AA7217">
        <v>0.93672829999999996</v>
      </c>
      <c r="AB7217">
        <v>31</v>
      </c>
      <c r="AC7217">
        <v>7.8150000000000199</v>
      </c>
      <c r="AD7217">
        <v>-1.1067040872179901</v>
      </c>
      <c r="AE7217">
        <v>15.402299999999901</v>
      </c>
      <c r="AF7217">
        <v>6.0380594941934804</v>
      </c>
      <c r="AG7217">
        <v>-1.1067040872179901</v>
      </c>
      <c r="AH7217">
        <v>16.106282135542301</v>
      </c>
      <c r="AI7217">
        <v>93.681333160641799</v>
      </c>
      <c r="AJ7217">
        <v>69.449557267204099</v>
      </c>
      <c r="AK7217">
        <v>17.236452089156099</v>
      </c>
      <c r="AL7217">
        <v>83.0613556407299</v>
      </c>
      <c r="AM7217">
        <v>75.7229975755412</v>
      </c>
      <c r="AN7217">
        <v>1.0000000182142801</v>
      </c>
    </row>
    <row r="7218" spans="1:40" x14ac:dyDescent="0.25">
      <c r="A7218" t="str">
        <f>"20190312173106842"</f>
        <v>20190312173106842</v>
      </c>
      <c r="B7218" t="str">
        <f>"1552383066834721"</f>
        <v>1552383066834721</v>
      </c>
      <c r="C7218" t="s">
        <v>40</v>
      </c>
      <c r="D7218">
        <v>3.3604259999999999</v>
      </c>
      <c r="E7218">
        <v>0.5463886</v>
      </c>
      <c r="F7218" t="s">
        <v>51</v>
      </c>
      <c r="G7218">
        <v>-179.79419999999999</v>
      </c>
      <c r="H7218" s="1">
        <v>-5.0981189999999998E-6</v>
      </c>
      <c r="I7218">
        <v>128.74160000000001</v>
      </c>
      <c r="J7218">
        <v>-187.62700000000001</v>
      </c>
      <c r="K7218">
        <v>1.1066910000000001</v>
      </c>
      <c r="L7218">
        <v>113.4573</v>
      </c>
      <c r="M7218">
        <v>0.1151216</v>
      </c>
      <c r="N7218">
        <v>0</v>
      </c>
      <c r="O7218">
        <v>0.99313070000000003</v>
      </c>
      <c r="P7218">
        <v>0.3525103</v>
      </c>
      <c r="Q7218">
        <v>0.1024185</v>
      </c>
      <c r="R7218">
        <v>0.93018650000000003</v>
      </c>
      <c r="S7218">
        <v>1.3768769999999999</v>
      </c>
      <c r="T7218">
        <v>-0.19358739999999999</v>
      </c>
      <c r="U7218">
        <v>2.726334</v>
      </c>
      <c r="V7218">
        <v>0.24423239999999999</v>
      </c>
      <c r="W7218">
        <v>0.1202341</v>
      </c>
      <c r="X7218">
        <v>0.96223400000000003</v>
      </c>
      <c r="Y7218">
        <v>0.34409250000000002</v>
      </c>
      <c r="Z7218">
        <v>-6.4129439999999996E-2</v>
      </c>
      <c r="AA7218">
        <v>0.9367432</v>
      </c>
      <c r="AB7218">
        <v>31</v>
      </c>
      <c r="AC7218">
        <v>7.8328000000000104</v>
      </c>
      <c r="AD7218">
        <v>-1.1066960981189999</v>
      </c>
      <c r="AE7218">
        <v>15.2843</v>
      </c>
      <c r="AF7218">
        <v>5.9958643705958599</v>
      </c>
      <c r="AG7218">
        <v>-1.1066960981189999</v>
      </c>
      <c r="AH7218">
        <v>16.018046484945799</v>
      </c>
      <c r="AI7218">
        <v>93.702219173813205</v>
      </c>
      <c r="AJ7218">
        <v>69.478153968513496</v>
      </c>
      <c r="AK7218">
        <v>17.139223407087599</v>
      </c>
      <c r="AL7218">
        <v>83.094386569604893</v>
      </c>
      <c r="AM7218">
        <v>75.758049813619394</v>
      </c>
      <c r="AN7218">
        <v>0.99999998738428497</v>
      </c>
    </row>
    <row r="7219" spans="1:40" x14ac:dyDescent="0.25">
      <c r="A7219" t="str">
        <f>"20190312173106853"</f>
        <v>20190312173106853</v>
      </c>
      <c r="B7219" t="str">
        <f>"1552383066844479"</f>
        <v>1552383066844479</v>
      </c>
      <c r="C7219" t="s">
        <v>40</v>
      </c>
      <c r="D7219">
        <v>3.3347639999999998</v>
      </c>
      <c r="E7219">
        <v>0.54642789999999997</v>
      </c>
      <c r="F7219" t="s">
        <v>51</v>
      </c>
      <c r="G7219">
        <v>-179.79949999999999</v>
      </c>
      <c r="H7219" s="1">
        <v>-5.1157640000000001E-6</v>
      </c>
      <c r="I7219">
        <v>128.7961</v>
      </c>
      <c r="J7219">
        <v>-187.6062</v>
      </c>
      <c r="K7219">
        <v>1.106689</v>
      </c>
      <c r="L7219">
        <v>113.61490000000001</v>
      </c>
      <c r="M7219">
        <v>0.1174864</v>
      </c>
      <c r="N7219">
        <v>0</v>
      </c>
      <c r="O7219">
        <v>0.99285500000000004</v>
      </c>
      <c r="P7219">
        <v>0.35442230000000002</v>
      </c>
      <c r="Q7219">
        <v>0.1025744</v>
      </c>
      <c r="R7219">
        <v>0.92944249999999995</v>
      </c>
      <c r="S7219">
        <v>1.3883509999999999</v>
      </c>
      <c r="T7219">
        <v>-0.1962932</v>
      </c>
      <c r="U7219">
        <v>2.7206269999999999</v>
      </c>
      <c r="V7219">
        <v>0.24392040000000001</v>
      </c>
      <c r="W7219">
        <v>0.1203396</v>
      </c>
      <c r="X7219">
        <v>0.96229989999999999</v>
      </c>
      <c r="Y7219">
        <v>0.34576030000000002</v>
      </c>
      <c r="Z7219">
        <v>-6.5036090000000005E-2</v>
      </c>
      <c r="AA7219">
        <v>0.93606630000000002</v>
      </c>
      <c r="AB7219">
        <v>31</v>
      </c>
      <c r="AC7219">
        <v>7.8067000000000002</v>
      </c>
      <c r="AD7219">
        <v>-1.106694115764</v>
      </c>
      <c r="AE7219">
        <v>15.181199999999899</v>
      </c>
      <c r="AF7219">
        <v>5.9436571807409804</v>
      </c>
      <c r="AG7219">
        <v>-1.106694115764</v>
      </c>
      <c r="AH7219">
        <v>15.9264607019786</v>
      </c>
      <c r="AI7219">
        <v>93.724813255346902</v>
      </c>
      <c r="AJ7219">
        <v>69.534735003011804</v>
      </c>
      <c r="AK7219">
        <v>17.035374461387999</v>
      </c>
      <c r="AL7219">
        <v>83.088297319604493</v>
      </c>
      <c r="AM7219">
        <v>75.776439228630196</v>
      </c>
      <c r="AN7219">
        <v>0.99999993920216301</v>
      </c>
    </row>
    <row r="7220" spans="1:40" x14ac:dyDescent="0.25">
      <c r="A7220" t="str">
        <f>"20190312173106864"</f>
        <v>20190312173106864</v>
      </c>
      <c r="B7220" t="str">
        <f>"1552383066855214"</f>
        <v>1552383066855214</v>
      </c>
      <c r="C7220" t="s">
        <v>40</v>
      </c>
      <c r="D7220">
        <v>3.330381</v>
      </c>
      <c r="E7220">
        <v>0.54647699999999999</v>
      </c>
      <c r="F7220" t="s">
        <v>51</v>
      </c>
      <c r="G7220">
        <v>-179.74350000000001</v>
      </c>
      <c r="H7220" s="1">
        <v>-5.1160249999999999E-6</v>
      </c>
      <c r="I7220">
        <v>128.93780000000001</v>
      </c>
      <c r="J7220">
        <v>-187.58539999999999</v>
      </c>
      <c r="K7220">
        <v>1.10669</v>
      </c>
      <c r="L7220">
        <v>113.77070000000001</v>
      </c>
      <c r="M7220">
        <v>0.1198283</v>
      </c>
      <c r="N7220">
        <v>0</v>
      </c>
      <c r="O7220">
        <v>0.99257640000000003</v>
      </c>
      <c r="P7220">
        <v>0.35638819999999999</v>
      </c>
      <c r="Q7220">
        <v>0.10263460000000001</v>
      </c>
      <c r="R7220">
        <v>0.92868379999999995</v>
      </c>
      <c r="S7220">
        <v>1.394501</v>
      </c>
      <c r="T7220">
        <v>-0.1962806</v>
      </c>
      <c r="U7220">
        <v>2.7176360000000002</v>
      </c>
      <c r="V7220">
        <v>0.24368529999999999</v>
      </c>
      <c r="W7220">
        <v>0.1203482</v>
      </c>
      <c r="X7220">
        <v>0.96235850000000001</v>
      </c>
      <c r="Y7220">
        <v>0.34564270000000002</v>
      </c>
      <c r="Z7220">
        <v>-6.5037410000000004E-2</v>
      </c>
      <c r="AA7220">
        <v>0.93610970000000004</v>
      </c>
      <c r="AB7220">
        <v>31</v>
      </c>
      <c r="AC7220">
        <v>7.8418999999999803</v>
      </c>
      <c r="AD7220">
        <v>-1.106695116025</v>
      </c>
      <c r="AE7220">
        <v>15.1671</v>
      </c>
      <c r="AF7220">
        <v>5.9425646484572097</v>
      </c>
      <c r="AG7220">
        <v>-1.106695116025</v>
      </c>
      <c r="AH7220">
        <v>15.930726457117199</v>
      </c>
      <c r="AI7220">
        <v>93.724026972541097</v>
      </c>
      <c r="AJ7220">
        <v>69.543210088568301</v>
      </c>
      <c r="AK7220">
        <v>17.038981604908901</v>
      </c>
      <c r="AL7220">
        <v>83.087801728396101</v>
      </c>
      <c r="AM7220">
        <v>75.790423132144696</v>
      </c>
      <c r="AN7220">
        <v>1.0000000486007801</v>
      </c>
    </row>
    <row r="7221" spans="1:40" x14ac:dyDescent="0.25">
      <c r="A7221" t="str">
        <f>"20190312173106875"</f>
        <v>20190312173106875</v>
      </c>
      <c r="B7221" t="str">
        <f>"1552383066864973"</f>
        <v>1552383066864973</v>
      </c>
      <c r="C7221" t="s">
        <v>40</v>
      </c>
      <c r="D7221">
        <v>3.3602660000000002</v>
      </c>
      <c r="E7221">
        <v>0.54654040000000004</v>
      </c>
      <c r="F7221" t="s">
        <v>51</v>
      </c>
      <c r="G7221">
        <v>-179.69560000000001</v>
      </c>
      <c r="H7221" s="1">
        <v>-5.1169339999999998E-6</v>
      </c>
      <c r="I7221">
        <v>129.0616</v>
      </c>
      <c r="J7221">
        <v>-187.56469999999999</v>
      </c>
      <c r="K7221">
        <v>1.106695</v>
      </c>
      <c r="L7221">
        <v>113.9221</v>
      </c>
      <c r="M7221">
        <v>0.12211180000000001</v>
      </c>
      <c r="N7221">
        <v>0</v>
      </c>
      <c r="O7221">
        <v>0.9922993</v>
      </c>
      <c r="P7221">
        <v>0.35824869999999998</v>
      </c>
      <c r="Q7221">
        <v>0.10235950000000001</v>
      </c>
      <c r="R7221">
        <v>0.92799810000000005</v>
      </c>
      <c r="S7221">
        <v>1.400665</v>
      </c>
      <c r="T7221">
        <v>-0.19647000000000001</v>
      </c>
      <c r="U7221">
        <v>2.714569</v>
      </c>
      <c r="V7221">
        <v>0.24339</v>
      </c>
      <c r="W7221">
        <v>0.1200225</v>
      </c>
      <c r="X7221">
        <v>0.96247389999999999</v>
      </c>
      <c r="Y7221">
        <v>0.34559220000000002</v>
      </c>
      <c r="Z7221">
        <v>-6.5106049999999999E-2</v>
      </c>
      <c r="AA7221">
        <v>0.9361235</v>
      </c>
      <c r="AB7221">
        <v>31</v>
      </c>
      <c r="AC7221">
        <v>7.8690999999999702</v>
      </c>
      <c r="AD7221">
        <v>-1.1067001169340001</v>
      </c>
      <c r="AE7221">
        <v>15.1394999999999</v>
      </c>
      <c r="AF7221">
        <v>5.9361015567036697</v>
      </c>
      <c r="AG7221">
        <v>-1.1067001169340001</v>
      </c>
      <c r="AH7221">
        <v>15.920291925448399</v>
      </c>
      <c r="AI7221">
        <v>93.726674165998006</v>
      </c>
      <c r="AJ7221">
        <v>69.551332290734294</v>
      </c>
      <c r="AK7221">
        <v>17.026972186264299</v>
      </c>
      <c r="AL7221">
        <v>83.106599229526594</v>
      </c>
      <c r="AM7221">
        <v>75.808579187940097</v>
      </c>
      <c r="AN7221">
        <v>1.0000000503937201</v>
      </c>
    </row>
    <row r="7222" spans="1:40" x14ac:dyDescent="0.25">
      <c r="A7222" t="str">
        <f>"20190312173106887"</f>
        <v>20190312173106887</v>
      </c>
      <c r="B7222" t="str">
        <f>"1552383066874734"</f>
        <v>1552383066874734</v>
      </c>
      <c r="C7222" t="s">
        <v>40</v>
      </c>
      <c r="D7222">
        <v>3.3329680000000002</v>
      </c>
      <c r="E7222">
        <v>0.54659679999999999</v>
      </c>
      <c r="F7222" t="s">
        <v>51</v>
      </c>
      <c r="G7222">
        <v>-179.69409999999999</v>
      </c>
      <c r="H7222" s="1">
        <v>-5.1240699999999901E-6</v>
      </c>
      <c r="I7222">
        <v>129.09280000000001</v>
      </c>
      <c r="J7222">
        <v>-187.5428</v>
      </c>
      <c r="K7222">
        <v>1.1067</v>
      </c>
      <c r="L7222">
        <v>114.08</v>
      </c>
      <c r="M7222">
        <v>0.1244938</v>
      </c>
      <c r="N7222">
        <v>0</v>
      </c>
      <c r="O7222">
        <v>0.99200460000000001</v>
      </c>
      <c r="P7222">
        <v>0.36050650000000001</v>
      </c>
      <c r="Q7222">
        <v>0.1023587</v>
      </c>
      <c r="R7222">
        <v>0.92712340000000004</v>
      </c>
      <c r="S7222">
        <v>1.4067379999999901</v>
      </c>
      <c r="T7222">
        <v>-0.1978048</v>
      </c>
      <c r="U7222">
        <v>2.7115170000000002</v>
      </c>
      <c r="V7222">
        <v>0.2434191</v>
      </c>
      <c r="W7222">
        <v>0.1199638</v>
      </c>
      <c r="X7222">
        <v>0.96247380000000005</v>
      </c>
      <c r="Y7222">
        <v>0.34540939999999998</v>
      </c>
      <c r="Z7222">
        <v>-6.5552429999999995E-2</v>
      </c>
      <c r="AA7222">
        <v>0.93615979999999999</v>
      </c>
      <c r="AB7222">
        <v>31</v>
      </c>
      <c r="AC7222">
        <v>7.8487</v>
      </c>
      <c r="AD7222">
        <v>-1.1067051240700001</v>
      </c>
      <c r="AE7222">
        <v>15.0128</v>
      </c>
      <c r="AF7222">
        <v>5.8930627746807698</v>
      </c>
      <c r="AG7222">
        <v>-1.1067051240700001</v>
      </c>
      <c r="AH7222">
        <v>15.8058238301199</v>
      </c>
      <c r="AI7222">
        <v>93.753631073738802</v>
      </c>
      <c r="AJ7222">
        <v>69.552470896216306</v>
      </c>
      <c r="AK7222">
        <v>16.904941645766101</v>
      </c>
      <c r="AL7222">
        <v>83.109986575917503</v>
      </c>
      <c r="AM7222">
        <v>75.806949590313593</v>
      </c>
      <c r="AN7222">
        <v>0.99999999362084502</v>
      </c>
    </row>
    <row r="7223" spans="1:40" x14ac:dyDescent="0.25">
      <c r="A7223" t="str">
        <f>"20190312173106899"</f>
        <v>20190312173106899</v>
      </c>
      <c r="B7223" t="str">
        <f>"1552383066895230"</f>
        <v>1552383066895230</v>
      </c>
      <c r="C7223" t="s">
        <v>40</v>
      </c>
      <c r="D7223">
        <v>3.3372289999999998</v>
      </c>
      <c r="E7223">
        <v>0.54670909999999995</v>
      </c>
      <c r="F7223" t="s">
        <v>51</v>
      </c>
      <c r="G7223">
        <v>-179.64439999999999</v>
      </c>
      <c r="H7223" s="1">
        <v>-5.1205119999999998E-6</v>
      </c>
      <c r="I7223">
        <v>129.20410000000001</v>
      </c>
      <c r="J7223">
        <v>-187.52010000000001</v>
      </c>
      <c r="K7223">
        <v>1.1067049999999901</v>
      </c>
      <c r="L7223">
        <v>114.24079999999999</v>
      </c>
      <c r="M7223">
        <v>0.12692419999999999</v>
      </c>
      <c r="N7223">
        <v>0</v>
      </c>
      <c r="O7223">
        <v>0.99169799999999997</v>
      </c>
      <c r="P7223">
        <v>0.36298770000000002</v>
      </c>
      <c r="Q7223">
        <v>0.1023174</v>
      </c>
      <c r="R7223">
        <v>0.92615930000000002</v>
      </c>
      <c r="S7223">
        <v>1.4141239999999999</v>
      </c>
      <c r="T7223">
        <v>-0.19814290000000001</v>
      </c>
      <c r="U7223">
        <v>2.7077939999999998</v>
      </c>
      <c r="V7223">
        <v>0.24363389999999999</v>
      </c>
      <c r="W7223">
        <v>0.1198601</v>
      </c>
      <c r="X7223">
        <v>0.96243239999999997</v>
      </c>
      <c r="Y7223">
        <v>0.34564159999999999</v>
      </c>
      <c r="Z7223">
        <v>-6.5670939999999997E-2</v>
      </c>
      <c r="AA7223">
        <v>0.93606579999999995</v>
      </c>
      <c r="AB7223">
        <v>31</v>
      </c>
      <c r="AC7223">
        <v>7.8757000000000197</v>
      </c>
      <c r="AD7223">
        <v>-1.10671012051199</v>
      </c>
      <c r="AE7223">
        <v>14.9633</v>
      </c>
      <c r="AF7223">
        <v>5.8871501168447198</v>
      </c>
      <c r="AG7223">
        <v>-1.10671012051199</v>
      </c>
      <c r="AH7223">
        <v>15.7744887957611</v>
      </c>
      <c r="AI7223">
        <v>93.760633776145497</v>
      </c>
      <c r="AJ7223">
        <v>69.534072135026705</v>
      </c>
      <c r="AK7223">
        <v>16.873584105242699</v>
      </c>
      <c r="AL7223">
        <v>83.115971532162305</v>
      </c>
      <c r="AM7223">
        <v>75.794345665501396</v>
      </c>
      <c r="AN7223">
        <v>1.0000000226854799</v>
      </c>
    </row>
    <row r="7224" spans="1:40" x14ac:dyDescent="0.25">
      <c r="A7224" t="str">
        <f>"20190312173106910"</f>
        <v>20190312173106910</v>
      </c>
      <c r="B7224" t="str">
        <f>"1552383066904989"</f>
        <v>1552383066904989</v>
      </c>
      <c r="C7224" t="s">
        <v>40</v>
      </c>
      <c r="D7224">
        <v>3.30023</v>
      </c>
      <c r="E7224">
        <v>0.54677030000000004</v>
      </c>
      <c r="F7224" t="s">
        <v>51</v>
      </c>
      <c r="G7224">
        <v>-179.62610000000001</v>
      </c>
      <c r="H7224" s="1">
        <v>-5.1199230000000003E-6</v>
      </c>
      <c r="I7224">
        <v>129.24789999999999</v>
      </c>
      <c r="J7224">
        <v>-187.49780000000001</v>
      </c>
      <c r="K7224">
        <v>1.1067129999999901</v>
      </c>
      <c r="L7224">
        <v>114.396</v>
      </c>
      <c r="M7224">
        <v>0.129274</v>
      </c>
      <c r="N7224">
        <v>0</v>
      </c>
      <c r="O7224">
        <v>0.99139580000000005</v>
      </c>
      <c r="P7224">
        <v>0.3653286</v>
      </c>
      <c r="Q7224">
        <v>0.10228429999999999</v>
      </c>
      <c r="R7224">
        <v>0.92524209999999996</v>
      </c>
      <c r="S7224">
        <v>1.422256</v>
      </c>
      <c r="T7224">
        <v>-0.19939319999999999</v>
      </c>
      <c r="U7224">
        <v>2.7037960000000001</v>
      </c>
      <c r="V7224">
        <v>0.24378269999999999</v>
      </c>
      <c r="W7224">
        <v>0.11976779999999999</v>
      </c>
      <c r="X7224">
        <v>0.96240619999999999</v>
      </c>
      <c r="Y7224">
        <v>0.34618169999999998</v>
      </c>
      <c r="Z7224">
        <v>-6.6088629999999995E-2</v>
      </c>
      <c r="AA7224">
        <v>0.93583680000000002</v>
      </c>
      <c r="AB7224">
        <v>31</v>
      </c>
      <c r="AC7224">
        <v>7.8716999999999997</v>
      </c>
      <c r="AD7224">
        <v>-1.1067181199229901</v>
      </c>
      <c r="AE7224">
        <v>14.851899999999899</v>
      </c>
      <c r="AF7224">
        <v>5.8598469890449101</v>
      </c>
      <c r="AG7224">
        <v>-1.1067181199229901</v>
      </c>
      <c r="AH7224">
        <v>15.677084393608901</v>
      </c>
      <c r="AI7224">
        <v>93.783245089906799</v>
      </c>
      <c r="AJ7224">
        <v>69.505049408519994</v>
      </c>
      <c r="AK7224">
        <v>16.773002319689901</v>
      </c>
      <c r="AL7224">
        <v>83.121298232619495</v>
      </c>
      <c r="AM7224">
        <v>75.785649776845602</v>
      </c>
      <c r="AN7224">
        <v>1.0000000122672801</v>
      </c>
    </row>
    <row r="7225" spans="1:40" x14ac:dyDescent="0.25">
      <c r="A7225" t="str">
        <f>"20190312173106922"</f>
        <v>20190312173106922</v>
      </c>
      <c r="B7225" t="str">
        <f>"1552383066914750"</f>
        <v>1552383066914750</v>
      </c>
      <c r="C7225" t="s">
        <v>40</v>
      </c>
      <c r="D7225">
        <v>3.3338800000000002</v>
      </c>
      <c r="E7225">
        <v>0.54684540000000004</v>
      </c>
      <c r="F7225" t="s">
        <v>51</v>
      </c>
      <c r="G7225">
        <v>-179.57839999999999</v>
      </c>
      <c r="H7225" s="1">
        <v>-5.1122669999999999E-6</v>
      </c>
      <c r="I7225">
        <v>129.35120000000001</v>
      </c>
      <c r="J7225">
        <v>-187.4742</v>
      </c>
      <c r="K7225">
        <v>1.106719</v>
      </c>
      <c r="L7225">
        <v>114.5581</v>
      </c>
      <c r="M7225">
        <v>0.13172809999999999</v>
      </c>
      <c r="N7225">
        <v>0</v>
      </c>
      <c r="O7225">
        <v>0.99107420000000002</v>
      </c>
      <c r="P7225">
        <v>0.36807610000000002</v>
      </c>
      <c r="Q7225">
        <v>0.1020639</v>
      </c>
      <c r="R7225">
        <v>0.92417689999999997</v>
      </c>
      <c r="S7225">
        <v>1.4297329999999999</v>
      </c>
      <c r="T7225">
        <v>-0.19980349999999999</v>
      </c>
      <c r="U7225">
        <v>2.699951</v>
      </c>
      <c r="V7225">
        <v>0.2442511</v>
      </c>
      <c r="W7225">
        <v>0.1194804</v>
      </c>
      <c r="X7225">
        <v>0.96232309999999999</v>
      </c>
      <c r="Y7225">
        <v>0.34643079999999998</v>
      </c>
      <c r="Z7225">
        <v>-6.6230929999999993E-2</v>
      </c>
      <c r="AA7225">
        <v>0.93573459999999997</v>
      </c>
      <c r="AB7225">
        <v>31</v>
      </c>
      <c r="AC7225">
        <v>7.8958000000000004</v>
      </c>
      <c r="AD7225">
        <v>-1.106724112267</v>
      </c>
      <c r="AE7225">
        <v>14.793100000000001</v>
      </c>
      <c r="AF7225">
        <v>5.8523966672266097</v>
      </c>
      <c r="AG7225">
        <v>-1.106724112267</v>
      </c>
      <c r="AH7225">
        <v>15.6363408753149</v>
      </c>
      <c r="AI7225">
        <v>93.792477474671799</v>
      </c>
      <c r="AJ7225">
        <v>69.480043525555899</v>
      </c>
      <c r="AK7225">
        <v>16.732320250948</v>
      </c>
      <c r="AL7225">
        <v>83.137883759749201</v>
      </c>
      <c r="AM7225">
        <v>75.758268811909105</v>
      </c>
      <c r="AN7225">
        <v>0.99999995731448899</v>
      </c>
    </row>
    <row r="7226" spans="1:40" x14ac:dyDescent="0.25">
      <c r="A7226" t="str">
        <f>"20190312173106933"</f>
        <v>20190312173106933</v>
      </c>
      <c r="B7226" t="str">
        <f>"1552383066924510"</f>
        <v>1552383066924510</v>
      </c>
      <c r="C7226" t="s">
        <v>40</v>
      </c>
      <c r="D7226">
        <v>3.3283480000000001</v>
      </c>
      <c r="E7226">
        <v>0.54691339999999999</v>
      </c>
      <c r="F7226" t="s">
        <v>51</v>
      </c>
      <c r="G7226">
        <v>-179.5513</v>
      </c>
      <c r="H7226" s="1">
        <v>-5.1063300000000001E-6</v>
      </c>
      <c r="I7226">
        <v>129.4058</v>
      </c>
      <c r="J7226">
        <v>-187.4522</v>
      </c>
      <c r="K7226">
        <v>1.106727</v>
      </c>
      <c r="L7226">
        <v>114.7051</v>
      </c>
      <c r="M7226">
        <v>0.13395770000000001</v>
      </c>
      <c r="N7226">
        <v>0</v>
      </c>
      <c r="O7226">
        <v>0.99077660000000001</v>
      </c>
      <c r="P7226">
        <v>0.37052600000000002</v>
      </c>
      <c r="Q7226">
        <v>0.102025</v>
      </c>
      <c r="R7226">
        <v>0.92320170000000001</v>
      </c>
      <c r="S7226">
        <v>1.4383239999999999</v>
      </c>
      <c r="T7226">
        <v>-0.20091529999999999</v>
      </c>
      <c r="U7226">
        <v>2.695465</v>
      </c>
      <c r="V7226">
        <v>0.2446343</v>
      </c>
      <c r="W7226">
        <v>0.119382</v>
      </c>
      <c r="X7226">
        <v>0.96223800000000004</v>
      </c>
      <c r="Y7226">
        <v>0.34727740000000001</v>
      </c>
      <c r="Z7226">
        <v>-6.6607130000000001E-2</v>
      </c>
      <c r="AA7226">
        <v>0.93539399999999995</v>
      </c>
      <c r="AB7226">
        <v>31</v>
      </c>
      <c r="AC7226">
        <v>7.9009</v>
      </c>
      <c r="AD7226">
        <v>-1.10673210633</v>
      </c>
      <c r="AE7226">
        <v>14.7006999999999</v>
      </c>
      <c r="AF7226">
        <v>5.8343205899214299</v>
      </c>
      <c r="AG7226">
        <v>-1.10673210633</v>
      </c>
      <c r="AH7226">
        <v>15.558337228571499</v>
      </c>
      <c r="AI7226">
        <v>93.810570908732601</v>
      </c>
      <c r="AJ7226">
        <v>69.444135166036304</v>
      </c>
      <c r="AK7226">
        <v>16.653108118880301</v>
      </c>
      <c r="AL7226">
        <v>83.1435625042635</v>
      </c>
      <c r="AM7226">
        <v>75.7356263875038</v>
      </c>
      <c r="AN7226">
        <v>0.99999998565224402</v>
      </c>
    </row>
    <row r="7227" spans="1:40" x14ac:dyDescent="0.25">
      <c r="A7227" t="str">
        <f>"20190312173106945"</f>
        <v>20190312173106945</v>
      </c>
      <c r="B7227" t="str">
        <f>"1552383066935247"</f>
        <v>1552383066935247</v>
      </c>
      <c r="C7227" t="s">
        <v>40</v>
      </c>
      <c r="D7227">
        <v>3.3362080000000001</v>
      </c>
      <c r="E7227">
        <v>0.54699489999999995</v>
      </c>
      <c r="F7227" t="s">
        <v>51</v>
      </c>
      <c r="G7227">
        <v>-179.51079999999999</v>
      </c>
      <c r="H7227" s="1">
        <v>-5.0970289999999998E-6</v>
      </c>
      <c r="I7227">
        <v>129.48570000000001</v>
      </c>
      <c r="J7227">
        <v>-187.42959999999999</v>
      </c>
      <c r="K7227">
        <v>1.106725</v>
      </c>
      <c r="L7227">
        <v>114.8552</v>
      </c>
      <c r="M7227">
        <v>0.13623199999999999</v>
      </c>
      <c r="N7227">
        <v>0</v>
      </c>
      <c r="O7227">
        <v>0.99046780000000001</v>
      </c>
      <c r="P7227">
        <v>0.37299549999999998</v>
      </c>
      <c r="Q7227">
        <v>0.1021271</v>
      </c>
      <c r="R7227">
        <v>0.9221954</v>
      </c>
      <c r="S7227">
        <v>1.446091</v>
      </c>
      <c r="T7227">
        <v>-0.20152990000000001</v>
      </c>
      <c r="U7227">
        <v>2.691452</v>
      </c>
      <c r="V7227">
        <v>0.24499979999999999</v>
      </c>
      <c r="W7227">
        <v>0.11942410000000001</v>
      </c>
      <c r="X7227">
        <v>0.96213979999999999</v>
      </c>
      <c r="Y7227">
        <v>0.34779490000000002</v>
      </c>
      <c r="Z7227">
        <v>-6.6816239999999999E-2</v>
      </c>
      <c r="AA7227">
        <v>0.93518679999999998</v>
      </c>
      <c r="AB7227">
        <v>31</v>
      </c>
      <c r="AC7227">
        <v>7.9188000000000001</v>
      </c>
      <c r="AD7227">
        <v>-1.1067300970289999</v>
      </c>
      <c r="AE7227">
        <v>14.6305</v>
      </c>
      <c r="AF7227">
        <v>5.8256042441160201</v>
      </c>
      <c r="AG7227">
        <v>-1.1067300970289999</v>
      </c>
      <c r="AH7227">
        <v>15.5044420376805</v>
      </c>
      <c r="AI7227">
        <v>93.822840957573305</v>
      </c>
      <c r="AJ7227">
        <v>69.406904923475494</v>
      </c>
      <c r="AK7227">
        <v>16.599705997894201</v>
      </c>
      <c r="AL7227">
        <v>83.141133112327793</v>
      </c>
      <c r="AM7227">
        <v>75.713787800123896</v>
      </c>
      <c r="AN7227">
        <v>1.0000000062024399</v>
      </c>
    </row>
    <row r="7228" spans="1:40" x14ac:dyDescent="0.25">
      <c r="A7228" t="str">
        <f>"20190312173106957"</f>
        <v>20190312173106957</v>
      </c>
      <c r="B7228" t="str">
        <f>"1552383066945006"</f>
        <v>1552383066945006</v>
      </c>
      <c r="C7228" t="s">
        <v>40</v>
      </c>
      <c r="D7228">
        <v>3.3567140000000002</v>
      </c>
      <c r="E7228">
        <v>0.54706659999999996</v>
      </c>
      <c r="F7228" t="s">
        <v>51</v>
      </c>
      <c r="G7228">
        <v>-179.4539</v>
      </c>
      <c r="H7228" s="1">
        <v>-5.0833460000000001E-6</v>
      </c>
      <c r="I7228">
        <v>129.595</v>
      </c>
      <c r="J7228">
        <v>-187.40170000000001</v>
      </c>
      <c r="K7228">
        <v>1.1067370000000001</v>
      </c>
      <c r="L7228">
        <v>115.036</v>
      </c>
      <c r="M7228">
        <v>0.13897599999999999</v>
      </c>
      <c r="N7228">
        <v>0</v>
      </c>
      <c r="O7228">
        <v>0.99008799999999997</v>
      </c>
      <c r="P7228">
        <v>0.37616889999999997</v>
      </c>
      <c r="Q7228">
        <v>0.10220949999999999</v>
      </c>
      <c r="R7228">
        <v>0.92089639999999995</v>
      </c>
      <c r="S7228">
        <v>1.4541170000000001</v>
      </c>
      <c r="T7228">
        <v>-0.20177590000000001</v>
      </c>
      <c r="U7228">
        <v>2.6873170000000002</v>
      </c>
      <c r="V7228">
        <v>0.245645</v>
      </c>
      <c r="W7228">
        <v>0.119434</v>
      </c>
      <c r="X7228">
        <v>0.961974</v>
      </c>
      <c r="Y7228">
        <v>0.3479583</v>
      </c>
      <c r="Z7228">
        <v>-6.6902050000000005E-2</v>
      </c>
      <c r="AA7228">
        <v>0.9351199</v>
      </c>
      <c r="AB7228">
        <v>30</v>
      </c>
      <c r="AC7228">
        <v>7.9478</v>
      </c>
      <c r="AD7228">
        <v>-1.106742083346</v>
      </c>
      <c r="AE7228">
        <v>14.5589999999999</v>
      </c>
      <c r="AF7228">
        <v>5.8209580161792296</v>
      </c>
      <c r="AG7228">
        <v>-1.106742083346</v>
      </c>
      <c r="AH7228">
        <v>15.4536390635737</v>
      </c>
      <c r="AI7228">
        <v>93.834234715077002</v>
      </c>
      <c r="AJ7228">
        <v>69.359997364930706</v>
      </c>
      <c r="AK7228">
        <v>16.550631123083601</v>
      </c>
      <c r="AL7228">
        <v>83.140561487135997</v>
      </c>
      <c r="AM7228">
        <v>75.675344406543402</v>
      </c>
      <c r="AN7228">
        <v>0.99999996152849902</v>
      </c>
    </row>
    <row r="7229" spans="1:40" x14ac:dyDescent="0.25">
      <c r="A7229" t="str">
        <f>"20190312173106978"</f>
        <v>20190312173106978</v>
      </c>
      <c r="B7229" t="str">
        <f>"1552383066964525"</f>
        <v>1552383066964525</v>
      </c>
      <c r="C7229" t="s">
        <v>40</v>
      </c>
      <c r="D7229">
        <v>3.3377349999999999</v>
      </c>
      <c r="E7229">
        <v>0.54722519999999997</v>
      </c>
      <c r="F7229" t="s">
        <v>51</v>
      </c>
      <c r="G7229">
        <v>-179.3826</v>
      </c>
      <c r="H7229" s="1">
        <v>-5.082068E-6</v>
      </c>
      <c r="I7229">
        <v>129.72819999999999</v>
      </c>
      <c r="J7229">
        <v>-187.35919999999999</v>
      </c>
      <c r="K7229">
        <v>1.106752</v>
      </c>
      <c r="L7229">
        <v>115.3068</v>
      </c>
      <c r="M7229">
        <v>0.14308709999999999</v>
      </c>
      <c r="N7229">
        <v>0</v>
      </c>
      <c r="O7229">
        <v>0.98950459999999996</v>
      </c>
      <c r="P7229">
        <v>0.38113829999999999</v>
      </c>
      <c r="Q7229">
        <v>0.1024047</v>
      </c>
      <c r="R7229">
        <v>0.91882909999999995</v>
      </c>
      <c r="S7229">
        <v>1.463943</v>
      </c>
      <c r="T7229">
        <v>-0.20204150000000001</v>
      </c>
      <c r="U7229">
        <v>2.6821290000000002</v>
      </c>
      <c r="V7229">
        <v>0.24684610000000001</v>
      </c>
      <c r="W7229">
        <v>0.11951639999999999</v>
      </c>
      <c r="X7229">
        <v>0.96165630000000002</v>
      </c>
      <c r="Y7229">
        <v>0.34746329999999997</v>
      </c>
      <c r="Z7229">
        <v>-6.6994440000000002E-2</v>
      </c>
      <c r="AA7229">
        <v>0.9352973</v>
      </c>
      <c r="AB7229">
        <v>30</v>
      </c>
      <c r="AC7229">
        <v>7.9765999999999897</v>
      </c>
      <c r="AD7229">
        <v>-1.1067570820679999</v>
      </c>
      <c r="AE7229">
        <v>14.421399999999901</v>
      </c>
      <c r="AF7229">
        <v>5.80437458884471</v>
      </c>
      <c r="AG7229">
        <v>-1.1067570820679999</v>
      </c>
      <c r="AH7229">
        <v>15.3453189078467</v>
      </c>
      <c r="AI7229">
        <v>93.859263835670404</v>
      </c>
      <c r="AJ7229">
        <v>69.280850551667001</v>
      </c>
      <c r="AK7229">
        <v>16.4436762309968</v>
      </c>
      <c r="AL7229">
        <v>83.135806540880907</v>
      </c>
      <c r="AM7229">
        <v>75.603648441256198</v>
      </c>
      <c r="AN7229">
        <v>1.00000000314193</v>
      </c>
    </row>
    <row r="7230" spans="1:40" x14ac:dyDescent="0.25">
      <c r="A7230" t="str">
        <f>"20190312173106993"</f>
        <v>20190312173106993</v>
      </c>
      <c r="B7230" t="str">
        <f>"1552383066985022"</f>
        <v>1552383066985022</v>
      </c>
      <c r="C7230" t="s">
        <v>40</v>
      </c>
      <c r="D7230">
        <v>3.367337</v>
      </c>
      <c r="E7230">
        <v>0.54738240000000005</v>
      </c>
      <c r="F7230" t="s">
        <v>51</v>
      </c>
      <c r="G7230">
        <v>-179.2688</v>
      </c>
      <c r="H7230" s="1">
        <v>-5.0786290000000001E-6</v>
      </c>
      <c r="I7230">
        <v>129.92359999999999</v>
      </c>
      <c r="J7230">
        <v>-187.32660000000001</v>
      </c>
      <c r="K7230">
        <v>1.106762</v>
      </c>
      <c r="L7230">
        <v>115.509</v>
      </c>
      <c r="M7230">
        <v>0.1461578</v>
      </c>
      <c r="N7230">
        <v>0</v>
      </c>
      <c r="O7230">
        <v>0.98905739999999998</v>
      </c>
      <c r="P7230">
        <v>0.38451619999999997</v>
      </c>
      <c r="Q7230">
        <v>0.102497</v>
      </c>
      <c r="R7230">
        <v>0.91741030000000001</v>
      </c>
      <c r="S7230">
        <v>1.4799040000000001</v>
      </c>
      <c r="T7230">
        <v>-0.20244989999999999</v>
      </c>
      <c r="U7230">
        <v>2.673721</v>
      </c>
      <c r="V7230">
        <v>0.24739710000000001</v>
      </c>
      <c r="W7230">
        <v>0.1195301</v>
      </c>
      <c r="X7230">
        <v>0.96151299999999995</v>
      </c>
      <c r="Y7230">
        <v>0.3500684</v>
      </c>
      <c r="Z7230">
        <v>-6.7143019999999998E-2</v>
      </c>
      <c r="AA7230">
        <v>0.93431470000000005</v>
      </c>
      <c r="AB7230">
        <v>30</v>
      </c>
      <c r="AC7230">
        <v>8.0578000000000092</v>
      </c>
      <c r="AD7230">
        <v>-1.106767078629</v>
      </c>
      <c r="AE7230">
        <v>14.414599999999901</v>
      </c>
      <c r="AF7230">
        <v>5.8377815412501102</v>
      </c>
      <c r="AG7230">
        <v>-1.106767078629</v>
      </c>
      <c r="AH7230">
        <v>15.3686590773621</v>
      </c>
      <c r="AI7230">
        <v>93.851419383509807</v>
      </c>
      <c r="AJ7230">
        <v>69.200731053050205</v>
      </c>
      <c r="AK7230">
        <v>16.477266415454999</v>
      </c>
      <c r="AL7230">
        <v>83.1350159651453</v>
      </c>
      <c r="AM7230">
        <v>75.5707928805557</v>
      </c>
      <c r="AN7230">
        <v>1.0000000095317001</v>
      </c>
    </row>
    <row r="7231" spans="1:40" x14ac:dyDescent="0.25">
      <c r="A7231" t="str">
        <f>"20190312173107011"</f>
        <v>20190312173107011</v>
      </c>
      <c r="B7231" t="str">
        <f>"1552383067004542"</f>
        <v>1552383067004542</v>
      </c>
      <c r="C7231" t="s">
        <v>40</v>
      </c>
      <c r="D7231">
        <v>3.362355</v>
      </c>
      <c r="E7231">
        <v>0.547544699999999</v>
      </c>
      <c r="F7231" t="s">
        <v>51</v>
      </c>
      <c r="G7231">
        <v>-179.214</v>
      </c>
      <c r="H7231" s="1">
        <v>-5.0799939999999999E-6</v>
      </c>
      <c r="I7231">
        <v>130.0256</v>
      </c>
      <c r="J7231">
        <v>-187.2878</v>
      </c>
      <c r="K7231">
        <v>1.106778</v>
      </c>
      <c r="L7231">
        <v>115.74469999999999</v>
      </c>
      <c r="M7231">
        <v>0.14974109999999999</v>
      </c>
      <c r="N7231">
        <v>0</v>
      </c>
      <c r="O7231">
        <v>0.98852320000000005</v>
      </c>
      <c r="P7231">
        <v>0.38927479999999998</v>
      </c>
      <c r="Q7231">
        <v>0.1026132</v>
      </c>
      <c r="R7231">
        <v>0.91538819999999999</v>
      </c>
      <c r="S7231">
        <v>1.490936</v>
      </c>
      <c r="T7231">
        <v>-0.2034029</v>
      </c>
      <c r="U7231">
        <v>2.6678920000000002</v>
      </c>
      <c r="V7231">
        <v>0.24890519999999999</v>
      </c>
      <c r="W7231">
        <v>0.119542</v>
      </c>
      <c r="X7231">
        <v>0.96112220000000004</v>
      </c>
      <c r="Y7231">
        <v>0.35047840000000002</v>
      </c>
      <c r="Z7231">
        <v>-6.746162E-2</v>
      </c>
      <c r="AA7231">
        <v>0.93413800000000002</v>
      </c>
      <c r="AB7231">
        <v>30</v>
      </c>
      <c r="AC7231">
        <v>8.0737999999999701</v>
      </c>
      <c r="AD7231">
        <v>-1.1067830799939999</v>
      </c>
      <c r="AE7231">
        <v>14.280900000000001</v>
      </c>
      <c r="AF7231">
        <v>5.8173899996949698</v>
      </c>
      <c r="AG7231">
        <v>-1.1067830799939999</v>
      </c>
      <c r="AH7231">
        <v>15.2595875753545</v>
      </c>
      <c r="AI7231">
        <v>93.877148588470902</v>
      </c>
      <c r="AJ7231">
        <v>69.131726700655605</v>
      </c>
      <c r="AK7231">
        <v>16.368323315618699</v>
      </c>
      <c r="AL7231">
        <v>83.134329057897901</v>
      </c>
      <c r="AM7231">
        <v>75.480886478060597</v>
      </c>
      <c r="AN7231">
        <v>0.99999998584194005</v>
      </c>
    </row>
    <row r="7232" spans="1:40" x14ac:dyDescent="0.25">
      <c r="A7232" t="str">
        <f>"20190312173107025"</f>
        <v>20190312173107025</v>
      </c>
      <c r="B7232" t="str">
        <f>"1552383067014302"</f>
        <v>1552383067014302</v>
      </c>
      <c r="C7232" t="s">
        <v>40</v>
      </c>
      <c r="D7232">
        <v>3.3492229999999998</v>
      </c>
      <c r="E7232">
        <v>0.54762630000000001</v>
      </c>
      <c r="F7232" t="s">
        <v>51</v>
      </c>
      <c r="G7232">
        <v>-179.1378</v>
      </c>
      <c r="H7232" s="1">
        <v>-5.0714149999999996E-6</v>
      </c>
      <c r="I7232">
        <v>130.14009999999999</v>
      </c>
      <c r="J7232">
        <v>-187.2577</v>
      </c>
      <c r="K7232">
        <v>1.1067849999999999</v>
      </c>
      <c r="L7232">
        <v>115.92449999999999</v>
      </c>
      <c r="M7232">
        <v>0.15247569999999999</v>
      </c>
      <c r="N7232">
        <v>0</v>
      </c>
      <c r="O7232">
        <v>0.9881067</v>
      </c>
      <c r="P7232">
        <v>0.39260410000000001</v>
      </c>
      <c r="Q7232">
        <v>0.10272779999999999</v>
      </c>
      <c r="R7232">
        <v>0.9139524</v>
      </c>
      <c r="S7232">
        <v>1.50589</v>
      </c>
      <c r="T7232">
        <v>-0.20450189999999999</v>
      </c>
      <c r="U7232">
        <v>2.6598510000000002</v>
      </c>
      <c r="V7232">
        <v>0.24974399999999999</v>
      </c>
      <c r="W7232">
        <v>0.1195799</v>
      </c>
      <c r="X7232">
        <v>0.96089990000000003</v>
      </c>
      <c r="Y7232">
        <v>0.35306270000000001</v>
      </c>
      <c r="Z7232">
        <v>-6.78372E-2</v>
      </c>
      <c r="AA7232">
        <v>0.93313710000000005</v>
      </c>
      <c r="AB7232">
        <v>30</v>
      </c>
      <c r="AC7232">
        <v>8.1198999999999995</v>
      </c>
      <c r="AD7232">
        <v>-1.1067900714149901</v>
      </c>
      <c r="AE7232">
        <v>14.215599999999901</v>
      </c>
      <c r="AF7232">
        <v>5.8303069485016499</v>
      </c>
      <c r="AG7232">
        <v>-1.1067900714149901</v>
      </c>
      <c r="AH7232">
        <v>15.2180914229255</v>
      </c>
      <c r="AI7232">
        <v>93.885272981980506</v>
      </c>
      <c r="AJ7232">
        <v>69.037322804476702</v>
      </c>
      <c r="AK7232">
        <v>16.334251434713799</v>
      </c>
      <c r="AL7232">
        <v>83.132142080111905</v>
      </c>
      <c r="AM7232">
        <v>75.430809111874296</v>
      </c>
      <c r="AN7232">
        <v>1.0000000179200099</v>
      </c>
    </row>
    <row r="7233" spans="1:40" x14ac:dyDescent="0.25">
      <c r="A7233" t="str">
        <f>"20190312173107038"</f>
        <v>20190312173107038</v>
      </c>
      <c r="B7233" t="str">
        <f>"1552383067025038"</f>
        <v>1552383067025038</v>
      </c>
      <c r="C7233" t="s">
        <v>40</v>
      </c>
      <c r="D7233">
        <v>3.3445119999999999</v>
      </c>
      <c r="E7233">
        <v>0.54770019999999997</v>
      </c>
      <c r="F7233" t="s">
        <v>51</v>
      </c>
      <c r="G7233">
        <v>-179.06569999999999</v>
      </c>
      <c r="H7233" s="1">
        <v>-5.0699520000000001E-6</v>
      </c>
      <c r="I7233">
        <v>130.26589999999999</v>
      </c>
      <c r="J7233">
        <v>-187.22540000000001</v>
      </c>
      <c r="K7233">
        <v>1.106792</v>
      </c>
      <c r="L7233">
        <v>116.11369999999999</v>
      </c>
      <c r="M7233">
        <v>0.15535470000000001</v>
      </c>
      <c r="N7233">
        <v>0</v>
      </c>
      <c r="O7233">
        <v>0.98765979999999998</v>
      </c>
      <c r="P7233">
        <v>0.39605410000000002</v>
      </c>
      <c r="Q7233">
        <v>0.1026965</v>
      </c>
      <c r="R7233">
        <v>0.91246620000000001</v>
      </c>
      <c r="S7233">
        <v>1.5161290000000001</v>
      </c>
      <c r="T7233">
        <v>-0.20483660000000001</v>
      </c>
      <c r="U7233">
        <v>2.6541899999999998</v>
      </c>
      <c r="V7233">
        <v>0.2505696</v>
      </c>
      <c r="W7233">
        <v>0.1194648</v>
      </c>
      <c r="X7233">
        <v>0.96069919999999998</v>
      </c>
      <c r="Y7233">
        <v>0.35390460000000001</v>
      </c>
      <c r="Z7233">
        <v>-6.795474E-2</v>
      </c>
      <c r="AA7233">
        <v>0.93280960000000002</v>
      </c>
      <c r="AB7233">
        <v>30</v>
      </c>
      <c r="AC7233">
        <v>8.1597000000000097</v>
      </c>
      <c r="AD7233">
        <v>-1.106797069952</v>
      </c>
      <c r="AE7233">
        <v>14.152199999999899</v>
      </c>
      <c r="AF7233">
        <v>5.8347654187556603</v>
      </c>
      <c r="AG7233">
        <v>-1.106797069952</v>
      </c>
      <c r="AH7233">
        <v>15.1785292014393</v>
      </c>
      <c r="AI7233">
        <v>93.893714856096295</v>
      </c>
      <c r="AJ7233">
        <v>68.972783625764094</v>
      </c>
      <c r="AK7233">
        <v>16.2989949372624</v>
      </c>
      <c r="AL7233">
        <v>83.138784025990901</v>
      </c>
      <c r="AM7233">
        <v>75.381783038134998</v>
      </c>
      <c r="AN7233">
        <v>0.99999995788191898</v>
      </c>
    </row>
    <row r="7234" spans="1:40" x14ac:dyDescent="0.25">
      <c r="A7234" t="str">
        <f>"20190312173107055"</f>
        <v>20190312173107055</v>
      </c>
      <c r="B7234" t="str">
        <f>"1552383067044558"</f>
        <v>1552383067044558</v>
      </c>
      <c r="C7234" t="s">
        <v>40</v>
      </c>
      <c r="D7234">
        <v>3.3452229999999998</v>
      </c>
      <c r="E7234">
        <v>0.5478383</v>
      </c>
      <c r="F7234" t="s">
        <v>51</v>
      </c>
      <c r="G7234">
        <v>-179.011</v>
      </c>
      <c r="H7234" s="1">
        <v>-5.0694600000000001E-6</v>
      </c>
      <c r="I7234">
        <v>130.3629</v>
      </c>
      <c r="J7234">
        <v>-187.1883</v>
      </c>
      <c r="K7234">
        <v>1.106806</v>
      </c>
      <c r="L7234">
        <v>116.3266</v>
      </c>
      <c r="M7234">
        <v>0.15859879999999901</v>
      </c>
      <c r="N7234">
        <v>0</v>
      </c>
      <c r="O7234">
        <v>0.98714610000000003</v>
      </c>
      <c r="P7234">
        <v>0.40056180000000002</v>
      </c>
      <c r="Q7234">
        <v>0.1025196</v>
      </c>
      <c r="R7234">
        <v>0.91051629999999995</v>
      </c>
      <c r="S7234">
        <v>1.5266879999999901</v>
      </c>
      <c r="T7234">
        <v>-0.20570350000000001</v>
      </c>
      <c r="U7234">
        <v>2.648285</v>
      </c>
      <c r="V7234">
        <v>0.25215729999999997</v>
      </c>
      <c r="W7234">
        <v>0.1191793</v>
      </c>
      <c r="X7234">
        <v>0.96031920000000004</v>
      </c>
      <c r="Y7234">
        <v>0.35451480000000002</v>
      </c>
      <c r="Z7234">
        <v>-6.8247050000000004E-2</v>
      </c>
      <c r="AA7234">
        <v>0.93255650000000001</v>
      </c>
      <c r="AB7234">
        <v>30</v>
      </c>
      <c r="AC7234">
        <v>8.1773000000000007</v>
      </c>
      <c r="AD7234">
        <v>-1.10681106946</v>
      </c>
      <c r="AE7234">
        <v>14.036299999999899</v>
      </c>
      <c r="AF7234">
        <v>5.8201680380538496</v>
      </c>
      <c r="AG7234">
        <v>-1.10681106946</v>
      </c>
      <c r="AH7234">
        <v>15.0857048656371</v>
      </c>
      <c r="AI7234">
        <v>93.915818192802504</v>
      </c>
      <c r="AJ7234">
        <v>68.903044726311407</v>
      </c>
      <c r="AK7234">
        <v>16.207340251496198</v>
      </c>
      <c r="AL7234">
        <v>83.155259885421998</v>
      </c>
      <c r="AM7234">
        <v>75.287593061156201</v>
      </c>
      <c r="AN7234">
        <v>0.99999998769020904</v>
      </c>
    </row>
    <row r="7235" spans="1:40" x14ac:dyDescent="0.25">
      <c r="A7235" t="str">
        <f>"20190312173107067"</f>
        <v>20190312173107067</v>
      </c>
      <c r="B7235" t="str">
        <f>"1552383067054318"</f>
        <v>1552383067054318</v>
      </c>
      <c r="C7235" t="s">
        <v>40</v>
      </c>
      <c r="D7235">
        <v>3.3103340000000001</v>
      </c>
      <c r="E7235">
        <v>0.54791330000000005</v>
      </c>
      <c r="F7235" t="s">
        <v>51</v>
      </c>
      <c r="G7235">
        <v>-178.9666</v>
      </c>
      <c r="H7235" s="1">
        <v>-5.0590869999999998E-6</v>
      </c>
      <c r="I7235">
        <v>130.4153</v>
      </c>
      <c r="J7235">
        <v>-187.15960000000001</v>
      </c>
      <c r="K7235">
        <v>1.1068119999999999</v>
      </c>
      <c r="L7235">
        <v>116.48909999999999</v>
      </c>
      <c r="M7235">
        <v>0.16107669999999999</v>
      </c>
      <c r="N7235">
        <v>0</v>
      </c>
      <c r="O7235">
        <v>0.98674640000000002</v>
      </c>
      <c r="P7235">
        <v>0.4035337</v>
      </c>
      <c r="Q7235">
        <v>0.10285469999999999</v>
      </c>
      <c r="R7235">
        <v>0.90916529999999995</v>
      </c>
      <c r="S7235">
        <v>1.5408170000000001</v>
      </c>
      <c r="T7235">
        <v>-0.207427</v>
      </c>
      <c r="U7235">
        <v>2.6403500000000002</v>
      </c>
      <c r="V7235">
        <v>0.25288949999999999</v>
      </c>
      <c r="W7235">
        <v>0.1194354</v>
      </c>
      <c r="X7235">
        <v>0.96009480000000003</v>
      </c>
      <c r="Y7235">
        <v>0.35708990000000002</v>
      </c>
      <c r="Z7235">
        <v>-6.8830499999999906E-2</v>
      </c>
      <c r="AA7235">
        <v>0.93153050000000004</v>
      </c>
      <c r="AB7235">
        <v>30</v>
      </c>
      <c r="AC7235">
        <v>8.1930000000000103</v>
      </c>
      <c r="AD7235">
        <v>-1.1068170590869999</v>
      </c>
      <c r="AE7235">
        <v>13.9262</v>
      </c>
      <c r="AF7235">
        <v>5.8150669308386096</v>
      </c>
      <c r="AG7235">
        <v>-1.1068170590869999</v>
      </c>
      <c r="AH7235">
        <v>14.993876827193599</v>
      </c>
      <c r="AI7235">
        <v>93.937074211579997</v>
      </c>
      <c r="AJ7235">
        <v>68.802240796751093</v>
      </c>
      <c r="AK7235">
        <v>16.120061715808401</v>
      </c>
      <c r="AL7235">
        <v>83.140480749575801</v>
      </c>
      <c r="AM7235">
        <v>75.243435188236006</v>
      </c>
      <c r="AN7235">
        <v>0.99999996948522396</v>
      </c>
    </row>
    <row r="7236" spans="1:40" x14ac:dyDescent="0.25">
      <c r="A7236" t="str">
        <f>"20190312173107078"</f>
        <v>20190312173107078</v>
      </c>
      <c r="B7236" t="str">
        <f>"1552383067065054"</f>
        <v>1552383067065054</v>
      </c>
      <c r="C7236" t="s">
        <v>40</v>
      </c>
      <c r="D7236">
        <v>3.3579560000000002</v>
      </c>
      <c r="E7236">
        <v>0.54799290000000001</v>
      </c>
      <c r="F7236" t="s">
        <v>51</v>
      </c>
      <c r="G7236">
        <v>-178.87190000000001</v>
      </c>
      <c r="H7236" s="1">
        <v>-5.0559110000000003E-6</v>
      </c>
      <c r="I7236">
        <v>130.5772</v>
      </c>
      <c r="J7236">
        <v>-187.13079999999999</v>
      </c>
      <c r="K7236">
        <v>1.106819</v>
      </c>
      <c r="L7236">
        <v>116.64960000000001</v>
      </c>
      <c r="M7236">
        <v>0.16352910000000001</v>
      </c>
      <c r="N7236">
        <v>0</v>
      </c>
      <c r="O7236">
        <v>0.98634449999999996</v>
      </c>
      <c r="P7236">
        <v>0.40657310000000002</v>
      </c>
      <c r="Q7236">
        <v>0.1033829</v>
      </c>
      <c r="R7236">
        <v>0.9077501</v>
      </c>
      <c r="S7236">
        <v>1.5501560000000001</v>
      </c>
      <c r="T7236">
        <v>-0.20702300000000001</v>
      </c>
      <c r="U7236">
        <v>2.6350859999999998</v>
      </c>
      <c r="V7236">
        <v>0.25372729999999999</v>
      </c>
      <c r="W7236">
        <v>0.1198823</v>
      </c>
      <c r="X7236">
        <v>0.95981810000000001</v>
      </c>
      <c r="Y7236">
        <v>0.3580393</v>
      </c>
      <c r="Z7236">
        <v>-6.8702289999999999E-2</v>
      </c>
      <c r="AA7236">
        <v>0.93117550000000004</v>
      </c>
      <c r="AB7236">
        <v>30</v>
      </c>
      <c r="AC7236">
        <v>8.2588999999999793</v>
      </c>
      <c r="AD7236">
        <v>-1.1068240559110001</v>
      </c>
      <c r="AE7236">
        <v>13.927599999999901</v>
      </c>
      <c r="AF7236">
        <v>5.8423778911259596</v>
      </c>
      <c r="AG7236">
        <v>-1.1068240559110001</v>
      </c>
      <c r="AH7236">
        <v>15.020687012136399</v>
      </c>
      <c r="AI7236">
        <v>93.928605307216699</v>
      </c>
      <c r="AJ7236">
        <v>68.746182501112699</v>
      </c>
      <c r="AK7236">
        <v>16.154859245131899</v>
      </c>
      <c r="AL7236">
        <v>83.114690494906796</v>
      </c>
      <c r="AM7236">
        <v>75.192611368744096</v>
      </c>
      <c r="AN7236">
        <v>1.0000000468530901</v>
      </c>
    </row>
    <row r="7237" spans="1:40" x14ac:dyDescent="0.25">
      <c r="A7237" t="str">
        <f>"20190312173107091"</f>
        <v>20190312173107091</v>
      </c>
      <c r="B7237" t="str">
        <f>"1552383067084574"</f>
        <v>1552383067084574</v>
      </c>
      <c r="C7237" t="s">
        <v>40</v>
      </c>
      <c r="D7237">
        <v>3.3652660000000001</v>
      </c>
      <c r="E7237">
        <v>0.54800979999999999</v>
      </c>
      <c r="F7237" t="s">
        <v>51</v>
      </c>
      <c r="G7237">
        <v>-178.76740000000001</v>
      </c>
      <c r="H7237" s="1">
        <v>-5.0522819999999998E-6</v>
      </c>
      <c r="I7237">
        <v>130.75550000000001</v>
      </c>
      <c r="J7237">
        <v>-187.10310000000001</v>
      </c>
      <c r="K7237">
        <v>1.106822</v>
      </c>
      <c r="L7237">
        <v>116.8014</v>
      </c>
      <c r="M7237">
        <v>0.16585510000000001</v>
      </c>
      <c r="N7237">
        <v>0</v>
      </c>
      <c r="O7237">
        <v>0.98595759999999999</v>
      </c>
      <c r="P7237">
        <v>0.40963179999999999</v>
      </c>
      <c r="Q7237">
        <v>0.10376630000000001</v>
      </c>
      <c r="R7237">
        <v>0.90633019999999997</v>
      </c>
      <c r="S7237">
        <v>1.5593109999999999</v>
      </c>
      <c r="T7237">
        <v>-0.2063615</v>
      </c>
      <c r="U7237">
        <v>2.6299739999999998</v>
      </c>
      <c r="V7237">
        <v>0.25470930000000003</v>
      </c>
      <c r="W7237">
        <v>0.1201829</v>
      </c>
      <c r="X7237">
        <v>0.95952029999999999</v>
      </c>
      <c r="Y7237">
        <v>0.35903819999999997</v>
      </c>
      <c r="Z7237">
        <v>-6.8487210000000007E-2</v>
      </c>
      <c r="AA7237">
        <v>0.93080669999999999</v>
      </c>
      <c r="AB7237">
        <v>30</v>
      </c>
      <c r="AC7237">
        <v>8.3356999999999992</v>
      </c>
      <c r="AD7237">
        <v>-1.1068270522820001</v>
      </c>
      <c r="AE7237">
        <v>13.9541</v>
      </c>
      <c r="AF7237">
        <v>5.87815309253034</v>
      </c>
      <c r="AG7237">
        <v>-1.1068270522820001</v>
      </c>
      <c r="AH7237">
        <v>15.0736499215673</v>
      </c>
      <c r="AI7237">
        <v>93.913526883162504</v>
      </c>
      <c r="AJ7237">
        <v>68.6960982170242</v>
      </c>
      <c r="AK7237">
        <v>16.217048802444001</v>
      </c>
      <c r="AL7237">
        <v>83.097341500466001</v>
      </c>
      <c r="AM7237">
        <v>75.133425710786099</v>
      </c>
      <c r="AN7237">
        <v>0.99999998153549396</v>
      </c>
    </row>
    <row r="7238" spans="1:40" x14ac:dyDescent="0.25">
      <c r="A7238" t="str">
        <f>"20190312173107103"</f>
        <v>20190312173107103</v>
      </c>
      <c r="B7238" t="str">
        <f>"1552383067095310"</f>
        <v>1552383067095310</v>
      </c>
      <c r="C7238" t="s">
        <v>40</v>
      </c>
      <c r="D7238">
        <v>3.3553269999999902</v>
      </c>
      <c r="E7238">
        <v>0.5479522</v>
      </c>
      <c r="F7238" t="s">
        <v>51</v>
      </c>
      <c r="G7238">
        <v>-178.6687</v>
      </c>
      <c r="H7238" s="1">
        <v>-5.046373E-6</v>
      </c>
      <c r="I7238">
        <v>130.91720000000001</v>
      </c>
      <c r="J7238">
        <v>-187.07380000000001</v>
      </c>
      <c r="K7238">
        <v>1.106827</v>
      </c>
      <c r="L7238">
        <v>116.9605</v>
      </c>
      <c r="M7238">
        <v>0.168297</v>
      </c>
      <c r="N7238">
        <v>0</v>
      </c>
      <c r="O7238">
        <v>0.98554529999999996</v>
      </c>
      <c r="P7238">
        <v>0.41273189999999998</v>
      </c>
      <c r="Q7238">
        <v>0.1043152</v>
      </c>
      <c r="R7238">
        <v>0.90485950000000004</v>
      </c>
      <c r="S7238">
        <v>1.568344</v>
      </c>
      <c r="T7238">
        <v>-0.20581189999999999</v>
      </c>
      <c r="U7238">
        <v>2.6248019999999999</v>
      </c>
      <c r="V7238">
        <v>0.25563130000000001</v>
      </c>
      <c r="W7238">
        <v>0.1206435</v>
      </c>
      <c r="X7238">
        <v>0.95921730000000005</v>
      </c>
      <c r="Y7238">
        <v>0.3599019</v>
      </c>
      <c r="Z7238">
        <v>-6.8309869999999995E-2</v>
      </c>
      <c r="AA7238">
        <v>0.93048609999999998</v>
      </c>
      <c r="AB7238">
        <v>30</v>
      </c>
      <c r="AC7238">
        <v>8.4050999999999991</v>
      </c>
      <c r="AD7238">
        <v>-1.1068320463729999</v>
      </c>
      <c r="AE7238">
        <v>13.9567</v>
      </c>
      <c r="AF7238">
        <v>5.9085836306957003</v>
      </c>
      <c r="AG7238">
        <v>-1.1068320463729999</v>
      </c>
      <c r="AH7238">
        <v>15.102666146376601</v>
      </c>
      <c r="AI7238">
        <v>93.904378937210794</v>
      </c>
      <c r="AJ7238">
        <v>68.633178744449296</v>
      </c>
      <c r="AK7238">
        <v>16.255059594745099</v>
      </c>
      <c r="AL7238">
        <v>83.070757918384601</v>
      </c>
      <c r="AM7238">
        <v>75.077504670013695</v>
      </c>
      <c r="AN7238">
        <v>1.00000002212561</v>
      </c>
    </row>
    <row r="7239" spans="1:40" x14ac:dyDescent="0.25">
      <c r="A7239" t="str">
        <f>"20190312173107114"</f>
        <v>20190312173107114</v>
      </c>
      <c r="B7239" t="str">
        <f>"1552383067105070"</f>
        <v>1552383067105070</v>
      </c>
      <c r="C7239" t="s">
        <v>40</v>
      </c>
      <c r="D7239">
        <v>3.3436180000000002</v>
      </c>
      <c r="E7239">
        <v>0.54790159999999999</v>
      </c>
      <c r="F7239" t="s">
        <v>51</v>
      </c>
      <c r="G7239">
        <v>-178.52170000000001</v>
      </c>
      <c r="H7239" s="1">
        <v>-5.0418380000000004E-6</v>
      </c>
      <c r="I7239">
        <v>131.1696</v>
      </c>
      <c r="J7239">
        <v>-187.0445</v>
      </c>
      <c r="K7239">
        <v>1.1068180000000001</v>
      </c>
      <c r="L7239">
        <v>117.1164</v>
      </c>
      <c r="M7239">
        <v>0.17071040000000001</v>
      </c>
      <c r="N7239">
        <v>0</v>
      </c>
      <c r="O7239">
        <v>0.98513200000000001</v>
      </c>
      <c r="P7239">
        <v>0.41542240000000002</v>
      </c>
      <c r="Q7239">
        <v>0.10491200000000001</v>
      </c>
      <c r="R7239">
        <v>0.90355830000000004</v>
      </c>
      <c r="S7239">
        <v>1.576767</v>
      </c>
      <c r="T7239">
        <v>-0.20406879999999999</v>
      </c>
      <c r="U7239">
        <v>2.6197509999999999</v>
      </c>
      <c r="V7239">
        <v>0.25615290000000002</v>
      </c>
      <c r="W7239">
        <v>0.121142899999999</v>
      </c>
      <c r="X7239">
        <v>0.95901510000000001</v>
      </c>
      <c r="Y7239">
        <v>0.36062660000000002</v>
      </c>
      <c r="Z7239">
        <v>-6.774078E-2</v>
      </c>
      <c r="AA7239">
        <v>0.93024709999999999</v>
      </c>
      <c r="AB7239">
        <v>30</v>
      </c>
      <c r="AC7239">
        <v>8.5227999999999895</v>
      </c>
      <c r="AD7239">
        <v>-1.1068230418380001</v>
      </c>
      <c r="AE7239">
        <v>14.0532</v>
      </c>
      <c r="AF7239">
        <v>5.9710948347864203</v>
      </c>
      <c r="AG7239">
        <v>-1.1068230418380001</v>
      </c>
      <c r="AH7239">
        <v>15.2329586410275</v>
      </c>
      <c r="AI7239">
        <v>93.870061755766002</v>
      </c>
      <c r="AJ7239">
        <v>68.595553988659105</v>
      </c>
      <c r="AK7239">
        <v>16.398843243692799</v>
      </c>
      <c r="AL7239">
        <v>83.041932389821596</v>
      </c>
      <c r="AM7239">
        <v>75.045407347760204</v>
      </c>
      <c r="AN7239">
        <v>0.99999993621341299</v>
      </c>
    </row>
    <row r="7240" spans="1:40" x14ac:dyDescent="0.25">
      <c r="A7240" t="str">
        <f>"20190312173107126"</f>
        <v>20190312173107126</v>
      </c>
      <c r="B7240" t="str">
        <f>"1552383067114830"</f>
        <v>1552383067114830</v>
      </c>
      <c r="C7240" t="s">
        <v>40</v>
      </c>
      <c r="D7240">
        <v>3.2956690000000002</v>
      </c>
      <c r="E7240">
        <v>0.54788419999999904</v>
      </c>
      <c r="F7240" t="s">
        <v>51</v>
      </c>
      <c r="G7240">
        <v>-178.3579</v>
      </c>
      <c r="H7240" s="1">
        <v>-5.03788E-6</v>
      </c>
      <c r="I7240">
        <v>131.45359999999999</v>
      </c>
      <c r="J7240">
        <v>-187.01589999999999</v>
      </c>
      <c r="K7240">
        <v>1.106811</v>
      </c>
      <c r="L7240">
        <v>117.2676</v>
      </c>
      <c r="M7240">
        <v>0.17306009999999999</v>
      </c>
      <c r="N7240">
        <v>0</v>
      </c>
      <c r="O7240">
        <v>0.98472380000000004</v>
      </c>
      <c r="P7240">
        <v>0.41819479999999998</v>
      </c>
      <c r="Q7240">
        <v>0.1052975</v>
      </c>
      <c r="R7240">
        <v>0.90223370000000003</v>
      </c>
      <c r="S7240">
        <v>1.584473</v>
      </c>
      <c r="T7240">
        <v>-0.20188880000000001</v>
      </c>
      <c r="U7240">
        <v>2.615173</v>
      </c>
      <c r="V7240">
        <v>0.25682159999999998</v>
      </c>
      <c r="W7240">
        <v>0.1214269</v>
      </c>
      <c r="X7240">
        <v>0.9588004</v>
      </c>
      <c r="Y7240">
        <v>0.36115429999999998</v>
      </c>
      <c r="Z7240">
        <v>-6.7024089999999995E-2</v>
      </c>
      <c r="AA7240">
        <v>0.93009419999999998</v>
      </c>
      <c r="AB7240">
        <v>30</v>
      </c>
      <c r="AC7240">
        <v>8.6579999999999799</v>
      </c>
      <c r="AD7240">
        <v>-1.1068160378799901</v>
      </c>
      <c r="AE7240">
        <v>14.1859999999999</v>
      </c>
      <c r="AF7240">
        <v>6.0450177830406098</v>
      </c>
      <c r="AG7240">
        <v>-1.1068160378799901</v>
      </c>
      <c r="AH7240">
        <v>15.4021894835409</v>
      </c>
      <c r="AI7240">
        <v>93.827003611742796</v>
      </c>
      <c r="AJ7240">
        <v>68.571093782781901</v>
      </c>
      <c r="AK7240">
        <v>16.582964832197099</v>
      </c>
      <c r="AL7240">
        <v>83.0255399335785</v>
      </c>
      <c r="AM7240">
        <v>75.004917286424202</v>
      </c>
      <c r="AN7240">
        <v>1.0000000166551599</v>
      </c>
    </row>
    <row r="7241" spans="1:40" x14ac:dyDescent="0.25">
      <c r="A7241" t="str">
        <f>"20190312173107144"</f>
        <v>20190312173107144</v>
      </c>
      <c r="B7241" t="str">
        <f>"1552383067134350"</f>
        <v>1552383067134350</v>
      </c>
      <c r="C7241" t="s">
        <v>40</v>
      </c>
      <c r="D7241">
        <v>3.2949410000000001</v>
      </c>
      <c r="E7241">
        <v>0.54783119999999996</v>
      </c>
      <c r="F7241" t="s">
        <v>51</v>
      </c>
      <c r="G7241">
        <v>-178.21520000000001</v>
      </c>
      <c r="H7241" s="1">
        <v>-5.0318230000000003E-6</v>
      </c>
      <c r="I7241">
        <v>131.69409999999999</v>
      </c>
      <c r="J7241">
        <v>-186.9727</v>
      </c>
      <c r="K7241">
        <v>1.1067769999999999</v>
      </c>
      <c r="L7241">
        <v>117.4915</v>
      </c>
      <c r="M7241">
        <v>0.1765707</v>
      </c>
      <c r="N7241">
        <v>0</v>
      </c>
      <c r="O7241">
        <v>0.98410339999999996</v>
      </c>
      <c r="P7241">
        <v>0.4219889</v>
      </c>
      <c r="Q7241">
        <v>0.1063597</v>
      </c>
      <c r="R7241">
        <v>0.90034049999999999</v>
      </c>
      <c r="S7241">
        <v>1.5924069999999999</v>
      </c>
      <c r="T7241">
        <v>-0.20026959999999999</v>
      </c>
      <c r="U7241">
        <v>2.6103670000000001</v>
      </c>
      <c r="V7241">
        <v>0.25747330000000002</v>
      </c>
      <c r="W7241">
        <v>0.1223219</v>
      </c>
      <c r="X7241">
        <v>0.95851180000000002</v>
      </c>
      <c r="Y7241">
        <v>0.36067110000000002</v>
      </c>
      <c r="Z7241">
        <v>-6.6487630000000006E-2</v>
      </c>
      <c r="AA7241">
        <v>0.93032020000000004</v>
      </c>
      <c r="AB7241">
        <v>30</v>
      </c>
      <c r="AC7241">
        <v>8.7574999999999896</v>
      </c>
      <c r="AD7241">
        <v>-1.1067820318229999</v>
      </c>
      <c r="AE7241">
        <v>14.202599999999901</v>
      </c>
      <c r="AF7241">
        <v>6.0848599487244197</v>
      </c>
      <c r="AG7241">
        <v>-1.1067820318229999</v>
      </c>
      <c r="AH7241">
        <v>15.457951815893001</v>
      </c>
      <c r="AI7241">
        <v>93.811618916623203</v>
      </c>
      <c r="AJ7241">
        <v>68.513443056767997</v>
      </c>
      <c r="AK7241">
        <v>16.649287113988599</v>
      </c>
      <c r="AL7241">
        <v>82.973875022421595</v>
      </c>
      <c r="AM7241">
        <v>74.964265489616395</v>
      </c>
      <c r="AN7241">
        <v>1.0000000090858701</v>
      </c>
    </row>
    <row r="7242" spans="1:40" x14ac:dyDescent="0.25">
      <c r="A7242" t="str">
        <f>"20190312173107155"</f>
        <v>20190312173107155</v>
      </c>
      <c r="B7242" t="str">
        <f>"1552383067145086"</f>
        <v>1552383067145086</v>
      </c>
      <c r="C7242" t="s">
        <v>40</v>
      </c>
      <c r="D7242">
        <v>3.2791969999999999</v>
      </c>
      <c r="E7242">
        <v>0.54782280000000005</v>
      </c>
      <c r="F7242" t="s">
        <v>51</v>
      </c>
      <c r="G7242">
        <v>-177.9325</v>
      </c>
      <c r="H7242" s="1">
        <v>-5.01973E-6</v>
      </c>
      <c r="I7242">
        <v>132.1705</v>
      </c>
      <c r="J7242">
        <v>-186.94220000000001</v>
      </c>
      <c r="K7242">
        <v>1.106749</v>
      </c>
      <c r="L7242">
        <v>117.6461</v>
      </c>
      <c r="M7242">
        <v>0.1790273</v>
      </c>
      <c r="N7242">
        <v>0</v>
      </c>
      <c r="O7242">
        <v>0.98366180000000003</v>
      </c>
      <c r="P7242">
        <v>0.42490070000000002</v>
      </c>
      <c r="Q7242">
        <v>0.1069155</v>
      </c>
      <c r="R7242">
        <v>0.89890409999999898</v>
      </c>
      <c r="S7242">
        <v>1.6035159999999999</v>
      </c>
      <c r="T7242">
        <v>-0.1963162</v>
      </c>
      <c r="U7242">
        <v>2.6036990000000002</v>
      </c>
      <c r="V7242">
        <v>0.25820419999999999</v>
      </c>
      <c r="W7242">
        <v>0.12274119999999999</v>
      </c>
      <c r="X7242">
        <v>0.95826149999999999</v>
      </c>
      <c r="Y7242">
        <v>0.36232989999999998</v>
      </c>
      <c r="Z7242">
        <v>-6.5189469999999999E-2</v>
      </c>
      <c r="AA7242">
        <v>0.92976740000000002</v>
      </c>
      <c r="AB7242">
        <v>29</v>
      </c>
      <c r="AC7242">
        <v>9.0097000000000094</v>
      </c>
      <c r="AD7242">
        <v>-1.1067540197299901</v>
      </c>
      <c r="AE7242">
        <v>14.5244</v>
      </c>
      <c r="AF7242">
        <v>6.2372045908205296</v>
      </c>
      <c r="AG7242">
        <v>-1.1067540197299901</v>
      </c>
      <c r="AH7242">
        <v>15.836529976422099</v>
      </c>
      <c r="AI7242">
        <v>93.720400663318202</v>
      </c>
      <c r="AJ7242">
        <v>68.503039534240799</v>
      </c>
      <c r="AK7242">
        <v>17.0564740571449</v>
      </c>
      <c r="AL7242">
        <v>82.949668125693705</v>
      </c>
      <c r="AM7242">
        <v>74.919764826818593</v>
      </c>
      <c r="AN7242">
        <v>0.99999995672866404</v>
      </c>
    </row>
    <row r="7243" spans="1:40" x14ac:dyDescent="0.25">
      <c r="A7243" t="str">
        <f>"20190312173107169"</f>
        <v>20190312173107169</v>
      </c>
      <c r="B7243" t="str">
        <f>"1552383067154847"</f>
        <v>1552383067154847</v>
      </c>
      <c r="C7243" t="s">
        <v>40</v>
      </c>
      <c r="D7243">
        <v>3.284478</v>
      </c>
      <c r="E7243">
        <v>0.5478073</v>
      </c>
      <c r="F7243" t="s">
        <v>51</v>
      </c>
      <c r="G7243">
        <v>-177.76089999999999</v>
      </c>
      <c r="H7243" s="1">
        <v>-5.0072119999999996E-6</v>
      </c>
      <c r="I7243">
        <v>132.44589999999999</v>
      </c>
      <c r="J7243">
        <v>-186.9084</v>
      </c>
      <c r="K7243">
        <v>1.106714</v>
      </c>
      <c r="L7243">
        <v>117.81619999999999</v>
      </c>
      <c r="M7243">
        <v>0.18174699999999999</v>
      </c>
      <c r="N7243">
        <v>0</v>
      </c>
      <c r="O7243">
        <v>0.98316550000000003</v>
      </c>
      <c r="P7243">
        <v>0.42823470000000002</v>
      </c>
      <c r="Q7243">
        <v>0.1077307</v>
      </c>
      <c r="R7243">
        <v>0.89722299999999999</v>
      </c>
      <c r="S7243">
        <v>1.6120300000000001</v>
      </c>
      <c r="T7243">
        <v>-0.19432079999999999</v>
      </c>
      <c r="U7243">
        <v>2.5985109999999998</v>
      </c>
      <c r="V7243">
        <v>0.25914290000000001</v>
      </c>
      <c r="W7243">
        <v>0.1234008</v>
      </c>
      <c r="X7243">
        <v>0.95792339999999998</v>
      </c>
      <c r="Y7243">
        <v>0.36280770000000001</v>
      </c>
      <c r="Z7243">
        <v>-6.4531950000000005E-2</v>
      </c>
      <c r="AA7243">
        <v>0.92962690000000003</v>
      </c>
      <c r="AB7243">
        <v>29</v>
      </c>
      <c r="AC7243">
        <v>9.1475000000000009</v>
      </c>
      <c r="AD7243">
        <v>-1.1067190072119999</v>
      </c>
      <c r="AE7243">
        <v>14.6297</v>
      </c>
      <c r="AF7243">
        <v>6.3097628389168596</v>
      </c>
      <c r="AG7243">
        <v>-1.1067190072119999</v>
      </c>
      <c r="AH7243">
        <v>15.983027012933899</v>
      </c>
      <c r="AI7243">
        <v>93.685112222229904</v>
      </c>
      <c r="AJ7243">
        <v>68.456936080320006</v>
      </c>
      <c r="AK7243">
        <v>17.2190326830654</v>
      </c>
      <c r="AL7243">
        <v>82.911586776234202</v>
      </c>
      <c r="AM7243">
        <v>74.862354689928196</v>
      </c>
      <c r="AN7243">
        <v>1.0000000201643</v>
      </c>
    </row>
    <row r="7244" spans="1:40" x14ac:dyDescent="0.25">
      <c r="A7244" t="str">
        <f>"20190312173107189"</f>
        <v>20190312173107189</v>
      </c>
      <c r="B7244" t="str">
        <f>"1552383067174366"</f>
        <v>1552383067174366</v>
      </c>
      <c r="C7244" t="s">
        <v>40</v>
      </c>
      <c r="D7244">
        <v>3.2770640000000002</v>
      </c>
      <c r="E7244">
        <v>0.54775669999999899</v>
      </c>
      <c r="F7244" t="s">
        <v>51</v>
      </c>
      <c r="G7244">
        <v>-177.53649999999999</v>
      </c>
      <c r="H7244" s="1">
        <v>-4.9875939999999997E-6</v>
      </c>
      <c r="I7244">
        <v>132.79769999999999</v>
      </c>
      <c r="J7244">
        <v>-186.85560000000001</v>
      </c>
      <c r="K7244">
        <v>1.1066499999999999</v>
      </c>
      <c r="L7244">
        <v>118.0763</v>
      </c>
      <c r="M7244">
        <v>0.18596499999999999</v>
      </c>
      <c r="N7244">
        <v>0</v>
      </c>
      <c r="O7244">
        <v>0.98238040000000004</v>
      </c>
      <c r="P7244">
        <v>0.43320570000000003</v>
      </c>
      <c r="Q7244">
        <v>0.10815520000000001</v>
      </c>
      <c r="R7244">
        <v>0.89478219999999997</v>
      </c>
      <c r="S7244">
        <v>1.621826</v>
      </c>
      <c r="T7244">
        <v>-0.19151989999999999</v>
      </c>
      <c r="U7244">
        <v>2.5925750000000001</v>
      </c>
      <c r="V7244">
        <v>0.26037070000000001</v>
      </c>
      <c r="W7244">
        <v>0.1235835</v>
      </c>
      <c r="X7244">
        <v>0.95756680000000005</v>
      </c>
      <c r="Y7244">
        <v>0.36232370000000003</v>
      </c>
      <c r="Z7244">
        <v>-6.3599599999999895E-2</v>
      </c>
      <c r="AA7244">
        <v>0.92987989999999998</v>
      </c>
      <c r="AB7244">
        <v>29</v>
      </c>
      <c r="AC7244">
        <v>9.3191000000000095</v>
      </c>
      <c r="AD7244">
        <v>-1.1066549875939999</v>
      </c>
      <c r="AE7244">
        <v>14.7213999999999</v>
      </c>
      <c r="AF7244">
        <v>6.3925560198689597</v>
      </c>
      <c r="AG7244">
        <v>-1.1066549875939999</v>
      </c>
      <c r="AH7244">
        <v>16.132756826933399</v>
      </c>
      <c r="AI7244">
        <v>93.648965061056899</v>
      </c>
      <c r="AJ7244">
        <v>68.384203132128306</v>
      </c>
      <c r="AK7244">
        <v>17.388366817090599</v>
      </c>
      <c r="AL7244">
        <v>82.9010378042383</v>
      </c>
      <c r="AM7244">
        <v>74.788546585511398</v>
      </c>
      <c r="AN7244">
        <v>0.99999997967648901</v>
      </c>
    </row>
    <row r="7245" spans="1:40" x14ac:dyDescent="0.25">
      <c r="A7245" t="str">
        <f>"20190312173107203"</f>
        <v>20190312173107203</v>
      </c>
      <c r="B7245" t="str">
        <f>"1552383067194861"</f>
        <v>1552383067194861</v>
      </c>
      <c r="C7245" t="s">
        <v>40</v>
      </c>
      <c r="D7245">
        <v>3.3096199999999998</v>
      </c>
      <c r="E7245">
        <v>0.54771210000000004</v>
      </c>
      <c r="F7245" t="s">
        <v>51</v>
      </c>
      <c r="G7245">
        <v>-177.3125</v>
      </c>
      <c r="H7245" s="1">
        <v>-4.9677129999999996E-6</v>
      </c>
      <c r="I7245">
        <v>133.148</v>
      </c>
      <c r="J7245">
        <v>-186.81649999999999</v>
      </c>
      <c r="K7245">
        <v>1.1066039999999999</v>
      </c>
      <c r="L7245">
        <v>118.2654</v>
      </c>
      <c r="M7245">
        <v>0.18908269999999999</v>
      </c>
      <c r="N7245">
        <v>0</v>
      </c>
      <c r="O7245">
        <v>0.98178799999999999</v>
      </c>
      <c r="P7245">
        <v>0.43680029999999997</v>
      </c>
      <c r="Q7245">
        <v>0.10828939999999999</v>
      </c>
      <c r="R7245">
        <v>0.89301679999999894</v>
      </c>
      <c r="S7245">
        <v>1.6359250000000001</v>
      </c>
      <c r="T7245">
        <v>-0.18970799999999999</v>
      </c>
      <c r="U7245">
        <v>2.5836640000000002</v>
      </c>
      <c r="V7245">
        <v>0.26119589999999998</v>
      </c>
      <c r="W7245">
        <v>0.1235385</v>
      </c>
      <c r="X7245">
        <v>0.95734790000000003</v>
      </c>
      <c r="Y7245">
        <v>0.36445719999999998</v>
      </c>
      <c r="Z7245">
        <v>-6.3014169999999994E-2</v>
      </c>
      <c r="AA7245">
        <v>0.92908570000000001</v>
      </c>
      <c r="AB7245">
        <v>29</v>
      </c>
      <c r="AC7245">
        <v>9.5039999999999907</v>
      </c>
      <c r="AD7245">
        <v>-1.106608967713</v>
      </c>
      <c r="AE7245">
        <v>14.882599999999901</v>
      </c>
      <c r="AF7245">
        <v>6.4924817573187399</v>
      </c>
      <c r="AG7245">
        <v>-1.106608967713</v>
      </c>
      <c r="AH7245">
        <v>16.347191351936299</v>
      </c>
      <c r="AI7245">
        <v>93.599950965813605</v>
      </c>
      <c r="AJ7245">
        <v>68.338909038918302</v>
      </c>
      <c r="AK7245">
        <v>17.624062184223</v>
      </c>
      <c r="AL7245">
        <v>82.903636386368902</v>
      </c>
      <c r="AM7245">
        <v>74.7392542210182</v>
      </c>
      <c r="AN7245">
        <v>1.00000003039673</v>
      </c>
    </row>
    <row r="7246" spans="1:40" x14ac:dyDescent="0.25">
      <c r="A7246" t="str">
        <f>"20190312173107216"</f>
        <v>20190312173107216</v>
      </c>
      <c r="B7246" t="str">
        <f>"1552383067204622"</f>
        <v>1552383067204622</v>
      </c>
      <c r="C7246" t="s">
        <v>40</v>
      </c>
      <c r="D7246">
        <v>3.3044169999999999</v>
      </c>
      <c r="E7246">
        <v>0.54769129999999999</v>
      </c>
      <c r="F7246" t="s">
        <v>51</v>
      </c>
      <c r="G7246">
        <v>-177.17269999999999</v>
      </c>
      <c r="H7246" s="1">
        <v>-4.9547920000000002E-6</v>
      </c>
      <c r="I7246">
        <v>133.36519999999999</v>
      </c>
      <c r="J7246">
        <v>-186.7818</v>
      </c>
      <c r="K7246">
        <v>1.106555</v>
      </c>
      <c r="L7246">
        <v>118.42959999999999</v>
      </c>
      <c r="M7246">
        <v>0.19185340000000001</v>
      </c>
      <c r="N7246">
        <v>0</v>
      </c>
      <c r="O7246">
        <v>0.98125289999999998</v>
      </c>
      <c r="P7246">
        <v>0.43987120000000002</v>
      </c>
      <c r="Q7246">
        <v>0.1083813</v>
      </c>
      <c r="R7246">
        <v>0.89149699999999998</v>
      </c>
      <c r="S7246">
        <v>1.645996</v>
      </c>
      <c r="T7246">
        <v>-0.1888746</v>
      </c>
      <c r="U7246">
        <v>2.5772089999999999</v>
      </c>
      <c r="V7246">
        <v>0.26180219999999998</v>
      </c>
      <c r="W7246">
        <v>0.123470899999999</v>
      </c>
      <c r="X7246">
        <v>0.95719100000000001</v>
      </c>
      <c r="Y7246">
        <v>0.36547299999999999</v>
      </c>
      <c r="Z7246">
        <v>-6.2745099999999998E-2</v>
      </c>
      <c r="AA7246">
        <v>0.9287048</v>
      </c>
      <c r="AB7246">
        <v>29</v>
      </c>
      <c r="AC7246">
        <v>9.6091000000000104</v>
      </c>
      <c r="AD7246">
        <v>-1.106559954792</v>
      </c>
      <c r="AE7246">
        <v>14.9355999999999</v>
      </c>
      <c r="AF7246">
        <v>6.5392247066130302</v>
      </c>
      <c r="AG7246">
        <v>-1.106559954792</v>
      </c>
      <c r="AH7246">
        <v>16.438087725491101</v>
      </c>
      <c r="AI7246">
        <v>93.579144956830802</v>
      </c>
      <c r="AJ7246">
        <v>68.306875630850797</v>
      </c>
      <c r="AK7246">
        <v>17.725593439094499</v>
      </c>
      <c r="AL7246">
        <v>82.907539479912998</v>
      </c>
      <c r="AM7246">
        <v>74.703097874381996</v>
      </c>
      <c r="AN7246">
        <v>1.0000000327763201</v>
      </c>
    </row>
    <row r="7247" spans="1:40" x14ac:dyDescent="0.25">
      <c r="A7247" t="str">
        <f>"20190312173107227"</f>
        <v>20190312173107227</v>
      </c>
      <c r="B7247" t="str">
        <f>"1552383067214382"</f>
        <v>1552383067214382</v>
      </c>
      <c r="C7247" t="s">
        <v>40</v>
      </c>
      <c r="D7247">
        <v>3.2951920000000001</v>
      </c>
      <c r="E7247">
        <v>0.54767109999999997</v>
      </c>
      <c r="F7247" t="s">
        <v>51</v>
      </c>
      <c r="G7247">
        <v>-177.0498</v>
      </c>
      <c r="H7247" s="1">
        <v>-4.9411570000000001E-6</v>
      </c>
      <c r="I7247">
        <v>133.55009999999999</v>
      </c>
      <c r="J7247">
        <v>-186.75190000000001</v>
      </c>
      <c r="K7247">
        <v>1.106509</v>
      </c>
      <c r="L7247">
        <v>118.5698</v>
      </c>
      <c r="M7247">
        <v>0.19423989999999999</v>
      </c>
      <c r="N7247">
        <v>0</v>
      </c>
      <c r="O7247">
        <v>0.98078540000000003</v>
      </c>
      <c r="P7247">
        <v>0.44247930000000002</v>
      </c>
      <c r="Q7247">
        <v>0.1084079</v>
      </c>
      <c r="R7247">
        <v>0.8902021</v>
      </c>
      <c r="S7247">
        <v>1.6550290000000001</v>
      </c>
      <c r="T7247">
        <v>-0.18818270000000001</v>
      </c>
      <c r="U7247">
        <v>2.571396</v>
      </c>
      <c r="V7247">
        <v>0.26228689999999999</v>
      </c>
      <c r="W7247">
        <v>0.1233616</v>
      </c>
      <c r="X7247">
        <v>0.95707240000000005</v>
      </c>
      <c r="Y7247">
        <v>0.36647950000000001</v>
      </c>
      <c r="Z7247">
        <v>-6.2522149999999999E-2</v>
      </c>
      <c r="AA7247">
        <v>0.92832309999999996</v>
      </c>
      <c r="AB7247">
        <v>29</v>
      </c>
      <c r="AC7247">
        <v>9.7020999999999997</v>
      </c>
      <c r="AD7247">
        <v>-1.106513941157</v>
      </c>
      <c r="AE7247">
        <v>14.9802999999999</v>
      </c>
      <c r="AF7247">
        <v>6.5817010504821303</v>
      </c>
      <c r="AG7247">
        <v>-1.106513941157</v>
      </c>
      <c r="AH7247">
        <v>16.5162539318593</v>
      </c>
      <c r="AI7247">
        <v>93.561260666078297</v>
      </c>
      <c r="AJ7247">
        <v>68.272796442536205</v>
      </c>
      <c r="AK7247">
        <v>17.813753275532701</v>
      </c>
      <c r="AL7247">
        <v>82.913850208958394</v>
      </c>
      <c r="AM7247">
        <v>74.674297781168093</v>
      </c>
      <c r="AN7247">
        <v>1.00000004055396</v>
      </c>
    </row>
    <row r="7248" spans="1:40" x14ac:dyDescent="0.25">
      <c r="A7248" t="str">
        <f>"20190312173107244"</f>
        <v>20190312173107244</v>
      </c>
      <c r="B7248" t="str">
        <f>"1552383067234881"</f>
        <v>1552383067234881</v>
      </c>
      <c r="C7248" t="s">
        <v>40</v>
      </c>
      <c r="D7248">
        <v>3.3054220000000001</v>
      </c>
      <c r="E7248">
        <v>0.54761919999999897</v>
      </c>
      <c r="F7248" t="s">
        <v>51</v>
      </c>
      <c r="G7248">
        <v>-176.95349999999999</v>
      </c>
      <c r="H7248" s="1">
        <v>-4.9307860000000003E-6</v>
      </c>
      <c r="I7248">
        <v>133.69579999999999</v>
      </c>
      <c r="J7248">
        <v>-186.70480000000001</v>
      </c>
      <c r="K7248">
        <v>1.1064320000000001</v>
      </c>
      <c r="L7248">
        <v>118.7872</v>
      </c>
      <c r="M7248">
        <v>0.1980046</v>
      </c>
      <c r="N7248">
        <v>0</v>
      </c>
      <c r="O7248">
        <v>0.98003549999999995</v>
      </c>
      <c r="P7248">
        <v>0.44665919999999998</v>
      </c>
      <c r="Q7248">
        <v>0.1086241</v>
      </c>
      <c r="R7248">
        <v>0.88808580000000004</v>
      </c>
      <c r="S7248">
        <v>1.6625369999999999</v>
      </c>
      <c r="T7248">
        <v>-0.1877472</v>
      </c>
      <c r="U7248">
        <v>2.5664980000000002</v>
      </c>
      <c r="V7248">
        <v>0.26313599999999998</v>
      </c>
      <c r="W7248">
        <v>0.1233635</v>
      </c>
      <c r="X7248">
        <v>0.956839</v>
      </c>
      <c r="Y7248">
        <v>0.36563449999999997</v>
      </c>
      <c r="Z7248">
        <v>-6.2370929999999998E-2</v>
      </c>
      <c r="AA7248">
        <v>0.9286664</v>
      </c>
      <c r="AB7248">
        <v>29</v>
      </c>
      <c r="AC7248">
        <v>9.7513000000000094</v>
      </c>
      <c r="AD7248">
        <v>-1.10643693078599</v>
      </c>
      <c r="AE7248">
        <v>14.9085999999999</v>
      </c>
      <c r="AF7248">
        <v>6.5803371439065304</v>
      </c>
      <c r="AG7248">
        <v>-1.10643693078599</v>
      </c>
      <c r="AH7248">
        <v>16.4808694561092</v>
      </c>
      <c r="AI7248">
        <v>93.567692713796006</v>
      </c>
      <c r="AJ7248">
        <v>68.234595256574096</v>
      </c>
      <c r="AK7248">
        <v>17.780441435425502</v>
      </c>
      <c r="AL7248">
        <v>82.913740147376004</v>
      </c>
      <c r="AM7248">
        <v>74.623455091218702</v>
      </c>
      <c r="AN7248">
        <v>0.99999998977462401</v>
      </c>
    </row>
    <row r="7249" spans="1:40" x14ac:dyDescent="0.25">
      <c r="A7249" t="str">
        <f>"20190312173107256"</f>
        <v>20190312173107256</v>
      </c>
      <c r="B7249" t="str">
        <f>"1552383067244639"</f>
        <v>1552383067244639</v>
      </c>
      <c r="C7249" t="s">
        <v>40</v>
      </c>
      <c r="D7249">
        <v>3.2761040000000001</v>
      </c>
      <c r="E7249">
        <v>0.54759380000000002</v>
      </c>
      <c r="F7249" t="s">
        <v>51</v>
      </c>
      <c r="G7249">
        <v>-176.77680000000001</v>
      </c>
      <c r="H7249" s="1">
        <v>-4.9097529999999997E-6</v>
      </c>
      <c r="I7249">
        <v>133.9581</v>
      </c>
      <c r="J7249">
        <v>-186.67019999999999</v>
      </c>
      <c r="K7249">
        <v>1.1063719999999999</v>
      </c>
      <c r="L7249">
        <v>118.9436</v>
      </c>
      <c r="M7249">
        <v>0.2007893</v>
      </c>
      <c r="N7249">
        <v>0</v>
      </c>
      <c r="O7249">
        <v>0.97947090000000003</v>
      </c>
      <c r="P7249">
        <v>0.44953599999999999</v>
      </c>
      <c r="Q7249">
        <v>0.108483</v>
      </c>
      <c r="R7249">
        <v>0.8866503</v>
      </c>
      <c r="S7249">
        <v>1.6744540000000001</v>
      </c>
      <c r="T7249">
        <v>-0.18661050000000001</v>
      </c>
      <c r="U7249">
        <v>2.558716</v>
      </c>
      <c r="V7249">
        <v>0.26352910000000002</v>
      </c>
      <c r="W7249">
        <v>0.1230724</v>
      </c>
      <c r="X7249">
        <v>0.95676830000000002</v>
      </c>
      <c r="Y7249">
        <v>0.36732490000000001</v>
      </c>
      <c r="Z7249">
        <v>-6.2004240000000002E-2</v>
      </c>
      <c r="AA7249">
        <v>0.92802370000000001</v>
      </c>
      <c r="AB7249">
        <v>29</v>
      </c>
      <c r="AC7249">
        <v>9.8933999999999802</v>
      </c>
      <c r="AD7249">
        <v>-1.1063769097529901</v>
      </c>
      <c r="AE7249">
        <v>15.0144999999999</v>
      </c>
      <c r="AF7249">
        <v>6.6514338336077499</v>
      </c>
      <c r="AG7249">
        <v>-1.1063769097529901</v>
      </c>
      <c r="AH7249">
        <v>16.632459083917201</v>
      </c>
      <c r="AI7249">
        <v>93.534295870568997</v>
      </c>
      <c r="AJ7249">
        <v>68.203193055836294</v>
      </c>
      <c r="AK7249">
        <v>17.947265448738399</v>
      </c>
      <c r="AL7249">
        <v>82.930547032553903</v>
      </c>
      <c r="AM7249">
        <v>74.600489641642</v>
      </c>
      <c r="AN7249">
        <v>0.99999999103672998</v>
      </c>
    </row>
    <row r="7250" spans="1:40" x14ac:dyDescent="0.25">
      <c r="A7250" t="str">
        <f>"20190312173107267"</f>
        <v>20190312173107267</v>
      </c>
      <c r="B7250" t="str">
        <f>"1552383067254398"</f>
        <v>1552383067254398</v>
      </c>
      <c r="C7250" t="s">
        <v>40</v>
      </c>
      <c r="D7250">
        <v>3.2870240000000002</v>
      </c>
      <c r="E7250">
        <v>0.54756689999999997</v>
      </c>
      <c r="F7250" t="s">
        <v>51</v>
      </c>
      <c r="G7250">
        <v>-176.69929999999999</v>
      </c>
      <c r="H7250" s="1">
        <v>-4.9003560000000002E-6</v>
      </c>
      <c r="I7250">
        <v>134.0727</v>
      </c>
      <c r="J7250">
        <v>-186.63900000000001</v>
      </c>
      <c r="K7250">
        <v>1.1063149999999999</v>
      </c>
      <c r="L7250">
        <v>119.0831</v>
      </c>
      <c r="M7250">
        <v>0.2032989</v>
      </c>
      <c r="N7250">
        <v>0</v>
      </c>
      <c r="O7250">
        <v>0.97895500000000002</v>
      </c>
      <c r="P7250">
        <v>0.45203979999999999</v>
      </c>
      <c r="Q7250">
        <v>0.1088414</v>
      </c>
      <c r="R7250">
        <v>0.88533249999999997</v>
      </c>
      <c r="S7250">
        <v>1.6827240000000001</v>
      </c>
      <c r="T7250">
        <v>-0.1867161</v>
      </c>
      <c r="U7250">
        <v>2.5532379999999999</v>
      </c>
      <c r="V7250">
        <v>0.26380740000000003</v>
      </c>
      <c r="W7250">
        <v>0.123297699999999</v>
      </c>
      <c r="X7250">
        <v>0.95666260000000003</v>
      </c>
      <c r="Y7250">
        <v>0.36795149999999999</v>
      </c>
      <c r="Z7250">
        <v>-6.2041989999999998E-2</v>
      </c>
      <c r="AA7250">
        <v>0.92777290000000001</v>
      </c>
      <c r="AB7250">
        <v>29</v>
      </c>
      <c r="AC7250">
        <v>9.9397000000000109</v>
      </c>
      <c r="AD7250">
        <v>-1.106319900356</v>
      </c>
      <c r="AE7250">
        <v>14.9895999999999</v>
      </c>
      <c r="AF7250">
        <v>6.6590131289737604</v>
      </c>
      <c r="AG7250">
        <v>-1.106319900356</v>
      </c>
      <c r="AH7250">
        <v>16.634579164288098</v>
      </c>
      <c r="AI7250">
        <v>93.533173032597205</v>
      </c>
      <c r="AJ7250">
        <v>68.183206891910302</v>
      </c>
      <c r="AK7250">
        <v>17.952036752043899</v>
      </c>
      <c r="AL7250">
        <v>82.917539276535194</v>
      </c>
      <c r="AM7250">
        <v>74.583377934989102</v>
      </c>
      <c r="AN7250">
        <v>0.99999999867940503</v>
      </c>
    </row>
    <row r="7251" spans="1:40" x14ac:dyDescent="0.25">
      <c r="A7251" t="str">
        <f>"20190312173107277"</f>
        <v>20190312173107277</v>
      </c>
      <c r="B7251" t="str">
        <f>"1552383067265134"</f>
        <v>1552383067265134</v>
      </c>
      <c r="C7251" t="s">
        <v>40</v>
      </c>
      <c r="D7251">
        <v>3.2879749999999999</v>
      </c>
      <c r="E7251">
        <v>0.54754309999999995</v>
      </c>
      <c r="F7251" t="s">
        <v>51</v>
      </c>
      <c r="G7251">
        <v>-176.5556</v>
      </c>
      <c r="H7251" s="1">
        <v>-4.8848110000000003E-6</v>
      </c>
      <c r="I7251">
        <v>134.29</v>
      </c>
      <c r="J7251">
        <v>-186.60939999999999</v>
      </c>
      <c r="K7251">
        <v>1.10626</v>
      </c>
      <c r="L7251">
        <v>119.2133</v>
      </c>
      <c r="M7251">
        <v>0.205683</v>
      </c>
      <c r="N7251">
        <v>0</v>
      </c>
      <c r="O7251">
        <v>0.97845850000000001</v>
      </c>
      <c r="P7251">
        <v>0.45434999999999998</v>
      </c>
      <c r="Q7251">
        <v>0.1089874</v>
      </c>
      <c r="R7251">
        <v>0.88413109999999995</v>
      </c>
      <c r="S7251">
        <v>1.689865</v>
      </c>
      <c r="T7251">
        <v>-0.18540690000000001</v>
      </c>
      <c r="U7251">
        <v>2.548508</v>
      </c>
      <c r="V7251">
        <v>0.26399450000000002</v>
      </c>
      <c r="W7251">
        <v>0.123320899999999</v>
      </c>
      <c r="X7251">
        <v>0.95660800000000001</v>
      </c>
      <c r="Y7251">
        <v>0.3683012</v>
      </c>
      <c r="Z7251">
        <v>-6.1608530000000002E-2</v>
      </c>
      <c r="AA7251">
        <v>0.92766300000000002</v>
      </c>
      <c r="AB7251">
        <v>29</v>
      </c>
      <c r="AC7251">
        <v>10.053799999999899</v>
      </c>
      <c r="AD7251">
        <v>-1.1062648848109999</v>
      </c>
      <c r="AE7251">
        <v>15.076699999999899</v>
      </c>
      <c r="AF7251">
        <v>6.7122461456185203</v>
      </c>
      <c r="AG7251">
        <v>-1.1062648848109999</v>
      </c>
      <c r="AH7251">
        <v>16.7599970195723</v>
      </c>
      <c r="AI7251">
        <v>93.506408002510696</v>
      </c>
      <c r="AJ7251">
        <v>68.174289142639694</v>
      </c>
      <c r="AK7251">
        <v>18.087995201536501</v>
      </c>
      <c r="AL7251">
        <v>82.916199822902001</v>
      </c>
      <c r="AM7251">
        <v>74.572126105367403</v>
      </c>
      <c r="AN7251">
        <v>1.0000000030355201</v>
      </c>
    </row>
    <row r="7252" spans="1:40" x14ac:dyDescent="0.25">
      <c r="A7252" t="str">
        <f>"20190312173107289"</f>
        <v>20190312173107289</v>
      </c>
      <c r="B7252" t="str">
        <f>"1552383067284655"</f>
        <v>1552383067284655</v>
      </c>
      <c r="C7252" t="s">
        <v>40</v>
      </c>
      <c r="D7252">
        <v>3.2828810000000002</v>
      </c>
      <c r="E7252">
        <v>0.54749289999999995</v>
      </c>
      <c r="F7252" t="s">
        <v>51</v>
      </c>
      <c r="G7252">
        <v>-176.4496</v>
      </c>
      <c r="H7252" s="1">
        <v>-4.8723599999999999E-6</v>
      </c>
      <c r="I7252">
        <v>134.4478</v>
      </c>
      <c r="J7252">
        <v>-186.57689999999999</v>
      </c>
      <c r="K7252">
        <v>1.106195</v>
      </c>
      <c r="L7252">
        <v>119.3548</v>
      </c>
      <c r="M7252">
        <v>0.20831640000000001</v>
      </c>
      <c r="N7252">
        <v>0</v>
      </c>
      <c r="O7252">
        <v>0.97790299999999997</v>
      </c>
      <c r="P7252">
        <v>0.45713690000000001</v>
      </c>
      <c r="Q7252">
        <v>0.109041</v>
      </c>
      <c r="R7252">
        <v>0.88268679999999999</v>
      </c>
      <c r="S7252">
        <v>1.696625</v>
      </c>
      <c r="T7252">
        <v>-0.1847385</v>
      </c>
      <c r="U7252">
        <v>2.5440520000000002</v>
      </c>
      <c r="V7252">
        <v>0.26445590000000002</v>
      </c>
      <c r="W7252">
        <v>0.1232376</v>
      </c>
      <c r="X7252">
        <v>0.95649130000000004</v>
      </c>
      <c r="Y7252">
        <v>0.36826320000000001</v>
      </c>
      <c r="Z7252">
        <v>-6.1383100000000003E-2</v>
      </c>
      <c r="AA7252">
        <v>0.92769299999999999</v>
      </c>
      <c r="AB7252">
        <v>29</v>
      </c>
      <c r="AC7252">
        <v>10.1272999999999</v>
      </c>
      <c r="AD7252">
        <v>-1.1061998723599999</v>
      </c>
      <c r="AE7252">
        <v>15.093</v>
      </c>
      <c r="AF7252">
        <v>6.73549685746862</v>
      </c>
      <c r="AG7252">
        <v>-1.1061998723599999</v>
      </c>
      <c r="AH7252">
        <v>16.809524412148601</v>
      </c>
      <c r="AI7252">
        <v>93.495652898450501</v>
      </c>
      <c r="AJ7252">
        <v>68.164257530360302</v>
      </c>
      <c r="AK7252">
        <v>18.1425110455306</v>
      </c>
      <c r="AL7252">
        <v>82.921009354255801</v>
      </c>
      <c r="AM7252">
        <v>74.544654266719306</v>
      </c>
      <c r="AN7252">
        <v>1.00000001803712</v>
      </c>
    </row>
    <row r="7253" spans="1:40" x14ac:dyDescent="0.25">
      <c r="A7253" t="str">
        <f>"20190312173107300"</f>
        <v>20190312173107300</v>
      </c>
      <c r="B7253" t="str">
        <f>"1552383067294414"</f>
        <v>1552383067294414</v>
      </c>
      <c r="C7253" t="s">
        <v>40</v>
      </c>
      <c r="D7253">
        <v>3.262734</v>
      </c>
      <c r="E7253">
        <v>0.54746139999999999</v>
      </c>
      <c r="F7253" t="s">
        <v>51</v>
      </c>
      <c r="G7253">
        <v>-176.3426</v>
      </c>
      <c r="H7253" s="1">
        <v>-4.8564629999999996E-6</v>
      </c>
      <c r="I7253">
        <v>134.59829999999999</v>
      </c>
      <c r="J7253">
        <v>-186.5412</v>
      </c>
      <c r="K7253">
        <v>1.1061209999999999</v>
      </c>
      <c r="L7253">
        <v>119.5085</v>
      </c>
      <c r="M7253">
        <v>0.2112194</v>
      </c>
      <c r="N7253">
        <v>0</v>
      </c>
      <c r="O7253">
        <v>0.97728199999999998</v>
      </c>
      <c r="P7253">
        <v>0.45994679999999999</v>
      </c>
      <c r="Q7253">
        <v>0.10925849999999999</v>
      </c>
      <c r="R7253">
        <v>0.88119890000000001</v>
      </c>
      <c r="S7253">
        <v>1.7044979999999901</v>
      </c>
      <c r="T7253">
        <v>-0.1842338</v>
      </c>
      <c r="U7253">
        <v>2.5387420000000001</v>
      </c>
      <c r="V7253">
        <v>0.26468999999999998</v>
      </c>
      <c r="W7253">
        <v>0.12331</v>
      </c>
      <c r="X7253">
        <v>0.95641719999999997</v>
      </c>
      <c r="Y7253">
        <v>0.36839040000000001</v>
      </c>
      <c r="Z7253">
        <v>-6.1213509999999999E-2</v>
      </c>
      <c r="AA7253">
        <v>0.92765370000000003</v>
      </c>
      <c r="AB7253">
        <v>29</v>
      </c>
      <c r="AC7253">
        <v>10.198600000000001</v>
      </c>
      <c r="AD7253">
        <v>-1.1061258564630001</v>
      </c>
      <c r="AE7253">
        <v>15.089799999999901</v>
      </c>
      <c r="AF7253">
        <v>6.7557696657132604</v>
      </c>
      <c r="AG7253">
        <v>-1.1061258564630001</v>
      </c>
      <c r="AH7253">
        <v>16.841601046359301</v>
      </c>
      <c r="AI7253">
        <v>93.488249101658397</v>
      </c>
      <c r="AJ7253">
        <v>68.142510392574493</v>
      </c>
      <c r="AK7253">
        <v>18.1797542335214</v>
      </c>
      <c r="AL7253">
        <v>82.916829173663501</v>
      </c>
      <c r="AM7253">
        <v>74.530486831621602</v>
      </c>
      <c r="AN7253">
        <v>1.00000000632792</v>
      </c>
    </row>
    <row r="7254" spans="1:40" x14ac:dyDescent="0.25">
      <c r="A7254" t="str">
        <f>"20190312173107311"</f>
        <v>20190312173107311</v>
      </c>
      <c r="B7254" t="str">
        <f>"1552383067305151"</f>
        <v>1552383067305151</v>
      </c>
      <c r="C7254" t="s">
        <v>40</v>
      </c>
      <c r="D7254">
        <v>3.2615319999999999</v>
      </c>
      <c r="E7254">
        <v>0.54743140000000001</v>
      </c>
      <c r="F7254" t="s">
        <v>51</v>
      </c>
      <c r="G7254">
        <v>-176.22049999999999</v>
      </c>
      <c r="H7254" s="1">
        <v>-4.84152499999999E-6</v>
      </c>
      <c r="I7254">
        <v>134.7782</v>
      </c>
      <c r="J7254">
        <v>-186.5093</v>
      </c>
      <c r="K7254">
        <v>1.1060509999999999</v>
      </c>
      <c r="L7254">
        <v>119.643</v>
      </c>
      <c r="M7254">
        <v>0.2138274</v>
      </c>
      <c r="N7254">
        <v>0</v>
      </c>
      <c r="O7254">
        <v>0.97671620000000003</v>
      </c>
      <c r="P7254">
        <v>0.46262449999999999</v>
      </c>
      <c r="Q7254">
        <v>0.1094228</v>
      </c>
      <c r="R7254">
        <v>0.87977559999999999</v>
      </c>
      <c r="S7254">
        <v>1.71232599999999</v>
      </c>
      <c r="T7254">
        <v>-0.1835203</v>
      </c>
      <c r="U7254">
        <v>2.5334469999999998</v>
      </c>
      <c r="V7254">
        <v>0.26507009999999998</v>
      </c>
      <c r="W7254">
        <v>0.12334729999999999</v>
      </c>
      <c r="X7254">
        <v>0.95630709999999997</v>
      </c>
      <c r="Y7254">
        <v>0.36878480000000002</v>
      </c>
      <c r="Z7254">
        <v>-6.0976389999999998E-2</v>
      </c>
      <c r="AA7254">
        <v>0.92751260000000002</v>
      </c>
      <c r="AB7254">
        <v>29</v>
      </c>
      <c r="AC7254">
        <v>10.2888</v>
      </c>
      <c r="AD7254">
        <v>-1.1060558415249999</v>
      </c>
      <c r="AE7254">
        <v>15.135199999999999</v>
      </c>
      <c r="AF7254">
        <v>6.7891529443629599</v>
      </c>
      <c r="AG7254">
        <v>-1.1060558415249999</v>
      </c>
      <c r="AH7254">
        <v>16.9235843679769</v>
      </c>
      <c r="AI7254">
        <v>93.4711379977782</v>
      </c>
      <c r="AJ7254">
        <v>68.141061501597207</v>
      </c>
      <c r="AK7254">
        <v>18.268105131254199</v>
      </c>
      <c r="AL7254">
        <v>82.914675497867407</v>
      </c>
      <c r="AM7254">
        <v>74.507640632454297</v>
      </c>
      <c r="AN7254">
        <v>0.99999999192085498</v>
      </c>
    </row>
    <row r="7255" spans="1:40" x14ac:dyDescent="0.25">
      <c r="A7255" t="str">
        <f>"20190312173107322"</f>
        <v>20190312173107322</v>
      </c>
      <c r="B7255" t="str">
        <f>"1552383067314910"</f>
        <v>1552383067314910</v>
      </c>
      <c r="C7255" t="s">
        <v>40</v>
      </c>
      <c r="D7255">
        <v>3.291436</v>
      </c>
      <c r="E7255">
        <v>0.54740080000000002</v>
      </c>
      <c r="F7255" t="s">
        <v>51</v>
      </c>
      <c r="G7255">
        <v>-176.11840000000001</v>
      </c>
      <c r="H7255" s="1">
        <v>-4.8256790000000003E-6</v>
      </c>
      <c r="I7255">
        <v>134.91999999999999</v>
      </c>
      <c r="J7255">
        <v>-186.47569999999999</v>
      </c>
      <c r="K7255">
        <v>1.105979</v>
      </c>
      <c r="L7255">
        <v>119.78400000000001</v>
      </c>
      <c r="M7255">
        <v>0.216581</v>
      </c>
      <c r="N7255">
        <v>0</v>
      </c>
      <c r="O7255">
        <v>0.9761109</v>
      </c>
      <c r="P7255">
        <v>0.46544920000000001</v>
      </c>
      <c r="Q7255">
        <v>0.10951039999999999</v>
      </c>
      <c r="R7255">
        <v>0.87827359999999899</v>
      </c>
      <c r="S7255">
        <v>1.7197420000000001</v>
      </c>
      <c r="T7255">
        <v>-0.18305769999999999</v>
      </c>
      <c r="U7255">
        <v>2.5284270000000002</v>
      </c>
      <c r="V7255">
        <v>0.26546950000000002</v>
      </c>
      <c r="W7255">
        <v>0.12330240000000001</v>
      </c>
      <c r="X7255">
        <v>0.95620210000000005</v>
      </c>
      <c r="Y7255">
        <v>0.3688863</v>
      </c>
      <c r="Z7255">
        <v>-6.0819079999999998E-2</v>
      </c>
      <c r="AA7255">
        <v>0.92748249999999999</v>
      </c>
      <c r="AB7255">
        <v>29</v>
      </c>
      <c r="AC7255">
        <v>10.357299999999899</v>
      </c>
      <c r="AD7255">
        <v>-1.105983825679</v>
      </c>
      <c r="AE7255">
        <v>15.1359999999999</v>
      </c>
      <c r="AF7255">
        <v>6.8079721704153098</v>
      </c>
      <c r="AG7255">
        <v>-1.105983825679</v>
      </c>
      <c r="AH7255">
        <v>16.958495029896199</v>
      </c>
      <c r="AI7255">
        <v>93.463445722964195</v>
      </c>
      <c r="AJ7255">
        <v>68.127052181852605</v>
      </c>
      <c r="AK7255">
        <v>18.307436712298902</v>
      </c>
      <c r="AL7255">
        <v>82.917267901360503</v>
      </c>
      <c r="AM7255">
        <v>74.483799282279804</v>
      </c>
      <c r="AN7255">
        <v>0.99999999666021</v>
      </c>
    </row>
    <row r="7256" spans="1:40" x14ac:dyDescent="0.25">
      <c r="A7256" t="str">
        <f>"20190312173107333"</f>
        <v>20190312173107333</v>
      </c>
      <c r="B7256" t="str">
        <f>"1552383067324670"</f>
        <v>1552383067324670</v>
      </c>
      <c r="C7256" t="s">
        <v>40</v>
      </c>
      <c r="D7256">
        <v>3.2547350000000002</v>
      </c>
      <c r="E7256">
        <v>0.547369199999999</v>
      </c>
      <c r="F7256" t="s">
        <v>51</v>
      </c>
      <c r="G7256">
        <v>-176.02350000000001</v>
      </c>
      <c r="H7256" s="1">
        <v>-4.8092980000000002E-6</v>
      </c>
      <c r="I7256">
        <v>135.04750000000001</v>
      </c>
      <c r="J7256">
        <v>-186.44409999999999</v>
      </c>
      <c r="K7256">
        <v>1.1059099999999999</v>
      </c>
      <c r="L7256">
        <v>119.9134</v>
      </c>
      <c r="M7256">
        <v>0.2191919</v>
      </c>
      <c r="N7256">
        <v>0</v>
      </c>
      <c r="O7256">
        <v>0.97552910000000004</v>
      </c>
      <c r="P7256">
        <v>0.46836939999999999</v>
      </c>
      <c r="Q7256">
        <v>0.1097721</v>
      </c>
      <c r="R7256">
        <v>0.87668699999999999</v>
      </c>
      <c r="S7256">
        <v>1.72769199999999</v>
      </c>
      <c r="T7256">
        <v>-0.18281320000000001</v>
      </c>
      <c r="U7256">
        <v>2.52298</v>
      </c>
      <c r="V7256">
        <v>0.26612350000000001</v>
      </c>
      <c r="W7256">
        <v>0.123442</v>
      </c>
      <c r="X7256">
        <v>0.95600220000000002</v>
      </c>
      <c r="Y7256">
        <v>0.36932619999999999</v>
      </c>
      <c r="Z7256">
        <v>-6.0736779999999997E-2</v>
      </c>
      <c r="AA7256">
        <v>0.9273129</v>
      </c>
      <c r="AB7256">
        <v>29</v>
      </c>
      <c r="AC7256">
        <v>10.420599999999901</v>
      </c>
      <c r="AD7256">
        <v>-1.105914809298</v>
      </c>
      <c r="AE7256">
        <v>15.1341</v>
      </c>
      <c r="AF7256">
        <v>6.8246247783063403</v>
      </c>
      <c r="AG7256">
        <v>-1.105914809298</v>
      </c>
      <c r="AH7256">
        <v>16.988864472229501</v>
      </c>
      <c r="AI7256">
        <v>93.456741119325699</v>
      </c>
      <c r="AJ7256">
        <v>68.1140970661653</v>
      </c>
      <c r="AK7256">
        <v>18.341757467207898</v>
      </c>
      <c r="AL7256">
        <v>82.909207328282704</v>
      </c>
      <c r="AM7256">
        <v>74.444327685829293</v>
      </c>
      <c r="AN7256">
        <v>0.99999992551054195</v>
      </c>
    </row>
    <row r="7257" spans="1:40" x14ac:dyDescent="0.25">
      <c r="A7257" t="str">
        <f>"20190312173107344"</f>
        <v>20190312173107344</v>
      </c>
      <c r="B7257" t="str">
        <f>"1552383067334430"</f>
        <v>1552383067334430</v>
      </c>
      <c r="C7257" t="s">
        <v>40</v>
      </c>
      <c r="D7257">
        <v>3.2836349999999999</v>
      </c>
      <c r="E7257">
        <v>0.54732749999999997</v>
      </c>
      <c r="F7257" t="s">
        <v>51</v>
      </c>
      <c r="G7257">
        <v>-175.89599999999999</v>
      </c>
      <c r="H7257" s="1">
        <v>-4.7843580000000004E-6</v>
      </c>
      <c r="I7257">
        <v>135.21100000000001</v>
      </c>
      <c r="J7257">
        <v>-186.40780000000001</v>
      </c>
      <c r="K7257">
        <v>1.105831</v>
      </c>
      <c r="L7257">
        <v>120.06140000000001</v>
      </c>
      <c r="M7257">
        <v>0.22219349999999999</v>
      </c>
      <c r="N7257">
        <v>0</v>
      </c>
      <c r="O7257">
        <v>0.97485129999999998</v>
      </c>
      <c r="P7257">
        <v>0.47142289999999998</v>
      </c>
      <c r="Q7257">
        <v>0.1101895</v>
      </c>
      <c r="R7257">
        <v>0.87499640000000001</v>
      </c>
      <c r="S7257">
        <v>1.735825</v>
      </c>
      <c r="T7257">
        <v>-0.18199309999999999</v>
      </c>
      <c r="U7257">
        <v>2.5174099999999999</v>
      </c>
      <c r="V7257">
        <v>0.26655299999999998</v>
      </c>
      <c r="W7257">
        <v>0.123725</v>
      </c>
      <c r="X7257">
        <v>0.95584599999999997</v>
      </c>
      <c r="Y7257">
        <v>0.36946590000000001</v>
      </c>
      <c r="Z7257">
        <v>-6.0459869999999999E-2</v>
      </c>
      <c r="AA7257">
        <v>0.92727539999999997</v>
      </c>
      <c r="AB7257">
        <v>29</v>
      </c>
      <c r="AC7257">
        <v>10.511799999999999</v>
      </c>
      <c r="AD7257">
        <v>-1.105835784358</v>
      </c>
      <c r="AE7257">
        <v>15.1496</v>
      </c>
      <c r="AF7257">
        <v>6.8576502327144704</v>
      </c>
      <c r="AG7257">
        <v>-1.105835784358</v>
      </c>
      <c r="AH7257">
        <v>17.045478540410201</v>
      </c>
      <c r="AI7257">
        <v>93.444324720221402</v>
      </c>
      <c r="AJ7257">
        <v>68.084341518391199</v>
      </c>
      <c r="AK7257">
        <v>18.406481960651799</v>
      </c>
      <c r="AL7257">
        <v>82.892867726900107</v>
      </c>
      <c r="AM7257">
        <v>74.418018347517801</v>
      </c>
      <c r="AN7257">
        <v>0.99999997657499895</v>
      </c>
    </row>
    <row r="7258" spans="1:40" x14ac:dyDescent="0.25">
      <c r="A7258" t="str">
        <f>"20190312173107356"</f>
        <v>20190312173107356</v>
      </c>
      <c r="B7258" t="str">
        <f>"1552383067345167"</f>
        <v>1552383067345167</v>
      </c>
      <c r="C7258" t="s">
        <v>40</v>
      </c>
      <c r="D7258">
        <v>3.2759900000000002</v>
      </c>
      <c r="E7258">
        <v>0.54729399999999995</v>
      </c>
      <c r="F7258" t="s">
        <v>51</v>
      </c>
      <c r="G7258">
        <v>-175.72900000000001</v>
      </c>
      <c r="H7258" s="1">
        <v>-4.755006E-6</v>
      </c>
      <c r="I7258">
        <v>135.43389999999999</v>
      </c>
      <c r="J7258">
        <v>-186.36859999999999</v>
      </c>
      <c r="K7258">
        <v>1.1057459999999999</v>
      </c>
      <c r="L7258">
        <v>120.2175</v>
      </c>
      <c r="M7258">
        <v>0.22545979999999999</v>
      </c>
      <c r="N7258">
        <v>0</v>
      </c>
      <c r="O7258">
        <v>0.97410240000000003</v>
      </c>
      <c r="P7258">
        <v>0.47490389999999999</v>
      </c>
      <c r="Q7258">
        <v>0.110238</v>
      </c>
      <c r="R7258">
        <v>0.87310589999999999</v>
      </c>
      <c r="S7258">
        <v>1.7445980000000001</v>
      </c>
      <c r="T7258">
        <v>-0.18066019999999999</v>
      </c>
      <c r="U7258">
        <v>2.5113979999999998</v>
      </c>
      <c r="V7258">
        <v>0.26718380000000003</v>
      </c>
      <c r="W7258">
        <v>0.1236351</v>
      </c>
      <c r="X7258">
        <v>0.95568149999999996</v>
      </c>
      <c r="Y7258">
        <v>0.36959320000000001</v>
      </c>
      <c r="Z7258">
        <v>-6.001128E-2</v>
      </c>
      <c r="AA7258">
        <v>0.92725369999999996</v>
      </c>
      <c r="AB7258">
        <v>29</v>
      </c>
      <c r="AC7258">
        <v>10.6395999999999</v>
      </c>
      <c r="AD7258">
        <v>-1.105750755006</v>
      </c>
      <c r="AE7258">
        <v>15.216399999999901</v>
      </c>
      <c r="AF7258">
        <v>6.9098800664243303</v>
      </c>
      <c r="AG7258">
        <v>-1.105750755006</v>
      </c>
      <c r="AH7258">
        <v>17.1627810484195</v>
      </c>
      <c r="AI7258">
        <v>93.420230589271398</v>
      </c>
      <c r="AJ7258">
        <v>68.069869317352598</v>
      </c>
      <c r="AK7258">
        <v>18.534567180825999</v>
      </c>
      <c r="AL7258">
        <v>82.898058461472402</v>
      </c>
      <c r="AM7258">
        <v>74.380384000037793</v>
      </c>
      <c r="AN7258">
        <v>0.99999997518834904</v>
      </c>
    </row>
    <row r="7259" spans="1:40" x14ac:dyDescent="0.25">
      <c r="A7259" t="str">
        <f>"20190312173107372"</f>
        <v>20190312173107372</v>
      </c>
      <c r="B7259" t="str">
        <f>"1552383067364686"</f>
        <v>1552383067364686</v>
      </c>
      <c r="C7259" t="s">
        <v>40</v>
      </c>
      <c r="D7259">
        <v>3.3420429999999999</v>
      </c>
      <c r="E7259">
        <v>0.54729649999999996</v>
      </c>
      <c r="F7259" t="s">
        <v>51</v>
      </c>
      <c r="G7259">
        <v>-175.62010000000001</v>
      </c>
      <c r="H7259" s="1">
        <v>-4.729754E-6</v>
      </c>
      <c r="I7259">
        <v>135.56299999999999</v>
      </c>
      <c r="J7259">
        <v>-186.3211</v>
      </c>
      <c r="K7259">
        <v>1.105642</v>
      </c>
      <c r="L7259">
        <v>120.40430000000001</v>
      </c>
      <c r="M7259">
        <v>0.22944310000000001</v>
      </c>
      <c r="N7259">
        <v>0</v>
      </c>
      <c r="O7259">
        <v>0.97317339999999997</v>
      </c>
      <c r="P7259">
        <v>0.47913499999999998</v>
      </c>
      <c r="Q7259">
        <v>0.1107964</v>
      </c>
      <c r="R7259">
        <v>0.8707203</v>
      </c>
      <c r="S7259">
        <v>1.7543029999999999</v>
      </c>
      <c r="T7259">
        <v>-0.1804733</v>
      </c>
      <c r="U7259">
        <v>2.5045929999999998</v>
      </c>
      <c r="V7259">
        <v>0.26796500000000001</v>
      </c>
      <c r="W7259">
        <v>0.124032</v>
      </c>
      <c r="X7259">
        <v>0.95541129999999996</v>
      </c>
      <c r="Y7259">
        <v>0.36938979999999999</v>
      </c>
      <c r="Z7259">
        <v>-5.9938709999999999E-2</v>
      </c>
      <c r="AA7259">
        <v>0.92733949999999998</v>
      </c>
      <c r="AB7259">
        <v>29</v>
      </c>
      <c r="AC7259">
        <v>10.700999999999899</v>
      </c>
      <c r="AD7259">
        <v>-1.105646729754</v>
      </c>
      <c r="AE7259">
        <v>15.1586999999999</v>
      </c>
      <c r="AF7259">
        <v>6.9123305089250504</v>
      </c>
      <c r="AG7259">
        <v>-1.105646729754</v>
      </c>
      <c r="AH7259">
        <v>17.148916121029199</v>
      </c>
      <c r="AI7259">
        <v>93.422113729916603</v>
      </c>
      <c r="AJ7259">
        <v>68.046779027817806</v>
      </c>
      <c r="AK7259">
        <v>18.5226372820322</v>
      </c>
      <c r="AL7259">
        <v>82.875141301641307</v>
      </c>
      <c r="AM7259">
        <v>74.332741251811299</v>
      </c>
      <c r="AN7259">
        <v>0.999999965208344</v>
      </c>
    </row>
    <row r="7260" spans="1:40" x14ac:dyDescent="0.25">
      <c r="A7260" t="str">
        <f>"20190312173107391"</f>
        <v>20190312173107391</v>
      </c>
      <c r="B7260" t="str">
        <f>"1552383067385182"</f>
        <v>1552383067385182</v>
      </c>
      <c r="C7260" t="s">
        <v>40</v>
      </c>
      <c r="D7260">
        <v>3.3352699999999902</v>
      </c>
      <c r="E7260">
        <v>0.57404309999999903</v>
      </c>
      <c r="F7260" t="s">
        <v>51</v>
      </c>
      <c r="G7260">
        <v>-175.40710000000001</v>
      </c>
      <c r="H7260" s="1">
        <v>-4.6824479999999999E-6</v>
      </c>
      <c r="I7260">
        <v>135.82130000000001</v>
      </c>
      <c r="J7260">
        <v>-186.26300000000001</v>
      </c>
      <c r="K7260">
        <v>1.1055250000000001</v>
      </c>
      <c r="L7260">
        <v>120.6279</v>
      </c>
      <c r="M7260">
        <v>0.23433090000000001</v>
      </c>
      <c r="N7260">
        <v>0</v>
      </c>
      <c r="O7260">
        <v>0.97200969999999998</v>
      </c>
      <c r="P7260">
        <v>0.48525370000000001</v>
      </c>
      <c r="Q7260">
        <v>0.1113871</v>
      </c>
      <c r="R7260">
        <v>0.86724950000000001</v>
      </c>
      <c r="S7260">
        <v>1.766907</v>
      </c>
      <c r="T7260">
        <v>-0.1789973</v>
      </c>
      <c r="U7260">
        <v>2.495911</v>
      </c>
      <c r="V7260">
        <v>0.26995439999999998</v>
      </c>
      <c r="W7260">
        <v>0.1244205</v>
      </c>
      <c r="X7260">
        <v>0.9548006</v>
      </c>
      <c r="Y7260">
        <v>0.36937989999999998</v>
      </c>
      <c r="Z7260">
        <v>-5.9433720000000002E-2</v>
      </c>
      <c r="AA7260">
        <v>0.92737590000000003</v>
      </c>
      <c r="AB7260">
        <v>29</v>
      </c>
      <c r="AC7260">
        <v>10.855899999999901</v>
      </c>
      <c r="AD7260">
        <v>-1.1055296824480001</v>
      </c>
      <c r="AE7260">
        <v>15.1934</v>
      </c>
      <c r="AF7260">
        <v>6.9683328879451798</v>
      </c>
      <c r="AG7260">
        <v>-1.1055296824480001</v>
      </c>
      <c r="AH7260">
        <v>17.254005487398501</v>
      </c>
      <c r="AI7260">
        <v>93.400029622951095</v>
      </c>
      <c r="AJ7260">
        <v>68.007816184102893</v>
      </c>
      <c r="AK7260">
        <v>18.6408305736405</v>
      </c>
      <c r="AL7260">
        <v>82.852708459670794</v>
      </c>
      <c r="AM7260">
        <v>74.2126092072414</v>
      </c>
      <c r="AN7260">
        <v>1.0000000123299799</v>
      </c>
    </row>
    <row r="7261" spans="1:40" x14ac:dyDescent="0.25">
      <c r="A7261" t="str">
        <f>"20190312173107405"</f>
        <v>20190312173107405</v>
      </c>
      <c r="B7261" t="str">
        <f>"1552383067394943"</f>
        <v>1552383067394943</v>
      </c>
      <c r="C7261" t="s">
        <v>40</v>
      </c>
      <c r="D7261">
        <v>3.3728479999999998</v>
      </c>
      <c r="E7261">
        <v>0.57834890000000005</v>
      </c>
      <c r="F7261" t="s">
        <v>51</v>
      </c>
      <c r="G7261">
        <v>-174.71019999999999</v>
      </c>
      <c r="H7261" s="1">
        <v>-3.7944160000000001E-6</v>
      </c>
      <c r="I7261">
        <v>134.57810000000001</v>
      </c>
      <c r="J7261">
        <v>-186.21449999999999</v>
      </c>
      <c r="K7261">
        <v>1.1054200000000001</v>
      </c>
      <c r="L7261">
        <v>120.8109</v>
      </c>
      <c r="M7261">
        <v>0.23842740000000001</v>
      </c>
      <c r="N7261">
        <v>0</v>
      </c>
      <c r="O7261">
        <v>0.97101420000000005</v>
      </c>
      <c r="P7261">
        <v>0.48989090000000002</v>
      </c>
      <c r="Q7261">
        <v>0.1121495</v>
      </c>
      <c r="R7261">
        <v>0.86453999999999998</v>
      </c>
      <c r="S7261">
        <v>1.9713290000000001</v>
      </c>
      <c r="T7261">
        <v>-0.1886446</v>
      </c>
      <c r="U7261">
        <v>2.3804319999999999</v>
      </c>
      <c r="V7261">
        <v>0.2711055</v>
      </c>
      <c r="W7261">
        <v>0.1250298</v>
      </c>
      <c r="X7261">
        <v>0.95439479999999999</v>
      </c>
      <c r="Y7261">
        <v>0.43449910000000003</v>
      </c>
      <c r="Z7261">
        <v>-6.2493340000000001E-2</v>
      </c>
      <c r="AA7261">
        <v>0.89850160000000001</v>
      </c>
      <c r="AB7261">
        <v>29</v>
      </c>
      <c r="AC7261">
        <v>11.504300000000001</v>
      </c>
      <c r="AD7261">
        <v>-1.1054237944159999</v>
      </c>
      <c r="AE7261">
        <v>13.767200000000001</v>
      </c>
      <c r="AF7261">
        <v>7.8596432104426599</v>
      </c>
      <c r="AG7261">
        <v>-1.1054237944159999</v>
      </c>
      <c r="AH7261">
        <v>16.052434269933901</v>
      </c>
      <c r="AI7261">
        <v>93.539109591430204</v>
      </c>
      <c r="AJ7261">
        <v>63.912560652596802</v>
      </c>
      <c r="AK7261">
        <v>17.907445355250001</v>
      </c>
      <c r="AL7261">
        <v>82.817523582513203</v>
      </c>
      <c r="AM7261">
        <v>74.1422661676812</v>
      </c>
      <c r="AN7261">
        <v>1.00000003864266</v>
      </c>
    </row>
    <row r="7262" spans="1:40" x14ac:dyDescent="0.25">
      <c r="A7262" t="str">
        <f>"20190312173107419"</f>
        <v>20190312173107419</v>
      </c>
      <c r="B7262" t="str">
        <f>"1552383067414462"</f>
        <v>1552383067414462</v>
      </c>
      <c r="C7262" t="s">
        <v>40</v>
      </c>
      <c r="D7262">
        <v>3.3725529999999999</v>
      </c>
      <c r="E7262">
        <v>0.58127519999999999</v>
      </c>
      <c r="F7262" t="s">
        <v>51</v>
      </c>
      <c r="G7262">
        <v>-174.8878</v>
      </c>
      <c r="H7262" s="1">
        <v>-3.6720909999999999E-6</v>
      </c>
      <c r="I7262">
        <v>134.04820000000001</v>
      </c>
      <c r="J7262">
        <v>-186.16419999999999</v>
      </c>
      <c r="K7262">
        <v>1.1053189999999999</v>
      </c>
      <c r="L7262">
        <v>120.99679999999999</v>
      </c>
      <c r="M7262">
        <v>0.2427068</v>
      </c>
      <c r="N7262">
        <v>0</v>
      </c>
      <c r="O7262">
        <v>0.96995450000000005</v>
      </c>
      <c r="P7262">
        <v>0.49462010000000001</v>
      </c>
      <c r="Q7262">
        <v>0.1124314</v>
      </c>
      <c r="R7262">
        <v>0.86180630000000003</v>
      </c>
      <c r="S7262">
        <v>2.0143430000000002</v>
      </c>
      <c r="T7262">
        <v>-0.19658890000000001</v>
      </c>
      <c r="U7262">
        <v>2.3541259999999999</v>
      </c>
      <c r="V7262">
        <v>0.27217049999999998</v>
      </c>
      <c r="W7262">
        <v>0.1251671</v>
      </c>
      <c r="X7262">
        <v>0.95407359999999997</v>
      </c>
      <c r="Y7262">
        <v>0.44486710000000002</v>
      </c>
      <c r="Z7262">
        <v>-6.5045370000000005E-2</v>
      </c>
      <c r="AA7262">
        <v>0.89323140000000001</v>
      </c>
      <c r="AB7262">
        <v>29</v>
      </c>
      <c r="AC7262">
        <v>11.276399999999899</v>
      </c>
      <c r="AD7262">
        <v>-1.1053226720910001</v>
      </c>
      <c r="AE7262">
        <v>13.051399999999999</v>
      </c>
      <c r="AF7262">
        <v>7.7392429120823802</v>
      </c>
      <c r="AG7262">
        <v>-1.1053226720910001</v>
      </c>
      <c r="AH7262">
        <v>15.3353138772978</v>
      </c>
      <c r="AI7262">
        <v>93.681734947490398</v>
      </c>
      <c r="AJ7262">
        <v>63.221381055930898</v>
      </c>
      <c r="AK7262">
        <v>17.2130610519134</v>
      </c>
      <c r="AL7262">
        <v>82.809594371212</v>
      </c>
      <c r="AM7262">
        <v>74.0780345163287</v>
      </c>
      <c r="AN7262">
        <v>1.0000000091048</v>
      </c>
    </row>
    <row r="7263" spans="1:40" x14ac:dyDescent="0.25">
      <c r="A7263" t="str">
        <f>"20190312173107434"</f>
        <v>20190312173107434</v>
      </c>
      <c r="B7263" t="str">
        <f>"1552383067425198"</f>
        <v>1552383067425198</v>
      </c>
      <c r="C7263" t="s">
        <v>40</v>
      </c>
      <c r="D7263">
        <v>3.3861829999999999</v>
      </c>
      <c r="E7263">
        <v>0.58198179999999999</v>
      </c>
      <c r="F7263" t="s">
        <v>51</v>
      </c>
      <c r="G7263">
        <v>-175.0941</v>
      </c>
      <c r="H7263" s="1">
        <v>-3.6277119999999999E-6</v>
      </c>
      <c r="I7263">
        <v>133.6045</v>
      </c>
      <c r="J7263">
        <v>-186.11369999999999</v>
      </c>
      <c r="K7263">
        <v>1.1052219999999999</v>
      </c>
      <c r="L7263">
        <v>121.1793</v>
      </c>
      <c r="M7263">
        <v>0.24700349999999999</v>
      </c>
      <c r="N7263">
        <v>0</v>
      </c>
      <c r="O7263">
        <v>0.96887020000000001</v>
      </c>
      <c r="P7263">
        <v>0.50051809999999997</v>
      </c>
      <c r="Q7263">
        <v>0.1128663</v>
      </c>
      <c r="R7263">
        <v>0.85833729999999997</v>
      </c>
      <c r="S7263">
        <v>2.0479430000000001</v>
      </c>
      <c r="T7263">
        <v>-0.20448230000000001</v>
      </c>
      <c r="U7263">
        <v>2.3323969999999998</v>
      </c>
      <c r="V7263">
        <v>0.27453680000000003</v>
      </c>
      <c r="W7263">
        <v>0.1254429</v>
      </c>
      <c r="X7263">
        <v>0.95335910000000001</v>
      </c>
      <c r="Y7263">
        <v>0.45218459999999999</v>
      </c>
      <c r="Z7263">
        <v>-6.7590979999999995E-2</v>
      </c>
      <c r="AA7263">
        <v>0.88935969999999998</v>
      </c>
      <c r="AB7263">
        <v>29</v>
      </c>
      <c r="AC7263">
        <v>11.019599999999899</v>
      </c>
      <c r="AD7263">
        <v>-1.1052256277119901</v>
      </c>
      <c r="AE7263">
        <v>12.4252</v>
      </c>
      <c r="AF7263">
        <v>7.5750109199780198</v>
      </c>
      <c r="AG7263">
        <v>-1.1052256277119901</v>
      </c>
      <c r="AH7263">
        <v>14.697260817109401</v>
      </c>
      <c r="AI7263">
        <v>93.824163804090205</v>
      </c>
      <c r="AJ7263">
        <v>62.733289994160501</v>
      </c>
      <c r="AK7263">
        <v>16.5714148355557</v>
      </c>
      <c r="AL7263">
        <v>82.793666407608896</v>
      </c>
      <c r="AM7263">
        <v>73.935298805111799</v>
      </c>
      <c r="AN7263">
        <v>0.99999997463372903</v>
      </c>
    </row>
    <row r="7264" spans="1:40" x14ac:dyDescent="0.25">
      <c r="A7264" t="str">
        <f>"20190312173107446"</f>
        <v>20190312173107446</v>
      </c>
      <c r="B7264" t="str">
        <f>"1552383067434958"</f>
        <v>1552383067434958</v>
      </c>
      <c r="C7264" t="s">
        <v>40</v>
      </c>
      <c r="D7264">
        <v>3.3270789999999999</v>
      </c>
      <c r="E7264">
        <v>0.58278779999999997</v>
      </c>
      <c r="F7264" t="s">
        <v>51</v>
      </c>
      <c r="G7264">
        <v>-174.93010000000001</v>
      </c>
      <c r="H7264" s="1">
        <v>-3.556285E-6</v>
      </c>
      <c r="I7264">
        <v>133.69370000000001</v>
      </c>
      <c r="J7264">
        <v>-186.0712</v>
      </c>
      <c r="K7264">
        <v>1.1051359999999999</v>
      </c>
      <c r="L7264">
        <v>121.331</v>
      </c>
      <c r="M7264">
        <v>0.25063570000000002</v>
      </c>
      <c r="N7264">
        <v>0</v>
      </c>
      <c r="O7264">
        <v>0.96793770000000001</v>
      </c>
      <c r="P7264">
        <v>0.50474579999999902</v>
      </c>
      <c r="Q7264">
        <v>0.113038</v>
      </c>
      <c r="R7264">
        <v>0.85583529999999997</v>
      </c>
      <c r="S7264">
        <v>2.0692140000000001</v>
      </c>
      <c r="T7264">
        <v>-0.20449030000000001</v>
      </c>
      <c r="U7264">
        <v>2.3154300000000001</v>
      </c>
      <c r="V7264">
        <v>0.27569850000000001</v>
      </c>
      <c r="W7264">
        <v>0.12549769999999999</v>
      </c>
      <c r="X7264">
        <v>0.95301659999999999</v>
      </c>
      <c r="Y7264">
        <v>0.45661980000000002</v>
      </c>
      <c r="Z7264">
        <v>-6.7602609999999994E-2</v>
      </c>
      <c r="AA7264">
        <v>0.88708980000000004</v>
      </c>
      <c r="AB7264">
        <v>29</v>
      </c>
      <c r="AC7264">
        <v>11.1410999999999</v>
      </c>
      <c r="AD7264">
        <v>-1.1051395562849999</v>
      </c>
      <c r="AE7264">
        <v>12.3627</v>
      </c>
      <c r="AF7264">
        <v>7.65267999207654</v>
      </c>
      <c r="AG7264">
        <v>-1.1051395562849999</v>
      </c>
      <c r="AH7264">
        <v>14.695929555489201</v>
      </c>
      <c r="AI7264">
        <v>93.815917845162801</v>
      </c>
      <c r="AJ7264">
        <v>62.492444402068401</v>
      </c>
      <c r="AK7264">
        <v>16.6058781761127</v>
      </c>
      <c r="AL7264">
        <v>82.790501683437597</v>
      </c>
      <c r="AM7264">
        <v>73.865354139112696</v>
      </c>
      <c r="AN7264">
        <v>0.99999998774154997</v>
      </c>
    </row>
    <row r="7265" spans="1:40" x14ac:dyDescent="0.25">
      <c r="A7265" t="str">
        <f>"20190312173107457"</f>
        <v>20190312173107457</v>
      </c>
      <c r="B7265" t="str">
        <f>"1552383067454478"</f>
        <v>1552383067454478</v>
      </c>
      <c r="C7265" t="s">
        <v>40</v>
      </c>
      <c r="D7265">
        <v>3.3601130000000001</v>
      </c>
      <c r="E7265">
        <v>0.58386019999999905</v>
      </c>
      <c r="F7265" t="s">
        <v>51</v>
      </c>
      <c r="G7265">
        <v>-174.78489999999999</v>
      </c>
      <c r="H7265" s="1">
        <v>-3.5257890000000001E-6</v>
      </c>
      <c r="I7265">
        <v>133.78290000000001</v>
      </c>
      <c r="J7265">
        <v>-186.03039999999999</v>
      </c>
      <c r="K7265">
        <v>1.105054</v>
      </c>
      <c r="L7265">
        <v>121.474</v>
      </c>
      <c r="M7265">
        <v>0.25414009999999998</v>
      </c>
      <c r="N7265">
        <v>0</v>
      </c>
      <c r="O7265">
        <v>0.96702410000000005</v>
      </c>
      <c r="P7265">
        <v>0.50902579999999997</v>
      </c>
      <c r="Q7265">
        <v>0.11305659999999999</v>
      </c>
      <c r="R7265">
        <v>0.853294199999999</v>
      </c>
      <c r="S7265">
        <v>2.0863800000000001</v>
      </c>
      <c r="T7265">
        <v>-0.2042959</v>
      </c>
      <c r="U7265">
        <v>2.3018489999999998</v>
      </c>
      <c r="V7265">
        <v>0.27704759999999901</v>
      </c>
      <c r="W7265">
        <v>0.1254036</v>
      </c>
      <c r="X7265">
        <v>0.95263770000000003</v>
      </c>
      <c r="Y7265">
        <v>0.45963910000000002</v>
      </c>
      <c r="Z7265">
        <v>-6.7534369999999996E-2</v>
      </c>
      <c r="AA7265">
        <v>0.8855343</v>
      </c>
      <c r="AB7265">
        <v>28</v>
      </c>
      <c r="AC7265">
        <v>11.2454999999999</v>
      </c>
      <c r="AD7265">
        <v>-1.1050575257889901</v>
      </c>
      <c r="AE7265">
        <v>12.3089</v>
      </c>
      <c r="AF7265">
        <v>7.7136713706142697</v>
      </c>
      <c r="AG7265">
        <v>-1.1050575257889901</v>
      </c>
      <c r="AH7265">
        <v>14.6984100964135</v>
      </c>
      <c r="AI7265">
        <v>93.808655688146601</v>
      </c>
      <c r="AJ7265">
        <v>62.309676901282401</v>
      </c>
      <c r="AK7265">
        <v>16.636259721207999</v>
      </c>
      <c r="AL7265">
        <v>82.795936321532395</v>
      </c>
      <c r="AM7265">
        <v>73.784429260861899</v>
      </c>
      <c r="AN7265">
        <v>1.0000000115100001</v>
      </c>
    </row>
    <row r="7266" spans="1:40" x14ac:dyDescent="0.25">
      <c r="A7266" t="str">
        <f>"20190312173107469"</f>
        <v>20190312173107469</v>
      </c>
      <c r="B7266" t="str">
        <f>"1552383067465215"</f>
        <v>1552383067465215</v>
      </c>
      <c r="C7266" t="s">
        <v>40</v>
      </c>
      <c r="D7266">
        <v>3.3382160000000001</v>
      </c>
      <c r="E7266">
        <v>0.58425109999999902</v>
      </c>
      <c r="F7266" t="s">
        <v>51</v>
      </c>
      <c r="G7266">
        <v>-174.709</v>
      </c>
      <c r="H7266" s="1">
        <v>-3.4876610000000001E-6</v>
      </c>
      <c r="I7266">
        <v>133.77119999999999</v>
      </c>
      <c r="J7266">
        <v>-185.99379999999999</v>
      </c>
      <c r="K7266">
        <v>1.1049770000000001</v>
      </c>
      <c r="L7266">
        <v>121.60039999999999</v>
      </c>
      <c r="M7266">
        <v>0.25729020000000002</v>
      </c>
      <c r="N7266">
        <v>0</v>
      </c>
      <c r="O7266">
        <v>0.96619129999999998</v>
      </c>
      <c r="P7266">
        <v>0.51284180000000001</v>
      </c>
      <c r="Q7266">
        <v>0.1132982</v>
      </c>
      <c r="R7266">
        <v>0.85097400000000001</v>
      </c>
      <c r="S7266">
        <v>2.105515</v>
      </c>
      <c r="T7266">
        <v>-0.20551469999999999</v>
      </c>
      <c r="U7266">
        <v>2.2869869999999999</v>
      </c>
      <c r="V7266">
        <v>0.27824490000000002</v>
      </c>
      <c r="W7266">
        <v>0.12554409999999999</v>
      </c>
      <c r="X7266">
        <v>0.95227019999999996</v>
      </c>
      <c r="Y7266">
        <v>0.46360600000000002</v>
      </c>
      <c r="Z7266">
        <v>-6.7929740000000002E-2</v>
      </c>
      <c r="AA7266">
        <v>0.88343359999999904</v>
      </c>
      <c r="AB7266">
        <v>28</v>
      </c>
      <c r="AC7266">
        <v>11.284799999999899</v>
      </c>
      <c r="AD7266">
        <v>-1.1049804876610001</v>
      </c>
      <c r="AE7266">
        <v>12.1708</v>
      </c>
      <c r="AF7266">
        <v>7.7386215240755503</v>
      </c>
      <c r="AG7266">
        <v>-1.1049804876610001</v>
      </c>
      <c r="AH7266">
        <v>14.6001026230708</v>
      </c>
      <c r="AI7266">
        <v>93.825697723108703</v>
      </c>
      <c r="AJ7266">
        <v>62.074672763767303</v>
      </c>
      <c r="AK7266">
        <v>16.561106290800598</v>
      </c>
      <c r="AL7266">
        <v>82.787822341383205</v>
      </c>
      <c r="AM7266">
        <v>73.712105867207299</v>
      </c>
      <c r="AN7266">
        <v>1.00000003961442</v>
      </c>
    </row>
    <row r="7267" spans="1:40" x14ac:dyDescent="0.25">
      <c r="A7267" t="str">
        <f>"20190312173107478"</f>
        <v>20190312173107478</v>
      </c>
      <c r="B7267" t="str">
        <f>"1552383067465215"</f>
        <v>1552383067465215</v>
      </c>
      <c r="C7267" t="s">
        <v>40</v>
      </c>
      <c r="D7267">
        <v>3.3382160000000001</v>
      </c>
      <c r="E7267">
        <v>0.58425109999999902</v>
      </c>
      <c r="F7267" t="s">
        <v>51</v>
      </c>
      <c r="G7267">
        <v>-174.53739999999999</v>
      </c>
      <c r="H7267" s="1">
        <v>-3.4623400000000001E-6</v>
      </c>
      <c r="I7267">
        <v>133.905</v>
      </c>
      <c r="J7267">
        <v>-185.9547</v>
      </c>
      <c r="K7267">
        <v>1.104897</v>
      </c>
      <c r="L7267">
        <v>121.7338</v>
      </c>
      <c r="M7267">
        <v>0.2606637</v>
      </c>
      <c r="N7267">
        <v>0</v>
      </c>
      <c r="O7267">
        <v>0.96528720000000001</v>
      </c>
      <c r="P7267">
        <v>0.51701940000000002</v>
      </c>
      <c r="Q7267">
        <v>0.1133044</v>
      </c>
      <c r="R7267">
        <v>0.84844159999999902</v>
      </c>
      <c r="S7267">
        <v>2.118805</v>
      </c>
      <c r="T7267">
        <v>-0.20436109999999999</v>
      </c>
      <c r="U7267">
        <v>2.275665</v>
      </c>
      <c r="V7267">
        <v>0.27962700000000001</v>
      </c>
      <c r="W7267">
        <v>0.12544149999999901</v>
      </c>
      <c r="X7267">
        <v>0.95187880000000002</v>
      </c>
      <c r="Y7267">
        <v>0.46548719999999999</v>
      </c>
      <c r="Z7267">
        <v>-6.7548919999999998E-2</v>
      </c>
      <c r="AA7267">
        <v>0.88247319999999996</v>
      </c>
      <c r="AB7267">
        <v>28</v>
      </c>
      <c r="AC7267">
        <v>11.417299999999999</v>
      </c>
      <c r="AD7267">
        <v>-1.1049004623400001</v>
      </c>
      <c r="AE7267">
        <v>12.171200000000001</v>
      </c>
      <c r="AF7267">
        <v>7.8152042867372602</v>
      </c>
      <c r="AG7267">
        <v>-1.1049004623400001</v>
      </c>
      <c r="AH7267">
        <v>14.662529860529601</v>
      </c>
      <c r="AI7267">
        <v>93.804516194259904</v>
      </c>
      <c r="AJ7267">
        <v>61.942153385009803</v>
      </c>
      <c r="AK7267">
        <v>16.6519670005089</v>
      </c>
      <c r="AL7267">
        <v>82.793747730072297</v>
      </c>
      <c r="AM7267">
        <v>73.629150785959098</v>
      </c>
      <c r="AN7267">
        <v>1.0000000394703401</v>
      </c>
    </row>
    <row r="7268" spans="1:40" x14ac:dyDescent="0.25">
      <c r="A7268" t="str">
        <f>"20190312173107490"</f>
        <v>20190312173107490</v>
      </c>
      <c r="B7268" t="str">
        <f>"1552383067484734"</f>
        <v>1552383067484734</v>
      </c>
      <c r="C7268" t="s">
        <v>40</v>
      </c>
      <c r="D7268">
        <v>3.3613930000000001</v>
      </c>
      <c r="E7268">
        <v>0.5844781</v>
      </c>
      <c r="F7268" t="s">
        <v>51</v>
      </c>
      <c r="G7268">
        <v>-174.4162</v>
      </c>
      <c r="H7268" s="1">
        <v>-3.4458269999999998E-6</v>
      </c>
      <c r="I7268">
        <v>134.00309999999999</v>
      </c>
      <c r="J7268">
        <v>-185.91300000000001</v>
      </c>
      <c r="K7268">
        <v>1.104805</v>
      </c>
      <c r="L7268">
        <v>121.87350000000001</v>
      </c>
      <c r="M7268">
        <v>0.26427299999999998</v>
      </c>
      <c r="N7268">
        <v>0</v>
      </c>
      <c r="O7268">
        <v>0.96430590000000005</v>
      </c>
      <c r="P7268">
        <v>0.52138569999999995</v>
      </c>
      <c r="Q7268">
        <v>0.1136224</v>
      </c>
      <c r="R7268">
        <v>0.84572269999999905</v>
      </c>
      <c r="S7268">
        <v>2.1301730000000001</v>
      </c>
      <c r="T7268">
        <v>-0.20397999999999999</v>
      </c>
      <c r="U7268">
        <v>2.265091</v>
      </c>
      <c r="V7268">
        <v>0.28101659999999901</v>
      </c>
      <c r="W7268">
        <v>0.12564439999999999</v>
      </c>
      <c r="X7268">
        <v>0.95144269999999997</v>
      </c>
      <c r="Y7268">
        <v>0.46659010000000001</v>
      </c>
      <c r="Z7268">
        <v>-6.7428219999999997E-2</v>
      </c>
      <c r="AA7268">
        <v>0.88189969999999995</v>
      </c>
      <c r="AB7268">
        <v>28</v>
      </c>
      <c r="AC7268">
        <v>11.496799999999901</v>
      </c>
      <c r="AD7268">
        <v>-1.104808445827</v>
      </c>
      <c r="AE7268">
        <v>12.1295999999999</v>
      </c>
      <c r="AF7268">
        <v>7.84769018339707</v>
      </c>
      <c r="AG7268">
        <v>-1.104808445827</v>
      </c>
      <c r="AH7268">
        <v>14.6728344814493</v>
      </c>
      <c r="AI7268">
        <v>93.798640345901902</v>
      </c>
      <c r="AJ7268">
        <v>61.860129809128701</v>
      </c>
      <c r="AK7268">
        <v>16.676297989558901</v>
      </c>
      <c r="AL7268">
        <v>82.782029623187299</v>
      </c>
      <c r="AM7268">
        <v>73.545051424101004</v>
      </c>
      <c r="AN7268">
        <v>1.0000000280551</v>
      </c>
    </row>
    <row r="7269" spans="1:40" x14ac:dyDescent="0.25">
      <c r="A7269" t="str">
        <f>"20190312173107501"</f>
        <v>20190312173107501</v>
      </c>
      <c r="B7269" t="str">
        <f>"1552383067494494"</f>
        <v>1552383067494494</v>
      </c>
      <c r="C7269" t="s">
        <v>40</v>
      </c>
      <c r="D7269">
        <v>3.3452989999999998</v>
      </c>
      <c r="E7269">
        <v>0.58443239999999996</v>
      </c>
      <c r="F7269" t="s">
        <v>51</v>
      </c>
      <c r="G7269">
        <v>-174.2362</v>
      </c>
      <c r="H7269" s="1">
        <v>-3.420611E-6</v>
      </c>
      <c r="I7269">
        <v>134.14699999999999</v>
      </c>
      <c r="J7269">
        <v>-185.87180000000001</v>
      </c>
      <c r="K7269">
        <v>1.1047119999999999</v>
      </c>
      <c r="L7269">
        <v>122.0104</v>
      </c>
      <c r="M7269">
        <v>0.26784530000000001</v>
      </c>
      <c r="N7269">
        <v>0</v>
      </c>
      <c r="O7269">
        <v>0.96332030000000002</v>
      </c>
      <c r="P7269">
        <v>0.52565419999999996</v>
      </c>
      <c r="Q7269">
        <v>0.1134833</v>
      </c>
      <c r="R7269">
        <v>0.84309500000000004</v>
      </c>
      <c r="S7269">
        <v>2.1435089999999999</v>
      </c>
      <c r="T7269">
        <v>-0.20280899999999999</v>
      </c>
      <c r="U7269">
        <v>2.2530359999999998</v>
      </c>
      <c r="V7269">
        <v>0.28232119999999999</v>
      </c>
      <c r="W7269">
        <v>0.12539320000000001</v>
      </c>
      <c r="X7269">
        <v>0.95108950000000003</v>
      </c>
      <c r="Y7269">
        <v>0.46842820000000002</v>
      </c>
      <c r="Z7269">
        <v>-6.7046830000000002E-2</v>
      </c>
      <c r="AA7269">
        <v>0.88095389999999996</v>
      </c>
      <c r="AB7269">
        <v>28</v>
      </c>
      <c r="AC7269">
        <v>11.6356</v>
      </c>
      <c r="AD7269">
        <v>-1.1047154206109999</v>
      </c>
      <c r="AE7269">
        <v>12.1366</v>
      </c>
      <c r="AF7269">
        <v>7.9249511292438202</v>
      </c>
      <c r="AG7269">
        <v>-1.1047154206109999</v>
      </c>
      <c r="AH7269">
        <v>14.746332414518699</v>
      </c>
      <c r="AI7269">
        <v>93.775408392519594</v>
      </c>
      <c r="AJ7269">
        <v>61.745595592785897</v>
      </c>
      <c r="AK7269">
        <v>16.777352778103101</v>
      </c>
      <c r="AL7269">
        <v>82.796536679972803</v>
      </c>
      <c r="AM7269">
        <v>73.467016556947598</v>
      </c>
      <c r="AN7269">
        <v>0.99999997579296396</v>
      </c>
    </row>
    <row r="7270" spans="1:40" x14ac:dyDescent="0.25">
      <c r="A7270" t="str">
        <f>"20190312173107514"</f>
        <v>20190312173107514</v>
      </c>
      <c r="B7270" t="str">
        <f>"1552383067505230"</f>
        <v>1552383067505230</v>
      </c>
      <c r="C7270" t="s">
        <v>40</v>
      </c>
      <c r="D7270">
        <v>3.3717549999999998</v>
      </c>
      <c r="E7270">
        <v>0.58451319999999996</v>
      </c>
      <c r="F7270" t="s">
        <v>51</v>
      </c>
      <c r="G7270">
        <v>-174.12190000000001</v>
      </c>
      <c r="H7270" s="1">
        <v>-3.4044910000000001E-6</v>
      </c>
      <c r="I7270">
        <v>134.2381</v>
      </c>
      <c r="J7270">
        <v>-185.8296</v>
      </c>
      <c r="K7270">
        <v>1.1046180000000001</v>
      </c>
      <c r="L7270">
        <v>122.14749999999999</v>
      </c>
      <c r="M7270">
        <v>0.2715244</v>
      </c>
      <c r="N7270">
        <v>0</v>
      </c>
      <c r="O7270">
        <v>0.96229019999999998</v>
      </c>
      <c r="P7270">
        <v>0.52968130000000002</v>
      </c>
      <c r="Q7270">
        <v>0.1135023</v>
      </c>
      <c r="R7270">
        <v>0.84056830000000005</v>
      </c>
      <c r="S7270">
        <v>2.1546020000000001</v>
      </c>
      <c r="T7270">
        <v>-0.2025737</v>
      </c>
      <c r="U7270">
        <v>2.2422179999999998</v>
      </c>
      <c r="V7270">
        <v>0.28326610000000002</v>
      </c>
      <c r="W7270">
        <v>0.12530659999999999</v>
      </c>
      <c r="X7270">
        <v>0.95082</v>
      </c>
      <c r="Y7270">
        <v>0.469447</v>
      </c>
      <c r="Z7270">
        <v>-6.6976190000000005E-2</v>
      </c>
      <c r="AA7270">
        <v>0.8804168</v>
      </c>
      <c r="AB7270">
        <v>28</v>
      </c>
      <c r="AC7270">
        <v>11.7076999999999</v>
      </c>
      <c r="AD7270">
        <v>-1.1046214044910001</v>
      </c>
      <c r="AE7270">
        <v>12.0906</v>
      </c>
      <c r="AF7270">
        <v>7.9501508695462499</v>
      </c>
      <c r="AG7270">
        <v>-1.1046214044910001</v>
      </c>
      <c r="AH7270">
        <v>14.7520592019657</v>
      </c>
      <c r="AI7270">
        <v>93.771272816508997</v>
      </c>
      <c r="AJ7270">
        <v>61.678971384316</v>
      </c>
      <c r="AK7270">
        <v>16.7942948049064</v>
      </c>
      <c r="AL7270">
        <v>82.801538477902</v>
      </c>
      <c r="AM7270">
        <v>73.410274779635799</v>
      </c>
      <c r="AN7270">
        <v>1.0000000499063799</v>
      </c>
    </row>
    <row r="7271" spans="1:40" x14ac:dyDescent="0.25">
      <c r="A7271" t="str">
        <f>"20190312173107524"</f>
        <v>20190312173107524</v>
      </c>
      <c r="B7271" t="str">
        <f>"1552383067514990"</f>
        <v>1552383067514990</v>
      </c>
      <c r="C7271" t="s">
        <v>40</v>
      </c>
      <c r="D7271">
        <v>3.362641</v>
      </c>
      <c r="E7271">
        <v>0.58444359999999995</v>
      </c>
      <c r="F7271" t="s">
        <v>51</v>
      </c>
      <c r="G7271">
        <v>-174.0335</v>
      </c>
      <c r="H7271" s="1">
        <v>-3.3892399999999999E-6</v>
      </c>
      <c r="I7271">
        <v>134.30109999999999</v>
      </c>
      <c r="J7271">
        <v>-185.7878</v>
      </c>
      <c r="K7271">
        <v>1.1045290000000001</v>
      </c>
      <c r="L7271">
        <v>122.282</v>
      </c>
      <c r="M7271">
        <v>0.27515719999999999</v>
      </c>
      <c r="N7271">
        <v>0</v>
      </c>
      <c r="O7271">
        <v>0.96125819999999995</v>
      </c>
      <c r="P7271">
        <v>0.53399730000000001</v>
      </c>
      <c r="Q7271">
        <v>0.1131578</v>
      </c>
      <c r="R7271">
        <v>0.83787969999999901</v>
      </c>
      <c r="S7271">
        <v>2.1658940000000002</v>
      </c>
      <c r="T7271">
        <v>-0.20282210000000001</v>
      </c>
      <c r="U7271">
        <v>2.2315670000000001</v>
      </c>
      <c r="V7271">
        <v>0.284576</v>
      </c>
      <c r="W7271">
        <v>0.1248515</v>
      </c>
      <c r="X7271">
        <v>0.95048860000000002</v>
      </c>
      <c r="Y7271">
        <v>0.47050419999999998</v>
      </c>
      <c r="Z7271">
        <v>-6.7057480000000003E-2</v>
      </c>
      <c r="AA7271">
        <v>0.87984609999999996</v>
      </c>
      <c r="AB7271">
        <v>28</v>
      </c>
      <c r="AC7271">
        <v>11.754300000000001</v>
      </c>
      <c r="AD7271">
        <v>-1.1045323892399901</v>
      </c>
      <c r="AE7271">
        <v>12.0190999999999</v>
      </c>
      <c r="AF7271">
        <v>7.9585048513769401</v>
      </c>
      <c r="AG7271">
        <v>-1.1045323892399901</v>
      </c>
      <c r="AH7271">
        <v>14.7261759717994</v>
      </c>
      <c r="AI7271">
        <v>93.775195116255404</v>
      </c>
      <c r="AJ7271">
        <v>61.611769065922402</v>
      </c>
      <c r="AK7271">
        <v>16.775519366644701</v>
      </c>
      <c r="AL7271">
        <v>82.827819734174895</v>
      </c>
      <c r="AM7271">
        <v>73.332315801517097</v>
      </c>
      <c r="AN7271">
        <v>0.99999998777910404</v>
      </c>
    </row>
    <row r="7272" spans="1:40" x14ac:dyDescent="0.25">
      <c r="A7272" t="str">
        <f>"20190312173107535"</f>
        <v>20190312173107535</v>
      </c>
      <c r="B7272" t="str">
        <f>"1552383067524751"</f>
        <v>1552383067524751</v>
      </c>
      <c r="C7272" t="s">
        <v>40</v>
      </c>
      <c r="D7272">
        <v>3.3567580000000001</v>
      </c>
      <c r="E7272">
        <v>0.58444569999999996</v>
      </c>
      <c r="F7272" t="s">
        <v>51</v>
      </c>
      <c r="G7272">
        <v>-173.9769</v>
      </c>
      <c r="H7272" s="1">
        <v>-3.3748610000000001E-6</v>
      </c>
      <c r="I7272">
        <v>134.3295</v>
      </c>
      <c r="J7272">
        <v>-185.7448</v>
      </c>
      <c r="K7272">
        <v>1.1044350000000001</v>
      </c>
      <c r="L7272">
        <v>122.41759999999999</v>
      </c>
      <c r="M7272">
        <v>0.27892899999999998</v>
      </c>
      <c r="N7272">
        <v>0</v>
      </c>
      <c r="O7272">
        <v>0.96017090000000005</v>
      </c>
      <c r="P7272">
        <v>0.53833940000000002</v>
      </c>
      <c r="Q7272">
        <v>0.1129373</v>
      </c>
      <c r="R7272">
        <v>0.83512629999999999</v>
      </c>
      <c r="S7272">
        <v>2.1769409999999998</v>
      </c>
      <c r="T7272">
        <v>-0.20358180000000001</v>
      </c>
      <c r="U7272">
        <v>2.2205349999999999</v>
      </c>
      <c r="V7272">
        <v>0.28579640000000001</v>
      </c>
      <c r="W7272">
        <v>0.1245241</v>
      </c>
      <c r="X7272">
        <v>0.95016529999999999</v>
      </c>
      <c r="Y7272">
        <v>0.4714467</v>
      </c>
      <c r="Z7272">
        <v>-6.7312789999999997E-2</v>
      </c>
      <c r="AA7272">
        <v>0.87932189999999999</v>
      </c>
      <c r="AB7272">
        <v>28</v>
      </c>
      <c r="AC7272">
        <v>11.7678999999999</v>
      </c>
      <c r="AD7272">
        <v>-1.104438374861</v>
      </c>
      <c r="AE7272">
        <v>11.911899999999999</v>
      </c>
      <c r="AF7272">
        <v>7.9431428826224604</v>
      </c>
      <c r="AG7272">
        <v>-1.104438374861</v>
      </c>
      <c r="AH7272">
        <v>14.658089000437499</v>
      </c>
      <c r="AI7272">
        <v>93.790044219914293</v>
      </c>
      <c r="AJ7272">
        <v>61.546964340252003</v>
      </c>
      <c r="AK7272">
        <v>16.708467198470601</v>
      </c>
      <c r="AL7272">
        <v>82.846725756081796</v>
      </c>
      <c r="AM7272">
        <v>73.259449771823597</v>
      </c>
      <c r="AN7272">
        <v>0.999999965528929</v>
      </c>
    </row>
    <row r="7273" spans="1:40" x14ac:dyDescent="0.25">
      <c r="A7273" t="str">
        <f>"20190312173107546"</f>
        <v>20190312173107546</v>
      </c>
      <c r="B7273" t="str">
        <f>"1552383067534511"</f>
        <v>1552383067534511</v>
      </c>
      <c r="C7273" t="s">
        <v>40</v>
      </c>
      <c r="D7273">
        <v>3.3547760000000002</v>
      </c>
      <c r="E7273">
        <v>0.5843467</v>
      </c>
      <c r="F7273" t="s">
        <v>51</v>
      </c>
      <c r="G7273">
        <v>-173.91650000000001</v>
      </c>
      <c r="H7273" s="1">
        <v>-3.3583289999999998E-6</v>
      </c>
      <c r="I7273">
        <v>134.35650000000001</v>
      </c>
      <c r="J7273">
        <v>-185.70410000000001</v>
      </c>
      <c r="K7273">
        <v>1.1043449999999999</v>
      </c>
      <c r="L7273">
        <v>122.5448</v>
      </c>
      <c r="M7273">
        <v>0.28249170000000001</v>
      </c>
      <c r="N7273">
        <v>0</v>
      </c>
      <c r="O7273">
        <v>0.95912920000000002</v>
      </c>
      <c r="P7273">
        <v>0.54249429999999998</v>
      </c>
      <c r="Q7273">
        <v>0.1127484</v>
      </c>
      <c r="R7273">
        <v>0.8324589</v>
      </c>
      <c r="S7273">
        <v>2.1885829999999999</v>
      </c>
      <c r="T7273">
        <v>-0.2043537</v>
      </c>
      <c r="U7273">
        <v>2.2090610000000002</v>
      </c>
      <c r="V7273">
        <v>0.28702149999999998</v>
      </c>
      <c r="W7273">
        <v>0.1242327</v>
      </c>
      <c r="X7273">
        <v>0.94983419999999996</v>
      </c>
      <c r="Y7273">
        <v>0.47278409999999899</v>
      </c>
      <c r="Z7273">
        <v>-6.7572409999999999E-2</v>
      </c>
      <c r="AA7273">
        <v>0.87858369999999997</v>
      </c>
      <c r="AB7273">
        <v>28</v>
      </c>
      <c r="AC7273">
        <v>11.7875999999999</v>
      </c>
      <c r="AD7273">
        <v>-1.1043483583289999</v>
      </c>
      <c r="AE7273">
        <v>11.8117</v>
      </c>
      <c r="AF7273">
        <v>7.9354438756657402</v>
      </c>
      <c r="AG7273">
        <v>-1.1043483583289999</v>
      </c>
      <c r="AH7273">
        <v>14.5968921934916</v>
      </c>
      <c r="AI7273">
        <v>93.802803852668802</v>
      </c>
      <c r="AJ7273">
        <v>61.469760059150097</v>
      </c>
      <c r="AK7273">
        <v>16.651129586571699</v>
      </c>
      <c r="AL7273">
        <v>82.863553059737598</v>
      </c>
      <c r="AM7273">
        <v>73.186199828631004</v>
      </c>
      <c r="AN7273">
        <v>1.00000005635058</v>
      </c>
    </row>
    <row r="7274" spans="1:40" x14ac:dyDescent="0.25">
      <c r="A7274" t="str">
        <f>"20190312173107556"</f>
        <v>20190312173107556</v>
      </c>
      <c r="B7274" t="str">
        <f>"1552383067545248"</f>
        <v>1552383067545248</v>
      </c>
      <c r="C7274" t="s">
        <v>40</v>
      </c>
      <c r="D7274">
        <v>3.3576069999999998</v>
      </c>
      <c r="E7274">
        <v>0.5842792</v>
      </c>
      <c r="F7274" t="s">
        <v>51</v>
      </c>
      <c r="G7274">
        <v>-173.85650000000001</v>
      </c>
      <c r="H7274" s="1">
        <v>-3.3444920000000001E-6</v>
      </c>
      <c r="I7274">
        <v>134.39009999999999</v>
      </c>
      <c r="J7274">
        <v>-185.65989999999999</v>
      </c>
      <c r="K7274">
        <v>1.104252</v>
      </c>
      <c r="L7274">
        <v>122.6801</v>
      </c>
      <c r="M7274">
        <v>0.28636919999999999</v>
      </c>
      <c r="N7274">
        <v>0</v>
      </c>
      <c r="O7274">
        <v>0.95797900000000002</v>
      </c>
      <c r="P7274">
        <v>0.54683890000000002</v>
      </c>
      <c r="Q7274">
        <v>0.1128792</v>
      </c>
      <c r="R7274">
        <v>0.82959369999999999</v>
      </c>
      <c r="S7274">
        <v>2.1989589999999999</v>
      </c>
      <c r="T7274">
        <v>-0.20497209999999999</v>
      </c>
      <c r="U7274">
        <v>2.198547</v>
      </c>
      <c r="V7274">
        <v>0.28818059999999901</v>
      </c>
      <c r="W7274">
        <v>0.1242606</v>
      </c>
      <c r="X7274">
        <v>0.94947950000000003</v>
      </c>
      <c r="Y7274">
        <v>0.47338540000000001</v>
      </c>
      <c r="Z7274">
        <v>-6.7774500000000001E-2</v>
      </c>
      <c r="AA7274">
        <v>0.87824419999999903</v>
      </c>
      <c r="AB7274">
        <v>28</v>
      </c>
      <c r="AC7274">
        <v>11.8033999999999</v>
      </c>
      <c r="AD7274">
        <v>-1.104255344492</v>
      </c>
      <c r="AE7274">
        <v>11.7099999999999</v>
      </c>
      <c r="AF7274">
        <v>7.9201603341662299</v>
      </c>
      <c r="AG7274">
        <v>-1.104255344492</v>
      </c>
      <c r="AH7274">
        <v>14.5359104830319</v>
      </c>
      <c r="AI7274">
        <v>93.816425254126301</v>
      </c>
      <c r="AJ7274">
        <v>61.4154234395182</v>
      </c>
      <c r="AK7274">
        <v>16.590389180349501</v>
      </c>
      <c r="AL7274">
        <v>82.861941892042296</v>
      </c>
      <c r="AM7274">
        <v>73.116206277151505</v>
      </c>
      <c r="AN7274">
        <v>1.00000003792448</v>
      </c>
    </row>
    <row r="7275" spans="1:40" x14ac:dyDescent="0.25">
      <c r="A7275" t="str">
        <f>"20190312173107569"</f>
        <v>20190312173107569</v>
      </c>
      <c r="B7275" t="str">
        <f>"1552383067555009"</f>
        <v>1552383067555009</v>
      </c>
      <c r="C7275" t="s">
        <v>40</v>
      </c>
      <c r="D7275">
        <v>3.3722769999999902</v>
      </c>
      <c r="E7275">
        <v>0.58417200000000002</v>
      </c>
      <c r="F7275" t="s">
        <v>51</v>
      </c>
      <c r="G7275">
        <v>-173.77699999999999</v>
      </c>
      <c r="H7275" s="1">
        <v>-3.3289599999999898E-6</v>
      </c>
      <c r="I7275">
        <v>134.44210000000001</v>
      </c>
      <c r="J7275">
        <v>-185.61160000000001</v>
      </c>
      <c r="K7275">
        <v>1.104155</v>
      </c>
      <c r="L7275">
        <v>122.8259</v>
      </c>
      <c r="M7275">
        <v>0.29060730000000001</v>
      </c>
      <c r="N7275">
        <v>0</v>
      </c>
      <c r="O7275">
        <v>0.9567021</v>
      </c>
      <c r="P7275">
        <v>0.55161159999999998</v>
      </c>
      <c r="Q7275">
        <v>0.1129728</v>
      </c>
      <c r="R7275">
        <v>0.82641509999999996</v>
      </c>
      <c r="S7275">
        <v>2.209946</v>
      </c>
      <c r="T7275">
        <v>-0.20536650000000001</v>
      </c>
      <c r="U7275">
        <v>2.1874690000000001</v>
      </c>
      <c r="V7275">
        <v>0.28948590000000002</v>
      </c>
      <c r="W7275">
        <v>0.12424449999999999</v>
      </c>
      <c r="X7275">
        <v>0.94908440000000005</v>
      </c>
      <c r="Y7275">
        <v>0.4738889</v>
      </c>
      <c r="Z7275">
        <v>-6.7897170000000007E-2</v>
      </c>
      <c r="AA7275">
        <v>0.877963099999999</v>
      </c>
      <c r="AB7275">
        <v>28</v>
      </c>
      <c r="AC7275">
        <v>11.834599999999901</v>
      </c>
      <c r="AD7275">
        <v>-1.1041583289599901</v>
      </c>
      <c r="AE7275">
        <v>11.616199999999999</v>
      </c>
      <c r="AF7275">
        <v>7.9124219773815696</v>
      </c>
      <c r="AG7275">
        <v>-1.1041583289599901</v>
      </c>
      <c r="AH7275">
        <v>14.490176905337201</v>
      </c>
      <c r="AI7275">
        <v>93.826197544473004</v>
      </c>
      <c r="AJ7275">
        <v>61.363067468246598</v>
      </c>
      <c r="AK7275">
        <v>16.546625453896301</v>
      </c>
      <c r="AL7275">
        <v>82.862871216009793</v>
      </c>
      <c r="AM7275">
        <v>73.037456916455795</v>
      </c>
      <c r="AN7275">
        <v>0.99999999020121</v>
      </c>
    </row>
    <row r="7276" spans="1:40" x14ac:dyDescent="0.25">
      <c r="A7276" t="str">
        <f>"20190312173107584"</f>
        <v>20190312173107584</v>
      </c>
      <c r="B7276" t="str">
        <f>"1552383067574526"</f>
        <v>1552383067574526</v>
      </c>
      <c r="C7276" t="s">
        <v>40</v>
      </c>
      <c r="D7276">
        <v>3.3502700000000001</v>
      </c>
      <c r="E7276">
        <v>0.58396380000000003</v>
      </c>
      <c r="F7276" t="s">
        <v>51</v>
      </c>
      <c r="G7276">
        <v>-173.65780000000001</v>
      </c>
      <c r="H7276" s="1">
        <v>-3.3091019999999998E-6</v>
      </c>
      <c r="I7276">
        <v>134.5291</v>
      </c>
      <c r="J7276">
        <v>-185.55279999999999</v>
      </c>
      <c r="K7276">
        <v>1.1040380000000001</v>
      </c>
      <c r="L7276">
        <v>123.00109999999999</v>
      </c>
      <c r="M7276">
        <v>0.29577880000000001</v>
      </c>
      <c r="N7276">
        <v>0</v>
      </c>
      <c r="O7276">
        <v>0.95511630000000003</v>
      </c>
      <c r="P7276">
        <v>0.55691389999999996</v>
      </c>
      <c r="Q7276">
        <v>0.113298</v>
      </c>
      <c r="R7276">
        <v>0.8228065</v>
      </c>
      <c r="S7276">
        <v>2.2217859999999998</v>
      </c>
      <c r="T7276">
        <v>-0.20522360000000001</v>
      </c>
      <c r="U7276">
        <v>2.1752009999999999</v>
      </c>
      <c r="V7276">
        <v>0.29050759999999998</v>
      </c>
      <c r="W7276">
        <v>0.1244503</v>
      </c>
      <c r="X7276">
        <v>0.94874530000000001</v>
      </c>
      <c r="Y7276">
        <v>0.4739449</v>
      </c>
      <c r="Z7276">
        <v>-6.7836129999999994E-2</v>
      </c>
      <c r="AA7276">
        <v>0.87793770000000004</v>
      </c>
      <c r="AB7276">
        <v>28</v>
      </c>
      <c r="AC7276">
        <v>11.8949999999999</v>
      </c>
      <c r="AD7276">
        <v>-1.1040413091019901</v>
      </c>
      <c r="AE7276">
        <v>11.528</v>
      </c>
      <c r="AF7276">
        <v>7.91726415234585</v>
      </c>
      <c r="AG7276">
        <v>-1.1040413091019901</v>
      </c>
      <c r="AH7276">
        <v>14.466550090778201</v>
      </c>
      <c r="AI7276">
        <v>93.830051126521397</v>
      </c>
      <c r="AJ7276">
        <v>61.308961606808403</v>
      </c>
      <c r="AK7276">
        <v>16.528250070688699</v>
      </c>
      <c r="AL7276">
        <v>82.850988254671094</v>
      </c>
      <c r="AM7276">
        <v>72.975313057649302</v>
      </c>
      <c r="AN7276">
        <v>1.00000009354996</v>
      </c>
    </row>
    <row r="7277" spans="1:40" x14ac:dyDescent="0.25">
      <c r="A7277" t="str">
        <f>"20190312173107596"</f>
        <v>20190312173107596</v>
      </c>
      <c r="B7277" t="str">
        <f>"1552383067585263"</f>
        <v>1552383067585263</v>
      </c>
      <c r="C7277" t="s">
        <v>40</v>
      </c>
      <c r="D7277">
        <v>3.3624390000000002</v>
      </c>
      <c r="E7277">
        <v>0.58379230000000004</v>
      </c>
      <c r="F7277" t="s">
        <v>51</v>
      </c>
      <c r="G7277">
        <v>-173.55279999999999</v>
      </c>
      <c r="H7277" s="1">
        <v>-3.2936169999999999E-6</v>
      </c>
      <c r="I7277">
        <v>134.61099999999999</v>
      </c>
      <c r="J7277">
        <v>-185.49870000000001</v>
      </c>
      <c r="K7277">
        <v>1.103939</v>
      </c>
      <c r="L7277">
        <v>123.158</v>
      </c>
      <c r="M7277">
        <v>0.30054229999999998</v>
      </c>
      <c r="N7277">
        <v>0</v>
      </c>
      <c r="O7277">
        <v>0.95362840000000004</v>
      </c>
      <c r="P7277">
        <v>0.56216929999999998</v>
      </c>
      <c r="Q7277">
        <v>0.1135458</v>
      </c>
      <c r="R7277">
        <v>0.81919039999999999</v>
      </c>
      <c r="S7277">
        <v>2.2345579999999998</v>
      </c>
      <c r="T7277">
        <v>-0.20558689999999999</v>
      </c>
      <c r="U7277">
        <v>2.1619109999999999</v>
      </c>
      <c r="V7277">
        <v>0.29189150000000003</v>
      </c>
      <c r="W7277">
        <v>0.1245856</v>
      </c>
      <c r="X7277">
        <v>0.9483026</v>
      </c>
      <c r="Y7277">
        <v>0.47475129999999999</v>
      </c>
      <c r="Z7277">
        <v>-6.794936E-2</v>
      </c>
      <c r="AA7277">
        <v>0.87749310000000003</v>
      </c>
      <c r="AB7277">
        <v>28</v>
      </c>
      <c r="AC7277">
        <v>11.9459</v>
      </c>
      <c r="AD7277">
        <v>-1.103942293617</v>
      </c>
      <c r="AE7277">
        <v>11.452999999999999</v>
      </c>
      <c r="AF7277">
        <v>7.9156777783134604</v>
      </c>
      <c r="AG7277">
        <v>-1.103942293617</v>
      </c>
      <c r="AH7277">
        <v>14.4497950389671</v>
      </c>
      <c r="AI7277">
        <v>93.833291087305398</v>
      </c>
      <c r="AJ7277">
        <v>61.2858279681233</v>
      </c>
      <c r="AK7277">
        <v>16.512819866572801</v>
      </c>
      <c r="AL7277">
        <v>82.843174804483894</v>
      </c>
      <c r="AM7277">
        <v>72.891415997016097</v>
      </c>
      <c r="AN7277">
        <v>1.00000002033318</v>
      </c>
    </row>
    <row r="7278" spans="1:40" x14ac:dyDescent="0.25">
      <c r="A7278" t="str">
        <f>"20190312173107612"</f>
        <v>20190312173107612</v>
      </c>
      <c r="B7278" t="str">
        <f>"1552383067604783"</f>
        <v>1552383067604783</v>
      </c>
      <c r="C7278" t="s">
        <v>40</v>
      </c>
      <c r="D7278">
        <v>3.3680479999999999</v>
      </c>
      <c r="E7278">
        <v>0.58353940000000004</v>
      </c>
      <c r="F7278" t="s">
        <v>51</v>
      </c>
      <c r="G7278">
        <v>-173.423</v>
      </c>
      <c r="H7278" s="1">
        <v>-3.2710399999999999E-6</v>
      </c>
      <c r="I7278">
        <v>134.70320000000001</v>
      </c>
      <c r="J7278">
        <v>-185.43260000000001</v>
      </c>
      <c r="K7278">
        <v>1.1038190000000001</v>
      </c>
      <c r="L7278">
        <v>123.3466</v>
      </c>
      <c r="M7278">
        <v>0.30636000000000002</v>
      </c>
      <c r="N7278">
        <v>0</v>
      </c>
      <c r="O7278">
        <v>0.95177560000000005</v>
      </c>
      <c r="P7278">
        <v>0.56971419999999995</v>
      </c>
      <c r="Q7278">
        <v>0.11416900000000001</v>
      </c>
      <c r="R7278">
        <v>0.81387419999999899</v>
      </c>
      <c r="S7278">
        <v>2.2472080000000001</v>
      </c>
      <c r="T7278">
        <v>-0.20543620000000001</v>
      </c>
      <c r="U7278">
        <v>2.1484830000000001</v>
      </c>
      <c r="V7278">
        <v>0.29493849999999999</v>
      </c>
      <c r="W7278">
        <v>0.1250483</v>
      </c>
      <c r="X7278">
        <v>0.94729830000000004</v>
      </c>
      <c r="Y7278">
        <v>0.47459000000000001</v>
      </c>
      <c r="Z7278">
        <v>-6.7877019999999996E-2</v>
      </c>
      <c r="AA7278">
        <v>0.87758590000000003</v>
      </c>
      <c r="AB7278">
        <v>28</v>
      </c>
      <c r="AC7278">
        <v>12.009600000000001</v>
      </c>
      <c r="AD7278">
        <v>-1.1038222710400001</v>
      </c>
      <c r="AE7278">
        <v>11.3566</v>
      </c>
      <c r="AF7278">
        <v>7.9169890089991402</v>
      </c>
      <c r="AG7278">
        <v>-1.1038222710400001</v>
      </c>
      <c r="AH7278">
        <v>14.425792831970201</v>
      </c>
      <c r="AI7278">
        <v>93.837616686415004</v>
      </c>
      <c r="AJ7278">
        <v>61.241672223582498</v>
      </c>
      <c r="AK7278">
        <v>16.4924418266544</v>
      </c>
      <c r="AL7278">
        <v>82.816454460555505</v>
      </c>
      <c r="AM7278">
        <v>72.706178840000504</v>
      </c>
      <c r="AN7278">
        <v>0.99999993264901199</v>
      </c>
    </row>
    <row r="7279" spans="1:40" x14ac:dyDescent="0.25">
      <c r="A7279" t="str">
        <f>"20190312173107623"</f>
        <v>20190312173107623</v>
      </c>
      <c r="B7279" t="str">
        <f>"1552383067614543"</f>
        <v>1552383067614543</v>
      </c>
      <c r="C7279" t="s">
        <v>40</v>
      </c>
      <c r="D7279">
        <v>3.3489460000000002</v>
      </c>
      <c r="E7279">
        <v>0.58339289999999999</v>
      </c>
      <c r="F7279" t="s">
        <v>51</v>
      </c>
      <c r="G7279">
        <v>-173.17769999999999</v>
      </c>
      <c r="H7279" s="1">
        <v>-3.223218E-6</v>
      </c>
      <c r="I7279">
        <v>134.8638</v>
      </c>
      <c r="J7279">
        <v>-185.3869</v>
      </c>
      <c r="K7279">
        <v>1.103737</v>
      </c>
      <c r="L7279">
        <v>123.4755</v>
      </c>
      <c r="M7279">
        <v>0.31037569999999998</v>
      </c>
      <c r="N7279">
        <v>0</v>
      </c>
      <c r="O7279">
        <v>0.95047380000000004</v>
      </c>
      <c r="P7279">
        <v>0.57425859999999995</v>
      </c>
      <c r="Q7279">
        <v>0.1143475</v>
      </c>
      <c r="R7279">
        <v>0.81064899999999995</v>
      </c>
      <c r="S7279">
        <v>2.26532</v>
      </c>
      <c r="T7279">
        <v>-0.20404169999999999</v>
      </c>
      <c r="U7279">
        <v>2.128952</v>
      </c>
      <c r="V7279">
        <v>0.29627550000000002</v>
      </c>
      <c r="W7279">
        <v>0.12513299999999999</v>
      </c>
      <c r="X7279">
        <v>0.94686990000000004</v>
      </c>
      <c r="Y7279">
        <v>0.47841250000000002</v>
      </c>
      <c r="Z7279">
        <v>-6.7452910000000005E-2</v>
      </c>
      <c r="AA7279">
        <v>0.87554069999999995</v>
      </c>
      <c r="AB7279">
        <v>28</v>
      </c>
      <c r="AC7279">
        <v>12.209199999999999</v>
      </c>
      <c r="AD7279">
        <v>-1.103740223218</v>
      </c>
      <c r="AE7279">
        <v>11.388299999999999</v>
      </c>
      <c r="AF7279">
        <v>8.0358299780897795</v>
      </c>
      <c r="AG7279">
        <v>-1.103740223218</v>
      </c>
      <c r="AH7279">
        <v>14.552071077658701</v>
      </c>
      <c r="AI7279">
        <v>93.798680208430397</v>
      </c>
      <c r="AJ7279">
        <v>61.091988160593999</v>
      </c>
      <c r="AK7279">
        <v>16.659999356733099</v>
      </c>
      <c r="AL7279">
        <v>82.811563744451902</v>
      </c>
      <c r="AM7279">
        <v>72.625103480578602</v>
      </c>
      <c r="AN7279">
        <v>1.0000000235576201</v>
      </c>
    </row>
    <row r="7280" spans="1:40" x14ac:dyDescent="0.25">
      <c r="A7280" t="str">
        <f>"20190312173107634"</f>
        <v>20190312173107634</v>
      </c>
      <c r="B7280" t="str">
        <f>"1552383067625279"</f>
        <v>1552383067625279</v>
      </c>
      <c r="C7280" t="s">
        <v>40</v>
      </c>
      <c r="D7280">
        <v>3.3689840000000002</v>
      </c>
      <c r="E7280">
        <v>0.58329529999999996</v>
      </c>
      <c r="F7280" t="s">
        <v>51</v>
      </c>
      <c r="G7280">
        <v>-173.07320000000001</v>
      </c>
      <c r="H7280" s="1">
        <v>-3.2010119999999998E-6</v>
      </c>
      <c r="I7280">
        <v>134.9273</v>
      </c>
      <c r="J7280">
        <v>-185.3374</v>
      </c>
      <c r="K7280">
        <v>1.103648</v>
      </c>
      <c r="L7280">
        <v>123.61150000000001</v>
      </c>
      <c r="M7280">
        <v>0.3147297</v>
      </c>
      <c r="N7280">
        <v>0</v>
      </c>
      <c r="O7280">
        <v>0.94904109999999997</v>
      </c>
      <c r="P7280">
        <v>0.57908190000000004</v>
      </c>
      <c r="Q7280">
        <v>0.11450539999999899</v>
      </c>
      <c r="R7280">
        <v>0.80718819999999902</v>
      </c>
      <c r="S7280">
        <v>2.2763059999999999</v>
      </c>
      <c r="T7280">
        <v>-0.204038</v>
      </c>
      <c r="U7280">
        <v>2.1169889999999998</v>
      </c>
      <c r="V7280">
        <v>0.29761759999999998</v>
      </c>
      <c r="W7280">
        <v>0.1251969</v>
      </c>
      <c r="X7280">
        <v>0.94644050000000002</v>
      </c>
      <c r="Y7280">
        <v>0.47896430000000001</v>
      </c>
      <c r="Z7280">
        <v>-6.7440849999999997E-2</v>
      </c>
      <c r="AA7280">
        <v>0.87523989999999996</v>
      </c>
      <c r="AB7280">
        <v>28</v>
      </c>
      <c r="AC7280">
        <v>12.264199999999899</v>
      </c>
      <c r="AD7280">
        <v>-1.1036512010120001</v>
      </c>
      <c r="AE7280">
        <v>11.3157999999999</v>
      </c>
      <c r="AF7280">
        <v>8.0437017150995693</v>
      </c>
      <c r="AG7280">
        <v>-1.1036512010120001</v>
      </c>
      <c r="AH7280">
        <v>14.5374204542776</v>
      </c>
      <c r="AI7280">
        <v>93.800429462692705</v>
      </c>
      <c r="AJ7280">
        <v>61.043801094571201</v>
      </c>
      <c r="AK7280">
        <v>16.650999270897799</v>
      </c>
      <c r="AL7280">
        <v>82.807873786316705</v>
      </c>
      <c r="AM7280">
        <v>72.543728267411893</v>
      </c>
      <c r="AN7280">
        <v>1.0000000598198</v>
      </c>
    </row>
    <row r="7281" spans="1:40" x14ac:dyDescent="0.25">
      <c r="A7281" t="str">
        <f>"20190312173107646"</f>
        <v>20190312173107646</v>
      </c>
      <c r="B7281" t="str">
        <f>"1552383067635039"</f>
        <v>1552383067635039</v>
      </c>
      <c r="C7281" t="s">
        <v>40</v>
      </c>
      <c r="D7281">
        <v>3.458126</v>
      </c>
      <c r="E7281">
        <v>0.58346390000000004</v>
      </c>
      <c r="F7281" t="s">
        <v>51</v>
      </c>
      <c r="G7281">
        <v>-172.9616</v>
      </c>
      <c r="H7281" s="1">
        <v>-3.1757029999999998E-6</v>
      </c>
      <c r="I7281">
        <v>134.99109999999999</v>
      </c>
      <c r="J7281">
        <v>-185.2884</v>
      </c>
      <c r="K7281">
        <v>1.103564</v>
      </c>
      <c r="L7281">
        <v>123.74509999999999</v>
      </c>
      <c r="M7281">
        <v>0.31903310000000001</v>
      </c>
      <c r="N7281">
        <v>0</v>
      </c>
      <c r="O7281">
        <v>0.94760319999999998</v>
      </c>
      <c r="P7281">
        <v>0.58414549999999998</v>
      </c>
      <c r="Q7281">
        <v>0.1145777</v>
      </c>
      <c r="R7281">
        <v>0.80352100000000004</v>
      </c>
      <c r="S7281">
        <v>2.2881619999999998</v>
      </c>
      <c r="T7281">
        <v>-0.20405400000000001</v>
      </c>
      <c r="U7281">
        <v>2.1039889999999999</v>
      </c>
      <c r="V7281">
        <v>0.29930519999999999</v>
      </c>
      <c r="W7281">
        <v>0.125168</v>
      </c>
      <c r="X7281">
        <v>0.94591190000000003</v>
      </c>
      <c r="Y7281">
        <v>0.4799369</v>
      </c>
      <c r="Z7281">
        <v>-6.7439120000000005E-2</v>
      </c>
      <c r="AA7281">
        <v>0.87470709999999996</v>
      </c>
      <c r="AB7281">
        <v>28</v>
      </c>
      <c r="AC7281">
        <v>12.326799999999899</v>
      </c>
      <c r="AD7281">
        <v>-1.1035671757029999</v>
      </c>
      <c r="AE7281">
        <v>11.245999999999899</v>
      </c>
      <c r="AF7281">
        <v>8.0588949278711208</v>
      </c>
      <c r="AG7281">
        <v>-1.1035671757029999</v>
      </c>
      <c r="AH7281">
        <v>14.5277972988378</v>
      </c>
      <c r="AI7281">
        <v>93.800381539660606</v>
      </c>
      <c r="AJ7281">
        <v>60.981885502973597</v>
      </c>
      <c r="AK7281">
        <v>16.649941210883501</v>
      </c>
      <c r="AL7281">
        <v>82.809542162503107</v>
      </c>
      <c r="AM7281">
        <v>72.441600435591297</v>
      </c>
      <c r="AN7281">
        <v>0.99999997676632402</v>
      </c>
    </row>
    <row r="7282" spans="1:40" x14ac:dyDescent="0.25">
      <c r="A7282" t="str">
        <f>"20190312173107657"</f>
        <v>20190312173107657</v>
      </c>
      <c r="B7282" t="str">
        <f>"1552383067644798"</f>
        <v>1552383067644798</v>
      </c>
      <c r="C7282" t="s">
        <v>40</v>
      </c>
      <c r="D7282">
        <v>3.4719570000000002</v>
      </c>
      <c r="E7282">
        <v>0.58346390000000004</v>
      </c>
      <c r="F7282" t="s">
        <v>51</v>
      </c>
      <c r="G7282">
        <v>-172.82339999999999</v>
      </c>
      <c r="H7282" s="1">
        <v>-3.1380779999999999E-6</v>
      </c>
      <c r="I7282">
        <v>135.05350000000001</v>
      </c>
      <c r="J7282">
        <v>-185.23830000000001</v>
      </c>
      <c r="K7282">
        <v>1.1034790000000001</v>
      </c>
      <c r="L7282">
        <v>123.8789</v>
      </c>
      <c r="M7282">
        <v>0.3234263</v>
      </c>
      <c r="N7282">
        <v>0</v>
      </c>
      <c r="O7282">
        <v>0.94611279999999998</v>
      </c>
      <c r="P7282">
        <v>0.58908769999999999</v>
      </c>
      <c r="Q7282">
        <v>0.1145391</v>
      </c>
      <c r="R7282">
        <v>0.79991029999999996</v>
      </c>
      <c r="S7282">
        <v>2.3024290000000001</v>
      </c>
      <c r="T7282">
        <v>-0.20384169999999999</v>
      </c>
      <c r="U7282">
        <v>2.0887910000000001</v>
      </c>
      <c r="V7282">
        <v>0.3007724</v>
      </c>
      <c r="W7282">
        <v>0.12503549999999999</v>
      </c>
      <c r="X7282">
        <v>0.94546399999999997</v>
      </c>
      <c r="Y7282">
        <v>0.48173709999999997</v>
      </c>
      <c r="Z7282">
        <v>-6.7362569999999997E-2</v>
      </c>
      <c r="AA7282">
        <v>0.87372289999999997</v>
      </c>
      <c r="AB7282">
        <v>28</v>
      </c>
      <c r="AC7282">
        <v>12.414899999999999</v>
      </c>
      <c r="AD7282">
        <v>-1.103482138078</v>
      </c>
      <c r="AE7282">
        <v>11.1746</v>
      </c>
      <c r="AF7282">
        <v>8.0974773965918594</v>
      </c>
      <c r="AG7282">
        <v>-1.103482138078</v>
      </c>
      <c r="AH7282">
        <v>14.526279367792601</v>
      </c>
      <c r="AI7282">
        <v>93.796119814299104</v>
      </c>
      <c r="AJ7282">
        <v>60.863111786726101</v>
      </c>
      <c r="AK7282">
        <v>16.6673214791258</v>
      </c>
      <c r="AL7282">
        <v>82.817194452724706</v>
      </c>
      <c r="AM7282">
        <v>72.353015519517996</v>
      </c>
      <c r="AN7282">
        <v>1.000000044079</v>
      </c>
    </row>
    <row r="7283" spans="1:40" x14ac:dyDescent="0.25">
      <c r="A7283" t="str">
        <f>"20190312173107668"</f>
        <v>20190312173107668</v>
      </c>
      <c r="B7283" t="str">
        <f>"1552383067664319"</f>
        <v>1552383067664319</v>
      </c>
      <c r="C7283" t="s">
        <v>40</v>
      </c>
      <c r="D7283">
        <v>3.4147129999999999</v>
      </c>
      <c r="E7283">
        <v>0.61313609999999996</v>
      </c>
      <c r="F7283" t="s">
        <v>51</v>
      </c>
      <c r="G7283">
        <v>-172.71510000000001</v>
      </c>
      <c r="H7283" s="1">
        <v>-3.1080639999999998E-6</v>
      </c>
      <c r="I7283">
        <v>135.1009</v>
      </c>
      <c r="J7283">
        <v>-185.1917</v>
      </c>
      <c r="K7283">
        <v>1.103405</v>
      </c>
      <c r="L7283">
        <v>124.00190000000001</v>
      </c>
      <c r="M7283">
        <v>0.32750629999999997</v>
      </c>
      <c r="N7283">
        <v>0</v>
      </c>
      <c r="O7283">
        <v>0.94470829999999995</v>
      </c>
      <c r="P7283">
        <v>0.59398419999999996</v>
      </c>
      <c r="Q7283">
        <v>0.114369</v>
      </c>
      <c r="R7283">
        <v>0.7963055</v>
      </c>
      <c r="S7283">
        <v>2.3151860000000002</v>
      </c>
      <c r="T7283">
        <v>-0.20400270000000001</v>
      </c>
      <c r="U7283">
        <v>2.0746310000000001</v>
      </c>
      <c r="V7283">
        <v>0.30250769999999999</v>
      </c>
      <c r="W7283">
        <v>0.1247711</v>
      </c>
      <c r="X7283">
        <v>0.94494520000000004</v>
      </c>
      <c r="Y7283">
        <v>0.48331109999999999</v>
      </c>
      <c r="Z7283">
        <v>-6.7413299999999995E-2</v>
      </c>
      <c r="AA7283">
        <v>0.87284930000000005</v>
      </c>
      <c r="AB7283">
        <v>28</v>
      </c>
      <c r="AC7283">
        <v>12.4765999999999</v>
      </c>
      <c r="AD7283">
        <v>-1.1034081080639999</v>
      </c>
      <c r="AE7283">
        <v>11.098999999999901</v>
      </c>
      <c r="AF7283">
        <v>8.1173973488109006</v>
      </c>
      <c r="AG7283">
        <v>-1.1034081080639999</v>
      </c>
      <c r="AH7283">
        <v>14.5100670228857</v>
      </c>
      <c r="AI7283">
        <v>93.796877185864901</v>
      </c>
      <c r="AJ7283">
        <v>60.775949715896701</v>
      </c>
      <c r="AK7283">
        <v>16.662883729416599</v>
      </c>
      <c r="AL7283">
        <v>82.832463309495296</v>
      </c>
      <c r="AM7283">
        <v>72.2484404360913</v>
      </c>
      <c r="AN7283">
        <v>1.0000000834787599</v>
      </c>
    </row>
    <row r="7284" spans="1:40" x14ac:dyDescent="0.25">
      <c r="A7284" t="str">
        <f>"20190312173107678"</f>
        <v>20190312173107678</v>
      </c>
      <c r="B7284" t="str">
        <f>"1552383067675055"</f>
        <v>1552383067675055</v>
      </c>
      <c r="C7284" t="s">
        <v>40</v>
      </c>
      <c r="D7284">
        <v>3.421869</v>
      </c>
      <c r="E7284">
        <v>0.61493690000000001</v>
      </c>
      <c r="F7284" t="s">
        <v>51</v>
      </c>
      <c r="G7284">
        <v>-174.68119999999999</v>
      </c>
      <c r="H7284" s="1">
        <v>-2.8177799999999998E-6</v>
      </c>
      <c r="I7284">
        <v>132.0384</v>
      </c>
      <c r="J7284">
        <v>-185.1403</v>
      </c>
      <c r="K7284">
        <v>1.1033200000000001</v>
      </c>
      <c r="L7284">
        <v>124.1356</v>
      </c>
      <c r="M7284">
        <v>0.33200370000000001</v>
      </c>
      <c r="N7284">
        <v>0</v>
      </c>
      <c r="O7284">
        <v>0.94313720000000001</v>
      </c>
      <c r="P7284">
        <v>0.59902819999999901</v>
      </c>
      <c r="Q7284">
        <v>0.1144565</v>
      </c>
      <c r="R7284">
        <v>0.79250540000000003</v>
      </c>
      <c r="S7284">
        <v>2.5192109999999999</v>
      </c>
      <c r="T7284">
        <v>-0.26447080000000001</v>
      </c>
      <c r="U7284">
        <v>1.926239</v>
      </c>
      <c r="V7284">
        <v>0.30403799999999997</v>
      </c>
      <c r="W7284">
        <v>0.124764</v>
      </c>
      <c r="X7284">
        <v>0.94445480000000004</v>
      </c>
      <c r="Y7284">
        <v>0.54455659999999995</v>
      </c>
      <c r="Z7284">
        <v>-8.660495E-2</v>
      </c>
      <c r="AA7284">
        <v>0.83424069999999995</v>
      </c>
      <c r="AB7284">
        <v>28</v>
      </c>
      <c r="AC7284">
        <v>10.459099999999999</v>
      </c>
      <c r="AD7284">
        <v>-1.1033228177800001</v>
      </c>
      <c r="AE7284">
        <v>7.9027999999999903</v>
      </c>
      <c r="AF7284">
        <v>7.1906331468970999</v>
      </c>
      <c r="AG7284">
        <v>-1.1033228177800001</v>
      </c>
      <c r="AH7284">
        <v>10.850474667925999</v>
      </c>
      <c r="AI7284">
        <v>94.844879534741196</v>
      </c>
      <c r="AJ7284">
        <v>56.467477154663399</v>
      </c>
      <c r="AK7284">
        <v>13.0635112742629</v>
      </c>
      <c r="AL7284">
        <v>82.832872821272701</v>
      </c>
      <c r="AM7284">
        <v>72.155643483193501</v>
      </c>
      <c r="AN7284">
        <v>1.00000001519151</v>
      </c>
    </row>
    <row r="7285" spans="1:40" x14ac:dyDescent="0.25">
      <c r="A7285" t="str">
        <f>"20190312173107690"</f>
        <v>20190312173107690</v>
      </c>
      <c r="B7285" t="str">
        <f>"1552383067684814"</f>
        <v>1552383067684814</v>
      </c>
      <c r="C7285" t="s">
        <v>40</v>
      </c>
      <c r="D7285">
        <v>3.4420459999999999</v>
      </c>
      <c r="E7285">
        <v>0.61621179999999998</v>
      </c>
      <c r="F7285" t="s">
        <v>51</v>
      </c>
      <c r="G7285">
        <v>-174.6112</v>
      </c>
      <c r="H7285" s="1">
        <v>-2.7754230000000001E-6</v>
      </c>
      <c r="I7285">
        <v>132.0086</v>
      </c>
      <c r="J7285">
        <v>-185.08930000000001</v>
      </c>
      <c r="K7285">
        <v>1.1032379999999999</v>
      </c>
      <c r="L7285">
        <v>124.2659</v>
      </c>
      <c r="M7285">
        <v>0.3364605</v>
      </c>
      <c r="N7285">
        <v>0</v>
      </c>
      <c r="O7285">
        <v>0.94155650000000002</v>
      </c>
      <c r="P7285">
        <v>0.60404859999999905</v>
      </c>
      <c r="Q7285">
        <v>0.1143767</v>
      </c>
      <c r="R7285">
        <v>0.78869719999999999</v>
      </c>
      <c r="S7285">
        <v>2.5431819999999998</v>
      </c>
      <c r="T7285">
        <v>-0.26649489999999998</v>
      </c>
      <c r="U7285">
        <v>1.9016420000000001</v>
      </c>
      <c r="V7285">
        <v>0.30559029999999998</v>
      </c>
      <c r="W7285">
        <v>0.1245904</v>
      </c>
      <c r="X7285">
        <v>0.94397660000000005</v>
      </c>
      <c r="Y7285">
        <v>0.5495025</v>
      </c>
      <c r="Z7285">
        <v>-8.7216660000000001E-2</v>
      </c>
      <c r="AA7285">
        <v>0.83092739999999998</v>
      </c>
      <c r="AB7285">
        <v>28</v>
      </c>
      <c r="AC7285">
        <v>10.4781</v>
      </c>
      <c r="AD7285">
        <v>-1.103240775423</v>
      </c>
      <c r="AE7285">
        <v>7.7426999999999904</v>
      </c>
      <c r="AF7285">
        <v>7.2098759241632697</v>
      </c>
      <c r="AG7285">
        <v>-1.103240775423</v>
      </c>
      <c r="AH7285">
        <v>10.740080375391999</v>
      </c>
      <c r="AI7285">
        <v>94.874770990195699</v>
      </c>
      <c r="AJ7285">
        <v>56.126317519191197</v>
      </c>
      <c r="AK7285">
        <v>12.9826336896743</v>
      </c>
      <c r="AL7285">
        <v>82.842897552843496</v>
      </c>
      <c r="AM7285">
        <v>72.06185523696</v>
      </c>
      <c r="AN7285">
        <v>1.0000000102869</v>
      </c>
    </row>
    <row r="7286" spans="1:40" x14ac:dyDescent="0.25">
      <c r="A7286" t="str">
        <f>"20190312173107701"</f>
        <v>20190312173107701</v>
      </c>
      <c r="B7286" t="str">
        <f>"1552383067694574"</f>
        <v>1552383067694574</v>
      </c>
      <c r="C7286" t="s">
        <v>40</v>
      </c>
      <c r="D7286">
        <v>3.4060450000000002</v>
      </c>
      <c r="E7286">
        <v>0.61694130000000003</v>
      </c>
      <c r="F7286" t="s">
        <v>51</v>
      </c>
      <c r="G7286">
        <v>-174.53749999999999</v>
      </c>
      <c r="H7286" s="1">
        <v>-2.739915E-6</v>
      </c>
      <c r="I7286">
        <v>132.00120000000001</v>
      </c>
      <c r="J7286">
        <v>-185.0377</v>
      </c>
      <c r="K7286">
        <v>1.1031530000000001</v>
      </c>
      <c r="L7286">
        <v>124.3965</v>
      </c>
      <c r="M7286">
        <v>0.34096259999999901</v>
      </c>
      <c r="N7286">
        <v>0</v>
      </c>
      <c r="O7286">
        <v>0.93993539999999998</v>
      </c>
      <c r="P7286">
        <v>0.60919109999999999</v>
      </c>
      <c r="Q7286">
        <v>0.11463719999999999</v>
      </c>
      <c r="R7286">
        <v>0.78469390000000006</v>
      </c>
      <c r="S7286">
        <v>2.563507</v>
      </c>
      <c r="T7286">
        <v>-0.2680265</v>
      </c>
      <c r="U7286">
        <v>1.8792420000000001</v>
      </c>
      <c r="V7286">
        <v>0.30728800000000001</v>
      </c>
      <c r="W7286">
        <v>0.12475260000000001</v>
      </c>
      <c r="X7286">
        <v>0.94340389999999996</v>
      </c>
      <c r="Y7286">
        <v>0.55334309999999998</v>
      </c>
      <c r="Z7286">
        <v>-8.7682599999999999E-2</v>
      </c>
      <c r="AA7286">
        <v>0.82832549999999905</v>
      </c>
      <c r="AB7286">
        <v>28</v>
      </c>
      <c r="AC7286">
        <v>10.5002</v>
      </c>
      <c r="AD7286">
        <v>-1.103155739915</v>
      </c>
      <c r="AE7286">
        <v>7.6047000000000002</v>
      </c>
      <c r="AF7286">
        <v>7.2252478705471503</v>
      </c>
      <c r="AG7286">
        <v>-1.103155739915</v>
      </c>
      <c r="AH7286">
        <v>10.652404882031099</v>
      </c>
      <c r="AI7286">
        <v>94.898545571112095</v>
      </c>
      <c r="AJ7286">
        <v>55.851980741665699</v>
      </c>
      <c r="AK7286">
        <v>12.918780482231</v>
      </c>
      <c r="AL7286">
        <v>82.833531187977897</v>
      </c>
      <c r="AM7286">
        <v>71.958398138115797</v>
      </c>
      <c r="AN7286">
        <v>1.0000000223429799</v>
      </c>
    </row>
    <row r="7287" spans="1:40" x14ac:dyDescent="0.25">
      <c r="A7287" t="str">
        <f>"20190312173107713"</f>
        <v>20190312173107713</v>
      </c>
      <c r="B7287" t="str">
        <f>"1552383067704336"</f>
        <v>1552383067704336</v>
      </c>
      <c r="C7287" t="s">
        <v>40</v>
      </c>
      <c r="D7287">
        <v>3.4077839999999902</v>
      </c>
      <c r="E7287">
        <v>0.6173575</v>
      </c>
      <c r="F7287" t="s">
        <v>51</v>
      </c>
      <c r="G7287">
        <v>-174.46209999999999</v>
      </c>
      <c r="H7287" s="1">
        <v>-2.712143E-6</v>
      </c>
      <c r="I7287">
        <v>132.01609999999999</v>
      </c>
      <c r="J7287">
        <v>-184.98580000000001</v>
      </c>
      <c r="K7287">
        <v>1.1030719999999901</v>
      </c>
      <c r="L7287">
        <v>124.5248</v>
      </c>
      <c r="M7287">
        <v>0.34548410000000002</v>
      </c>
      <c r="N7287">
        <v>0</v>
      </c>
      <c r="O7287">
        <v>0.93828279999999997</v>
      </c>
      <c r="P7287">
        <v>0.61428509999999903</v>
      </c>
      <c r="Q7287">
        <v>0.11504209999999999</v>
      </c>
      <c r="R7287">
        <v>0.78065299999999904</v>
      </c>
      <c r="S7287">
        <v>2.580444</v>
      </c>
      <c r="T7287">
        <v>-0.26916980000000001</v>
      </c>
      <c r="U7287">
        <v>1.8591770000000001</v>
      </c>
      <c r="V7287">
        <v>0.30894070000000001</v>
      </c>
      <c r="W7287">
        <v>0.12506199999999901</v>
      </c>
      <c r="X7287">
        <v>0.94282290000000002</v>
      </c>
      <c r="Y7287">
        <v>0.55613389999999996</v>
      </c>
      <c r="Z7287">
        <v>-8.8032189999999996E-2</v>
      </c>
      <c r="AA7287">
        <v>0.82641719999999896</v>
      </c>
      <c r="AB7287">
        <v>28</v>
      </c>
      <c r="AC7287">
        <v>10.5237</v>
      </c>
      <c r="AD7287">
        <v>-1.10307471214299</v>
      </c>
      <c r="AE7287">
        <v>7.4912999999999901</v>
      </c>
      <c r="AF7287">
        <v>7.2342999888713502</v>
      </c>
      <c r="AG7287">
        <v>-1.10307471214299</v>
      </c>
      <c r="AH7287">
        <v>10.588935476506601</v>
      </c>
      <c r="AI7287">
        <v>94.916193000365894</v>
      </c>
      <c r="AJ7287">
        <v>55.659334674010303</v>
      </c>
      <c r="AK7287">
        <v>12.871574288919501</v>
      </c>
      <c r="AL7287">
        <v>82.815663353236204</v>
      </c>
      <c r="AM7287">
        <v>71.857257339422304</v>
      </c>
      <c r="AN7287">
        <v>0.99999994036244799</v>
      </c>
    </row>
    <row r="7288" spans="1:40" x14ac:dyDescent="0.25">
      <c r="A7288" t="str">
        <f>"20190312173107723"</f>
        <v>20190312173107723</v>
      </c>
      <c r="B7288" t="str">
        <f>"1552383067715071"</f>
        <v>1552383067715071</v>
      </c>
      <c r="C7288" t="s">
        <v>40</v>
      </c>
      <c r="D7288">
        <v>3.3937590000000002</v>
      </c>
      <c r="E7288">
        <v>0.61773650000000002</v>
      </c>
      <c r="F7288" t="s">
        <v>51</v>
      </c>
      <c r="G7288">
        <v>-174.32839999999999</v>
      </c>
      <c r="H7288" s="1">
        <v>-2.677554E-6</v>
      </c>
      <c r="I7288">
        <v>132.0812</v>
      </c>
      <c r="J7288">
        <v>-184.93279999999999</v>
      </c>
      <c r="K7288">
        <v>1.1029869999999999</v>
      </c>
      <c r="L7288">
        <v>124.6551</v>
      </c>
      <c r="M7288">
        <v>0.35009610000000002</v>
      </c>
      <c r="N7288">
        <v>0</v>
      </c>
      <c r="O7288">
        <v>0.93657179999999995</v>
      </c>
      <c r="P7288">
        <v>0.61956519999999904</v>
      </c>
      <c r="Q7288">
        <v>0.1155968</v>
      </c>
      <c r="R7288">
        <v>0.77638680000000004</v>
      </c>
      <c r="S7288">
        <v>2.5954130000000002</v>
      </c>
      <c r="T7288">
        <v>-0.26863290000000001</v>
      </c>
      <c r="U7288">
        <v>1.840225</v>
      </c>
      <c r="V7288">
        <v>0.31076310000000001</v>
      </c>
      <c r="W7288">
        <v>0.1255143</v>
      </c>
      <c r="X7288">
        <v>0.94216369999999905</v>
      </c>
      <c r="Y7288">
        <v>0.55833149999999998</v>
      </c>
      <c r="Z7288">
        <v>-8.7843470000000007E-2</v>
      </c>
      <c r="AA7288">
        <v>0.82495419999999997</v>
      </c>
      <c r="AB7288">
        <v>28</v>
      </c>
      <c r="AC7288">
        <v>10.604399999999901</v>
      </c>
      <c r="AD7288">
        <v>-1.102989677554</v>
      </c>
      <c r="AE7288">
        <v>7.4260999999999902</v>
      </c>
      <c r="AF7288">
        <v>7.2800636943749302</v>
      </c>
      <c r="AG7288">
        <v>-1.102989677554</v>
      </c>
      <c r="AH7288">
        <v>10.592166902314201</v>
      </c>
      <c r="AI7288">
        <v>94.9049555883484</v>
      </c>
      <c r="AJ7288">
        <v>55.499011472535202</v>
      </c>
      <c r="AK7288">
        <v>12.8999966398999</v>
      </c>
      <c r="AL7288">
        <v>82.789543014518003</v>
      </c>
      <c r="AM7288">
        <v>71.745387082593297</v>
      </c>
      <c r="AN7288">
        <v>0.99999999071189405</v>
      </c>
    </row>
    <row r="7289" spans="1:40" x14ac:dyDescent="0.25">
      <c r="A7289" t="str">
        <f>"20190312173107734"</f>
        <v>20190312173107734</v>
      </c>
      <c r="B7289" t="str">
        <f>"1552383067724831"</f>
        <v>1552383067724831</v>
      </c>
      <c r="C7289" t="s">
        <v>40</v>
      </c>
      <c r="D7289">
        <v>3.4041380000000001</v>
      </c>
      <c r="E7289">
        <v>0.61784919999999899</v>
      </c>
      <c r="F7289" t="s">
        <v>51</v>
      </c>
      <c r="G7289">
        <v>-174.17939999999999</v>
      </c>
      <c r="H7289" s="1">
        <v>-2.6399930000000002E-6</v>
      </c>
      <c r="I7289">
        <v>132.15629999999999</v>
      </c>
      <c r="J7289">
        <v>-184.8793</v>
      </c>
      <c r="K7289">
        <v>1.102908</v>
      </c>
      <c r="L7289">
        <v>124.7834</v>
      </c>
      <c r="M7289">
        <v>0.35474549999999999</v>
      </c>
      <c r="N7289">
        <v>0</v>
      </c>
      <c r="O7289">
        <v>0.93482050000000005</v>
      </c>
      <c r="P7289">
        <v>0.6247743</v>
      </c>
      <c r="Q7289">
        <v>0.1162178</v>
      </c>
      <c r="R7289">
        <v>0.77210780000000001</v>
      </c>
      <c r="S7289">
        <v>2.610306</v>
      </c>
      <c r="T7289">
        <v>-0.26774360000000003</v>
      </c>
      <c r="U7289">
        <v>1.820862</v>
      </c>
      <c r="V7289">
        <v>0.3124923</v>
      </c>
      <c r="W7289">
        <v>0.1260375</v>
      </c>
      <c r="X7289">
        <v>0.94152170000000002</v>
      </c>
      <c r="Y7289">
        <v>0.56056450000000002</v>
      </c>
      <c r="Z7289">
        <v>-8.7542990000000001E-2</v>
      </c>
      <c r="AA7289">
        <v>0.82347049999999999</v>
      </c>
      <c r="AB7289">
        <v>28</v>
      </c>
      <c r="AC7289">
        <v>10.6999</v>
      </c>
      <c r="AD7289">
        <v>-1.102910639993</v>
      </c>
      <c r="AE7289">
        <v>7.37289999999998</v>
      </c>
      <c r="AF7289">
        <v>7.3351226899042299</v>
      </c>
      <c r="AG7289">
        <v>-1.102910639993</v>
      </c>
      <c r="AH7289">
        <v>10.6130441130697</v>
      </c>
      <c r="AI7289">
        <v>94.886281600985896</v>
      </c>
      <c r="AJ7289">
        <v>55.350012761487399</v>
      </c>
      <c r="AK7289">
        <v>12.9482486113652</v>
      </c>
      <c r="AL7289">
        <v>82.759325967780498</v>
      </c>
      <c r="AM7289">
        <v>71.638926089456106</v>
      </c>
      <c r="AN7289">
        <v>1.0000000002682099</v>
      </c>
    </row>
    <row r="7290" spans="1:40" x14ac:dyDescent="0.25">
      <c r="A7290" t="str">
        <f>"20190312173107747"</f>
        <v>20190312173107747</v>
      </c>
      <c r="B7290" t="str">
        <f>"1552383067734590"</f>
        <v>1552383067734590</v>
      </c>
      <c r="C7290" t="s">
        <v>40</v>
      </c>
      <c r="D7290">
        <v>3.4167559999999999</v>
      </c>
      <c r="E7290">
        <v>0.61780219999999997</v>
      </c>
      <c r="F7290" t="s">
        <v>51</v>
      </c>
      <c r="G7290">
        <v>-174.00099999999901</v>
      </c>
      <c r="H7290" s="1">
        <v>-2.5995089999999999E-6</v>
      </c>
      <c r="I7290">
        <v>132.25810000000001</v>
      </c>
      <c r="J7290">
        <v>-184.82579999999999</v>
      </c>
      <c r="K7290">
        <v>1.1028260000000001</v>
      </c>
      <c r="L7290">
        <v>124.9106</v>
      </c>
      <c r="M7290">
        <v>0.35937989999999997</v>
      </c>
      <c r="N7290">
        <v>0</v>
      </c>
      <c r="O7290">
        <v>0.93304860000000001</v>
      </c>
      <c r="P7290">
        <v>0.6299458</v>
      </c>
      <c r="Q7290">
        <v>0.1166114</v>
      </c>
      <c r="R7290">
        <v>0.76783469999999998</v>
      </c>
      <c r="S7290">
        <v>2.6234440000000001</v>
      </c>
      <c r="T7290">
        <v>-0.26598119999999997</v>
      </c>
      <c r="U7290">
        <v>1.802643</v>
      </c>
      <c r="V7290">
        <v>0.31419999999999998</v>
      </c>
      <c r="W7290">
        <v>0.12633359999999999</v>
      </c>
      <c r="X7290">
        <v>0.94091349999999996</v>
      </c>
      <c r="Y7290">
        <v>0.5623148</v>
      </c>
      <c r="Z7290">
        <v>-8.6964940000000004E-2</v>
      </c>
      <c r="AA7290">
        <v>0.8223376</v>
      </c>
      <c r="AB7290">
        <v>28</v>
      </c>
      <c r="AC7290">
        <v>10.8248</v>
      </c>
      <c r="AD7290">
        <v>-1.1028285995089999</v>
      </c>
      <c r="AE7290">
        <v>7.3475000000000099</v>
      </c>
      <c r="AF7290">
        <v>7.4078761173450802</v>
      </c>
      <c r="AG7290">
        <v>-1.1028285995089999</v>
      </c>
      <c r="AH7290">
        <v>10.671393724532299</v>
      </c>
      <c r="AI7290">
        <v>94.852459183706998</v>
      </c>
      <c r="AJ7290">
        <v>55.232362809166702</v>
      </c>
      <c r="AK7290">
        <v>13.037311974245901</v>
      </c>
      <c r="AL7290">
        <v>82.742224103724993</v>
      </c>
      <c r="AM7290">
        <v>71.534247493412593</v>
      </c>
      <c r="AN7290">
        <v>1.0000000164856</v>
      </c>
    </row>
    <row r="7291" spans="1:40" x14ac:dyDescent="0.25">
      <c r="A7291" t="str">
        <f>"20190312173107758"</f>
        <v>20190312173107758</v>
      </c>
      <c r="B7291" t="str">
        <f>"1552383067744350"</f>
        <v>1552383067744350</v>
      </c>
      <c r="C7291" t="s">
        <v>40</v>
      </c>
      <c r="D7291">
        <v>3.4546339999999902</v>
      </c>
      <c r="E7291">
        <v>0.61776019999999998</v>
      </c>
      <c r="F7291" t="s">
        <v>51</v>
      </c>
      <c r="G7291">
        <v>-173.83150000000001</v>
      </c>
      <c r="H7291" s="1">
        <v>-2.5618070000000002E-6</v>
      </c>
      <c r="I7291">
        <v>132.3569</v>
      </c>
      <c r="J7291">
        <v>-184.768</v>
      </c>
      <c r="K7291">
        <v>1.1027420000000001</v>
      </c>
      <c r="L7291">
        <v>125.0454</v>
      </c>
      <c r="M7291">
        <v>0.36437380000000003</v>
      </c>
      <c r="N7291">
        <v>0</v>
      </c>
      <c r="O7291">
        <v>0.93110950000000003</v>
      </c>
      <c r="P7291">
        <v>0.63517440000000003</v>
      </c>
      <c r="Q7291">
        <v>0.11692520000000001</v>
      </c>
      <c r="R7291">
        <v>0.76346709999999995</v>
      </c>
      <c r="S7291">
        <v>2.6355439999999999</v>
      </c>
      <c r="T7291">
        <v>-0.26436939999999998</v>
      </c>
      <c r="U7291">
        <v>1.7850189999999999</v>
      </c>
      <c r="V7291">
        <v>0.31563530000000001</v>
      </c>
      <c r="W7291">
        <v>0.1265569</v>
      </c>
      <c r="X7291">
        <v>0.94040299999999999</v>
      </c>
      <c r="Y7291">
        <v>0.56345419999999902</v>
      </c>
      <c r="Z7291">
        <v>-8.6429829999999999E-2</v>
      </c>
      <c r="AA7291">
        <v>0.82161379999999995</v>
      </c>
      <c r="AB7291">
        <v>28</v>
      </c>
      <c r="AC7291">
        <v>10.936499999999899</v>
      </c>
      <c r="AD7291">
        <v>-1.102744561807</v>
      </c>
      <c r="AE7291">
        <v>7.3114999999999899</v>
      </c>
      <c r="AF7291">
        <v>7.4674928552202298</v>
      </c>
      <c r="AG7291">
        <v>-1.102744561807</v>
      </c>
      <c r="AH7291">
        <v>10.718904770164</v>
      </c>
      <c r="AI7291">
        <v>94.825089738174697</v>
      </c>
      <c r="AJ7291">
        <v>55.1363979767115</v>
      </c>
      <c r="AK7291">
        <v>13.1100882751873</v>
      </c>
      <c r="AL7291">
        <v>82.729326657219801</v>
      </c>
      <c r="AM7291">
        <v>71.446273145650494</v>
      </c>
      <c r="AN7291">
        <v>1.0000000469763399</v>
      </c>
    </row>
    <row r="7292" spans="1:40" x14ac:dyDescent="0.25">
      <c r="A7292" t="str">
        <f>"20190312173107770"</f>
        <v>20190312173107770</v>
      </c>
      <c r="B7292" t="str">
        <f>"1552383067764846"</f>
        <v>1552383067764846</v>
      </c>
      <c r="C7292" t="s">
        <v>40</v>
      </c>
      <c r="D7292">
        <v>3.4285890000000001</v>
      </c>
      <c r="E7292">
        <v>0.61737790000000003</v>
      </c>
      <c r="F7292" t="s">
        <v>51</v>
      </c>
      <c r="G7292">
        <v>-173.7174</v>
      </c>
      <c r="H7292" s="1">
        <v>-2.5358840000000001E-6</v>
      </c>
      <c r="I7292">
        <v>132.42179999999999</v>
      </c>
      <c r="J7292">
        <v>-184.70490000000001</v>
      </c>
      <c r="K7292">
        <v>1.102654</v>
      </c>
      <c r="L7292">
        <v>125.1901</v>
      </c>
      <c r="M7292">
        <v>0.3698014</v>
      </c>
      <c r="N7292">
        <v>0</v>
      </c>
      <c r="O7292">
        <v>0.92896719999999999</v>
      </c>
      <c r="P7292">
        <v>0.64066809999999996</v>
      </c>
      <c r="Q7292">
        <v>0.1170929</v>
      </c>
      <c r="R7292">
        <v>0.75883710000000004</v>
      </c>
      <c r="S7292">
        <v>2.6475219999999999</v>
      </c>
      <c r="T7292">
        <v>-0.26419910000000002</v>
      </c>
      <c r="U7292">
        <v>1.7672730000000001</v>
      </c>
      <c r="V7292">
        <v>0.31697649999999999</v>
      </c>
      <c r="W7292">
        <v>0.126634</v>
      </c>
      <c r="X7292">
        <v>0.93994129999999998</v>
      </c>
      <c r="Y7292">
        <v>0.56417280000000003</v>
      </c>
      <c r="Z7292">
        <v>-8.6350490000000002E-2</v>
      </c>
      <c r="AA7292">
        <v>0.82112890000000005</v>
      </c>
      <c r="AB7292">
        <v>28</v>
      </c>
      <c r="AC7292">
        <v>10.987500000000001</v>
      </c>
      <c r="AD7292">
        <v>-1.1026565358839999</v>
      </c>
      <c r="AE7292">
        <v>7.2316999999999796</v>
      </c>
      <c r="AF7292">
        <v>7.4811685477841499</v>
      </c>
      <c r="AG7292">
        <v>-1.1026565358839999</v>
      </c>
      <c r="AH7292">
        <v>10.7074016071115</v>
      </c>
      <c r="AI7292">
        <v>94.825297917163795</v>
      </c>
      <c r="AJ7292">
        <v>55.058334183607798</v>
      </c>
      <c r="AK7292">
        <v>13.1084775413645</v>
      </c>
      <c r="AL7292">
        <v>82.724872683208105</v>
      </c>
      <c r="AM7292">
        <v>71.3643450979514</v>
      </c>
      <c r="AN7292">
        <v>0.99999995947696896</v>
      </c>
    </row>
    <row r="7293" spans="1:40" x14ac:dyDescent="0.25">
      <c r="A7293" t="str">
        <f>"20190312173107784"</f>
        <v>20190312173107784</v>
      </c>
      <c r="B7293" t="str">
        <f>"1552383067774606"</f>
        <v>1552383067774606</v>
      </c>
      <c r="C7293" t="s">
        <v>40</v>
      </c>
      <c r="D7293">
        <v>3.5170810000000001</v>
      </c>
      <c r="E7293">
        <v>0.61741699999999999</v>
      </c>
      <c r="F7293" t="s">
        <v>51</v>
      </c>
      <c r="G7293">
        <v>-173.59970000000001</v>
      </c>
      <c r="H7293" s="1">
        <v>-2.5138240000000002E-6</v>
      </c>
      <c r="I7293">
        <v>132.50120000000001</v>
      </c>
      <c r="J7293">
        <v>-184.63730000000001</v>
      </c>
      <c r="K7293">
        <v>1.102562</v>
      </c>
      <c r="L7293">
        <v>125.343</v>
      </c>
      <c r="M7293">
        <v>0.37559550000000003</v>
      </c>
      <c r="N7293">
        <v>0</v>
      </c>
      <c r="O7293">
        <v>0.92663949999999995</v>
      </c>
      <c r="P7293">
        <v>0.64625730000000003</v>
      </c>
      <c r="Q7293">
        <v>0.1174134</v>
      </c>
      <c r="R7293">
        <v>0.75403299999999995</v>
      </c>
      <c r="S7293">
        <v>2.658112</v>
      </c>
      <c r="T7293">
        <v>-0.26393</v>
      </c>
      <c r="U7293">
        <v>1.7499849999999999</v>
      </c>
      <c r="V7293">
        <v>0.318106</v>
      </c>
      <c r="W7293">
        <v>0.12686620000000001</v>
      </c>
      <c r="X7293">
        <v>0.93952840000000004</v>
      </c>
      <c r="Y7293">
        <v>0.56425979999999998</v>
      </c>
      <c r="Z7293">
        <v>-8.6241090000000006E-2</v>
      </c>
      <c r="AA7293">
        <v>0.82108060000000005</v>
      </c>
      <c r="AB7293">
        <v>27</v>
      </c>
      <c r="AC7293">
        <v>11.0375999999999</v>
      </c>
      <c r="AD7293">
        <v>-1.1025645138239999</v>
      </c>
      <c r="AE7293">
        <v>7.1582000000000203</v>
      </c>
      <c r="AF7293">
        <v>7.4877018043900403</v>
      </c>
      <c r="AG7293">
        <v>-1.1025645138239999</v>
      </c>
      <c r="AH7293">
        <v>10.7049915614593</v>
      </c>
      <c r="AI7293">
        <v>94.824247220844001</v>
      </c>
      <c r="AJ7293">
        <v>55.028791648326198</v>
      </c>
      <c r="AK7293">
        <v>13.110231544466499</v>
      </c>
      <c r="AL7293">
        <v>82.711460997879499</v>
      </c>
      <c r="AM7293">
        <v>71.294901733855596</v>
      </c>
      <c r="AN7293">
        <v>1.00000003717249</v>
      </c>
    </row>
    <row r="7294" spans="1:40" x14ac:dyDescent="0.25">
      <c r="A7294" t="str">
        <f>"20190312173107798"</f>
        <v>20190312173107798</v>
      </c>
      <c r="B7294" t="str">
        <f>"1552383067784366"</f>
        <v>1552383067784366</v>
      </c>
      <c r="C7294" t="s">
        <v>40</v>
      </c>
      <c r="D7294">
        <v>3.4207700000000001</v>
      </c>
      <c r="E7294">
        <v>0.61719789999999997</v>
      </c>
      <c r="F7294" t="s">
        <v>51</v>
      </c>
      <c r="G7294">
        <v>-173.45689999999999</v>
      </c>
      <c r="H7294" s="1">
        <v>-2.4791009999999999E-6</v>
      </c>
      <c r="I7294">
        <v>132.58250000000001</v>
      </c>
      <c r="J7294">
        <v>-184.56549999999999</v>
      </c>
      <c r="K7294">
        <v>1.1024659999999999</v>
      </c>
      <c r="L7294">
        <v>125.5016</v>
      </c>
      <c r="M7294">
        <v>0.38173600000000002</v>
      </c>
      <c r="N7294">
        <v>0</v>
      </c>
      <c r="O7294">
        <v>0.92412660000000002</v>
      </c>
      <c r="P7294">
        <v>0.65205309999999905</v>
      </c>
      <c r="Q7294">
        <v>0.1175877</v>
      </c>
      <c r="R7294">
        <v>0.74899939999999998</v>
      </c>
      <c r="S7294">
        <v>2.6715849999999999</v>
      </c>
      <c r="T7294">
        <v>-0.26346029999999998</v>
      </c>
      <c r="U7294">
        <v>1.729889</v>
      </c>
      <c r="V7294">
        <v>0.31916129999999998</v>
      </c>
      <c r="W7294">
        <v>0.12695419999999999</v>
      </c>
      <c r="X7294">
        <v>0.93915850000000001</v>
      </c>
      <c r="Y7294">
        <v>0.565046099999999</v>
      </c>
      <c r="Z7294">
        <v>-8.6047520000000002E-2</v>
      </c>
      <c r="AA7294">
        <v>0.82055999999999996</v>
      </c>
      <c r="AB7294">
        <v>27</v>
      </c>
      <c r="AC7294">
        <v>11.1085999999999</v>
      </c>
      <c r="AD7294">
        <v>-1.102468479101</v>
      </c>
      <c r="AE7294">
        <v>7.0809000000000104</v>
      </c>
      <c r="AF7294">
        <v>7.5111243499000304</v>
      </c>
      <c r="AG7294">
        <v>-1.102468479101</v>
      </c>
      <c r="AH7294">
        <v>10.7106291978349</v>
      </c>
      <c r="AI7294">
        <v>94.817202926491404</v>
      </c>
      <c r="AJ7294">
        <v>54.958880994927902</v>
      </c>
      <c r="AK7294">
        <v>13.128214027832801</v>
      </c>
      <c r="AL7294">
        <v>82.7063775680313</v>
      </c>
      <c r="AM7294">
        <v>71.230311709685097</v>
      </c>
      <c r="AN7294">
        <v>0.99999999621878999</v>
      </c>
    </row>
    <row r="7295" spans="1:40" x14ac:dyDescent="0.25">
      <c r="A7295" t="str">
        <f>"20190312173107813"</f>
        <v>20190312173107813</v>
      </c>
      <c r="B7295" t="str">
        <f>"1552383067804862"</f>
        <v>1552383067804862</v>
      </c>
      <c r="C7295" t="s">
        <v>40</v>
      </c>
      <c r="D7295">
        <v>3.446574</v>
      </c>
      <c r="E7295">
        <v>0.61666209999999999</v>
      </c>
      <c r="F7295" t="s">
        <v>51</v>
      </c>
      <c r="G7295">
        <v>-173.36779999999999</v>
      </c>
      <c r="H7295" s="1">
        <v>-2.4533610000000001E-6</v>
      </c>
      <c r="I7295">
        <v>132.63910000000001</v>
      </c>
      <c r="J7295">
        <v>-184.4871</v>
      </c>
      <c r="K7295">
        <v>1.102371</v>
      </c>
      <c r="L7295">
        <v>125.6716</v>
      </c>
      <c r="M7295">
        <v>0.38840360000000002</v>
      </c>
      <c r="N7295">
        <v>0</v>
      </c>
      <c r="O7295">
        <v>0.92134389999999999</v>
      </c>
      <c r="P7295">
        <v>0.65880450000000002</v>
      </c>
      <c r="Q7295">
        <v>0.117933</v>
      </c>
      <c r="R7295">
        <v>0.74301309999999998</v>
      </c>
      <c r="S7295">
        <v>2.6835939999999998</v>
      </c>
      <c r="T7295">
        <v>-0.2642138</v>
      </c>
      <c r="U7295">
        <v>1.7105410000000001</v>
      </c>
      <c r="V7295">
        <v>0.32093470000000002</v>
      </c>
      <c r="W7295">
        <v>0.12719349999999999</v>
      </c>
      <c r="X7295">
        <v>0.93852159999999996</v>
      </c>
      <c r="Y7295">
        <v>0.56494909999999998</v>
      </c>
      <c r="Z7295">
        <v>-8.6241570000000004E-2</v>
      </c>
      <c r="AA7295">
        <v>0.82060639999999996</v>
      </c>
      <c r="AB7295">
        <v>27</v>
      </c>
      <c r="AC7295">
        <v>11.119300000000001</v>
      </c>
      <c r="AD7295">
        <v>-1.1023734533609999</v>
      </c>
      <c r="AE7295">
        <v>6.96750000000001</v>
      </c>
      <c r="AF7295">
        <v>7.4866691622116797</v>
      </c>
      <c r="AG7295">
        <v>-1.1023734533609999</v>
      </c>
      <c r="AH7295">
        <v>10.6644132145145</v>
      </c>
      <c r="AI7295">
        <v>94.835876854511099</v>
      </c>
      <c r="AJ7295">
        <v>54.930241305467703</v>
      </c>
      <c r="AK7295">
        <v>13.076511445526901</v>
      </c>
      <c r="AL7295">
        <v>82.692554883629299</v>
      </c>
      <c r="AM7295">
        <v>71.121481213026797</v>
      </c>
      <c r="AN7295">
        <v>1.0000000308864401</v>
      </c>
    </row>
    <row r="7296" spans="1:40" x14ac:dyDescent="0.25">
      <c r="A7296" t="str">
        <f>"20190312173107824"</f>
        <v>20190312173107824</v>
      </c>
      <c r="B7296" t="str">
        <f>"1552383067814624"</f>
        <v>1552383067814624</v>
      </c>
      <c r="C7296" t="s">
        <v>40</v>
      </c>
      <c r="D7296">
        <v>3.4541780000000002</v>
      </c>
      <c r="E7296">
        <v>0.61633739999999904</v>
      </c>
      <c r="F7296" t="s">
        <v>51</v>
      </c>
      <c r="G7296">
        <v>-173.29740000000001</v>
      </c>
      <c r="H7296" s="1">
        <v>-2.4335870000000002E-6</v>
      </c>
      <c r="I7296">
        <v>132.68510000000001</v>
      </c>
      <c r="J7296">
        <v>-184.4273</v>
      </c>
      <c r="K7296">
        <v>1.1023000000000001</v>
      </c>
      <c r="L7296">
        <v>125.7997</v>
      </c>
      <c r="M7296">
        <v>0.39347009999999899</v>
      </c>
      <c r="N7296">
        <v>0</v>
      </c>
      <c r="O7296">
        <v>0.91919139999999999</v>
      </c>
      <c r="P7296">
        <v>0.66356340000000003</v>
      </c>
      <c r="Q7296">
        <v>0.1179806</v>
      </c>
      <c r="R7296">
        <v>0.73875859999999904</v>
      </c>
      <c r="S7296">
        <v>2.695694</v>
      </c>
      <c r="T7296">
        <v>-0.2655711</v>
      </c>
      <c r="U7296">
        <v>1.6896059999999999</v>
      </c>
      <c r="V7296">
        <v>0.32182369999999999</v>
      </c>
      <c r="W7296">
        <v>0.12717319999999999</v>
      </c>
      <c r="X7296">
        <v>0.93821980000000005</v>
      </c>
      <c r="Y7296">
        <v>0.56660880000000002</v>
      </c>
      <c r="Z7296">
        <v>-8.6696770000000006E-2</v>
      </c>
      <c r="AA7296">
        <v>0.81941330000000001</v>
      </c>
      <c r="AB7296">
        <v>27</v>
      </c>
      <c r="AC7296">
        <v>11.1298999999999</v>
      </c>
      <c r="AD7296">
        <v>-1.102302433587</v>
      </c>
      <c r="AE7296">
        <v>6.8853999999999997</v>
      </c>
      <c r="AF7296">
        <v>7.4693322498757597</v>
      </c>
      <c r="AG7296">
        <v>-1.102302433587</v>
      </c>
      <c r="AH7296">
        <v>10.6342822044183</v>
      </c>
      <c r="AI7296">
        <v>94.848388215609006</v>
      </c>
      <c r="AJ7296">
        <v>54.916472048255699</v>
      </c>
      <c r="AK7296">
        <v>13.04200724265</v>
      </c>
      <c r="AL7296">
        <v>82.6937269523211</v>
      </c>
      <c r="AM7296">
        <v>71.067249933237093</v>
      </c>
      <c r="AN7296">
        <v>0.99999995489598403</v>
      </c>
    </row>
    <row r="7297" spans="1:40" x14ac:dyDescent="0.25">
      <c r="A7297" t="str">
        <f>"20190312173107836"</f>
        <v>20190312173107836</v>
      </c>
      <c r="B7297" t="str">
        <f>"1552383067824384"</f>
        <v>1552383067824384</v>
      </c>
      <c r="C7297" t="s">
        <v>40</v>
      </c>
      <c r="D7297">
        <v>3.455972</v>
      </c>
      <c r="E7297">
        <v>0.61606890000000003</v>
      </c>
      <c r="F7297" t="s">
        <v>51</v>
      </c>
      <c r="G7297">
        <v>-173.1395</v>
      </c>
      <c r="H7297" s="1">
        <v>-2.3882330000000001E-6</v>
      </c>
      <c r="I7297">
        <v>132.7861</v>
      </c>
      <c r="J7297">
        <v>-184.36429999999999</v>
      </c>
      <c r="K7297">
        <v>1.102222</v>
      </c>
      <c r="L7297">
        <v>125.9315</v>
      </c>
      <c r="M7297">
        <v>0.3987906</v>
      </c>
      <c r="N7297">
        <v>0</v>
      </c>
      <c r="O7297">
        <v>0.91689540000000003</v>
      </c>
      <c r="P7297">
        <v>0.66842469999999998</v>
      </c>
      <c r="Q7297">
        <v>0.11822920000000001</v>
      </c>
      <c r="R7297">
        <v>0.73432299999999995</v>
      </c>
      <c r="S7297">
        <v>2.704453</v>
      </c>
      <c r="T7297">
        <v>-0.26410040000000001</v>
      </c>
      <c r="U7297">
        <v>1.673859</v>
      </c>
      <c r="V7297">
        <v>0.32262400000000002</v>
      </c>
      <c r="W7297">
        <v>0.1273543</v>
      </c>
      <c r="X7297">
        <v>0.93792039999999999</v>
      </c>
      <c r="Y7297">
        <v>0.56651600000000002</v>
      </c>
      <c r="Z7297">
        <v>-8.6189160000000001E-2</v>
      </c>
      <c r="AA7297">
        <v>0.81953109999999996</v>
      </c>
      <c r="AB7297">
        <v>27</v>
      </c>
      <c r="AC7297">
        <v>11.224799999999901</v>
      </c>
      <c r="AD7297">
        <v>-1.1022243882330001</v>
      </c>
      <c r="AE7297">
        <v>6.8545999999999996</v>
      </c>
      <c r="AF7297">
        <v>7.5067120738992896</v>
      </c>
      <c r="AG7297">
        <v>-1.1022243882330001</v>
      </c>
      <c r="AH7297">
        <v>10.6876804280408</v>
      </c>
      <c r="AI7297">
        <v>94.823965810426699</v>
      </c>
      <c r="AJ7297">
        <v>54.916924901461599</v>
      </c>
      <c r="AK7297">
        <v>13.106949976801101</v>
      </c>
      <c r="AL7297">
        <v>82.683266102546298</v>
      </c>
      <c r="AM7297">
        <v>71.017909166364205</v>
      </c>
      <c r="AN7297">
        <v>1.0000000199203201</v>
      </c>
    </row>
    <row r="7298" spans="1:40" x14ac:dyDescent="0.25">
      <c r="A7298" t="str">
        <f>"20190312173107847"</f>
        <v>20190312173107847</v>
      </c>
      <c r="B7298" t="str">
        <f>"1552383067835119"</f>
        <v>1552383067835119</v>
      </c>
      <c r="C7298" t="s">
        <v>40</v>
      </c>
      <c r="D7298">
        <v>3.4594040000000001</v>
      </c>
      <c r="E7298">
        <v>0.61577119999999996</v>
      </c>
      <c r="F7298" t="s">
        <v>51</v>
      </c>
      <c r="G7298">
        <v>-172.96360000000001</v>
      </c>
      <c r="H7298" s="1">
        <v>-2.3355739999999998E-6</v>
      </c>
      <c r="I7298">
        <v>132.89349999999999</v>
      </c>
      <c r="J7298">
        <v>-184.30369999999999</v>
      </c>
      <c r="K7298">
        <v>1.1021510000000001</v>
      </c>
      <c r="L7298">
        <v>126.0568</v>
      </c>
      <c r="M7298">
        <v>0.40388039999999997</v>
      </c>
      <c r="N7298">
        <v>0</v>
      </c>
      <c r="O7298">
        <v>0.91466460000000005</v>
      </c>
      <c r="P7298">
        <v>0.67285689999999998</v>
      </c>
      <c r="Q7298">
        <v>0.1186609</v>
      </c>
      <c r="R7298">
        <v>0.73019400000000001</v>
      </c>
      <c r="S7298">
        <v>2.7139280000000001</v>
      </c>
      <c r="T7298">
        <v>-0.26238440000000002</v>
      </c>
      <c r="U7298">
        <v>1.657303</v>
      </c>
      <c r="V7298">
        <v>0.32314749999999998</v>
      </c>
      <c r="W7298">
        <v>0.12772839999999999</v>
      </c>
      <c r="X7298">
        <v>0.93768929999999995</v>
      </c>
      <c r="Y7298">
        <v>0.56690149999999995</v>
      </c>
      <c r="Z7298">
        <v>-8.5604379999999994E-2</v>
      </c>
      <c r="AA7298">
        <v>0.81932569999999905</v>
      </c>
      <c r="AB7298">
        <v>27</v>
      </c>
      <c r="AC7298">
        <v>11.3400999999999</v>
      </c>
      <c r="AD7298">
        <v>-1.1021533355740001</v>
      </c>
      <c r="AE7298">
        <v>6.8366999999999898</v>
      </c>
      <c r="AF7298">
        <v>7.5598295093929302</v>
      </c>
      <c r="AG7298">
        <v>-1.1021533355740001</v>
      </c>
      <c r="AH7298">
        <v>10.7602437091879</v>
      </c>
      <c r="AI7298">
        <v>94.790830807632204</v>
      </c>
      <c r="AJ7298">
        <v>54.909255335186501</v>
      </c>
      <c r="AK7298">
        <v>13.196537760614399</v>
      </c>
      <c r="AL7298">
        <v>82.661655388460204</v>
      </c>
      <c r="AM7298">
        <v>70.984969150832299</v>
      </c>
      <c r="AN7298">
        <v>1.0000000371286399</v>
      </c>
    </row>
    <row r="7299" spans="1:40" x14ac:dyDescent="0.25">
      <c r="A7299" t="str">
        <f>"20190312173107859"</f>
        <v>20190312173107859</v>
      </c>
      <c r="B7299" t="str">
        <f>"1552383067844879"</f>
        <v>1552383067844879</v>
      </c>
      <c r="C7299" t="s">
        <v>40</v>
      </c>
      <c r="D7299">
        <v>3.456118</v>
      </c>
      <c r="E7299">
        <v>0.61543630000000005</v>
      </c>
      <c r="F7299" t="s">
        <v>51</v>
      </c>
      <c r="G7299">
        <v>-172.75960000000001</v>
      </c>
      <c r="H7299" s="1">
        <v>-2.2758389999999999E-6</v>
      </c>
      <c r="I7299">
        <v>133.02119999999999</v>
      </c>
      <c r="J7299">
        <v>-184.23750000000001</v>
      </c>
      <c r="K7299">
        <v>1.102074</v>
      </c>
      <c r="L7299">
        <v>126.1915</v>
      </c>
      <c r="M7299">
        <v>0.40942250000000002</v>
      </c>
      <c r="N7299">
        <v>0</v>
      </c>
      <c r="O7299">
        <v>0.91219709999999998</v>
      </c>
      <c r="P7299">
        <v>0.67767889999999997</v>
      </c>
      <c r="Q7299">
        <v>0.1188998</v>
      </c>
      <c r="R7299">
        <v>0.72568180000000004</v>
      </c>
      <c r="S7299">
        <v>2.7221980000000001</v>
      </c>
      <c r="T7299">
        <v>-0.25989790000000002</v>
      </c>
      <c r="U7299">
        <v>1.6422730000000001</v>
      </c>
      <c r="V7299">
        <v>0.32371499999999997</v>
      </c>
      <c r="W7299">
        <v>0.1279062</v>
      </c>
      <c r="X7299">
        <v>0.9374692</v>
      </c>
      <c r="Y7299">
        <v>0.56639300000000004</v>
      </c>
      <c r="Z7299">
        <v>-8.4745899999999999E-2</v>
      </c>
      <c r="AA7299">
        <v>0.81976649999999995</v>
      </c>
      <c r="AB7299">
        <v>27</v>
      </c>
      <c r="AC7299">
        <v>11.4779</v>
      </c>
      <c r="AD7299">
        <v>-1.1020762758389999</v>
      </c>
      <c r="AE7299">
        <v>6.8296999999999803</v>
      </c>
      <c r="AF7299">
        <v>7.6230068710279504</v>
      </c>
      <c r="AG7299">
        <v>-1.1020762758389999</v>
      </c>
      <c r="AH7299">
        <v>10.856896330477401</v>
      </c>
      <c r="AI7299">
        <v>94.749014391031295</v>
      </c>
      <c r="AJ7299">
        <v>54.925963926352303</v>
      </c>
      <c r="AK7299">
        <v>13.3115364929913</v>
      </c>
      <c r="AL7299">
        <v>82.651383299562994</v>
      </c>
      <c r="AM7299">
        <v>70.949830631501499</v>
      </c>
      <c r="AN7299">
        <v>0.99999994908603795</v>
      </c>
    </row>
    <row r="7300" spans="1:40" x14ac:dyDescent="0.25">
      <c r="A7300" t="str">
        <f>"20190312173107872"</f>
        <v>20190312173107872</v>
      </c>
      <c r="B7300" t="str">
        <f>"1552383067864399"</f>
        <v>1552383067864399</v>
      </c>
      <c r="C7300" t="s">
        <v>40</v>
      </c>
      <c r="D7300">
        <v>3.4628369999999999</v>
      </c>
      <c r="E7300">
        <v>0.61485859999999903</v>
      </c>
      <c r="F7300" t="s">
        <v>51</v>
      </c>
      <c r="G7300">
        <v>-172.56389999999999</v>
      </c>
      <c r="H7300" s="1">
        <v>-2.2168180000000002E-6</v>
      </c>
      <c r="I7300">
        <v>133.13999999999999</v>
      </c>
      <c r="J7300">
        <v>-184.17240000000001</v>
      </c>
      <c r="K7300">
        <v>1.1020000000000001</v>
      </c>
      <c r="L7300">
        <v>126.3215</v>
      </c>
      <c r="M7300">
        <v>0.41485070000000002</v>
      </c>
      <c r="N7300">
        <v>0</v>
      </c>
      <c r="O7300">
        <v>0.90974109999999997</v>
      </c>
      <c r="P7300">
        <v>0.68263609999999997</v>
      </c>
      <c r="Q7300">
        <v>0.1191758</v>
      </c>
      <c r="R7300">
        <v>0.72097500000000003</v>
      </c>
      <c r="S7300">
        <v>2.7312620000000001</v>
      </c>
      <c r="T7300">
        <v>-0.257851</v>
      </c>
      <c r="U7300">
        <v>1.6257170000000001</v>
      </c>
      <c r="V7300">
        <v>0.32460250000000002</v>
      </c>
      <c r="W7300">
        <v>0.12811429999999999</v>
      </c>
      <c r="X7300">
        <v>0.93713389999999996</v>
      </c>
      <c r="Y7300">
        <v>0.56640729999999995</v>
      </c>
      <c r="Z7300">
        <v>-8.4040370000000003E-2</v>
      </c>
      <c r="AA7300">
        <v>0.81982929999999998</v>
      </c>
      <c r="AB7300">
        <v>27</v>
      </c>
      <c r="AC7300">
        <v>11.608499999999999</v>
      </c>
      <c r="AD7300">
        <v>-1.1020022168179999</v>
      </c>
      <c r="AE7300">
        <v>6.8184999999999798</v>
      </c>
      <c r="AF7300">
        <v>7.6816455251308797</v>
      </c>
      <c r="AG7300">
        <v>-1.1020022168179999</v>
      </c>
      <c r="AH7300">
        <v>10.9470047455249</v>
      </c>
      <c r="AI7300">
        <v>94.710717703302507</v>
      </c>
      <c r="AJ7300">
        <v>54.942197004855103</v>
      </c>
      <c r="AK7300">
        <v>13.4186064760161</v>
      </c>
      <c r="AL7300">
        <v>82.6393615284437</v>
      </c>
      <c r="AM7300">
        <v>70.895043554023005</v>
      </c>
      <c r="AN7300">
        <v>1.0000000016999699</v>
      </c>
    </row>
    <row r="7301" spans="1:40" x14ac:dyDescent="0.25">
      <c r="A7301" t="str">
        <f>"20190312173107881"</f>
        <v>20190312173107881</v>
      </c>
      <c r="B7301" t="str">
        <f>"1552383067875135"</f>
        <v>1552383067875135</v>
      </c>
      <c r="C7301" t="s">
        <v>40</v>
      </c>
      <c r="D7301">
        <v>3.448385</v>
      </c>
      <c r="E7301">
        <v>0.61461499999999902</v>
      </c>
      <c r="F7301" t="s">
        <v>51</v>
      </c>
      <c r="G7301">
        <v>-172.3852</v>
      </c>
      <c r="H7301" s="1">
        <v>-2.163625E-6</v>
      </c>
      <c r="I7301">
        <v>133.2499</v>
      </c>
      <c r="J7301">
        <v>-184.11089999999999</v>
      </c>
      <c r="K7301">
        <v>1.101931</v>
      </c>
      <c r="L7301">
        <v>126.44329999999999</v>
      </c>
      <c r="M7301">
        <v>0.41995759999999999</v>
      </c>
      <c r="N7301">
        <v>0</v>
      </c>
      <c r="O7301">
        <v>0.90739460000000005</v>
      </c>
      <c r="P7301">
        <v>0.68703400000000003</v>
      </c>
      <c r="Q7301">
        <v>0.1193486</v>
      </c>
      <c r="R7301">
        <v>0.71675679999999997</v>
      </c>
      <c r="S7301">
        <v>2.7390439999999998</v>
      </c>
      <c r="T7301">
        <v>-0.2560771</v>
      </c>
      <c r="U7301">
        <v>1.6099699999999999</v>
      </c>
      <c r="V7301">
        <v>0.32510620000000001</v>
      </c>
      <c r="W7301">
        <v>0.1282316</v>
      </c>
      <c r="X7301">
        <v>0.93694319999999998</v>
      </c>
      <c r="Y7301">
        <v>0.56634619999999902</v>
      </c>
      <c r="Z7301">
        <v>-8.3438150000000003E-2</v>
      </c>
      <c r="AA7301">
        <v>0.81993289999999996</v>
      </c>
      <c r="AB7301">
        <v>27</v>
      </c>
      <c r="AC7301">
        <v>11.7256999999999</v>
      </c>
      <c r="AD7301">
        <v>-1.101933163625</v>
      </c>
      <c r="AE7301">
        <v>6.8066000000000004</v>
      </c>
      <c r="AF7301">
        <v>7.7313364549643904</v>
      </c>
      <c r="AG7301">
        <v>-1.101933163625</v>
      </c>
      <c r="AH7301">
        <v>11.029216645971401</v>
      </c>
      <c r="AI7301">
        <v>94.677055667867506</v>
      </c>
      <c r="AJ7301">
        <v>54.9700473522416</v>
      </c>
      <c r="AK7301">
        <v>13.5141200194733</v>
      </c>
      <c r="AL7301">
        <v>82.632584620216406</v>
      </c>
      <c r="AM7301">
        <v>70.863940296041406</v>
      </c>
      <c r="AN7301">
        <v>0.99999997227161896</v>
      </c>
    </row>
    <row r="7302" spans="1:40" x14ac:dyDescent="0.25">
      <c r="A7302" t="str">
        <f>"20190312173107893"</f>
        <v>20190312173107893</v>
      </c>
      <c r="B7302" t="str">
        <f>"1552383067884895"</f>
        <v>1552383067884895</v>
      </c>
      <c r="C7302" t="s">
        <v>40</v>
      </c>
      <c r="D7302">
        <v>3.4393220000000002</v>
      </c>
      <c r="E7302">
        <v>0.61433570000000004</v>
      </c>
      <c r="F7302" t="s">
        <v>51</v>
      </c>
      <c r="G7302">
        <v>-172.2704</v>
      </c>
      <c r="H7302" s="1">
        <v>-2.1275049999999999E-6</v>
      </c>
      <c r="I7302">
        <v>133.31620000000001</v>
      </c>
      <c r="J7302">
        <v>-184.0513</v>
      </c>
      <c r="K7302">
        <v>1.10186299999999</v>
      </c>
      <c r="L7302">
        <v>126.55840000000001</v>
      </c>
      <c r="M7302">
        <v>0.42488340000000002</v>
      </c>
      <c r="N7302">
        <v>0</v>
      </c>
      <c r="O7302">
        <v>0.90509839999999997</v>
      </c>
      <c r="P7302">
        <v>0.69137469999999901</v>
      </c>
      <c r="Q7302">
        <v>0.119616899999999</v>
      </c>
      <c r="R7302">
        <v>0.71252569999999904</v>
      </c>
      <c r="S7302">
        <v>2.7473139999999998</v>
      </c>
      <c r="T7302">
        <v>-0.2556776</v>
      </c>
      <c r="U7302">
        <v>1.594681</v>
      </c>
      <c r="V7302">
        <v>0.32575120000000002</v>
      </c>
      <c r="W7302">
        <v>0.12844249999999999</v>
      </c>
      <c r="X7302">
        <v>0.93669029999999998</v>
      </c>
      <c r="Y7302">
        <v>0.56636980000000003</v>
      </c>
      <c r="Z7302">
        <v>-8.3263470000000006E-2</v>
      </c>
      <c r="AA7302">
        <v>0.81993439999999995</v>
      </c>
      <c r="AB7302">
        <v>27</v>
      </c>
      <c r="AC7302">
        <v>11.780900000000001</v>
      </c>
      <c r="AD7302">
        <v>-1.10186512750499</v>
      </c>
      <c r="AE7302">
        <v>6.7577999999999996</v>
      </c>
      <c r="AF7302">
        <v>7.7416964387040004</v>
      </c>
      <c r="AG7302">
        <v>-1.10186512750499</v>
      </c>
      <c r="AH7302">
        <v>11.050753531239501</v>
      </c>
      <c r="AI7302">
        <v>94.668630210811997</v>
      </c>
      <c r="AJ7302">
        <v>54.986519144944303</v>
      </c>
      <c r="AK7302">
        <v>13.5376188495782</v>
      </c>
      <c r="AL7302">
        <v>82.620400529653395</v>
      </c>
      <c r="AM7302">
        <v>70.823945271144694</v>
      </c>
      <c r="AN7302">
        <v>1.00000001911088</v>
      </c>
    </row>
    <row r="7303" spans="1:40" x14ac:dyDescent="0.25">
      <c r="A7303" t="str">
        <f>"20190312173107904"</f>
        <v>20190312173107904</v>
      </c>
      <c r="B7303" t="str">
        <f>"1552383067894655"</f>
        <v>1552383067894655</v>
      </c>
      <c r="C7303" t="s">
        <v>40</v>
      </c>
      <c r="D7303">
        <v>3.4514710000000002</v>
      </c>
      <c r="E7303">
        <v>0.61407959999999995</v>
      </c>
      <c r="F7303" t="s">
        <v>51</v>
      </c>
      <c r="G7303">
        <v>-172.13939999999999</v>
      </c>
      <c r="H7303" s="1">
        <v>-2.0844159999999999E-6</v>
      </c>
      <c r="I7303">
        <v>133.38740000000001</v>
      </c>
      <c r="J7303">
        <v>-183.98929999999999</v>
      </c>
      <c r="K7303">
        <v>1.101791</v>
      </c>
      <c r="L7303">
        <v>126.6777</v>
      </c>
      <c r="M7303">
        <v>0.42999730000000003</v>
      </c>
      <c r="N7303">
        <v>0</v>
      </c>
      <c r="O7303">
        <v>0.90267989999999998</v>
      </c>
      <c r="P7303">
        <v>0.69598329999999997</v>
      </c>
      <c r="Q7303">
        <v>0.1198528</v>
      </c>
      <c r="R7303">
        <v>0.70798490000000003</v>
      </c>
      <c r="S7303">
        <v>2.755325</v>
      </c>
      <c r="T7303">
        <v>-0.25487120000000002</v>
      </c>
      <c r="U7303">
        <v>1.57962</v>
      </c>
      <c r="V7303">
        <v>0.3265747</v>
      </c>
      <c r="W7303">
        <v>0.12861420000000001</v>
      </c>
      <c r="X7303">
        <v>0.93637990000000004</v>
      </c>
      <c r="Y7303">
        <v>0.56613829999999998</v>
      </c>
      <c r="Z7303">
        <v>-8.2946640000000002E-2</v>
      </c>
      <c r="AA7303">
        <v>0.82012640000000003</v>
      </c>
      <c r="AB7303">
        <v>27</v>
      </c>
      <c r="AC7303">
        <v>11.8498999999999</v>
      </c>
      <c r="AD7303">
        <v>-1.101793084416</v>
      </c>
      <c r="AE7303">
        <v>6.7097000000000104</v>
      </c>
      <c r="AF7303">
        <v>7.7617627288020303</v>
      </c>
      <c r="AG7303">
        <v>-1.101793084416</v>
      </c>
      <c r="AH7303">
        <v>11.081109225069399</v>
      </c>
      <c r="AI7303">
        <v>94.655829956087501</v>
      </c>
      <c r="AJ7303">
        <v>54.990680155472603</v>
      </c>
      <c r="AK7303">
        <v>13.573867920272599</v>
      </c>
      <c r="AL7303">
        <v>82.610480291830598</v>
      </c>
      <c r="AM7303">
        <v>70.773116307146097</v>
      </c>
      <c r="AN7303">
        <v>0.999999982122869</v>
      </c>
    </row>
    <row r="7304" spans="1:40" x14ac:dyDescent="0.25">
      <c r="A7304" t="str">
        <f>"20190312173107914"</f>
        <v>20190312173107914</v>
      </c>
      <c r="B7304" t="str">
        <f>"1552383067904415"</f>
        <v>1552383067904415</v>
      </c>
      <c r="C7304" t="s">
        <v>40</v>
      </c>
      <c r="D7304">
        <v>3.4351820000000002</v>
      </c>
      <c r="E7304">
        <v>0.61407959999999995</v>
      </c>
      <c r="F7304" t="s">
        <v>51</v>
      </c>
      <c r="G7304">
        <v>-172.02080000000001</v>
      </c>
      <c r="H7304" s="1">
        <v>-2.0432670000000001E-6</v>
      </c>
      <c r="I7304">
        <v>133.44720000000001</v>
      </c>
      <c r="J7304">
        <v>-183.92760000000001</v>
      </c>
      <c r="K7304">
        <v>1.101721</v>
      </c>
      <c r="L7304">
        <v>126.79340000000001</v>
      </c>
      <c r="M7304">
        <v>0.43505539999999998</v>
      </c>
      <c r="N7304">
        <v>0</v>
      </c>
      <c r="O7304">
        <v>0.90025259999999996</v>
      </c>
      <c r="P7304">
        <v>0.70042059999999995</v>
      </c>
      <c r="Q7304">
        <v>0.1201305</v>
      </c>
      <c r="R7304">
        <v>0.7035479</v>
      </c>
      <c r="S7304">
        <v>2.7639770000000001</v>
      </c>
      <c r="T7304">
        <v>-0.25444709999999998</v>
      </c>
      <c r="U7304">
        <v>1.5633239999999999</v>
      </c>
      <c r="V7304">
        <v>0.32725700000000002</v>
      </c>
      <c r="W7304">
        <v>0.12883359999999999</v>
      </c>
      <c r="X7304">
        <v>0.93611149999999999</v>
      </c>
      <c r="Y7304">
        <v>0.56629619999999903</v>
      </c>
      <c r="Z7304">
        <v>-8.2759559999999996E-2</v>
      </c>
      <c r="AA7304">
        <v>0.82003630000000005</v>
      </c>
      <c r="AB7304">
        <v>27</v>
      </c>
      <c r="AC7304">
        <v>11.9068</v>
      </c>
      <c r="AD7304">
        <v>-1.101723043267</v>
      </c>
      <c r="AE7304">
        <v>6.6538000000000004</v>
      </c>
      <c r="AF7304">
        <v>7.7746969355427202</v>
      </c>
      <c r="AG7304">
        <v>-1.101723043267</v>
      </c>
      <c r="AH7304">
        <v>11.0993239887335</v>
      </c>
      <c r="AI7304">
        <v>94.647894311816501</v>
      </c>
      <c r="AJ7304">
        <v>54.990071789143101</v>
      </c>
      <c r="AK7304">
        <v>13.596128092603299</v>
      </c>
      <c r="AL7304">
        <v>82.597804200172007</v>
      </c>
      <c r="AM7304">
        <v>70.730786968833598</v>
      </c>
      <c r="AN7304">
        <v>0.99999999048510502</v>
      </c>
    </row>
    <row r="7305" spans="1:40" x14ac:dyDescent="0.25">
      <c r="A7305" t="str">
        <f>"20190312173107925"</f>
        <v>20190312173107925</v>
      </c>
      <c r="B7305" t="str">
        <f>"1552383067915151"</f>
        <v>1552383067915151</v>
      </c>
      <c r="C7305" t="s">
        <v>40</v>
      </c>
      <c r="D7305">
        <v>3.5650249999999999</v>
      </c>
      <c r="E7305">
        <v>0.61512349999999905</v>
      </c>
      <c r="F7305" t="s">
        <v>51</v>
      </c>
      <c r="G7305">
        <v>-171.87540000000001</v>
      </c>
      <c r="H7305" s="1">
        <v>-1.9880989999999998E-6</v>
      </c>
      <c r="I7305">
        <v>133.50980000000001</v>
      </c>
      <c r="J7305">
        <v>-183.8621</v>
      </c>
      <c r="K7305">
        <v>1.1016459999999999</v>
      </c>
      <c r="L7305">
        <v>126.9153</v>
      </c>
      <c r="M7305">
        <v>0.44040210000000002</v>
      </c>
      <c r="N7305">
        <v>0</v>
      </c>
      <c r="O7305">
        <v>0.89764889999999997</v>
      </c>
      <c r="P7305">
        <v>0.70507449999999905</v>
      </c>
      <c r="Q7305">
        <v>0.1201349</v>
      </c>
      <c r="R7305">
        <v>0.69888309999999998</v>
      </c>
      <c r="S7305">
        <v>2.773911</v>
      </c>
      <c r="T7305">
        <v>-0.2535712</v>
      </c>
      <c r="U7305">
        <v>1.5458369999999999</v>
      </c>
      <c r="V7305">
        <v>0.32792660000000001</v>
      </c>
      <c r="W7305">
        <v>0.12877819999999901</v>
      </c>
      <c r="X7305">
        <v>0.93588479999999996</v>
      </c>
      <c r="Y7305">
        <v>0.56662080000000004</v>
      </c>
      <c r="Z7305">
        <v>-8.2406930000000003E-2</v>
      </c>
      <c r="AA7305">
        <v>0.81984749999999995</v>
      </c>
      <c r="AB7305">
        <v>27</v>
      </c>
      <c r="AC7305">
        <v>11.9866999999999</v>
      </c>
      <c r="AD7305">
        <v>-1.101647988099</v>
      </c>
      <c r="AE7305">
        <v>6.5945000000000098</v>
      </c>
      <c r="AF7305">
        <v>7.8060709961427301</v>
      </c>
      <c r="AG7305">
        <v>-1.101647988099</v>
      </c>
      <c r="AH7305">
        <v>11.1278844238182</v>
      </c>
      <c r="AI7305">
        <v>94.6334870406004</v>
      </c>
      <c r="AJ7305">
        <v>54.950822978753699</v>
      </c>
      <c r="AK7305">
        <v>13.637381876165099</v>
      </c>
      <c r="AL7305">
        <v>82.601005264625002</v>
      </c>
      <c r="AM7305">
        <v>70.689944468214804</v>
      </c>
      <c r="AN7305">
        <v>1.0000000193269101</v>
      </c>
    </row>
    <row r="7306" spans="1:40" x14ac:dyDescent="0.25">
      <c r="A7306" t="str">
        <f>"20190312173107936"</f>
        <v>20190312173107936</v>
      </c>
      <c r="B7306" t="str">
        <f>"1552383067924911"</f>
        <v>1552383067924911</v>
      </c>
      <c r="C7306" t="s">
        <v>40</v>
      </c>
      <c r="D7306">
        <v>3.4108170000000002</v>
      </c>
      <c r="E7306">
        <v>0.61512349999999905</v>
      </c>
      <c r="F7306" t="s">
        <v>51</v>
      </c>
      <c r="G7306">
        <v>-171.83430000000001</v>
      </c>
      <c r="H7306" s="1">
        <v>-1.949565E-6</v>
      </c>
      <c r="I7306">
        <v>133.47569999999999</v>
      </c>
      <c r="J7306">
        <v>-183.79820000000001</v>
      </c>
      <c r="K7306">
        <v>1.1015779999999999</v>
      </c>
      <c r="L7306">
        <v>127.032</v>
      </c>
      <c r="M7306">
        <v>0.4455964</v>
      </c>
      <c r="N7306">
        <v>0</v>
      </c>
      <c r="O7306">
        <v>0.89508149999999997</v>
      </c>
      <c r="P7306">
        <v>0.70964649999999996</v>
      </c>
      <c r="Q7306">
        <v>0.120197</v>
      </c>
      <c r="R7306">
        <v>0.69422950000000005</v>
      </c>
      <c r="S7306">
        <v>2.790009</v>
      </c>
      <c r="T7306">
        <v>-0.25554139999999997</v>
      </c>
      <c r="U7306">
        <v>1.5217590000000001</v>
      </c>
      <c r="V7306">
        <v>0.32867439999999998</v>
      </c>
      <c r="W7306">
        <v>0.12878249999999999</v>
      </c>
      <c r="X7306">
        <v>0.93562190000000001</v>
      </c>
      <c r="Y7306">
        <v>0.56925389999999998</v>
      </c>
      <c r="Z7306">
        <v>-8.2967319999999997E-2</v>
      </c>
      <c r="AA7306">
        <v>0.81796480000000005</v>
      </c>
      <c r="AB7306">
        <v>27</v>
      </c>
      <c r="AC7306">
        <v>11.963899999999899</v>
      </c>
      <c r="AD7306">
        <v>-1.101579949565</v>
      </c>
      <c r="AE7306">
        <v>6.4436999999999696</v>
      </c>
      <c r="AF7306">
        <v>7.7872713959557096</v>
      </c>
      <c r="AG7306">
        <v>-1.101579949565</v>
      </c>
      <c r="AH7306">
        <v>11.0277529782458</v>
      </c>
      <c r="AI7306">
        <v>94.664877982703501</v>
      </c>
      <c r="AJ7306">
        <v>54.772091229488403</v>
      </c>
      <c r="AK7306">
        <v>13.5449772952472</v>
      </c>
      <c r="AL7306">
        <v>82.600757176093296</v>
      </c>
      <c r="AM7306">
        <v>70.644146642773606</v>
      </c>
      <c r="AN7306">
        <v>1.0000000666405999</v>
      </c>
    </row>
    <row r="7307" spans="1:40" x14ac:dyDescent="0.25">
      <c r="A7307" t="str">
        <f>"20190312173107947"</f>
        <v>20190312173107947</v>
      </c>
      <c r="B7307" t="str">
        <f>"1552383067944431"</f>
        <v>1552383067944431</v>
      </c>
      <c r="C7307" t="s">
        <v>40</v>
      </c>
      <c r="D7307">
        <v>3.4756550000000002</v>
      </c>
      <c r="E7307">
        <v>0.65051899999999996</v>
      </c>
      <c r="F7307" t="s">
        <v>51</v>
      </c>
      <c r="G7307">
        <v>-171.7105</v>
      </c>
      <c r="H7307" s="1">
        <v>-1.899187E-6</v>
      </c>
      <c r="I7307">
        <v>133.5214</v>
      </c>
      <c r="J7307">
        <v>-183.73820000000001</v>
      </c>
      <c r="K7307">
        <v>1.101518</v>
      </c>
      <c r="L7307">
        <v>127.1405</v>
      </c>
      <c r="M7307">
        <v>0.45045010000000002</v>
      </c>
      <c r="N7307">
        <v>0</v>
      </c>
      <c r="O7307">
        <v>0.89264849999999996</v>
      </c>
      <c r="P7307">
        <v>0.71407810000000005</v>
      </c>
      <c r="Q7307">
        <v>0.1201921</v>
      </c>
      <c r="R7307">
        <v>0.68967119999999904</v>
      </c>
      <c r="S7307">
        <v>2.8000949999999998</v>
      </c>
      <c r="T7307">
        <v>-0.25517869999999998</v>
      </c>
      <c r="U7307">
        <v>1.5032350000000001</v>
      </c>
      <c r="V7307">
        <v>0.32960640000000002</v>
      </c>
      <c r="W7307">
        <v>0.12871769999999999</v>
      </c>
      <c r="X7307">
        <v>0.93530279999999999</v>
      </c>
      <c r="Y7307">
        <v>0.57023669999999904</v>
      </c>
      <c r="Z7307">
        <v>-8.2800059999999995E-2</v>
      </c>
      <c r="AA7307">
        <v>0.81729689999999999</v>
      </c>
      <c r="AB7307">
        <v>27</v>
      </c>
      <c r="AC7307">
        <v>12.027699999999999</v>
      </c>
      <c r="AD7307">
        <v>-1.1015198991869899</v>
      </c>
      <c r="AE7307">
        <v>6.3808999999999898</v>
      </c>
      <c r="AF7307">
        <v>7.8121744481836597</v>
      </c>
      <c r="AG7307">
        <v>-1.1015198991869899</v>
      </c>
      <c r="AH7307">
        <v>11.043020810474101</v>
      </c>
      <c r="AI7307">
        <v>94.655409529022293</v>
      </c>
      <c r="AJ7307">
        <v>54.723230753293201</v>
      </c>
      <c r="AK7307">
        <v>13.571725178389199</v>
      </c>
      <c r="AL7307">
        <v>82.604500432067795</v>
      </c>
      <c r="AM7307">
        <v>70.5872321083055</v>
      </c>
      <c r="AN7307">
        <v>0.99999997645104399</v>
      </c>
    </row>
    <row r="7308" spans="1:40" x14ac:dyDescent="0.25">
      <c r="A7308" t="str">
        <f>"20190312173107957"</f>
        <v>20190312173107957</v>
      </c>
      <c r="B7308" t="str">
        <f>"1552383067955167"</f>
        <v>1552383067955167</v>
      </c>
      <c r="C7308" t="s">
        <v>40</v>
      </c>
      <c r="D7308">
        <v>3.4892430000000001</v>
      </c>
      <c r="E7308">
        <v>0.65026470000000003</v>
      </c>
      <c r="F7308" t="s">
        <v>51</v>
      </c>
      <c r="G7308">
        <v>-171.52860000000001</v>
      </c>
      <c r="H7308" s="1">
        <v>-1.278028E-6</v>
      </c>
      <c r="I7308">
        <v>132.3528</v>
      </c>
      <c r="J7308">
        <v>-183.6739</v>
      </c>
      <c r="K7308">
        <v>1.1014550000000001</v>
      </c>
      <c r="L7308">
        <v>127.2548</v>
      </c>
      <c r="M7308">
        <v>0.45562609999999998</v>
      </c>
      <c r="N7308">
        <v>0</v>
      </c>
      <c r="O7308">
        <v>0.89001730000000001</v>
      </c>
      <c r="P7308">
        <v>0.71857079999999995</v>
      </c>
      <c r="Q7308">
        <v>0.1206549</v>
      </c>
      <c r="R7308">
        <v>0.68490769999999901</v>
      </c>
      <c r="S7308">
        <v>3.00705</v>
      </c>
      <c r="T7308">
        <v>-0.27128770000000002</v>
      </c>
      <c r="U7308">
        <v>1.2837069999999999</v>
      </c>
      <c r="V7308">
        <v>0.33035599999999998</v>
      </c>
      <c r="W7308">
        <v>0.12912580000000001</v>
      </c>
      <c r="X7308">
        <v>0.93498210000000004</v>
      </c>
      <c r="Y7308">
        <v>0.63598840000000001</v>
      </c>
      <c r="Z7308">
        <v>-8.7208170000000002E-2</v>
      </c>
      <c r="AA7308">
        <v>0.76675519999999997</v>
      </c>
      <c r="AB7308">
        <v>27</v>
      </c>
      <c r="AC7308">
        <v>12.145299999999899</v>
      </c>
      <c r="AD7308">
        <v>-1.1014562780279999</v>
      </c>
      <c r="AE7308">
        <v>5.0979999999999901</v>
      </c>
      <c r="AF7308">
        <v>8.4289678307151092</v>
      </c>
      <c r="AG7308">
        <v>-1.1014562780279999</v>
      </c>
      <c r="AH7308">
        <v>10.0024607365875</v>
      </c>
      <c r="AI7308">
        <v>94.813330704904104</v>
      </c>
      <c r="AJ7308">
        <v>49.879515338530503</v>
      </c>
      <c r="AK7308">
        <v>13.1266875262044</v>
      </c>
      <c r="AL7308">
        <v>82.580921747574095</v>
      </c>
      <c r="AM7308">
        <v>70.540224111646495</v>
      </c>
      <c r="AN7308">
        <v>1.0000000431410201</v>
      </c>
    </row>
    <row r="7309" spans="1:40" x14ac:dyDescent="0.25">
      <c r="A7309" t="str">
        <f>"20190312173107969"</f>
        <v>20190312173107969</v>
      </c>
      <c r="B7309" t="str">
        <f>"1552383067964926"</f>
        <v>1552383067964926</v>
      </c>
      <c r="C7309" t="s">
        <v>40</v>
      </c>
      <c r="D7309">
        <v>3.481379</v>
      </c>
      <c r="E7309">
        <v>0.65014090000000002</v>
      </c>
      <c r="F7309" t="s">
        <v>51</v>
      </c>
      <c r="G7309">
        <v>-171.60939999999999</v>
      </c>
      <c r="H7309" s="1">
        <v>-1.310141E-6</v>
      </c>
      <c r="I7309">
        <v>132.3212</v>
      </c>
      <c r="J7309">
        <v>-183.60249999999999</v>
      </c>
      <c r="K7309">
        <v>1.101383</v>
      </c>
      <c r="L7309">
        <v>127.3798</v>
      </c>
      <c r="M7309">
        <v>0.46133809999999897</v>
      </c>
      <c r="N7309">
        <v>0</v>
      </c>
      <c r="O7309">
        <v>0.88706960000000001</v>
      </c>
      <c r="P7309">
        <v>0.72349569999999996</v>
      </c>
      <c r="Q7309">
        <v>0.1206141</v>
      </c>
      <c r="R7309">
        <v>0.67971040000000005</v>
      </c>
      <c r="S7309">
        <v>3.014526</v>
      </c>
      <c r="T7309">
        <v>-0.27521990000000002</v>
      </c>
      <c r="U7309">
        <v>1.26593</v>
      </c>
      <c r="V7309">
        <v>0.33111220000000002</v>
      </c>
      <c r="W7309">
        <v>0.1290279</v>
      </c>
      <c r="X7309">
        <v>0.934728</v>
      </c>
      <c r="Y7309">
        <v>0.63545839999999998</v>
      </c>
      <c r="Z7309">
        <v>-8.8377999999999998E-2</v>
      </c>
      <c r="AA7309">
        <v>0.76706059999999998</v>
      </c>
      <c r="AB7309">
        <v>27</v>
      </c>
      <c r="AC7309">
        <v>11.993099999999901</v>
      </c>
      <c r="AD7309">
        <v>-1.1013843101409999</v>
      </c>
      <c r="AE7309">
        <v>4.9413999999999998</v>
      </c>
      <c r="AF7309">
        <v>8.3003633922887001</v>
      </c>
      <c r="AG7309">
        <v>-1.1013843101409999</v>
      </c>
      <c r="AH7309">
        <v>9.8466106619657801</v>
      </c>
      <c r="AI7309">
        <v>94.888166401380701</v>
      </c>
      <c r="AJ7309">
        <v>49.870231756176402</v>
      </c>
      <c r="AK7309">
        <v>12.9253557541372</v>
      </c>
      <c r="AL7309">
        <v>82.586577711155201</v>
      </c>
      <c r="AM7309">
        <v>70.494136611262505</v>
      </c>
      <c r="AN7309">
        <v>0.99999996097562405</v>
      </c>
    </row>
    <row r="7310" spans="1:40" x14ac:dyDescent="0.25">
      <c r="A7310" t="str">
        <f>"20190312173107982"</f>
        <v>20190312173107982</v>
      </c>
      <c r="B7310" t="str">
        <f>"1552383067974686"</f>
        <v>1552383067974686</v>
      </c>
      <c r="C7310" t="s">
        <v>40</v>
      </c>
      <c r="D7310">
        <v>3.5007709999999999</v>
      </c>
      <c r="E7310">
        <v>0.64995780000000003</v>
      </c>
      <c r="F7310" t="s">
        <v>51</v>
      </c>
      <c r="G7310">
        <v>-171.64699999999999</v>
      </c>
      <c r="H7310" s="1">
        <v>-1.3240970000000001E-6</v>
      </c>
      <c r="I7310">
        <v>132.30430000000001</v>
      </c>
      <c r="J7310">
        <v>-183.52119999999999</v>
      </c>
      <c r="K7310">
        <v>1.1013120000000001</v>
      </c>
      <c r="L7310">
        <v>127.52030000000001</v>
      </c>
      <c r="M7310">
        <v>0.46780240000000001</v>
      </c>
      <c r="N7310">
        <v>0</v>
      </c>
      <c r="O7310">
        <v>0.88367739999999995</v>
      </c>
      <c r="P7310">
        <v>0.728998699999999</v>
      </c>
      <c r="Q7310">
        <v>0.12098440000000001</v>
      </c>
      <c r="R7310">
        <v>0.67373850000000002</v>
      </c>
      <c r="S7310">
        <v>3.0231170000000001</v>
      </c>
      <c r="T7310">
        <v>-0.27850140000000001</v>
      </c>
      <c r="U7310">
        <v>1.2452240000000001</v>
      </c>
      <c r="V7310">
        <v>0.3319513</v>
      </c>
      <c r="W7310">
        <v>0.1293348</v>
      </c>
      <c r="X7310">
        <v>0.93438790000000005</v>
      </c>
      <c r="Y7310">
        <v>0.63500800000000002</v>
      </c>
      <c r="Z7310">
        <v>-8.9324089999999995E-2</v>
      </c>
      <c r="AA7310">
        <v>0.76732389999999995</v>
      </c>
      <c r="AB7310">
        <v>27</v>
      </c>
      <c r="AC7310">
        <v>11.874199999999901</v>
      </c>
      <c r="AD7310">
        <v>-1.1013133240969999</v>
      </c>
      <c r="AE7310">
        <v>4.7839999999999998</v>
      </c>
      <c r="AF7310">
        <v>8.1954772179312307</v>
      </c>
      <c r="AG7310">
        <v>-1.1013133240969999</v>
      </c>
      <c r="AH7310">
        <v>9.7117618921084308</v>
      </c>
      <c r="AI7310">
        <v>94.953187434765496</v>
      </c>
      <c r="AJ7310">
        <v>49.839940555354303</v>
      </c>
      <c r="AK7310">
        <v>12.755275650352401</v>
      </c>
      <c r="AL7310">
        <v>82.568844985366496</v>
      </c>
      <c r="AM7310">
        <v>70.441873476667098</v>
      </c>
      <c r="AN7310">
        <v>0.99999995186456903</v>
      </c>
    </row>
    <row r="7311" spans="1:40" x14ac:dyDescent="0.25">
      <c r="A7311" t="str">
        <f>"20190312173108003"</f>
        <v>20190312173108003</v>
      </c>
      <c r="B7311" t="str">
        <f>"1552383067995182"</f>
        <v>1552383067995182</v>
      </c>
      <c r="C7311" t="s">
        <v>40</v>
      </c>
      <c r="D7311">
        <v>3.4391790000000002</v>
      </c>
      <c r="E7311">
        <v>0.64947429999999995</v>
      </c>
      <c r="F7311" t="s">
        <v>51</v>
      </c>
      <c r="G7311">
        <v>-171.58930000000001</v>
      </c>
      <c r="H7311" s="1">
        <v>-1.3016749999999999E-6</v>
      </c>
      <c r="I7311">
        <v>132.328</v>
      </c>
      <c r="J7311">
        <v>-183.39230000000001</v>
      </c>
      <c r="K7311">
        <v>1.101207</v>
      </c>
      <c r="L7311">
        <v>127.73739999999999</v>
      </c>
      <c r="M7311">
        <v>0.4779677</v>
      </c>
      <c r="N7311">
        <v>0</v>
      </c>
      <c r="O7311">
        <v>0.87822019999999901</v>
      </c>
      <c r="P7311">
        <v>0.7374735</v>
      </c>
      <c r="Q7311">
        <v>0.12179479999999999</v>
      </c>
      <c r="R7311">
        <v>0.66430330000000004</v>
      </c>
      <c r="S7311">
        <v>3.0324550000000001</v>
      </c>
      <c r="T7311">
        <v>-0.27989409999999998</v>
      </c>
      <c r="U7311">
        <v>1.2218629999999999</v>
      </c>
      <c r="V7311">
        <v>0.33312829999999999</v>
      </c>
      <c r="W7311">
        <v>0.1300539</v>
      </c>
      <c r="X7311">
        <v>0.93386910000000001</v>
      </c>
      <c r="Y7311">
        <v>0.63199300000000003</v>
      </c>
      <c r="Z7311">
        <v>-8.9530499999999999E-2</v>
      </c>
      <c r="AA7311">
        <v>0.7697851</v>
      </c>
      <c r="AB7311">
        <v>27</v>
      </c>
      <c r="AC7311">
        <v>11.8029999999999</v>
      </c>
      <c r="AD7311">
        <v>-1.1012083016750001</v>
      </c>
      <c r="AE7311">
        <v>4.5906000000000002</v>
      </c>
      <c r="AF7311">
        <v>8.11127404372467</v>
      </c>
      <c r="AG7311">
        <v>-1.1012083016750001</v>
      </c>
      <c r="AH7311">
        <v>9.6017479242488299</v>
      </c>
      <c r="AI7311">
        <v>95.0069684825758</v>
      </c>
      <c r="AJ7311">
        <v>49.809860337759702</v>
      </c>
      <c r="AK7311">
        <v>12.617408194114001</v>
      </c>
      <c r="AL7311">
        <v>82.527292912778506</v>
      </c>
      <c r="AM7311">
        <v>70.367746876575893</v>
      </c>
      <c r="AN7311">
        <v>0.99999998855045402</v>
      </c>
    </row>
    <row r="7312" spans="1:40" x14ac:dyDescent="0.25">
      <c r="A7312" t="str">
        <f>"20190312173108016"</f>
        <v>20190312173108016</v>
      </c>
      <c r="B7312" t="str">
        <f>"1552383068004942"</f>
        <v>1552383068004942</v>
      </c>
      <c r="C7312" t="s">
        <v>40</v>
      </c>
      <c r="D7312">
        <v>3.4064920000000001</v>
      </c>
      <c r="E7312">
        <v>0.64981599999999995</v>
      </c>
      <c r="F7312" t="s">
        <v>51</v>
      </c>
      <c r="G7312">
        <v>-170.7124</v>
      </c>
      <c r="H7312" s="1">
        <v>-9.5289539999999995E-7</v>
      </c>
      <c r="I7312">
        <v>132.66929999999999</v>
      </c>
      <c r="J7312">
        <v>-183.30609999999999</v>
      </c>
      <c r="K7312">
        <v>1.1011420000000001</v>
      </c>
      <c r="L7312">
        <v>127.87869999999999</v>
      </c>
      <c r="M7312">
        <v>0.48470170000000001</v>
      </c>
      <c r="N7312">
        <v>0</v>
      </c>
      <c r="O7312">
        <v>0.87452129999999995</v>
      </c>
      <c r="P7312">
        <v>0.74284459999999997</v>
      </c>
      <c r="Q7312">
        <v>0.12219240000000001</v>
      </c>
      <c r="R7312">
        <v>0.65821799999999997</v>
      </c>
      <c r="S7312">
        <v>3.0448300000000001</v>
      </c>
      <c r="T7312">
        <v>-0.26443309999999998</v>
      </c>
      <c r="U7312">
        <v>1.184296</v>
      </c>
      <c r="V7312">
        <v>0.33360430000000002</v>
      </c>
      <c r="W7312">
        <v>0.1304024</v>
      </c>
      <c r="X7312">
        <v>0.9336506</v>
      </c>
      <c r="Y7312">
        <v>0.63577869999999903</v>
      </c>
      <c r="Z7312">
        <v>-8.4674040000000006E-2</v>
      </c>
      <c r="AA7312">
        <v>0.76721289999999998</v>
      </c>
      <c r="AB7312">
        <v>27</v>
      </c>
      <c r="AC7312">
        <v>12.593699999999901</v>
      </c>
      <c r="AD7312">
        <v>-1.1011429528954</v>
      </c>
      <c r="AE7312">
        <v>4.7905999999999898</v>
      </c>
      <c r="AF7312">
        <v>8.6349799163907992</v>
      </c>
      <c r="AG7312">
        <v>-1.1011429528954</v>
      </c>
      <c r="AH7312">
        <v>10.226793125863001</v>
      </c>
      <c r="AI7312">
        <v>94.703062909585697</v>
      </c>
      <c r="AJ7312">
        <v>49.823967067759398</v>
      </c>
      <c r="AK7312">
        <v>13.429917780775201</v>
      </c>
      <c r="AL7312">
        <v>82.507154133941896</v>
      </c>
      <c r="AM7312">
        <v>70.337595839562496</v>
      </c>
      <c r="AN7312">
        <v>1.0000000288923001</v>
      </c>
    </row>
    <row r="7313" spans="1:40" x14ac:dyDescent="0.25">
      <c r="A7313" t="str">
        <f>"20190312173108027"</f>
        <v>20190312173108027</v>
      </c>
      <c r="B7313" t="str">
        <f>"1552383068024463"</f>
        <v>1552383068024463</v>
      </c>
      <c r="C7313" t="s">
        <v>40</v>
      </c>
      <c r="D7313">
        <v>3.4223279999999998</v>
      </c>
      <c r="E7313">
        <v>0.64990709999999996</v>
      </c>
      <c r="F7313" t="s">
        <v>51</v>
      </c>
      <c r="G7313">
        <v>-170.39330000000001</v>
      </c>
      <c r="H7313" s="1">
        <v>-8.1399139999999999E-7</v>
      </c>
      <c r="I7313">
        <v>132.7664</v>
      </c>
      <c r="J7313">
        <v>-183.24119999999999</v>
      </c>
      <c r="K7313">
        <v>1.1010930000000001</v>
      </c>
      <c r="L7313">
        <v>127.9838</v>
      </c>
      <c r="M7313">
        <v>0.48973270000000002</v>
      </c>
      <c r="N7313">
        <v>0</v>
      </c>
      <c r="O7313">
        <v>0.87171359999999998</v>
      </c>
      <c r="P7313">
        <v>0.74692259999999999</v>
      </c>
      <c r="Q7313">
        <v>0.122928</v>
      </c>
      <c r="R7313">
        <v>0.65344880000000005</v>
      </c>
      <c r="S7313">
        <v>3.0563199999999999</v>
      </c>
      <c r="T7313">
        <v>-0.26062970000000002</v>
      </c>
      <c r="U7313">
        <v>1.156876</v>
      </c>
      <c r="V7313">
        <v>0.33412950000000002</v>
      </c>
      <c r="W7313">
        <v>0.1310973</v>
      </c>
      <c r="X7313">
        <v>0.93336540000000001</v>
      </c>
      <c r="Y7313">
        <v>0.63842209999999999</v>
      </c>
      <c r="Z7313">
        <v>-8.3436070000000001E-2</v>
      </c>
      <c r="AA7313">
        <v>0.76515069999999996</v>
      </c>
      <c r="AB7313">
        <v>27</v>
      </c>
      <c r="AC7313">
        <v>12.8478999999999</v>
      </c>
      <c r="AD7313">
        <v>-1.1010938139913999</v>
      </c>
      <c r="AE7313">
        <v>4.7826000000000004</v>
      </c>
      <c r="AF7313">
        <v>8.8019407301815296</v>
      </c>
      <c r="AG7313">
        <v>-1.1010938139913999</v>
      </c>
      <c r="AH7313">
        <v>10.3954838657703</v>
      </c>
      <c r="AI7313">
        <v>94.621517458220893</v>
      </c>
      <c r="AJ7313">
        <v>49.745139344590598</v>
      </c>
      <c r="AK7313">
        <v>13.665747436870401</v>
      </c>
      <c r="AL7313">
        <v>82.466994303886594</v>
      </c>
      <c r="AM7313">
        <v>70.3034658432111</v>
      </c>
      <c r="AN7313">
        <v>0.99999999737735001</v>
      </c>
    </row>
    <row r="7314" spans="1:40" x14ac:dyDescent="0.25">
      <c r="A7314" t="str">
        <f>"20190312173108038"</f>
        <v>20190312173108038</v>
      </c>
      <c r="B7314" t="str">
        <f>"1552383068035199"</f>
        <v>1552383068035199</v>
      </c>
      <c r="C7314" t="s">
        <v>40</v>
      </c>
      <c r="D7314">
        <v>3.4072309999999999</v>
      </c>
      <c r="E7314">
        <v>0.649877699999999</v>
      </c>
      <c r="F7314" t="s">
        <v>51</v>
      </c>
      <c r="G7314">
        <v>-170.14930000000001</v>
      </c>
      <c r="H7314" s="1">
        <v>-7.078368E-7</v>
      </c>
      <c r="I7314">
        <v>132.8409</v>
      </c>
      <c r="J7314">
        <v>-183.17</v>
      </c>
      <c r="K7314">
        <v>1.1010530000000001</v>
      </c>
      <c r="L7314">
        <v>128.09739999999999</v>
      </c>
      <c r="M7314">
        <v>0.4952182</v>
      </c>
      <c r="N7314">
        <v>0</v>
      </c>
      <c r="O7314">
        <v>0.86860869999999901</v>
      </c>
      <c r="P7314">
        <v>0.75135109999999905</v>
      </c>
      <c r="Q7314">
        <v>0.1233297</v>
      </c>
      <c r="R7314">
        <v>0.64827570000000001</v>
      </c>
      <c r="S7314">
        <v>3.0643009999999999</v>
      </c>
      <c r="T7314">
        <v>-0.2577217</v>
      </c>
      <c r="U7314">
        <v>1.136841</v>
      </c>
      <c r="V7314">
        <v>0.33465889999999998</v>
      </c>
      <c r="W7314">
        <v>0.1314594</v>
      </c>
      <c r="X7314">
        <v>0.93312479999999998</v>
      </c>
      <c r="Y7314">
        <v>0.63871420000000001</v>
      </c>
      <c r="Z7314">
        <v>-8.2419160000000005E-2</v>
      </c>
      <c r="AA7314">
        <v>0.76501719999999995</v>
      </c>
      <c r="AB7314">
        <v>27</v>
      </c>
      <c r="AC7314">
        <v>13.0206999999999</v>
      </c>
      <c r="AD7314">
        <v>-1.1010537078367999</v>
      </c>
      <c r="AE7314">
        <v>4.7435000000000098</v>
      </c>
      <c r="AF7314">
        <v>8.9058495174224799</v>
      </c>
      <c r="AG7314">
        <v>-1.1010537078367999</v>
      </c>
      <c r="AH7314">
        <v>10.5034943931317</v>
      </c>
      <c r="AI7314">
        <v>94.571366758775696</v>
      </c>
      <c r="AJ7314">
        <v>49.705589602050097</v>
      </c>
      <c r="AK7314">
        <v>13.814842357445301</v>
      </c>
      <c r="AL7314">
        <v>82.446066575304698</v>
      </c>
      <c r="AM7314">
        <v>70.269971299482705</v>
      </c>
      <c r="AN7314">
        <v>1.0000000227863</v>
      </c>
    </row>
    <row r="7315" spans="1:40" x14ac:dyDescent="0.25">
      <c r="A7315" t="str">
        <f>"20190312173108049"</f>
        <v>20190312173108049</v>
      </c>
      <c r="B7315" t="str">
        <f>"1552383068044960"</f>
        <v>1552383068044960</v>
      </c>
      <c r="C7315" t="s">
        <v>40</v>
      </c>
      <c r="D7315">
        <v>3.5222579999999999</v>
      </c>
      <c r="E7315">
        <v>0.6492772</v>
      </c>
      <c r="F7315" t="s">
        <v>41</v>
      </c>
      <c r="G7315">
        <v>-169.94659999999999</v>
      </c>
      <c r="H7315" s="1">
        <v>-1.791557E-6</v>
      </c>
      <c r="I7315">
        <v>132.9007</v>
      </c>
      <c r="J7315">
        <v>-183.0968</v>
      </c>
      <c r="K7315">
        <v>1.1010070000000001</v>
      </c>
      <c r="L7315">
        <v>128.2124</v>
      </c>
      <c r="M7315">
        <v>0.50081330000000002</v>
      </c>
      <c r="N7315">
        <v>0</v>
      </c>
      <c r="O7315">
        <v>0.86539449999999996</v>
      </c>
      <c r="P7315">
        <v>0.75563130000000001</v>
      </c>
      <c r="Q7315">
        <v>0.1239391</v>
      </c>
      <c r="R7315">
        <v>0.64316430000000002</v>
      </c>
      <c r="S7315">
        <v>3.0719910000000001</v>
      </c>
      <c r="T7315">
        <v>-0.2557915</v>
      </c>
      <c r="U7315">
        <v>1.115891</v>
      </c>
      <c r="V7315">
        <v>0.33490999999999999</v>
      </c>
      <c r="W7315">
        <v>0.1320375</v>
      </c>
      <c r="X7315">
        <v>0.93295309999999998</v>
      </c>
      <c r="Y7315">
        <v>0.63904099999999997</v>
      </c>
      <c r="Z7315">
        <v>-8.1722009999999998E-2</v>
      </c>
      <c r="AA7315">
        <v>0.76481899999999903</v>
      </c>
      <c r="AB7315">
        <v>27</v>
      </c>
      <c r="AC7315">
        <v>13.1502</v>
      </c>
      <c r="AD7315">
        <v>-1.1010087915569999</v>
      </c>
      <c r="AE7315">
        <v>4.6882999999999901</v>
      </c>
      <c r="AF7315">
        <v>8.9775697270740693</v>
      </c>
      <c r="AG7315">
        <v>-1.1010087915569999</v>
      </c>
      <c r="AH7315">
        <v>10.578712111119399</v>
      </c>
      <c r="AI7315">
        <v>94.537140975323794</v>
      </c>
      <c r="AJ7315">
        <v>49.680569593209597</v>
      </c>
      <c r="AK7315">
        <v>13.9182660016795</v>
      </c>
      <c r="AL7315">
        <v>82.412652815674704</v>
      </c>
      <c r="AM7315">
        <v>70.252958895876404</v>
      </c>
      <c r="AN7315">
        <v>1.0000000481529201</v>
      </c>
    </row>
    <row r="7316" spans="1:40" x14ac:dyDescent="0.25">
      <c r="A7316" t="str">
        <f>"20190312173108060"</f>
        <v>20190312173108060</v>
      </c>
      <c r="B7316" t="str">
        <f>"1552383068054719"</f>
        <v>1552383068054719</v>
      </c>
      <c r="C7316" t="s">
        <v>40</v>
      </c>
      <c r="D7316">
        <v>3.7157149999999999</v>
      </c>
      <c r="E7316">
        <v>0.64851700000000001</v>
      </c>
      <c r="F7316" t="s">
        <v>41</v>
      </c>
      <c r="G7316">
        <v>-169.8853</v>
      </c>
      <c r="H7316" s="1">
        <v>-1.8067650000000001E-6</v>
      </c>
      <c r="I7316">
        <v>132.93199999999999</v>
      </c>
      <c r="J7316">
        <v>-183.02029999999999</v>
      </c>
      <c r="K7316">
        <v>1.1009580000000001</v>
      </c>
      <c r="L7316">
        <v>128.33109999999999</v>
      </c>
      <c r="M7316">
        <v>0.50662459999999998</v>
      </c>
      <c r="N7316">
        <v>0</v>
      </c>
      <c r="O7316">
        <v>0.86200489999999996</v>
      </c>
      <c r="P7316">
        <v>0.76003149999999997</v>
      </c>
      <c r="Q7316">
        <v>0.1244552</v>
      </c>
      <c r="R7316">
        <v>0.63785819999999904</v>
      </c>
      <c r="S7316">
        <v>3.076721</v>
      </c>
      <c r="T7316">
        <v>-0.2564051</v>
      </c>
      <c r="U7316">
        <v>1.099121</v>
      </c>
      <c r="V7316">
        <v>0.33511960000000002</v>
      </c>
      <c r="W7316">
        <v>0.13252340000000001</v>
      </c>
      <c r="X7316">
        <v>0.93280890000000005</v>
      </c>
      <c r="Y7316">
        <v>0.63793350000000004</v>
      </c>
      <c r="Z7316">
        <v>-8.1815780000000005E-2</v>
      </c>
      <c r="AA7316">
        <v>0.76573310000000006</v>
      </c>
      <c r="AB7316">
        <v>27</v>
      </c>
      <c r="AC7316">
        <v>13.1349999999999</v>
      </c>
      <c r="AD7316">
        <v>-1.1009598067649999</v>
      </c>
      <c r="AE7316">
        <v>4.6009000000000198</v>
      </c>
      <c r="AF7316">
        <v>8.9368352598610503</v>
      </c>
      <c r="AG7316">
        <v>-1.1009598067649999</v>
      </c>
      <c r="AH7316">
        <v>10.5559378270935</v>
      </c>
      <c r="AI7316">
        <v>94.551218511830996</v>
      </c>
      <c r="AJ7316">
        <v>49.748184349396901</v>
      </c>
      <c r="AK7316">
        <v>13.8746877574766</v>
      </c>
      <c r="AL7316">
        <v>82.384565770739997</v>
      </c>
      <c r="AM7316">
        <v>70.238739014999595</v>
      </c>
      <c r="AN7316">
        <v>1.00000002088546</v>
      </c>
    </row>
    <row r="7317" spans="1:40" x14ac:dyDescent="0.25">
      <c r="A7317" t="str">
        <f>"20190312173108071"</f>
        <v>20190312173108071</v>
      </c>
      <c r="B7317" t="str">
        <f>"1552383068064479"</f>
        <v>1552383068064479</v>
      </c>
      <c r="C7317" t="s">
        <v>40</v>
      </c>
      <c r="D7317">
        <v>3.5416340000000002</v>
      </c>
      <c r="E7317">
        <v>0.64799490000000004</v>
      </c>
      <c r="F7317" t="s">
        <v>41</v>
      </c>
      <c r="G7317">
        <v>-169.7388</v>
      </c>
      <c r="H7317" s="1">
        <v>-1.845355E-6</v>
      </c>
      <c r="I7317">
        <v>132.99850000000001</v>
      </c>
      <c r="J7317">
        <v>-182.95089999999999</v>
      </c>
      <c r="K7317">
        <v>1.1009180000000001</v>
      </c>
      <c r="L7317">
        <v>128.4367</v>
      </c>
      <c r="M7317">
        <v>0.51185400000000003</v>
      </c>
      <c r="N7317">
        <v>0</v>
      </c>
      <c r="O7317">
        <v>0.85890979999999995</v>
      </c>
      <c r="P7317">
        <v>0.7639994</v>
      </c>
      <c r="Q7317">
        <v>0.1247545</v>
      </c>
      <c r="R7317">
        <v>0.63304139999999998</v>
      </c>
      <c r="S7317">
        <v>3.0804900000000002</v>
      </c>
      <c r="T7317">
        <v>-0.25535390000000002</v>
      </c>
      <c r="U7317">
        <v>1.082535</v>
      </c>
      <c r="V7317">
        <v>0.33532529999999999</v>
      </c>
      <c r="W7317">
        <v>0.1327961</v>
      </c>
      <c r="X7317">
        <v>0.93269619999999998</v>
      </c>
      <c r="Y7317">
        <v>0.63725509999999996</v>
      </c>
      <c r="Z7317">
        <v>-8.1417859999999995E-2</v>
      </c>
      <c r="AA7317">
        <v>0.76633999999999902</v>
      </c>
      <c r="AB7317">
        <v>27</v>
      </c>
      <c r="AC7317">
        <v>13.2120999999999</v>
      </c>
      <c r="AD7317">
        <v>-1.100919845355</v>
      </c>
      <c r="AE7317">
        <v>4.5617999999999999</v>
      </c>
      <c r="AF7317">
        <v>8.9587085445208192</v>
      </c>
      <c r="AG7317">
        <v>-1.100919845355</v>
      </c>
      <c r="AH7317">
        <v>10.6164716360577</v>
      </c>
      <c r="AI7317">
        <v>94.531364186311507</v>
      </c>
      <c r="AJ7317">
        <v>49.8406569518013</v>
      </c>
      <c r="AK7317">
        <v>13.9348467264905</v>
      </c>
      <c r="AL7317">
        <v>82.3688019645286</v>
      </c>
      <c r="AM7317">
        <v>70.2253455177148</v>
      </c>
      <c r="AN7317">
        <v>1.00000003124486</v>
      </c>
    </row>
    <row r="7318" spans="1:40" x14ac:dyDescent="0.25">
      <c r="A7318" t="str">
        <f>"20190312173108082"</f>
        <v>20190312173108082</v>
      </c>
      <c r="B7318" t="str">
        <f>"1552383068075215"</f>
        <v>1552383068075215</v>
      </c>
      <c r="C7318" t="s">
        <v>40</v>
      </c>
      <c r="D7318">
        <v>3.585229</v>
      </c>
      <c r="E7318">
        <v>0.64739630000000004</v>
      </c>
      <c r="F7318" t="s">
        <v>41</v>
      </c>
      <c r="G7318">
        <v>-169.71029999999999</v>
      </c>
      <c r="H7318" s="1">
        <v>-1.851991E-6</v>
      </c>
      <c r="I7318">
        <v>133.0147</v>
      </c>
      <c r="J7318">
        <v>-182.8809</v>
      </c>
      <c r="K7318">
        <v>1.1008800000000001</v>
      </c>
      <c r="L7318">
        <v>128.54249999999999</v>
      </c>
      <c r="M7318">
        <v>0.51710080000000003</v>
      </c>
      <c r="N7318">
        <v>0</v>
      </c>
      <c r="O7318">
        <v>0.85576090000000005</v>
      </c>
      <c r="P7318">
        <v>0.76793529999999999</v>
      </c>
      <c r="Q7318">
        <v>0.125182399999999</v>
      </c>
      <c r="R7318">
        <v>0.6281757</v>
      </c>
      <c r="S7318">
        <v>3.0848239999999998</v>
      </c>
      <c r="T7318">
        <v>-0.25649460000000002</v>
      </c>
      <c r="U7318">
        <v>1.066589</v>
      </c>
      <c r="V7318">
        <v>0.33550570000000002</v>
      </c>
      <c r="W7318">
        <v>0.13319779999999901</v>
      </c>
      <c r="X7318">
        <v>0.93257400000000001</v>
      </c>
      <c r="Y7318">
        <v>0.63639239999999997</v>
      </c>
      <c r="Z7318">
        <v>-8.1685460000000001E-2</v>
      </c>
      <c r="AA7318">
        <v>0.76702819999999905</v>
      </c>
      <c r="AB7318">
        <v>27</v>
      </c>
      <c r="AC7318">
        <v>13.1706</v>
      </c>
      <c r="AD7318">
        <v>-1.10088185199099</v>
      </c>
      <c r="AE7318">
        <v>4.4722000000000097</v>
      </c>
      <c r="AF7318">
        <v>8.9037842119217299</v>
      </c>
      <c r="AG7318">
        <v>-1.10088185199099</v>
      </c>
      <c r="AH7318">
        <v>10.572918690382901</v>
      </c>
      <c r="AI7318">
        <v>94.553634677396204</v>
      </c>
      <c r="AJ7318">
        <v>49.898224541468203</v>
      </c>
      <c r="AK7318">
        <v>13.866359427692499</v>
      </c>
      <c r="AL7318">
        <v>82.345579693340795</v>
      </c>
      <c r="AM7318">
        <v>70.213141357165199</v>
      </c>
      <c r="AN7318">
        <v>0.99999999706666498</v>
      </c>
    </row>
    <row r="7319" spans="1:40" x14ac:dyDescent="0.25">
      <c r="A7319" t="str">
        <f>"20190312173108092"</f>
        <v>20190312173108092</v>
      </c>
      <c r="B7319" t="str">
        <f>"1552383068084975"</f>
        <v>1552383068084975</v>
      </c>
      <c r="C7319" t="s">
        <v>40</v>
      </c>
      <c r="D7319">
        <v>3.5807269999999898</v>
      </c>
      <c r="E7319">
        <v>0.64694410000000002</v>
      </c>
      <c r="F7319" t="s">
        <v>41</v>
      </c>
      <c r="G7319">
        <v>-169.5994</v>
      </c>
      <c r="H7319" s="1">
        <v>-1.8822069999999999E-6</v>
      </c>
      <c r="I7319">
        <v>133.06120000000001</v>
      </c>
      <c r="J7319">
        <v>-182.81270000000001</v>
      </c>
      <c r="K7319">
        <v>1.100843</v>
      </c>
      <c r="L7319">
        <v>128.64320000000001</v>
      </c>
      <c r="M7319">
        <v>0.52216649999999998</v>
      </c>
      <c r="N7319">
        <v>0</v>
      </c>
      <c r="O7319">
        <v>0.85267919999999997</v>
      </c>
      <c r="P7319">
        <v>0.77167640000000004</v>
      </c>
      <c r="Q7319">
        <v>0.1256891</v>
      </c>
      <c r="R7319">
        <v>0.62347229999999998</v>
      </c>
      <c r="S7319">
        <v>3.0887150000000001</v>
      </c>
      <c r="T7319">
        <v>-0.25601839999999998</v>
      </c>
      <c r="U7319">
        <v>1.0508420000000001</v>
      </c>
      <c r="V7319">
        <v>0.33562710000000001</v>
      </c>
      <c r="W7319">
        <v>0.13368260000000001</v>
      </c>
      <c r="X7319">
        <v>0.93246099999999998</v>
      </c>
      <c r="Y7319">
        <v>0.63564309999999902</v>
      </c>
      <c r="Z7319">
        <v>-8.1449759999999996E-2</v>
      </c>
      <c r="AA7319">
        <v>0.76767430000000003</v>
      </c>
      <c r="AB7319">
        <v>27</v>
      </c>
      <c r="AC7319">
        <v>13.2133</v>
      </c>
      <c r="AD7319">
        <v>-1.1008448822070001</v>
      </c>
      <c r="AE7319">
        <v>4.4180000000000001</v>
      </c>
      <c r="AF7319">
        <v>8.9054325599424899</v>
      </c>
      <c r="AG7319">
        <v>-1.1008448822070001</v>
      </c>
      <c r="AH7319">
        <v>10.601984857305199</v>
      </c>
      <c r="AI7319">
        <v>94.545850086107293</v>
      </c>
      <c r="AJ7319">
        <v>49.970484454952398</v>
      </c>
      <c r="AK7319">
        <v>13.8895885989792</v>
      </c>
      <c r="AL7319">
        <v>82.317552469853595</v>
      </c>
      <c r="AM7319">
        <v>70.204325460706599</v>
      </c>
      <c r="AN7319">
        <v>1.0000000521590799</v>
      </c>
    </row>
    <row r="7320" spans="1:40" x14ac:dyDescent="0.25">
      <c r="A7320" t="str">
        <f>"20190312173108102"</f>
        <v>20190312173108102</v>
      </c>
      <c r="B7320" t="str">
        <f>"1552383068094735"</f>
        <v>1552383068094735</v>
      </c>
      <c r="C7320" t="s">
        <v>40</v>
      </c>
      <c r="D7320">
        <v>3.566859</v>
      </c>
      <c r="E7320">
        <v>0.64641870000000001</v>
      </c>
      <c r="F7320" t="s">
        <v>41</v>
      </c>
      <c r="G7320">
        <v>-169.50829999999999</v>
      </c>
      <c r="H7320" s="1">
        <v>-1.908201E-6</v>
      </c>
      <c r="I7320">
        <v>133.0949</v>
      </c>
      <c r="J7320">
        <v>-182.7388</v>
      </c>
      <c r="K7320">
        <v>1.100803</v>
      </c>
      <c r="L7320">
        <v>128.75200000000001</v>
      </c>
      <c r="M7320">
        <v>0.52762830000000005</v>
      </c>
      <c r="N7320">
        <v>0</v>
      </c>
      <c r="O7320">
        <v>0.84931000000000001</v>
      </c>
      <c r="P7320">
        <v>0.775690199999999</v>
      </c>
      <c r="Q7320">
        <v>0.126194899999999</v>
      </c>
      <c r="R7320">
        <v>0.61836859999999905</v>
      </c>
      <c r="S7320">
        <v>3.093124</v>
      </c>
      <c r="T7320">
        <v>-0.25593500000000002</v>
      </c>
      <c r="U7320">
        <v>1.034958</v>
      </c>
      <c r="V7320">
        <v>0.33574890000000002</v>
      </c>
      <c r="W7320">
        <v>0.13416420000000001</v>
      </c>
      <c r="X7320">
        <v>0.93234790000000001</v>
      </c>
      <c r="Y7320">
        <v>0.63458149999999902</v>
      </c>
      <c r="Z7320">
        <v>-8.1304310000000005E-2</v>
      </c>
      <c r="AA7320">
        <v>0.76856749999999996</v>
      </c>
      <c r="AB7320">
        <v>26</v>
      </c>
      <c r="AC7320">
        <v>13.230499999999999</v>
      </c>
      <c r="AD7320">
        <v>-1.1008049082009901</v>
      </c>
      <c r="AE7320">
        <v>4.3428999999999798</v>
      </c>
      <c r="AF7320">
        <v>8.8910533010322101</v>
      </c>
      <c r="AG7320">
        <v>-1.1008049082009901</v>
      </c>
      <c r="AH7320">
        <v>10.604483443527799</v>
      </c>
      <c r="AI7320">
        <v>94.548083211009398</v>
      </c>
      <c r="AJ7320">
        <v>50.0227243959947</v>
      </c>
      <c r="AK7320">
        <v>13.882278968230301</v>
      </c>
      <c r="AL7320">
        <v>82.289707443903595</v>
      </c>
      <c r="AM7320">
        <v>70.195484685545594</v>
      </c>
      <c r="AN7320">
        <v>0.99999998152362901</v>
      </c>
    </row>
    <row r="7321" spans="1:40" x14ac:dyDescent="0.25">
      <c r="A7321" t="str">
        <f>"20190312173108115"</f>
        <v>20190312173108115</v>
      </c>
      <c r="B7321" t="str">
        <f>"1552383068104495"</f>
        <v>1552383068104495</v>
      </c>
      <c r="C7321" t="s">
        <v>40</v>
      </c>
      <c r="D7321">
        <v>3.5757409999999998</v>
      </c>
      <c r="E7321">
        <v>0.64595389999999997</v>
      </c>
      <c r="F7321" t="s">
        <v>41</v>
      </c>
      <c r="G7321">
        <v>-169.36580000000001</v>
      </c>
      <c r="H7321" s="1">
        <v>-1.9491659999999998E-6</v>
      </c>
      <c r="I7321">
        <v>133.14660000000001</v>
      </c>
      <c r="J7321">
        <v>-182.65969999999999</v>
      </c>
      <c r="K7321">
        <v>1.1007640000000001</v>
      </c>
      <c r="L7321">
        <v>128.8655</v>
      </c>
      <c r="M7321">
        <v>0.53341539999999998</v>
      </c>
      <c r="N7321">
        <v>0</v>
      </c>
      <c r="O7321">
        <v>0.84568699999999997</v>
      </c>
      <c r="P7321">
        <v>0.77997830000000001</v>
      </c>
      <c r="Q7321">
        <v>0.12659210000000001</v>
      </c>
      <c r="R7321">
        <v>0.61286890000000005</v>
      </c>
      <c r="S7321">
        <v>3.097534</v>
      </c>
      <c r="T7321">
        <v>-0.25497449999999999</v>
      </c>
      <c r="U7321">
        <v>1.017914</v>
      </c>
      <c r="V7321">
        <v>0.33594269999999998</v>
      </c>
      <c r="W7321">
        <v>0.1345374</v>
      </c>
      <c r="X7321">
        <v>0.93222430000000001</v>
      </c>
      <c r="Y7321">
        <v>0.63348780000000005</v>
      </c>
      <c r="Z7321">
        <v>-8.0876439999999994E-2</v>
      </c>
      <c r="AA7321">
        <v>0.76951429999999998</v>
      </c>
      <c r="AB7321">
        <v>26</v>
      </c>
      <c r="AC7321">
        <v>13.293899999999899</v>
      </c>
      <c r="AD7321">
        <v>-1.10076594916599</v>
      </c>
      <c r="AE7321">
        <v>4.2811000000000003</v>
      </c>
      <c r="AF7321">
        <v>8.9048182630207098</v>
      </c>
      <c r="AG7321">
        <v>-1.10076594916599</v>
      </c>
      <c r="AH7321">
        <v>10.647010386201901</v>
      </c>
      <c r="AI7321">
        <v>94.534400662538104</v>
      </c>
      <c r="AJ7321">
        <v>50.091969658014101</v>
      </c>
      <c r="AK7321">
        <v>13.9235880482066</v>
      </c>
      <c r="AL7321">
        <v>82.268128994364503</v>
      </c>
      <c r="AM7321">
        <v>70.182520263846499</v>
      </c>
      <c r="AN7321">
        <v>0.99999997759626902</v>
      </c>
    </row>
    <row r="7322" spans="1:40" x14ac:dyDescent="0.25">
      <c r="A7322" t="str">
        <f>"20190312173108125"</f>
        <v>20190312173108125</v>
      </c>
      <c r="B7322" t="str">
        <f>"1552383068115232"</f>
        <v>1552383068115232</v>
      </c>
      <c r="C7322" t="s">
        <v>40</v>
      </c>
      <c r="D7322">
        <v>3.5557989999999999</v>
      </c>
      <c r="E7322">
        <v>0.64554029999999996</v>
      </c>
      <c r="F7322" t="s">
        <v>41</v>
      </c>
      <c r="G7322">
        <v>-169.2611</v>
      </c>
      <c r="H7322" s="1">
        <v>-1.9805279999999999E-6</v>
      </c>
      <c r="I7322">
        <v>133.1799</v>
      </c>
      <c r="J7322">
        <v>-182.58369999999999</v>
      </c>
      <c r="K7322">
        <v>1.100724</v>
      </c>
      <c r="L7322">
        <v>128.97389999999999</v>
      </c>
      <c r="M7322">
        <v>0.53894709999999901</v>
      </c>
      <c r="N7322">
        <v>0</v>
      </c>
      <c r="O7322">
        <v>0.84217229999999998</v>
      </c>
      <c r="P7322">
        <v>0.78414890000000004</v>
      </c>
      <c r="Q7322">
        <v>0.12683659999999999</v>
      </c>
      <c r="R7322">
        <v>0.60747269999999998</v>
      </c>
      <c r="S7322">
        <v>3.102646</v>
      </c>
      <c r="T7322">
        <v>-0.25489800000000001</v>
      </c>
      <c r="U7322">
        <v>0.99906919999999999</v>
      </c>
      <c r="V7322">
        <v>0.3362502</v>
      </c>
      <c r="W7322">
        <v>0.13475529999999999</v>
      </c>
      <c r="X7322">
        <v>0.93208199999999997</v>
      </c>
      <c r="Y7322">
        <v>0.63303830000000005</v>
      </c>
      <c r="Z7322">
        <v>-8.0743469999999998E-2</v>
      </c>
      <c r="AA7322">
        <v>0.76989810000000003</v>
      </c>
      <c r="AB7322">
        <v>26</v>
      </c>
      <c r="AC7322">
        <v>13.3225999999999</v>
      </c>
      <c r="AD7322">
        <v>-1.1007259805280001</v>
      </c>
      <c r="AE7322">
        <v>4.2060000000000102</v>
      </c>
      <c r="AF7322">
        <v>8.8991335348624201</v>
      </c>
      <c r="AG7322">
        <v>-1.1007259805280001</v>
      </c>
      <c r="AH7322">
        <v>10.657706670636999</v>
      </c>
      <c r="AI7322">
        <v>94.532753016548597</v>
      </c>
      <c r="AJ7322">
        <v>50.138281816390503</v>
      </c>
      <c r="AK7322">
        <v>13.9281329270245</v>
      </c>
      <c r="AL7322">
        <v>82.255529849779904</v>
      </c>
      <c r="AM7322">
        <v>70.163003069781894</v>
      </c>
      <c r="AN7322">
        <v>1.00000002130106</v>
      </c>
    </row>
    <row r="7323" spans="1:40" x14ac:dyDescent="0.25">
      <c r="A7323" t="str">
        <f>"20190312173108136"</f>
        <v>20190312173108136</v>
      </c>
      <c r="B7323" t="str">
        <f>"1552383068124991"</f>
        <v>1552383068124991</v>
      </c>
      <c r="C7323" t="s">
        <v>40</v>
      </c>
      <c r="D7323">
        <v>3.5732590000000002</v>
      </c>
      <c r="E7323">
        <v>0.64515159999999905</v>
      </c>
      <c r="F7323" t="s">
        <v>41</v>
      </c>
      <c r="G7323">
        <v>-169.1711</v>
      </c>
      <c r="H7323" s="1">
        <v>-2.0084870000000002E-6</v>
      </c>
      <c r="I7323">
        <v>133.2047</v>
      </c>
      <c r="J7323">
        <v>-182.5061</v>
      </c>
      <c r="K7323">
        <v>1.1006860000000001</v>
      </c>
      <c r="L7323">
        <v>129.0822</v>
      </c>
      <c r="M7323">
        <v>0.54453399999999996</v>
      </c>
      <c r="N7323">
        <v>0</v>
      </c>
      <c r="O7323">
        <v>0.8385705</v>
      </c>
      <c r="P7323">
        <v>0.78831319999999905</v>
      </c>
      <c r="Q7323">
        <v>0.12681629999999999</v>
      </c>
      <c r="R7323">
        <v>0.60206319999999902</v>
      </c>
      <c r="S7323">
        <v>3.1076510000000002</v>
      </c>
      <c r="T7323">
        <v>-0.25503540000000002</v>
      </c>
      <c r="U7323">
        <v>0.98025510000000005</v>
      </c>
      <c r="V7323">
        <v>0.33648109999999998</v>
      </c>
      <c r="W7323">
        <v>0.13471320000000001</v>
      </c>
      <c r="X7323">
        <v>0.93200470000000002</v>
      </c>
      <c r="Y7323">
        <v>0.63249919999999904</v>
      </c>
      <c r="Z7323">
        <v>-8.0669019999999994E-2</v>
      </c>
      <c r="AA7323">
        <v>0.77034879999999994</v>
      </c>
      <c r="AB7323">
        <v>26</v>
      </c>
      <c r="AC7323">
        <v>13.335000000000001</v>
      </c>
      <c r="AD7323">
        <v>-1.1006880084870001</v>
      </c>
      <c r="AE7323">
        <v>4.1224999999999996</v>
      </c>
      <c r="AF7323">
        <v>8.8835136295775801</v>
      </c>
      <c r="AG7323">
        <v>-1.1006880084870001</v>
      </c>
      <c r="AH7323">
        <v>10.653628719921301</v>
      </c>
      <c r="AI7323">
        <v>94.536872464394804</v>
      </c>
      <c r="AJ7323">
        <v>50.177009395027099</v>
      </c>
      <c r="AK7323">
        <v>13.9150326410271</v>
      </c>
      <c r="AL7323">
        <v>82.257963790564602</v>
      </c>
      <c r="AM7323">
        <v>70.148927238686397</v>
      </c>
      <c r="AN7323">
        <v>0.99999996886676901</v>
      </c>
    </row>
    <row r="7324" spans="1:40" x14ac:dyDescent="0.25">
      <c r="A7324" t="str">
        <f>"20190312173108147"</f>
        <v>20190312173108147</v>
      </c>
      <c r="B7324" t="str">
        <f>"1552383068135015"</f>
        <v>1552383068135015</v>
      </c>
      <c r="C7324" t="s">
        <v>40</v>
      </c>
      <c r="D7324">
        <v>3.7587389999999998</v>
      </c>
      <c r="E7324">
        <v>0.64514249999999995</v>
      </c>
      <c r="F7324" t="s">
        <v>41</v>
      </c>
      <c r="G7324">
        <v>-169.1215</v>
      </c>
      <c r="H7324" s="1">
        <v>-2.0246340000000002E-6</v>
      </c>
      <c r="I7324">
        <v>133.2157</v>
      </c>
      <c r="J7324">
        <v>-182.4324</v>
      </c>
      <c r="K7324">
        <v>1.1006560000000001</v>
      </c>
      <c r="L7324">
        <v>129.1841</v>
      </c>
      <c r="M7324">
        <v>0.54980109999999904</v>
      </c>
      <c r="N7324">
        <v>0</v>
      </c>
      <c r="O7324">
        <v>0.83512629999999999</v>
      </c>
      <c r="P7324">
        <v>0.79223529999999998</v>
      </c>
      <c r="Q7324">
        <v>0.1267163</v>
      </c>
      <c r="R7324">
        <v>0.59691399999999994</v>
      </c>
      <c r="S7324">
        <v>3.112625</v>
      </c>
      <c r="T7324">
        <v>-0.2559671</v>
      </c>
      <c r="U7324">
        <v>0.96124270000000001</v>
      </c>
      <c r="V7324">
        <v>0.33670990000000001</v>
      </c>
      <c r="W7324">
        <v>0.1345932</v>
      </c>
      <c r="X7324">
        <v>0.93193939999999997</v>
      </c>
      <c r="Y7324">
        <v>0.63225629999999999</v>
      </c>
      <c r="Z7324">
        <v>-8.0855910000000003E-2</v>
      </c>
      <c r="AA7324">
        <v>0.77052860000000001</v>
      </c>
      <c r="AB7324">
        <v>26</v>
      </c>
      <c r="AC7324">
        <v>13.3109</v>
      </c>
      <c r="AD7324">
        <v>-1.1006580246340001</v>
      </c>
      <c r="AE7324">
        <v>4.0315999999999903</v>
      </c>
      <c r="AF7324">
        <v>8.84556481252935</v>
      </c>
      <c r="AG7324">
        <v>-1.1006580246340001</v>
      </c>
      <c r="AH7324">
        <v>10.6202409163177</v>
      </c>
      <c r="AI7324">
        <v>94.553074031163106</v>
      </c>
      <c r="AJ7324">
        <v>50.209192532841499</v>
      </c>
      <c r="AK7324">
        <v>13.865243671153999</v>
      </c>
      <c r="AL7324">
        <v>82.264902452225797</v>
      </c>
      <c r="AM7324">
        <v>70.135201549955795</v>
      </c>
      <c r="AN7324">
        <v>0.99999996575830397</v>
      </c>
    </row>
    <row r="7325" spans="1:40" x14ac:dyDescent="0.25">
      <c r="A7325" t="str">
        <f>"20190312173108158"</f>
        <v>20190312173108158</v>
      </c>
      <c r="B7325" t="str">
        <f>"1552383068144776"</f>
        <v>1552383068144776</v>
      </c>
      <c r="C7325" t="s">
        <v>40</v>
      </c>
      <c r="D7325">
        <v>3.5448879999999998</v>
      </c>
      <c r="E7325">
        <v>0.64514249999999995</v>
      </c>
      <c r="F7325" t="s">
        <v>41</v>
      </c>
      <c r="G7325">
        <v>-169.1037</v>
      </c>
      <c r="H7325" s="1">
        <v>-2.034464E-6</v>
      </c>
      <c r="I7325">
        <v>133.20429999999999</v>
      </c>
      <c r="J7325">
        <v>-182.35169999999999</v>
      </c>
      <c r="K7325">
        <v>1.1006209999999901</v>
      </c>
      <c r="L7325">
        <v>129.29390000000001</v>
      </c>
      <c r="M7325">
        <v>0.55551969999999995</v>
      </c>
      <c r="N7325">
        <v>0</v>
      </c>
      <c r="O7325">
        <v>0.83133299999999999</v>
      </c>
      <c r="P7325">
        <v>0.79621149999999996</v>
      </c>
      <c r="Q7325">
        <v>0.12696669999999999</v>
      </c>
      <c r="R7325">
        <v>0.59154589999999996</v>
      </c>
      <c r="S7325">
        <v>3.11911</v>
      </c>
      <c r="T7325">
        <v>-0.25757000000000002</v>
      </c>
      <c r="U7325">
        <v>0.94079590000000002</v>
      </c>
      <c r="V7325">
        <v>0.33659529999999999</v>
      </c>
      <c r="W7325">
        <v>0.1348346</v>
      </c>
      <c r="X7325">
        <v>0.93194589999999999</v>
      </c>
      <c r="Y7325">
        <v>0.63198840000000001</v>
      </c>
      <c r="Z7325">
        <v>-8.1208569999999994E-2</v>
      </c>
      <c r="AA7325">
        <v>0.77071119999999904</v>
      </c>
      <c r="AB7325">
        <v>26</v>
      </c>
      <c r="AC7325">
        <v>13.2479999999999</v>
      </c>
      <c r="AD7325">
        <v>-1.10062303446399</v>
      </c>
      <c r="AE7325">
        <v>3.9103999999999801</v>
      </c>
      <c r="AF7325">
        <v>8.7866625261164106</v>
      </c>
      <c r="AG7325">
        <v>-1.10062303446399</v>
      </c>
      <c r="AH7325">
        <v>10.5449243932798</v>
      </c>
      <c r="AI7325">
        <v>94.584495604734897</v>
      </c>
      <c r="AJ7325">
        <v>50.196912447692398</v>
      </c>
      <c r="AK7325">
        <v>13.7699760301838</v>
      </c>
      <c r="AL7325">
        <v>82.250943990864201</v>
      </c>
      <c r="AM7325">
        <v>70.141561573415004</v>
      </c>
      <c r="AN7325">
        <v>0.99999996293302895</v>
      </c>
    </row>
    <row r="7326" spans="1:40" x14ac:dyDescent="0.25">
      <c r="A7326" t="str">
        <f>"20190312173108172"</f>
        <v>20190312173108172</v>
      </c>
      <c r="B7326" t="str">
        <f>"1552383068165271"</f>
        <v>1552383068165271</v>
      </c>
      <c r="C7326" t="s">
        <v>40</v>
      </c>
      <c r="D7326">
        <v>3.5821070000000002</v>
      </c>
      <c r="E7326">
        <v>0.63364949999999998</v>
      </c>
      <c r="F7326" t="s">
        <v>41</v>
      </c>
      <c r="G7326">
        <v>-168.92779999999999</v>
      </c>
      <c r="H7326" s="1">
        <v>-2.0916410000000001E-6</v>
      </c>
      <c r="I7326">
        <v>133.2433</v>
      </c>
      <c r="J7326">
        <v>-182.26159999999999</v>
      </c>
      <c r="K7326">
        <v>1.1005879999999999</v>
      </c>
      <c r="L7326">
        <v>129.4144</v>
      </c>
      <c r="M7326">
        <v>0.56183340000000004</v>
      </c>
      <c r="N7326">
        <v>0</v>
      </c>
      <c r="O7326">
        <v>0.82707889999999995</v>
      </c>
      <c r="P7326">
        <v>0.80079690000000003</v>
      </c>
      <c r="Q7326">
        <v>0.12696859999999999</v>
      </c>
      <c r="R7326">
        <v>0.58532340000000005</v>
      </c>
      <c r="S7326">
        <v>3.1255190000000002</v>
      </c>
      <c r="T7326">
        <v>-0.25626110000000002</v>
      </c>
      <c r="U7326">
        <v>0.91955569999999998</v>
      </c>
      <c r="V7326">
        <v>0.33677190000000001</v>
      </c>
      <c r="W7326">
        <v>0.13482049999999901</v>
      </c>
      <c r="X7326">
        <v>0.93188419999999905</v>
      </c>
      <c r="Y7326">
        <v>0.63139599999999996</v>
      </c>
      <c r="Z7326">
        <v>-8.0620499999999998E-2</v>
      </c>
      <c r="AA7326">
        <v>0.77125840000000001</v>
      </c>
      <c r="AB7326">
        <v>26</v>
      </c>
      <c r="AC7326">
        <v>13.333799999999901</v>
      </c>
      <c r="AD7326">
        <v>-1.1005900916410001</v>
      </c>
      <c r="AE7326">
        <v>3.8289</v>
      </c>
      <c r="AF7326">
        <v>8.8226300249667506</v>
      </c>
      <c r="AG7326">
        <v>-1.1005900916410001</v>
      </c>
      <c r="AH7326">
        <v>10.5930156966091</v>
      </c>
      <c r="AI7326">
        <v>94.564500643898</v>
      </c>
      <c r="AJ7326">
        <v>50.210019614530502</v>
      </c>
      <c r="AK7326">
        <v>13.8297534560768</v>
      </c>
      <c r="AL7326">
        <v>82.251759758875295</v>
      </c>
      <c r="AM7326">
        <v>70.130745199634205</v>
      </c>
      <c r="AN7326">
        <v>1.0000000210297399</v>
      </c>
    </row>
    <row r="7327" spans="1:40" x14ac:dyDescent="0.25">
      <c r="A7327" t="str">
        <f>"20190312173108184"</f>
        <v>20190312173108184</v>
      </c>
      <c r="B7327" t="str">
        <f>"1552383068175032"</f>
        <v>1552383068175032</v>
      </c>
      <c r="C7327" t="s">
        <v>40</v>
      </c>
      <c r="D7327">
        <v>3.52922</v>
      </c>
      <c r="E7327">
        <v>0.63369319999999996</v>
      </c>
      <c r="F7327" t="s">
        <v>51</v>
      </c>
      <c r="G7327">
        <v>-170.19659999999999</v>
      </c>
      <c r="H7327" s="1">
        <v>-9.0354169999999998E-7</v>
      </c>
      <c r="I7327">
        <v>133.22190000000001</v>
      </c>
      <c r="J7327">
        <v>-182.16890000000001</v>
      </c>
      <c r="K7327">
        <v>1.10056</v>
      </c>
      <c r="L7327">
        <v>129.53700000000001</v>
      </c>
      <c r="M7327">
        <v>0.56827479999999997</v>
      </c>
      <c r="N7327">
        <v>0</v>
      </c>
      <c r="O7327">
        <v>0.82266620000000001</v>
      </c>
      <c r="P7327">
        <v>0.80537689999999995</v>
      </c>
      <c r="Q7327">
        <v>0.12720699999999999</v>
      </c>
      <c r="R7327">
        <v>0.57895299999999905</v>
      </c>
      <c r="S7327">
        <v>3.080292</v>
      </c>
      <c r="T7327">
        <v>-0.28098919999999999</v>
      </c>
      <c r="U7327">
        <v>0.9720917</v>
      </c>
      <c r="V7327">
        <v>0.33687119999999998</v>
      </c>
      <c r="W7327">
        <v>0.13504539999999901</v>
      </c>
      <c r="X7327">
        <v>0.93181570000000002</v>
      </c>
      <c r="Y7327">
        <v>0.60931489999999999</v>
      </c>
      <c r="Z7327">
        <v>-8.8159139999999997E-2</v>
      </c>
      <c r="AA7327">
        <v>0.7880123</v>
      </c>
      <c r="AB7327">
        <v>26</v>
      </c>
      <c r="AC7327">
        <v>11.972300000000001</v>
      </c>
      <c r="AD7327">
        <v>-1.1005609035417001</v>
      </c>
      <c r="AE7327">
        <v>3.6848999999999901</v>
      </c>
      <c r="AF7327">
        <v>7.6968598644232102</v>
      </c>
      <c r="AG7327">
        <v>-1.1005609035417001</v>
      </c>
      <c r="AH7327">
        <v>9.7610500369129998</v>
      </c>
      <c r="AI7327">
        <v>95.059572030865397</v>
      </c>
      <c r="AJ7327">
        <v>51.743236614067598</v>
      </c>
      <c r="AK7327">
        <v>12.479222087057</v>
      </c>
      <c r="AL7327">
        <v>82.238754702418206</v>
      </c>
      <c r="AM7327">
        <v>70.123998689277897</v>
      </c>
      <c r="AN7327">
        <v>0.99999998210854402</v>
      </c>
    </row>
    <row r="7328" spans="1:40" x14ac:dyDescent="0.25">
      <c r="A7328" t="str">
        <f>"20190312173108197"</f>
        <v>20190312173108197</v>
      </c>
      <c r="B7328" t="str">
        <f>"1552383068184792"</f>
        <v>1552383068184792</v>
      </c>
      <c r="C7328" t="s">
        <v>40</v>
      </c>
      <c r="D7328">
        <v>3.4605950000000001</v>
      </c>
      <c r="E7328">
        <v>0.63353870000000001</v>
      </c>
      <c r="F7328" t="s">
        <v>41</v>
      </c>
      <c r="G7328">
        <v>-169.84520000000001</v>
      </c>
      <c r="H7328" s="1">
        <v>-1.7201860000000001E-6</v>
      </c>
      <c r="I7328">
        <v>133.31530000000001</v>
      </c>
      <c r="J7328">
        <v>-182.0694</v>
      </c>
      <c r="K7328">
        <v>1.1005339999999999</v>
      </c>
      <c r="L7328">
        <v>129.66540000000001</v>
      </c>
      <c r="M7328">
        <v>0.57509489999999996</v>
      </c>
      <c r="N7328">
        <v>0</v>
      </c>
      <c r="O7328">
        <v>0.81791269999999905</v>
      </c>
      <c r="P7328">
        <v>0.81014280000000005</v>
      </c>
      <c r="Q7328">
        <v>0.12740199999999999</v>
      </c>
      <c r="R7328">
        <v>0.57222150000000005</v>
      </c>
      <c r="S7328">
        <v>3.087936</v>
      </c>
      <c r="T7328">
        <v>-0.27576800000000001</v>
      </c>
      <c r="U7328">
        <v>0.94673160000000001</v>
      </c>
      <c r="V7328">
        <v>0.33687650000000002</v>
      </c>
      <c r="W7328">
        <v>0.135233399999999</v>
      </c>
      <c r="X7328">
        <v>0.93178649999999996</v>
      </c>
      <c r="Y7328">
        <v>0.60936939999999995</v>
      </c>
      <c r="Z7328">
        <v>-8.6331500000000005E-2</v>
      </c>
      <c r="AA7328">
        <v>0.78817250000000005</v>
      </c>
      <c r="AB7328">
        <v>26</v>
      </c>
      <c r="AC7328">
        <v>12.2241999999999</v>
      </c>
      <c r="AD7328">
        <v>-1.100535720186</v>
      </c>
      <c r="AE7328">
        <v>3.6499000000000001</v>
      </c>
      <c r="AF7328">
        <v>7.8420549055524296</v>
      </c>
      <c r="AG7328">
        <v>-1.100535720186</v>
      </c>
      <c r="AH7328">
        <v>9.9428078074177204</v>
      </c>
      <c r="AI7328">
        <v>94.966982450056307</v>
      </c>
      <c r="AJ7328">
        <v>51.736578566741699</v>
      </c>
      <c r="AK7328">
        <v>12.7109571279408</v>
      </c>
      <c r="AL7328">
        <v>82.227883235935295</v>
      </c>
      <c r="AM7328">
        <v>70.123136381015996</v>
      </c>
      <c r="AN7328">
        <v>0.99999996515502898</v>
      </c>
    </row>
    <row r="7329" spans="1:40" x14ac:dyDescent="0.25">
      <c r="A7329" t="str">
        <f>"20190312173108211"</f>
        <v>20190312173108211</v>
      </c>
      <c r="B7329" t="str">
        <f>"1552383068205288"</f>
        <v>1552383068205288</v>
      </c>
      <c r="C7329" t="s">
        <v>40</v>
      </c>
      <c r="D7329">
        <v>3.494208</v>
      </c>
      <c r="E7329">
        <v>0.63306269999999998</v>
      </c>
      <c r="F7329" t="s">
        <v>41</v>
      </c>
      <c r="G7329">
        <v>-169.66030000000001</v>
      </c>
      <c r="H7329" s="1">
        <v>-1.7790809999999999E-6</v>
      </c>
      <c r="I7329">
        <v>133.36080000000001</v>
      </c>
      <c r="J7329">
        <v>-181.97290000000001</v>
      </c>
      <c r="K7329">
        <v>1.1005130000000001</v>
      </c>
      <c r="L7329">
        <v>129.78809999999999</v>
      </c>
      <c r="M7329">
        <v>0.58163469999999995</v>
      </c>
      <c r="N7329">
        <v>0</v>
      </c>
      <c r="O7329">
        <v>0.81327490000000002</v>
      </c>
      <c r="P7329">
        <v>0.81464289999999995</v>
      </c>
      <c r="Q7329">
        <v>0.1272324</v>
      </c>
      <c r="R7329">
        <v>0.56583459999999997</v>
      </c>
      <c r="S7329">
        <v>3.0951689999999998</v>
      </c>
      <c r="T7329">
        <v>-0.27450590000000002</v>
      </c>
      <c r="U7329">
        <v>0.92173769999999999</v>
      </c>
      <c r="V7329">
        <v>0.3367542</v>
      </c>
      <c r="W7329">
        <v>0.135064299999999</v>
      </c>
      <c r="X7329">
        <v>0.93185530000000005</v>
      </c>
      <c r="Y7329">
        <v>0.60942469999999904</v>
      </c>
      <c r="Z7329">
        <v>-8.5745299999999997E-2</v>
      </c>
      <c r="AA7329">
        <v>0.78819359999999905</v>
      </c>
      <c r="AB7329">
        <v>26</v>
      </c>
      <c r="AC7329">
        <v>12.3126</v>
      </c>
      <c r="AD7329">
        <v>-1.1005147790809999</v>
      </c>
      <c r="AE7329">
        <v>3.5727000000000202</v>
      </c>
      <c r="AF7329">
        <v>7.8785991968431102</v>
      </c>
      <c r="AG7329">
        <v>-1.1005147790809999</v>
      </c>
      <c r="AH7329">
        <v>9.9948099313642302</v>
      </c>
      <c r="AI7329">
        <v>94.942243789250597</v>
      </c>
      <c r="AJ7329">
        <v>51.752381622332898</v>
      </c>
      <c r="AK7329">
        <v>12.774180351301201</v>
      </c>
      <c r="AL7329">
        <v>82.237662159455695</v>
      </c>
      <c r="AM7329">
        <v>70.131139798625796</v>
      </c>
      <c r="AN7329">
        <v>1.0000000282451</v>
      </c>
    </row>
    <row r="7330" spans="1:40" x14ac:dyDescent="0.25">
      <c r="A7330" t="str">
        <f>"20190312173108225"</f>
        <v>20190312173108225</v>
      </c>
      <c r="B7330" t="str">
        <f>"1552383068215048"</f>
        <v>1552383068215048</v>
      </c>
      <c r="C7330" t="s">
        <v>40</v>
      </c>
      <c r="D7330">
        <v>3.4942920000000002</v>
      </c>
      <c r="E7330">
        <v>0.63281419999999999</v>
      </c>
      <c r="F7330" t="s">
        <v>41</v>
      </c>
      <c r="G7330">
        <v>-169.51499999999999</v>
      </c>
      <c r="H7330" s="1">
        <v>-1.823261E-6</v>
      </c>
      <c r="I7330">
        <v>133.40440000000001</v>
      </c>
      <c r="J7330">
        <v>-181.86179999999999</v>
      </c>
      <c r="K7330">
        <v>1.100498</v>
      </c>
      <c r="L7330">
        <v>129.9271</v>
      </c>
      <c r="M7330">
        <v>0.58906959999999997</v>
      </c>
      <c r="N7330">
        <v>0</v>
      </c>
      <c r="O7330">
        <v>0.8079056</v>
      </c>
      <c r="P7330">
        <v>0.81983510000000004</v>
      </c>
      <c r="Q7330">
        <v>0.12726179999999901</v>
      </c>
      <c r="R7330">
        <v>0.55827850000000001</v>
      </c>
      <c r="S7330">
        <v>3.1002809999999998</v>
      </c>
      <c r="T7330">
        <v>-0.27387689999999998</v>
      </c>
      <c r="U7330">
        <v>0.89997859999999996</v>
      </c>
      <c r="V7330">
        <v>0.33682580000000001</v>
      </c>
      <c r="W7330">
        <v>0.135090299999999</v>
      </c>
      <c r="X7330">
        <v>0.93182560000000003</v>
      </c>
      <c r="Y7330">
        <v>0.60765009999999997</v>
      </c>
      <c r="Z7330">
        <v>-8.5281239999999994E-2</v>
      </c>
      <c r="AA7330">
        <v>0.78961289999999995</v>
      </c>
      <c r="AB7330">
        <v>26</v>
      </c>
      <c r="AC7330">
        <v>12.3468</v>
      </c>
      <c r="AD7330">
        <v>-1.1004998232609999</v>
      </c>
      <c r="AE7330">
        <v>3.4773000000000098</v>
      </c>
      <c r="AF7330">
        <v>7.8698809655493296</v>
      </c>
      <c r="AG7330">
        <v>-1.1004998232609999</v>
      </c>
      <c r="AH7330">
        <v>10.010211940256299</v>
      </c>
      <c r="AI7330">
        <v>94.939585793897905</v>
      </c>
      <c r="AJ7330">
        <v>51.826092991390396</v>
      </c>
      <c r="AK7330">
        <v>12.780863404393401</v>
      </c>
      <c r="AL7330">
        <v>82.2361583034468</v>
      </c>
      <c r="AM7330">
        <v>70.126662229515503</v>
      </c>
      <c r="AN7330">
        <v>0.99999997875754398</v>
      </c>
    </row>
    <row r="7331" spans="1:40" x14ac:dyDescent="0.25">
      <c r="A7331" t="str">
        <f>"20190312173108237"</f>
        <v>20190312173108237</v>
      </c>
      <c r="B7331" t="str">
        <f>"1552383068224808"</f>
        <v>1552383068224808</v>
      </c>
      <c r="C7331" t="s">
        <v>40</v>
      </c>
      <c r="D7331">
        <v>3.4793599999999998</v>
      </c>
      <c r="E7331">
        <v>0.63261460000000003</v>
      </c>
      <c r="F7331" t="s">
        <v>41</v>
      </c>
      <c r="G7331">
        <v>-169.44</v>
      </c>
      <c r="H7331" s="1">
        <v>-1.84927E-6</v>
      </c>
      <c r="I7331">
        <v>133.41499999999999</v>
      </c>
      <c r="J7331">
        <v>-181.77260000000001</v>
      </c>
      <c r="K7331">
        <v>1.1004860000000001</v>
      </c>
      <c r="L7331">
        <v>130.03639999999999</v>
      </c>
      <c r="M7331">
        <v>0.59496530000000003</v>
      </c>
      <c r="N7331">
        <v>0</v>
      </c>
      <c r="O7331">
        <v>0.80357349999999905</v>
      </c>
      <c r="P7331">
        <v>0.82398009999999999</v>
      </c>
      <c r="Q7331">
        <v>0.12708459999999999</v>
      </c>
      <c r="R7331">
        <v>0.55218330000000004</v>
      </c>
      <c r="S7331">
        <v>3.1077729999999999</v>
      </c>
      <c r="T7331">
        <v>-0.27533039999999998</v>
      </c>
      <c r="U7331">
        <v>0.87263489999999999</v>
      </c>
      <c r="V7331">
        <v>0.3369393</v>
      </c>
      <c r="W7331">
        <v>0.13491069999999999</v>
      </c>
      <c r="X7331">
        <v>0.93181060000000004</v>
      </c>
      <c r="Y7331">
        <v>0.60875019999999902</v>
      </c>
      <c r="Z7331">
        <v>-8.5582110000000003E-2</v>
      </c>
      <c r="AA7331">
        <v>0.7887324</v>
      </c>
      <c r="AB7331">
        <v>26</v>
      </c>
      <c r="AC7331">
        <v>12.332599999999999</v>
      </c>
      <c r="AD7331">
        <v>-1.1004878492700001</v>
      </c>
      <c r="AE7331">
        <v>3.3786</v>
      </c>
      <c r="AF7331">
        <v>7.8430384684588503</v>
      </c>
      <c r="AG7331">
        <v>-1.1004878492700001</v>
      </c>
      <c r="AH7331">
        <v>9.9799403086676897</v>
      </c>
      <c r="AI7331">
        <v>94.955171127969194</v>
      </c>
      <c r="AJ7331">
        <v>51.836892755394501</v>
      </c>
      <c r="AK7331">
        <v>12.740625357049201</v>
      </c>
      <c r="AL7331">
        <v>82.246543798386398</v>
      </c>
      <c r="AM7331">
        <v>70.120195157531597</v>
      </c>
      <c r="AN7331">
        <v>0.99999999156566999</v>
      </c>
    </row>
    <row r="7332" spans="1:40" x14ac:dyDescent="0.25">
      <c r="A7332" t="str">
        <f>"20190312173108248"</f>
        <v>20190312173108248</v>
      </c>
      <c r="B7332" t="str">
        <f>"1552383068235076"</f>
        <v>1552383068235076</v>
      </c>
      <c r="C7332" t="s">
        <v>40</v>
      </c>
      <c r="D7332">
        <v>3.4918279999999999</v>
      </c>
      <c r="E7332">
        <v>0.63215169999999998</v>
      </c>
      <c r="F7332" t="s">
        <v>41</v>
      </c>
      <c r="G7332">
        <v>-169.41679999999999</v>
      </c>
      <c r="H7332" s="1">
        <v>-1.858582E-6</v>
      </c>
      <c r="I7332">
        <v>133.4135</v>
      </c>
      <c r="J7332">
        <v>-181.6908</v>
      </c>
      <c r="K7332">
        <v>1.1004769999999999</v>
      </c>
      <c r="L7332">
        <v>130.1353</v>
      </c>
      <c r="M7332">
        <v>0.60030969999999995</v>
      </c>
      <c r="N7332">
        <v>0</v>
      </c>
      <c r="O7332">
        <v>0.79958879999999999</v>
      </c>
      <c r="P7332">
        <v>0.82749919999999999</v>
      </c>
      <c r="Q7332">
        <v>0.1274488</v>
      </c>
      <c r="R7332">
        <v>0.54681080000000004</v>
      </c>
      <c r="S7332">
        <v>3.1133730000000002</v>
      </c>
      <c r="T7332">
        <v>-0.2772985</v>
      </c>
      <c r="U7332">
        <v>0.8509369</v>
      </c>
      <c r="V7332">
        <v>0.33675509999999997</v>
      </c>
      <c r="W7332">
        <v>0.1352797</v>
      </c>
      <c r="X7332">
        <v>0.93182370000000003</v>
      </c>
      <c r="Y7332">
        <v>0.60889780000000004</v>
      </c>
      <c r="Z7332">
        <v>-8.6022420000000002E-2</v>
      </c>
      <c r="AA7332">
        <v>0.78857060000000001</v>
      </c>
      <c r="AB7332">
        <v>26</v>
      </c>
      <c r="AC7332">
        <v>12.273999999999999</v>
      </c>
      <c r="AD7332">
        <v>-1.100478858582</v>
      </c>
      <c r="AE7332">
        <v>3.2781999999999898</v>
      </c>
      <c r="AF7332">
        <v>7.7888956988652103</v>
      </c>
      <c r="AG7332">
        <v>-1.100478858582</v>
      </c>
      <c r="AH7332">
        <v>9.9164337820224606</v>
      </c>
      <c r="AI7332">
        <v>94.987734131086199</v>
      </c>
      <c r="AJ7332">
        <v>51.852019991517899</v>
      </c>
      <c r="AK7332">
        <v>12.657551456708401</v>
      </c>
      <c r="AL7332">
        <v>82.225206119919207</v>
      </c>
      <c r="AM7332">
        <v>70.1304697952705</v>
      </c>
      <c r="AN7332">
        <v>1.00000000124489</v>
      </c>
    </row>
    <row r="7333" spans="1:40" x14ac:dyDescent="0.25">
      <c r="A7333" t="str">
        <f>"20190312173108261"</f>
        <v>20190312173108261</v>
      </c>
      <c r="B7333" t="str">
        <f>"1552383068254596"</f>
        <v>1552383068254596</v>
      </c>
      <c r="C7333" t="s">
        <v>40</v>
      </c>
      <c r="D7333">
        <v>3.4766629999999998</v>
      </c>
      <c r="E7333">
        <v>0.6313069</v>
      </c>
      <c r="F7333" t="s">
        <v>41</v>
      </c>
      <c r="G7333">
        <v>-169.28799999999899</v>
      </c>
      <c r="H7333" s="1">
        <v>-1.8975179999999999E-6</v>
      </c>
      <c r="I7333">
        <v>133.453</v>
      </c>
      <c r="J7333">
        <v>-181.59389999999999</v>
      </c>
      <c r="K7333">
        <v>1.1004689999999999</v>
      </c>
      <c r="L7333">
        <v>130.25110000000001</v>
      </c>
      <c r="M7333">
        <v>0.60658339999999999</v>
      </c>
      <c r="N7333">
        <v>0</v>
      </c>
      <c r="O7333">
        <v>0.79483990000000004</v>
      </c>
      <c r="P7333">
        <v>0.83195730000000001</v>
      </c>
      <c r="Q7333">
        <v>0.12724440000000001</v>
      </c>
      <c r="R7333">
        <v>0.54005190000000003</v>
      </c>
      <c r="S7333">
        <v>3.1170040000000001</v>
      </c>
      <c r="T7333">
        <v>-0.27656629999999999</v>
      </c>
      <c r="U7333">
        <v>0.83378600000000003</v>
      </c>
      <c r="V7333">
        <v>0.33703569999999999</v>
      </c>
      <c r="W7333">
        <v>0.13506570000000001</v>
      </c>
      <c r="X7333">
        <v>0.93175330000000001</v>
      </c>
      <c r="Y7333">
        <v>0.60698379999999996</v>
      </c>
      <c r="Z7333">
        <v>-8.5529720000000004E-2</v>
      </c>
      <c r="AA7333">
        <v>0.79009830000000003</v>
      </c>
      <c r="AB7333">
        <v>26</v>
      </c>
      <c r="AC7333">
        <v>12.305899999999999</v>
      </c>
      <c r="AD7333">
        <v>-1.100470897518</v>
      </c>
      <c r="AE7333">
        <v>3.20189999999999</v>
      </c>
      <c r="AF7333">
        <v>7.7818367322129802</v>
      </c>
      <c r="AG7333">
        <v>-1.100470897518</v>
      </c>
      <c r="AH7333">
        <v>9.9365600589555392</v>
      </c>
      <c r="AI7333">
        <v>94.983184259602794</v>
      </c>
      <c r="AJ7333">
        <v>51.933657980403098</v>
      </c>
      <c r="AK7333">
        <v>12.668987525778601</v>
      </c>
      <c r="AL7333">
        <v>82.237581055001996</v>
      </c>
      <c r="AM7333">
        <v>70.113826234465094</v>
      </c>
      <c r="AN7333">
        <v>1.00000000922593</v>
      </c>
    </row>
    <row r="7334" spans="1:40" x14ac:dyDescent="0.25">
      <c r="A7334" t="str">
        <f>"20190312173108273"</f>
        <v>20190312173108273</v>
      </c>
      <c r="B7334" t="str">
        <f>"1552383068264355"</f>
        <v>1552383068264355</v>
      </c>
      <c r="C7334" t="s">
        <v>40</v>
      </c>
      <c r="D7334">
        <v>3.499743</v>
      </c>
      <c r="E7334">
        <v>0.63091609999999998</v>
      </c>
      <c r="F7334" t="s">
        <v>41</v>
      </c>
      <c r="G7334">
        <v>-169.32329999999999</v>
      </c>
      <c r="H7334" s="1">
        <v>-1.8841389999999999E-6</v>
      </c>
      <c r="I7334">
        <v>133.45240000000001</v>
      </c>
      <c r="J7334">
        <v>-181.50280000000001</v>
      </c>
      <c r="K7334">
        <v>1.1004640000000001</v>
      </c>
      <c r="L7334">
        <v>130.35749999999999</v>
      </c>
      <c r="M7334">
        <v>0.61239480000000002</v>
      </c>
      <c r="N7334">
        <v>0</v>
      </c>
      <c r="O7334">
        <v>0.79037109999999899</v>
      </c>
      <c r="P7334">
        <v>0.83589639999999998</v>
      </c>
      <c r="Q7334">
        <v>0.1270654</v>
      </c>
      <c r="R7334">
        <v>0.53397729999999999</v>
      </c>
      <c r="S7334">
        <v>3.1202999999999999</v>
      </c>
      <c r="T7334">
        <v>-0.27984009999999998</v>
      </c>
      <c r="U7334">
        <v>0.81405640000000001</v>
      </c>
      <c r="V7334">
        <v>0.33701019999999998</v>
      </c>
      <c r="W7334">
        <v>0.13488429999999901</v>
      </c>
      <c r="X7334">
        <v>0.93178879999999997</v>
      </c>
      <c r="Y7334">
        <v>0.60595940000000004</v>
      </c>
      <c r="Z7334">
        <v>-8.6333670000000001E-2</v>
      </c>
      <c r="AA7334">
        <v>0.79079690000000002</v>
      </c>
      <c r="AB7334">
        <v>26</v>
      </c>
      <c r="AC7334">
        <v>12.179500000000001</v>
      </c>
      <c r="AD7334">
        <v>-1.10046588413899</v>
      </c>
      <c r="AE7334">
        <v>3.09490000000002</v>
      </c>
      <c r="AF7334">
        <v>7.6732865648024102</v>
      </c>
      <c r="AG7334">
        <v>-1.10046588413899</v>
      </c>
      <c r="AH7334">
        <v>9.8308101346519692</v>
      </c>
      <c r="AI7334">
        <v>95.042859072709604</v>
      </c>
      <c r="AJ7334">
        <v>52.026733318200897</v>
      </c>
      <c r="AK7334">
        <v>12.519392148635101</v>
      </c>
      <c r="AL7334">
        <v>82.248070492884594</v>
      </c>
      <c r="AM7334">
        <v>70.115911078384002</v>
      </c>
      <c r="AN7334">
        <v>1.0000000085479801</v>
      </c>
    </row>
    <row r="7335" spans="1:40" x14ac:dyDescent="0.25">
      <c r="A7335" t="str">
        <f>"20190312173108283"</f>
        <v>20190312173108283</v>
      </c>
      <c r="B7335" t="str">
        <f>"1552383068275091"</f>
        <v>1552383068275091</v>
      </c>
      <c r="C7335" t="s">
        <v>40</v>
      </c>
      <c r="D7335">
        <v>3.4496989999999998</v>
      </c>
      <c r="E7335">
        <v>0.63091609999999998</v>
      </c>
      <c r="F7335" t="s">
        <v>41</v>
      </c>
      <c r="G7335">
        <v>-169.2533</v>
      </c>
      <c r="H7335" s="1">
        <v>-1.9063380000000001E-6</v>
      </c>
      <c r="I7335">
        <v>133.47</v>
      </c>
      <c r="J7335">
        <v>-181.41980000000001</v>
      </c>
      <c r="K7335">
        <v>1.10046</v>
      </c>
      <c r="L7335">
        <v>130.45400000000001</v>
      </c>
      <c r="M7335">
        <v>0.61765159999999997</v>
      </c>
      <c r="N7335">
        <v>0</v>
      </c>
      <c r="O7335">
        <v>0.78626980000000002</v>
      </c>
      <c r="P7335">
        <v>0.83937870000000003</v>
      </c>
      <c r="Q7335">
        <v>0.12724189999999999</v>
      </c>
      <c r="R7335">
        <v>0.52844399999999903</v>
      </c>
      <c r="S7335">
        <v>3.124466</v>
      </c>
      <c r="T7335">
        <v>-0.28069460000000002</v>
      </c>
      <c r="U7335">
        <v>0.79388429999999999</v>
      </c>
      <c r="V7335">
        <v>0.33693600000000001</v>
      </c>
      <c r="W7335">
        <v>0.13505909999999999</v>
      </c>
      <c r="X7335">
        <v>0.93179029999999996</v>
      </c>
      <c r="Y7335">
        <v>0.60569689999999998</v>
      </c>
      <c r="Z7335">
        <v>-8.6412180000000005E-2</v>
      </c>
      <c r="AA7335">
        <v>0.79098939999999995</v>
      </c>
      <c r="AB7335">
        <v>26</v>
      </c>
      <c r="AC7335">
        <v>12.166499999999999</v>
      </c>
      <c r="AD7335">
        <v>-1.1004619063379999</v>
      </c>
      <c r="AE7335">
        <v>3.0159999999999898</v>
      </c>
      <c r="AF7335">
        <v>7.6454889764566998</v>
      </c>
      <c r="AG7335">
        <v>-1.1004619063379999</v>
      </c>
      <c r="AH7335">
        <v>9.8118377879417498</v>
      </c>
      <c r="AI7335">
        <v>95.055769211700095</v>
      </c>
      <c r="AJ7335">
        <v>52.073897051584296</v>
      </c>
      <c r="AK7335">
        <v>12.487460865736599</v>
      </c>
      <c r="AL7335">
        <v>82.237962599939493</v>
      </c>
      <c r="AM7335">
        <v>70.119975441632704</v>
      </c>
      <c r="AN7335">
        <v>0.99999999588144906</v>
      </c>
    </row>
    <row r="7336" spans="1:40" x14ac:dyDescent="0.25">
      <c r="A7336" t="str">
        <f>"20190312173108293"</f>
        <v>20190312173108293</v>
      </c>
      <c r="B7336" t="str">
        <f>"1552383068284852"</f>
        <v>1552383068284852</v>
      </c>
      <c r="C7336" t="s">
        <v>40</v>
      </c>
      <c r="D7336">
        <v>3.4678279999999999</v>
      </c>
      <c r="E7336">
        <v>0.62445150000000005</v>
      </c>
      <c r="F7336" t="s">
        <v>41</v>
      </c>
      <c r="G7336">
        <v>-169.10900000000001</v>
      </c>
      <c r="H7336" s="1">
        <v>-1.9552820000000001E-6</v>
      </c>
      <c r="I7336">
        <v>133.49420000000001</v>
      </c>
      <c r="J7336">
        <v>-181.33879999999999</v>
      </c>
      <c r="K7336">
        <v>1.100455</v>
      </c>
      <c r="L7336">
        <v>130.54589999999999</v>
      </c>
      <c r="M7336">
        <v>0.62270579999999998</v>
      </c>
      <c r="N7336">
        <v>0</v>
      </c>
      <c r="O7336">
        <v>0.7822732</v>
      </c>
      <c r="P7336">
        <v>0.84265460000000003</v>
      </c>
      <c r="Q7336">
        <v>0.12743460000000001</v>
      </c>
      <c r="R7336">
        <v>0.52315749999999905</v>
      </c>
      <c r="S7336">
        <v>3.1298520000000001</v>
      </c>
      <c r="T7336">
        <v>-0.27977819999999998</v>
      </c>
      <c r="U7336">
        <v>0.77293400000000001</v>
      </c>
      <c r="V7336">
        <v>0.33677020000000002</v>
      </c>
      <c r="W7336">
        <v>0.13525229999999999</v>
      </c>
      <c r="X7336">
        <v>0.93182220000000004</v>
      </c>
      <c r="Y7336">
        <v>0.60592869999999999</v>
      </c>
      <c r="Z7336">
        <v>-8.5939699999999994E-2</v>
      </c>
      <c r="AA7336">
        <v>0.79086339999999999</v>
      </c>
      <c r="AB7336">
        <v>26</v>
      </c>
      <c r="AC7336">
        <v>12.2297999999999</v>
      </c>
      <c r="AD7336">
        <v>-1.100456955282</v>
      </c>
      <c r="AE7336">
        <v>2.9483000000000099</v>
      </c>
      <c r="AF7336">
        <v>7.67351003084302</v>
      </c>
      <c r="AG7336">
        <v>-1.100456955282</v>
      </c>
      <c r="AH7336">
        <v>9.84800652573524</v>
      </c>
      <c r="AI7336">
        <v>95.037314040415893</v>
      </c>
      <c r="AJ7336">
        <v>52.074483549058897</v>
      </c>
      <c r="AK7336">
        <v>12.5330361139989</v>
      </c>
      <c r="AL7336">
        <v>82.226790438726695</v>
      </c>
      <c r="AM7336">
        <v>70.129619105881105</v>
      </c>
      <c r="AN7336">
        <v>0.99999998233808396</v>
      </c>
    </row>
    <row r="7337" spans="1:40" x14ac:dyDescent="0.25">
      <c r="A7337" t="str">
        <f>"20190312173108305"</f>
        <v>20190312173108305</v>
      </c>
      <c r="B7337" t="str">
        <f>"1552383068294612"</f>
        <v>1552383068294612</v>
      </c>
      <c r="C7337" t="s">
        <v>40</v>
      </c>
      <c r="D7337">
        <v>3.484337</v>
      </c>
      <c r="E7337">
        <v>0.62367980000000001</v>
      </c>
      <c r="F7337" t="s">
        <v>41</v>
      </c>
      <c r="G7337">
        <v>-169.89609999999999</v>
      </c>
      <c r="H7337" s="1">
        <v>-1.654997E-6</v>
      </c>
      <c r="I7337">
        <v>133.48689999999999</v>
      </c>
      <c r="J7337">
        <v>-181.25049999999999</v>
      </c>
      <c r="K7337">
        <v>1.1004579999999999</v>
      </c>
      <c r="L7337">
        <v>130.6455</v>
      </c>
      <c r="M7337">
        <v>0.62817100000000003</v>
      </c>
      <c r="N7337">
        <v>0</v>
      </c>
      <c r="O7337">
        <v>0.77789149999999996</v>
      </c>
      <c r="P7337">
        <v>0.84618169999999904</v>
      </c>
      <c r="Q7337">
        <v>0.12763759999999999</v>
      </c>
      <c r="R7337">
        <v>0.51738289999999998</v>
      </c>
      <c r="S7337">
        <v>3.1092379999999999</v>
      </c>
      <c r="T7337">
        <v>-0.29901830000000001</v>
      </c>
      <c r="U7337">
        <v>0.79913330000000005</v>
      </c>
      <c r="V7337">
        <v>0.33659519999999998</v>
      </c>
      <c r="W7337">
        <v>0.13545589999999999</v>
      </c>
      <c r="X7337">
        <v>0.93185589999999996</v>
      </c>
      <c r="Y7337">
        <v>0.59220980000000001</v>
      </c>
      <c r="Z7337">
        <v>-9.1413259999999996E-2</v>
      </c>
      <c r="AA7337">
        <v>0.80058180000000001</v>
      </c>
      <c r="AB7337">
        <v>26</v>
      </c>
      <c r="AC7337">
        <v>11.354399999999901</v>
      </c>
      <c r="AD7337">
        <v>-1.1004596549969901</v>
      </c>
      <c r="AE7337">
        <v>2.8413999999999899</v>
      </c>
      <c r="AF7337">
        <v>6.98685212256866</v>
      </c>
      <c r="AG7337">
        <v>-1.1004596549969901</v>
      </c>
      <c r="AH7337">
        <v>9.2622658461952003</v>
      </c>
      <c r="AI7337">
        <v>95.418358266934902</v>
      </c>
      <c r="AJ7337">
        <v>52.971468213806197</v>
      </c>
      <c r="AK7337">
        <v>11.654041472404</v>
      </c>
      <c r="AL7337">
        <v>82.215016993016903</v>
      </c>
      <c r="AM7337">
        <v>70.139799027198805</v>
      </c>
      <c r="AN7337">
        <v>1.00000002393632</v>
      </c>
    </row>
    <row r="7338" spans="1:40" x14ac:dyDescent="0.25">
      <c r="A7338" t="str">
        <f>"20190312173108316"</f>
        <v>20190312173108316</v>
      </c>
      <c r="B7338" t="str">
        <f>"1552383068304371"</f>
        <v>1552383068304371</v>
      </c>
      <c r="C7338" t="s">
        <v>40</v>
      </c>
      <c r="D7338">
        <v>3.5140929999999999</v>
      </c>
      <c r="E7338">
        <v>0.62292789999999998</v>
      </c>
      <c r="F7338" t="s">
        <v>41</v>
      </c>
      <c r="G7338">
        <v>-169.78120000000001</v>
      </c>
      <c r="H7338" s="1">
        <v>-1.6873740000000001E-6</v>
      </c>
      <c r="I7338">
        <v>133.53110000000001</v>
      </c>
      <c r="J7338">
        <v>-181.16470000000001</v>
      </c>
      <c r="K7338">
        <v>1.10046</v>
      </c>
      <c r="L7338">
        <v>130.74039999999999</v>
      </c>
      <c r="M7338">
        <v>0.63340790000000002</v>
      </c>
      <c r="N7338">
        <v>0</v>
      </c>
      <c r="O7338">
        <v>0.77363329999999997</v>
      </c>
      <c r="P7338">
        <v>0.84958739999999999</v>
      </c>
      <c r="Q7338">
        <v>0.12765470000000001</v>
      </c>
      <c r="R7338">
        <v>0.51176719999999998</v>
      </c>
      <c r="S7338">
        <v>3.11171</v>
      </c>
      <c r="T7338">
        <v>-0.2985623</v>
      </c>
      <c r="U7338">
        <v>0.78286739999999999</v>
      </c>
      <c r="V7338">
        <v>0.33647440000000001</v>
      </c>
      <c r="W7338">
        <v>0.13547339999999999</v>
      </c>
      <c r="X7338">
        <v>0.93189699999999998</v>
      </c>
      <c r="Y7338">
        <v>0.59089659999999999</v>
      </c>
      <c r="Z7338">
        <v>-9.1032940000000007E-2</v>
      </c>
      <c r="AA7338">
        <v>0.80159480000000005</v>
      </c>
      <c r="AB7338">
        <v>26</v>
      </c>
      <c r="AC7338">
        <v>11.3834999999999</v>
      </c>
      <c r="AD7338">
        <v>-1.1004616873739901</v>
      </c>
      <c r="AE7338">
        <v>2.79070000000001</v>
      </c>
      <c r="AF7338">
        <v>6.9784903492748898</v>
      </c>
      <c r="AG7338">
        <v>-1.1004616873739901</v>
      </c>
      <c r="AH7338">
        <v>9.2888306284648596</v>
      </c>
      <c r="AI7338">
        <v>95.410860585009502</v>
      </c>
      <c r="AJ7338">
        <v>53.083282507083702</v>
      </c>
      <c r="AK7338">
        <v>11.6701635774571</v>
      </c>
      <c r="AL7338">
        <v>82.214005124345704</v>
      </c>
      <c r="AM7338">
        <v>70.147176728263801</v>
      </c>
      <c r="AN7338">
        <v>1.00000004128595</v>
      </c>
    </row>
    <row r="7339" spans="1:40" x14ac:dyDescent="0.25">
      <c r="A7339" t="str">
        <f>"20190312173108326"</f>
        <v>20190312173108326</v>
      </c>
      <c r="B7339" t="str">
        <f>"1552383068315108"</f>
        <v>1552383068315108</v>
      </c>
      <c r="C7339" t="s">
        <v>40</v>
      </c>
      <c r="D7339">
        <v>3.5291070000000002</v>
      </c>
      <c r="E7339">
        <v>0.62261469999999997</v>
      </c>
      <c r="F7339" t="s">
        <v>41</v>
      </c>
      <c r="G7339">
        <v>-169.6301</v>
      </c>
      <c r="H7339" s="1">
        <v>-1.7319059999999901E-6</v>
      </c>
      <c r="I7339">
        <v>133.58170000000001</v>
      </c>
      <c r="J7339">
        <v>-181.08449999999999</v>
      </c>
      <c r="K7339">
        <v>1.1004620000000001</v>
      </c>
      <c r="L7339">
        <v>130.82839999999999</v>
      </c>
      <c r="M7339">
        <v>0.63826949999999905</v>
      </c>
      <c r="N7339">
        <v>0</v>
      </c>
      <c r="O7339">
        <v>0.76962739999999996</v>
      </c>
      <c r="P7339">
        <v>0.85264530000000005</v>
      </c>
      <c r="Q7339">
        <v>0.12800590000000001</v>
      </c>
      <c r="R7339">
        <v>0.5065674</v>
      </c>
      <c r="S7339">
        <v>3.1137389999999998</v>
      </c>
      <c r="T7339">
        <v>-0.29706670000000002</v>
      </c>
      <c r="U7339">
        <v>0.76701350000000001</v>
      </c>
      <c r="V7339">
        <v>0.33626339999999999</v>
      </c>
      <c r="W7339">
        <v>0.1358277</v>
      </c>
      <c r="X7339">
        <v>0.93192149999999996</v>
      </c>
      <c r="Y7339">
        <v>0.58985369999999904</v>
      </c>
      <c r="Z7339">
        <v>-9.0367600000000006E-2</v>
      </c>
      <c r="AA7339">
        <v>0.80243769999999903</v>
      </c>
      <c r="AB7339">
        <v>26</v>
      </c>
      <c r="AC7339">
        <v>11.4543999999999</v>
      </c>
      <c r="AD7339">
        <v>-1.100463731906</v>
      </c>
      <c r="AE7339">
        <v>2.7533000000000198</v>
      </c>
      <c r="AF7339">
        <v>6.99821519336537</v>
      </c>
      <c r="AG7339">
        <v>-1.100463731906</v>
      </c>
      <c r="AH7339">
        <v>9.3497711483776502</v>
      </c>
      <c r="AI7339">
        <v>95.382964514919394</v>
      </c>
      <c r="AJ7339">
        <v>53.185493554747403</v>
      </c>
      <c r="AK7339">
        <v>11.7304840839978</v>
      </c>
      <c r="AL7339">
        <v>82.193515205926502</v>
      </c>
      <c r="AM7339">
        <v>70.159135186383907</v>
      </c>
      <c r="AN7339">
        <v>0.99999996021454896</v>
      </c>
    </row>
    <row r="7340" spans="1:40" x14ac:dyDescent="0.25">
      <c r="A7340" t="str">
        <f>"20190312173108337"</f>
        <v>20190312173108337</v>
      </c>
      <c r="B7340" t="str">
        <f>"1552383068324867"</f>
        <v>1552383068324867</v>
      </c>
      <c r="C7340" t="s">
        <v>40</v>
      </c>
      <c r="D7340">
        <v>3.5033979999999998</v>
      </c>
      <c r="E7340">
        <v>0.62213300000000005</v>
      </c>
      <c r="F7340" t="s">
        <v>41</v>
      </c>
      <c r="G7340">
        <v>-169.59559999999999</v>
      </c>
      <c r="H7340" s="1">
        <v>-1.7417289999999999E-6</v>
      </c>
      <c r="I7340">
        <v>133.59460000000001</v>
      </c>
      <c r="J7340">
        <v>-180.99539999999999</v>
      </c>
      <c r="K7340">
        <v>1.1004609999999999</v>
      </c>
      <c r="L7340">
        <v>130.92449999999999</v>
      </c>
      <c r="M7340">
        <v>0.64359609999999901</v>
      </c>
      <c r="N7340">
        <v>0</v>
      </c>
      <c r="O7340">
        <v>0.76517869999999999</v>
      </c>
      <c r="P7340">
        <v>0.85606369999999898</v>
      </c>
      <c r="Q7340">
        <v>0.1281745</v>
      </c>
      <c r="R7340">
        <v>0.50072589999999995</v>
      </c>
      <c r="S7340">
        <v>3.1173709999999999</v>
      </c>
      <c r="T7340">
        <v>-0.29859910000000001</v>
      </c>
      <c r="U7340">
        <v>0.75056460000000003</v>
      </c>
      <c r="V7340">
        <v>0.33615009999999901</v>
      </c>
      <c r="W7340">
        <v>0.135997799999999</v>
      </c>
      <c r="X7340">
        <v>0.93193760000000003</v>
      </c>
      <c r="Y7340">
        <v>0.58844510000000005</v>
      </c>
      <c r="Z7340">
        <v>-9.053369E-2</v>
      </c>
      <c r="AA7340">
        <v>0.80345259999999996</v>
      </c>
      <c r="AB7340">
        <v>26</v>
      </c>
      <c r="AC7340">
        <v>11.399800000000001</v>
      </c>
      <c r="AD7340">
        <v>-1.100462741729</v>
      </c>
      <c r="AE7340">
        <v>2.6701000000000099</v>
      </c>
      <c r="AF7340">
        <v>6.9440742209349802</v>
      </c>
      <c r="AG7340">
        <v>-1.100462741729</v>
      </c>
      <c r="AH7340">
        <v>9.2991607981649391</v>
      </c>
      <c r="AI7340">
        <v>95.416595879712006</v>
      </c>
      <c r="AJ7340">
        <v>53.2497567383665</v>
      </c>
      <c r="AK7340">
        <v>11.6578547161094</v>
      </c>
      <c r="AL7340">
        <v>82.183678151975201</v>
      </c>
      <c r="AM7340">
        <v>70.165614741744804</v>
      </c>
      <c r="AN7340">
        <v>0.99999999081430502</v>
      </c>
    </row>
    <row r="7341" spans="1:40" x14ac:dyDescent="0.25">
      <c r="A7341" t="str">
        <f>"20190312173108348"</f>
        <v>20190312173108348</v>
      </c>
      <c r="B7341" t="str">
        <f>"1552383068335135"</f>
        <v>1552383068335135</v>
      </c>
      <c r="C7341" t="s">
        <v>40</v>
      </c>
      <c r="D7341">
        <v>3.5147889999999999</v>
      </c>
      <c r="E7341">
        <v>0.62180360000000001</v>
      </c>
      <c r="F7341" t="s">
        <v>41</v>
      </c>
      <c r="G7341">
        <v>-169.47049999999999</v>
      </c>
      <c r="H7341" s="1">
        <v>-1.780187E-6</v>
      </c>
      <c r="I7341">
        <v>133.63069999999999</v>
      </c>
      <c r="J7341">
        <v>-180.91149999999999</v>
      </c>
      <c r="K7341">
        <v>1.1004640000000001</v>
      </c>
      <c r="L7341">
        <v>131.0137</v>
      </c>
      <c r="M7341">
        <v>0.64855769999999902</v>
      </c>
      <c r="N7341">
        <v>0</v>
      </c>
      <c r="O7341">
        <v>0.76097799999999904</v>
      </c>
      <c r="P7341">
        <v>0.85936109999999899</v>
      </c>
      <c r="Q7341">
        <v>0.12852849999999999</v>
      </c>
      <c r="R7341">
        <v>0.49495349999999999</v>
      </c>
      <c r="S7341">
        <v>3.1204529999999999</v>
      </c>
      <c r="T7341">
        <v>-0.29795909999999998</v>
      </c>
      <c r="U7341">
        <v>0.73272709999999996</v>
      </c>
      <c r="V7341">
        <v>0.33633020000000002</v>
      </c>
      <c r="W7341">
        <v>0.1363422</v>
      </c>
      <c r="X7341">
        <v>0.93182229999999999</v>
      </c>
      <c r="Y7341">
        <v>0.58776349999999999</v>
      </c>
      <c r="Z7341">
        <v>-9.0106000000000006E-2</v>
      </c>
      <c r="AA7341">
        <v>0.80399940000000003</v>
      </c>
      <c r="AB7341">
        <v>26</v>
      </c>
      <c r="AC7341">
        <v>11.441000000000001</v>
      </c>
      <c r="AD7341">
        <v>-1.1004657801869999</v>
      </c>
      <c r="AE7341">
        <v>2.6169999999999898</v>
      </c>
      <c r="AF7341">
        <v>6.9489802915886898</v>
      </c>
      <c r="AG7341">
        <v>-1.1004657801869999</v>
      </c>
      <c r="AH7341">
        <v>9.3309358519046803</v>
      </c>
      <c r="AI7341">
        <v>95.403464410453793</v>
      </c>
      <c r="AJ7341">
        <v>53.324026771873299</v>
      </c>
      <c r="AK7341">
        <v>11.6861334879681</v>
      </c>
      <c r="AL7341">
        <v>82.163760020308899</v>
      </c>
      <c r="AM7341">
        <v>70.153553791824905</v>
      </c>
      <c r="AN7341">
        <v>0.99999999885508495</v>
      </c>
    </row>
    <row r="7342" spans="1:40" x14ac:dyDescent="0.25">
      <c r="A7342" t="str">
        <f>"20190312173108360"</f>
        <v>20190312173108360</v>
      </c>
      <c r="B7342" t="str">
        <f>"1552383068344894"</f>
        <v>1552383068344894</v>
      </c>
      <c r="C7342" t="s">
        <v>40</v>
      </c>
      <c r="D7342">
        <v>3.5340750000000001</v>
      </c>
      <c r="E7342">
        <v>0.62142810000000004</v>
      </c>
      <c r="F7342" t="s">
        <v>41</v>
      </c>
      <c r="G7342">
        <v>-169.32230000000001</v>
      </c>
      <c r="H7342" s="1">
        <v>-1.828425E-6</v>
      </c>
      <c r="I7342">
        <v>133.66329999999999</v>
      </c>
      <c r="J7342">
        <v>-180.81180000000001</v>
      </c>
      <c r="K7342">
        <v>1.1004659999999999</v>
      </c>
      <c r="L7342">
        <v>131.11850000000001</v>
      </c>
      <c r="M7342">
        <v>0.654398699999999</v>
      </c>
      <c r="N7342">
        <v>0</v>
      </c>
      <c r="O7342">
        <v>0.75596109999999905</v>
      </c>
      <c r="P7342">
        <v>0.86315520000000001</v>
      </c>
      <c r="Q7342">
        <v>0.128801</v>
      </c>
      <c r="R7342">
        <v>0.48823509999999998</v>
      </c>
      <c r="S7342">
        <v>3.1239780000000001</v>
      </c>
      <c r="T7342">
        <v>-0.29663929999999999</v>
      </c>
      <c r="U7342">
        <v>0.71420289999999997</v>
      </c>
      <c r="V7342">
        <v>0.33639770000000002</v>
      </c>
      <c r="W7342">
        <v>0.13660620000000001</v>
      </c>
      <c r="X7342">
        <v>0.93175920000000001</v>
      </c>
      <c r="Y7342">
        <v>0.58633789999999997</v>
      </c>
      <c r="Z7342">
        <v>-8.9384580000000005E-2</v>
      </c>
      <c r="AA7342">
        <v>0.80512010000000001</v>
      </c>
      <c r="AB7342">
        <v>26</v>
      </c>
      <c r="AC7342">
        <v>11.4894999999999</v>
      </c>
      <c r="AD7342">
        <v>-1.100467828425</v>
      </c>
      <c r="AE7342">
        <v>2.54479999999998</v>
      </c>
      <c r="AF7342">
        <v>6.9604343372731599</v>
      </c>
      <c r="AG7342">
        <v>-1.100467828425</v>
      </c>
      <c r="AH7342">
        <v>9.3619611556227902</v>
      </c>
      <c r="AI7342">
        <v>95.388865030371605</v>
      </c>
      <c r="AJ7342">
        <v>53.3699217413618</v>
      </c>
      <c r="AK7342">
        <v>11.717721292310999</v>
      </c>
      <c r="AL7342">
        <v>82.148490580691004</v>
      </c>
      <c r="AM7342">
        <v>70.148642572706606</v>
      </c>
      <c r="AN7342">
        <v>0.99999993661418296</v>
      </c>
    </row>
    <row r="7343" spans="1:40" x14ac:dyDescent="0.25">
      <c r="A7343" t="str">
        <f>"20190312173108373"</f>
        <v>20190312173108373</v>
      </c>
      <c r="B7343" t="str">
        <f>"1552383068364414"</f>
        <v>1552383068364414</v>
      </c>
      <c r="C7343" t="s">
        <v>40</v>
      </c>
      <c r="D7343">
        <v>3.5020690000000001</v>
      </c>
      <c r="E7343">
        <v>0.61585040000000002</v>
      </c>
      <c r="F7343" t="s">
        <v>41</v>
      </c>
      <c r="G7343">
        <v>-169.20609999999999</v>
      </c>
      <c r="H7343" s="1">
        <v>-1.866659E-6</v>
      </c>
      <c r="I7343">
        <v>133.68719999999999</v>
      </c>
      <c r="J7343">
        <v>-180.71270000000001</v>
      </c>
      <c r="K7343">
        <v>1.100468</v>
      </c>
      <c r="L7343">
        <v>131.22069999999999</v>
      </c>
      <c r="M7343">
        <v>0.66012360000000003</v>
      </c>
      <c r="N7343">
        <v>0</v>
      </c>
      <c r="O7343">
        <v>0.7509673</v>
      </c>
      <c r="P7343">
        <v>0.86682769999999998</v>
      </c>
      <c r="Q7343">
        <v>0.1288994</v>
      </c>
      <c r="R7343">
        <v>0.48165839999999999</v>
      </c>
      <c r="S7343">
        <v>3.12825</v>
      </c>
      <c r="T7343">
        <v>-0.29662559999999999</v>
      </c>
      <c r="U7343">
        <v>0.69236759999999997</v>
      </c>
      <c r="V7343">
        <v>0.33639259999999999</v>
      </c>
      <c r="W7343">
        <v>0.1366955</v>
      </c>
      <c r="X7343">
        <v>0.93174800000000002</v>
      </c>
      <c r="Y7343">
        <v>0.58580429999999994</v>
      </c>
      <c r="Z7343">
        <v>-8.9087550000000001E-2</v>
      </c>
      <c r="AA7343">
        <v>0.80554130000000002</v>
      </c>
      <c r="AB7343">
        <v>26</v>
      </c>
      <c r="AC7343">
        <v>11.506600000000001</v>
      </c>
      <c r="AD7343">
        <v>-1.100469866659</v>
      </c>
      <c r="AE7343">
        <v>2.4664999999999901</v>
      </c>
      <c r="AF7343">
        <v>6.9530812216241804</v>
      </c>
      <c r="AG7343">
        <v>-1.100469866659</v>
      </c>
      <c r="AH7343">
        <v>9.3674683857191798</v>
      </c>
      <c r="AI7343">
        <v>95.388858428056594</v>
      </c>
      <c r="AJ7343">
        <v>53.415041317853003</v>
      </c>
      <c r="AK7343">
        <v>11.7177573092881</v>
      </c>
      <c r="AL7343">
        <v>82.143326024609706</v>
      </c>
      <c r="AM7343">
        <v>70.1487000431312</v>
      </c>
      <c r="AN7343">
        <v>0.99999998827950398</v>
      </c>
    </row>
    <row r="7344" spans="1:40" x14ac:dyDescent="0.25">
      <c r="A7344" t="str">
        <f>"20190312173108387"</f>
        <v>20190312173108387</v>
      </c>
      <c r="B7344" t="str">
        <f>"1552383068375151"</f>
        <v>1552383068375151</v>
      </c>
      <c r="C7344" t="s">
        <v>40</v>
      </c>
      <c r="D7344">
        <v>3.4482750000000002</v>
      </c>
      <c r="E7344">
        <v>0.61642600000000003</v>
      </c>
      <c r="F7344" t="s">
        <v>41</v>
      </c>
      <c r="G7344">
        <v>-169.20609999999999</v>
      </c>
      <c r="H7344" s="1">
        <v>-1.827074E-6</v>
      </c>
      <c r="I7344">
        <v>133.83600000000001</v>
      </c>
      <c r="J7344">
        <v>-180.595</v>
      </c>
      <c r="K7344">
        <v>1.100471</v>
      </c>
      <c r="L7344">
        <v>131.34049999999999</v>
      </c>
      <c r="M7344">
        <v>0.66683800000000004</v>
      </c>
      <c r="N7344">
        <v>0</v>
      </c>
      <c r="O7344">
        <v>0.74501189999999995</v>
      </c>
      <c r="P7344">
        <v>0.87097190000000002</v>
      </c>
      <c r="Q7344">
        <v>0.12908449999999999</v>
      </c>
      <c r="R7344">
        <v>0.47407300000000002</v>
      </c>
      <c r="S7344">
        <v>3.1121370000000002</v>
      </c>
      <c r="T7344">
        <v>-0.29764069999999998</v>
      </c>
      <c r="U7344">
        <v>0.70733639999999998</v>
      </c>
      <c r="V7344">
        <v>0.33614480000000002</v>
      </c>
      <c r="W7344">
        <v>0.136875</v>
      </c>
      <c r="X7344">
        <v>0.9318111</v>
      </c>
      <c r="Y7344">
        <v>0.57390909999999995</v>
      </c>
      <c r="Z7344">
        <v>-8.8885580000000006E-2</v>
      </c>
      <c r="AA7344">
        <v>0.81408100000000005</v>
      </c>
      <c r="AB7344">
        <v>26</v>
      </c>
      <c r="AC7344">
        <v>11.3889</v>
      </c>
      <c r="AD7344">
        <v>-1.1004728270739901</v>
      </c>
      <c r="AE7344">
        <v>2.4955000000000198</v>
      </c>
      <c r="AF7344">
        <v>6.7615035449990204</v>
      </c>
      <c r="AG7344">
        <v>-1.1004728270739901</v>
      </c>
      <c r="AH7344">
        <v>9.3715814888059299</v>
      </c>
      <c r="AI7344">
        <v>95.4397800561092</v>
      </c>
      <c r="AJ7344">
        <v>54.189923442850798</v>
      </c>
      <c r="AK7344">
        <v>11.608424106376001</v>
      </c>
      <c r="AL7344">
        <v>82.132944012233807</v>
      </c>
      <c r="AM7344">
        <v>70.163420507431994</v>
      </c>
      <c r="AN7344">
        <v>1.00000000913762</v>
      </c>
    </row>
    <row r="7345" spans="1:40" x14ac:dyDescent="0.25">
      <c r="A7345" t="str">
        <f>"20190312173108401"</f>
        <v>20190312173108401</v>
      </c>
      <c r="B7345" t="str">
        <f>"1552383068394670"</f>
        <v>1552383068394670</v>
      </c>
      <c r="C7345" t="s">
        <v>40</v>
      </c>
      <c r="D7345">
        <v>3.4360499999999998</v>
      </c>
      <c r="E7345">
        <v>0.61621239999999999</v>
      </c>
      <c r="F7345" t="s">
        <v>41</v>
      </c>
      <c r="G7345">
        <v>-168.66130000000001</v>
      </c>
      <c r="H7345" s="1">
        <v>-2.0134539999999999E-6</v>
      </c>
      <c r="I7345">
        <v>133.92189999999999</v>
      </c>
      <c r="J7345">
        <v>-180.4786</v>
      </c>
      <c r="K7345">
        <v>1.1004750000000001</v>
      </c>
      <c r="L7345">
        <v>131.45660000000001</v>
      </c>
      <c r="M7345">
        <v>0.67337380000000002</v>
      </c>
      <c r="N7345">
        <v>0</v>
      </c>
      <c r="O7345">
        <v>0.73911039999999995</v>
      </c>
      <c r="P7345">
        <v>0.875181599999999</v>
      </c>
      <c r="Q7345">
        <v>0.1291216</v>
      </c>
      <c r="R7345">
        <v>0.46624559999999998</v>
      </c>
      <c r="S7345">
        <v>3.11972</v>
      </c>
      <c r="T7345">
        <v>-0.28768660000000001</v>
      </c>
      <c r="U7345">
        <v>0.67483519999999997</v>
      </c>
      <c r="V7345">
        <v>0.33628750000000002</v>
      </c>
      <c r="W7345">
        <v>0.13689579999999901</v>
      </c>
      <c r="X7345">
        <v>0.93175660000000005</v>
      </c>
      <c r="Y7345">
        <v>0.57556130000000005</v>
      </c>
      <c r="Z7345">
        <v>-8.5642079999999995E-2</v>
      </c>
      <c r="AA7345">
        <v>0.81326169999999998</v>
      </c>
      <c r="AB7345">
        <v>26</v>
      </c>
      <c r="AC7345">
        <v>11.8172999999999</v>
      </c>
      <c r="AD7345">
        <v>-1.1004770134540001</v>
      </c>
      <c r="AE7345">
        <v>2.4652999999999801</v>
      </c>
      <c r="AF7345">
        <v>7.0169104148853796</v>
      </c>
      <c r="AG7345">
        <v>-1.1004770134540001</v>
      </c>
      <c r="AH7345">
        <v>9.7003615524834501</v>
      </c>
      <c r="AI7345">
        <v>95.251824979224907</v>
      </c>
      <c r="AJ7345">
        <v>54.119306779679803</v>
      </c>
      <c r="AK7345">
        <v>12.0226908667139</v>
      </c>
      <c r="AL7345">
        <v>82.131741276139806</v>
      </c>
      <c r="AM7345">
        <v>70.154586743884494</v>
      </c>
      <c r="AN7345">
        <v>1.00000005217872</v>
      </c>
    </row>
    <row r="7346" spans="1:40" x14ac:dyDescent="0.25">
      <c r="A7346" t="str">
        <f>"20190312173108417"</f>
        <v>20190312173108417</v>
      </c>
      <c r="B7346" t="str">
        <f>"1552383068404431"</f>
        <v>1552383068404431</v>
      </c>
      <c r="C7346" t="s">
        <v>40</v>
      </c>
      <c r="D7346">
        <v>3.4949439999999998</v>
      </c>
      <c r="E7346">
        <v>0.61562850000000002</v>
      </c>
      <c r="F7346" t="s">
        <v>41</v>
      </c>
      <c r="G7346">
        <v>-168.22290000000001</v>
      </c>
      <c r="H7346" s="1">
        <v>-2.162015E-6</v>
      </c>
      <c r="I7346">
        <v>133.99619999999999</v>
      </c>
      <c r="J7346">
        <v>-180.35120000000001</v>
      </c>
      <c r="K7346">
        <v>1.100482</v>
      </c>
      <c r="L7346">
        <v>131.58109999999999</v>
      </c>
      <c r="M7346">
        <v>0.68042009999999997</v>
      </c>
      <c r="N7346">
        <v>0</v>
      </c>
      <c r="O7346">
        <v>0.73262939999999999</v>
      </c>
      <c r="P7346">
        <v>0.87954080000000001</v>
      </c>
      <c r="Q7346">
        <v>0.12932660000000001</v>
      </c>
      <c r="R7346">
        <v>0.45791140000000002</v>
      </c>
      <c r="S7346">
        <v>3.1243289999999999</v>
      </c>
      <c r="T7346">
        <v>-0.28054259999999998</v>
      </c>
      <c r="U7346">
        <v>0.64741519999999997</v>
      </c>
      <c r="V7346">
        <v>0.33619680000000002</v>
      </c>
      <c r="W7346">
        <v>0.13708239999999999</v>
      </c>
      <c r="X7346">
        <v>0.93176190000000003</v>
      </c>
      <c r="Y7346">
        <v>0.57507129999999995</v>
      </c>
      <c r="Z7346">
        <v>-8.3165000000000003E-2</v>
      </c>
      <c r="AA7346">
        <v>0.81386519999999996</v>
      </c>
      <c r="AB7346">
        <v>26</v>
      </c>
      <c r="AC7346">
        <v>12.1282999999999</v>
      </c>
      <c r="AD7346">
        <v>-1.1004841620150001</v>
      </c>
      <c r="AE7346">
        <v>2.41509999999999</v>
      </c>
      <c r="AF7346">
        <v>7.1863801488760197</v>
      </c>
      <c r="AG7346">
        <v>-1.1004841620150001</v>
      </c>
      <c r="AH7346">
        <v>9.9443777856374602</v>
      </c>
      <c r="AI7346">
        <v>95.125396868501994</v>
      </c>
      <c r="AJ7346">
        <v>54.145956489062002</v>
      </c>
      <c r="AK7346">
        <v>12.318513488992201</v>
      </c>
      <c r="AL7346">
        <v>82.120948158845493</v>
      </c>
      <c r="AM7346">
        <v>70.159625505356999</v>
      </c>
      <c r="AN7346">
        <v>1.0000000555058</v>
      </c>
    </row>
    <row r="7347" spans="1:40" x14ac:dyDescent="0.25">
      <c r="A7347" t="str">
        <f>"20190312173108431"</f>
        <v>20190312173108431</v>
      </c>
      <c r="B7347" t="str">
        <f>"1552383068415166"</f>
        <v>1552383068415166</v>
      </c>
      <c r="C7347" t="s">
        <v>40</v>
      </c>
      <c r="D7347">
        <v>3.5901629999999898</v>
      </c>
      <c r="E7347">
        <v>0.61554409999999904</v>
      </c>
      <c r="F7347" t="s">
        <v>41</v>
      </c>
      <c r="G7347">
        <v>-167.89230000000001</v>
      </c>
      <c r="H7347" s="1">
        <v>-2.2733809999999998E-6</v>
      </c>
      <c r="I7347">
        <v>134.0548</v>
      </c>
      <c r="J7347">
        <v>-180.23349999999999</v>
      </c>
      <c r="K7347">
        <v>1.1004830000000001</v>
      </c>
      <c r="L7347">
        <v>131.6942</v>
      </c>
      <c r="M7347">
        <v>0.68683209999999995</v>
      </c>
      <c r="N7347">
        <v>0</v>
      </c>
      <c r="O7347">
        <v>0.7266222</v>
      </c>
      <c r="P7347">
        <v>0.88352280000000005</v>
      </c>
      <c r="Q7347">
        <v>0.12968470000000001</v>
      </c>
      <c r="R7347">
        <v>0.45007710000000001</v>
      </c>
      <c r="S7347">
        <v>3.1281430000000001</v>
      </c>
      <c r="T7347">
        <v>-0.27630569999999999</v>
      </c>
      <c r="U7347">
        <v>0.62109380000000003</v>
      </c>
      <c r="V7347">
        <v>0.33625690000000003</v>
      </c>
      <c r="W7347">
        <v>0.13741389999999901</v>
      </c>
      <c r="X7347">
        <v>0.9316913</v>
      </c>
      <c r="Y7347">
        <v>0.57481859999999996</v>
      </c>
      <c r="Z7347">
        <v>-8.1600339999999993E-2</v>
      </c>
      <c r="AA7347">
        <v>0.81420209999999904</v>
      </c>
      <c r="AB7347">
        <v>26</v>
      </c>
      <c r="AC7347">
        <v>12.341199999999899</v>
      </c>
      <c r="AD7347">
        <v>-1.100485273381</v>
      </c>
      <c r="AE7347">
        <v>2.3605999999999998</v>
      </c>
      <c r="AF7347">
        <v>7.2911595337187602</v>
      </c>
      <c r="AG7347">
        <v>-1.100485273381</v>
      </c>
      <c r="AH7347">
        <v>10.115438422192801</v>
      </c>
      <c r="AI7347">
        <v>95.043609742131295</v>
      </c>
      <c r="AJ7347">
        <v>54.216117461040199</v>
      </c>
      <c r="AK7347">
        <v>12.517754177816499</v>
      </c>
      <c r="AL7347">
        <v>82.101772554598398</v>
      </c>
      <c r="AM7347">
        <v>70.154969353499396</v>
      </c>
      <c r="AN7347">
        <v>0.99999998060325401</v>
      </c>
    </row>
    <row r="7348" spans="1:40" x14ac:dyDescent="0.25">
      <c r="A7348" t="str">
        <f>"20190312173108442"</f>
        <v>20190312173108442</v>
      </c>
      <c r="B7348" t="str">
        <f>"1552383068435195"</f>
        <v>1552383068435195</v>
      </c>
      <c r="C7348" t="s">
        <v>40</v>
      </c>
      <c r="D7348">
        <v>3.5591249999999999</v>
      </c>
      <c r="E7348">
        <v>0.63381080000000001</v>
      </c>
      <c r="F7348" t="s">
        <v>41</v>
      </c>
      <c r="G7348">
        <v>-167.8236</v>
      </c>
      <c r="H7348" s="1">
        <v>-2.3017809999999998E-6</v>
      </c>
      <c r="I7348">
        <v>134.04730000000001</v>
      </c>
      <c r="J7348">
        <v>-180.12729999999999</v>
      </c>
      <c r="K7348">
        <v>1.1004849999999999</v>
      </c>
      <c r="L7348">
        <v>131.79499999999999</v>
      </c>
      <c r="M7348">
        <v>0.69254599999999999</v>
      </c>
      <c r="N7348">
        <v>0</v>
      </c>
      <c r="O7348">
        <v>0.72117919999999902</v>
      </c>
      <c r="P7348">
        <v>0.88707009999999897</v>
      </c>
      <c r="Q7348">
        <v>0.12977739999999999</v>
      </c>
      <c r="R7348">
        <v>0.44301750000000001</v>
      </c>
      <c r="S7348">
        <v>3.133591</v>
      </c>
      <c r="T7348">
        <v>-0.2778796</v>
      </c>
      <c r="U7348">
        <v>0.59416199999999997</v>
      </c>
      <c r="V7348">
        <v>0.33632289999999998</v>
      </c>
      <c r="W7348">
        <v>0.13748009999999999</v>
      </c>
      <c r="X7348">
        <v>0.93165770000000003</v>
      </c>
      <c r="Y7348">
        <v>0.57535590000000003</v>
      </c>
      <c r="Z7348">
        <v>-8.1764890000000007E-2</v>
      </c>
      <c r="AA7348">
        <v>0.81380589999999997</v>
      </c>
      <c r="AB7348">
        <v>25</v>
      </c>
      <c r="AC7348">
        <v>12.3036999999999</v>
      </c>
      <c r="AD7348">
        <v>-1.100487301781</v>
      </c>
      <c r="AE7348">
        <v>2.2523000000000102</v>
      </c>
      <c r="AF7348">
        <v>7.2581934964856503</v>
      </c>
      <c r="AG7348">
        <v>-1.100487301781</v>
      </c>
      <c r="AH7348">
        <v>10.0686745864407</v>
      </c>
      <c r="AI7348">
        <v>95.066746365420798</v>
      </c>
      <c r="AJ7348">
        <v>54.2133421931455</v>
      </c>
      <c r="AK7348">
        <v>12.460764545622601</v>
      </c>
      <c r="AL7348">
        <v>82.097943149645602</v>
      </c>
      <c r="AM7348">
        <v>70.1507184958148</v>
      </c>
      <c r="AN7348">
        <v>0.999999970464854</v>
      </c>
    </row>
    <row r="7349" spans="1:40" x14ac:dyDescent="0.25">
      <c r="A7349" t="str">
        <f>"20190312173108453"</f>
        <v>20190312173108453</v>
      </c>
      <c r="B7349" t="str">
        <f>"1552383068444954"</f>
        <v>1552383068444954</v>
      </c>
      <c r="C7349" t="s">
        <v>40</v>
      </c>
      <c r="D7349">
        <v>3.5703079999999998</v>
      </c>
      <c r="E7349">
        <v>0.63461599999999996</v>
      </c>
      <c r="F7349" t="s">
        <v>41</v>
      </c>
      <c r="G7349">
        <v>-165.93180000000001</v>
      </c>
      <c r="H7349" s="1">
        <v>-3.113249E-6</v>
      </c>
      <c r="I7349">
        <v>133.7278</v>
      </c>
      <c r="J7349">
        <v>-180.03729999999999</v>
      </c>
      <c r="K7349">
        <v>1.1004910000000001</v>
      </c>
      <c r="L7349">
        <v>131.8783</v>
      </c>
      <c r="M7349">
        <v>0.69731160000000003</v>
      </c>
      <c r="N7349">
        <v>0</v>
      </c>
      <c r="O7349">
        <v>0.71657309999999996</v>
      </c>
      <c r="P7349">
        <v>0.88992459999999995</v>
      </c>
      <c r="Q7349">
        <v>0.12967680000000001</v>
      </c>
      <c r="R7349">
        <v>0.43728509999999998</v>
      </c>
      <c r="S7349">
        <v>3.200577</v>
      </c>
      <c r="T7349">
        <v>-0.24812039999999999</v>
      </c>
      <c r="U7349">
        <v>0.43579099999999998</v>
      </c>
      <c r="V7349">
        <v>0.33616249999999998</v>
      </c>
      <c r="W7349">
        <v>0.1373596</v>
      </c>
      <c r="X7349">
        <v>0.93173340000000004</v>
      </c>
      <c r="Y7349">
        <v>0.61257819999999996</v>
      </c>
      <c r="Z7349">
        <v>-7.3265079999999996E-2</v>
      </c>
      <c r="AA7349">
        <v>0.78700709999999996</v>
      </c>
      <c r="AB7349">
        <v>25</v>
      </c>
      <c r="AC7349">
        <v>14.1054999999999</v>
      </c>
      <c r="AD7349">
        <v>-1.10049411324899</v>
      </c>
      <c r="AE7349">
        <v>1.8494999999999999</v>
      </c>
      <c r="AF7349">
        <v>8.7667162365400504</v>
      </c>
      <c r="AG7349">
        <v>-1.10049411324899</v>
      </c>
      <c r="AH7349">
        <v>11.096389583625401</v>
      </c>
      <c r="AI7349">
        <v>94.449764915617095</v>
      </c>
      <c r="AJ7349">
        <v>51.689457169200402</v>
      </c>
      <c r="AK7349">
        <v>14.1843668401836</v>
      </c>
      <c r="AL7349">
        <v>82.104913712444898</v>
      </c>
      <c r="AM7349">
        <v>70.160932265975504</v>
      </c>
      <c r="AN7349">
        <v>1.0000000073969799</v>
      </c>
    </row>
    <row r="7350" spans="1:40" x14ac:dyDescent="0.25">
      <c r="A7350" t="str">
        <f>"20190312173108465"</f>
        <v>20190312173108465</v>
      </c>
      <c r="B7350" t="str">
        <f>"1552383068454714"</f>
        <v>1552383068454714</v>
      </c>
      <c r="C7350" t="s">
        <v>40</v>
      </c>
      <c r="D7350">
        <v>3.574179</v>
      </c>
      <c r="E7350">
        <v>0.63451340000000001</v>
      </c>
      <c r="F7350" t="s">
        <v>41</v>
      </c>
      <c r="G7350">
        <v>-165.7955</v>
      </c>
      <c r="H7350" s="1">
        <v>-3.1743170000000001E-6</v>
      </c>
      <c r="I7350">
        <v>133.69499999999999</v>
      </c>
      <c r="J7350">
        <v>-179.9359</v>
      </c>
      <c r="K7350">
        <v>1.1004959999999999</v>
      </c>
      <c r="L7350">
        <v>131.9717</v>
      </c>
      <c r="M7350">
        <v>0.70262799999999903</v>
      </c>
      <c r="N7350">
        <v>0</v>
      </c>
      <c r="O7350">
        <v>0.71136189999999999</v>
      </c>
      <c r="P7350">
        <v>0.8932177</v>
      </c>
      <c r="Q7350">
        <v>0.12987009999999999</v>
      </c>
      <c r="R7350">
        <v>0.43046010000000001</v>
      </c>
      <c r="S7350">
        <v>3.206207</v>
      </c>
      <c r="T7350">
        <v>-0.247751</v>
      </c>
      <c r="U7350">
        <v>0.40898129999999999</v>
      </c>
      <c r="V7350">
        <v>0.33633859999999999</v>
      </c>
      <c r="W7350">
        <v>0.13751830000000001</v>
      </c>
      <c r="X7350">
        <v>0.93164639999999999</v>
      </c>
      <c r="Y7350">
        <v>0.61338349999999997</v>
      </c>
      <c r="Z7350">
        <v>-7.2881680000000004E-2</v>
      </c>
      <c r="AA7350">
        <v>0.78641530000000004</v>
      </c>
      <c r="AB7350">
        <v>25</v>
      </c>
      <c r="AC7350">
        <v>14.1404</v>
      </c>
      <c r="AD7350">
        <v>-1.1004991743169901</v>
      </c>
      <c r="AE7350">
        <v>1.7232999999999901</v>
      </c>
      <c r="AF7350">
        <v>8.7968313141349306</v>
      </c>
      <c r="AG7350">
        <v>-1.1004991743169901</v>
      </c>
      <c r="AH7350">
        <v>11.096654921750201</v>
      </c>
      <c r="AI7350">
        <v>94.443871021194695</v>
      </c>
      <c r="AJ7350">
        <v>51.594511079509999</v>
      </c>
      <c r="AK7350">
        <v>14.203207034132101</v>
      </c>
      <c r="AL7350">
        <v>82.095733504245402</v>
      </c>
      <c r="AM7350">
        <v>70.149642333269895</v>
      </c>
      <c r="AN7350">
        <v>0.99999997565890397</v>
      </c>
    </row>
    <row r="7351" spans="1:40" x14ac:dyDescent="0.25">
      <c r="A7351" t="str">
        <f>"20190312173108476"</f>
        <v>20190312173108476</v>
      </c>
      <c r="B7351" t="str">
        <f>"1552383068464475"</f>
        <v>1552383068464475</v>
      </c>
      <c r="C7351" t="s">
        <v>40</v>
      </c>
      <c r="D7351">
        <v>3.5724309999999999</v>
      </c>
      <c r="E7351">
        <v>0.63366650000000002</v>
      </c>
      <c r="F7351" t="s">
        <v>41</v>
      </c>
      <c r="G7351">
        <v>-165.4974</v>
      </c>
      <c r="H7351" s="1">
        <v>-3.2865580000000001E-6</v>
      </c>
      <c r="I7351">
        <v>133.70339999999999</v>
      </c>
      <c r="J7351">
        <v>-179.84190000000001</v>
      </c>
      <c r="K7351">
        <v>1.1005</v>
      </c>
      <c r="L7351">
        <v>132.0564</v>
      </c>
      <c r="M7351">
        <v>0.70748449999999996</v>
      </c>
      <c r="N7351">
        <v>0</v>
      </c>
      <c r="O7351">
        <v>0.70653299999999997</v>
      </c>
      <c r="P7351">
        <v>0.89607499999999995</v>
      </c>
      <c r="Q7351">
        <v>0.12995770000000001</v>
      </c>
      <c r="R7351">
        <v>0.42445349999999998</v>
      </c>
      <c r="S7351">
        <v>3.2087249999999998</v>
      </c>
      <c r="T7351">
        <v>-0.24456720000000001</v>
      </c>
      <c r="U7351">
        <v>0.38485720000000001</v>
      </c>
      <c r="V7351">
        <v>0.33620029999999901</v>
      </c>
      <c r="W7351">
        <v>0.137579799999999</v>
      </c>
      <c r="X7351">
        <v>0.9316873</v>
      </c>
      <c r="Y7351">
        <v>0.61398240000000004</v>
      </c>
      <c r="Z7351">
        <v>-7.1742790000000001E-2</v>
      </c>
      <c r="AA7351">
        <v>0.78605249999999904</v>
      </c>
      <c r="AB7351">
        <v>25</v>
      </c>
      <c r="AC7351">
        <v>14.3445</v>
      </c>
      <c r="AD7351">
        <v>-1.100503286558</v>
      </c>
      <c r="AE7351">
        <v>1.64699999999999</v>
      </c>
      <c r="AF7351">
        <v>8.91906377916116</v>
      </c>
      <c r="AG7351">
        <v>-1.100503286558</v>
      </c>
      <c r="AH7351">
        <v>11.2483919002471</v>
      </c>
      <c r="AI7351">
        <v>94.383809012388099</v>
      </c>
      <c r="AJ7351">
        <v>51.588432285850402</v>
      </c>
      <c r="AK7351">
        <v>14.397469448552901</v>
      </c>
      <c r="AL7351">
        <v>82.092176464058994</v>
      </c>
      <c r="AM7351">
        <v>70.157970445905406</v>
      </c>
      <c r="AN7351">
        <v>1.0000000340346999</v>
      </c>
    </row>
    <row r="7352" spans="1:40" x14ac:dyDescent="0.25">
      <c r="A7352" t="str">
        <f>"20190312173108487"</f>
        <v>20190312173108487</v>
      </c>
      <c r="B7352" t="str">
        <f>"1552383068475210"</f>
        <v>1552383068475210</v>
      </c>
      <c r="C7352" t="s">
        <v>40</v>
      </c>
      <c r="D7352">
        <v>3.589941</v>
      </c>
      <c r="E7352">
        <v>0.63303759999999998</v>
      </c>
      <c r="F7352" t="s">
        <v>41</v>
      </c>
      <c r="G7352">
        <v>-165.13099999999901</v>
      </c>
      <c r="H7352" s="1">
        <v>-3.4155799999999998E-6</v>
      </c>
      <c r="I7352">
        <v>133.7473</v>
      </c>
      <c r="J7352">
        <v>-179.7465</v>
      </c>
      <c r="K7352">
        <v>1.100508</v>
      </c>
      <c r="L7352">
        <v>132.14169999999999</v>
      </c>
      <c r="M7352">
        <v>0.71236650000000001</v>
      </c>
      <c r="N7352">
        <v>0</v>
      </c>
      <c r="O7352">
        <v>0.70161149999999906</v>
      </c>
      <c r="P7352">
        <v>0.89881749999999905</v>
      </c>
      <c r="Q7352">
        <v>0.13021559999999999</v>
      </c>
      <c r="R7352">
        <v>0.41853459999999998</v>
      </c>
      <c r="S7352">
        <v>3.2080690000000001</v>
      </c>
      <c r="T7352">
        <v>-0.2399907</v>
      </c>
      <c r="U7352">
        <v>0.36874390000000001</v>
      </c>
      <c r="V7352">
        <v>0.33585959999999998</v>
      </c>
      <c r="W7352">
        <v>0.1378154</v>
      </c>
      <c r="X7352">
        <v>0.93177529999999997</v>
      </c>
      <c r="Y7352">
        <v>0.61252980000000001</v>
      </c>
      <c r="Z7352">
        <v>-7.0164550000000006E-2</v>
      </c>
      <c r="AA7352">
        <v>0.7873272</v>
      </c>
      <c r="AB7352">
        <v>25</v>
      </c>
      <c r="AC7352">
        <v>14.615500000000001</v>
      </c>
      <c r="AD7352">
        <v>-1.10051141558</v>
      </c>
      <c r="AE7352">
        <v>1.6055999999999999</v>
      </c>
      <c r="AF7352">
        <v>9.0611200147312694</v>
      </c>
      <c r="AG7352">
        <v>-1.10051141558</v>
      </c>
      <c r="AH7352">
        <v>11.4754018902229</v>
      </c>
      <c r="AI7352">
        <v>94.304341013068694</v>
      </c>
      <c r="AJ7352">
        <v>51.704939758822</v>
      </c>
      <c r="AK7352">
        <v>14.662873860172001</v>
      </c>
      <c r="AL7352">
        <v>82.078547345542503</v>
      </c>
      <c r="AM7352">
        <v>70.178237006811102</v>
      </c>
      <c r="AN7352">
        <v>0.99999998253970401</v>
      </c>
    </row>
    <row r="7353" spans="1:40" x14ac:dyDescent="0.25">
      <c r="A7353" t="str">
        <f>"20190312173108498"</f>
        <v>20190312173108498</v>
      </c>
      <c r="B7353" t="str">
        <f>"1552383068484970"</f>
        <v>1552383068484970</v>
      </c>
      <c r="C7353" t="s">
        <v>40</v>
      </c>
      <c r="D7353">
        <v>3.578141</v>
      </c>
      <c r="E7353">
        <v>0.63291949999999997</v>
      </c>
      <c r="F7353" t="s">
        <v>41</v>
      </c>
      <c r="G7353">
        <v>-164.8605</v>
      </c>
      <c r="H7353" s="1">
        <v>-3.511984E-6</v>
      </c>
      <c r="I7353">
        <v>133.77529999999999</v>
      </c>
      <c r="J7353">
        <v>-179.65</v>
      </c>
      <c r="K7353">
        <v>1.100517</v>
      </c>
      <c r="L7353">
        <v>132.22649999999999</v>
      </c>
      <c r="M7353">
        <v>0.71723340000000002</v>
      </c>
      <c r="N7353">
        <v>0</v>
      </c>
      <c r="O7353">
        <v>0.69663660000000005</v>
      </c>
      <c r="P7353">
        <v>0.90153689999999997</v>
      </c>
      <c r="Q7353">
        <v>0.13053629999999999</v>
      </c>
      <c r="R7353">
        <v>0.41254279999999999</v>
      </c>
      <c r="S7353">
        <v>3.2081300000000001</v>
      </c>
      <c r="T7353">
        <v>-0.23717630000000001</v>
      </c>
      <c r="U7353">
        <v>0.35206599999999999</v>
      </c>
      <c r="V7353">
        <v>0.33554499999999998</v>
      </c>
      <c r="W7353">
        <v>0.1381106</v>
      </c>
      <c r="X7353">
        <v>0.93184489999999998</v>
      </c>
      <c r="Y7353">
        <v>0.61116800000000004</v>
      </c>
      <c r="Z7353">
        <v>-6.9089699999999907E-2</v>
      </c>
      <c r="AA7353">
        <v>0.78847970000000001</v>
      </c>
      <c r="AB7353">
        <v>25</v>
      </c>
      <c r="AC7353">
        <v>14.7895</v>
      </c>
      <c r="AD7353">
        <v>-1.100520511984</v>
      </c>
      <c r="AE7353">
        <v>1.5488</v>
      </c>
      <c r="AF7353">
        <v>9.1432354748126095</v>
      </c>
      <c r="AG7353">
        <v>-1.100520511984</v>
      </c>
      <c r="AH7353">
        <v>11.624405463297601</v>
      </c>
      <c r="AI7353">
        <v>94.255703094157298</v>
      </c>
      <c r="AJ7353">
        <v>51.812998851116099</v>
      </c>
      <c r="AK7353">
        <v>14.8302630698283</v>
      </c>
      <c r="AL7353">
        <v>82.061470080170807</v>
      </c>
      <c r="AM7353">
        <v>70.196723701730093</v>
      </c>
      <c r="AN7353">
        <v>0.99999995125668295</v>
      </c>
    </row>
    <row r="7354" spans="1:40" x14ac:dyDescent="0.25">
      <c r="A7354" t="str">
        <f>"20190312173108510"</f>
        <v>20190312173108510</v>
      </c>
      <c r="B7354" t="str">
        <f>"1552383068494730"</f>
        <v>1552383068494730</v>
      </c>
      <c r="C7354" t="s">
        <v>40</v>
      </c>
      <c r="D7354">
        <v>3.5748660000000001</v>
      </c>
      <c r="E7354">
        <v>0.63215549999999998</v>
      </c>
      <c r="F7354" t="s">
        <v>41</v>
      </c>
      <c r="G7354">
        <v>-164.6765</v>
      </c>
      <c r="H7354" s="1">
        <v>-3.5830080000000001E-6</v>
      </c>
      <c r="I7354">
        <v>133.7741</v>
      </c>
      <c r="J7354">
        <v>-179.55260000000001</v>
      </c>
      <c r="K7354">
        <v>1.1005229999999999</v>
      </c>
      <c r="L7354">
        <v>132.3109</v>
      </c>
      <c r="M7354">
        <v>0.72208059999999996</v>
      </c>
      <c r="N7354">
        <v>0</v>
      </c>
      <c r="O7354">
        <v>0.69161219999999901</v>
      </c>
      <c r="P7354">
        <v>0.90426980000000001</v>
      </c>
      <c r="Q7354">
        <v>0.13072429999999999</v>
      </c>
      <c r="R7354">
        <v>0.40645710000000002</v>
      </c>
      <c r="S7354">
        <v>3.209991</v>
      </c>
      <c r="T7354">
        <v>-0.23592759999999999</v>
      </c>
      <c r="U7354">
        <v>0.33175660000000001</v>
      </c>
      <c r="V7354">
        <v>0.3352984</v>
      </c>
      <c r="W7354">
        <v>0.13827210000000001</v>
      </c>
      <c r="X7354">
        <v>0.93190980000000001</v>
      </c>
      <c r="Y7354">
        <v>0.61067919999999998</v>
      </c>
      <c r="Z7354">
        <v>-6.8469779999999994E-2</v>
      </c>
      <c r="AA7354">
        <v>0.78891250000000002</v>
      </c>
      <c r="AB7354">
        <v>25</v>
      </c>
      <c r="AC7354">
        <v>14.876099999999999</v>
      </c>
      <c r="AD7354">
        <v>-1.100526583008</v>
      </c>
      <c r="AE7354">
        <v>1.4632000000000001</v>
      </c>
      <c r="AF7354">
        <v>9.1834215257633893</v>
      </c>
      <c r="AG7354">
        <v>-1.100526583008</v>
      </c>
      <c r="AH7354">
        <v>11.691933585972601</v>
      </c>
      <c r="AI7354">
        <v>94.233502070229505</v>
      </c>
      <c r="AJ7354">
        <v>51.8521605075669</v>
      </c>
      <c r="AK7354">
        <v>14.907974398239199</v>
      </c>
      <c r="AL7354">
        <v>82.052127825176299</v>
      </c>
      <c r="AM7354">
        <v>70.211418210131697</v>
      </c>
      <c r="AN7354">
        <v>1.0000000330084999</v>
      </c>
    </row>
    <row r="7355" spans="1:40" x14ac:dyDescent="0.25">
      <c r="A7355" t="str">
        <f>"20190312173108522"</f>
        <v>20190312173108522</v>
      </c>
      <c r="B7355" t="str">
        <f>"1552383068515226"</f>
        <v>1552383068515226</v>
      </c>
      <c r="C7355" t="s">
        <v>40</v>
      </c>
      <c r="D7355">
        <v>3.6137000000000001</v>
      </c>
      <c r="E7355">
        <v>0.63088319999999998</v>
      </c>
      <c r="F7355" t="s">
        <v>41</v>
      </c>
      <c r="G7355">
        <v>-164.4264</v>
      </c>
      <c r="H7355" s="1">
        <v>-3.6726639999999999E-6</v>
      </c>
      <c r="I7355">
        <v>133.798</v>
      </c>
      <c r="J7355">
        <v>-179.44049999999999</v>
      </c>
      <c r="K7355">
        <v>1.100535</v>
      </c>
      <c r="L7355">
        <v>132.40700000000001</v>
      </c>
      <c r="M7355">
        <v>0.72759619999999903</v>
      </c>
      <c r="N7355">
        <v>0</v>
      </c>
      <c r="O7355">
        <v>0.68580869999999905</v>
      </c>
      <c r="P7355">
        <v>0.90728279999999994</v>
      </c>
      <c r="Q7355">
        <v>0.1312198</v>
      </c>
      <c r="R7355">
        <v>0.39952369999999998</v>
      </c>
      <c r="S7355">
        <v>3.2095340000000001</v>
      </c>
      <c r="T7355">
        <v>-0.23351379999999999</v>
      </c>
      <c r="U7355">
        <v>0.3155365</v>
      </c>
      <c r="V7355">
        <v>0.33492379999999999</v>
      </c>
      <c r="W7355">
        <v>0.13873959999999999</v>
      </c>
      <c r="X7355">
        <v>0.931975</v>
      </c>
      <c r="Y7355">
        <v>0.60836119999999905</v>
      </c>
      <c r="Z7355">
        <v>-6.7445729999999995E-2</v>
      </c>
      <c r="AA7355">
        <v>0.79078939999999998</v>
      </c>
      <c r="AB7355">
        <v>25</v>
      </c>
      <c r="AC7355">
        <v>15.0140999999999</v>
      </c>
      <c r="AD7355">
        <v>-1.1005386726639901</v>
      </c>
      <c r="AE7355">
        <v>1.39099999999999</v>
      </c>
      <c r="AF7355">
        <v>9.2367624730316695</v>
      </c>
      <c r="AG7355">
        <v>-1.1005386726639901</v>
      </c>
      <c r="AH7355">
        <v>11.8168163327119</v>
      </c>
      <c r="AI7355">
        <v>94.196648199383802</v>
      </c>
      <c r="AJ7355">
        <v>51.986593048079499</v>
      </c>
      <c r="AK7355">
        <v>15.038820252741999</v>
      </c>
      <c r="AL7355">
        <v>82.025081216301999</v>
      </c>
      <c r="AM7355">
        <v>70.233088070896301</v>
      </c>
      <c r="AN7355">
        <v>1.0000000145198</v>
      </c>
    </row>
    <row r="7356" spans="1:40" x14ac:dyDescent="0.25">
      <c r="A7356" t="str">
        <f>"20190312173108533"</f>
        <v>20190312173108533</v>
      </c>
      <c r="B7356" t="str">
        <f>"1552383068524986"</f>
        <v>1552383068524986</v>
      </c>
      <c r="C7356" t="s">
        <v>40</v>
      </c>
      <c r="D7356">
        <v>3.6442000000000001</v>
      </c>
      <c r="E7356">
        <v>0.63030679999999994</v>
      </c>
      <c r="F7356" t="s">
        <v>41</v>
      </c>
      <c r="G7356">
        <v>-164.27160000000001</v>
      </c>
      <c r="H7356" s="1">
        <v>-3.7237149999999998E-6</v>
      </c>
      <c r="I7356">
        <v>133.8296</v>
      </c>
      <c r="J7356">
        <v>-179.3443</v>
      </c>
      <c r="K7356">
        <v>1.1005480000000001</v>
      </c>
      <c r="L7356">
        <v>132.48750000000001</v>
      </c>
      <c r="M7356">
        <v>0.73224630000000002</v>
      </c>
      <c r="N7356">
        <v>0</v>
      </c>
      <c r="O7356">
        <v>0.68084259999999996</v>
      </c>
      <c r="P7356">
        <v>0.90999260000000004</v>
      </c>
      <c r="Q7356">
        <v>0.13131960000000001</v>
      </c>
      <c r="R7356">
        <v>0.39327909999999999</v>
      </c>
      <c r="S7356">
        <v>3.2077789999999999</v>
      </c>
      <c r="T7356">
        <v>-0.23273179999999999</v>
      </c>
      <c r="U7356">
        <v>0.30082700000000001</v>
      </c>
      <c r="V7356">
        <v>0.33497329999999997</v>
      </c>
      <c r="W7356">
        <v>0.1388076</v>
      </c>
      <c r="X7356">
        <v>0.93194710000000003</v>
      </c>
      <c r="Y7356">
        <v>0.60655009999999998</v>
      </c>
      <c r="Z7356">
        <v>-6.6974909999999999E-2</v>
      </c>
      <c r="AA7356">
        <v>0.79221929999999996</v>
      </c>
      <c r="AB7356">
        <v>25</v>
      </c>
      <c r="AC7356">
        <v>15.0726999999999</v>
      </c>
      <c r="AD7356">
        <v>-1.10055172371499</v>
      </c>
      <c r="AE7356">
        <v>1.3420999999999801</v>
      </c>
      <c r="AF7356">
        <v>9.2318044723262904</v>
      </c>
      <c r="AG7356">
        <v>-1.10055172371499</v>
      </c>
      <c r="AH7356">
        <v>11.889405407300799</v>
      </c>
      <c r="AI7356">
        <v>94.181636178686205</v>
      </c>
      <c r="AJ7356">
        <v>52.1716193805253</v>
      </c>
      <c r="AK7356">
        <v>15.0928919975924</v>
      </c>
      <c r="AL7356">
        <v>82.021147155968507</v>
      </c>
      <c r="AM7356">
        <v>70.229847049293696</v>
      </c>
      <c r="AN7356">
        <v>1.0000000293645199</v>
      </c>
    </row>
    <row r="7357" spans="1:40" x14ac:dyDescent="0.25">
      <c r="A7357" t="str">
        <f>"20190312173108544"</f>
        <v>20190312173108544</v>
      </c>
      <c r="B7357" t="str">
        <f>"1552383068535254"</f>
        <v>1552383068535254</v>
      </c>
      <c r="C7357" t="s">
        <v>40</v>
      </c>
      <c r="D7357">
        <v>3.652272</v>
      </c>
      <c r="E7357">
        <v>0.62969549999999996</v>
      </c>
      <c r="F7357" t="s">
        <v>41</v>
      </c>
      <c r="G7357">
        <v>-164.31950000000001</v>
      </c>
      <c r="H7357" s="1">
        <v>-3.709538E-6</v>
      </c>
      <c r="I7357">
        <v>133.81370000000001</v>
      </c>
      <c r="J7357">
        <v>-179.2449</v>
      </c>
      <c r="K7357">
        <v>1.100554</v>
      </c>
      <c r="L7357">
        <v>132.57040000000001</v>
      </c>
      <c r="M7357">
        <v>0.73700900000000003</v>
      </c>
      <c r="N7357">
        <v>0</v>
      </c>
      <c r="O7357">
        <v>0.67568519999999999</v>
      </c>
      <c r="P7357">
        <v>0.91268059999999995</v>
      </c>
      <c r="Q7357">
        <v>0.1313395</v>
      </c>
      <c r="R7357">
        <v>0.3869938</v>
      </c>
      <c r="S7357">
        <v>3.2082670000000002</v>
      </c>
      <c r="T7357">
        <v>-0.2350023</v>
      </c>
      <c r="U7357">
        <v>0.283172599999999</v>
      </c>
      <c r="V7357">
        <v>0.3348486</v>
      </c>
      <c r="W7357">
        <v>0.13880100000000001</v>
      </c>
      <c r="X7357">
        <v>0.93199290000000001</v>
      </c>
      <c r="Y7357">
        <v>0.60526539999999995</v>
      </c>
      <c r="Z7357">
        <v>-6.7343589999999995E-2</v>
      </c>
      <c r="AA7357">
        <v>0.79316999999999904</v>
      </c>
      <c r="AB7357">
        <v>25</v>
      </c>
      <c r="AC7357">
        <v>14.9253999999999</v>
      </c>
      <c r="AD7357">
        <v>-1.1005577095379999</v>
      </c>
      <c r="AE7357">
        <v>1.2433000000000001</v>
      </c>
      <c r="AF7357">
        <v>9.1205257602992695</v>
      </c>
      <c r="AG7357">
        <v>-1.1005577095379999</v>
      </c>
      <c r="AH7357">
        <v>11.778217007574399</v>
      </c>
      <c r="AI7357">
        <v>94.225307769641404</v>
      </c>
      <c r="AJ7357">
        <v>52.2473974736033</v>
      </c>
      <c r="AK7357">
        <v>14.937255882317301</v>
      </c>
      <c r="AL7357">
        <v>82.021529042381204</v>
      </c>
      <c r="AM7357">
        <v>70.237532705077996</v>
      </c>
      <c r="AN7357">
        <v>1.0000000340866799</v>
      </c>
    </row>
    <row r="7358" spans="1:40" x14ac:dyDescent="0.25">
      <c r="A7358" t="str">
        <f>"20190312173108556"</f>
        <v>20190312173108556</v>
      </c>
      <c r="B7358" t="str">
        <f>"1552383068545014"</f>
        <v>1552383068545014</v>
      </c>
      <c r="C7358" t="s">
        <v>40</v>
      </c>
      <c r="D7358">
        <v>3.6125050000000001</v>
      </c>
      <c r="E7358">
        <v>0.62893809999999895</v>
      </c>
      <c r="F7358" t="s">
        <v>41</v>
      </c>
      <c r="G7358">
        <v>-164.3484</v>
      </c>
      <c r="H7358" s="1">
        <v>-3.7006030000000001E-6</v>
      </c>
      <c r="I7358">
        <v>133.8056</v>
      </c>
      <c r="J7358">
        <v>-179.13239999999999</v>
      </c>
      <c r="K7358">
        <v>1.1005670000000001</v>
      </c>
      <c r="L7358">
        <v>132.66200000000001</v>
      </c>
      <c r="M7358">
        <v>0.74230439999999998</v>
      </c>
      <c r="N7358">
        <v>0</v>
      </c>
      <c r="O7358">
        <v>0.66986469999999998</v>
      </c>
      <c r="P7358">
        <v>0.91554780000000002</v>
      </c>
      <c r="Q7358">
        <v>0.13178599999999999</v>
      </c>
      <c r="R7358">
        <v>0.38000600000000001</v>
      </c>
      <c r="S7358">
        <v>3.208313</v>
      </c>
      <c r="T7358">
        <v>-0.23703089999999999</v>
      </c>
      <c r="U7358">
        <v>0.26602170000000003</v>
      </c>
      <c r="V7358">
        <v>0.33459749999999999</v>
      </c>
      <c r="W7358">
        <v>0.13922219999999999</v>
      </c>
      <c r="X7358">
        <v>0.93202019999999997</v>
      </c>
      <c r="Y7358">
        <v>0.60318319999999903</v>
      </c>
      <c r="Z7358">
        <v>-6.7577540000000005E-2</v>
      </c>
      <c r="AA7358">
        <v>0.79473479999999996</v>
      </c>
      <c r="AB7358">
        <v>25</v>
      </c>
      <c r="AC7358">
        <v>14.783999999999899</v>
      </c>
      <c r="AD7358">
        <v>-1.1005707006029899</v>
      </c>
      <c r="AE7358">
        <v>1.14359999999999</v>
      </c>
      <c r="AF7358">
        <v>9.0059698949113205</v>
      </c>
      <c r="AG7358">
        <v>-1.1005707006029899</v>
      </c>
      <c r="AH7358">
        <v>11.6775144331384</v>
      </c>
      <c r="AI7358">
        <v>94.268101201056098</v>
      </c>
      <c r="AJ7358">
        <v>52.359757472129203</v>
      </c>
      <c r="AK7358">
        <v>14.787937413690599</v>
      </c>
      <c r="AL7358">
        <v>81.997159019399803</v>
      </c>
      <c r="AM7358">
        <v>70.251739557935196</v>
      </c>
      <c r="AN7358">
        <v>0.99999998059356399</v>
      </c>
    </row>
    <row r="7359" spans="1:40" x14ac:dyDescent="0.25">
      <c r="A7359" t="str">
        <f>"20190312173108567"</f>
        <v>20190312173108567</v>
      </c>
      <c r="B7359" t="str">
        <f>"1552383068554774"</f>
        <v>1552383068554774</v>
      </c>
      <c r="C7359" t="s">
        <v>40</v>
      </c>
      <c r="D7359">
        <v>3.611453</v>
      </c>
      <c r="E7359">
        <v>0.62893809999999895</v>
      </c>
      <c r="F7359" t="s">
        <v>41</v>
      </c>
      <c r="G7359">
        <v>-164.154</v>
      </c>
      <c r="H7359" s="1">
        <v>-3.772658E-6</v>
      </c>
      <c r="I7359">
        <v>133.8167</v>
      </c>
      <c r="J7359">
        <v>-179.03799999999899</v>
      </c>
      <c r="K7359">
        <v>1.1005799999999999</v>
      </c>
      <c r="L7359">
        <v>132.7381</v>
      </c>
      <c r="M7359">
        <v>0.74669609999999997</v>
      </c>
      <c r="N7359">
        <v>0</v>
      </c>
      <c r="O7359">
        <v>0.66496679999999997</v>
      </c>
      <c r="P7359">
        <v>0.91809359999999995</v>
      </c>
      <c r="Q7359">
        <v>0.1314601</v>
      </c>
      <c r="R7359">
        <v>0.37392829999999999</v>
      </c>
      <c r="S7359">
        <v>3.2079930000000001</v>
      </c>
      <c r="T7359">
        <v>-0.23571410000000001</v>
      </c>
      <c r="U7359">
        <v>0.2472992</v>
      </c>
      <c r="V7359">
        <v>0.33466109999999999</v>
      </c>
      <c r="W7359">
        <v>0.13886950000000001</v>
      </c>
      <c r="X7359">
        <v>0.93205000000000005</v>
      </c>
      <c r="Y7359">
        <v>0.60259130000000005</v>
      </c>
      <c r="Z7359">
        <v>-6.6968410000000006E-2</v>
      </c>
      <c r="AA7359">
        <v>0.79523520000000003</v>
      </c>
      <c r="AB7359">
        <v>25</v>
      </c>
      <c r="AC7359">
        <v>14.883999999999901</v>
      </c>
      <c r="AD7359">
        <v>-1.1005837726579999</v>
      </c>
      <c r="AE7359">
        <v>1.07859999999999</v>
      </c>
      <c r="AF7359">
        <v>9.0439884839678193</v>
      </c>
      <c r="AG7359">
        <v>-1.1005837726579999</v>
      </c>
      <c r="AH7359">
        <v>11.7686090824639</v>
      </c>
      <c r="AI7359">
        <v>94.240825628872201</v>
      </c>
      <c r="AJ7359">
        <v>52.458296404954503</v>
      </c>
      <c r="AK7359">
        <v>14.883049824368401</v>
      </c>
      <c r="AL7359">
        <v>82.017565596074206</v>
      </c>
      <c r="AM7359">
        <v>70.248858867360994</v>
      </c>
      <c r="AN7359">
        <v>0.99999999619172997</v>
      </c>
    </row>
    <row r="7360" spans="1:40" x14ac:dyDescent="0.25">
      <c r="A7360" t="str">
        <f>"20190312173108578"</f>
        <v>20190312173108578</v>
      </c>
      <c r="B7360" t="str">
        <f>"1552383068564534"</f>
        <v>1552383068564534</v>
      </c>
      <c r="C7360" t="s">
        <v>40</v>
      </c>
      <c r="D7360">
        <v>3.6079020000000002</v>
      </c>
      <c r="E7360">
        <v>0.61798240000000004</v>
      </c>
      <c r="F7360" t="s">
        <v>41</v>
      </c>
      <c r="G7360">
        <v>-164.13120000000001</v>
      </c>
      <c r="H7360" s="1">
        <v>-3.788623E-6</v>
      </c>
      <c r="I7360">
        <v>133.78829999999999</v>
      </c>
      <c r="J7360">
        <v>-178.93979999999999</v>
      </c>
      <c r="K7360">
        <v>1.1005940000000001</v>
      </c>
      <c r="L7360">
        <v>132.81610000000001</v>
      </c>
      <c r="M7360">
        <v>0.75120169999999997</v>
      </c>
      <c r="N7360">
        <v>0</v>
      </c>
      <c r="O7360">
        <v>0.65987359999999995</v>
      </c>
      <c r="P7360">
        <v>0.92065600000000003</v>
      </c>
      <c r="Q7360">
        <v>0.13142999999999999</v>
      </c>
      <c r="R7360">
        <v>0.36758489999999999</v>
      </c>
      <c r="S7360">
        <v>3.2094879999999999</v>
      </c>
      <c r="T7360">
        <v>-0.23695910000000001</v>
      </c>
      <c r="U7360">
        <v>0.22610469999999999</v>
      </c>
      <c r="V7360">
        <v>0.33474880000000001</v>
      </c>
      <c r="W7360">
        <v>0.1388114</v>
      </c>
      <c r="X7360">
        <v>0.93202719999999994</v>
      </c>
      <c r="Y7360">
        <v>0.60240439999999995</v>
      </c>
      <c r="Z7360">
        <v>-6.7052589999999995E-2</v>
      </c>
      <c r="AA7360">
        <v>0.79536960000000001</v>
      </c>
      <c r="AB7360">
        <v>25</v>
      </c>
      <c r="AC7360">
        <v>14.808599999999901</v>
      </c>
      <c r="AD7360">
        <v>-1.1005977886229901</v>
      </c>
      <c r="AE7360">
        <v>0.97219999999998596</v>
      </c>
      <c r="AF7360">
        <v>8.9932118328634107</v>
      </c>
      <c r="AG7360">
        <v>-1.1005977886229901</v>
      </c>
      <c r="AH7360">
        <v>11.702955089467199</v>
      </c>
      <c r="AI7360">
        <v>94.264639982709795</v>
      </c>
      <c r="AJ7360">
        <v>52.459289407817401</v>
      </c>
      <c r="AK7360">
        <v>14.800281496956799</v>
      </c>
      <c r="AL7360">
        <v>82.020927330477406</v>
      </c>
      <c r="AM7360">
        <v>70.243637635087197</v>
      </c>
      <c r="AN7360">
        <v>1.00000003270561</v>
      </c>
    </row>
    <row r="7361" spans="1:40" x14ac:dyDescent="0.25">
      <c r="A7361" t="str">
        <f>"20190312173108591"</f>
        <v>20190312173108591</v>
      </c>
      <c r="B7361" t="str">
        <f>"1552383068585030"</f>
        <v>1552383068585030</v>
      </c>
      <c r="C7361" t="s">
        <v>40</v>
      </c>
      <c r="D7361">
        <v>3.6735329999999999</v>
      </c>
      <c r="E7361">
        <v>0.61780669999999904</v>
      </c>
      <c r="F7361" t="s">
        <v>41</v>
      </c>
      <c r="G7361">
        <v>-165.3253</v>
      </c>
      <c r="H7361" s="1">
        <v>-3.2622529999999999E-6</v>
      </c>
      <c r="I7361">
        <v>134.04320000000001</v>
      </c>
      <c r="J7361">
        <v>-178.8228</v>
      </c>
      <c r="K7361">
        <v>1.1006119999999999</v>
      </c>
      <c r="L7361">
        <v>132.9075</v>
      </c>
      <c r="M7361">
        <v>0.7564959</v>
      </c>
      <c r="N7361">
        <v>0</v>
      </c>
      <c r="O7361">
        <v>0.65379869999999995</v>
      </c>
      <c r="P7361">
        <v>0.92354420000000004</v>
      </c>
      <c r="Q7361">
        <v>0.13120889999999999</v>
      </c>
      <c r="R7361">
        <v>0.36034769999999999</v>
      </c>
      <c r="S7361">
        <v>3.1807859999999999</v>
      </c>
      <c r="T7361">
        <v>-0.2571331</v>
      </c>
      <c r="U7361">
        <v>0.28669739999999999</v>
      </c>
      <c r="V7361">
        <v>0.33456059999999999</v>
      </c>
      <c r="W7361">
        <v>0.1385672</v>
      </c>
      <c r="X7361">
        <v>0.93213109999999999</v>
      </c>
      <c r="Y7361">
        <v>0.57968209999999998</v>
      </c>
      <c r="Z7361">
        <v>-7.1985950000000007E-2</v>
      </c>
      <c r="AA7361">
        <v>0.81165679999999996</v>
      </c>
      <c r="AB7361">
        <v>25</v>
      </c>
      <c r="AC7361">
        <v>13.4975</v>
      </c>
      <c r="AD7361">
        <v>-1.1006152622529899</v>
      </c>
      <c r="AE7361">
        <v>1.1357000000000099</v>
      </c>
      <c r="AF7361">
        <v>7.9142830068786099</v>
      </c>
      <c r="AG7361">
        <v>-1.1006152622529899</v>
      </c>
      <c r="AH7361">
        <v>10.8829004076958</v>
      </c>
      <c r="AI7361">
        <v>94.675899626068897</v>
      </c>
      <c r="AJ7361">
        <v>53.974533128873396</v>
      </c>
      <c r="AK7361">
        <v>13.5012870035525</v>
      </c>
      <c r="AL7361">
        <v>82.035055439346095</v>
      </c>
      <c r="AM7361">
        <v>70.255916699729298</v>
      </c>
      <c r="AN7361">
        <v>1.0000000257877</v>
      </c>
    </row>
    <row r="7362" spans="1:40" x14ac:dyDescent="0.25">
      <c r="A7362" t="str">
        <f>"20190312173108606"</f>
        <v>20190312173108606</v>
      </c>
      <c r="B7362" t="str">
        <f>"1552383068594789"</f>
        <v>1552383068594789</v>
      </c>
      <c r="C7362" t="s">
        <v>40</v>
      </c>
      <c r="D7362">
        <v>3.6593079999999998</v>
      </c>
      <c r="E7362">
        <v>0.61740059999999997</v>
      </c>
      <c r="F7362" t="s">
        <v>41</v>
      </c>
      <c r="G7362">
        <v>-165.124</v>
      </c>
      <c r="H7362" s="1">
        <v>-3.340636E-6</v>
      </c>
      <c r="I7362">
        <v>134.03899999999999</v>
      </c>
      <c r="J7362">
        <v>-178.69220000000001</v>
      </c>
      <c r="K7362">
        <v>1.100627</v>
      </c>
      <c r="L7362">
        <v>133.00810000000001</v>
      </c>
      <c r="M7362">
        <v>0.76231539999999998</v>
      </c>
      <c r="N7362">
        <v>0</v>
      </c>
      <c r="O7362">
        <v>0.64700500000000005</v>
      </c>
      <c r="P7362">
        <v>0.92656780000000005</v>
      </c>
      <c r="Q7362">
        <v>0.13071250000000001</v>
      </c>
      <c r="R7362">
        <v>0.35268450000000001</v>
      </c>
      <c r="S7362">
        <v>3.1821290000000002</v>
      </c>
      <c r="T7362">
        <v>-0.25566460000000002</v>
      </c>
      <c r="U7362">
        <v>0.26284790000000002</v>
      </c>
      <c r="V7362">
        <v>0.3339684</v>
      </c>
      <c r="W7362">
        <v>0.13805809999999999</v>
      </c>
      <c r="X7362">
        <v>0.93241890000000005</v>
      </c>
      <c r="Y7362">
        <v>0.57853699999999997</v>
      </c>
      <c r="Z7362">
        <v>-7.1151420000000007E-2</v>
      </c>
      <c r="AA7362">
        <v>0.81254680000000001</v>
      </c>
      <c r="AB7362">
        <v>25</v>
      </c>
      <c r="AC7362">
        <v>13.5681999999999</v>
      </c>
      <c r="AD7362">
        <v>-1.1006303406360001</v>
      </c>
      <c r="AE7362">
        <v>1.03089999999997</v>
      </c>
      <c r="AF7362">
        <v>7.9419013344527203</v>
      </c>
      <c r="AG7362">
        <v>-1.1006303406360001</v>
      </c>
      <c r="AH7362">
        <v>10.9401007969583</v>
      </c>
      <c r="AI7362">
        <v>94.6544375740296</v>
      </c>
      <c r="AJ7362">
        <v>54.0224487840485</v>
      </c>
      <c r="AK7362">
        <v>13.5635905792131</v>
      </c>
      <c r="AL7362">
        <v>82.064507337672694</v>
      </c>
      <c r="AM7362">
        <v>70.293785697075805</v>
      </c>
      <c r="AN7362">
        <v>0.99999996812568903</v>
      </c>
    </row>
    <row r="7363" spans="1:40" x14ac:dyDescent="0.25">
      <c r="A7363" t="str">
        <f>"20190312173108619"</f>
        <v>20190312173108619</v>
      </c>
      <c r="B7363" t="str">
        <f>"1552383068604549"</f>
        <v>1552383068604549</v>
      </c>
      <c r="C7363" t="s">
        <v>40</v>
      </c>
      <c r="D7363">
        <v>3.6815009999999999</v>
      </c>
      <c r="E7363">
        <v>0.61686569999999996</v>
      </c>
      <c r="F7363" t="s">
        <v>41</v>
      </c>
      <c r="G7363">
        <v>-164.9751</v>
      </c>
      <c r="H7363" s="1">
        <v>-3.3982610000000001E-6</v>
      </c>
      <c r="I7363">
        <v>134.03739999999999</v>
      </c>
      <c r="J7363">
        <v>-178.56370000000001</v>
      </c>
      <c r="K7363">
        <v>1.100644</v>
      </c>
      <c r="L7363">
        <v>133.10499999999999</v>
      </c>
      <c r="M7363">
        <v>0.76793750000000005</v>
      </c>
      <c r="N7363">
        <v>0</v>
      </c>
      <c r="O7363">
        <v>0.64032319999999998</v>
      </c>
      <c r="P7363">
        <v>0.92940820000000002</v>
      </c>
      <c r="Q7363">
        <v>0.1308908</v>
      </c>
      <c r="R7363">
        <v>0.345062799999999</v>
      </c>
      <c r="S7363">
        <v>3.182877</v>
      </c>
      <c r="T7363">
        <v>-0.25538680000000002</v>
      </c>
      <c r="U7363">
        <v>0.2388306</v>
      </c>
      <c r="V7363">
        <v>0.33346330000000002</v>
      </c>
      <c r="W7363">
        <v>0.13822200000000001</v>
      </c>
      <c r="X7363">
        <v>0.9325755</v>
      </c>
      <c r="Y7363">
        <v>0.57756289999999999</v>
      </c>
      <c r="Z7363">
        <v>-7.0669640000000006E-2</v>
      </c>
      <c r="AA7363">
        <v>0.81328159999999905</v>
      </c>
      <c r="AB7363">
        <v>25</v>
      </c>
      <c r="AC7363">
        <v>13.5886</v>
      </c>
      <c r="AD7363">
        <v>-1.1006473982610001</v>
      </c>
      <c r="AE7363">
        <v>0.93240000000000101</v>
      </c>
      <c r="AF7363">
        <v>7.9342917721361097</v>
      </c>
      <c r="AG7363">
        <v>-1.1006473982610001</v>
      </c>
      <c r="AH7363">
        <v>10.9620760320652</v>
      </c>
      <c r="AI7363">
        <v>94.649945755865105</v>
      </c>
      <c r="AJ7363">
        <v>54.103182449240698</v>
      </c>
      <c r="AK7363">
        <v>13.576874513431401</v>
      </c>
      <c r="AL7363">
        <v>82.055026537720593</v>
      </c>
      <c r="AM7363">
        <v>70.324349773982505</v>
      </c>
      <c r="AN7363">
        <v>1.00000007846556</v>
      </c>
    </row>
    <row r="7364" spans="1:40" x14ac:dyDescent="0.25">
      <c r="A7364" t="str">
        <f>"20190312173108632"</f>
        <v>20190312173108632</v>
      </c>
      <c r="B7364" t="str">
        <f>"1552383068625045"</f>
        <v>1552383068625045</v>
      </c>
      <c r="C7364" t="s">
        <v>40</v>
      </c>
      <c r="D7364">
        <v>3.6978979999999999</v>
      </c>
      <c r="E7364">
        <v>0.61631809999999998</v>
      </c>
      <c r="F7364" t="s">
        <v>41</v>
      </c>
      <c r="G7364">
        <v>-164.71289999999999</v>
      </c>
      <c r="H7364" s="1">
        <v>-3.4966900000000001E-6</v>
      </c>
      <c r="I7364">
        <v>134.04589999999999</v>
      </c>
      <c r="J7364">
        <v>-178.44720000000001</v>
      </c>
      <c r="K7364">
        <v>1.1006590000000001</v>
      </c>
      <c r="L7364">
        <v>133.19120000000001</v>
      </c>
      <c r="M7364">
        <v>0.77294819999999997</v>
      </c>
      <c r="N7364">
        <v>0</v>
      </c>
      <c r="O7364">
        <v>0.63426660000000001</v>
      </c>
      <c r="P7364">
        <v>0.9319596</v>
      </c>
      <c r="Q7364">
        <v>0.13086869999999901</v>
      </c>
      <c r="R7364">
        <v>0.33811940000000001</v>
      </c>
      <c r="S7364">
        <v>3.1832120000000002</v>
      </c>
      <c r="T7364">
        <v>-0.25295279999999998</v>
      </c>
      <c r="U7364">
        <v>0.21623229999999999</v>
      </c>
      <c r="V7364">
        <v>0.33308399999999999</v>
      </c>
      <c r="W7364">
        <v>0.13818710000000001</v>
      </c>
      <c r="X7364">
        <v>0.93271610000000005</v>
      </c>
      <c r="Y7364">
        <v>0.57699140000000004</v>
      </c>
      <c r="Z7364">
        <v>-6.9650089999999998E-2</v>
      </c>
      <c r="AA7364">
        <v>0.81377500000000003</v>
      </c>
      <c r="AB7364">
        <v>25</v>
      </c>
      <c r="AC7364">
        <v>13.734299999999999</v>
      </c>
      <c r="AD7364">
        <v>-1.10066249669</v>
      </c>
      <c r="AE7364">
        <v>0.85469999999997903</v>
      </c>
      <c r="AF7364">
        <v>8.0004200410851602</v>
      </c>
      <c r="AG7364">
        <v>-1.10066249669</v>
      </c>
      <c r="AH7364">
        <v>11.0885042438842</v>
      </c>
      <c r="AI7364">
        <v>94.602196176248498</v>
      </c>
      <c r="AJ7364">
        <v>54.189333265303503</v>
      </c>
      <c r="AK7364">
        <v>13.717620243032499</v>
      </c>
      <c r="AL7364">
        <v>82.057044703479207</v>
      </c>
      <c r="AM7364">
        <v>70.347750039732702</v>
      </c>
      <c r="AN7364">
        <v>0.99999997443080901</v>
      </c>
    </row>
    <row r="7365" spans="1:40" x14ac:dyDescent="0.25">
      <c r="A7365" t="str">
        <f>"20190312173108643"</f>
        <v>20190312173108643</v>
      </c>
      <c r="B7365" t="str">
        <f>"1552383068634338"</f>
        <v>1552383068634338</v>
      </c>
      <c r="C7365" t="s">
        <v>40</v>
      </c>
      <c r="D7365">
        <v>3.6211679999999999</v>
      </c>
      <c r="E7365">
        <v>0.61033329999999997</v>
      </c>
      <c r="F7365" t="s">
        <v>41</v>
      </c>
      <c r="G7365">
        <v>-164.52610000000001</v>
      </c>
      <c r="H7365" s="1">
        <v>-3.567103E-6</v>
      </c>
      <c r="I7365">
        <v>134.05080000000001</v>
      </c>
      <c r="J7365">
        <v>-178.34719999999999</v>
      </c>
      <c r="K7365">
        <v>1.1006640000000001</v>
      </c>
      <c r="L7365">
        <v>133.2647</v>
      </c>
      <c r="M7365">
        <v>0.77720119999999904</v>
      </c>
      <c r="N7365">
        <v>0</v>
      </c>
      <c r="O7365">
        <v>0.62904879999999996</v>
      </c>
      <c r="P7365">
        <v>0.93403250000000004</v>
      </c>
      <c r="Q7365">
        <v>0.13105839999999999</v>
      </c>
      <c r="R7365">
        <v>0.3322756</v>
      </c>
      <c r="S7365">
        <v>3.1830440000000002</v>
      </c>
      <c r="T7365">
        <v>-0.25166549999999999</v>
      </c>
      <c r="U7365">
        <v>0.19654849999999999</v>
      </c>
      <c r="V7365">
        <v>0.3326288</v>
      </c>
      <c r="W7365">
        <v>0.13836979999999999</v>
      </c>
      <c r="X7365">
        <v>0.93285149999999994</v>
      </c>
      <c r="Y7365">
        <v>0.57655959999999995</v>
      </c>
      <c r="Z7365">
        <v>-6.9006150000000002E-2</v>
      </c>
      <c r="AA7365">
        <v>0.81413579999999997</v>
      </c>
      <c r="AB7365">
        <v>25</v>
      </c>
      <c r="AC7365">
        <v>13.8210999999999</v>
      </c>
      <c r="AD7365">
        <v>-1.100667567103</v>
      </c>
      <c r="AE7365">
        <v>0.78610000000000402</v>
      </c>
      <c r="AF7365">
        <v>8.0334390669765003</v>
      </c>
      <c r="AG7365">
        <v>-1.100667567103</v>
      </c>
      <c r="AH7365">
        <v>11.167115114997101</v>
      </c>
      <c r="AI7365">
        <v>94.574540259839694</v>
      </c>
      <c r="AJ7365">
        <v>54.269380347596197</v>
      </c>
      <c r="AK7365">
        <v>13.800437396245499</v>
      </c>
      <c r="AL7365">
        <v>82.046475597016894</v>
      </c>
      <c r="AM7365">
        <v>70.375184840075505</v>
      </c>
      <c r="AN7365">
        <v>1.00000002059686</v>
      </c>
    </row>
    <row r="7366" spans="1:40" x14ac:dyDescent="0.25">
      <c r="A7366" t="str">
        <f>"20190312173108653"</f>
        <v>20190312173108653</v>
      </c>
      <c r="B7366" t="str">
        <f>"1552383068645074"</f>
        <v>1552383068645074</v>
      </c>
      <c r="C7366" t="s">
        <v>40</v>
      </c>
      <c r="D7366">
        <v>3.5862180000000001</v>
      </c>
      <c r="E7366">
        <v>0.60982819999999904</v>
      </c>
      <c r="F7366" t="s">
        <v>41</v>
      </c>
      <c r="G7366">
        <v>-164.09469999999999</v>
      </c>
      <c r="H7366" s="1">
        <v>-3.7220620000000001E-6</v>
      </c>
      <c r="I7366">
        <v>134.26</v>
      </c>
      <c r="J7366">
        <v>-178.24709999999999</v>
      </c>
      <c r="K7366">
        <v>1.1006769999999999</v>
      </c>
      <c r="L7366">
        <v>133.33629999999999</v>
      </c>
      <c r="M7366">
        <v>0.78138209999999997</v>
      </c>
      <c r="N7366">
        <v>0</v>
      </c>
      <c r="O7366">
        <v>0.62384849999999903</v>
      </c>
      <c r="P7366">
        <v>0.93596080000000004</v>
      </c>
      <c r="Q7366">
        <v>0.13132089999999999</v>
      </c>
      <c r="R7366">
        <v>0.32669900000000002</v>
      </c>
      <c r="S7366">
        <v>3.1675110000000002</v>
      </c>
      <c r="T7366">
        <v>-0.24461569999999999</v>
      </c>
      <c r="U7366">
        <v>0.22119140000000001</v>
      </c>
      <c r="V7366">
        <v>0.33194420000000002</v>
      </c>
      <c r="W7366">
        <v>0.13863329999999999</v>
      </c>
      <c r="X7366">
        <v>0.9330562</v>
      </c>
      <c r="Y7366">
        <v>0.56471490000000002</v>
      </c>
      <c r="Z7366">
        <v>-6.6595730000000006E-2</v>
      </c>
      <c r="AA7366">
        <v>0.82259470000000001</v>
      </c>
      <c r="AB7366">
        <v>25</v>
      </c>
      <c r="AC7366">
        <v>14.1524</v>
      </c>
      <c r="AD7366">
        <v>-1.1006807220620001</v>
      </c>
      <c r="AE7366">
        <v>0.92369999999999597</v>
      </c>
      <c r="AF7366">
        <v>8.0596811303865898</v>
      </c>
      <c r="AG7366">
        <v>-1.1006807220620001</v>
      </c>
      <c r="AH7366">
        <v>11.5664993699299</v>
      </c>
      <c r="AI7366">
        <v>94.464354000631602</v>
      </c>
      <c r="AJ7366">
        <v>55.130734812001101</v>
      </c>
      <c r="AK7366">
        <v>14.1405044340723</v>
      </c>
      <c r="AL7366">
        <v>82.031231137086493</v>
      </c>
      <c r="AM7366">
        <v>70.416468810767796</v>
      </c>
      <c r="AN7366">
        <v>1.0000000080704801</v>
      </c>
    </row>
    <row r="7367" spans="1:40" x14ac:dyDescent="0.25">
      <c r="A7367" t="str">
        <f>"20190312173108665"</f>
        <v>20190312173108665</v>
      </c>
      <c r="B7367" t="str">
        <f>"1552383068654834"</f>
        <v>1552383068654834</v>
      </c>
      <c r="C7367" t="s">
        <v>40</v>
      </c>
      <c r="D7367">
        <v>3.6613380000000002</v>
      </c>
      <c r="E7367">
        <v>0.6085585</v>
      </c>
      <c r="F7367" t="s">
        <v>41</v>
      </c>
      <c r="G7367">
        <v>-163.66579999999999</v>
      </c>
      <c r="H7367" s="1">
        <v>-3.92065999999999E-6</v>
      </c>
      <c r="I7367">
        <v>134.2834</v>
      </c>
      <c r="J7367">
        <v>-178.14169999999999</v>
      </c>
      <c r="K7367">
        <v>1.1006899999999999</v>
      </c>
      <c r="L7367">
        <v>133.41139999999999</v>
      </c>
      <c r="M7367">
        <v>0.78574409999999995</v>
      </c>
      <c r="N7367">
        <v>0</v>
      </c>
      <c r="O7367">
        <v>0.61834619999999996</v>
      </c>
      <c r="P7367">
        <v>0.93805959999999999</v>
      </c>
      <c r="Q7367">
        <v>0.1315702</v>
      </c>
      <c r="R7367">
        <v>0.320521</v>
      </c>
      <c r="S7367">
        <v>3.166992</v>
      </c>
      <c r="T7367">
        <v>-0.23906230000000001</v>
      </c>
      <c r="U7367">
        <v>0.20570369999999999</v>
      </c>
      <c r="V7367">
        <v>0.33152219999999999</v>
      </c>
      <c r="W7367">
        <v>0.1388761</v>
      </c>
      <c r="X7367">
        <v>0.9331701</v>
      </c>
      <c r="Y7367">
        <v>0.56308480000000005</v>
      </c>
      <c r="Z7367">
        <v>-6.4744140000000006E-2</v>
      </c>
      <c r="AA7367">
        <v>0.82385900000000001</v>
      </c>
      <c r="AB7367">
        <v>25</v>
      </c>
      <c r="AC7367">
        <v>14.4758999999999</v>
      </c>
      <c r="AD7367">
        <v>-1.1006939206599999</v>
      </c>
      <c r="AE7367">
        <v>0.87200000000001399</v>
      </c>
      <c r="AF7367">
        <v>8.2196494007657304</v>
      </c>
      <c r="AG7367">
        <v>-1.1006939206599999</v>
      </c>
      <c r="AH7367">
        <v>11.846820336542001</v>
      </c>
      <c r="AI7367">
        <v>94.365261692838999</v>
      </c>
      <c r="AJ7367">
        <v>55.246024315637499</v>
      </c>
      <c r="AK7367">
        <v>14.461027469194301</v>
      </c>
      <c r="AL7367">
        <v>82.017183677155501</v>
      </c>
      <c r="AM7367">
        <v>70.441680673923301</v>
      </c>
      <c r="AN7367">
        <v>0.999999987889029</v>
      </c>
    </row>
    <row r="7368" spans="1:40" x14ac:dyDescent="0.25">
      <c r="A7368" t="str">
        <f>"20190312173108676"</f>
        <v>20190312173108676</v>
      </c>
      <c r="B7368" t="str">
        <f>"1552383068664594"</f>
        <v>1552383068664594</v>
      </c>
      <c r="C7368" t="s">
        <v>40</v>
      </c>
      <c r="D7368">
        <v>3.6874850000000001</v>
      </c>
      <c r="E7368">
        <v>0.60733440000000005</v>
      </c>
      <c r="F7368" t="s">
        <v>41</v>
      </c>
      <c r="G7368">
        <v>-163.5401</v>
      </c>
      <c r="H7368" s="1">
        <v>-3.9754890000000002E-6</v>
      </c>
      <c r="I7368">
        <v>134.30930000000001</v>
      </c>
      <c r="J7368">
        <v>-178.03290000000001</v>
      </c>
      <c r="K7368">
        <v>1.1007</v>
      </c>
      <c r="L7368">
        <v>133.4872</v>
      </c>
      <c r="M7368">
        <v>0.79016999999999904</v>
      </c>
      <c r="N7368">
        <v>0</v>
      </c>
      <c r="O7368">
        <v>0.61268100000000003</v>
      </c>
      <c r="P7368">
        <v>0.94005300000000003</v>
      </c>
      <c r="Q7368">
        <v>0.13174820000000001</v>
      </c>
      <c r="R7368">
        <v>0.31455159999999999</v>
      </c>
      <c r="S7368">
        <v>3.1650390000000002</v>
      </c>
      <c r="T7368">
        <v>-0.23858589999999999</v>
      </c>
      <c r="U7368">
        <v>0.19462589999999999</v>
      </c>
      <c r="V7368">
        <v>0.33072699999999999</v>
      </c>
      <c r="W7368">
        <v>0.139060299999999</v>
      </c>
      <c r="X7368">
        <v>0.93342480000000005</v>
      </c>
      <c r="Y7368">
        <v>0.56001789999999996</v>
      </c>
      <c r="Z7368">
        <v>-6.4225989999999997E-2</v>
      </c>
      <c r="AA7368">
        <v>0.82598729999999998</v>
      </c>
      <c r="AB7368">
        <v>25</v>
      </c>
      <c r="AC7368">
        <v>14.492800000000001</v>
      </c>
      <c r="AD7368">
        <v>-1.100703975489</v>
      </c>
      <c r="AE7368">
        <v>0.82210000000000505</v>
      </c>
      <c r="AF7368">
        <v>8.1838529338639407</v>
      </c>
      <c r="AG7368">
        <v>-1.100703975489</v>
      </c>
      <c r="AH7368">
        <v>11.88862026502</v>
      </c>
      <c r="AI7368">
        <v>94.361072784116701</v>
      </c>
      <c r="AJ7368">
        <v>55.4573694578702</v>
      </c>
      <c r="AK7368">
        <v>14.475022966842401</v>
      </c>
      <c r="AL7368">
        <v>82.006526373156404</v>
      </c>
      <c r="AM7368">
        <v>70.489967920073596</v>
      </c>
      <c r="AN7368">
        <v>0.99999998641006405</v>
      </c>
    </row>
    <row r="7369" spans="1:40" x14ac:dyDescent="0.25">
      <c r="A7369" t="str">
        <f>"20190312173108688"</f>
        <v>20190312173108688</v>
      </c>
      <c r="B7369" t="str">
        <f>"1552383068685090"</f>
        <v>1552383068685090</v>
      </c>
      <c r="C7369" t="s">
        <v>40</v>
      </c>
      <c r="D7369">
        <v>3.701152</v>
      </c>
      <c r="E7369">
        <v>0.60574689999999998</v>
      </c>
      <c r="F7369" t="s">
        <v>41</v>
      </c>
      <c r="G7369">
        <v>-163.51900000000001</v>
      </c>
      <c r="H7369" s="1">
        <v>-3.9816899999999997E-6</v>
      </c>
      <c r="I7369">
        <v>134.3306</v>
      </c>
      <c r="J7369">
        <v>-177.9178</v>
      </c>
      <c r="K7369">
        <v>1.100716</v>
      </c>
      <c r="L7369">
        <v>133.56639999999999</v>
      </c>
      <c r="M7369">
        <v>0.79479319999999998</v>
      </c>
      <c r="N7369">
        <v>0</v>
      </c>
      <c r="O7369">
        <v>0.60667230000000005</v>
      </c>
      <c r="P7369">
        <v>0.94213270000000005</v>
      </c>
      <c r="Q7369">
        <v>0.13200049999999999</v>
      </c>
      <c r="R7369">
        <v>0.30815959999999998</v>
      </c>
      <c r="S7369">
        <v>3.1634060000000002</v>
      </c>
      <c r="T7369">
        <v>-0.23990510000000001</v>
      </c>
      <c r="U7369">
        <v>0.1838226</v>
      </c>
      <c r="V7369">
        <v>0.3299665</v>
      </c>
      <c r="W7369">
        <v>0.1393181</v>
      </c>
      <c r="X7369">
        <v>0.93365549999999997</v>
      </c>
      <c r="Y7369">
        <v>0.55651229999999996</v>
      </c>
      <c r="Z7369">
        <v>-6.4140539999999996E-2</v>
      </c>
      <c r="AA7369">
        <v>0.82835990000000004</v>
      </c>
      <c r="AB7369">
        <v>25</v>
      </c>
      <c r="AC7369">
        <v>14.3987999999999</v>
      </c>
      <c r="AD7369">
        <v>-1.10071998169</v>
      </c>
      <c r="AE7369">
        <v>0.76420000000001598</v>
      </c>
      <c r="AF7369">
        <v>8.0819014809404006</v>
      </c>
      <c r="AG7369">
        <v>-1.10071998169</v>
      </c>
      <c r="AH7369">
        <v>11.840192590394</v>
      </c>
      <c r="AI7369">
        <v>94.390708089090595</v>
      </c>
      <c r="AJ7369">
        <v>55.683261210515802</v>
      </c>
      <c r="AK7369">
        <v>14.3777215372721</v>
      </c>
      <c r="AL7369">
        <v>81.991610502465505</v>
      </c>
      <c r="AM7369">
        <v>70.535901959563105</v>
      </c>
      <c r="AN7369">
        <v>1.00000000839505</v>
      </c>
    </row>
    <row r="7370" spans="1:40" x14ac:dyDescent="0.25">
      <c r="A7370" t="str">
        <f>"20190312173108700"</f>
        <v>20190312173108700</v>
      </c>
      <c r="B7370" t="str">
        <f>"1552383068694850"</f>
        <v>1552383068694850</v>
      </c>
      <c r="C7370" t="s">
        <v>40</v>
      </c>
      <c r="D7370">
        <v>3.5818439999999998</v>
      </c>
      <c r="E7370">
        <v>0.60557709999999998</v>
      </c>
      <c r="F7370" t="s">
        <v>41</v>
      </c>
      <c r="G7370">
        <v>-163.6121</v>
      </c>
      <c r="H7370" s="1">
        <v>-3.9327940000000001E-6</v>
      </c>
      <c r="I7370">
        <v>134.358</v>
      </c>
      <c r="J7370">
        <v>-177.80609999999999</v>
      </c>
      <c r="K7370">
        <v>1.100732</v>
      </c>
      <c r="L7370">
        <v>133.6422</v>
      </c>
      <c r="M7370">
        <v>0.79921690000000001</v>
      </c>
      <c r="N7370">
        <v>0</v>
      </c>
      <c r="O7370">
        <v>0.60083339999999996</v>
      </c>
      <c r="P7370">
        <v>0.94419929999999996</v>
      </c>
      <c r="Q7370">
        <v>0.13201009999999999</v>
      </c>
      <c r="R7370">
        <v>0.30176310000000001</v>
      </c>
      <c r="S7370">
        <v>3.1611479999999998</v>
      </c>
      <c r="T7370">
        <v>-0.2432272</v>
      </c>
      <c r="U7370">
        <v>0.17492679999999999</v>
      </c>
      <c r="V7370">
        <v>0.32945170000000001</v>
      </c>
      <c r="W7370">
        <v>0.13932890000000001</v>
      </c>
      <c r="X7370">
        <v>0.93383570000000005</v>
      </c>
      <c r="Y7370">
        <v>0.55265330000000001</v>
      </c>
      <c r="Z7370">
        <v>-6.4582870000000001E-2</v>
      </c>
      <c r="AA7370">
        <v>0.83090509999999995</v>
      </c>
      <c r="AB7370">
        <v>25</v>
      </c>
      <c r="AC7370">
        <v>14.1939999999999</v>
      </c>
      <c r="AD7370">
        <v>-1.1007359327940001</v>
      </c>
      <c r="AE7370">
        <v>0.71580000000000099</v>
      </c>
      <c r="AF7370">
        <v>7.9097032339660496</v>
      </c>
      <c r="AG7370">
        <v>-1.1007359327940001</v>
      </c>
      <c r="AH7370">
        <v>11.705425765708</v>
      </c>
      <c r="AI7370">
        <v>94.455231696899006</v>
      </c>
      <c r="AJ7370">
        <v>55.951939583320602</v>
      </c>
      <c r="AK7370">
        <v>14.1701099925038</v>
      </c>
      <c r="AL7370">
        <v>81.990985866643697</v>
      </c>
      <c r="AM7370">
        <v>70.567460323878507</v>
      </c>
      <c r="AN7370">
        <v>1.00000003980129</v>
      </c>
    </row>
    <row r="7371" spans="1:40" x14ac:dyDescent="0.25">
      <c r="A7371" t="str">
        <f>"20190312173108712"</f>
        <v>20190312173108712</v>
      </c>
      <c r="B7371" t="str">
        <f>"1552383068704609"</f>
        <v>1552383068704609</v>
      </c>
      <c r="C7371" t="s">
        <v>40</v>
      </c>
      <c r="D7371">
        <v>3.639227</v>
      </c>
      <c r="E7371">
        <v>0.60543239999999998</v>
      </c>
      <c r="F7371" t="s">
        <v>41</v>
      </c>
      <c r="G7371">
        <v>-163.20339999999999</v>
      </c>
      <c r="H7371" s="1">
        <v>-4.1267809999999997E-6</v>
      </c>
      <c r="I7371">
        <v>134.3536</v>
      </c>
      <c r="J7371">
        <v>-177.69820000000001</v>
      </c>
      <c r="K7371">
        <v>1.100751</v>
      </c>
      <c r="L7371">
        <v>133.7139</v>
      </c>
      <c r="M7371">
        <v>0.80342279999999999</v>
      </c>
      <c r="N7371">
        <v>0</v>
      </c>
      <c r="O7371">
        <v>0.59519820000000001</v>
      </c>
      <c r="P7371">
        <v>0.94604489999999997</v>
      </c>
      <c r="Q7371">
        <v>0.13221260000000001</v>
      </c>
      <c r="R7371">
        <v>0.29583599999999999</v>
      </c>
      <c r="S7371">
        <v>3.1613920000000002</v>
      </c>
      <c r="T7371">
        <v>-0.23830319999999999</v>
      </c>
      <c r="U7371">
        <v>0.15400700000000001</v>
      </c>
      <c r="V7371">
        <v>0.32872210000000002</v>
      </c>
      <c r="W7371">
        <v>0.13954049999999901</v>
      </c>
      <c r="X7371">
        <v>0.93406120000000004</v>
      </c>
      <c r="Y7371">
        <v>0.55242899999999995</v>
      </c>
      <c r="Z7371">
        <v>-6.2959210000000002E-2</v>
      </c>
      <c r="AA7371">
        <v>0.83117890000000005</v>
      </c>
      <c r="AB7371">
        <v>25</v>
      </c>
      <c r="AC7371">
        <v>14.4948</v>
      </c>
      <c r="AD7371">
        <v>-1.1007551267810001</v>
      </c>
      <c r="AE7371">
        <v>0.63970000000000404</v>
      </c>
      <c r="AF7371">
        <v>8.06790940398961</v>
      </c>
      <c r="AG7371">
        <v>-1.1007551267810001</v>
      </c>
      <c r="AH7371">
        <v>11.958876218409101</v>
      </c>
      <c r="AI7371">
        <v>94.363454190029799</v>
      </c>
      <c r="AJ7371">
        <v>55.994910961847602</v>
      </c>
      <c r="AK7371">
        <v>14.4678106293713</v>
      </c>
      <c r="AL7371">
        <v>81.978742542019106</v>
      </c>
      <c r="AM7371">
        <v>70.611612447712204</v>
      </c>
      <c r="AN7371">
        <v>1.0000000477570401</v>
      </c>
    </row>
    <row r="7372" spans="1:40" x14ac:dyDescent="0.25">
      <c r="A7372" t="str">
        <f>"20190312173108722"</f>
        <v>20190312173108722</v>
      </c>
      <c r="B7372" t="str">
        <f>"1552383068714370"</f>
        <v>1552383068714370</v>
      </c>
      <c r="C7372" t="s">
        <v>40</v>
      </c>
      <c r="D7372">
        <v>3.598401</v>
      </c>
      <c r="E7372">
        <v>0.60514369999999995</v>
      </c>
      <c r="F7372" t="s">
        <v>41</v>
      </c>
      <c r="G7372">
        <v>-162.95150000000001</v>
      </c>
      <c r="H7372" s="1">
        <v>-4.2477050000000004E-6</v>
      </c>
      <c r="I7372">
        <v>134.3432</v>
      </c>
      <c r="J7372">
        <v>-177.59469999999999</v>
      </c>
      <c r="K7372">
        <v>1.100765</v>
      </c>
      <c r="L7372">
        <v>133.78219999999999</v>
      </c>
      <c r="M7372">
        <v>0.80740999999999996</v>
      </c>
      <c r="N7372">
        <v>0</v>
      </c>
      <c r="O7372">
        <v>0.58977880000000005</v>
      </c>
      <c r="P7372">
        <v>0.94774309999999995</v>
      </c>
      <c r="Q7372">
        <v>0.1326021</v>
      </c>
      <c r="R7372">
        <v>0.29017199999999999</v>
      </c>
      <c r="S7372">
        <v>3.1618650000000001</v>
      </c>
      <c r="T7372">
        <v>-0.23601539999999999</v>
      </c>
      <c r="U7372">
        <v>0.13493350000000001</v>
      </c>
      <c r="V7372">
        <v>0.32799469999999997</v>
      </c>
      <c r="W7372">
        <v>0.13993939999999999</v>
      </c>
      <c r="X7372">
        <v>0.93425709999999995</v>
      </c>
      <c r="Y7372">
        <v>0.55191029999999996</v>
      </c>
      <c r="Z7372">
        <v>-6.2030200000000001E-2</v>
      </c>
      <c r="AA7372">
        <v>0.83159319999999903</v>
      </c>
      <c r="AB7372">
        <v>25</v>
      </c>
      <c r="AC7372">
        <v>14.643199999999901</v>
      </c>
      <c r="AD7372">
        <v>-1.100769247705</v>
      </c>
      <c r="AE7372">
        <v>0.56100000000000705</v>
      </c>
      <c r="AF7372">
        <v>8.1383931016920101</v>
      </c>
      <c r="AG7372">
        <v>-1.100769247705</v>
      </c>
      <c r="AH7372">
        <v>12.0872477161764</v>
      </c>
      <c r="AI7372">
        <v>94.320003121749906</v>
      </c>
      <c r="AJ7372">
        <v>56.047457033491099</v>
      </c>
      <c r="AK7372">
        <v>14.6132368955879</v>
      </c>
      <c r="AL7372">
        <v>81.955659942807998</v>
      </c>
      <c r="AM7372">
        <v>70.6550797293377</v>
      </c>
      <c r="AN7372">
        <v>0.99999994390042801</v>
      </c>
    </row>
    <row r="7373" spans="1:40" x14ac:dyDescent="0.25">
      <c r="A7373" t="str">
        <f>"20190312173108735"</f>
        <v>20190312173108735</v>
      </c>
      <c r="B7373" t="str">
        <f>"1552383068725106"</f>
        <v>1552383068725106</v>
      </c>
      <c r="C7373" t="s">
        <v>40</v>
      </c>
      <c r="D7373">
        <v>3.6150319999999998</v>
      </c>
      <c r="E7373">
        <v>0.60480829999999997</v>
      </c>
      <c r="F7373" t="s">
        <v>41</v>
      </c>
      <c r="G7373">
        <v>-162.72970000000001</v>
      </c>
      <c r="H7373" s="1">
        <v>-4.3537520000000001E-6</v>
      </c>
      <c r="I7373">
        <v>134.3364</v>
      </c>
      <c r="J7373">
        <v>-177.47389999999999</v>
      </c>
      <c r="K7373">
        <v>1.1007849999999999</v>
      </c>
      <c r="L7373">
        <v>133.85990000000001</v>
      </c>
      <c r="M7373">
        <v>0.81198400000000004</v>
      </c>
      <c r="N7373">
        <v>0</v>
      </c>
      <c r="O7373">
        <v>0.58346600000000004</v>
      </c>
      <c r="P7373">
        <v>0.94976539999999998</v>
      </c>
      <c r="Q7373">
        <v>0.13256509999999999</v>
      </c>
      <c r="R7373">
        <v>0.28350029999999998</v>
      </c>
      <c r="S7373">
        <v>3.1620789999999999</v>
      </c>
      <c r="T7373">
        <v>-0.23415569999999999</v>
      </c>
      <c r="U7373">
        <v>0.11788940000000001</v>
      </c>
      <c r="V7373">
        <v>0.32727539999999999</v>
      </c>
      <c r="W7373">
        <v>0.13991300000000001</v>
      </c>
      <c r="X7373">
        <v>0.93451329999999999</v>
      </c>
      <c r="Y7373">
        <v>0.54996109999999998</v>
      </c>
      <c r="Z7373">
        <v>-6.1110930000000001E-2</v>
      </c>
      <c r="AA7373">
        <v>0.83295149999999996</v>
      </c>
      <c r="AB7373">
        <v>25</v>
      </c>
      <c r="AC7373">
        <v>14.7441999999999</v>
      </c>
      <c r="AD7373">
        <v>-1.1007893537519999</v>
      </c>
      <c r="AE7373">
        <v>0.47649999999998699</v>
      </c>
      <c r="AF7373">
        <v>8.1713542626983493</v>
      </c>
      <c r="AG7373">
        <v>-1.1007893537519999</v>
      </c>
      <c r="AH7373">
        <v>12.1837626883721</v>
      </c>
      <c r="AI7373">
        <v>94.2911864446463</v>
      </c>
      <c r="AJ7373">
        <v>56.151200779074202</v>
      </c>
      <c r="AK7373">
        <v>14.711452713257801</v>
      </c>
      <c r="AL7373">
        <v>81.957187803478305</v>
      </c>
      <c r="AM7373">
        <v>70.699262909417001</v>
      </c>
      <c r="AN7373">
        <v>0.99999997144552399</v>
      </c>
    </row>
    <row r="7374" spans="1:40" x14ac:dyDescent="0.25">
      <c r="A7374" t="str">
        <f>"20190312173108747"</f>
        <v>20190312173108747</v>
      </c>
      <c r="B7374" t="str">
        <f>"1552383068734866"</f>
        <v>1552383068734866</v>
      </c>
      <c r="C7374" t="s">
        <v>40</v>
      </c>
      <c r="D7374">
        <v>3.632282</v>
      </c>
      <c r="E7374">
        <v>0.60449459999999999</v>
      </c>
      <c r="F7374" t="s">
        <v>41</v>
      </c>
      <c r="G7374">
        <v>-162.58539999999999</v>
      </c>
      <c r="H7374" s="1">
        <v>-4.4244009999999998E-6</v>
      </c>
      <c r="I7374">
        <v>134.3228</v>
      </c>
      <c r="J7374">
        <v>-177.36009999999999</v>
      </c>
      <c r="K7374">
        <v>1.1008070000000001</v>
      </c>
      <c r="L7374">
        <v>133.9323</v>
      </c>
      <c r="M7374">
        <v>0.81623699999999999</v>
      </c>
      <c r="N7374">
        <v>0</v>
      </c>
      <c r="O7374">
        <v>0.57750179999999995</v>
      </c>
      <c r="P7374">
        <v>0.9514821</v>
      </c>
      <c r="Q7374">
        <v>0.1328558</v>
      </c>
      <c r="R7374">
        <v>0.27754499999999999</v>
      </c>
      <c r="S7374">
        <v>3.1619869999999999</v>
      </c>
      <c r="T7374">
        <v>-0.2337825</v>
      </c>
      <c r="U7374">
        <v>9.8312380000000005E-2</v>
      </c>
      <c r="V7374">
        <v>0.32625910000000002</v>
      </c>
      <c r="W7374">
        <v>0.14022409999999999</v>
      </c>
      <c r="X7374">
        <v>0.93482200000000004</v>
      </c>
      <c r="Y7374">
        <v>0.54902640000000003</v>
      </c>
      <c r="Z7374">
        <v>-6.064609E-2</v>
      </c>
      <c r="AA7374">
        <v>0.83360190000000001</v>
      </c>
      <c r="AB7374">
        <v>25</v>
      </c>
      <c r="AC7374">
        <v>14.7746999999999</v>
      </c>
      <c r="AD7374">
        <v>-1.1008114244010001</v>
      </c>
      <c r="AE7374">
        <v>0.39050000000000201</v>
      </c>
      <c r="AF7374">
        <v>8.1693790242000492</v>
      </c>
      <c r="AG7374">
        <v>-1.1008114244010001</v>
      </c>
      <c r="AH7374">
        <v>12.2189174465384</v>
      </c>
      <c r="AI7374">
        <v>94.283095395108504</v>
      </c>
      <c r="AJ7374">
        <v>56.233925737129603</v>
      </c>
      <c r="AK7374">
        <v>14.739487202696401</v>
      </c>
      <c r="AL7374">
        <v>81.939185727826001</v>
      </c>
      <c r="AM7374">
        <v>70.760672754680201</v>
      </c>
      <c r="AN7374">
        <v>0.99999998511880905</v>
      </c>
    </row>
    <row r="7375" spans="1:40" x14ac:dyDescent="0.25">
      <c r="A7375" t="str">
        <f>"20190312173108761"</f>
        <v>20190312173108761</v>
      </c>
      <c r="B7375" t="str">
        <f>"1552383068754385"</f>
        <v>1552383068754385</v>
      </c>
      <c r="C7375" t="s">
        <v>40</v>
      </c>
      <c r="D7375">
        <v>3.6086550000000002</v>
      </c>
      <c r="E7375">
        <v>0.6035838</v>
      </c>
      <c r="F7375" t="s">
        <v>41</v>
      </c>
      <c r="G7375">
        <v>-162.40880000000001</v>
      </c>
      <c r="H7375" s="1">
        <v>-4.5093059999999999E-6</v>
      </c>
      <c r="I7375">
        <v>134.31469999999999</v>
      </c>
      <c r="J7375">
        <v>-177.2278</v>
      </c>
      <c r="K7375">
        <v>1.1008290000000001</v>
      </c>
      <c r="L7375">
        <v>134.01499999999999</v>
      </c>
      <c r="M7375">
        <v>0.82109829999999995</v>
      </c>
      <c r="N7375">
        <v>0</v>
      </c>
      <c r="O7375">
        <v>0.57056960000000001</v>
      </c>
      <c r="P7375">
        <v>0.95314869999999996</v>
      </c>
      <c r="Q7375">
        <v>0.13301679999999999</v>
      </c>
      <c r="R7375">
        <v>0.27168809999999999</v>
      </c>
      <c r="S7375">
        <v>3.161896</v>
      </c>
      <c r="T7375">
        <v>-0.23279949999999999</v>
      </c>
      <c r="U7375">
        <v>8.0871579999999998E-2</v>
      </c>
      <c r="V7375">
        <v>0.32407180000000002</v>
      </c>
      <c r="W7375">
        <v>0.14043900000000001</v>
      </c>
      <c r="X7375">
        <v>0.93555029999999995</v>
      </c>
      <c r="Y7375">
        <v>0.54659729999999995</v>
      </c>
      <c r="Z7375">
        <v>-5.9905090000000001E-2</v>
      </c>
      <c r="AA7375">
        <v>0.8352501</v>
      </c>
      <c r="AB7375">
        <v>25</v>
      </c>
      <c r="AC7375">
        <v>14.8189999999999</v>
      </c>
      <c r="AD7375">
        <v>-1.100833509306</v>
      </c>
      <c r="AE7375">
        <v>0.29970000000000102</v>
      </c>
      <c r="AF7375">
        <v>8.1651660816207894</v>
      </c>
      <c r="AG7375">
        <v>-1.100833509306</v>
      </c>
      <c r="AH7375">
        <v>12.2726884684752</v>
      </c>
      <c r="AI7375">
        <v>94.270907491078006</v>
      </c>
      <c r="AJ7375">
        <v>56.363703384075897</v>
      </c>
      <c r="AK7375">
        <v>14.781767614189601</v>
      </c>
      <c r="AL7375">
        <v>81.926749959659801</v>
      </c>
      <c r="AM7375">
        <v>70.894068899022699</v>
      </c>
      <c r="AN7375">
        <v>1.00000000405316</v>
      </c>
    </row>
    <row r="7376" spans="1:40" x14ac:dyDescent="0.25">
      <c r="A7376" t="str">
        <f>"20190312173108772"</f>
        <v>20190312173108772</v>
      </c>
      <c r="B7376" t="str">
        <f>"1552383068765122"</f>
        <v>1552383068765122</v>
      </c>
      <c r="C7376" t="s">
        <v>40</v>
      </c>
      <c r="D7376">
        <v>3.747271</v>
      </c>
      <c r="E7376">
        <v>0.60341940000000005</v>
      </c>
      <c r="F7376" t="s">
        <v>41</v>
      </c>
      <c r="G7376">
        <v>-162.19970000000001</v>
      </c>
      <c r="H7376" s="1">
        <v>-4.6040600000000003E-6</v>
      </c>
      <c r="I7376">
        <v>134.33760000000001</v>
      </c>
      <c r="J7376">
        <v>-177.11799999999999</v>
      </c>
      <c r="K7376">
        <v>1.100841</v>
      </c>
      <c r="L7376">
        <v>134.0822</v>
      </c>
      <c r="M7376">
        <v>0.825069099999999</v>
      </c>
      <c r="N7376">
        <v>0</v>
      </c>
      <c r="O7376">
        <v>0.5648128</v>
      </c>
      <c r="P7376">
        <v>0.95466130000000005</v>
      </c>
      <c r="Q7376">
        <v>0.1331434</v>
      </c>
      <c r="R7376">
        <v>0.26626060000000001</v>
      </c>
      <c r="S7376">
        <v>3.160431</v>
      </c>
      <c r="T7376">
        <v>-0.23150680000000001</v>
      </c>
      <c r="U7376">
        <v>6.7855830000000006E-2</v>
      </c>
      <c r="V7376">
        <v>0.32283650000000003</v>
      </c>
      <c r="W7376">
        <v>0.1405952</v>
      </c>
      <c r="X7376">
        <v>0.93595390000000001</v>
      </c>
      <c r="Y7376">
        <v>0.54422360000000003</v>
      </c>
      <c r="Z7376">
        <v>-5.917915E-2</v>
      </c>
      <c r="AA7376">
        <v>0.83685030000000005</v>
      </c>
      <c r="AB7376">
        <v>25</v>
      </c>
      <c r="AC7376">
        <v>14.918299999999901</v>
      </c>
      <c r="AD7376">
        <v>-1.1008456040600001</v>
      </c>
      <c r="AE7376">
        <v>0.25540000000000801</v>
      </c>
      <c r="AF7376">
        <v>8.17185651635263</v>
      </c>
      <c r="AG7376">
        <v>-1.1008456040600001</v>
      </c>
      <c r="AH7376">
        <v>12.3869928173379</v>
      </c>
      <c r="AI7376">
        <v>94.242570217560996</v>
      </c>
      <c r="AJ7376">
        <v>56.586656543035403</v>
      </c>
      <c r="AK7376">
        <v>14.880480201412</v>
      </c>
      <c r="AL7376">
        <v>81.917711124214705</v>
      </c>
      <c r="AM7376">
        <v>70.969263550926698</v>
      </c>
      <c r="AN7376">
        <v>1.0000000594602401</v>
      </c>
    </row>
    <row r="7377" spans="1:40" x14ac:dyDescent="0.25">
      <c r="A7377" t="str">
        <f>"20190312173108784"</f>
        <v>20190312173108784</v>
      </c>
      <c r="B7377" t="str">
        <f>"1552383068774883"</f>
        <v>1552383068774883</v>
      </c>
      <c r="C7377" t="s">
        <v>40</v>
      </c>
      <c r="D7377">
        <v>3.616174</v>
      </c>
      <c r="E7377">
        <v>0.60341940000000005</v>
      </c>
      <c r="F7377" t="s">
        <v>41</v>
      </c>
      <c r="G7377">
        <v>-162.08920000000001</v>
      </c>
      <c r="H7377" s="1">
        <v>-4.6587069999999999E-6</v>
      </c>
      <c r="I7377">
        <v>134.32399999999899</v>
      </c>
      <c r="J7377">
        <v>-177.0017</v>
      </c>
      <c r="K7377">
        <v>1.100857</v>
      </c>
      <c r="L7377">
        <v>134.15260000000001</v>
      </c>
      <c r="M7377">
        <v>0.82921639999999996</v>
      </c>
      <c r="N7377">
        <v>0</v>
      </c>
      <c r="O7377">
        <v>0.558706699999999</v>
      </c>
      <c r="P7377">
        <v>0.95618630000000004</v>
      </c>
      <c r="Q7377">
        <v>0.13327349999999999</v>
      </c>
      <c r="R7377">
        <v>0.26066460000000002</v>
      </c>
      <c r="S7377">
        <v>3.1605530000000002</v>
      </c>
      <c r="T7377">
        <v>-0.23150870000000001</v>
      </c>
      <c r="U7377">
        <v>5.085754E-2</v>
      </c>
      <c r="V7377">
        <v>0.32139299999999998</v>
      </c>
      <c r="W7377">
        <v>0.14076089999999999</v>
      </c>
      <c r="X7377">
        <v>0.93642559999999997</v>
      </c>
      <c r="Y7377">
        <v>0.54255679999999995</v>
      </c>
      <c r="Z7377">
        <v>-5.8761330000000001E-2</v>
      </c>
      <c r="AA7377">
        <v>0.83796130000000002</v>
      </c>
      <c r="AB7377">
        <v>25</v>
      </c>
      <c r="AC7377">
        <v>14.9124999999999</v>
      </c>
      <c r="AD7377">
        <v>-1.1008616587069999</v>
      </c>
      <c r="AE7377">
        <v>0.17139999999997699</v>
      </c>
      <c r="AF7377">
        <v>8.1462097978101102</v>
      </c>
      <c r="AG7377">
        <v>-1.1008616587069999</v>
      </c>
      <c r="AH7377">
        <v>12.395449763403301</v>
      </c>
      <c r="AI7377">
        <v>94.244638444754401</v>
      </c>
      <c r="AJ7377">
        <v>56.687340189223697</v>
      </c>
      <c r="AK7377">
        <v>14.873459762227601</v>
      </c>
      <c r="AL7377">
        <v>81.908121350933001</v>
      </c>
      <c r="AM7377">
        <v>71.057137173082197</v>
      </c>
      <c r="AN7377">
        <v>0.999999997876584</v>
      </c>
    </row>
    <row r="7378" spans="1:40" x14ac:dyDescent="0.25">
      <c r="A7378" t="str">
        <f>"20190312173108797"</f>
        <v>20190312173108797</v>
      </c>
      <c r="B7378" t="str">
        <f>"1552383068784642"</f>
        <v>1552383068784642</v>
      </c>
      <c r="C7378" t="s">
        <v>40</v>
      </c>
      <c r="D7378">
        <v>3.6134019999999998</v>
      </c>
      <c r="E7378">
        <v>0.59404209999999902</v>
      </c>
      <c r="F7378" t="s">
        <v>41</v>
      </c>
      <c r="G7378">
        <v>-161.8947</v>
      </c>
      <c r="H7378" s="1">
        <v>-4.7541059999999997E-6</v>
      </c>
      <c r="I7378">
        <v>134.30459999999999</v>
      </c>
      <c r="J7378">
        <v>-176.87450000000001</v>
      </c>
      <c r="K7378">
        <v>1.100876</v>
      </c>
      <c r="L7378">
        <v>134.2278</v>
      </c>
      <c r="M7378">
        <v>0.83367459999999904</v>
      </c>
      <c r="N7378">
        <v>0</v>
      </c>
      <c r="O7378">
        <v>0.55203290000000005</v>
      </c>
      <c r="P7378">
        <v>0.95786479999999996</v>
      </c>
      <c r="Q7378">
        <v>0.13340529999999901</v>
      </c>
      <c r="R7378">
        <v>0.25435839999999998</v>
      </c>
      <c r="S7378">
        <v>3.1609039999999999</v>
      </c>
      <c r="T7378">
        <v>-0.23033790000000001</v>
      </c>
      <c r="U7378">
        <v>3.1799319999999999E-2</v>
      </c>
      <c r="V7378">
        <v>0.32003029999999999</v>
      </c>
      <c r="W7378">
        <v>0.14092759999999999</v>
      </c>
      <c r="X7378">
        <v>0.93686709999999995</v>
      </c>
      <c r="Y7378">
        <v>0.54092430000000002</v>
      </c>
      <c r="Z7378">
        <v>-5.80093E-2</v>
      </c>
      <c r="AA7378">
        <v>0.83906840000000005</v>
      </c>
      <c r="AB7378">
        <v>25</v>
      </c>
      <c r="AC7378">
        <v>14.979799999999999</v>
      </c>
      <c r="AD7378">
        <v>-1.1008807541059999</v>
      </c>
      <c r="AE7378">
        <v>7.67999999999915E-2</v>
      </c>
      <c r="AF7378">
        <v>8.1622445056034003</v>
      </c>
      <c r="AG7378">
        <v>-1.1008807541059999</v>
      </c>
      <c r="AH7378">
        <v>12.464898309045299</v>
      </c>
      <c r="AI7378">
        <v>94.225732110741802</v>
      </c>
      <c r="AJ7378">
        <v>56.7824837731877</v>
      </c>
      <c r="AK7378">
        <v>14.9401426920513</v>
      </c>
      <c r="AL7378">
        <v>81.898473767848003</v>
      </c>
      <c r="AM7378">
        <v>71.140024701022696</v>
      </c>
      <c r="AN7378">
        <v>0.99999997221112902</v>
      </c>
    </row>
    <row r="7379" spans="1:40" x14ac:dyDescent="0.25">
      <c r="A7379" t="str">
        <f>"20190312173108815"</f>
        <v>20190312173108815</v>
      </c>
      <c r="B7379" t="str">
        <f>"1552383068805137"</f>
        <v>1552383068805137</v>
      </c>
      <c r="C7379" t="s">
        <v>40</v>
      </c>
      <c r="D7379">
        <v>3.6320570000000001</v>
      </c>
      <c r="E7379">
        <v>0.59353239999999996</v>
      </c>
      <c r="F7379" t="s">
        <v>41</v>
      </c>
      <c r="G7379">
        <v>-161.7157</v>
      </c>
      <c r="H7379" s="1">
        <v>-4.7815580000000002E-6</v>
      </c>
      <c r="I7379">
        <v>134.62700000000001</v>
      </c>
      <c r="J7379">
        <v>-176.6995</v>
      </c>
      <c r="K7379">
        <v>1.1008979999999999</v>
      </c>
      <c r="L7379">
        <v>134.32929999999999</v>
      </c>
      <c r="M7379">
        <v>0.83969050000000001</v>
      </c>
      <c r="N7379">
        <v>0</v>
      </c>
      <c r="O7379">
        <v>0.54283879999999995</v>
      </c>
      <c r="P7379">
        <v>0.96015589999999995</v>
      </c>
      <c r="Q7379">
        <v>0.1337391</v>
      </c>
      <c r="R7379">
        <v>0.24538670000000001</v>
      </c>
      <c r="S7379">
        <v>3.1417389999999998</v>
      </c>
      <c r="T7379">
        <v>-0.22816230000000001</v>
      </c>
      <c r="U7379">
        <v>8.2733150000000005E-2</v>
      </c>
      <c r="V7379">
        <v>0.31846960000000002</v>
      </c>
      <c r="W7379">
        <v>0.14130190000000001</v>
      </c>
      <c r="X7379">
        <v>0.93734249999999997</v>
      </c>
      <c r="Y7379">
        <v>0.51795290000000005</v>
      </c>
      <c r="Z7379">
        <v>-5.6362849999999999E-2</v>
      </c>
      <c r="AA7379">
        <v>0.85355029999999998</v>
      </c>
      <c r="AB7379">
        <v>25</v>
      </c>
      <c r="AC7379">
        <v>14.9838</v>
      </c>
      <c r="AD7379">
        <v>-1.1009027815579999</v>
      </c>
      <c r="AE7379">
        <v>0.29770000000002</v>
      </c>
      <c r="AF7379">
        <v>7.8424626812251201</v>
      </c>
      <c r="AG7379">
        <v>-1.1009027815579999</v>
      </c>
      <c r="AH7379">
        <v>12.6765205345613</v>
      </c>
      <c r="AI7379">
        <v>94.223897594401194</v>
      </c>
      <c r="AJ7379">
        <v>58.256557463266098</v>
      </c>
      <c r="AK7379">
        <v>14.946918769566</v>
      </c>
      <c r="AL7379">
        <v>81.876811720159694</v>
      </c>
      <c r="AM7379">
        <v>71.234397221194698</v>
      </c>
      <c r="AN7379">
        <v>1.000000037687</v>
      </c>
    </row>
    <row r="7380" spans="1:40" x14ac:dyDescent="0.25">
      <c r="A7380" t="str">
        <f>"20190312173108829"</f>
        <v>20190312173108829</v>
      </c>
      <c r="B7380" t="str">
        <f>"1552383068814899"</f>
        <v>1552383068814899</v>
      </c>
      <c r="C7380" t="s">
        <v>40</v>
      </c>
      <c r="D7380">
        <v>3.6570450000000001</v>
      </c>
      <c r="E7380">
        <v>0.59302290000000002</v>
      </c>
      <c r="F7380" t="s">
        <v>41</v>
      </c>
      <c r="G7380">
        <v>-161.583</v>
      </c>
      <c r="H7380" s="1">
        <v>-4.8482880000000003E-6</v>
      </c>
      <c r="I7380">
        <v>134.60419999999999</v>
      </c>
      <c r="J7380">
        <v>-176.5684</v>
      </c>
      <c r="K7380">
        <v>1.100919</v>
      </c>
      <c r="L7380">
        <v>134.40379999999999</v>
      </c>
      <c r="M7380">
        <v>0.84410580000000002</v>
      </c>
      <c r="N7380">
        <v>0</v>
      </c>
      <c r="O7380">
        <v>0.53594779999999997</v>
      </c>
      <c r="P7380">
        <v>0.96128409999999997</v>
      </c>
      <c r="Q7380">
        <v>0.1339332</v>
      </c>
      <c r="R7380">
        <v>0.24082100000000001</v>
      </c>
      <c r="S7380">
        <v>3.141769</v>
      </c>
      <c r="T7380">
        <v>-0.2288095</v>
      </c>
      <c r="U7380">
        <v>5.7128909999999998E-2</v>
      </c>
      <c r="V7380">
        <v>0.31522640000000002</v>
      </c>
      <c r="W7380">
        <v>0.14158560000000001</v>
      </c>
      <c r="X7380">
        <v>0.93839539999999999</v>
      </c>
      <c r="Y7380">
        <v>0.51791299999999996</v>
      </c>
      <c r="Z7380">
        <v>-5.6119460000000003E-2</v>
      </c>
      <c r="AA7380">
        <v>0.85359050000000003</v>
      </c>
      <c r="AB7380">
        <v>25</v>
      </c>
      <c r="AC7380">
        <v>14.985399999999901</v>
      </c>
      <c r="AD7380">
        <v>-1.1009238482879999</v>
      </c>
      <c r="AE7380">
        <v>0.20040000000000099</v>
      </c>
      <c r="AF7380">
        <v>7.8209932255197199</v>
      </c>
      <c r="AG7380">
        <v>-1.1009238482879999</v>
      </c>
      <c r="AH7380">
        <v>12.689753862287301</v>
      </c>
      <c r="AI7380">
        <v>94.223983865668004</v>
      </c>
      <c r="AJ7380">
        <v>58.353496993081997</v>
      </c>
      <c r="AK7380">
        <v>14.9469000611762</v>
      </c>
      <c r="AL7380">
        <v>81.860391895945</v>
      </c>
      <c r="AM7380">
        <v>71.4317364039117</v>
      </c>
      <c r="AN7380">
        <v>1.0000000460627301</v>
      </c>
    </row>
    <row r="7381" spans="1:40" x14ac:dyDescent="0.25">
      <c r="A7381" t="str">
        <f>"20190312173108842"</f>
        <v>20190312173108842</v>
      </c>
      <c r="B7381" t="str">
        <f>"1552383068834927"</f>
        <v>1552383068834927</v>
      </c>
      <c r="C7381" t="s">
        <v>40</v>
      </c>
      <c r="D7381">
        <v>3.674979</v>
      </c>
      <c r="E7381">
        <v>0.5919179</v>
      </c>
      <c r="F7381" t="s">
        <v>41</v>
      </c>
      <c r="G7381">
        <v>-161.57589999999999</v>
      </c>
      <c r="H7381" s="1">
        <v>-4.8480640000000001E-6</v>
      </c>
      <c r="I7381">
        <v>134.62450000000001</v>
      </c>
      <c r="J7381">
        <v>-176.42869999999999</v>
      </c>
      <c r="K7381">
        <v>1.1009439999999999</v>
      </c>
      <c r="L7381">
        <v>134.48179999999999</v>
      </c>
      <c r="M7381">
        <v>0.84872729999999996</v>
      </c>
      <c r="N7381">
        <v>0</v>
      </c>
      <c r="O7381">
        <v>0.52859929999999999</v>
      </c>
      <c r="P7381">
        <v>0.96297060000000001</v>
      </c>
      <c r="Q7381">
        <v>0.1338744</v>
      </c>
      <c r="R7381">
        <v>0.23402000000000001</v>
      </c>
      <c r="S7381">
        <v>3.1413730000000002</v>
      </c>
      <c r="T7381">
        <v>-0.23067670000000001</v>
      </c>
      <c r="U7381">
        <v>4.6234129999999998E-2</v>
      </c>
      <c r="V7381">
        <v>0.31370399999999998</v>
      </c>
      <c r="W7381">
        <v>0.14157049999999999</v>
      </c>
      <c r="X7381">
        <v>0.93890759999999995</v>
      </c>
      <c r="Y7381">
        <v>0.51343190000000005</v>
      </c>
      <c r="Z7381">
        <v>-5.5967089999999997E-2</v>
      </c>
      <c r="AA7381">
        <v>0.85630329999999999</v>
      </c>
      <c r="AB7381">
        <v>25</v>
      </c>
      <c r="AC7381">
        <v>14.8528</v>
      </c>
      <c r="AD7381">
        <v>-1.100948848064</v>
      </c>
      <c r="AE7381">
        <v>0.14270000000001901</v>
      </c>
      <c r="AF7381">
        <v>7.6887714108519498</v>
      </c>
      <c r="AG7381">
        <v>-1.100948848064</v>
      </c>
      <c r="AH7381">
        <v>12.6136624491558</v>
      </c>
      <c r="AI7381">
        <v>94.262247538686793</v>
      </c>
      <c r="AJ7381">
        <v>58.635227904544799</v>
      </c>
      <c r="AK7381">
        <v>14.8132972209306</v>
      </c>
      <c r="AL7381">
        <v>81.861265026933395</v>
      </c>
      <c r="AM7381">
        <v>71.5247043478591</v>
      </c>
      <c r="AN7381">
        <v>0.99999994371200296</v>
      </c>
    </row>
    <row r="7382" spans="1:40" x14ac:dyDescent="0.25">
      <c r="A7382" t="str">
        <f>"20190312173108854"</f>
        <v>20190312173108854</v>
      </c>
      <c r="B7382" t="str">
        <f>"1552383068844686"</f>
        <v>1552383068844686</v>
      </c>
      <c r="C7382" t="s">
        <v>40</v>
      </c>
      <c r="D7382">
        <v>3.6405979999999998</v>
      </c>
      <c r="E7382">
        <v>0.59123510000000001</v>
      </c>
      <c r="F7382" t="s">
        <v>41</v>
      </c>
      <c r="G7382">
        <v>-161.64179999999999</v>
      </c>
      <c r="H7382" s="1">
        <v>-4.8149079999999996E-6</v>
      </c>
      <c r="I7382">
        <v>134.63589999999999</v>
      </c>
      <c r="J7382">
        <v>-176.31059999999999</v>
      </c>
      <c r="K7382">
        <v>1.1009679999999999</v>
      </c>
      <c r="L7382">
        <v>134.54589999999999</v>
      </c>
      <c r="M7382">
        <v>0.85255709999999996</v>
      </c>
      <c r="N7382">
        <v>0</v>
      </c>
      <c r="O7382">
        <v>0.52240019999999998</v>
      </c>
      <c r="P7382">
        <v>0.96421950000000001</v>
      </c>
      <c r="Q7382">
        <v>0.13395950000000001</v>
      </c>
      <c r="R7382">
        <v>0.22877030000000001</v>
      </c>
      <c r="S7382">
        <v>3.139923</v>
      </c>
      <c r="T7382">
        <v>-0.2337803</v>
      </c>
      <c r="U7382">
        <v>3.2714840000000002E-2</v>
      </c>
      <c r="V7382">
        <v>0.31196119999999999</v>
      </c>
      <c r="W7382">
        <v>0.1417069</v>
      </c>
      <c r="X7382">
        <v>0.93946759999999996</v>
      </c>
      <c r="Y7382">
        <v>0.51081169999999998</v>
      </c>
      <c r="Z7382">
        <v>-5.626126E-2</v>
      </c>
      <c r="AA7382">
        <v>0.85784969999999905</v>
      </c>
      <c r="AB7382">
        <v>25</v>
      </c>
      <c r="AC7382">
        <v>14.668799999999999</v>
      </c>
      <c r="AD7382">
        <v>-1.100972814908</v>
      </c>
      <c r="AE7382">
        <v>9.0000000000003397E-2</v>
      </c>
      <c r="AF7382">
        <v>7.5446812452821304</v>
      </c>
      <c r="AG7382">
        <v>-1.100972814908</v>
      </c>
      <c r="AH7382">
        <v>12.484215139024499</v>
      </c>
      <c r="AI7382">
        <v>94.316317347008606</v>
      </c>
      <c r="AJ7382">
        <v>58.853851163577801</v>
      </c>
      <c r="AK7382">
        <v>14.6283964900302</v>
      </c>
      <c r="AL7382">
        <v>81.853370782197004</v>
      </c>
      <c r="AM7382">
        <v>71.630649933021203</v>
      </c>
      <c r="AN7382">
        <v>1.0000000036314001</v>
      </c>
    </row>
    <row r="7383" spans="1:40" x14ac:dyDescent="0.25">
      <c r="A7383" t="str">
        <f>"20190312173108869"</f>
        <v>20190312173108869</v>
      </c>
      <c r="B7383" t="str">
        <f>"1552383068865182"</f>
        <v>1552383068865182</v>
      </c>
      <c r="C7383" t="s">
        <v>40</v>
      </c>
      <c r="D7383">
        <v>3.8194849999999998</v>
      </c>
      <c r="E7383">
        <v>0.59085259999999995</v>
      </c>
      <c r="F7383" t="s">
        <v>41</v>
      </c>
      <c r="G7383">
        <v>-161.45930000000001</v>
      </c>
      <c r="H7383" s="1">
        <v>-4.899803E-6</v>
      </c>
      <c r="I7383">
        <v>134.64349999999999</v>
      </c>
      <c r="J7383">
        <v>-176.1705</v>
      </c>
      <c r="K7383">
        <v>1.100997</v>
      </c>
      <c r="L7383">
        <v>134.62110000000001</v>
      </c>
      <c r="M7383">
        <v>0.857021699999999</v>
      </c>
      <c r="N7383">
        <v>0</v>
      </c>
      <c r="O7383">
        <v>0.51504340000000004</v>
      </c>
      <c r="P7383">
        <v>0.96588859999999999</v>
      </c>
      <c r="Q7383">
        <v>0.1336581</v>
      </c>
      <c r="R7383">
        <v>0.22179840000000001</v>
      </c>
      <c r="S7383">
        <v>3.138763</v>
      </c>
      <c r="T7383">
        <v>-0.2326869</v>
      </c>
      <c r="U7383">
        <v>2.061462E-2</v>
      </c>
      <c r="V7383">
        <v>0.31066490000000002</v>
      </c>
      <c r="W7383">
        <v>0.14144870000000001</v>
      </c>
      <c r="X7383">
        <v>0.93993599999999999</v>
      </c>
      <c r="Y7383">
        <v>0.50677309999999998</v>
      </c>
      <c r="Z7383">
        <v>-5.5407530000000003E-2</v>
      </c>
      <c r="AA7383">
        <v>0.86029709999999904</v>
      </c>
      <c r="AB7383">
        <v>25</v>
      </c>
      <c r="AC7383">
        <v>14.7111999999999</v>
      </c>
      <c r="AD7383">
        <v>-1.101001899803</v>
      </c>
      <c r="AE7383">
        <v>2.2399999999976199E-2</v>
      </c>
      <c r="AF7383">
        <v>7.5165303926692797</v>
      </c>
      <c r="AG7383">
        <v>-1.101001899803</v>
      </c>
      <c r="AH7383">
        <v>12.550597034994199</v>
      </c>
      <c r="AI7383">
        <v>94.303976708648705</v>
      </c>
      <c r="AJ7383">
        <v>59.082682629752703</v>
      </c>
      <c r="AK7383">
        <v>14.6706482563687</v>
      </c>
      <c r="AL7383">
        <v>81.868315459626601</v>
      </c>
      <c r="AM7383">
        <v>71.710397267707407</v>
      </c>
      <c r="AN7383">
        <v>1.00000004945984</v>
      </c>
    </row>
    <row r="7384" spans="1:40" x14ac:dyDescent="0.25">
      <c r="A7384" t="str">
        <f>"20190312173108879"</f>
        <v>20190312173108879</v>
      </c>
      <c r="B7384" t="str">
        <f>"1552383068874941"</f>
        <v>1552383068874941</v>
      </c>
      <c r="C7384" t="s">
        <v>40</v>
      </c>
      <c r="D7384">
        <v>3.6966489999999999</v>
      </c>
      <c r="E7384">
        <v>0.59035760000000004</v>
      </c>
      <c r="F7384" t="s">
        <v>41</v>
      </c>
      <c r="G7384">
        <v>-161.59719999999999</v>
      </c>
      <c r="H7384" s="1">
        <v>-4.837699E-6</v>
      </c>
      <c r="I7384">
        <v>134.62620000000001</v>
      </c>
      <c r="J7384">
        <v>-176.0556</v>
      </c>
      <c r="K7384">
        <v>1.101019</v>
      </c>
      <c r="L7384">
        <v>134.6816</v>
      </c>
      <c r="M7384">
        <v>0.8606163</v>
      </c>
      <c r="N7384">
        <v>0</v>
      </c>
      <c r="O7384">
        <v>0.50901479999999999</v>
      </c>
      <c r="P7384">
        <v>0.96706559999999997</v>
      </c>
      <c r="Q7384">
        <v>0.13384370000000001</v>
      </c>
      <c r="R7384">
        <v>0.21649489999999999</v>
      </c>
      <c r="S7384">
        <v>3.1384889999999999</v>
      </c>
      <c r="T7384">
        <v>-0.23710999999999999</v>
      </c>
      <c r="U7384">
        <v>1.113892E-3</v>
      </c>
      <c r="V7384">
        <v>0.30920300000000001</v>
      </c>
      <c r="W7384">
        <v>0.14168140000000001</v>
      </c>
      <c r="X7384">
        <v>0.94038279999999996</v>
      </c>
      <c r="Y7384">
        <v>0.50598750000000003</v>
      </c>
      <c r="Z7384">
        <v>-5.6051719999999999E-2</v>
      </c>
      <c r="AA7384">
        <v>0.86071769999999903</v>
      </c>
      <c r="AB7384">
        <v>25</v>
      </c>
      <c r="AC7384">
        <v>14.458399999999999</v>
      </c>
      <c r="AD7384">
        <v>-1.101023837699</v>
      </c>
      <c r="AE7384">
        <v>-5.5399999999991602E-2</v>
      </c>
      <c r="AF7384">
        <v>7.3654084229193097</v>
      </c>
      <c r="AG7384">
        <v>-1.101023837699</v>
      </c>
      <c r="AH7384">
        <v>12.344860423392999</v>
      </c>
      <c r="AI7384">
        <v>94.379857698998805</v>
      </c>
      <c r="AJ7384">
        <v>59.178107206677097</v>
      </c>
      <c r="AK7384">
        <v>14.4172491689867</v>
      </c>
      <c r="AL7384">
        <v>81.854846378117401</v>
      </c>
      <c r="AM7384">
        <v>71.798852649350906</v>
      </c>
      <c r="AN7384">
        <v>0.99999996242539901</v>
      </c>
    </row>
    <row r="7385" spans="1:40" x14ac:dyDescent="0.25">
      <c r="A7385" t="str">
        <f>"20190312173108892"</f>
        <v>20190312173108892</v>
      </c>
      <c r="B7385" t="str">
        <f>"1552383068884702"</f>
        <v>1552383068884702</v>
      </c>
      <c r="C7385" t="s">
        <v>40</v>
      </c>
      <c r="D7385">
        <v>3.7122980000000001</v>
      </c>
      <c r="E7385">
        <v>0.58988649999999998</v>
      </c>
      <c r="F7385" t="s">
        <v>41</v>
      </c>
      <c r="G7385">
        <v>-161.55410000000001</v>
      </c>
      <c r="H7385" s="1">
        <v>-4.858163E-6</v>
      </c>
      <c r="I7385">
        <v>134.62559999999999</v>
      </c>
      <c r="J7385">
        <v>-175.9367</v>
      </c>
      <c r="K7385">
        <v>1.1010530000000001</v>
      </c>
      <c r="L7385">
        <v>134.74289999999999</v>
      </c>
      <c r="M7385">
        <v>0.86426899999999995</v>
      </c>
      <c r="N7385">
        <v>0</v>
      </c>
      <c r="O7385">
        <v>0.50278829999999997</v>
      </c>
      <c r="P7385">
        <v>0.96837819999999997</v>
      </c>
      <c r="Q7385">
        <v>0.13380929999999999</v>
      </c>
      <c r="R7385">
        <v>0.21056759999999999</v>
      </c>
      <c r="S7385">
        <v>3.137848</v>
      </c>
      <c r="T7385">
        <v>-0.23824000000000001</v>
      </c>
      <c r="U7385">
        <v>-1.210022E-2</v>
      </c>
      <c r="V7385">
        <v>0.30816199999999999</v>
      </c>
      <c r="W7385">
        <v>0.14168610000000001</v>
      </c>
      <c r="X7385">
        <v>0.9407238</v>
      </c>
      <c r="Y7385">
        <v>0.50338679999999902</v>
      </c>
      <c r="Z7385">
        <v>-5.5826519999999998E-2</v>
      </c>
      <c r="AA7385">
        <v>0.86225580000000002</v>
      </c>
      <c r="AB7385">
        <v>25</v>
      </c>
      <c r="AC7385">
        <v>14.382599999999901</v>
      </c>
      <c r="AD7385">
        <v>-1.1010578581629999</v>
      </c>
      <c r="AE7385">
        <v>-0.1173</v>
      </c>
      <c r="AF7385">
        <v>7.2909461187825197</v>
      </c>
      <c r="AG7385">
        <v>-1.1010578581629999</v>
      </c>
      <c r="AH7385">
        <v>12.3008755081472</v>
      </c>
      <c r="AI7385">
        <v>94.403139472798202</v>
      </c>
      <c r="AJ7385">
        <v>59.344028986497896</v>
      </c>
      <c r="AK7385">
        <v>14.341609462711901</v>
      </c>
      <c r="AL7385">
        <v>81.854574803767093</v>
      </c>
      <c r="AM7385">
        <v>71.862255642322694</v>
      </c>
      <c r="AN7385">
        <v>1.0000000185318201</v>
      </c>
    </row>
    <row r="7386" spans="1:40" x14ac:dyDescent="0.25">
      <c r="A7386" t="str">
        <f>"20190312173108905"</f>
        <v>20190312173108905</v>
      </c>
      <c r="B7386" t="str">
        <f>"1552383068894462"</f>
        <v>1552383068894462</v>
      </c>
      <c r="C7386" t="s">
        <v>40</v>
      </c>
      <c r="D7386">
        <v>3.702928</v>
      </c>
      <c r="E7386">
        <v>0.58988649999999998</v>
      </c>
      <c r="F7386" t="s">
        <v>41</v>
      </c>
      <c r="G7386">
        <v>-161.51390000000001</v>
      </c>
      <c r="H7386" s="1">
        <v>-4.878946E-6</v>
      </c>
      <c r="I7386">
        <v>134.6156</v>
      </c>
      <c r="J7386">
        <v>-175.81039999999999</v>
      </c>
      <c r="K7386">
        <v>1.101092</v>
      </c>
      <c r="L7386">
        <v>134.80719999999999</v>
      </c>
      <c r="M7386">
        <v>0.86808289999999999</v>
      </c>
      <c r="N7386">
        <v>0</v>
      </c>
      <c r="O7386">
        <v>0.49617480000000003</v>
      </c>
      <c r="P7386">
        <v>0.96971379999999996</v>
      </c>
      <c r="Q7386">
        <v>0.1337872</v>
      </c>
      <c r="R7386">
        <v>0.20434340000000001</v>
      </c>
      <c r="S7386">
        <v>3.1370849999999999</v>
      </c>
      <c r="T7386">
        <v>-0.2394906</v>
      </c>
      <c r="U7386">
        <v>-2.767944E-2</v>
      </c>
      <c r="V7386">
        <v>0.30700749999999999</v>
      </c>
      <c r="W7386">
        <v>0.14170829999999901</v>
      </c>
      <c r="X7386">
        <v>0.94109790000000004</v>
      </c>
      <c r="Y7386">
        <v>0.50107279999999998</v>
      </c>
      <c r="Z7386">
        <v>-5.5610239999999998E-2</v>
      </c>
      <c r="AA7386">
        <v>0.86361650000000001</v>
      </c>
      <c r="AB7386">
        <v>25</v>
      </c>
      <c r="AC7386">
        <v>14.296499999999901</v>
      </c>
      <c r="AD7386">
        <v>-1.1010968789460001</v>
      </c>
      <c r="AE7386">
        <v>-0.191599999999994</v>
      </c>
      <c r="AF7386">
        <v>7.2179603537690298</v>
      </c>
      <c r="AG7386">
        <v>-1.1010968789460001</v>
      </c>
      <c r="AH7386">
        <v>12.2443556350148</v>
      </c>
      <c r="AI7386">
        <v>94.429768287102902</v>
      </c>
      <c r="AJ7386">
        <v>59.480953502602702</v>
      </c>
      <c r="AK7386">
        <v>14.256072773457801</v>
      </c>
      <c r="AL7386">
        <v>81.853290150092107</v>
      </c>
      <c r="AM7386">
        <v>71.932498221083605</v>
      </c>
      <c r="AN7386">
        <v>1.0000000523647701</v>
      </c>
    </row>
    <row r="7387" spans="1:40" x14ac:dyDescent="0.25">
      <c r="A7387" t="str">
        <f>"20190312173108917"</f>
        <v>20190312173108917</v>
      </c>
      <c r="B7387" t="str">
        <f>"1552383068905198"</f>
        <v>1552383068905198</v>
      </c>
      <c r="C7387" t="s">
        <v>40</v>
      </c>
      <c r="D7387">
        <v>3.7016140000000002</v>
      </c>
      <c r="E7387">
        <v>0.58239459999999998</v>
      </c>
      <c r="F7387" t="s">
        <v>41</v>
      </c>
      <c r="G7387">
        <v>-161.36869999999999</v>
      </c>
      <c r="H7387" s="1">
        <v>-4.9529210000000004E-6</v>
      </c>
      <c r="I7387">
        <v>134.5857</v>
      </c>
      <c r="J7387">
        <v>-175.68049999999999</v>
      </c>
      <c r="K7387">
        <v>1.1011420000000001</v>
      </c>
      <c r="L7387">
        <v>134.8717</v>
      </c>
      <c r="M7387">
        <v>0.87191589999999997</v>
      </c>
      <c r="N7387">
        <v>0</v>
      </c>
      <c r="O7387">
        <v>0.48940840000000002</v>
      </c>
      <c r="P7387">
        <v>0.97065880000000004</v>
      </c>
      <c r="Q7387">
        <v>0.13426289999999999</v>
      </c>
      <c r="R7387">
        <v>0.19948779999999999</v>
      </c>
      <c r="S7387">
        <v>3.1368260000000001</v>
      </c>
      <c r="T7387">
        <v>-0.23916470000000001</v>
      </c>
      <c r="U7387">
        <v>-4.8126219999999997E-2</v>
      </c>
      <c r="V7387">
        <v>0.30435390000000001</v>
      </c>
      <c r="W7387">
        <v>0.14227290000000001</v>
      </c>
      <c r="X7387">
        <v>0.94187430000000005</v>
      </c>
      <c r="Y7387">
        <v>0.50000800000000001</v>
      </c>
      <c r="Z7387">
        <v>-5.5054800000000001E-2</v>
      </c>
      <c r="AA7387">
        <v>0.86426909999999901</v>
      </c>
      <c r="AB7387">
        <v>25</v>
      </c>
      <c r="AC7387">
        <v>14.3118</v>
      </c>
      <c r="AD7387">
        <v>-1.1011469529210001</v>
      </c>
      <c r="AE7387">
        <v>-0.28600000000000098</v>
      </c>
      <c r="AF7387">
        <v>7.2118858472044298</v>
      </c>
      <c r="AG7387">
        <v>-1.1011469529210001</v>
      </c>
      <c r="AH7387">
        <v>12.267616917290299</v>
      </c>
      <c r="AI7387">
        <v>94.424708960298702</v>
      </c>
      <c r="AJ7387">
        <v>59.549583886574098</v>
      </c>
      <c r="AK7387">
        <v>14.2729901182066</v>
      </c>
      <c r="AL7387">
        <v>81.820609700768102</v>
      </c>
      <c r="AM7387">
        <v>72.092465229812703</v>
      </c>
      <c r="AN7387">
        <v>1.00000003576005</v>
      </c>
    </row>
    <row r="7388" spans="1:40" x14ac:dyDescent="0.25">
      <c r="A7388" t="str">
        <f>"20190312173108930"</f>
        <v>20190312173108930</v>
      </c>
      <c r="B7388" t="str">
        <f>"1552383068924718"</f>
        <v>1552383068924718</v>
      </c>
      <c r="C7388" t="s">
        <v>40</v>
      </c>
      <c r="D7388">
        <v>3.7230810000000001</v>
      </c>
      <c r="E7388">
        <v>0.58182330000000004</v>
      </c>
      <c r="F7388" t="s">
        <v>41</v>
      </c>
      <c r="G7388">
        <v>-161.72919999999999</v>
      </c>
      <c r="H7388" s="1">
        <v>-4.7358999999999998E-6</v>
      </c>
      <c r="I7388">
        <v>134.84829999999999</v>
      </c>
      <c r="J7388">
        <v>-175.5522</v>
      </c>
      <c r="K7388">
        <v>1.1011930000000001</v>
      </c>
      <c r="L7388">
        <v>134.93430000000001</v>
      </c>
      <c r="M7388">
        <v>0.87562399999999996</v>
      </c>
      <c r="N7388">
        <v>0</v>
      </c>
      <c r="O7388">
        <v>0.48274299999999998</v>
      </c>
      <c r="P7388">
        <v>0.97186510000000004</v>
      </c>
      <c r="Q7388">
        <v>0.1346212</v>
      </c>
      <c r="R7388">
        <v>0.193276</v>
      </c>
      <c r="S7388">
        <v>3.1258849999999998</v>
      </c>
      <c r="T7388">
        <v>-0.2467202</v>
      </c>
      <c r="U7388">
        <v>-5.2337649999999996E-3</v>
      </c>
      <c r="V7388">
        <v>0.30315690000000001</v>
      </c>
      <c r="W7388">
        <v>0.142683</v>
      </c>
      <c r="X7388">
        <v>0.94219819999999999</v>
      </c>
      <c r="Y7388">
        <v>0.4813675</v>
      </c>
      <c r="Z7388">
        <v>-5.5756260000000002E-2</v>
      </c>
      <c r="AA7388">
        <v>0.87474379999999996</v>
      </c>
      <c r="AB7388">
        <v>25</v>
      </c>
      <c r="AC7388">
        <v>13.823</v>
      </c>
      <c r="AD7388">
        <v>-1.1011977359</v>
      </c>
      <c r="AE7388">
        <v>-8.6000000000012705E-2</v>
      </c>
      <c r="AF7388">
        <v>6.7065157446094901</v>
      </c>
      <c r="AG7388">
        <v>-1.1011977359</v>
      </c>
      <c r="AH7388">
        <v>11.987618258353899</v>
      </c>
      <c r="AI7388">
        <v>94.583495382661795</v>
      </c>
      <c r="AJ7388">
        <v>60.775013368278302</v>
      </c>
      <c r="AK7388">
        <v>13.780166232461299</v>
      </c>
      <c r="AL7388">
        <v>81.796870188558898</v>
      </c>
      <c r="AM7388">
        <v>72.164165605615693</v>
      </c>
      <c r="AN7388">
        <v>0.99999999629492498</v>
      </c>
    </row>
    <row r="7389" spans="1:40" x14ac:dyDescent="0.25">
      <c r="A7389" t="str">
        <f>"20190312173108944"</f>
        <v>20190312173108944</v>
      </c>
      <c r="B7389" t="str">
        <f>"1552383068934478"</f>
        <v>1552383068934478</v>
      </c>
      <c r="C7389" t="s">
        <v>40</v>
      </c>
      <c r="D7389">
        <v>3.7169029999999998</v>
      </c>
      <c r="E7389">
        <v>0.58141339999999997</v>
      </c>
      <c r="F7389" t="s">
        <v>41</v>
      </c>
      <c r="G7389">
        <v>-161.8073</v>
      </c>
      <c r="H7389" s="1">
        <v>-4.6999480000000002E-6</v>
      </c>
      <c r="I7389">
        <v>134.84289999999999</v>
      </c>
      <c r="J7389">
        <v>-175.41650000000001</v>
      </c>
      <c r="K7389">
        <v>1.1012459999999999</v>
      </c>
      <c r="L7389">
        <v>134.99959999999999</v>
      </c>
      <c r="M7389">
        <v>0.87946859999999905</v>
      </c>
      <c r="N7389">
        <v>0</v>
      </c>
      <c r="O7389">
        <v>0.4757035</v>
      </c>
      <c r="P7389">
        <v>0.97306380000000003</v>
      </c>
      <c r="Q7389">
        <v>0.134717899999999</v>
      </c>
      <c r="R7389">
        <v>0.18707779999999999</v>
      </c>
      <c r="S7389">
        <v>3.1256710000000001</v>
      </c>
      <c r="T7389">
        <v>-0.2504188</v>
      </c>
      <c r="U7389">
        <v>-2.079773E-2</v>
      </c>
      <c r="V7389">
        <v>0.30157659999999997</v>
      </c>
      <c r="W7389">
        <v>0.1428458</v>
      </c>
      <c r="X7389">
        <v>0.94268050000000003</v>
      </c>
      <c r="Y7389">
        <v>0.47864020000000002</v>
      </c>
      <c r="Z7389">
        <v>-5.5991779999999998E-2</v>
      </c>
      <c r="AA7389">
        <v>0.876224</v>
      </c>
      <c r="AB7389">
        <v>25</v>
      </c>
      <c r="AC7389">
        <v>13.6092</v>
      </c>
      <c r="AD7389">
        <v>-1.1012506999479901</v>
      </c>
      <c r="AE7389">
        <v>-0.15670000000000001</v>
      </c>
      <c r="AF7389">
        <v>6.5695426797285101</v>
      </c>
      <c r="AG7389">
        <v>-1.1012506999479901</v>
      </c>
      <c r="AH7389">
        <v>11.818379590107</v>
      </c>
      <c r="AI7389">
        <v>94.656118865994401</v>
      </c>
      <c r="AJ7389">
        <v>60.9314082555223</v>
      </c>
      <c r="AK7389">
        <v>13.566345869863699</v>
      </c>
      <c r="AL7389">
        <v>81.787445489373198</v>
      </c>
      <c r="AM7389">
        <v>72.259803156047596</v>
      </c>
      <c r="AN7389">
        <v>0.99999994666272296</v>
      </c>
    </row>
    <row r="7390" spans="1:40" x14ac:dyDescent="0.25">
      <c r="A7390" t="str">
        <f>"20190312173108955"</f>
        <v>20190312173108955</v>
      </c>
      <c r="B7390" t="str">
        <f>"1552383068945214"</f>
        <v>1552383068945214</v>
      </c>
      <c r="C7390" t="s">
        <v>40</v>
      </c>
      <c r="D7390">
        <v>3.7341519999999999</v>
      </c>
      <c r="E7390">
        <v>0.58128550000000001</v>
      </c>
      <c r="F7390" t="s">
        <v>41</v>
      </c>
      <c r="G7390">
        <v>-161.7336</v>
      </c>
      <c r="H7390" s="1">
        <v>-4.7363870000000004E-6</v>
      </c>
      <c r="I7390">
        <v>134.8339</v>
      </c>
      <c r="J7390">
        <v>-175.2928</v>
      </c>
      <c r="K7390">
        <v>1.101308</v>
      </c>
      <c r="L7390">
        <v>135.0575</v>
      </c>
      <c r="M7390">
        <v>0.88288009999999995</v>
      </c>
      <c r="N7390">
        <v>0</v>
      </c>
      <c r="O7390">
        <v>0.46934239999999999</v>
      </c>
      <c r="P7390">
        <v>0.97402809999999995</v>
      </c>
      <c r="Q7390">
        <v>0.13516230000000001</v>
      </c>
      <c r="R7390">
        <v>0.18166089999999999</v>
      </c>
      <c r="S7390">
        <v>3.1251679999999999</v>
      </c>
      <c r="T7390">
        <v>-0.25152459999999999</v>
      </c>
      <c r="U7390">
        <v>-3.7857059999999998E-2</v>
      </c>
      <c r="V7390">
        <v>0.29997239999999997</v>
      </c>
      <c r="W7390">
        <v>0.14335880000000001</v>
      </c>
      <c r="X7390">
        <v>0.94311440000000002</v>
      </c>
      <c r="Y7390">
        <v>0.47708980000000001</v>
      </c>
      <c r="Z7390">
        <v>-5.573678E-2</v>
      </c>
      <c r="AA7390">
        <v>0.87708539999999902</v>
      </c>
      <c r="AB7390">
        <v>25</v>
      </c>
      <c r="AC7390">
        <v>13.559200000000001</v>
      </c>
      <c r="AD7390">
        <v>-1.1013127363869999</v>
      </c>
      <c r="AE7390">
        <v>-0.22360000000000399</v>
      </c>
      <c r="AF7390">
        <v>6.5191128472041999</v>
      </c>
      <c r="AG7390">
        <v>-1.1013127363869999</v>
      </c>
      <c r="AH7390">
        <v>11.7898718668527</v>
      </c>
      <c r="AI7390">
        <v>94.673373286990099</v>
      </c>
      <c r="AJ7390">
        <v>61.059960410646902</v>
      </c>
      <c r="AK7390">
        <v>13.517129898566299</v>
      </c>
      <c r="AL7390">
        <v>81.757747361241499</v>
      </c>
      <c r="AM7390">
        <v>72.355914220306104</v>
      </c>
      <c r="AN7390">
        <v>0.99999997889327896</v>
      </c>
    </row>
    <row r="7391" spans="1:40" x14ac:dyDescent="0.25">
      <c r="A7391" t="str">
        <f>"20190312173108968"</f>
        <v>20190312173108968</v>
      </c>
      <c r="B7391" t="str">
        <f>"1552383068954974"</f>
        <v>1552383068954974</v>
      </c>
      <c r="C7391" t="s">
        <v>40</v>
      </c>
      <c r="D7391">
        <v>3.7320600000000002</v>
      </c>
      <c r="E7391">
        <v>0.58105989999999996</v>
      </c>
      <c r="F7391" t="s">
        <v>41</v>
      </c>
      <c r="G7391">
        <v>-161.64070000000001</v>
      </c>
      <c r="H7391" s="1">
        <v>-4.7826459999999997E-6</v>
      </c>
      <c r="I7391">
        <v>134.82050000000001</v>
      </c>
      <c r="J7391">
        <v>-175.17070000000001</v>
      </c>
      <c r="K7391">
        <v>1.1013710000000001</v>
      </c>
      <c r="L7391">
        <v>135.1139</v>
      </c>
      <c r="M7391">
        <v>0.88618459999999999</v>
      </c>
      <c r="N7391">
        <v>0</v>
      </c>
      <c r="O7391">
        <v>0.46307320000000002</v>
      </c>
      <c r="P7391">
        <v>0.97492679999999998</v>
      </c>
      <c r="Q7391">
        <v>0.13528879999999999</v>
      </c>
      <c r="R7391">
        <v>0.176677</v>
      </c>
      <c r="S7391">
        <v>3.1251220000000002</v>
      </c>
      <c r="T7391">
        <v>-0.25210329999999997</v>
      </c>
      <c r="U7391">
        <v>-5.4245000000000002E-2</v>
      </c>
      <c r="V7391">
        <v>0.2980797</v>
      </c>
      <c r="W7391">
        <v>0.1435631</v>
      </c>
      <c r="X7391">
        <v>0.9436833</v>
      </c>
      <c r="Y7391">
        <v>0.47547719999999999</v>
      </c>
      <c r="Z7391">
        <v>-5.5354460000000001E-2</v>
      </c>
      <c r="AA7391">
        <v>0.87798480000000001</v>
      </c>
      <c r="AB7391">
        <v>25</v>
      </c>
      <c r="AC7391">
        <v>13.53</v>
      </c>
      <c r="AD7391">
        <v>-1.10137578264599</v>
      </c>
      <c r="AE7391">
        <v>-0.293399999999991</v>
      </c>
      <c r="AF7391">
        <v>6.4832302933707497</v>
      </c>
      <c r="AG7391">
        <v>-1.10137578264599</v>
      </c>
      <c r="AH7391">
        <v>11.777628911399599</v>
      </c>
      <c r="AI7391">
        <v>94.6833485987448</v>
      </c>
      <c r="AJ7391">
        <v>61.1685395742427</v>
      </c>
      <c r="AK7391">
        <v>13.489175157366599</v>
      </c>
      <c r="AL7391">
        <v>81.7459198351075</v>
      </c>
      <c r="AM7391">
        <v>72.470321524561101</v>
      </c>
      <c r="AN7391">
        <v>1.00000002096629</v>
      </c>
    </row>
    <row r="7392" spans="1:40" x14ac:dyDescent="0.25">
      <c r="A7392" t="str">
        <f>"20190312173108989"</f>
        <v>20190312173108989</v>
      </c>
      <c r="B7392" t="str">
        <f>"1552383068974494"</f>
        <v>1552383068974494</v>
      </c>
      <c r="C7392" t="s">
        <v>40</v>
      </c>
      <c r="D7392">
        <v>3.7255259999999999</v>
      </c>
      <c r="E7392">
        <v>0.58038339999999999</v>
      </c>
      <c r="F7392" t="s">
        <v>41</v>
      </c>
      <c r="G7392">
        <v>-161.63299999999899</v>
      </c>
      <c r="H7392" s="1">
        <v>-4.7869610000000001E-6</v>
      </c>
      <c r="I7392">
        <v>134.8168</v>
      </c>
      <c r="J7392">
        <v>-174.9736</v>
      </c>
      <c r="K7392">
        <v>1.101486</v>
      </c>
      <c r="L7392">
        <v>135.2028</v>
      </c>
      <c r="M7392">
        <v>0.8913584</v>
      </c>
      <c r="N7392">
        <v>0</v>
      </c>
      <c r="O7392">
        <v>0.45303539999999998</v>
      </c>
      <c r="P7392">
        <v>0.97650219999999999</v>
      </c>
      <c r="Q7392">
        <v>0.13544890000000001</v>
      </c>
      <c r="R7392">
        <v>0.16762199999999999</v>
      </c>
      <c r="S7392">
        <v>3.1248469999999999</v>
      </c>
      <c r="T7392">
        <v>-0.25422610000000001</v>
      </c>
      <c r="U7392">
        <v>-6.8572999999999995E-2</v>
      </c>
      <c r="V7392">
        <v>0.29612919999999998</v>
      </c>
      <c r="W7392">
        <v>0.14382410000000001</v>
      </c>
      <c r="X7392">
        <v>0.94425740000000002</v>
      </c>
      <c r="Y7392">
        <v>0.46956999999999999</v>
      </c>
      <c r="Z7392">
        <v>-5.4852199999999997E-2</v>
      </c>
      <c r="AA7392">
        <v>0.88118969999999897</v>
      </c>
      <c r="AB7392">
        <v>24</v>
      </c>
      <c r="AC7392">
        <v>13.3406</v>
      </c>
      <c r="AD7392">
        <v>-1.101490786961</v>
      </c>
      <c r="AE7392">
        <v>-0.38599999999999501</v>
      </c>
      <c r="AF7392">
        <v>6.3453703250935902</v>
      </c>
      <c r="AG7392">
        <v>-1.101490786961</v>
      </c>
      <c r="AH7392">
        <v>11.638508740528801</v>
      </c>
      <c r="AI7392">
        <v>94.750048498226207</v>
      </c>
      <c r="AJ7392">
        <v>61.400571641862399</v>
      </c>
      <c r="AK7392">
        <v>13.301574802244399</v>
      </c>
      <c r="AL7392">
        <v>81.730808278423495</v>
      </c>
      <c r="AM7392">
        <v>72.588018406349605</v>
      </c>
      <c r="AN7392">
        <v>0.99999995614410397</v>
      </c>
    </row>
    <row r="7393" spans="1:40" x14ac:dyDescent="0.25">
      <c r="A7393" t="str">
        <f>"20190312173109002"</f>
        <v>20190312173109002</v>
      </c>
      <c r="B7393" t="str">
        <f>"1552383068994989"</f>
        <v>1552383068994989</v>
      </c>
      <c r="C7393" t="s">
        <v>40</v>
      </c>
      <c r="D7393">
        <v>3.7719930000000002</v>
      </c>
      <c r="E7393">
        <v>0.57588399999999995</v>
      </c>
      <c r="F7393" t="s">
        <v>41</v>
      </c>
      <c r="G7393">
        <v>-161.55789999999999</v>
      </c>
      <c r="H7393" s="1">
        <v>-4.82411099999999E-6</v>
      </c>
      <c r="I7393">
        <v>134.80760000000001</v>
      </c>
      <c r="J7393">
        <v>-174.8229</v>
      </c>
      <c r="K7393">
        <v>1.1015809999999999</v>
      </c>
      <c r="L7393">
        <v>135.26920000000001</v>
      </c>
      <c r="M7393">
        <v>0.89518960000000003</v>
      </c>
      <c r="N7393">
        <v>0</v>
      </c>
      <c r="O7393">
        <v>0.44541799999999998</v>
      </c>
      <c r="P7393">
        <v>0.97721550000000001</v>
      </c>
      <c r="Q7393">
        <v>0.13565489999999999</v>
      </c>
      <c r="R7393">
        <v>0.16324129999999901</v>
      </c>
      <c r="S7393">
        <v>3.1235200000000001</v>
      </c>
      <c r="T7393">
        <v>-0.25645459999999998</v>
      </c>
      <c r="U7393">
        <v>-9.2010499999999995E-2</v>
      </c>
      <c r="V7393">
        <v>0.29226020000000003</v>
      </c>
      <c r="W7393">
        <v>0.14417240000000001</v>
      </c>
      <c r="X7393">
        <v>0.9454091</v>
      </c>
      <c r="Y7393">
        <v>0.46863900000000003</v>
      </c>
      <c r="Z7393">
        <v>-5.4757819999999999E-2</v>
      </c>
      <c r="AA7393">
        <v>0.881691</v>
      </c>
      <c r="AB7393">
        <v>24</v>
      </c>
      <c r="AC7393">
        <v>13.265000000000001</v>
      </c>
      <c r="AD7393">
        <v>-1.1015858241109999</v>
      </c>
      <c r="AE7393">
        <v>-0.46160000000000401</v>
      </c>
      <c r="AF7393">
        <v>6.2791915083728904</v>
      </c>
      <c r="AG7393">
        <v>-1.1015858241109999</v>
      </c>
      <c r="AH7393">
        <v>11.5906392558053</v>
      </c>
      <c r="AI7393">
        <v>94.776878875943595</v>
      </c>
      <c r="AJ7393">
        <v>61.553522544455298</v>
      </c>
      <c r="AK7393">
        <v>13.2281765820131</v>
      </c>
      <c r="AL7393">
        <v>81.710642648852996</v>
      </c>
      <c r="AM7393">
        <v>72.821726440329797</v>
      </c>
      <c r="AN7393">
        <v>1.0000000358943</v>
      </c>
    </row>
    <row r="7394" spans="1:40" x14ac:dyDescent="0.25">
      <c r="A7394" t="str">
        <f>"20190312173109017"</f>
        <v>20190312173109017</v>
      </c>
      <c r="B7394" t="str">
        <f>"1552383069005725"</f>
        <v>1552383069005725</v>
      </c>
      <c r="C7394" t="s">
        <v>40</v>
      </c>
      <c r="D7394">
        <v>3.742944</v>
      </c>
      <c r="E7394">
        <v>0.57505879999999998</v>
      </c>
      <c r="F7394" t="s">
        <v>41</v>
      </c>
      <c r="G7394">
        <v>-161.9718</v>
      </c>
      <c r="H7394" s="1">
        <v>-4.5978700000000001E-6</v>
      </c>
      <c r="I7394">
        <v>134.97999999999999</v>
      </c>
      <c r="J7394">
        <v>-174.66810000000001</v>
      </c>
      <c r="K7394">
        <v>1.1016840000000001</v>
      </c>
      <c r="L7394">
        <v>135.3355</v>
      </c>
      <c r="M7394">
        <v>0.89899499999999999</v>
      </c>
      <c r="N7394">
        <v>0</v>
      </c>
      <c r="O7394">
        <v>0.43768760000000001</v>
      </c>
      <c r="P7394">
        <v>0.97826420000000003</v>
      </c>
      <c r="Q7394">
        <v>0.13551070000000001</v>
      </c>
      <c r="R7394">
        <v>0.15695990000000001</v>
      </c>
      <c r="S7394">
        <v>3.1187900000000002</v>
      </c>
      <c r="T7394">
        <v>-0.26734029999999998</v>
      </c>
      <c r="U7394">
        <v>-7.0190429999999998E-2</v>
      </c>
      <c r="V7394">
        <v>0.29015180000000002</v>
      </c>
      <c r="W7394">
        <v>0.14412749999999999</v>
      </c>
      <c r="X7394">
        <v>0.94606509999999999</v>
      </c>
      <c r="Y7394">
        <v>0.45466479999999998</v>
      </c>
      <c r="Z7394">
        <v>-5.5947419999999998E-2</v>
      </c>
      <c r="AA7394">
        <v>0.88890369999999996</v>
      </c>
      <c r="AB7394">
        <v>24</v>
      </c>
      <c r="AC7394">
        <v>12.696300000000001</v>
      </c>
      <c r="AD7394">
        <v>-1.10168859787</v>
      </c>
      <c r="AE7394">
        <v>-0.35550000000000598</v>
      </c>
      <c r="AF7394">
        <v>5.8334159155796401</v>
      </c>
      <c r="AG7394">
        <v>-1.10168859787</v>
      </c>
      <c r="AH7394">
        <v>11.1755697541549</v>
      </c>
      <c r="AI7394">
        <v>94.994446720207506</v>
      </c>
      <c r="AJ7394">
        <v>62.436373778588496</v>
      </c>
      <c r="AK7394">
        <v>12.6544781931456</v>
      </c>
      <c r="AL7394">
        <v>81.713241984636795</v>
      </c>
      <c r="AM7394">
        <v>72.949575758425198</v>
      </c>
      <c r="AN7394">
        <v>0.99999998836874904</v>
      </c>
    </row>
    <row r="7395" spans="1:40" x14ac:dyDescent="0.25">
      <c r="A7395" t="str">
        <f>"20190312173109031"</f>
        <v>20190312173109031</v>
      </c>
      <c r="B7395" t="str">
        <f>"1552383069025245"</f>
        <v>1552383069025245</v>
      </c>
      <c r="C7395" t="s">
        <v>40</v>
      </c>
      <c r="D7395">
        <v>3.8073399999999999</v>
      </c>
      <c r="E7395">
        <v>0.55618710000000005</v>
      </c>
      <c r="F7395" t="s">
        <v>41</v>
      </c>
      <c r="G7395">
        <v>-161.80459999999999</v>
      </c>
      <c r="H7395" s="1">
        <v>-4.6751060000000001E-6</v>
      </c>
      <c r="I7395">
        <v>134.99019999999999</v>
      </c>
      <c r="J7395">
        <v>-174.53110000000001</v>
      </c>
      <c r="K7395">
        <v>1.101783</v>
      </c>
      <c r="L7395">
        <v>135.39320000000001</v>
      </c>
      <c r="M7395">
        <v>0.90226669999999998</v>
      </c>
      <c r="N7395">
        <v>0</v>
      </c>
      <c r="O7395">
        <v>0.4309038</v>
      </c>
      <c r="P7395">
        <v>0.97884059999999995</v>
      </c>
      <c r="Q7395">
        <v>0.13492479999999901</v>
      </c>
      <c r="R7395">
        <v>0.15383959999999999</v>
      </c>
      <c r="S7395">
        <v>3.1170810000000002</v>
      </c>
      <c r="T7395">
        <v>-0.26695980000000002</v>
      </c>
      <c r="U7395">
        <v>-8.3679199999999995E-2</v>
      </c>
      <c r="V7395">
        <v>0.28602030000000001</v>
      </c>
      <c r="W7395">
        <v>0.1436896</v>
      </c>
      <c r="X7395">
        <v>0.94738889999999998</v>
      </c>
      <c r="Y7395">
        <v>0.45185760000000003</v>
      </c>
      <c r="Z7395">
        <v>-5.525178E-2</v>
      </c>
      <c r="AA7395">
        <v>0.89037739999999999</v>
      </c>
      <c r="AB7395">
        <v>24</v>
      </c>
      <c r="AC7395">
        <v>12.7265</v>
      </c>
      <c r="AD7395">
        <v>-1.1017876751060001</v>
      </c>
      <c r="AE7395">
        <v>-0.40300000000002001</v>
      </c>
      <c r="AF7395">
        <v>5.8047393554814102</v>
      </c>
      <c r="AG7395">
        <v>-1.1017876751060001</v>
      </c>
      <c r="AH7395">
        <v>11.2263234763355</v>
      </c>
      <c r="AI7395">
        <v>94.982381834094198</v>
      </c>
      <c r="AJ7395">
        <v>62.658095920827797</v>
      </c>
      <c r="AK7395">
        <v>12.686184369676001</v>
      </c>
      <c r="AL7395">
        <v>81.738595981522096</v>
      </c>
      <c r="AM7395">
        <v>73.200735650897201</v>
      </c>
      <c r="AN7395">
        <v>1.0000000205017201</v>
      </c>
    </row>
    <row r="7396" spans="1:40" x14ac:dyDescent="0.25">
      <c r="A7396" t="str">
        <f>"20190312173109046"</f>
        <v>20190312173109046</v>
      </c>
      <c r="B7396" t="str">
        <f>"1552383069035006"</f>
        <v>1552383069035006</v>
      </c>
      <c r="C7396" t="s">
        <v>40</v>
      </c>
      <c r="D7396">
        <v>3.7663160000000002</v>
      </c>
      <c r="E7396">
        <v>0.55137709999999995</v>
      </c>
      <c r="F7396" t="s">
        <v>41</v>
      </c>
      <c r="G7396">
        <v>-161.7817</v>
      </c>
      <c r="H7396" s="1">
        <v>-4.5744190000000001E-6</v>
      </c>
      <c r="I7396">
        <v>135.61879999999999</v>
      </c>
      <c r="J7396">
        <v>-174.37180000000001</v>
      </c>
      <c r="K7396">
        <v>1.1019000000000001</v>
      </c>
      <c r="L7396">
        <v>135.4589</v>
      </c>
      <c r="M7396">
        <v>0.90595999999999999</v>
      </c>
      <c r="N7396">
        <v>0</v>
      </c>
      <c r="O7396">
        <v>0.42308469999999998</v>
      </c>
      <c r="P7396">
        <v>0.97984000000000004</v>
      </c>
      <c r="Q7396">
        <v>0.13452439999999999</v>
      </c>
      <c r="R7396">
        <v>0.14770629999999901</v>
      </c>
      <c r="S7396">
        <v>3.0931090000000001</v>
      </c>
      <c r="T7396">
        <v>-0.26730159999999997</v>
      </c>
      <c r="U7396">
        <v>5.4748539999999998E-2</v>
      </c>
      <c r="V7396">
        <v>0.28372789999999998</v>
      </c>
      <c r="W7396">
        <v>0.14340029999999901</v>
      </c>
      <c r="X7396">
        <v>0.94812180000000001</v>
      </c>
      <c r="Y7396">
        <v>0.40403489999999997</v>
      </c>
      <c r="Z7396">
        <v>-5.2985150000000002E-2</v>
      </c>
      <c r="AA7396">
        <v>0.91320780000000001</v>
      </c>
      <c r="AB7396">
        <v>24</v>
      </c>
      <c r="AC7396">
        <v>12.5901</v>
      </c>
      <c r="AD7396">
        <v>-1.1019045744189999</v>
      </c>
      <c r="AE7396">
        <v>0.15989999999999299</v>
      </c>
      <c r="AF7396">
        <v>5.1430373713726603</v>
      </c>
      <c r="AG7396">
        <v>-1.1019045744189999</v>
      </c>
      <c r="AH7396">
        <v>11.3879138027458</v>
      </c>
      <c r="AI7396">
        <v>95.039575018114704</v>
      </c>
      <c r="AJ7396">
        <v>65.694997079077993</v>
      </c>
      <c r="AK7396">
        <v>12.5439072012363</v>
      </c>
      <c r="AL7396">
        <v>81.7553454143832</v>
      </c>
      <c r="AM7396">
        <v>73.340051639324997</v>
      </c>
      <c r="AN7396">
        <v>1.0000000574568599</v>
      </c>
    </row>
    <row r="7397" spans="1:40" x14ac:dyDescent="0.25">
      <c r="A7397" t="str">
        <f>"20190312173109064"</f>
        <v>20190312173109064</v>
      </c>
      <c r="B7397" t="str">
        <f>"1552383069054526"</f>
        <v>1552383069054526</v>
      </c>
      <c r="C7397" t="s">
        <v>40</v>
      </c>
      <c r="D7397">
        <v>3.7560889999999998</v>
      </c>
      <c r="E7397">
        <v>0.54725179999999995</v>
      </c>
      <c r="F7397" t="s">
        <v>41</v>
      </c>
      <c r="G7397">
        <v>-161.23939999999999</v>
      </c>
      <c r="H7397" s="1">
        <v>-4.8043480000000004E-6</v>
      </c>
      <c r="I7397">
        <v>135.76779999999999</v>
      </c>
      <c r="J7397">
        <v>-174.18979999999999</v>
      </c>
      <c r="K7397">
        <v>1.102047</v>
      </c>
      <c r="L7397">
        <v>135.53219999999999</v>
      </c>
      <c r="M7397">
        <v>0.91002190000000005</v>
      </c>
      <c r="N7397">
        <v>0</v>
      </c>
      <c r="O7397">
        <v>0.41427710000000001</v>
      </c>
      <c r="P7397">
        <v>0.98067269999999895</v>
      </c>
      <c r="Q7397">
        <v>0.13391979999999901</v>
      </c>
      <c r="R7397">
        <v>0.14264279999999999</v>
      </c>
      <c r="S7397">
        <v>3.0863339999999999</v>
      </c>
      <c r="T7397">
        <v>-0.25896560000000002</v>
      </c>
      <c r="U7397">
        <v>7.2586059999999994E-2</v>
      </c>
      <c r="V7397">
        <v>0.27938760000000001</v>
      </c>
      <c r="W7397">
        <v>0.1429676</v>
      </c>
      <c r="X7397">
        <v>0.94947499999999996</v>
      </c>
      <c r="Y7397">
        <v>0.39006259999999998</v>
      </c>
      <c r="Z7397">
        <v>-5.0173099999999998E-2</v>
      </c>
      <c r="AA7397">
        <v>0.91942040000000003</v>
      </c>
      <c r="AB7397">
        <v>24</v>
      </c>
      <c r="AC7397">
        <v>12.9504</v>
      </c>
      <c r="AD7397">
        <v>-1.1020518043480001</v>
      </c>
      <c r="AE7397">
        <v>0.235600000000005</v>
      </c>
      <c r="AF7397">
        <v>5.1142340905554304</v>
      </c>
      <c r="AG7397">
        <v>-1.1020518043480001</v>
      </c>
      <c r="AH7397">
        <v>11.798731505562101</v>
      </c>
      <c r="AI7397">
        <v>94.8982663566713</v>
      </c>
      <c r="AJ7397">
        <v>66.565377503124694</v>
      </c>
      <c r="AK7397">
        <v>12.906586444634</v>
      </c>
      <c r="AL7397">
        <v>81.780394691338799</v>
      </c>
      <c r="AM7397">
        <v>73.603225989360894</v>
      </c>
      <c r="AN7397">
        <v>0.99999997065425905</v>
      </c>
    </row>
    <row r="7398" spans="1:40" x14ac:dyDescent="0.25">
      <c r="A7398" t="str">
        <f>"20190312173109078"</f>
        <v>20190312173109078</v>
      </c>
      <c r="B7398" t="str">
        <f>"1552383069065261"</f>
        <v>1552383069065261</v>
      </c>
      <c r="C7398" t="s">
        <v>40</v>
      </c>
      <c r="D7398">
        <v>3.8404919999999998</v>
      </c>
      <c r="E7398">
        <v>0.54604600000000003</v>
      </c>
      <c r="F7398" t="s">
        <v>41</v>
      </c>
      <c r="G7398">
        <v>-160.63730000000001</v>
      </c>
      <c r="H7398" s="1">
        <v>-5.0618049999999999E-6</v>
      </c>
      <c r="I7398">
        <v>135.92070000000001</v>
      </c>
      <c r="J7398">
        <v>-174.02799999999999</v>
      </c>
      <c r="K7398">
        <v>1.102179</v>
      </c>
      <c r="L7398">
        <v>135.59549999999999</v>
      </c>
      <c r="M7398">
        <v>0.91348929999999995</v>
      </c>
      <c r="N7398">
        <v>0</v>
      </c>
      <c r="O7398">
        <v>0.40657549999999998</v>
      </c>
      <c r="P7398">
        <v>0.98153570000000001</v>
      </c>
      <c r="Q7398">
        <v>0.13371340000000001</v>
      </c>
      <c r="R7398">
        <v>0.13677819999999999</v>
      </c>
      <c r="S7398">
        <v>3.080505</v>
      </c>
      <c r="T7398">
        <v>-0.25049890000000002</v>
      </c>
      <c r="U7398">
        <v>8.8302610000000004E-2</v>
      </c>
      <c r="V7398">
        <v>0.27699839999999998</v>
      </c>
      <c r="W7398">
        <v>0.1428741</v>
      </c>
      <c r="X7398">
        <v>0.9501889</v>
      </c>
      <c r="Y7398">
        <v>0.37775969999999998</v>
      </c>
      <c r="Z7398">
        <v>-4.7541079999999999E-2</v>
      </c>
      <c r="AA7398">
        <v>0.92468229999999996</v>
      </c>
      <c r="AB7398">
        <v>24</v>
      </c>
      <c r="AC7398">
        <v>13.390699999999899</v>
      </c>
      <c r="AD7398">
        <v>-1.1021840618050001</v>
      </c>
      <c r="AE7398">
        <v>0.32520000000002303</v>
      </c>
      <c r="AF7398">
        <v>5.1132440889997</v>
      </c>
      <c r="AG7398">
        <v>-1.1021840618050001</v>
      </c>
      <c r="AH7398">
        <v>12.282759141339101</v>
      </c>
      <c r="AI7398">
        <v>94.735714716632501</v>
      </c>
      <c r="AJ7398">
        <v>67.398310577532698</v>
      </c>
      <c r="AK7398">
        <v>13.350140334241299</v>
      </c>
      <c r="AL7398">
        <v>81.785807936072104</v>
      </c>
      <c r="AM7398">
        <v>73.747577284967406</v>
      </c>
      <c r="AN7398">
        <v>1.00000003386828</v>
      </c>
    </row>
    <row r="7399" spans="1:40" x14ac:dyDescent="0.25">
      <c r="A7399" t="str">
        <f>"20190312173109092"</f>
        <v>20190312173109092</v>
      </c>
      <c r="B7399" t="str">
        <f>"1552383069084781"</f>
        <v>1552383069084781</v>
      </c>
      <c r="C7399" t="s">
        <v>40</v>
      </c>
      <c r="D7399">
        <v>3.7881130000000001</v>
      </c>
      <c r="E7399">
        <v>0.54448969999999997</v>
      </c>
      <c r="F7399" t="s">
        <v>41</v>
      </c>
      <c r="G7399">
        <v>-160.4246</v>
      </c>
      <c r="H7399" s="1">
        <v>-5.157641E-6</v>
      </c>
      <c r="I7399">
        <v>135.94739999999999</v>
      </c>
      <c r="J7399">
        <v>-173.88990000000001</v>
      </c>
      <c r="K7399">
        <v>1.1022879999999999</v>
      </c>
      <c r="L7399">
        <v>135.64840000000001</v>
      </c>
      <c r="M7399">
        <v>0.91635690000000003</v>
      </c>
      <c r="N7399">
        <v>0</v>
      </c>
      <c r="O7399">
        <v>0.40007179999999998</v>
      </c>
      <c r="P7399">
        <v>0.98214120000000005</v>
      </c>
      <c r="Q7399">
        <v>0.1337361</v>
      </c>
      <c r="R7399">
        <v>0.13233879999999901</v>
      </c>
      <c r="S7399">
        <v>3.0793149999999998</v>
      </c>
      <c r="T7399">
        <v>-0.24949299999999999</v>
      </c>
      <c r="U7399">
        <v>7.9666139999999996E-2</v>
      </c>
      <c r="V7399">
        <v>0.27449440000000003</v>
      </c>
      <c r="W7399">
        <v>0.14300199999999999</v>
      </c>
      <c r="X7399">
        <v>0.95089599999999996</v>
      </c>
      <c r="Y7399">
        <v>0.37381160000000002</v>
      </c>
      <c r="Z7399">
        <v>-4.672834E-2</v>
      </c>
      <c r="AA7399">
        <v>0.92632680000000001</v>
      </c>
      <c r="AB7399">
        <v>24</v>
      </c>
      <c r="AC7399">
        <v>13.465299999999999</v>
      </c>
      <c r="AD7399">
        <v>-1.102293157641</v>
      </c>
      <c r="AE7399">
        <v>0.29899999999997801</v>
      </c>
      <c r="AF7399">
        <v>5.0796669794472598</v>
      </c>
      <c r="AG7399">
        <v>-1.102293157641</v>
      </c>
      <c r="AH7399">
        <v>12.3771881784374</v>
      </c>
      <c r="AI7399">
        <v>94.709947834067506</v>
      </c>
      <c r="AJ7399">
        <v>67.686480259420904</v>
      </c>
      <c r="AK7399">
        <v>13.4243381226756</v>
      </c>
      <c r="AL7399">
        <v>81.778403292062393</v>
      </c>
      <c r="AM7399">
        <v>73.898199430298305</v>
      </c>
      <c r="AN7399">
        <v>0.99999997522567896</v>
      </c>
    </row>
    <row r="7400" spans="1:40" x14ac:dyDescent="0.25">
      <c r="A7400" t="str">
        <f>"20190312173109105"</f>
        <v>20190312173109105</v>
      </c>
      <c r="B7400" t="str">
        <f>"1552383069095518"</f>
        <v>1552383069095518</v>
      </c>
      <c r="C7400" t="s">
        <v>40</v>
      </c>
      <c r="D7400">
        <v>3.7566790000000001</v>
      </c>
      <c r="E7400">
        <v>0.54390959999999999</v>
      </c>
      <c r="F7400" t="s">
        <v>41</v>
      </c>
      <c r="G7400">
        <v>-160.38390000000001</v>
      </c>
      <c r="H7400" s="1">
        <v>-5.1689669999999997E-6</v>
      </c>
      <c r="I7400">
        <v>135.99189999999999</v>
      </c>
      <c r="J7400">
        <v>-173.7552</v>
      </c>
      <c r="K7400">
        <v>1.1023959999999999</v>
      </c>
      <c r="L7400">
        <v>135.69929999999999</v>
      </c>
      <c r="M7400">
        <v>0.91908089999999998</v>
      </c>
      <c r="N7400">
        <v>0</v>
      </c>
      <c r="O7400">
        <v>0.39377459999999997</v>
      </c>
      <c r="P7400">
        <v>0.98272150000000003</v>
      </c>
      <c r="Q7400">
        <v>0.13349939999999999</v>
      </c>
      <c r="R7400">
        <v>0.1282045</v>
      </c>
      <c r="S7400">
        <v>3.078217</v>
      </c>
      <c r="T7400">
        <v>-0.25122879999999997</v>
      </c>
      <c r="U7400">
        <v>7.8277589999999994E-2</v>
      </c>
      <c r="V7400">
        <v>0.27193529999999999</v>
      </c>
      <c r="W7400">
        <v>0.14286940000000001</v>
      </c>
      <c r="X7400">
        <v>0.95165089999999997</v>
      </c>
      <c r="Y7400">
        <v>0.36785659999999998</v>
      </c>
      <c r="Z7400">
        <v>-4.6350700000000002E-2</v>
      </c>
      <c r="AA7400">
        <v>0.92872659999999996</v>
      </c>
      <c r="AB7400">
        <v>24</v>
      </c>
      <c r="AC7400">
        <v>13.3712999999999</v>
      </c>
      <c r="AD7400">
        <v>-1.1024011689669999</v>
      </c>
      <c r="AE7400">
        <v>0.29259999999999298</v>
      </c>
      <c r="AF7400">
        <v>4.9632146029577902</v>
      </c>
      <c r="AG7400">
        <v>-1.1024011689669999</v>
      </c>
      <c r="AH7400">
        <v>12.322246143305399</v>
      </c>
      <c r="AI7400">
        <v>94.743854294848902</v>
      </c>
      <c r="AJ7400">
        <v>68.061168731471199</v>
      </c>
      <c r="AK7400">
        <v>13.3299113856229</v>
      </c>
      <c r="AL7400">
        <v>81.786079358184296</v>
      </c>
      <c r="AM7400">
        <v>74.052653533912206</v>
      </c>
      <c r="AN7400">
        <v>0.99999995415662801</v>
      </c>
    </row>
    <row r="7401" spans="1:40" x14ac:dyDescent="0.25">
      <c r="A7401" t="str">
        <f>"20190312173109118"</f>
        <v>20190312173109118</v>
      </c>
      <c r="B7401" t="str">
        <f>"1552383069105278"</f>
        <v>1552383069105278</v>
      </c>
      <c r="C7401" t="s">
        <v>40</v>
      </c>
      <c r="D7401">
        <v>3.8095430000000001</v>
      </c>
      <c r="E7401">
        <v>0.54338589999999998</v>
      </c>
      <c r="F7401" t="s">
        <v>41</v>
      </c>
      <c r="G7401">
        <v>-160.27699999999999</v>
      </c>
      <c r="H7401" s="1">
        <v>-5.2171810000000003E-6</v>
      </c>
      <c r="I7401">
        <v>136.005</v>
      </c>
      <c r="J7401">
        <v>-173.61869999999999</v>
      </c>
      <c r="K7401">
        <v>1.1025149999999999</v>
      </c>
      <c r="L7401">
        <v>135.74969999999999</v>
      </c>
      <c r="M7401">
        <v>0.92174560000000005</v>
      </c>
      <c r="N7401">
        <v>0</v>
      </c>
      <c r="O7401">
        <v>0.38749699999999998</v>
      </c>
      <c r="P7401">
        <v>0.98284510000000003</v>
      </c>
      <c r="Q7401">
        <v>0.13382849999999999</v>
      </c>
      <c r="R7401">
        <v>0.12690670000000001</v>
      </c>
      <c r="S7401">
        <v>3.0778349999999999</v>
      </c>
      <c r="T7401">
        <v>-0.2517412</v>
      </c>
      <c r="U7401">
        <v>6.97937E-2</v>
      </c>
      <c r="V7401">
        <v>0.26663589999999998</v>
      </c>
      <c r="W7401">
        <v>0.1433654</v>
      </c>
      <c r="X7401">
        <v>0.9530748</v>
      </c>
      <c r="Y7401">
        <v>0.3640929</v>
      </c>
      <c r="Z7401">
        <v>-4.5825070000000002E-2</v>
      </c>
      <c r="AA7401">
        <v>0.93023460000000002</v>
      </c>
      <c r="AB7401">
        <v>24</v>
      </c>
      <c r="AC7401">
        <v>13.3416999999999</v>
      </c>
      <c r="AD7401">
        <v>-1.102520217181</v>
      </c>
      <c r="AE7401">
        <v>0.25530000000000502</v>
      </c>
      <c r="AF7401">
        <v>4.9016567441222199</v>
      </c>
      <c r="AG7401">
        <v>-1.102520217181</v>
      </c>
      <c r="AH7401">
        <v>12.313954090221699</v>
      </c>
      <c r="AI7401">
        <v>94.755260917211501</v>
      </c>
      <c r="AJ7401">
        <v>68.294620695878507</v>
      </c>
      <c r="AK7401">
        <v>13.299445665236499</v>
      </c>
      <c r="AL7401">
        <v>81.757365086552795</v>
      </c>
      <c r="AM7401">
        <v>74.370299673990203</v>
      </c>
      <c r="AN7401">
        <v>0.99999995774050399</v>
      </c>
    </row>
    <row r="7402" spans="1:40" x14ac:dyDescent="0.25">
      <c r="A7402" t="str">
        <f>"20190312173109130"</f>
        <v>20190312173109130</v>
      </c>
      <c r="B7402" t="str">
        <f>"1552383069124799"</f>
        <v>1552383069124799</v>
      </c>
      <c r="C7402" t="s">
        <v>40</v>
      </c>
      <c r="D7402">
        <v>3.799461</v>
      </c>
      <c r="E7402">
        <v>0.54232279999999999</v>
      </c>
      <c r="F7402" t="s">
        <v>41</v>
      </c>
      <c r="G7402">
        <v>-160.04580000000001</v>
      </c>
      <c r="H7402" s="1">
        <v>-5.3175990000000003E-6</v>
      </c>
      <c r="I7402">
        <v>136.0549</v>
      </c>
      <c r="J7402">
        <v>-173.4957</v>
      </c>
      <c r="K7402">
        <v>1.102619</v>
      </c>
      <c r="L7402">
        <v>135.79419999999999</v>
      </c>
      <c r="M7402">
        <v>0.92407439999999996</v>
      </c>
      <c r="N7402">
        <v>0</v>
      </c>
      <c r="O7402">
        <v>0.38191130000000001</v>
      </c>
      <c r="P7402">
        <v>0.98325980000000002</v>
      </c>
      <c r="Q7402">
        <v>0.13383680000000001</v>
      </c>
      <c r="R7402">
        <v>0.123645</v>
      </c>
      <c r="S7402">
        <v>3.0774840000000001</v>
      </c>
      <c r="T7402">
        <v>-0.24998429999999999</v>
      </c>
      <c r="U7402">
        <v>6.9213869999999997E-2</v>
      </c>
      <c r="V7402">
        <v>0.26398709999999997</v>
      </c>
      <c r="W7402">
        <v>0.1434735</v>
      </c>
      <c r="X7402">
        <v>0.95379570000000002</v>
      </c>
      <c r="Y7402">
        <v>0.3586954</v>
      </c>
      <c r="Z7402">
        <v>-4.4869770000000003E-2</v>
      </c>
      <c r="AA7402">
        <v>0.93237570000000003</v>
      </c>
      <c r="AB7402">
        <v>24</v>
      </c>
      <c r="AC7402">
        <v>13.4498999999999</v>
      </c>
      <c r="AD7402">
        <v>-1.102624317599</v>
      </c>
      <c r="AE7402">
        <v>0.26070000000001398</v>
      </c>
      <c r="AF7402">
        <v>4.86365129543187</v>
      </c>
      <c r="AG7402">
        <v>-1.102624317599</v>
      </c>
      <c r="AH7402">
        <v>12.4460996203933</v>
      </c>
      <c r="AI7402">
        <v>94.717096117377693</v>
      </c>
      <c r="AJ7402">
        <v>68.655577808938105</v>
      </c>
      <c r="AK7402">
        <v>13.408067723205701</v>
      </c>
      <c r="AL7402">
        <v>81.751107361419599</v>
      </c>
      <c r="AM7402">
        <v>74.529225568664103</v>
      </c>
      <c r="AN7402">
        <v>1.0000000357535701</v>
      </c>
    </row>
    <row r="7403" spans="1:40" x14ac:dyDescent="0.25">
      <c r="A7403" t="str">
        <f>"20190312173109144"</f>
        <v>20190312173109144</v>
      </c>
      <c r="B7403" t="str">
        <f>"1552383069134558"</f>
        <v>1552383069134558</v>
      </c>
      <c r="C7403" t="s">
        <v>40</v>
      </c>
      <c r="D7403">
        <v>3.787312</v>
      </c>
      <c r="E7403">
        <v>0.54194109999999995</v>
      </c>
      <c r="F7403" t="s">
        <v>41</v>
      </c>
      <c r="G7403">
        <v>-159.9444</v>
      </c>
      <c r="H7403" s="1">
        <v>-9.4311430000000001E-7</v>
      </c>
      <c r="I7403">
        <v>136.09039999999999</v>
      </c>
      <c r="J7403">
        <v>-173.3494</v>
      </c>
      <c r="K7403">
        <v>1.102743</v>
      </c>
      <c r="L7403">
        <v>135.84649999999999</v>
      </c>
      <c r="M7403">
        <v>0.92676860000000005</v>
      </c>
      <c r="N7403">
        <v>0</v>
      </c>
      <c r="O7403">
        <v>0.37532759999999998</v>
      </c>
      <c r="P7403">
        <v>0.98382069999999999</v>
      </c>
      <c r="Q7403">
        <v>0.13404050000000001</v>
      </c>
      <c r="R7403">
        <v>0.11887010000000001</v>
      </c>
      <c r="S7403">
        <v>3.0767060000000002</v>
      </c>
      <c r="T7403">
        <v>-0.2503396</v>
      </c>
      <c r="U7403">
        <v>6.7245479999999996E-2</v>
      </c>
      <c r="V7403">
        <v>0.26177689999999998</v>
      </c>
      <c r="W7403">
        <v>0.14377309999999999</v>
      </c>
      <c r="X7403">
        <v>0.95435950000000003</v>
      </c>
      <c r="Y7403">
        <v>0.35267500000000002</v>
      </c>
      <c r="Z7403">
        <v>-4.4200440000000001E-2</v>
      </c>
      <c r="AA7403">
        <v>0.93470140000000002</v>
      </c>
      <c r="AB7403">
        <v>24</v>
      </c>
      <c r="AC7403">
        <v>13.404999999999999</v>
      </c>
      <c r="AD7403">
        <v>-1.1027439431143</v>
      </c>
      <c r="AE7403">
        <v>0.24389999999999601</v>
      </c>
      <c r="AF7403">
        <v>4.7734853425421102</v>
      </c>
      <c r="AG7403">
        <v>-1.1027439431143</v>
      </c>
      <c r="AH7403">
        <v>12.432204977145</v>
      </c>
      <c r="AI7403">
        <v>94.733659947781703</v>
      </c>
      <c r="AJ7403">
        <v>68.995143970000001</v>
      </c>
      <c r="AK7403">
        <v>13.362706578881699</v>
      </c>
      <c r="AL7403">
        <v>81.7337610207978</v>
      </c>
      <c r="AM7403">
        <v>74.661260983094095</v>
      </c>
      <c r="AN7403">
        <v>0.99999995244873296</v>
      </c>
    </row>
    <row r="7404" spans="1:40" x14ac:dyDescent="0.25">
      <c r="A7404" t="str">
        <f>"20190312173109158"</f>
        <v>20190312173109158</v>
      </c>
      <c r="B7404" t="str">
        <f>"1552383069145294"</f>
        <v>1552383069145294</v>
      </c>
      <c r="C7404" t="s">
        <v>40</v>
      </c>
      <c r="D7404">
        <v>3.805612</v>
      </c>
      <c r="E7404">
        <v>0.54152939999999905</v>
      </c>
      <c r="F7404" t="s">
        <v>41</v>
      </c>
      <c r="G7404">
        <v>-159.80340000000001</v>
      </c>
      <c r="H7404" s="1">
        <v>-9.914181999999999E-7</v>
      </c>
      <c r="I7404">
        <v>136.0891</v>
      </c>
      <c r="J7404">
        <v>-173.20249999999999</v>
      </c>
      <c r="K7404">
        <v>1.1028690000000001</v>
      </c>
      <c r="L7404">
        <v>135.89760000000001</v>
      </c>
      <c r="M7404">
        <v>0.92937049999999999</v>
      </c>
      <c r="N7404">
        <v>0</v>
      </c>
      <c r="O7404">
        <v>0.36883880000000002</v>
      </c>
      <c r="P7404">
        <v>0.98432869999999995</v>
      </c>
      <c r="Q7404">
        <v>0.13412079999999901</v>
      </c>
      <c r="R7404">
        <v>0.1144936</v>
      </c>
      <c r="S7404">
        <v>3.076813</v>
      </c>
      <c r="T7404">
        <v>-0.25047530000000001</v>
      </c>
      <c r="U7404">
        <v>5.5114749999999997E-2</v>
      </c>
      <c r="V7404">
        <v>0.25929539999999901</v>
      </c>
      <c r="W7404">
        <v>0.14395479999999899</v>
      </c>
      <c r="X7404">
        <v>0.95500929999999995</v>
      </c>
      <c r="Y7404">
        <v>0.3498465</v>
      </c>
      <c r="Z7404">
        <v>-4.3619680000000001E-2</v>
      </c>
      <c r="AA7404">
        <v>0.93579100000000004</v>
      </c>
      <c r="AB7404">
        <v>24</v>
      </c>
      <c r="AC7404">
        <v>13.399099999999899</v>
      </c>
      <c r="AD7404">
        <v>-1.1028699914182001</v>
      </c>
      <c r="AE7404">
        <v>0.19149999999999001</v>
      </c>
      <c r="AF7404">
        <v>4.7326216195021997</v>
      </c>
      <c r="AG7404">
        <v>-1.1028699914182001</v>
      </c>
      <c r="AH7404">
        <v>12.440526351856899</v>
      </c>
      <c r="AI7404">
        <v>94.736611673274695</v>
      </c>
      <c r="AJ7404">
        <v>69.172197849711495</v>
      </c>
      <c r="AK7404">
        <v>13.3559247348357</v>
      </c>
      <c r="AL7404">
        <v>81.723240721277193</v>
      </c>
      <c r="AM7404">
        <v>74.809771357361299</v>
      </c>
      <c r="AN7404">
        <v>0.99999992599534204</v>
      </c>
    </row>
    <row r="7405" spans="1:40" x14ac:dyDescent="0.25">
      <c r="A7405" t="str">
        <f>"20190312173109171"</f>
        <v>20190312173109171</v>
      </c>
      <c r="B7405" t="str">
        <f>"1552383069164814"</f>
        <v>1552383069164814</v>
      </c>
      <c r="C7405" t="s">
        <v>40</v>
      </c>
      <c r="D7405">
        <v>3.7573859999999999</v>
      </c>
      <c r="E7405">
        <v>0.54076829999999998</v>
      </c>
      <c r="F7405" t="s">
        <v>41</v>
      </c>
      <c r="G7405">
        <v>-159.70009999999999</v>
      </c>
      <c r="H7405" s="1">
        <v>-1.025547E-6</v>
      </c>
      <c r="I7405">
        <v>136.09299999999999</v>
      </c>
      <c r="J7405">
        <v>-173.0712</v>
      </c>
      <c r="K7405">
        <v>1.1029799999999901</v>
      </c>
      <c r="L7405">
        <v>135.94239999999999</v>
      </c>
      <c r="M7405">
        <v>0.93162049999999996</v>
      </c>
      <c r="N7405">
        <v>0</v>
      </c>
      <c r="O7405">
        <v>0.36311949999999998</v>
      </c>
      <c r="P7405">
        <v>0.98474470000000003</v>
      </c>
      <c r="Q7405">
        <v>0.13415279999999999</v>
      </c>
      <c r="R7405">
        <v>0.110818899999999</v>
      </c>
      <c r="S7405">
        <v>3.0768430000000002</v>
      </c>
      <c r="T7405">
        <v>-0.2513146</v>
      </c>
      <c r="U7405">
        <v>4.4540410000000002E-2</v>
      </c>
      <c r="V7405">
        <v>0.2569438</v>
      </c>
      <c r="W7405">
        <v>0.1440784</v>
      </c>
      <c r="X7405">
        <v>0.95562610000000003</v>
      </c>
      <c r="Y7405">
        <v>0.34731679999999998</v>
      </c>
      <c r="Z7405">
        <v>-4.3228379999999997E-2</v>
      </c>
      <c r="AA7405">
        <v>0.93675090000000005</v>
      </c>
      <c r="AB7405">
        <v>24</v>
      </c>
      <c r="AC7405">
        <v>13.3711</v>
      </c>
      <c r="AD7405">
        <v>-1.1029810255469901</v>
      </c>
      <c r="AE7405">
        <v>0.15059999999999699</v>
      </c>
      <c r="AF7405">
        <v>4.6836750236506797</v>
      </c>
      <c r="AG7405">
        <v>-1.1029810255469901</v>
      </c>
      <c r="AH7405">
        <v>12.4283409093025</v>
      </c>
      <c r="AI7405">
        <v>94.747285912143695</v>
      </c>
      <c r="AJ7405">
        <v>69.350861280984006</v>
      </c>
      <c r="AK7405">
        <v>13.3273041770542</v>
      </c>
      <c r="AL7405">
        <v>81.716084745983906</v>
      </c>
      <c r="AM7405">
        <v>74.950529303785402</v>
      </c>
      <c r="AN7405">
        <v>0.99999997235310401</v>
      </c>
    </row>
    <row r="7406" spans="1:40" x14ac:dyDescent="0.25">
      <c r="A7406" t="str">
        <f>"20190312173109185"</f>
        <v>20190312173109185</v>
      </c>
      <c r="B7406" t="str">
        <f>"1552383069174574"</f>
        <v>1552383069174574</v>
      </c>
      <c r="C7406" t="s">
        <v>40</v>
      </c>
      <c r="D7406">
        <v>3.7722760000000002</v>
      </c>
      <c r="E7406">
        <v>0.54047349999999905</v>
      </c>
      <c r="F7406" t="s">
        <v>41</v>
      </c>
      <c r="G7406">
        <v>-159.63669999999999</v>
      </c>
      <c r="H7406" s="1">
        <v>-1.0418799999999901E-6</v>
      </c>
      <c r="I7406">
        <v>136.11269999999999</v>
      </c>
      <c r="J7406">
        <v>-172.92830000000001</v>
      </c>
      <c r="K7406">
        <v>1.1031059999999999</v>
      </c>
      <c r="L7406">
        <v>135.9905</v>
      </c>
      <c r="M7406">
        <v>0.9340041</v>
      </c>
      <c r="N7406">
        <v>0</v>
      </c>
      <c r="O7406">
        <v>0.35694540000000002</v>
      </c>
      <c r="P7406">
        <v>0.98521449999999999</v>
      </c>
      <c r="Q7406">
        <v>0.134000799999999</v>
      </c>
      <c r="R7406">
        <v>0.106753</v>
      </c>
      <c r="S7406">
        <v>3.076492</v>
      </c>
      <c r="T7406">
        <v>-0.25257970000000002</v>
      </c>
      <c r="U7406">
        <v>3.9016719999999998E-2</v>
      </c>
      <c r="V7406">
        <v>0.25451950000000001</v>
      </c>
      <c r="W7406">
        <v>0.14402179999999901</v>
      </c>
      <c r="X7406">
        <v>0.9562832</v>
      </c>
      <c r="Y7406">
        <v>0.34280100000000002</v>
      </c>
      <c r="Z7406">
        <v>-4.27902E-2</v>
      </c>
      <c r="AA7406">
        <v>0.93843299999999996</v>
      </c>
      <c r="AB7406">
        <v>24</v>
      </c>
      <c r="AC7406">
        <v>13.291600000000001</v>
      </c>
      <c r="AD7406">
        <v>-1.10310704188</v>
      </c>
      <c r="AE7406">
        <v>0.122199999999992</v>
      </c>
      <c r="AF7406">
        <v>4.5990892818159601</v>
      </c>
      <c r="AG7406">
        <v>-1.10310704188</v>
      </c>
      <c r="AH7406">
        <v>12.374213673075699</v>
      </c>
      <c r="AI7406">
        <v>94.776587515078702</v>
      </c>
      <c r="AJ7406">
        <v>69.611551140654996</v>
      </c>
      <c r="AK7406">
        <v>13.247249955930201</v>
      </c>
      <c r="AL7406">
        <v>81.719362152497894</v>
      </c>
      <c r="AM7406">
        <v>75.095959416940104</v>
      </c>
      <c r="AN7406">
        <v>1.0000000066788599</v>
      </c>
    </row>
    <row r="7407" spans="1:40" x14ac:dyDescent="0.25">
      <c r="A7407" t="str">
        <f>"20190312173109197"</f>
        <v>20190312173109197</v>
      </c>
      <c r="B7407" t="str">
        <f>"1552383069185310"</f>
        <v>1552383069185310</v>
      </c>
      <c r="C7407" t="s">
        <v>40</v>
      </c>
      <c r="D7407">
        <v>3.7987229999999998</v>
      </c>
      <c r="E7407">
        <v>0.54014059999999997</v>
      </c>
      <c r="F7407" t="s">
        <v>41</v>
      </c>
      <c r="G7407">
        <v>-159.5446</v>
      </c>
      <c r="H7407" s="1">
        <v>-1.0730379999999999E-6</v>
      </c>
      <c r="I7407">
        <v>136.11330000000001</v>
      </c>
      <c r="J7407">
        <v>-172.80770000000001</v>
      </c>
      <c r="K7407">
        <v>1.1032120000000001</v>
      </c>
      <c r="L7407">
        <v>136.0301</v>
      </c>
      <c r="M7407">
        <v>0.93594140000000003</v>
      </c>
      <c r="N7407">
        <v>0</v>
      </c>
      <c r="O7407">
        <v>0.35183550000000002</v>
      </c>
      <c r="P7407">
        <v>0.98520359999999996</v>
      </c>
      <c r="Q7407">
        <v>0.13423759999999901</v>
      </c>
      <c r="R7407">
        <v>0.106556399999999</v>
      </c>
      <c r="S7407">
        <v>3.0764469999999999</v>
      </c>
      <c r="T7407">
        <v>-0.25356630000000002</v>
      </c>
      <c r="U7407">
        <v>2.8244020000000002E-2</v>
      </c>
      <c r="V7407">
        <v>0.24942639999999999</v>
      </c>
      <c r="W7407">
        <v>0.14440210000000001</v>
      </c>
      <c r="X7407">
        <v>0.95756699999999995</v>
      </c>
      <c r="Y7407">
        <v>0.34095930000000002</v>
      </c>
      <c r="Z7407">
        <v>-4.2489029999999997E-2</v>
      </c>
      <c r="AA7407">
        <v>0.93911739999999999</v>
      </c>
      <c r="AB7407">
        <v>24</v>
      </c>
      <c r="AC7407">
        <v>13.2631</v>
      </c>
      <c r="AD7407">
        <v>-1.1032130730380001</v>
      </c>
      <c r="AE7407">
        <v>8.3200000000005006E-2</v>
      </c>
      <c r="AF7407">
        <v>4.5575451371489502</v>
      </c>
      <c r="AG7407">
        <v>-1.1032130730380001</v>
      </c>
      <c r="AH7407">
        <v>12.358656805809799</v>
      </c>
      <c r="AI7407">
        <v>94.787517487139695</v>
      </c>
      <c r="AJ7407">
        <v>69.757362207067303</v>
      </c>
      <c r="AK7407">
        <v>13.218346901389101</v>
      </c>
      <c r="AL7407">
        <v>81.697342565126206</v>
      </c>
      <c r="AM7407">
        <v>75.400062796841596</v>
      </c>
      <c r="AN7407">
        <v>1.0000000274951799</v>
      </c>
    </row>
    <row r="7408" spans="1:40" x14ac:dyDescent="0.25">
      <c r="A7408" t="str">
        <f>"20190312173109210"</f>
        <v>20190312173109210</v>
      </c>
      <c r="B7408" t="str">
        <f>"1552383069204830"</f>
        <v>1552383069204830</v>
      </c>
      <c r="C7408" t="s">
        <v>40</v>
      </c>
      <c r="D7408">
        <v>3.8022390000000001</v>
      </c>
      <c r="E7408">
        <v>0.53946569999999905</v>
      </c>
      <c r="F7408" t="s">
        <v>41</v>
      </c>
      <c r="G7408">
        <v>-159.3897</v>
      </c>
      <c r="H7408" s="1">
        <v>-1.1136429999999999E-6</v>
      </c>
      <c r="I7408">
        <v>136.15889999999999</v>
      </c>
      <c r="J7408">
        <v>-172.66829999999999</v>
      </c>
      <c r="K7408">
        <v>1.1033309999999901</v>
      </c>
      <c r="L7408">
        <v>136.0752</v>
      </c>
      <c r="M7408">
        <v>0.93811920000000004</v>
      </c>
      <c r="N7408">
        <v>0</v>
      </c>
      <c r="O7408">
        <v>0.34598800000000002</v>
      </c>
      <c r="P7408">
        <v>0.98557660000000002</v>
      </c>
      <c r="Q7408">
        <v>0.13430790000000001</v>
      </c>
      <c r="R7408">
        <v>0.10295749999999999</v>
      </c>
      <c r="S7408">
        <v>3.0763400000000001</v>
      </c>
      <c r="T7408">
        <v>-0.2529322</v>
      </c>
      <c r="U7408">
        <v>2.9541020000000001E-2</v>
      </c>
      <c r="V7408">
        <v>0.24689759999999999</v>
      </c>
      <c r="W7408">
        <v>0.1445649</v>
      </c>
      <c r="X7408">
        <v>0.95819750000000004</v>
      </c>
      <c r="Y7408">
        <v>0.33474419999999999</v>
      </c>
      <c r="Z7408">
        <v>-4.1673759999999997E-2</v>
      </c>
      <c r="AA7408">
        <v>0.94138710000000003</v>
      </c>
      <c r="AB7408">
        <v>24</v>
      </c>
      <c r="AC7408">
        <v>13.2785999999999</v>
      </c>
      <c r="AD7408">
        <v>-1.1033321136430001</v>
      </c>
      <c r="AE7408">
        <v>8.3699999999993197E-2</v>
      </c>
      <c r="AF7408">
        <v>4.4852575410655202</v>
      </c>
      <c r="AG7408">
        <v>-1.1033321136430001</v>
      </c>
      <c r="AH7408">
        <v>12.4016526248839</v>
      </c>
      <c r="AI7408">
        <v>94.782398392528705</v>
      </c>
      <c r="AJ7408">
        <v>70.116659495624205</v>
      </c>
      <c r="AK7408">
        <v>13.2338907654163</v>
      </c>
      <c r="AL7408">
        <v>81.687915185640406</v>
      </c>
      <c r="AM7408">
        <v>75.550965126294699</v>
      </c>
      <c r="AN7408">
        <v>0.99999994210200804</v>
      </c>
    </row>
    <row r="7409" spans="1:40" x14ac:dyDescent="0.25">
      <c r="A7409" t="str">
        <f>"20190312173109232"</f>
        <v>20190312173109232</v>
      </c>
      <c r="B7409" t="str">
        <f>"1552383069225326"</f>
        <v>1552383069225326</v>
      </c>
      <c r="C7409" t="s">
        <v>40</v>
      </c>
      <c r="D7409">
        <v>3.8048190000000002</v>
      </c>
      <c r="E7409">
        <v>0.5391629</v>
      </c>
      <c r="F7409" t="s">
        <v>41</v>
      </c>
      <c r="G7409">
        <v>-159.24289999999999</v>
      </c>
      <c r="H7409" s="1">
        <v>-1.1589879999999999E-6</v>
      </c>
      <c r="I7409">
        <v>136.17619999999999</v>
      </c>
      <c r="J7409">
        <v>-172.4487</v>
      </c>
      <c r="K7409">
        <v>1.1035219999999999</v>
      </c>
      <c r="L7409">
        <v>136.14449999999999</v>
      </c>
      <c r="M7409">
        <v>0.94140429999999997</v>
      </c>
      <c r="N7409">
        <v>0</v>
      </c>
      <c r="O7409">
        <v>0.33694960000000002</v>
      </c>
      <c r="P7409">
        <v>0.98585829999999997</v>
      </c>
      <c r="Q7409">
        <v>0.13491110000000001</v>
      </c>
      <c r="R7409">
        <v>9.9410999999999999E-2</v>
      </c>
      <c r="S7409">
        <v>3.0759280000000002</v>
      </c>
      <c r="T7409">
        <v>-0.2527876</v>
      </c>
      <c r="U7409">
        <v>2.3147580000000001E-2</v>
      </c>
      <c r="V7409">
        <v>0.24102979999999999</v>
      </c>
      <c r="W7409">
        <v>0.1453467</v>
      </c>
      <c r="X7409">
        <v>0.95957230000000004</v>
      </c>
      <c r="Y7409">
        <v>0.32768760000000002</v>
      </c>
      <c r="Z7409">
        <v>-4.0663850000000001E-2</v>
      </c>
      <c r="AA7409">
        <v>0.94391069999999999</v>
      </c>
      <c r="AB7409">
        <v>24</v>
      </c>
      <c r="AC7409">
        <v>13.2058</v>
      </c>
      <c r="AD7409">
        <v>-1.1035231589879999</v>
      </c>
      <c r="AE7409">
        <v>3.17000000000007E-2</v>
      </c>
      <c r="AF7409">
        <v>4.3896868084407803</v>
      </c>
      <c r="AG7409">
        <v>-1.1035231589879999</v>
      </c>
      <c r="AH7409">
        <v>12.357773114422599</v>
      </c>
      <c r="AI7409">
        <v>94.809924696995395</v>
      </c>
      <c r="AJ7409">
        <v>70.444114406544998</v>
      </c>
      <c r="AK7409">
        <v>13.1606105476215</v>
      </c>
      <c r="AL7409">
        <v>81.642643783754906</v>
      </c>
      <c r="AM7409">
        <v>75.899893403943395</v>
      </c>
      <c r="AN7409">
        <v>1.0000000133081099</v>
      </c>
    </row>
    <row r="7410" spans="1:40" x14ac:dyDescent="0.25">
      <c r="A7410" t="str">
        <f>"20190312173109246"</f>
        <v>20190312173109246</v>
      </c>
      <c r="B7410" t="str">
        <f>"1552383069235086"</f>
        <v>1552383069235086</v>
      </c>
      <c r="C7410" t="s">
        <v>40</v>
      </c>
      <c r="D7410">
        <v>3.9811459999999999</v>
      </c>
      <c r="E7410">
        <v>0.53205499999999994</v>
      </c>
      <c r="F7410" t="s">
        <v>41</v>
      </c>
      <c r="G7410">
        <v>-158.90119999999999</v>
      </c>
      <c r="H7410" s="1">
        <v>-1.2680200000000001E-6</v>
      </c>
      <c r="I7410">
        <v>136.20349999999999</v>
      </c>
      <c r="J7410">
        <v>-172.29130000000001</v>
      </c>
      <c r="K7410">
        <v>1.1036570000000001</v>
      </c>
      <c r="L7410">
        <v>136.19299999999899</v>
      </c>
      <c r="M7410">
        <v>0.94365909999999997</v>
      </c>
      <c r="N7410">
        <v>0</v>
      </c>
      <c r="O7410">
        <v>0.33058330000000002</v>
      </c>
      <c r="P7410">
        <v>0.9861567</v>
      </c>
      <c r="Q7410">
        <v>0.13549700000000001</v>
      </c>
      <c r="R7410">
        <v>9.5580120000000005E-2</v>
      </c>
      <c r="S7410">
        <v>3.075974</v>
      </c>
      <c r="T7410">
        <v>-0.25055529999999998</v>
      </c>
      <c r="U7410">
        <v>1.339722E-2</v>
      </c>
      <c r="V7410">
        <v>0.2382059</v>
      </c>
      <c r="W7410">
        <v>0.1460293</v>
      </c>
      <c r="X7410">
        <v>0.96017359999999896</v>
      </c>
      <c r="Y7410">
        <v>0.32436979999999999</v>
      </c>
      <c r="Z7410">
        <v>-3.9680790000000001E-2</v>
      </c>
      <c r="AA7410">
        <v>0.94509770000000004</v>
      </c>
      <c r="AB7410">
        <v>24</v>
      </c>
      <c r="AC7410">
        <v>13.3901</v>
      </c>
      <c r="AD7410">
        <v>-1.10365826801999</v>
      </c>
      <c r="AE7410">
        <v>1.05000000000075E-2</v>
      </c>
      <c r="AF7410">
        <v>4.3873199706082602</v>
      </c>
      <c r="AG7410">
        <v>-1.10365826801999</v>
      </c>
      <c r="AH7410">
        <v>12.555269442009999</v>
      </c>
      <c r="AI7410">
        <v>94.743728573738906</v>
      </c>
      <c r="AJ7410">
        <v>70.738515946653607</v>
      </c>
      <c r="AK7410">
        <v>13.345464729957399</v>
      </c>
      <c r="AL7410">
        <v>81.603111575750603</v>
      </c>
      <c r="AM7410">
        <v>76.067000909882594</v>
      </c>
      <c r="AN7410">
        <v>0.99999997469512902</v>
      </c>
    </row>
    <row r="7411" spans="1:40" x14ac:dyDescent="0.25">
      <c r="A7411" t="str">
        <f>"20190312173109265"</f>
        <v>20190312173109265</v>
      </c>
      <c r="B7411" t="str">
        <f>"1552383069254607"</f>
        <v>1552383069254607</v>
      </c>
      <c r="C7411" t="s">
        <v>40</v>
      </c>
      <c r="D7411">
        <v>3.7932419999999998</v>
      </c>
      <c r="E7411">
        <v>0.53204790000000002</v>
      </c>
      <c r="F7411" t="s">
        <v>41</v>
      </c>
      <c r="G7411">
        <v>-158.88650000000001</v>
      </c>
      <c r="H7411" s="1">
        <v>-1.209223E-6</v>
      </c>
      <c r="I7411">
        <v>136.44329999999999</v>
      </c>
      <c r="J7411">
        <v>-172.0951</v>
      </c>
      <c r="K7411">
        <v>1.1038250000000001</v>
      </c>
      <c r="L7411">
        <v>136.25190000000001</v>
      </c>
      <c r="M7411">
        <v>0.94635029999999998</v>
      </c>
      <c r="N7411">
        <v>0</v>
      </c>
      <c r="O7411">
        <v>0.3228007</v>
      </c>
      <c r="P7411">
        <v>0.9861394</v>
      </c>
      <c r="Q7411">
        <v>0.13667899999999999</v>
      </c>
      <c r="R7411">
        <v>9.4063450000000007E-2</v>
      </c>
      <c r="S7411">
        <v>3.0713349999999999</v>
      </c>
      <c r="T7411">
        <v>-0.2528706</v>
      </c>
      <c r="U7411">
        <v>5.7357789999999999E-2</v>
      </c>
      <c r="V7411">
        <v>0.2316657</v>
      </c>
      <c r="W7411">
        <v>0.1473835</v>
      </c>
      <c r="X7411">
        <v>0.96156600000000003</v>
      </c>
      <c r="Y7411">
        <v>0.30302430000000002</v>
      </c>
      <c r="Z7411">
        <v>-3.8599479999999999E-2</v>
      </c>
      <c r="AA7411">
        <v>0.95220079999999996</v>
      </c>
      <c r="AB7411">
        <v>24</v>
      </c>
      <c r="AC7411">
        <v>13.208599999999899</v>
      </c>
      <c r="AD7411">
        <v>-1.103826209223</v>
      </c>
      <c r="AE7411">
        <v>0.191399999999987</v>
      </c>
      <c r="AF7411">
        <v>4.0547533272201601</v>
      </c>
      <c r="AG7411">
        <v>-1.103826209223</v>
      </c>
      <c r="AH7411">
        <v>12.476022823693301</v>
      </c>
      <c r="AI7411">
        <v>94.809732887019194</v>
      </c>
      <c r="AJ7411">
        <v>71.995647698385696</v>
      </c>
      <c r="AK7411">
        <v>13.164748472419999</v>
      </c>
      <c r="AL7411">
        <v>81.524673416233895</v>
      </c>
      <c r="AM7411">
        <v>76.4541419401816</v>
      </c>
      <c r="AN7411">
        <v>1.0000000324923599</v>
      </c>
    </row>
    <row r="7412" spans="1:40" x14ac:dyDescent="0.25">
      <c r="A7412" t="str">
        <f>"20190312173109279"</f>
        <v>20190312173109279</v>
      </c>
      <c r="B7412" t="str">
        <f>"1552383069265341"</f>
        <v>1552383069265341</v>
      </c>
      <c r="C7412" t="s">
        <v>40</v>
      </c>
      <c r="D7412">
        <v>3.8110919999999999</v>
      </c>
      <c r="E7412">
        <v>0.53189240000000004</v>
      </c>
      <c r="F7412" t="s">
        <v>41</v>
      </c>
      <c r="G7412">
        <v>-158.5718</v>
      </c>
      <c r="H7412" s="1">
        <v>-1.306894E-6</v>
      </c>
      <c r="I7412">
        <v>136.4787</v>
      </c>
      <c r="J7412">
        <v>-171.94569999999999</v>
      </c>
      <c r="K7412">
        <v>1.1039509999999999</v>
      </c>
      <c r="L7412">
        <v>136.29570000000001</v>
      </c>
      <c r="M7412">
        <v>0.94831319999999997</v>
      </c>
      <c r="N7412">
        <v>0</v>
      </c>
      <c r="O7412">
        <v>0.31698969999999999</v>
      </c>
      <c r="P7412">
        <v>0.98625790000000002</v>
      </c>
      <c r="Q7412">
        <v>0.13755510000000001</v>
      </c>
      <c r="R7412">
        <v>9.1510419999999995E-2</v>
      </c>
      <c r="S7412">
        <v>3.0720209999999999</v>
      </c>
      <c r="T7412">
        <v>-0.25074970000000002</v>
      </c>
      <c r="U7412">
        <v>5.1513669999999998E-2</v>
      </c>
      <c r="V7412">
        <v>0.2281802</v>
      </c>
      <c r="W7412">
        <v>0.1483573</v>
      </c>
      <c r="X7412">
        <v>0.96224940000000003</v>
      </c>
      <c r="Y7412">
        <v>0.29906080000000002</v>
      </c>
      <c r="Z7412">
        <v>-3.7656460000000003E-2</v>
      </c>
      <c r="AA7412">
        <v>0.95349070000000002</v>
      </c>
      <c r="AB7412">
        <v>24</v>
      </c>
      <c r="AC7412">
        <v>13.3738999999999</v>
      </c>
      <c r="AD7412">
        <v>-1.103952306894</v>
      </c>
      <c r="AE7412">
        <v>0.182999999999992</v>
      </c>
      <c r="AF7412">
        <v>4.0387797711580902</v>
      </c>
      <c r="AG7412">
        <v>-1.103952306894</v>
      </c>
      <c r="AH7412">
        <v>12.6558369797735</v>
      </c>
      <c r="AI7412">
        <v>94.750355240366801</v>
      </c>
      <c r="AJ7412">
        <v>72.300875250145296</v>
      </c>
      <c r="AK7412">
        <v>13.330441192789401</v>
      </c>
      <c r="AL7412">
        <v>81.468258323697299</v>
      </c>
      <c r="AM7412">
        <v>76.659737994755702</v>
      </c>
      <c r="AN7412">
        <v>0.99999999996784406</v>
      </c>
    </row>
    <row r="7413" spans="1:40" x14ac:dyDescent="0.25">
      <c r="A7413" t="str">
        <f>"20190312173109293"</f>
        <v>20190312173109293</v>
      </c>
      <c r="B7413" t="str">
        <f>"1552383069284862"</f>
        <v>1552383069284862</v>
      </c>
      <c r="C7413" t="s">
        <v>40</v>
      </c>
      <c r="D7413">
        <v>3.8285969999999998</v>
      </c>
      <c r="E7413">
        <v>0.531502699999999</v>
      </c>
      <c r="F7413" t="s">
        <v>41</v>
      </c>
      <c r="G7413">
        <v>-158.25479999999999</v>
      </c>
      <c r="H7413" s="1">
        <v>-1.411064E-6</v>
      </c>
      <c r="I7413">
        <v>136.49250000000001</v>
      </c>
      <c r="J7413">
        <v>-171.8006</v>
      </c>
      <c r="K7413">
        <v>1.1040700000000001</v>
      </c>
      <c r="L7413">
        <v>136.3372</v>
      </c>
      <c r="M7413">
        <v>0.95015280000000002</v>
      </c>
      <c r="N7413">
        <v>0</v>
      </c>
      <c r="O7413">
        <v>0.31143330000000002</v>
      </c>
      <c r="P7413">
        <v>0.98629180000000005</v>
      </c>
      <c r="Q7413">
        <v>0.13867860000000001</v>
      </c>
      <c r="R7413">
        <v>8.9425850000000001E-2</v>
      </c>
      <c r="S7413">
        <v>3.0722659999999999</v>
      </c>
      <c r="T7413">
        <v>-0.2477297</v>
      </c>
      <c r="U7413">
        <v>4.4189449999999998E-2</v>
      </c>
      <c r="V7413">
        <v>0.22450020000000001</v>
      </c>
      <c r="W7413">
        <v>0.14957719999999999</v>
      </c>
      <c r="X7413">
        <v>0.9629259</v>
      </c>
      <c r="Y7413">
        <v>0.29582609999999998</v>
      </c>
      <c r="Z7413">
        <v>-3.6645610000000002E-2</v>
      </c>
      <c r="AA7413">
        <v>0.95453860000000001</v>
      </c>
      <c r="AB7413">
        <v>24</v>
      </c>
      <c r="AC7413">
        <v>13.5458</v>
      </c>
      <c r="AD7413">
        <v>-1.104071411064</v>
      </c>
      <c r="AE7413">
        <v>0.15530000000001101</v>
      </c>
      <c r="AF7413">
        <v>4.0446339736111501</v>
      </c>
      <c r="AG7413">
        <v>-1.104071411064</v>
      </c>
      <c r="AH7413">
        <v>12.8351035025218</v>
      </c>
      <c r="AI7413">
        <v>94.690188058272298</v>
      </c>
      <c r="AJ7413">
        <v>72.509171208143798</v>
      </c>
      <c r="AK7413">
        <v>13.5025153057371</v>
      </c>
      <c r="AL7413">
        <v>81.397574376033305</v>
      </c>
      <c r="AM7413">
        <v>76.876277070170303</v>
      </c>
      <c r="AN7413">
        <v>0.99999998372534404</v>
      </c>
    </row>
    <row r="7414" spans="1:40" x14ac:dyDescent="0.25">
      <c r="A7414" t="str">
        <f>"20190312173109306"</f>
        <v>20190312173109306</v>
      </c>
      <c r="B7414" t="str">
        <f>"1552383069294622"</f>
        <v>1552383069294622</v>
      </c>
      <c r="C7414" t="s">
        <v>40</v>
      </c>
      <c r="D7414">
        <v>3.9847199999999998</v>
      </c>
      <c r="E7414">
        <v>0.53125900000000004</v>
      </c>
      <c r="F7414" t="s">
        <v>41</v>
      </c>
      <c r="G7414">
        <v>-158.04689999999999</v>
      </c>
      <c r="H7414" s="1">
        <v>-1.475076E-6</v>
      </c>
      <c r="I7414">
        <v>136.5179</v>
      </c>
      <c r="J7414">
        <v>-171.65960000000001</v>
      </c>
      <c r="K7414">
        <v>1.1041920000000001</v>
      </c>
      <c r="L7414">
        <v>136.37710000000001</v>
      </c>
      <c r="M7414">
        <v>0.95188620000000002</v>
      </c>
      <c r="N7414">
        <v>0</v>
      </c>
      <c r="O7414">
        <v>0.30609560000000002</v>
      </c>
      <c r="P7414">
        <v>0.9862031</v>
      </c>
      <c r="Q7414">
        <v>0.14033099999999901</v>
      </c>
      <c r="R7414">
        <v>8.7812680000000004E-2</v>
      </c>
      <c r="S7414">
        <v>3.0727229999999999</v>
      </c>
      <c r="T7414">
        <v>-0.24666009999999999</v>
      </c>
      <c r="U7414">
        <v>4.0374760000000003E-2</v>
      </c>
      <c r="V7414">
        <v>0.22057389999999999</v>
      </c>
      <c r="W7414">
        <v>0.1513275</v>
      </c>
      <c r="X7414">
        <v>0.96355959999999996</v>
      </c>
      <c r="Y7414">
        <v>0.29169820000000002</v>
      </c>
      <c r="Z7414">
        <v>-3.5907849999999998E-2</v>
      </c>
      <c r="AA7414">
        <v>0.95583620000000002</v>
      </c>
      <c r="AB7414">
        <v>24</v>
      </c>
      <c r="AC7414">
        <v>13.6127</v>
      </c>
      <c r="AD7414">
        <v>-1.1041934750759901</v>
      </c>
      <c r="AE7414">
        <v>0.14079999999998399</v>
      </c>
      <c r="AF7414">
        <v>4.0068412017341597</v>
      </c>
      <c r="AG7414">
        <v>-1.1041934750759901</v>
      </c>
      <c r="AH7414">
        <v>12.917275937319999</v>
      </c>
      <c r="AI7414">
        <v>94.667517411796993</v>
      </c>
      <c r="AJ7414">
        <v>72.766505619561002</v>
      </c>
      <c r="AK7414">
        <v>13.569452357673899</v>
      </c>
      <c r="AL7414">
        <v>81.296134867404604</v>
      </c>
      <c r="AM7414">
        <v>77.106255070149999</v>
      </c>
      <c r="AN7414">
        <v>0.99999998018480896</v>
      </c>
    </row>
    <row r="7415" spans="1:40" x14ac:dyDescent="0.25">
      <c r="A7415" t="str">
        <f>"20190312173109319"</f>
        <v>20190312173109319</v>
      </c>
      <c r="B7415" t="str">
        <f>"1552383069315118"</f>
        <v>1552383069315118</v>
      </c>
      <c r="C7415" t="s">
        <v>40</v>
      </c>
      <c r="D7415">
        <v>3.8378709999999998</v>
      </c>
      <c r="E7415">
        <v>0.5308235</v>
      </c>
      <c r="F7415" t="s">
        <v>41</v>
      </c>
      <c r="G7415">
        <v>-157.63679999999999</v>
      </c>
      <c r="H7415" s="1">
        <v>-1.60772699999999E-6</v>
      </c>
      <c r="I7415">
        <v>136.54390000000001</v>
      </c>
      <c r="J7415">
        <v>-171.51589999999999</v>
      </c>
      <c r="K7415">
        <v>1.1043190000000001</v>
      </c>
      <c r="L7415">
        <v>136.41669999999999</v>
      </c>
      <c r="M7415">
        <v>0.95358469999999995</v>
      </c>
      <c r="N7415">
        <v>0</v>
      </c>
      <c r="O7415">
        <v>0.30076419999999998</v>
      </c>
      <c r="P7415">
        <v>0.98594440000000005</v>
      </c>
      <c r="Q7415">
        <v>0.14092789999999999</v>
      </c>
      <c r="R7415">
        <v>8.9739189999999996E-2</v>
      </c>
      <c r="S7415">
        <v>3.0731510000000002</v>
      </c>
      <c r="T7415">
        <v>-0.2419866</v>
      </c>
      <c r="U7415">
        <v>3.6575320000000001E-2</v>
      </c>
      <c r="V7415">
        <v>0.21321850000000001</v>
      </c>
      <c r="W7415">
        <v>0.15208579999999999</v>
      </c>
      <c r="X7415">
        <v>0.96509469999999997</v>
      </c>
      <c r="Y7415">
        <v>0.28762860000000001</v>
      </c>
      <c r="Z7415">
        <v>-3.4663069999999997E-2</v>
      </c>
      <c r="AA7415">
        <v>0.95711460000000004</v>
      </c>
      <c r="AB7415">
        <v>24</v>
      </c>
      <c r="AC7415">
        <v>13.8790999999999</v>
      </c>
      <c r="AD7415">
        <v>-1.104320607727</v>
      </c>
      <c r="AE7415">
        <v>0.12720000000001599</v>
      </c>
      <c r="AF7415">
        <v>4.0279817534745499</v>
      </c>
      <c r="AG7415">
        <v>-1.104320607727</v>
      </c>
      <c r="AH7415">
        <v>13.191090853874799</v>
      </c>
      <c r="AI7415">
        <v>94.577763668324295</v>
      </c>
      <c r="AJ7415">
        <v>73.019622662636905</v>
      </c>
      <c r="AK7415">
        <v>13.836511082138999</v>
      </c>
      <c r="AL7415">
        <v>81.2521788794419</v>
      </c>
      <c r="AM7415">
        <v>77.541759023048698</v>
      </c>
      <c r="AN7415">
        <v>0.99999999963598996</v>
      </c>
    </row>
    <row r="7416" spans="1:40" x14ac:dyDescent="0.25">
      <c r="A7416" t="str">
        <f>"20190312173109333"</f>
        <v>20190312173109333</v>
      </c>
      <c r="B7416" t="str">
        <f>"1552383069324878"</f>
        <v>1552383069324878</v>
      </c>
      <c r="C7416" t="s">
        <v>40</v>
      </c>
      <c r="D7416">
        <v>3.829253</v>
      </c>
      <c r="E7416">
        <v>0.53071040000000003</v>
      </c>
      <c r="F7416" t="s">
        <v>41</v>
      </c>
      <c r="G7416">
        <v>-157.45189999999999</v>
      </c>
      <c r="H7416" s="1">
        <v>-1.65051E-6</v>
      </c>
      <c r="I7416">
        <v>136.61959999999999</v>
      </c>
      <c r="J7416">
        <v>-171.37719999999999</v>
      </c>
      <c r="K7416">
        <v>1.1044350000000001</v>
      </c>
      <c r="L7416">
        <v>136.45429999999999</v>
      </c>
      <c r="M7416">
        <v>0.95516279999999998</v>
      </c>
      <c r="N7416">
        <v>0</v>
      </c>
      <c r="O7416">
        <v>0.29571560000000002</v>
      </c>
      <c r="P7416">
        <v>0.9861453</v>
      </c>
      <c r="Q7416">
        <v>0.14047809999999999</v>
      </c>
      <c r="R7416">
        <v>8.8222789999999995E-2</v>
      </c>
      <c r="S7416">
        <v>3.073242</v>
      </c>
      <c r="T7416">
        <v>-0.2413131</v>
      </c>
      <c r="U7416">
        <v>4.4326780000000003E-2</v>
      </c>
      <c r="V7416">
        <v>0.20955840000000001</v>
      </c>
      <c r="W7416">
        <v>0.15173049999999999</v>
      </c>
      <c r="X7416">
        <v>0.96595189999999997</v>
      </c>
      <c r="Y7416">
        <v>0.28019050000000001</v>
      </c>
      <c r="Z7416">
        <v>-3.3890379999999998E-2</v>
      </c>
      <c r="AA7416">
        <v>0.95934600000000003</v>
      </c>
      <c r="AB7416">
        <v>24</v>
      </c>
      <c r="AC7416">
        <v>13.925299999999901</v>
      </c>
      <c r="AD7416">
        <v>-1.1044366505100001</v>
      </c>
      <c r="AE7416">
        <v>0.165300000000001</v>
      </c>
      <c r="AF7416">
        <v>3.9357149951592998</v>
      </c>
      <c r="AG7416">
        <v>-1.1044366505100001</v>
      </c>
      <c r="AH7416">
        <v>13.267807456381799</v>
      </c>
      <c r="AI7416">
        <v>94.562803385805594</v>
      </c>
      <c r="AJ7416">
        <v>73.477725042220797</v>
      </c>
      <c r="AK7416">
        <v>13.8832398069663</v>
      </c>
      <c r="AL7416">
        <v>81.272774839732094</v>
      </c>
      <c r="AM7416">
        <v>77.759647926081499</v>
      </c>
      <c r="AN7416">
        <v>0.999999970377209</v>
      </c>
    </row>
    <row r="7417" spans="1:40" x14ac:dyDescent="0.25">
      <c r="A7417" t="str">
        <f>"20190312173109348"</f>
        <v>20190312173109348</v>
      </c>
      <c r="B7417" t="str">
        <f>"1552383069334639"</f>
        <v>1552383069334639</v>
      </c>
      <c r="C7417" t="s">
        <v>40</v>
      </c>
      <c r="D7417">
        <v>3.8228840000000002</v>
      </c>
      <c r="E7417">
        <v>0.53071040000000003</v>
      </c>
      <c r="F7417" t="s">
        <v>41</v>
      </c>
      <c r="G7417">
        <v>-157.47239999999999</v>
      </c>
      <c r="H7417" s="1">
        <v>-1.639846E-6</v>
      </c>
      <c r="I7417">
        <v>136.63339999999999</v>
      </c>
      <c r="J7417">
        <v>-171.22720000000001</v>
      </c>
      <c r="K7417">
        <v>1.104565</v>
      </c>
      <c r="L7417">
        <v>136.49420000000001</v>
      </c>
      <c r="M7417">
        <v>0.95681210000000005</v>
      </c>
      <c r="N7417">
        <v>0</v>
      </c>
      <c r="O7417">
        <v>0.29033639999999999</v>
      </c>
      <c r="P7417">
        <v>0.98625609999999997</v>
      </c>
      <c r="Q7417">
        <v>0.14095379999999999</v>
      </c>
      <c r="R7417">
        <v>8.6204719999999999E-2</v>
      </c>
      <c r="S7417">
        <v>3.0733799999999998</v>
      </c>
      <c r="T7417">
        <v>-0.24411359999999999</v>
      </c>
      <c r="U7417">
        <v>3.9611819999999999E-2</v>
      </c>
      <c r="V7417">
        <v>0.2060302</v>
      </c>
      <c r="W7417">
        <v>0.1522993</v>
      </c>
      <c r="X7417">
        <v>0.96662119999999996</v>
      </c>
      <c r="Y7417">
        <v>0.27624880000000002</v>
      </c>
      <c r="Z7417">
        <v>-3.3714910000000001E-2</v>
      </c>
      <c r="AA7417">
        <v>0.96049459999999998</v>
      </c>
      <c r="AB7417">
        <v>24</v>
      </c>
      <c r="AC7417">
        <v>13.754799999999999</v>
      </c>
      <c r="AD7417">
        <v>-1.1045666398459999</v>
      </c>
      <c r="AE7417">
        <v>0.139199999999988</v>
      </c>
      <c r="AF7417">
        <v>3.8360117240743699</v>
      </c>
      <c r="AG7417">
        <v>-1.1045666398459999</v>
      </c>
      <c r="AH7417">
        <v>13.118009712608799</v>
      </c>
      <c r="AI7417">
        <v>94.620474177987106</v>
      </c>
      <c r="AJ7417">
        <v>73.6998501756091</v>
      </c>
      <c r="AK7417">
        <v>13.7119375811442</v>
      </c>
      <c r="AL7417">
        <v>81.239802338544195</v>
      </c>
      <c r="AM7417">
        <v>77.967761869544205</v>
      </c>
      <c r="AN7417">
        <v>1.0000000321909801</v>
      </c>
    </row>
    <row r="7418" spans="1:40" x14ac:dyDescent="0.25">
      <c r="A7418" t="str">
        <f>"20190312173109363"</f>
        <v>20190312173109363</v>
      </c>
      <c r="B7418" t="str">
        <f>"1552383069355134"</f>
        <v>1552383069355134</v>
      </c>
      <c r="C7418" t="s">
        <v>40</v>
      </c>
      <c r="D7418">
        <v>3.864233</v>
      </c>
      <c r="E7418">
        <v>0.5305493</v>
      </c>
      <c r="F7418" t="s">
        <v>41</v>
      </c>
      <c r="G7418">
        <v>-157.21960000000001</v>
      </c>
      <c r="H7418" s="1">
        <v>-1.7233070000000001E-6</v>
      </c>
      <c r="I7418">
        <v>136.6431</v>
      </c>
      <c r="J7418">
        <v>-171.0626</v>
      </c>
      <c r="K7418">
        <v>1.1047199999999999</v>
      </c>
      <c r="L7418">
        <v>136.53720000000001</v>
      </c>
      <c r="M7418">
        <v>0.95854890000000004</v>
      </c>
      <c r="N7418">
        <v>0</v>
      </c>
      <c r="O7418">
        <v>0.28455180000000002</v>
      </c>
      <c r="P7418">
        <v>0.98628479999999996</v>
      </c>
      <c r="Q7418">
        <v>0.14222099999999999</v>
      </c>
      <c r="R7418">
        <v>8.3760249999999994E-2</v>
      </c>
      <c r="S7418">
        <v>3.0735929999999998</v>
      </c>
      <c r="T7418">
        <v>-0.24236750000000001</v>
      </c>
      <c r="U7418">
        <v>3.2669070000000001E-2</v>
      </c>
      <c r="V7418">
        <v>0.20248910000000001</v>
      </c>
      <c r="W7418">
        <v>0.1536621</v>
      </c>
      <c r="X7418">
        <v>0.96715359999999995</v>
      </c>
      <c r="Y7418">
        <v>0.27266780000000002</v>
      </c>
      <c r="Z7418">
        <v>-3.289359E-2</v>
      </c>
      <c r="AA7418">
        <v>0.96154580000000001</v>
      </c>
      <c r="AB7418">
        <v>24</v>
      </c>
      <c r="AC7418">
        <v>13.8429999999999</v>
      </c>
      <c r="AD7418">
        <v>-1.1047217233069999</v>
      </c>
      <c r="AE7418">
        <v>0.105899999999991</v>
      </c>
      <c r="AF7418">
        <v>3.8136650946853798</v>
      </c>
      <c r="AG7418">
        <v>-1.1047217233069999</v>
      </c>
      <c r="AH7418">
        <v>13.2165850882624</v>
      </c>
      <c r="AI7418">
        <v>94.591540793728797</v>
      </c>
      <c r="AJ7418">
        <v>73.904426731116502</v>
      </c>
      <c r="AK7418">
        <v>13.800093221991199</v>
      </c>
      <c r="AL7418">
        <v>81.160789147693706</v>
      </c>
      <c r="AM7418">
        <v>78.1750154426975</v>
      </c>
      <c r="AN7418">
        <v>0.99999998129408896</v>
      </c>
    </row>
    <row r="7419" spans="1:40" x14ac:dyDescent="0.25">
      <c r="A7419" t="str">
        <f>"20190312173109377"</f>
        <v>20190312173109377</v>
      </c>
      <c r="B7419" t="str">
        <f>"1552383069364894"</f>
        <v>1552383069364894</v>
      </c>
      <c r="C7419" t="s">
        <v>40</v>
      </c>
      <c r="D7419">
        <v>3.8522850000000002</v>
      </c>
      <c r="E7419">
        <v>0.53044329999999995</v>
      </c>
      <c r="F7419" t="s">
        <v>41</v>
      </c>
      <c r="G7419">
        <v>-156.98699999999999</v>
      </c>
      <c r="H7419" s="1">
        <v>-1.7999889999999901E-6</v>
      </c>
      <c r="I7419">
        <v>136.6559</v>
      </c>
      <c r="J7419">
        <v>-170.91040000000001</v>
      </c>
      <c r="K7419">
        <v>1.10487</v>
      </c>
      <c r="L7419">
        <v>136.57589999999999</v>
      </c>
      <c r="M7419">
        <v>0.9600746</v>
      </c>
      <c r="N7419">
        <v>0</v>
      </c>
      <c r="O7419">
        <v>0.27936250000000001</v>
      </c>
      <c r="P7419">
        <v>0.98604360000000002</v>
      </c>
      <c r="Q7419">
        <v>0.14307300000000001</v>
      </c>
      <c r="R7419">
        <v>8.5138160000000004E-2</v>
      </c>
      <c r="S7419">
        <v>3.0743260000000001</v>
      </c>
      <c r="T7419">
        <v>-0.24128820000000001</v>
      </c>
      <c r="U7419">
        <v>2.5924679999999999E-2</v>
      </c>
      <c r="V7419">
        <v>0.19581080000000001</v>
      </c>
      <c r="W7419">
        <v>0.15465760000000001</v>
      </c>
      <c r="X7419">
        <v>0.96836929999999999</v>
      </c>
      <c r="Y7419">
        <v>0.26961619999999997</v>
      </c>
      <c r="Z7419">
        <v>-3.2228840000000002E-2</v>
      </c>
      <c r="AA7419">
        <v>0.96242839999999996</v>
      </c>
      <c r="AB7419">
        <v>24</v>
      </c>
      <c r="AC7419">
        <v>13.923400000000001</v>
      </c>
      <c r="AD7419">
        <v>-1.1048717999889901</v>
      </c>
      <c r="AE7419">
        <v>8.0000000000012506E-2</v>
      </c>
      <c r="AF7419">
        <v>3.7894155453353102</v>
      </c>
      <c r="AG7419">
        <v>-1.1048717999889901</v>
      </c>
      <c r="AH7419">
        <v>13.3074859437806</v>
      </c>
      <c r="AI7419">
        <v>94.565492247620398</v>
      </c>
      <c r="AJ7419">
        <v>74.105263031439804</v>
      </c>
      <c r="AK7419">
        <v>13.8805473239912</v>
      </c>
      <c r="AL7419">
        <v>81.103061025762102</v>
      </c>
      <c r="AM7419">
        <v>78.568545306238804</v>
      </c>
      <c r="AN7419">
        <v>0.99999997190844403</v>
      </c>
    </row>
    <row r="7420" spans="1:40" x14ac:dyDescent="0.25">
      <c r="A7420" t="str">
        <f>"20190312173109399"</f>
        <v>20190312173109399</v>
      </c>
      <c r="B7420" t="str">
        <f>"1552383069385390"</f>
        <v>1552383069385390</v>
      </c>
      <c r="C7420" t="s">
        <v>40</v>
      </c>
      <c r="D7420">
        <v>3.8552590000000002</v>
      </c>
      <c r="E7420">
        <v>0.53027179999999996</v>
      </c>
      <c r="F7420" t="s">
        <v>41</v>
      </c>
      <c r="G7420">
        <v>-156.7107</v>
      </c>
      <c r="H7420" s="1">
        <v>-1.9079410000000001E-6</v>
      </c>
      <c r="I7420">
        <v>136.71549999999999</v>
      </c>
      <c r="J7420">
        <v>-170.69489999999999</v>
      </c>
      <c r="K7420">
        <v>1.105065</v>
      </c>
      <c r="L7420">
        <v>136.62970000000001</v>
      </c>
      <c r="M7420">
        <v>0.96213800000000005</v>
      </c>
      <c r="N7420">
        <v>0</v>
      </c>
      <c r="O7420">
        <v>0.27217329999999901</v>
      </c>
      <c r="P7420">
        <v>0.98633159999999998</v>
      </c>
      <c r="Q7420">
        <v>0.141294</v>
      </c>
      <c r="R7420">
        <v>8.4771520000000003E-2</v>
      </c>
      <c r="S7420">
        <v>3.07457</v>
      </c>
      <c r="T7420">
        <v>-0.23923030000000001</v>
      </c>
      <c r="U7420">
        <v>3.022766E-2</v>
      </c>
      <c r="V7420">
        <v>0.1888792</v>
      </c>
      <c r="W7420">
        <v>0.15304110000000001</v>
      </c>
      <c r="X7420">
        <v>0.97000160000000002</v>
      </c>
      <c r="Y7420">
        <v>0.26113429999999999</v>
      </c>
      <c r="Z7420">
        <v>-3.108035E-2</v>
      </c>
      <c r="AA7420">
        <v>0.96480200000000005</v>
      </c>
      <c r="AB7420">
        <v>24</v>
      </c>
      <c r="AC7420">
        <v>13.9841999999999</v>
      </c>
      <c r="AD7420">
        <v>-1.105066907941</v>
      </c>
      <c r="AE7420">
        <v>8.5799999999977603E-2</v>
      </c>
      <c r="AF7420">
        <v>3.7008601121926401</v>
      </c>
      <c r="AG7420">
        <v>-1.105066907941</v>
      </c>
      <c r="AH7420">
        <v>13.395864555336001</v>
      </c>
      <c r="AI7420">
        <v>94.546278793345394</v>
      </c>
      <c r="AJ7420">
        <v>74.556182255921499</v>
      </c>
      <c r="AK7420">
        <v>13.9415467443878</v>
      </c>
      <c r="AL7420">
        <v>81.196796044051595</v>
      </c>
      <c r="AM7420">
        <v>78.981219148509794</v>
      </c>
      <c r="AN7420">
        <v>1.0000000172421999</v>
      </c>
    </row>
    <row r="7421" spans="1:40" x14ac:dyDescent="0.25">
      <c r="A7421" t="str">
        <f>"20190312173109421"</f>
        <v>20190312173109421</v>
      </c>
      <c r="B7421" t="str">
        <f>"1552383069414670"</f>
        <v>1552383069414670</v>
      </c>
      <c r="C7421" t="s">
        <v>40</v>
      </c>
      <c r="D7421">
        <v>3.8583959999999999</v>
      </c>
      <c r="E7421">
        <v>0.5297579</v>
      </c>
      <c r="F7421" t="s">
        <v>41</v>
      </c>
      <c r="G7421">
        <v>-156.91800000000001</v>
      </c>
      <c r="H7421" s="1">
        <v>-1.810453E-6</v>
      </c>
      <c r="I7421">
        <v>136.7638</v>
      </c>
      <c r="J7421">
        <v>-170.4546</v>
      </c>
      <c r="K7421">
        <v>1.105291</v>
      </c>
      <c r="L7421">
        <v>136.68799999999999</v>
      </c>
      <c r="M7421">
        <v>0.96428999999999998</v>
      </c>
      <c r="N7421">
        <v>0</v>
      </c>
      <c r="O7421">
        <v>0.26445049999999998</v>
      </c>
      <c r="P7421">
        <v>0.98676399999999997</v>
      </c>
      <c r="Q7421">
        <v>0.13945679999999999</v>
      </c>
      <c r="R7421">
        <v>8.2757579999999997E-2</v>
      </c>
      <c r="S7421">
        <v>3.0743260000000001</v>
      </c>
      <c r="T7421">
        <v>-0.2465948</v>
      </c>
      <c r="U7421">
        <v>2.9937740000000001E-2</v>
      </c>
      <c r="V7421">
        <v>0.1830262</v>
      </c>
      <c r="W7421">
        <v>0.15135199999999999</v>
      </c>
      <c r="X7421">
        <v>0.97138769999999997</v>
      </c>
      <c r="Y7421">
        <v>0.2534283</v>
      </c>
      <c r="Z7421">
        <v>-3.1127829999999999E-2</v>
      </c>
      <c r="AA7421">
        <v>0.96685330000000003</v>
      </c>
      <c r="AB7421">
        <v>24</v>
      </c>
      <c r="AC7421">
        <v>13.5365999999999</v>
      </c>
      <c r="AD7421">
        <v>-1.105292810453</v>
      </c>
      <c r="AE7421">
        <v>7.5800000000015105E-2</v>
      </c>
      <c r="AF7421">
        <v>3.48381088426996</v>
      </c>
      <c r="AG7421">
        <v>-1.105292810453</v>
      </c>
      <c r="AH7421">
        <v>12.988041473160401</v>
      </c>
      <c r="AI7421">
        <v>94.6988778986874</v>
      </c>
      <c r="AJ7421">
        <v>74.984872361046797</v>
      </c>
      <c r="AK7421">
        <v>13.4925102105846</v>
      </c>
      <c r="AL7421">
        <v>81.294715295087798</v>
      </c>
      <c r="AM7421">
        <v>79.329583438400903</v>
      </c>
      <c r="AN7421">
        <v>1.00000004075086</v>
      </c>
    </row>
    <row r="7422" spans="1:40" x14ac:dyDescent="0.25">
      <c r="A7422" t="str">
        <f>"20190312173109443"</f>
        <v>20190312173109443</v>
      </c>
      <c r="B7422" t="str">
        <f>"1552383069435166"</f>
        <v>1552383069435166</v>
      </c>
      <c r="C7422" t="s">
        <v>40</v>
      </c>
      <c r="D7422">
        <v>3.84904</v>
      </c>
      <c r="E7422">
        <v>0.52992059999999996</v>
      </c>
      <c r="F7422" t="s">
        <v>41</v>
      </c>
      <c r="G7422">
        <v>-158.3699</v>
      </c>
      <c r="H7422" s="1">
        <v>-1.2912649999999999E-6</v>
      </c>
      <c r="I7422">
        <v>136.79570000000001</v>
      </c>
      <c r="J7422">
        <v>-170.2235</v>
      </c>
      <c r="K7422">
        <v>1.105534</v>
      </c>
      <c r="L7422">
        <v>136.74260000000001</v>
      </c>
      <c r="M7422">
        <v>0.96620680000000003</v>
      </c>
      <c r="N7422">
        <v>0</v>
      </c>
      <c r="O7422">
        <v>0.25736219999999999</v>
      </c>
      <c r="P7422">
        <v>0.98708850000000004</v>
      </c>
      <c r="Q7422">
        <v>0.1381319</v>
      </c>
      <c r="R7422">
        <v>8.1092629999999999E-2</v>
      </c>
      <c r="S7422">
        <v>3.077728</v>
      </c>
      <c r="T7422">
        <v>-0.2814932</v>
      </c>
      <c r="U7422">
        <v>2.742004E-2</v>
      </c>
      <c r="V7422">
        <v>0.17746029999999999</v>
      </c>
      <c r="W7422">
        <v>0.1501683</v>
      </c>
      <c r="X7422">
        <v>0.97260340000000001</v>
      </c>
      <c r="Y7422">
        <v>0.24668609999999999</v>
      </c>
      <c r="Z7422">
        <v>-3.4540689999999999E-2</v>
      </c>
      <c r="AA7422">
        <v>0.96847969999999906</v>
      </c>
      <c r="AB7422">
        <v>24</v>
      </c>
      <c r="AC7422">
        <v>11.8536</v>
      </c>
      <c r="AD7422">
        <v>-1.1055352912650001</v>
      </c>
      <c r="AE7422">
        <v>5.3100000000000501E-2</v>
      </c>
      <c r="AF7422">
        <v>2.9738094703560298</v>
      </c>
      <c r="AG7422">
        <v>-1.1055352912650001</v>
      </c>
      <c r="AH7422">
        <v>11.3690026321334</v>
      </c>
      <c r="AI7422">
        <v>95.374345639525899</v>
      </c>
      <c r="AJ7422">
        <v>75.341465814604504</v>
      </c>
      <c r="AK7422">
        <v>11.803388153224001</v>
      </c>
      <c r="AL7422">
        <v>81.363320305553898</v>
      </c>
      <c r="AM7422">
        <v>79.659613077938602</v>
      </c>
      <c r="AN7422">
        <v>1.00000002504626</v>
      </c>
    </row>
    <row r="7423" spans="1:40" x14ac:dyDescent="0.25">
      <c r="A7423" t="str">
        <f>"20190312173109465"</f>
        <v>20190312173109465</v>
      </c>
      <c r="B7423" t="str">
        <f>"1552383069454686"</f>
        <v>1552383069454686</v>
      </c>
      <c r="C7423" t="s">
        <v>40</v>
      </c>
      <c r="D7423">
        <v>3.901373</v>
      </c>
      <c r="E7423">
        <v>0.53017890000000001</v>
      </c>
      <c r="F7423" t="s">
        <v>41</v>
      </c>
      <c r="G7423">
        <v>-158.38220000000001</v>
      </c>
      <c r="H7423" s="1">
        <v>-1.2809699999999999E-6</v>
      </c>
      <c r="I7423">
        <v>136.8185</v>
      </c>
      <c r="J7423">
        <v>-169.9931</v>
      </c>
      <c r="K7423">
        <v>1.1057889999999999</v>
      </c>
      <c r="L7423">
        <v>136.7955</v>
      </c>
      <c r="M7423">
        <v>0.96796070000000001</v>
      </c>
      <c r="N7423">
        <v>0</v>
      </c>
      <c r="O7423">
        <v>0.25068790000000002</v>
      </c>
      <c r="P7423">
        <v>0.98733070000000001</v>
      </c>
      <c r="Q7423">
        <v>0.13781879999999999</v>
      </c>
      <c r="R7423">
        <v>7.8641269999999999E-2</v>
      </c>
      <c r="S7423">
        <v>3.0778500000000002</v>
      </c>
      <c r="T7423">
        <v>-0.28735719999999998</v>
      </c>
      <c r="U7423">
        <v>1.9744870000000001E-2</v>
      </c>
      <c r="V7423">
        <v>0.17306250000000001</v>
      </c>
      <c r="W7423">
        <v>0.14997929999999901</v>
      </c>
      <c r="X7423">
        <v>0.97342470000000003</v>
      </c>
      <c r="Y7423">
        <v>0.24237300000000001</v>
      </c>
      <c r="Z7423">
        <v>-3.4451429999999998E-2</v>
      </c>
      <c r="AA7423">
        <v>0.96957130000000002</v>
      </c>
      <c r="AB7423">
        <v>24</v>
      </c>
      <c r="AC7423">
        <v>11.6108999999999</v>
      </c>
      <c r="AD7423">
        <v>-1.10579028097</v>
      </c>
      <c r="AE7423">
        <v>2.29999999999961E-2</v>
      </c>
      <c r="AF7423">
        <v>2.8627832666581701</v>
      </c>
      <c r="AG7423">
        <v>-1.10579028097</v>
      </c>
      <c r="AH7423">
        <v>11.1447444843855</v>
      </c>
      <c r="AI7423">
        <v>95.489317665974696</v>
      </c>
      <c r="AJ7423">
        <v>75.593733831528994</v>
      </c>
      <c r="AK7423">
        <v>11.5595687549141</v>
      </c>
      <c r="AL7423">
        <v>81.374273320677801</v>
      </c>
      <c r="AM7423">
        <v>79.918875950290001</v>
      </c>
      <c r="AN7423">
        <v>1.0000000329524099</v>
      </c>
    </row>
    <row r="7424" spans="1:40" x14ac:dyDescent="0.25">
      <c r="A7424" t="str">
        <f>"20190312173109487"</f>
        <v>20190312173109487</v>
      </c>
      <c r="B7424" t="str">
        <f>"1552383069475183"</f>
        <v>1552383069475183</v>
      </c>
      <c r="C7424" t="s">
        <v>40</v>
      </c>
      <c r="D7424">
        <v>3.9122479999999999</v>
      </c>
      <c r="E7424">
        <v>0.53017019999999904</v>
      </c>
      <c r="F7424" t="s">
        <v>41</v>
      </c>
      <c r="G7424">
        <v>-158.20060000000001</v>
      </c>
      <c r="H7424" s="1">
        <v>-1.339336E-6</v>
      </c>
      <c r="I7424">
        <v>136.83150000000001</v>
      </c>
      <c r="J7424">
        <v>-169.75880000000001</v>
      </c>
      <c r="K7424">
        <v>1.106044</v>
      </c>
      <c r="L7424">
        <v>136.84809999999999</v>
      </c>
      <c r="M7424">
        <v>0.96961560000000002</v>
      </c>
      <c r="N7424">
        <v>0</v>
      </c>
      <c r="O7424">
        <v>0.24421180000000001</v>
      </c>
      <c r="P7424">
        <v>0.98752830000000003</v>
      </c>
      <c r="Q7424">
        <v>0.1380615</v>
      </c>
      <c r="R7424">
        <v>7.5677980000000006E-2</v>
      </c>
      <c r="S7424">
        <v>3.0780180000000001</v>
      </c>
      <c r="T7424">
        <v>-0.28862710000000003</v>
      </c>
      <c r="U7424">
        <v>9.399414E-3</v>
      </c>
      <c r="V7424">
        <v>0.16936809999999999</v>
      </c>
      <c r="W7424">
        <v>0.15032719999999999</v>
      </c>
      <c r="X7424">
        <v>0.97402060000000001</v>
      </c>
      <c r="Y7424">
        <v>0.23917089999999999</v>
      </c>
      <c r="Z7424">
        <v>-3.3862870000000003E-2</v>
      </c>
      <c r="AA7424">
        <v>0.97038679999999999</v>
      </c>
      <c r="AB7424">
        <v>24</v>
      </c>
      <c r="AC7424">
        <v>11.558199999999999</v>
      </c>
      <c r="AD7424">
        <v>-1.1060453393359999</v>
      </c>
      <c r="AE7424">
        <v>-1.6599999999982601E-2</v>
      </c>
      <c r="AF7424">
        <v>2.8132753095431</v>
      </c>
      <c r="AG7424">
        <v>-1.1060453393359999</v>
      </c>
      <c r="AH7424">
        <v>11.1024444925611</v>
      </c>
      <c r="AI7424">
        <v>95.515934980683994</v>
      </c>
      <c r="AJ7424">
        <v>75.780965166555305</v>
      </c>
      <c r="AK7424">
        <v>11.5066123585681</v>
      </c>
      <c r="AL7424">
        <v>81.354111033366905</v>
      </c>
      <c r="AM7424">
        <v>80.135722520175307</v>
      </c>
      <c r="AN7424">
        <v>0.99999997479090397</v>
      </c>
    </row>
    <row r="7425" spans="1:40" x14ac:dyDescent="0.25">
      <c r="A7425" t="str">
        <f>"20190312173109504"</f>
        <v>20190312173109504</v>
      </c>
      <c r="B7425" t="str">
        <f>"1552383069494702"</f>
        <v>1552383069494702</v>
      </c>
      <c r="C7425" t="s">
        <v>40</v>
      </c>
      <c r="D7425">
        <v>3.921564</v>
      </c>
      <c r="E7425">
        <v>0.53014059999999996</v>
      </c>
      <c r="F7425" t="s">
        <v>41</v>
      </c>
      <c r="G7425">
        <v>-157.9545</v>
      </c>
      <c r="H7425" s="1">
        <v>-1.4166469999999999E-6</v>
      </c>
      <c r="I7425">
        <v>136.85570000000001</v>
      </c>
      <c r="J7425">
        <v>-169.5848</v>
      </c>
      <c r="K7425">
        <v>1.106223</v>
      </c>
      <c r="L7425">
        <v>136.88640000000001</v>
      </c>
      <c r="M7425">
        <v>0.97076910000000005</v>
      </c>
      <c r="N7425">
        <v>0</v>
      </c>
      <c r="O7425">
        <v>0.23958699999999999</v>
      </c>
      <c r="P7425">
        <v>0.98775829999999998</v>
      </c>
      <c r="Q7425">
        <v>0.13809669999999999</v>
      </c>
      <c r="R7425">
        <v>7.2545769999999996E-2</v>
      </c>
      <c r="S7425">
        <v>3.0780789999999998</v>
      </c>
      <c r="T7425">
        <v>-0.28841109999999998</v>
      </c>
      <c r="U7425">
        <v>1.998901E-3</v>
      </c>
      <c r="V7425">
        <v>0.16774330000000001</v>
      </c>
      <c r="W7425">
        <v>0.15042239999999901</v>
      </c>
      <c r="X7425">
        <v>0.97428700000000001</v>
      </c>
      <c r="Y7425">
        <v>0.2369095</v>
      </c>
      <c r="Z7425">
        <v>-3.3310579999999999E-2</v>
      </c>
      <c r="AA7425">
        <v>0.9709605</v>
      </c>
      <c r="AB7425">
        <v>24</v>
      </c>
      <c r="AC7425">
        <v>11.6303</v>
      </c>
      <c r="AD7425">
        <v>-1.1062244166470001</v>
      </c>
      <c r="AE7425">
        <v>-3.0699999999995901E-2</v>
      </c>
      <c r="AF7425">
        <v>2.7913078177160999</v>
      </c>
      <c r="AG7425">
        <v>-1.1062244166470001</v>
      </c>
      <c r="AH7425">
        <v>11.1829679990819</v>
      </c>
      <c r="AI7425">
        <v>95.482222036529507</v>
      </c>
      <c r="AJ7425">
        <v>75.985140615083694</v>
      </c>
      <c r="AK7425">
        <v>11.579028675226599</v>
      </c>
      <c r="AL7425">
        <v>81.348593397773399</v>
      </c>
      <c r="AM7425">
        <v>80.231141048951201</v>
      </c>
      <c r="AN7425">
        <v>0.99999993574282298</v>
      </c>
    </row>
    <row r="7426" spans="1:40" x14ac:dyDescent="0.25">
      <c r="A7426" t="str">
        <f>"20190312173109521"</f>
        <v>20190312173109521</v>
      </c>
      <c r="B7426" t="str">
        <f>"1552383069515198"</f>
        <v>1552383069515198</v>
      </c>
      <c r="C7426" t="s">
        <v>40</v>
      </c>
      <c r="D7426">
        <v>3.9286859999999999</v>
      </c>
      <c r="E7426">
        <v>0.51471290000000003</v>
      </c>
      <c r="F7426" t="s">
        <v>41</v>
      </c>
      <c r="G7426">
        <v>-157.80109999999999</v>
      </c>
      <c r="H7426" s="1">
        <v>-1.4672049999999901E-6</v>
      </c>
      <c r="I7426">
        <v>136.86189999999999</v>
      </c>
      <c r="J7426">
        <v>-169.41149999999999</v>
      </c>
      <c r="K7426">
        <v>1.1064039999999999</v>
      </c>
      <c r="L7426">
        <v>136.9238</v>
      </c>
      <c r="M7426">
        <v>0.97184110000000001</v>
      </c>
      <c r="N7426">
        <v>0</v>
      </c>
      <c r="O7426">
        <v>0.235203</v>
      </c>
      <c r="P7426">
        <v>0.98788790000000004</v>
      </c>
      <c r="Q7426">
        <v>0.13760939999999999</v>
      </c>
      <c r="R7426">
        <v>7.1703989999999995E-2</v>
      </c>
      <c r="S7426">
        <v>3.078033</v>
      </c>
      <c r="T7426">
        <v>-0.28895660000000001</v>
      </c>
      <c r="U7426">
        <v>-6.3781740000000003E-3</v>
      </c>
      <c r="V7426">
        <v>0.1641138</v>
      </c>
      <c r="W7426">
        <v>0.15001789999999901</v>
      </c>
      <c r="X7426">
        <v>0.97496729999999998</v>
      </c>
      <c r="Y7426">
        <v>0.2351868</v>
      </c>
      <c r="Z7426">
        <v>-3.2893289999999999E-2</v>
      </c>
      <c r="AA7426">
        <v>0.97139339999999996</v>
      </c>
      <c r="AB7426">
        <v>24</v>
      </c>
      <c r="AC7426">
        <v>11.610399999999901</v>
      </c>
      <c r="AD7426">
        <v>-1.1064054672050001</v>
      </c>
      <c r="AE7426">
        <v>-6.1900000000008497E-2</v>
      </c>
      <c r="AF7426">
        <v>2.7661246917611</v>
      </c>
      <c r="AG7426">
        <v>-1.1064054672050001</v>
      </c>
      <c r="AH7426">
        <v>11.1686371936388</v>
      </c>
      <c r="AI7426">
        <v>95.492578726900703</v>
      </c>
      <c r="AJ7426">
        <v>76.089527991653796</v>
      </c>
      <c r="AK7426">
        <v>11.5591537593097</v>
      </c>
      <c r="AL7426">
        <v>81.372035873217399</v>
      </c>
      <c r="AM7426">
        <v>80.445116387142903</v>
      </c>
      <c r="AN7426">
        <v>0.99999997287006903</v>
      </c>
    </row>
    <row r="7427" spans="1:40" x14ac:dyDescent="0.25">
      <c r="A7427" t="str">
        <f>"20190312173109537"</f>
        <v>20190312173109537</v>
      </c>
      <c r="B7427" t="str">
        <f>"1552383069534718"</f>
        <v>1552383069534718</v>
      </c>
      <c r="C7427" t="s">
        <v>40</v>
      </c>
      <c r="D7427">
        <v>3.8994930000000001</v>
      </c>
      <c r="E7427">
        <v>0.50237810000000005</v>
      </c>
      <c r="F7427" t="s">
        <v>42</v>
      </c>
      <c r="G7427">
        <v>-168.64089999999999</v>
      </c>
      <c r="H7427">
        <v>1.0308389999999901</v>
      </c>
      <c r="I7427">
        <v>136.95230000000001</v>
      </c>
      <c r="J7427">
        <v>-169.24359999999999</v>
      </c>
      <c r="K7427">
        <v>1.106584</v>
      </c>
      <c r="L7427">
        <v>136.95939999999999</v>
      </c>
      <c r="M7427">
        <v>0.97280909999999998</v>
      </c>
      <c r="N7427">
        <v>0</v>
      </c>
      <c r="O7427">
        <v>0.2311686</v>
      </c>
      <c r="P7427">
        <v>0.98811729999999998</v>
      </c>
      <c r="Q7427">
        <v>0.13713040000000001</v>
      </c>
      <c r="R7427">
        <v>6.9421709999999998E-2</v>
      </c>
      <c r="S7427">
        <v>3.0704500000000001</v>
      </c>
      <c r="T7427">
        <v>-0.30102089999999998</v>
      </c>
      <c r="U7427">
        <v>0.11393739999999999</v>
      </c>
      <c r="V7427">
        <v>0.162262299999999</v>
      </c>
      <c r="W7427">
        <v>0.14959979999999901</v>
      </c>
      <c r="X7427">
        <v>0.97534140000000003</v>
      </c>
      <c r="Y7427">
        <v>0.19294459999999999</v>
      </c>
      <c r="Z7427">
        <v>-3.1856130000000003E-2</v>
      </c>
      <c r="AA7427">
        <v>0.98069240000000002</v>
      </c>
      <c r="AB7427">
        <v>24</v>
      </c>
      <c r="AC7427">
        <v>0.60269999999999802</v>
      </c>
      <c r="AD7427">
        <v>-7.5745000000000104E-2</v>
      </c>
      <c r="AE7427">
        <v>-7.0999999999799002E-3</v>
      </c>
      <c r="AF7427">
        <v>0.143973471903662</v>
      </c>
      <c r="AG7427">
        <v>-7.5745000000000104E-2</v>
      </c>
      <c r="AH7427">
        <v>0.57563958552917605</v>
      </c>
      <c r="AI7427">
        <v>97.2745768901259</v>
      </c>
      <c r="AJ7427">
        <v>75.957800984680702</v>
      </c>
      <c r="AK7427">
        <v>0.59818608982924104</v>
      </c>
      <c r="AL7427">
        <v>81.396264900181194</v>
      </c>
      <c r="AM7427">
        <v>80.554516964741296</v>
      </c>
      <c r="AN7427">
        <v>1.0000000003576399</v>
      </c>
    </row>
    <row r="7428" spans="1:40" x14ac:dyDescent="0.25">
      <c r="A7428" t="str">
        <f>"20190312173109551"</f>
        <v>20190312173109551</v>
      </c>
      <c r="B7428" t="str">
        <f>"1552383069544478"</f>
        <v>1552383069544478</v>
      </c>
      <c r="C7428" t="s">
        <v>40</v>
      </c>
      <c r="D7428">
        <v>3.8939140000000001</v>
      </c>
      <c r="E7428">
        <v>0.49921919999999997</v>
      </c>
      <c r="F7428" t="s">
        <v>42</v>
      </c>
      <c r="G7428">
        <v>-168.44239999999999</v>
      </c>
      <c r="H7428">
        <v>1.027342</v>
      </c>
      <c r="I7428">
        <v>137.0128</v>
      </c>
      <c r="J7428">
        <v>-169.0951</v>
      </c>
      <c r="K7428">
        <v>1.1067549999999999</v>
      </c>
      <c r="L7428">
        <v>136.9906</v>
      </c>
      <c r="M7428">
        <v>0.97361019999999998</v>
      </c>
      <c r="N7428">
        <v>0</v>
      </c>
      <c r="O7428">
        <v>0.227773</v>
      </c>
      <c r="P7428">
        <v>0.98828800000000006</v>
      </c>
      <c r="Q7428">
        <v>0.13687299999999999</v>
      </c>
      <c r="R7428">
        <v>6.7475019999999997E-2</v>
      </c>
      <c r="S7428">
        <v>3.0637050000000001</v>
      </c>
      <c r="T7428">
        <v>-0.30284870000000003</v>
      </c>
      <c r="U7428">
        <v>0.2049561</v>
      </c>
      <c r="V7428">
        <v>0.16072</v>
      </c>
      <c r="W7428">
        <v>0.14939849999999999</v>
      </c>
      <c r="X7428">
        <v>0.97562760000000004</v>
      </c>
      <c r="Y7428">
        <v>0.1604322</v>
      </c>
      <c r="Z7428">
        <v>-3.014725E-2</v>
      </c>
      <c r="AA7428">
        <v>0.98658630000000003</v>
      </c>
      <c r="AB7428">
        <v>24</v>
      </c>
      <c r="AC7428">
        <v>0.65270000000000905</v>
      </c>
      <c r="AD7428">
        <v>-7.94129999999999E-2</v>
      </c>
      <c r="AE7428">
        <v>2.2199999999997999E-2</v>
      </c>
      <c r="AF7428">
        <v>0.12521472718969201</v>
      </c>
      <c r="AG7428">
        <v>-7.94129999999999E-2</v>
      </c>
      <c r="AH7428">
        <v>0.63126292498092795</v>
      </c>
      <c r="AI7428">
        <v>97.0345157610885</v>
      </c>
      <c r="AJ7428">
        <v>78.780672875038704</v>
      </c>
      <c r="AK7428">
        <v>0.64844277537009098</v>
      </c>
      <c r="AL7428">
        <v>81.407929818278703</v>
      </c>
      <c r="AM7428">
        <v>80.645397227380101</v>
      </c>
      <c r="AN7428">
        <v>1.000000022042</v>
      </c>
    </row>
    <row r="7429" spans="1:40" x14ac:dyDescent="0.25">
      <c r="A7429" t="str">
        <f>"20190312173109565"</f>
        <v>20190312173109565</v>
      </c>
      <c r="B7429" t="str">
        <f>"1552383069555214"</f>
        <v>1552383069555214</v>
      </c>
      <c r="C7429" t="s">
        <v>40</v>
      </c>
      <c r="D7429">
        <v>3.8644479999999999</v>
      </c>
      <c r="E7429">
        <v>0.4973573</v>
      </c>
      <c r="F7429" t="s">
        <v>42</v>
      </c>
      <c r="G7429">
        <v>-168.23519999999999</v>
      </c>
      <c r="H7429">
        <v>1.0243150000000001</v>
      </c>
      <c r="I7429">
        <v>137.05330000000001</v>
      </c>
      <c r="J7429">
        <v>-168.9393</v>
      </c>
      <c r="K7429">
        <v>1.106943</v>
      </c>
      <c r="L7429">
        <v>137.02289999999999</v>
      </c>
      <c r="M7429">
        <v>0.97439799999999999</v>
      </c>
      <c r="N7429">
        <v>0</v>
      </c>
      <c r="O7429">
        <v>0.22438050000000001</v>
      </c>
      <c r="P7429">
        <v>0.98834219999999895</v>
      </c>
      <c r="Q7429">
        <v>0.1366011</v>
      </c>
      <c r="R7429">
        <v>6.7229789999999998E-2</v>
      </c>
      <c r="S7429">
        <v>3.0609280000000001</v>
      </c>
      <c r="T7429">
        <v>-0.29346040000000001</v>
      </c>
      <c r="U7429">
        <v>0.22334290000000001</v>
      </c>
      <c r="V7429">
        <v>0.1574912</v>
      </c>
      <c r="W7429">
        <v>0.14920700000000001</v>
      </c>
      <c r="X7429">
        <v>0.97618329999999998</v>
      </c>
      <c r="Y7429">
        <v>0.1511989</v>
      </c>
      <c r="Z7429">
        <v>-2.8476250000000002E-2</v>
      </c>
      <c r="AA7429">
        <v>0.98809309999999995</v>
      </c>
      <c r="AB7429">
        <v>24</v>
      </c>
      <c r="AC7429">
        <v>0.70410000000001105</v>
      </c>
      <c r="AD7429">
        <v>-8.2628000000000104E-2</v>
      </c>
      <c r="AE7429">
        <v>3.0400000000014402E-2</v>
      </c>
      <c r="AF7429">
        <v>0.126636820839654</v>
      </c>
      <c r="AG7429">
        <v>-8.2628000000000104E-2</v>
      </c>
      <c r="AH7429">
        <v>0.68356842232970605</v>
      </c>
      <c r="AI7429">
        <v>96.778095172688793</v>
      </c>
      <c r="AJ7429">
        <v>79.504464909181905</v>
      </c>
      <c r="AK7429">
        <v>0.70009289296685295</v>
      </c>
      <c r="AL7429">
        <v>81.419026326337303</v>
      </c>
      <c r="AM7429">
        <v>80.835234285604201</v>
      </c>
      <c r="AN7429">
        <v>1.0000000210626601</v>
      </c>
    </row>
    <row r="7430" spans="1:40" x14ac:dyDescent="0.25">
      <c r="A7430" t="str">
        <f>"20190312173109588"</f>
        <v>20190312173109588</v>
      </c>
      <c r="B7430" t="str">
        <f>"1552383069584494"</f>
        <v>1552383069584494</v>
      </c>
      <c r="C7430" t="s">
        <v>40</v>
      </c>
      <c r="D7430">
        <v>3.9562889999999999</v>
      </c>
      <c r="E7430">
        <v>0.49388209999999999</v>
      </c>
      <c r="F7430" t="s">
        <v>42</v>
      </c>
      <c r="G7430">
        <v>-168.02940000000001</v>
      </c>
      <c r="H7430">
        <v>1.019393</v>
      </c>
      <c r="I7430">
        <v>137.09350000000001</v>
      </c>
      <c r="J7430">
        <v>-168.71379999999999</v>
      </c>
      <c r="K7430">
        <v>1.107253</v>
      </c>
      <c r="L7430">
        <v>137.06909999999999</v>
      </c>
      <c r="M7430">
        <v>0.97543230000000003</v>
      </c>
      <c r="N7430">
        <v>0</v>
      </c>
      <c r="O7430">
        <v>0.21984409999999999</v>
      </c>
      <c r="P7430">
        <v>0.98836579999999996</v>
      </c>
      <c r="Q7430">
        <v>0.13727239999999999</v>
      </c>
      <c r="R7430">
        <v>6.5495120000000004E-2</v>
      </c>
      <c r="S7430">
        <v>3.0599059999999998</v>
      </c>
      <c r="T7430">
        <v>-0.29439749999999998</v>
      </c>
      <c r="U7430">
        <v>0.2375641</v>
      </c>
      <c r="V7430">
        <v>0.154528</v>
      </c>
      <c r="W7430">
        <v>0.14997839999999901</v>
      </c>
      <c r="X7430">
        <v>0.97653860000000003</v>
      </c>
      <c r="Y7430">
        <v>0.14205409999999999</v>
      </c>
      <c r="Z7430">
        <v>-2.7705670000000002E-2</v>
      </c>
      <c r="AA7430">
        <v>0.98947110000000005</v>
      </c>
      <c r="AB7430">
        <v>24</v>
      </c>
      <c r="AC7430">
        <v>0.68439999999998202</v>
      </c>
      <c r="AD7430">
        <v>-8.7859999999999994E-2</v>
      </c>
      <c r="AE7430">
        <v>2.4400000000014101E-2</v>
      </c>
      <c r="AF7430">
        <v>0.124622255071986</v>
      </c>
      <c r="AG7430">
        <v>-8.7859999999999994E-2</v>
      </c>
      <c r="AH7430">
        <v>0.66211949401621295</v>
      </c>
      <c r="AI7430">
        <v>97.429748877857094</v>
      </c>
      <c r="AJ7430">
        <v>79.340654800613194</v>
      </c>
      <c r="AK7430">
        <v>0.67945000582494197</v>
      </c>
      <c r="AL7430">
        <v>81.3743254534931</v>
      </c>
      <c r="AM7430">
        <v>81.008043029846107</v>
      </c>
      <c r="AN7430">
        <v>1.0000000302702501</v>
      </c>
    </row>
    <row r="7431" spans="1:40" x14ac:dyDescent="0.25">
      <c r="A7431" t="str">
        <f>"20190312173109604"</f>
        <v>20190312173109604</v>
      </c>
      <c r="B7431" t="str">
        <f>"1552383069595230"</f>
        <v>1552383069595230</v>
      </c>
      <c r="C7431" t="s">
        <v>40</v>
      </c>
      <c r="D7431">
        <v>3.942116</v>
      </c>
      <c r="E7431">
        <v>0.49318699999999999</v>
      </c>
      <c r="F7431" t="s">
        <v>42</v>
      </c>
      <c r="G7431">
        <v>-167.82239999999999</v>
      </c>
      <c r="H7431">
        <v>1.0228029999999999</v>
      </c>
      <c r="I7431">
        <v>137.1448</v>
      </c>
      <c r="J7431">
        <v>-168.54589999999999</v>
      </c>
      <c r="K7431">
        <v>1.107486</v>
      </c>
      <c r="L7431">
        <v>137.10310000000001</v>
      </c>
      <c r="M7431">
        <v>0.97614100000000004</v>
      </c>
      <c r="N7431">
        <v>0</v>
      </c>
      <c r="O7431">
        <v>0.2166775</v>
      </c>
      <c r="P7431">
        <v>0.98845859999999997</v>
      </c>
      <c r="Q7431">
        <v>0.13732269999999999</v>
      </c>
      <c r="R7431">
        <v>6.3969079999999998E-2</v>
      </c>
      <c r="S7431">
        <v>3.0583339999999999</v>
      </c>
      <c r="T7431">
        <v>-0.28973480000000001</v>
      </c>
      <c r="U7431">
        <v>0.25985720000000001</v>
      </c>
      <c r="V7431">
        <v>0.15277829999999901</v>
      </c>
      <c r="W7431">
        <v>0.15009910000000001</v>
      </c>
      <c r="X7431">
        <v>0.97679530000000003</v>
      </c>
      <c r="Y7431">
        <v>0.13174069999999999</v>
      </c>
      <c r="Z7431">
        <v>-2.64922E-2</v>
      </c>
      <c r="AA7431">
        <v>0.99093010000000004</v>
      </c>
      <c r="AB7431">
        <v>24</v>
      </c>
      <c r="AC7431">
        <v>0.72350000000000103</v>
      </c>
      <c r="AD7431">
        <v>-8.46829999999998E-2</v>
      </c>
      <c r="AE7431">
        <v>4.1699999999991598E-2</v>
      </c>
      <c r="AF7431">
        <v>0.114509114606377</v>
      </c>
      <c r="AG7431">
        <v>-8.46829999999998E-2</v>
      </c>
      <c r="AH7431">
        <v>0.70570877900042395</v>
      </c>
      <c r="AI7431">
        <v>96.755092804249998</v>
      </c>
      <c r="AJ7431">
        <v>80.783447554134497</v>
      </c>
      <c r="AK7431">
        <v>0.71993640592430497</v>
      </c>
      <c r="AL7431">
        <v>81.367330439605496</v>
      </c>
      <c r="AM7431">
        <v>81.110521211860998</v>
      </c>
      <c r="AN7431">
        <v>1.0000000034368901</v>
      </c>
    </row>
    <row r="7432" spans="1:40" x14ac:dyDescent="0.25">
      <c r="A7432" t="str">
        <f>"20190312173109621"</f>
        <v>20190312173109621</v>
      </c>
      <c r="B7432" t="str">
        <f>"1552383069614751"</f>
        <v>1552383069614751</v>
      </c>
      <c r="C7432" t="s">
        <v>40</v>
      </c>
      <c r="D7432">
        <v>3.9943409999999999</v>
      </c>
      <c r="E7432">
        <v>0.49203400000000003</v>
      </c>
      <c r="F7432" t="s">
        <v>42</v>
      </c>
      <c r="G7432">
        <v>-167.61590000000001</v>
      </c>
      <c r="H7432">
        <v>1.0194369999999999</v>
      </c>
      <c r="I7432">
        <v>137.1824</v>
      </c>
      <c r="J7432">
        <v>-168.3588</v>
      </c>
      <c r="K7432">
        <v>1.10772</v>
      </c>
      <c r="L7432">
        <v>137.1405</v>
      </c>
      <c r="M7432">
        <v>0.9768635</v>
      </c>
      <c r="N7432">
        <v>0</v>
      </c>
      <c r="O7432">
        <v>0.21339900000000001</v>
      </c>
      <c r="P7432">
        <v>0.98843150000000002</v>
      </c>
      <c r="Q7432">
        <v>0.1376637</v>
      </c>
      <c r="R7432">
        <v>6.3656359999999995E-2</v>
      </c>
      <c r="S7432">
        <v>3.0583800000000001</v>
      </c>
      <c r="T7432">
        <v>-0.28951860000000001</v>
      </c>
      <c r="U7432">
        <v>0.26097110000000001</v>
      </c>
      <c r="V7432">
        <v>0.1497078</v>
      </c>
      <c r="W7432">
        <v>0.15051909999999999</v>
      </c>
      <c r="X7432">
        <v>0.97720600000000002</v>
      </c>
      <c r="Y7432">
        <v>0.1280876</v>
      </c>
      <c r="Z7432">
        <v>-2.599715E-2</v>
      </c>
      <c r="AA7432">
        <v>0.99142209999999997</v>
      </c>
      <c r="AB7432">
        <v>24</v>
      </c>
      <c r="AC7432">
        <v>0.74289999999999101</v>
      </c>
      <c r="AD7432">
        <v>-8.8282999999999806E-2</v>
      </c>
      <c r="AE7432">
        <v>4.1899999999998203E-2</v>
      </c>
      <c r="AF7432">
        <v>0.115982513421082</v>
      </c>
      <c r="AG7432">
        <v>-8.8282999999999806E-2</v>
      </c>
      <c r="AH7432">
        <v>0.72452700165274198</v>
      </c>
      <c r="AI7432">
        <v>96.860694313067697</v>
      </c>
      <c r="AJ7432">
        <v>80.905236074544305</v>
      </c>
      <c r="AK7432">
        <v>0.73904344096432095</v>
      </c>
      <c r="AL7432">
        <v>81.342989609956504</v>
      </c>
      <c r="AM7432">
        <v>81.290016256127998</v>
      </c>
      <c r="AN7432">
        <v>0.99999999564082498</v>
      </c>
    </row>
    <row r="7433" spans="1:40" x14ac:dyDescent="0.25">
      <c r="A7433" t="str">
        <f>"20190312173109645"</f>
        <v>20190312173109645</v>
      </c>
      <c r="B7433" t="str">
        <f>"1552383069635246"</f>
        <v>1552383069635246</v>
      </c>
      <c r="C7433" t="s">
        <v>40</v>
      </c>
      <c r="D7433">
        <v>3.9044319999999999</v>
      </c>
      <c r="E7433">
        <v>0.49151660000000003</v>
      </c>
      <c r="F7433" t="s">
        <v>42</v>
      </c>
      <c r="G7433">
        <v>-167.61259999999999</v>
      </c>
      <c r="H7433">
        <v>1.0367710000000001</v>
      </c>
      <c r="I7433">
        <v>137.20609999999999</v>
      </c>
      <c r="J7433">
        <v>-168.12700000000001</v>
      </c>
      <c r="K7433">
        <v>1.107977</v>
      </c>
      <c r="L7433">
        <v>137.1865</v>
      </c>
      <c r="M7433">
        <v>0.97767479999999995</v>
      </c>
      <c r="N7433">
        <v>0</v>
      </c>
      <c r="O7433">
        <v>0.2096529</v>
      </c>
      <c r="P7433">
        <v>0.98839069999999996</v>
      </c>
      <c r="Q7433">
        <v>0.1384069</v>
      </c>
      <c r="R7433">
        <v>6.2669740000000002E-2</v>
      </c>
      <c r="S7433">
        <v>3.0582579999999999</v>
      </c>
      <c r="T7433">
        <v>-0.2907208</v>
      </c>
      <c r="U7433">
        <v>0.26905820000000003</v>
      </c>
      <c r="V7433">
        <v>0.14682110000000001</v>
      </c>
      <c r="W7433">
        <v>0.1513379</v>
      </c>
      <c r="X7433">
        <v>0.97751750000000004</v>
      </c>
      <c r="Y7433">
        <v>0.12171079999999999</v>
      </c>
      <c r="Z7433">
        <v>-2.545263E-2</v>
      </c>
      <c r="AA7433">
        <v>0.99223919999999999</v>
      </c>
      <c r="AB7433">
        <v>24</v>
      </c>
      <c r="AC7433">
        <v>0.51440000000002295</v>
      </c>
      <c r="AD7433">
        <v>-7.1206000000000103E-2</v>
      </c>
      <c r="AE7433">
        <v>1.9599999999996901E-2</v>
      </c>
      <c r="AF7433">
        <v>8.7026640708470798E-2</v>
      </c>
      <c r="AG7433">
        <v>-7.1206000000000103E-2</v>
      </c>
      <c r="AH7433">
        <v>0.49755510803142899</v>
      </c>
      <c r="AI7433">
        <v>98.024204786204706</v>
      </c>
      <c r="AJ7433">
        <v>80.078838772931107</v>
      </c>
      <c r="AK7433">
        <v>0.51010294662662703</v>
      </c>
      <c r="AL7433">
        <v>81.295532477585297</v>
      </c>
      <c r="AM7433">
        <v>81.458143995042406</v>
      </c>
      <c r="AN7433">
        <v>1.0000000290939299</v>
      </c>
    </row>
    <row r="7434" spans="1:40" x14ac:dyDescent="0.25">
      <c r="A7434" t="str">
        <f>"20190312173109666"</f>
        <v>20190312173109666</v>
      </c>
      <c r="B7434" t="str">
        <f>"1552383069654766"</f>
        <v>1552383069654766</v>
      </c>
      <c r="C7434" t="s">
        <v>40</v>
      </c>
      <c r="D7434">
        <v>4.0409439999999996</v>
      </c>
      <c r="E7434">
        <v>0.49111349999999998</v>
      </c>
      <c r="F7434" t="s">
        <v>42</v>
      </c>
      <c r="G7434">
        <v>-167.20230000000001</v>
      </c>
      <c r="H7434">
        <v>1.020454</v>
      </c>
      <c r="I7434">
        <v>137.26759999999999</v>
      </c>
      <c r="J7434">
        <v>-167.8973</v>
      </c>
      <c r="K7434">
        <v>1.1081989999999999</v>
      </c>
      <c r="L7434">
        <v>137.23150000000001</v>
      </c>
      <c r="M7434">
        <v>0.97838420000000004</v>
      </c>
      <c r="N7434">
        <v>0</v>
      </c>
      <c r="O7434">
        <v>0.20631959999999999</v>
      </c>
      <c r="P7434">
        <v>0.98833530000000003</v>
      </c>
      <c r="Q7434">
        <v>0.13929269999999999</v>
      </c>
      <c r="R7434">
        <v>6.1570090000000001E-2</v>
      </c>
      <c r="S7434">
        <v>3.0587309999999999</v>
      </c>
      <c r="T7434">
        <v>-0.28948800000000002</v>
      </c>
      <c r="U7434">
        <v>0.26890560000000002</v>
      </c>
      <c r="V7434">
        <v>0.1444706</v>
      </c>
      <c r="W7434">
        <v>0.1522819</v>
      </c>
      <c r="X7434">
        <v>0.97772099999999995</v>
      </c>
      <c r="Y7434">
        <v>0.1184316</v>
      </c>
      <c r="Z7434">
        <v>-2.487934E-2</v>
      </c>
      <c r="AA7434">
        <v>0.99265040000000004</v>
      </c>
      <c r="AB7434">
        <v>24</v>
      </c>
      <c r="AC7434">
        <v>0.69499999999999296</v>
      </c>
      <c r="AD7434">
        <v>-8.7744999999999698E-2</v>
      </c>
      <c r="AE7434">
        <v>3.60999999999762E-2</v>
      </c>
      <c r="AF7434">
        <v>0.106391805504005</v>
      </c>
      <c r="AG7434">
        <v>-8.7744999999999698E-2</v>
      </c>
      <c r="AH7434">
        <v>0.67673493054563705</v>
      </c>
      <c r="AI7434">
        <v>97.299050094691694</v>
      </c>
      <c r="AJ7434">
        <v>81.065465026803807</v>
      </c>
      <c r="AK7434">
        <v>0.69064358935996095</v>
      </c>
      <c r="AL7434">
        <v>81.240810259904094</v>
      </c>
      <c r="AM7434">
        <v>81.594647875172399</v>
      </c>
      <c r="AN7434">
        <v>0.99999994258648295</v>
      </c>
    </row>
    <row r="7435" spans="1:40" x14ac:dyDescent="0.25">
      <c r="A7435" t="str">
        <f>"20190312173109688"</f>
        <v>20190312173109688</v>
      </c>
      <c r="B7435" t="str">
        <f>"1552383069685022"</f>
        <v>1552383069685022</v>
      </c>
      <c r="C7435" t="s">
        <v>40</v>
      </c>
      <c r="D7435">
        <v>3.9380389999999998</v>
      </c>
      <c r="E7435">
        <v>0.49071799999999999</v>
      </c>
      <c r="F7435" t="s">
        <v>42</v>
      </c>
      <c r="G7435">
        <v>-166.99469999999999</v>
      </c>
      <c r="H7435">
        <v>1.023606</v>
      </c>
      <c r="I7435">
        <v>137.31049999999999</v>
      </c>
      <c r="J7435">
        <v>-167.66849999999999</v>
      </c>
      <c r="K7435">
        <v>1.1083809999999901</v>
      </c>
      <c r="L7435">
        <v>137.2758</v>
      </c>
      <c r="M7435">
        <v>0.97902350000000005</v>
      </c>
      <c r="N7435">
        <v>0</v>
      </c>
      <c r="O7435">
        <v>0.2032669</v>
      </c>
      <c r="P7435">
        <v>0.98836299999999999</v>
      </c>
      <c r="Q7435">
        <v>0.13912759999999999</v>
      </c>
      <c r="R7435">
        <v>6.1500720000000002E-2</v>
      </c>
      <c r="S7435">
        <v>3.0591430000000002</v>
      </c>
      <c r="T7435">
        <v>-0.2867169</v>
      </c>
      <c r="U7435">
        <v>0.26774599999999998</v>
      </c>
      <c r="V7435">
        <v>0.1414214</v>
      </c>
      <c r="W7435">
        <v>0.15216779999999999</v>
      </c>
      <c r="X7435">
        <v>0.97818450000000001</v>
      </c>
      <c r="Y7435">
        <v>0.1157711</v>
      </c>
      <c r="Z7435">
        <v>-2.423631E-2</v>
      </c>
      <c r="AA7435">
        <v>0.99298019999999998</v>
      </c>
      <c r="AB7435">
        <v>23</v>
      </c>
      <c r="AC7435">
        <v>0.67379999999999995</v>
      </c>
      <c r="AD7435">
        <v>-8.4774999999999795E-2</v>
      </c>
      <c r="AE7435">
        <v>3.4699999999986603E-2</v>
      </c>
      <c r="AF7435">
        <v>0.10139833044663001</v>
      </c>
      <c r="AG7435">
        <v>-8.4774999999999795E-2</v>
      </c>
      <c r="AH7435">
        <v>0.65642110973988499</v>
      </c>
      <c r="AI7435">
        <v>97.273534761863402</v>
      </c>
      <c r="AJ7435">
        <v>81.218841729241603</v>
      </c>
      <c r="AK7435">
        <v>0.66959472470629999</v>
      </c>
      <c r="AL7435">
        <v>81.2474251595971</v>
      </c>
      <c r="AM7435">
        <v>81.773441916794496</v>
      </c>
      <c r="AN7435">
        <v>0.99999998388752398</v>
      </c>
    </row>
    <row r="7436" spans="1:40" x14ac:dyDescent="0.25">
      <c r="A7436" t="str">
        <f>"20190312173109705"</f>
        <v>20190312173109705</v>
      </c>
      <c r="B7436" t="str">
        <f>"1552383069694782"</f>
        <v>1552383069694782</v>
      </c>
      <c r="C7436" t="s">
        <v>40</v>
      </c>
      <c r="D7436">
        <v>3.913967</v>
      </c>
      <c r="E7436">
        <v>0.49061090000000002</v>
      </c>
      <c r="F7436" t="s">
        <v>42</v>
      </c>
      <c r="G7436">
        <v>-166.78809999999999</v>
      </c>
      <c r="H7436">
        <v>1.0252920000000001</v>
      </c>
      <c r="I7436">
        <v>137.35319999999999</v>
      </c>
      <c r="J7436">
        <v>-167.48939999999999</v>
      </c>
      <c r="K7436">
        <v>1.108493</v>
      </c>
      <c r="L7436">
        <v>137.31020000000001</v>
      </c>
      <c r="M7436">
        <v>0.97948979999999997</v>
      </c>
      <c r="N7436">
        <v>0</v>
      </c>
      <c r="O7436">
        <v>0.2010091</v>
      </c>
      <c r="P7436">
        <v>0.98843320000000001</v>
      </c>
      <c r="Q7436">
        <v>0.1388662</v>
      </c>
      <c r="R7436">
        <v>6.0959039999999999E-2</v>
      </c>
      <c r="S7436">
        <v>3.0592190000000001</v>
      </c>
      <c r="T7436">
        <v>-0.28868719999999998</v>
      </c>
      <c r="U7436">
        <v>0.26940920000000002</v>
      </c>
      <c r="V7436">
        <v>0.13966310000000001</v>
      </c>
      <c r="W7436">
        <v>0.15193409999999999</v>
      </c>
      <c r="X7436">
        <v>0.97847340000000005</v>
      </c>
      <c r="Y7436">
        <v>0.11295040000000001</v>
      </c>
      <c r="Z7436">
        <v>-2.4060249999999998E-2</v>
      </c>
      <c r="AA7436">
        <v>0.99330929999999995</v>
      </c>
      <c r="AB7436">
        <v>23</v>
      </c>
      <c r="AC7436">
        <v>0.70130000000000303</v>
      </c>
      <c r="AD7436">
        <v>-8.3200999999999803E-2</v>
      </c>
      <c r="AE7436">
        <v>4.2999999999977903E-2</v>
      </c>
      <c r="AF7436">
        <v>9.74921969173487E-2</v>
      </c>
      <c r="AG7436">
        <v>-8.3200999999999803E-2</v>
      </c>
      <c r="AH7436">
        <v>0.686008019352495</v>
      </c>
      <c r="AI7436">
        <v>96.847084390423703</v>
      </c>
      <c r="AJ7436">
        <v>81.911559496987493</v>
      </c>
      <c r="AK7436">
        <v>0.69787831136717804</v>
      </c>
      <c r="AL7436">
        <v>81.260972612910294</v>
      </c>
      <c r="AM7436">
        <v>81.876715939891596</v>
      </c>
      <c r="AN7436">
        <v>0.999999973375989</v>
      </c>
    </row>
    <row r="7437" spans="1:40" x14ac:dyDescent="0.25">
      <c r="A7437" t="str">
        <f>"20190312173109721"</f>
        <v>20190312173109721</v>
      </c>
      <c r="B7437" t="str">
        <f>"1552383069715278"</f>
        <v>1552383069715278</v>
      </c>
      <c r="C7437" t="s">
        <v>40</v>
      </c>
      <c r="D7437">
        <v>3.9350589999999999</v>
      </c>
      <c r="E7437">
        <v>0.49048999999999998</v>
      </c>
      <c r="F7437" t="s">
        <v>42</v>
      </c>
      <c r="G7437">
        <v>-166.58269999999999</v>
      </c>
      <c r="H7437">
        <v>1.022483</v>
      </c>
      <c r="I7437">
        <v>137.38939999999999</v>
      </c>
      <c r="J7437">
        <v>-167.32480000000001</v>
      </c>
      <c r="K7437">
        <v>1.1085879999999999</v>
      </c>
      <c r="L7437">
        <v>137.3415</v>
      </c>
      <c r="M7437">
        <v>0.9798964</v>
      </c>
      <c r="N7437">
        <v>0</v>
      </c>
      <c r="O7437">
        <v>0.1990188</v>
      </c>
      <c r="P7437">
        <v>0.98810770000000003</v>
      </c>
      <c r="Q7437">
        <v>0.13943410000000001</v>
      </c>
      <c r="R7437">
        <v>6.4818399999999998E-2</v>
      </c>
      <c r="S7437">
        <v>3.0593569999999999</v>
      </c>
      <c r="T7437">
        <v>-0.29012739999999998</v>
      </c>
      <c r="U7437">
        <v>0.26777649999999997</v>
      </c>
      <c r="V7437">
        <v>0.13379630000000001</v>
      </c>
      <c r="W7437">
        <v>0.15254529999999999</v>
      </c>
      <c r="X7437">
        <v>0.97919789999999995</v>
      </c>
      <c r="Y7437">
        <v>0.11146349999999999</v>
      </c>
      <c r="Z7437">
        <v>-2.3925020000000002E-2</v>
      </c>
      <c r="AA7437">
        <v>0.99348049999999999</v>
      </c>
      <c r="AB7437">
        <v>23</v>
      </c>
      <c r="AC7437">
        <v>0.74210000000002097</v>
      </c>
      <c r="AD7437">
        <v>-8.6104999999999807E-2</v>
      </c>
      <c r="AE7437">
        <v>4.7899999999998499E-2</v>
      </c>
      <c r="AF7437">
        <v>9.9431554490180596E-2</v>
      </c>
      <c r="AG7437">
        <v>-8.6104999999999807E-2</v>
      </c>
      <c r="AH7437">
        <v>0.72703851273267694</v>
      </c>
      <c r="AI7437">
        <v>96.692496518592407</v>
      </c>
      <c r="AJ7437">
        <v>82.212403052468702</v>
      </c>
      <c r="AK7437">
        <v>0.73884078396490604</v>
      </c>
      <c r="AL7437">
        <v>81.2255408571543</v>
      </c>
      <c r="AM7437">
        <v>82.2193638878705</v>
      </c>
      <c r="AN7437">
        <v>1.00000002290509</v>
      </c>
    </row>
    <row r="7438" spans="1:40" x14ac:dyDescent="0.25">
      <c r="A7438" t="str">
        <f>"20190312173109738"</f>
        <v>20190312173109738</v>
      </c>
      <c r="B7438" t="str">
        <f>"1552383069734799"</f>
        <v>1552383069734799</v>
      </c>
      <c r="C7438" t="s">
        <v>40</v>
      </c>
      <c r="D7438">
        <v>3.940699</v>
      </c>
      <c r="E7438">
        <v>0.4902358</v>
      </c>
      <c r="F7438" t="s">
        <v>42</v>
      </c>
      <c r="G7438">
        <v>-166.57910000000001</v>
      </c>
      <c r="H7438">
        <v>1.0379</v>
      </c>
      <c r="I7438">
        <v>137.4091</v>
      </c>
      <c r="J7438">
        <v>-167.15029999999999</v>
      </c>
      <c r="K7438">
        <v>1.10866</v>
      </c>
      <c r="L7438">
        <v>137.37440000000001</v>
      </c>
      <c r="M7438">
        <v>0.98031060000000003</v>
      </c>
      <c r="N7438">
        <v>0</v>
      </c>
      <c r="O7438">
        <v>0.1969698</v>
      </c>
      <c r="P7438">
        <v>0.98781560000000002</v>
      </c>
      <c r="Q7438">
        <v>0.14076</v>
      </c>
      <c r="R7438">
        <v>6.6386410000000007E-2</v>
      </c>
      <c r="S7438">
        <v>3.0588069999999998</v>
      </c>
      <c r="T7438">
        <v>-0.28987459999999998</v>
      </c>
      <c r="U7438">
        <v>0.27760309999999999</v>
      </c>
      <c r="V7438">
        <v>0.13013339999999901</v>
      </c>
      <c r="W7438">
        <v>0.1538921</v>
      </c>
      <c r="X7438">
        <v>0.97948069999999998</v>
      </c>
      <c r="Y7438">
        <v>0.106236999999999</v>
      </c>
      <c r="Z7438">
        <v>-2.3467490000000001E-2</v>
      </c>
      <c r="AA7438">
        <v>0.9940639</v>
      </c>
      <c r="AB7438">
        <v>23</v>
      </c>
      <c r="AC7438">
        <v>0.57119999999997595</v>
      </c>
      <c r="AD7438">
        <v>-7.0759999999999906E-2</v>
      </c>
      <c r="AE7438">
        <v>3.4699999999986603E-2</v>
      </c>
      <c r="AF7438">
        <v>7.7317820215364499E-2</v>
      </c>
      <c r="AG7438">
        <v>-7.0759999999999906E-2</v>
      </c>
      <c r="AH7438">
        <v>0.55830690585533305</v>
      </c>
      <c r="AI7438">
        <v>97.155601754269895</v>
      </c>
      <c r="AJ7438">
        <v>82.115472414058203</v>
      </c>
      <c r="AK7438">
        <v>0.56805952509276003</v>
      </c>
      <c r="AL7438">
        <v>81.147452304541403</v>
      </c>
      <c r="AM7438">
        <v>82.432027898444503</v>
      </c>
      <c r="AN7438">
        <v>0.99999996095522903</v>
      </c>
    </row>
    <row r="7439" spans="1:40" x14ac:dyDescent="0.25">
      <c r="A7439" t="str">
        <f>"20190312173109755"</f>
        <v>20190312173109755</v>
      </c>
      <c r="B7439" t="str">
        <f>"1552383069744558"</f>
        <v>1552383069744558</v>
      </c>
      <c r="C7439" t="s">
        <v>40</v>
      </c>
      <c r="D7439">
        <v>3.87683</v>
      </c>
      <c r="E7439">
        <v>0.49022959999999899</v>
      </c>
      <c r="F7439" t="s">
        <v>42</v>
      </c>
      <c r="G7439">
        <v>-166.37379999999999</v>
      </c>
      <c r="H7439">
        <v>1.0356339999999999</v>
      </c>
      <c r="I7439">
        <v>137.446</v>
      </c>
      <c r="J7439">
        <v>-166.9769</v>
      </c>
      <c r="K7439">
        <v>1.1087089999999999</v>
      </c>
      <c r="L7439">
        <v>137.4068</v>
      </c>
      <c r="M7439">
        <v>0.98071220000000003</v>
      </c>
      <c r="N7439">
        <v>0</v>
      </c>
      <c r="O7439">
        <v>0.1949612</v>
      </c>
      <c r="P7439">
        <v>0.98724100000000004</v>
      </c>
      <c r="Q7439">
        <v>0.14355319999999999</v>
      </c>
      <c r="R7439">
        <v>6.8903510000000001E-2</v>
      </c>
      <c r="S7439">
        <v>3.059021</v>
      </c>
      <c r="T7439">
        <v>-0.28763850000000002</v>
      </c>
      <c r="U7439">
        <v>0.28256229999999999</v>
      </c>
      <c r="V7439">
        <v>0.1255396</v>
      </c>
      <c r="W7439">
        <v>0.15670139999999999</v>
      </c>
      <c r="X7439">
        <v>0.97963489999999998</v>
      </c>
      <c r="Y7439">
        <v>0.1026526</v>
      </c>
      <c r="Z7439">
        <v>-2.2931010000000002E-2</v>
      </c>
      <c r="AA7439">
        <v>0.99445289999999997</v>
      </c>
      <c r="AB7439">
        <v>23</v>
      </c>
      <c r="AC7439">
        <v>0.60310000000001196</v>
      </c>
      <c r="AD7439">
        <v>-7.3075000000000001E-2</v>
      </c>
      <c r="AE7439">
        <v>3.9199999999993899E-2</v>
      </c>
      <c r="AF7439">
        <v>7.80044726867654E-2</v>
      </c>
      <c r="AG7439">
        <v>-7.3075000000000001E-2</v>
      </c>
      <c r="AH7439">
        <v>0.59053480667978198</v>
      </c>
      <c r="AI7439">
        <v>96.993993164775901</v>
      </c>
      <c r="AJ7439">
        <v>82.475291804581104</v>
      </c>
      <c r="AK7439">
        <v>0.60012999532140299</v>
      </c>
      <c r="AL7439">
        <v>80.984515037192196</v>
      </c>
      <c r="AM7439">
        <v>82.697383265261493</v>
      </c>
      <c r="AN7439">
        <v>1.00000002861406</v>
      </c>
    </row>
    <row r="7440" spans="1:40" x14ac:dyDescent="0.25">
      <c r="A7440" t="str">
        <f>"20190312173109777"</f>
        <v>20190312173109777</v>
      </c>
      <c r="B7440" t="str">
        <f>"1552383069774814"</f>
        <v>1552383069774814</v>
      </c>
      <c r="C7440" t="s">
        <v>40</v>
      </c>
      <c r="D7440">
        <v>4.2954889999999999</v>
      </c>
      <c r="E7440">
        <v>0.4901915</v>
      </c>
      <c r="F7440" t="s">
        <v>42</v>
      </c>
      <c r="G7440">
        <v>-166.16810000000001</v>
      </c>
      <c r="H7440">
        <v>1.0348409999999999</v>
      </c>
      <c r="I7440">
        <v>137.48310000000001</v>
      </c>
      <c r="J7440">
        <v>-166.74930000000001</v>
      </c>
      <c r="K7440">
        <v>1.1087209999999901</v>
      </c>
      <c r="L7440">
        <v>137.44890000000001</v>
      </c>
      <c r="M7440">
        <v>0.98123000000000005</v>
      </c>
      <c r="N7440">
        <v>0</v>
      </c>
      <c r="O7440">
        <v>0.1923397</v>
      </c>
      <c r="P7440">
        <v>0.98699910000000002</v>
      </c>
      <c r="Q7440">
        <v>0.14382519999999999</v>
      </c>
      <c r="R7440">
        <v>7.174142E-2</v>
      </c>
      <c r="S7440">
        <v>3.0592350000000001</v>
      </c>
      <c r="T7440">
        <v>-0.27944289999999999</v>
      </c>
      <c r="U7440">
        <v>0.28869630000000002</v>
      </c>
      <c r="V7440">
        <v>0.1200799</v>
      </c>
      <c r="W7440">
        <v>0.15699050000000001</v>
      </c>
      <c r="X7440">
        <v>0.98027280000000006</v>
      </c>
      <c r="Y7440">
        <v>9.8124820000000001E-2</v>
      </c>
      <c r="Z7440">
        <v>-2.1836089999999999E-2</v>
      </c>
      <c r="AA7440">
        <v>0.99493450000000005</v>
      </c>
      <c r="AB7440">
        <v>23</v>
      </c>
      <c r="AC7440">
        <v>0.58119999999999505</v>
      </c>
      <c r="AD7440">
        <v>-7.3879999999999904E-2</v>
      </c>
      <c r="AE7440">
        <v>3.4199999999998398E-2</v>
      </c>
      <c r="AF7440">
        <v>7.6997448422954806E-2</v>
      </c>
      <c r="AG7440">
        <v>-7.3879999999999904E-2</v>
      </c>
      <c r="AH7440">
        <v>0.56778173107906105</v>
      </c>
      <c r="AI7440">
        <v>97.347191079733904</v>
      </c>
      <c r="AJ7440">
        <v>82.277173885012502</v>
      </c>
      <c r="AK7440">
        <v>0.57772221318794703</v>
      </c>
      <c r="AL7440">
        <v>80.967742810477802</v>
      </c>
      <c r="AM7440">
        <v>83.016265122909402</v>
      </c>
      <c r="AN7440">
        <v>0.99999998094704901</v>
      </c>
    </row>
    <row r="7441" spans="1:40" x14ac:dyDescent="0.25">
      <c r="A7441" t="str">
        <f>"20190312173109800"</f>
        <v>20190312173109800</v>
      </c>
      <c r="B7441" t="str">
        <f>"1552383069795311"</f>
        <v>1552383069795311</v>
      </c>
      <c r="C7441" t="s">
        <v>40</v>
      </c>
      <c r="D7441">
        <v>3.8696760000000001</v>
      </c>
      <c r="E7441">
        <v>0.49021419999999999</v>
      </c>
      <c r="F7441" t="s">
        <v>42</v>
      </c>
      <c r="G7441">
        <v>-165.9623</v>
      </c>
      <c r="H7441">
        <v>1.0366709999999999</v>
      </c>
      <c r="I7441">
        <v>137.52510000000001</v>
      </c>
      <c r="J7441">
        <v>-166.51509999999999</v>
      </c>
      <c r="K7441">
        <v>1.1086940000000001</v>
      </c>
      <c r="L7441">
        <v>137.4915</v>
      </c>
      <c r="M7441">
        <v>0.98175849999999998</v>
      </c>
      <c r="N7441">
        <v>0</v>
      </c>
      <c r="O7441">
        <v>0.18962470000000001</v>
      </c>
      <c r="P7441">
        <v>0.98706879999999997</v>
      </c>
      <c r="Q7441">
        <v>0.14220579999999999</v>
      </c>
      <c r="R7441">
        <v>7.3977609999999999E-2</v>
      </c>
      <c r="S7441">
        <v>3.058716</v>
      </c>
      <c r="T7441">
        <v>-0.27994989999999997</v>
      </c>
      <c r="U7441">
        <v>0.2968903</v>
      </c>
      <c r="V7441">
        <v>0.115179</v>
      </c>
      <c r="W7441">
        <v>0.1553821</v>
      </c>
      <c r="X7441">
        <v>0.98111680000000001</v>
      </c>
      <c r="Y7441">
        <v>9.2742610000000003E-2</v>
      </c>
      <c r="Z7441">
        <v>-2.138733E-2</v>
      </c>
      <c r="AA7441">
        <v>0.99546040000000002</v>
      </c>
      <c r="AB7441">
        <v>23</v>
      </c>
      <c r="AC7441">
        <v>0.55279999999998997</v>
      </c>
      <c r="AD7441">
        <v>-7.2023000000000101E-2</v>
      </c>
      <c r="AE7441">
        <v>3.3600000000006902E-2</v>
      </c>
      <c r="AF7441">
        <v>7.0649519983054201E-2</v>
      </c>
      <c r="AG7441">
        <v>-7.2023000000000101E-2</v>
      </c>
      <c r="AH7441">
        <v>0.54000759053089598</v>
      </c>
      <c r="AI7441">
        <v>97.533481847698496</v>
      </c>
      <c r="AJ7441">
        <v>82.546293575328605</v>
      </c>
      <c r="AK7441">
        <v>0.54935131294447603</v>
      </c>
      <c r="AL7441">
        <v>81.061042418932701</v>
      </c>
      <c r="AM7441">
        <v>83.304362660560201</v>
      </c>
      <c r="AN7441">
        <v>0.99999998714182503</v>
      </c>
    </row>
    <row r="7442" spans="1:40" x14ac:dyDescent="0.25">
      <c r="A7442" t="str">
        <f>"20190312173109823"</f>
        <v>20190312173109823</v>
      </c>
      <c r="B7442" t="str">
        <f>"1552383069814831"</f>
        <v>1552383069814831</v>
      </c>
      <c r="C7442" t="s">
        <v>40</v>
      </c>
      <c r="D7442">
        <v>3.9845160000000002</v>
      </c>
      <c r="E7442">
        <v>0.49028100000000002</v>
      </c>
      <c r="F7442" t="s">
        <v>42</v>
      </c>
      <c r="G7442">
        <v>-165.75700000000001</v>
      </c>
      <c r="H7442">
        <v>1.0379339999999999</v>
      </c>
      <c r="I7442">
        <v>137.5669</v>
      </c>
      <c r="J7442">
        <v>-166.28190000000001</v>
      </c>
      <c r="K7442">
        <v>1.1086419999999999</v>
      </c>
      <c r="L7442">
        <v>137.53319999999999</v>
      </c>
      <c r="M7442">
        <v>0.98228570000000004</v>
      </c>
      <c r="N7442">
        <v>0</v>
      </c>
      <c r="O7442">
        <v>0.1868754</v>
      </c>
      <c r="P7442">
        <v>0.98743320000000001</v>
      </c>
      <c r="Q7442">
        <v>0.13859340000000001</v>
      </c>
      <c r="R7442">
        <v>7.5944650000000002E-2</v>
      </c>
      <c r="S7442">
        <v>3.0575709999999998</v>
      </c>
      <c r="T7442">
        <v>-0.28536640000000002</v>
      </c>
      <c r="U7442">
        <v>0.30455019999999999</v>
      </c>
      <c r="V7442">
        <v>0.11056059999999999</v>
      </c>
      <c r="W7442">
        <v>0.15178139999999901</v>
      </c>
      <c r="X7442">
        <v>0.98221119999999995</v>
      </c>
      <c r="Y7442">
        <v>8.7436799999999995E-2</v>
      </c>
      <c r="Z7442">
        <v>-2.130657E-2</v>
      </c>
      <c r="AA7442">
        <v>0.9959422</v>
      </c>
      <c r="AB7442">
        <v>23</v>
      </c>
      <c r="AC7442">
        <v>0.52490000000000203</v>
      </c>
      <c r="AD7442">
        <v>-7.0707999999999993E-2</v>
      </c>
      <c r="AE7442">
        <v>3.3700000000010201E-2</v>
      </c>
      <c r="AF7442">
        <v>6.3840420846224599E-2</v>
      </c>
      <c r="AG7442">
        <v>-7.0707999999999993E-2</v>
      </c>
      <c r="AH7442">
        <v>0.51268462564275996</v>
      </c>
      <c r="AI7442">
        <v>97.793094173192799</v>
      </c>
      <c r="AJ7442">
        <v>82.901961630482802</v>
      </c>
      <c r="AK7442">
        <v>0.52146020554619499</v>
      </c>
      <c r="AL7442">
        <v>81.269824928677593</v>
      </c>
      <c r="AM7442">
        <v>83.577651038212494</v>
      </c>
      <c r="AN7442">
        <v>1.0000000405318701</v>
      </c>
    </row>
    <row r="7443" spans="1:40" x14ac:dyDescent="0.25">
      <c r="A7443" t="str">
        <f>"20190312173109846"</f>
        <v>20190312173109846</v>
      </c>
      <c r="B7443" t="str">
        <f>"1552383069835326"</f>
        <v>1552383069835326</v>
      </c>
      <c r="C7443" t="s">
        <v>40</v>
      </c>
      <c r="D7443">
        <v>3.9889220000000001</v>
      </c>
      <c r="E7443">
        <v>0.4903631</v>
      </c>
      <c r="F7443" t="s">
        <v>42</v>
      </c>
      <c r="G7443">
        <v>-165.5523</v>
      </c>
      <c r="H7443">
        <v>1.0375399999999999</v>
      </c>
      <c r="I7443">
        <v>137.60659999999999</v>
      </c>
      <c r="J7443">
        <v>-166.0539</v>
      </c>
      <c r="K7443">
        <v>1.1085780000000001</v>
      </c>
      <c r="L7443">
        <v>137.57329999999999</v>
      </c>
      <c r="M7443">
        <v>0.98280679999999998</v>
      </c>
      <c r="N7443">
        <v>0</v>
      </c>
      <c r="O7443">
        <v>0.184116</v>
      </c>
      <c r="P7443">
        <v>0.98792460000000004</v>
      </c>
      <c r="Q7443">
        <v>0.134544</v>
      </c>
      <c r="R7443">
        <v>7.6830410000000002E-2</v>
      </c>
      <c r="S7443">
        <v>3.056244</v>
      </c>
      <c r="T7443">
        <v>-0.29776360000000002</v>
      </c>
      <c r="U7443">
        <v>0.30824279999999998</v>
      </c>
      <c r="V7443">
        <v>0.107015899999999</v>
      </c>
      <c r="W7443">
        <v>0.1477377</v>
      </c>
      <c r="X7443">
        <v>0.98321979999999998</v>
      </c>
      <c r="Y7443">
        <v>8.3332000000000003E-2</v>
      </c>
      <c r="Z7443">
        <v>-2.177391E-2</v>
      </c>
      <c r="AA7443">
        <v>0.9962839</v>
      </c>
      <c r="AB7443">
        <v>23</v>
      </c>
      <c r="AC7443">
        <v>0.50159999999999605</v>
      </c>
      <c r="AD7443">
        <v>-7.1038000000000101E-2</v>
      </c>
      <c r="AE7443">
        <v>3.3299999999996999E-2</v>
      </c>
      <c r="AF7443">
        <v>5.8463390724342403E-2</v>
      </c>
      <c r="AG7443">
        <v>-7.1038000000000101E-2</v>
      </c>
      <c r="AH7443">
        <v>0.48938241562130103</v>
      </c>
      <c r="AI7443">
        <v>98.201762565563797</v>
      </c>
      <c r="AJ7443">
        <v>83.187525040120903</v>
      </c>
      <c r="AK7443">
        <v>0.49795533355746602</v>
      </c>
      <c r="AL7443">
        <v>81.504154380344801</v>
      </c>
      <c r="AM7443">
        <v>83.788248295122798</v>
      </c>
      <c r="AN7443">
        <v>1.00000000298307</v>
      </c>
    </row>
    <row r="7444" spans="1:40" x14ac:dyDescent="0.25">
      <c r="A7444" t="str">
        <f>"20190312173109867"</f>
        <v>20190312173109867</v>
      </c>
      <c r="B7444" t="str">
        <f>"1552383069854846"</f>
        <v>1552383069854846</v>
      </c>
      <c r="C7444" t="s">
        <v>40</v>
      </c>
      <c r="D7444">
        <v>3.983816</v>
      </c>
      <c r="E7444">
        <v>0.49050379999999899</v>
      </c>
      <c r="F7444" t="s">
        <v>42</v>
      </c>
      <c r="G7444">
        <v>-165.15</v>
      </c>
      <c r="H7444">
        <v>1.01623</v>
      </c>
      <c r="I7444">
        <v>137.6645</v>
      </c>
      <c r="J7444">
        <v>-165.83090000000001</v>
      </c>
      <c r="K7444">
        <v>1.1085130000000001</v>
      </c>
      <c r="L7444">
        <v>137.61179999999999</v>
      </c>
      <c r="M7444">
        <v>0.98332180000000002</v>
      </c>
      <c r="N7444">
        <v>0</v>
      </c>
      <c r="O7444">
        <v>0.18134639999999999</v>
      </c>
      <c r="P7444">
        <v>0.98820030000000003</v>
      </c>
      <c r="Q7444">
        <v>0.13283719999999999</v>
      </c>
      <c r="R7444">
        <v>7.6253589999999996E-2</v>
      </c>
      <c r="S7444">
        <v>3.055145</v>
      </c>
      <c r="T7444">
        <v>-0.31210320000000003</v>
      </c>
      <c r="U7444">
        <v>0.30880740000000001</v>
      </c>
      <c r="V7444">
        <v>0.1048674</v>
      </c>
      <c r="W7444">
        <v>0.1460255</v>
      </c>
      <c r="X7444">
        <v>0.983707</v>
      </c>
      <c r="Y7444">
        <v>8.0213060000000003E-2</v>
      </c>
      <c r="Z7444">
        <v>-2.2389940000000001E-2</v>
      </c>
      <c r="AA7444">
        <v>0.99652620000000003</v>
      </c>
      <c r="AB7444">
        <v>23</v>
      </c>
      <c r="AC7444">
        <v>0.68090000000000805</v>
      </c>
      <c r="AD7444">
        <v>-9.2282999999999796E-2</v>
      </c>
      <c r="AE7444">
        <v>5.27000000000157E-2</v>
      </c>
      <c r="AF7444">
        <v>7.0379498241430596E-2</v>
      </c>
      <c r="AG7444">
        <v>-9.2282999999999796E-2</v>
      </c>
      <c r="AH7444">
        <v>0.66698719191830802</v>
      </c>
      <c r="AI7444">
        <v>97.834368067370804</v>
      </c>
      <c r="AJ7444">
        <v>83.976523862346696</v>
      </c>
      <c r="AK7444">
        <v>0.67700911370880801</v>
      </c>
      <c r="AL7444">
        <v>81.603332211539097</v>
      </c>
      <c r="AM7444">
        <v>83.915004794163494</v>
      </c>
      <c r="AN7444">
        <v>1.0000000400410001</v>
      </c>
    </row>
    <row r="7445" spans="1:40" x14ac:dyDescent="0.25">
      <c r="A7445" t="str">
        <f>"20190312173109889"</f>
        <v>20190312173109889</v>
      </c>
      <c r="B7445" t="str">
        <f>"1552383069885105"</f>
        <v>1552383069885105</v>
      </c>
      <c r="C7445" t="s">
        <v>40</v>
      </c>
      <c r="D7445">
        <v>4.0343730000000004</v>
      </c>
      <c r="E7445">
        <v>0.49077500000000002</v>
      </c>
      <c r="F7445" t="s">
        <v>42</v>
      </c>
      <c r="G7445">
        <v>-164.9451</v>
      </c>
      <c r="H7445">
        <v>1.0161249999999999</v>
      </c>
      <c r="I7445">
        <v>137.69999999999999</v>
      </c>
      <c r="J7445">
        <v>-165.59729999999999</v>
      </c>
      <c r="K7445">
        <v>1.1084579999999999</v>
      </c>
      <c r="L7445">
        <v>137.65129999999999</v>
      </c>
      <c r="M7445">
        <v>0.9838652</v>
      </c>
      <c r="N7445">
        <v>0</v>
      </c>
      <c r="O7445">
        <v>0.1783749</v>
      </c>
      <c r="P7445">
        <v>0.98834710000000003</v>
      </c>
      <c r="Q7445">
        <v>0.1325972</v>
      </c>
      <c r="R7445">
        <v>7.4752609999999997E-2</v>
      </c>
      <c r="S7445">
        <v>3.0551759999999999</v>
      </c>
      <c r="T7445">
        <v>-0.31866149999999999</v>
      </c>
      <c r="U7445">
        <v>0.30439759999999999</v>
      </c>
      <c r="V7445">
        <v>0.10340920000000001</v>
      </c>
      <c r="W7445">
        <v>0.1457745</v>
      </c>
      <c r="X7445">
        <v>0.98389850000000001</v>
      </c>
      <c r="Y7445">
        <v>7.8594339999999999E-2</v>
      </c>
      <c r="Z7445">
        <v>-2.2472809999999999E-2</v>
      </c>
      <c r="AA7445">
        <v>0.99665340000000002</v>
      </c>
      <c r="AB7445">
        <v>23</v>
      </c>
      <c r="AC7445">
        <v>0.65219999999999301</v>
      </c>
      <c r="AD7445">
        <v>-9.2332999999999998E-2</v>
      </c>
      <c r="AE7445">
        <v>4.86999999999966E-2</v>
      </c>
      <c r="AF7445">
        <v>6.7091211472680906E-2</v>
      </c>
      <c r="AG7445">
        <v>-9.2332999999999998E-2</v>
      </c>
      <c r="AH7445">
        <v>0.63771551977548901</v>
      </c>
      <c r="AI7445">
        <v>98.1938397570554</v>
      </c>
      <c r="AJ7445">
        <v>83.994258626372599</v>
      </c>
      <c r="AK7445">
        <v>0.64784851447571801</v>
      </c>
      <c r="AL7445">
        <v>81.617868353618704</v>
      </c>
      <c r="AM7445">
        <v>84.000155479045404</v>
      </c>
      <c r="AN7445">
        <v>0.99999996289856896</v>
      </c>
    </row>
    <row r="7446" spans="1:40" x14ac:dyDescent="0.25">
      <c r="A7446" t="str">
        <f>"20190312173109911"</f>
        <v>20190312173109911</v>
      </c>
      <c r="B7446" t="str">
        <f>"1552383069904626"</f>
        <v>1552383069904626</v>
      </c>
      <c r="C7446" t="s">
        <v>40</v>
      </c>
      <c r="D7446">
        <v>4.0235399999999997</v>
      </c>
      <c r="E7446">
        <v>0.49099759999999998</v>
      </c>
      <c r="F7446" t="s">
        <v>42</v>
      </c>
      <c r="G7446">
        <v>-164.73920000000001</v>
      </c>
      <c r="H7446">
        <v>1.018405</v>
      </c>
      <c r="I7446">
        <v>137.73500000000001</v>
      </c>
      <c r="J7446">
        <v>-165.37270000000001</v>
      </c>
      <c r="K7446">
        <v>1.1084179999999999</v>
      </c>
      <c r="L7446">
        <v>137.68860000000001</v>
      </c>
      <c r="M7446">
        <v>0.9843906</v>
      </c>
      <c r="N7446">
        <v>0</v>
      </c>
      <c r="O7446">
        <v>0.175453</v>
      </c>
      <c r="P7446">
        <v>0.98854830000000005</v>
      </c>
      <c r="Q7446">
        <v>0.13224939999999999</v>
      </c>
      <c r="R7446">
        <v>7.2681460000000003E-2</v>
      </c>
      <c r="S7446">
        <v>3.0558320000000001</v>
      </c>
      <c r="T7446">
        <v>-0.32067079999999998</v>
      </c>
      <c r="U7446">
        <v>0.29853819999999998</v>
      </c>
      <c r="V7446">
        <v>0.10257089999999899</v>
      </c>
      <c r="W7446">
        <v>0.1454155</v>
      </c>
      <c r="X7446">
        <v>0.98403940000000001</v>
      </c>
      <c r="Y7446">
        <v>7.7552389999999999E-2</v>
      </c>
      <c r="Z7446">
        <v>-2.225734E-2</v>
      </c>
      <c r="AA7446">
        <v>0.99673979999999995</v>
      </c>
      <c r="AB7446">
        <v>23</v>
      </c>
      <c r="AC7446">
        <v>0.63349999999999795</v>
      </c>
      <c r="AD7446">
        <v>-9.0013000000000107E-2</v>
      </c>
      <c r="AE7446">
        <v>4.6400000000005499E-2</v>
      </c>
      <c r="AF7446">
        <v>6.4190974579671795E-2</v>
      </c>
      <c r="AG7446">
        <v>-9.0013000000000107E-2</v>
      </c>
      <c r="AH7446">
        <v>0.61937502202588601</v>
      </c>
      <c r="AI7446">
        <v>98.225386254610299</v>
      </c>
      <c r="AJ7446">
        <v>84.083086773572802</v>
      </c>
      <c r="AK7446">
        <v>0.62916471555233799</v>
      </c>
      <c r="AL7446">
        <v>81.638659383284903</v>
      </c>
      <c r="AM7446">
        <v>84.049289527206497</v>
      </c>
      <c r="AN7446">
        <v>0.99999999895971003</v>
      </c>
    </row>
    <row r="7447" spans="1:40" x14ac:dyDescent="0.25">
      <c r="A7447" t="str">
        <f>"20190312173109934"</f>
        <v>20190312173109934</v>
      </c>
      <c r="B7447" t="str">
        <f>"1552383069925118"</f>
        <v>1552383069925118</v>
      </c>
      <c r="C7447" t="s">
        <v>40</v>
      </c>
      <c r="D7447">
        <v>4.0412610000000004</v>
      </c>
      <c r="E7447">
        <v>0.49123250000000002</v>
      </c>
      <c r="F7447" t="s">
        <v>42</v>
      </c>
      <c r="G7447">
        <v>-164.53370000000001</v>
      </c>
      <c r="H7447">
        <v>1.019881</v>
      </c>
      <c r="I7447">
        <v>137.76830000000001</v>
      </c>
      <c r="J7447">
        <v>-165.13829999999999</v>
      </c>
      <c r="K7447">
        <v>1.108363</v>
      </c>
      <c r="L7447">
        <v>137.7268</v>
      </c>
      <c r="M7447">
        <v>0.98494139999999997</v>
      </c>
      <c r="N7447">
        <v>0</v>
      </c>
      <c r="O7447">
        <v>0.1723344</v>
      </c>
      <c r="P7447">
        <v>0.98866770000000004</v>
      </c>
      <c r="Q7447">
        <v>0.1326736</v>
      </c>
      <c r="R7447">
        <v>7.0241129999999999E-2</v>
      </c>
      <c r="S7447">
        <v>3.056549</v>
      </c>
      <c r="T7447">
        <v>-0.32253860000000001</v>
      </c>
      <c r="U7447">
        <v>0.29038999999999998</v>
      </c>
      <c r="V7447">
        <v>0.1018921</v>
      </c>
      <c r="W7447">
        <v>0.1458255</v>
      </c>
      <c r="X7447">
        <v>0.98404930000000002</v>
      </c>
      <c r="Y7447">
        <v>7.7054079999999997E-2</v>
      </c>
      <c r="Z7447">
        <v>-2.2036500000000001E-2</v>
      </c>
      <c r="AA7447">
        <v>0.99678339999999999</v>
      </c>
      <c r="AB7447">
        <v>23</v>
      </c>
      <c r="AC7447">
        <v>0.60459999999997605</v>
      </c>
      <c r="AD7447">
        <v>-8.8481999999999894E-2</v>
      </c>
      <c r="AE7447">
        <v>4.1500000000013401E-2</v>
      </c>
      <c r="AF7447">
        <v>6.2002638340236699E-2</v>
      </c>
      <c r="AG7447">
        <v>-8.8481999999999894E-2</v>
      </c>
      <c r="AH7447">
        <v>0.59012522104399301</v>
      </c>
      <c r="AI7447">
        <v>98.481273197370498</v>
      </c>
      <c r="AJ7447">
        <v>84.002114755895903</v>
      </c>
      <c r="AK7447">
        <v>0.59993430306773798</v>
      </c>
      <c r="AL7447">
        <v>81.614915447529697</v>
      </c>
      <c r="AM7447">
        <v>84.088449745925701</v>
      </c>
      <c r="AN7447">
        <v>1.0000000506615701</v>
      </c>
    </row>
    <row r="7448" spans="1:40" x14ac:dyDescent="0.25">
      <c r="A7448" t="str">
        <f>"20190312173109956"</f>
        <v>20190312173109956</v>
      </c>
      <c r="B7448" t="str">
        <f>"1552383069944638"</f>
        <v>1552383069944638</v>
      </c>
      <c r="C7448" t="s">
        <v>40</v>
      </c>
      <c r="D7448">
        <v>4.0603600000000002</v>
      </c>
      <c r="E7448">
        <v>0.49147819999999998</v>
      </c>
      <c r="F7448" t="s">
        <v>42</v>
      </c>
      <c r="G7448">
        <v>-164.32749999999999</v>
      </c>
      <c r="H7448">
        <v>1.0229760000000001</v>
      </c>
      <c r="I7448">
        <v>137.80109999999999</v>
      </c>
      <c r="J7448">
        <v>-164.91640000000001</v>
      </c>
      <c r="K7448">
        <v>1.1083209999999999</v>
      </c>
      <c r="L7448">
        <v>137.7621</v>
      </c>
      <c r="M7448">
        <v>0.98546509999999998</v>
      </c>
      <c r="N7448">
        <v>0</v>
      </c>
      <c r="O7448">
        <v>0.1693144</v>
      </c>
      <c r="P7448">
        <v>0.98857119999999998</v>
      </c>
      <c r="Q7448">
        <v>0.13473540000000001</v>
      </c>
      <c r="R7448">
        <v>6.7627850000000003E-2</v>
      </c>
      <c r="S7448">
        <v>3.0576479999999999</v>
      </c>
      <c r="T7448">
        <v>-0.32199909999999998</v>
      </c>
      <c r="U7448">
        <v>0.28074650000000001</v>
      </c>
      <c r="V7448">
        <v>0.1014559</v>
      </c>
      <c r="W7448">
        <v>0.14786969999999999</v>
      </c>
      <c r="X7448">
        <v>0.98378920000000003</v>
      </c>
      <c r="Y7448">
        <v>7.7168730000000005E-2</v>
      </c>
      <c r="Z7448">
        <v>-2.169068E-2</v>
      </c>
      <c r="AA7448">
        <v>0.9967821</v>
      </c>
      <c r="AB7448">
        <v>23</v>
      </c>
      <c r="AC7448">
        <v>0.58890000000002296</v>
      </c>
      <c r="AD7448">
        <v>-8.5344999999999699E-2</v>
      </c>
      <c r="AE7448">
        <v>3.8999999999987198E-2</v>
      </c>
      <c r="AF7448">
        <v>6.0026756334686397E-2</v>
      </c>
      <c r="AG7448">
        <v>-8.5344999999999699E-2</v>
      </c>
      <c r="AH7448">
        <v>0.57497650023644398</v>
      </c>
      <c r="AI7448">
        <v>98.397906601681697</v>
      </c>
      <c r="AJ7448">
        <v>84.039989657454996</v>
      </c>
      <c r="AK7448">
        <v>0.58436714172274695</v>
      </c>
      <c r="AL7448">
        <v>81.496507056227202</v>
      </c>
      <c r="AM7448">
        <v>84.112033652278598</v>
      </c>
      <c r="AN7448">
        <v>0.99999996892976895</v>
      </c>
    </row>
    <row r="7449" spans="1:40" x14ac:dyDescent="0.25">
      <c r="A7449" t="str">
        <f>"20190312173109979"</f>
        <v>20190312173109979</v>
      </c>
      <c r="B7449" t="str">
        <f>"1552383069974898"</f>
        <v>1552383069974898</v>
      </c>
      <c r="C7449" t="s">
        <v>40</v>
      </c>
      <c r="D7449">
        <v>4.1046100000000001</v>
      </c>
      <c r="E7449">
        <v>0.49183349999999998</v>
      </c>
      <c r="F7449" t="s">
        <v>42</v>
      </c>
      <c r="G7449">
        <v>-164.12139999999999</v>
      </c>
      <c r="H7449">
        <v>1.026124</v>
      </c>
      <c r="I7449">
        <v>137.83240000000001</v>
      </c>
      <c r="J7449">
        <v>-164.67920000000001</v>
      </c>
      <c r="K7449">
        <v>1.108277</v>
      </c>
      <c r="L7449">
        <v>137.79900000000001</v>
      </c>
      <c r="M7449">
        <v>0.98602699999999999</v>
      </c>
      <c r="N7449">
        <v>0</v>
      </c>
      <c r="O7449">
        <v>0.1660112</v>
      </c>
      <c r="P7449">
        <v>0.98857119999999998</v>
      </c>
      <c r="Q7449">
        <v>0.13592129999999999</v>
      </c>
      <c r="R7449">
        <v>6.5212000000000006E-2</v>
      </c>
      <c r="S7449">
        <v>3.0592800000000002</v>
      </c>
      <c r="T7449">
        <v>-0.316303</v>
      </c>
      <c r="U7449">
        <v>0.2705688</v>
      </c>
      <c r="V7449">
        <v>0.1005605</v>
      </c>
      <c r="W7449">
        <v>0.14904200000000001</v>
      </c>
      <c r="X7449">
        <v>0.98370429999999998</v>
      </c>
      <c r="Y7449">
        <v>7.7230240000000006E-2</v>
      </c>
      <c r="Z7449">
        <v>-2.0970240000000001E-2</v>
      </c>
      <c r="AA7449">
        <v>0.99679269999999998</v>
      </c>
      <c r="AB7449">
        <v>23</v>
      </c>
      <c r="AC7449">
        <v>0.55780000000001395</v>
      </c>
      <c r="AD7449">
        <v>-8.2152999999999907E-2</v>
      </c>
      <c r="AE7449">
        <v>3.3400000000000298E-2</v>
      </c>
      <c r="AF7449">
        <v>5.8410950416693003E-2</v>
      </c>
      <c r="AG7449">
        <v>-8.2152999999999907E-2</v>
      </c>
      <c r="AH7449">
        <v>0.54384894672490303</v>
      </c>
      <c r="AI7449">
        <v>98.541675092198204</v>
      </c>
      <c r="AJ7449">
        <v>83.869766956347505</v>
      </c>
      <c r="AK7449">
        <v>0.55311177115603605</v>
      </c>
      <c r="AL7449">
        <v>81.428587204653795</v>
      </c>
      <c r="AM7449">
        <v>84.163137420686695</v>
      </c>
      <c r="AN7449">
        <v>1.0000000408813601</v>
      </c>
    </row>
    <row r="7450" spans="1:40" x14ac:dyDescent="0.25">
      <c r="A7450" t="str">
        <f>"20190312173110001"</f>
        <v>20190312173110001</v>
      </c>
      <c r="B7450" t="str">
        <f>"1552383069995390"</f>
        <v>1552383069995390</v>
      </c>
      <c r="C7450" t="s">
        <v>40</v>
      </c>
      <c r="D7450">
        <v>4.0683949999999998</v>
      </c>
      <c r="E7450">
        <v>0.49203609999999998</v>
      </c>
      <c r="F7450" t="s">
        <v>42</v>
      </c>
      <c r="G7450">
        <v>-163.9151</v>
      </c>
      <c r="H7450">
        <v>1.0299229999999999</v>
      </c>
      <c r="I7450">
        <v>137.8638</v>
      </c>
      <c r="J7450">
        <v>-164.45769999999999</v>
      </c>
      <c r="K7450">
        <v>1.1082259999999999</v>
      </c>
      <c r="L7450">
        <v>137.83260000000001</v>
      </c>
      <c r="M7450">
        <v>0.98655380000000004</v>
      </c>
      <c r="N7450">
        <v>0</v>
      </c>
      <c r="O7450">
        <v>0.16285079999999999</v>
      </c>
      <c r="P7450">
        <v>0.98867380000000005</v>
      </c>
      <c r="Q7450">
        <v>0.1358211</v>
      </c>
      <c r="R7450">
        <v>6.384774E-2</v>
      </c>
      <c r="S7450">
        <v>3.06073</v>
      </c>
      <c r="T7450">
        <v>-0.31386019999999998</v>
      </c>
      <c r="U7450">
        <v>0.25991819999999999</v>
      </c>
      <c r="V7450">
        <v>9.8784010000000005E-2</v>
      </c>
      <c r="W7450">
        <v>0.14893779999999901</v>
      </c>
      <c r="X7450">
        <v>0.9839</v>
      </c>
      <c r="Y7450">
        <v>7.755455E-2</v>
      </c>
      <c r="Z7450">
        <v>-2.0502019999999999E-2</v>
      </c>
      <c r="AA7450">
        <v>0.99677729999999998</v>
      </c>
      <c r="AB7450">
        <v>23</v>
      </c>
      <c r="AC7450">
        <v>0.54259999999999298</v>
      </c>
      <c r="AD7450">
        <v>-7.8302999999999998E-2</v>
      </c>
      <c r="AE7450">
        <v>3.1199999999984102E-2</v>
      </c>
      <c r="AF7450">
        <v>5.64168300164479E-2</v>
      </c>
      <c r="AG7450">
        <v>-7.8302999999999998E-2</v>
      </c>
      <c r="AH7450">
        <v>0.52944700155183899</v>
      </c>
      <c r="AI7450">
        <v>98.366134731519296</v>
      </c>
      <c r="AJ7450">
        <v>83.917626257449996</v>
      </c>
      <c r="AK7450">
        <v>0.53817129798079899</v>
      </c>
      <c r="AL7450">
        <v>81.434624281937303</v>
      </c>
      <c r="AM7450">
        <v>84.266690421007596</v>
      </c>
      <c r="AN7450">
        <v>0.99999997945025898</v>
      </c>
    </row>
    <row r="7451" spans="1:40" x14ac:dyDescent="0.25">
      <c r="A7451" t="str">
        <f>"20190312173110024"</f>
        <v>20190312173110024</v>
      </c>
      <c r="B7451" t="str">
        <f>"1552383070014911"</f>
        <v>1552383070014911</v>
      </c>
      <c r="C7451" t="s">
        <v>40</v>
      </c>
      <c r="D7451">
        <v>4.0811199999999896</v>
      </c>
      <c r="E7451">
        <v>0.49222300000000002</v>
      </c>
      <c r="F7451" t="s">
        <v>42</v>
      </c>
      <c r="G7451">
        <v>-163.71029999999999</v>
      </c>
      <c r="H7451">
        <v>1.0313079999999999</v>
      </c>
      <c r="I7451">
        <v>137.8947</v>
      </c>
      <c r="J7451">
        <v>-164.2235</v>
      </c>
      <c r="K7451">
        <v>1.1081700000000001</v>
      </c>
      <c r="L7451">
        <v>137.8673</v>
      </c>
      <c r="M7451">
        <v>0.98711459999999995</v>
      </c>
      <c r="N7451">
        <v>0</v>
      </c>
      <c r="O7451">
        <v>0.15941720000000001</v>
      </c>
      <c r="P7451">
        <v>0.98880049999999997</v>
      </c>
      <c r="Q7451">
        <v>0.1350933</v>
      </c>
      <c r="R7451">
        <v>6.3432879999999997E-2</v>
      </c>
      <c r="S7451">
        <v>3.0612490000000001</v>
      </c>
      <c r="T7451">
        <v>-0.31507740000000001</v>
      </c>
      <c r="U7451">
        <v>0.25421139999999998</v>
      </c>
      <c r="V7451">
        <v>9.580118E-2</v>
      </c>
      <c r="W7451">
        <v>0.14821489999999901</v>
      </c>
      <c r="X7451">
        <v>0.98430410000000002</v>
      </c>
      <c r="Y7451">
        <v>7.5961580000000001E-2</v>
      </c>
      <c r="Z7451">
        <v>-2.0151019999999999E-2</v>
      </c>
      <c r="AA7451">
        <v>0.99690710000000005</v>
      </c>
      <c r="AB7451">
        <v>23</v>
      </c>
      <c r="AC7451">
        <v>0.51320000000001098</v>
      </c>
      <c r="AD7451">
        <v>-7.6862000000000194E-2</v>
      </c>
      <c r="AE7451">
        <v>2.7400000000000001E-2</v>
      </c>
      <c r="AF7451">
        <v>5.3572913558058002E-2</v>
      </c>
      <c r="AG7451">
        <v>-7.6862000000000194E-2</v>
      </c>
      <c r="AH7451">
        <v>0.49982429998630601</v>
      </c>
      <c r="AI7451">
        <v>98.6933236430676</v>
      </c>
      <c r="AJ7451">
        <v>83.882194695433498</v>
      </c>
      <c r="AK7451">
        <v>0.50852940423135795</v>
      </c>
      <c r="AL7451">
        <v>81.476508812670303</v>
      </c>
      <c r="AM7451">
        <v>84.440977264999205</v>
      </c>
      <c r="AN7451">
        <v>1.0000000419741</v>
      </c>
    </row>
    <row r="7452" spans="1:40" x14ac:dyDescent="0.25">
      <c r="A7452" t="str">
        <f>"20190312173110047"</f>
        <v>20190312173110047</v>
      </c>
      <c r="B7452" t="str">
        <f>"1552383070034430"</f>
        <v>1552383070034430</v>
      </c>
      <c r="C7452" t="s">
        <v>40</v>
      </c>
      <c r="D7452">
        <v>4.0848899999999997</v>
      </c>
      <c r="E7452">
        <v>0.49243310000000001</v>
      </c>
      <c r="F7452" t="s">
        <v>42</v>
      </c>
      <c r="G7452">
        <v>-163.30950000000001</v>
      </c>
      <c r="H7452">
        <v>1.0131190000000001</v>
      </c>
      <c r="I7452">
        <v>137.94220000000001</v>
      </c>
      <c r="J7452">
        <v>-163.99690000000001</v>
      </c>
      <c r="K7452">
        <v>1.108096</v>
      </c>
      <c r="L7452">
        <v>137.8998</v>
      </c>
      <c r="M7452">
        <v>0.98766189999999998</v>
      </c>
      <c r="N7452">
        <v>0</v>
      </c>
      <c r="O7452">
        <v>0.1559905</v>
      </c>
      <c r="P7452">
        <v>0.98880769999999996</v>
      </c>
      <c r="Q7452">
        <v>0.13514229999999899</v>
      </c>
      <c r="R7452">
        <v>6.3214129999999993E-2</v>
      </c>
      <c r="S7452">
        <v>3.0613709999999998</v>
      </c>
      <c r="T7452">
        <v>-0.31833709999999998</v>
      </c>
      <c r="U7452">
        <v>0.25097659999999999</v>
      </c>
      <c r="V7452">
        <v>9.2617790000000005E-2</v>
      </c>
      <c r="W7452">
        <v>0.14827099999999999</v>
      </c>
      <c r="X7452">
        <v>0.98460020000000004</v>
      </c>
      <c r="Y7452">
        <v>7.3556109999999994E-2</v>
      </c>
      <c r="Z7452">
        <v>-1.9884010000000001E-2</v>
      </c>
      <c r="AA7452">
        <v>0.9970928</v>
      </c>
      <c r="AB7452">
        <v>23</v>
      </c>
      <c r="AC7452">
        <v>0.68739999999999601</v>
      </c>
      <c r="AD7452">
        <v>-9.4976999999999798E-2</v>
      </c>
      <c r="AE7452">
        <v>4.2400000000014801E-2</v>
      </c>
      <c r="AF7452">
        <v>6.4137467896738604E-2</v>
      </c>
      <c r="AG7452">
        <v>-9.4976999999999798E-2</v>
      </c>
      <c r="AH7452">
        <v>0.67280276777484604</v>
      </c>
      <c r="AI7452">
        <v>97.9993403750304</v>
      </c>
      <c r="AJ7452">
        <v>84.554518790335706</v>
      </c>
      <c r="AK7452">
        <v>0.68249381656004604</v>
      </c>
      <c r="AL7452">
        <v>81.473257810620197</v>
      </c>
      <c r="AM7452">
        <v>84.626205405515094</v>
      </c>
      <c r="AN7452">
        <v>0.99999994915276003</v>
      </c>
    </row>
    <row r="7453" spans="1:40" x14ac:dyDescent="0.25">
      <c r="A7453" t="str">
        <f>"20190312173110068"</f>
        <v>20190312173110068</v>
      </c>
      <c r="B7453" t="str">
        <f>"1552383070064690"</f>
        <v>1552383070064690</v>
      </c>
      <c r="C7453" t="s">
        <v>40</v>
      </c>
      <c r="D7453">
        <v>4.1029999999999998</v>
      </c>
      <c r="E7453">
        <v>0.49270259999999999</v>
      </c>
      <c r="F7453" t="s">
        <v>42</v>
      </c>
      <c r="G7453">
        <v>-163.10480000000001</v>
      </c>
      <c r="H7453">
        <v>1.015018</v>
      </c>
      <c r="I7453">
        <v>137.97139999999999</v>
      </c>
      <c r="J7453">
        <v>-163.77279999999999</v>
      </c>
      <c r="K7453">
        <v>1.108031</v>
      </c>
      <c r="L7453">
        <v>137.93119999999999</v>
      </c>
      <c r="M7453">
        <v>0.98820319999999995</v>
      </c>
      <c r="N7453">
        <v>0</v>
      </c>
      <c r="O7453">
        <v>0.15252360000000001</v>
      </c>
      <c r="P7453">
        <v>0.98892250000000004</v>
      </c>
      <c r="Q7453">
        <v>0.13473950000000001</v>
      </c>
      <c r="R7453">
        <v>6.2270789999999999E-2</v>
      </c>
      <c r="S7453">
        <v>3.06189</v>
      </c>
      <c r="T7453">
        <v>-0.31946970000000002</v>
      </c>
      <c r="U7453">
        <v>0.24603269999999999</v>
      </c>
      <c r="V7453">
        <v>9.0122279999999999E-2</v>
      </c>
      <c r="W7453">
        <v>0.14787400000000001</v>
      </c>
      <c r="X7453">
        <v>0.98489150000000003</v>
      </c>
      <c r="Y7453">
        <v>7.1689429999999998E-2</v>
      </c>
      <c r="Z7453">
        <v>-1.9500030000000002E-2</v>
      </c>
      <c r="AA7453">
        <v>0.99723640000000002</v>
      </c>
      <c r="AB7453">
        <v>23</v>
      </c>
      <c r="AC7453">
        <v>0.66799999999997794</v>
      </c>
      <c r="AD7453">
        <v>-9.3012999999999998E-2</v>
      </c>
      <c r="AE7453">
        <v>4.0199999999998598E-2</v>
      </c>
      <c r="AF7453">
        <v>6.0987765206620297E-2</v>
      </c>
      <c r="AG7453">
        <v>-9.3012999999999998E-2</v>
      </c>
      <c r="AH7453">
        <v>0.65368683124314397</v>
      </c>
      <c r="AI7453">
        <v>98.063690533665294</v>
      </c>
      <c r="AJ7453">
        <v>84.669840165940997</v>
      </c>
      <c r="AK7453">
        <v>0.66308174384053098</v>
      </c>
      <c r="AL7453">
        <v>81.4962582633529</v>
      </c>
      <c r="AM7453">
        <v>84.771722203172303</v>
      </c>
      <c r="AN7453">
        <v>1.00000000600032</v>
      </c>
    </row>
    <row r="7454" spans="1:40" x14ac:dyDescent="0.25">
      <c r="A7454" t="str">
        <f>"20190312173110091"</f>
        <v>20190312173110091</v>
      </c>
      <c r="B7454" t="str">
        <f>"1552383070085186"</f>
        <v>1552383070085186</v>
      </c>
      <c r="C7454" t="s">
        <v>40</v>
      </c>
      <c r="D7454">
        <v>4.0663819999999999</v>
      </c>
      <c r="E7454">
        <v>0.49291509999999999</v>
      </c>
      <c r="F7454" t="s">
        <v>42</v>
      </c>
      <c r="G7454">
        <v>-162.9006</v>
      </c>
      <c r="H7454">
        <v>1.0162279999999999</v>
      </c>
      <c r="I7454">
        <v>137.9992</v>
      </c>
      <c r="J7454">
        <v>-163.5455</v>
      </c>
      <c r="K7454">
        <v>1.107972</v>
      </c>
      <c r="L7454">
        <v>137.96199999999999</v>
      </c>
      <c r="M7454">
        <v>0.98875210000000002</v>
      </c>
      <c r="N7454">
        <v>0</v>
      </c>
      <c r="O7454">
        <v>0.14892359999999999</v>
      </c>
      <c r="P7454">
        <v>0.98905790000000005</v>
      </c>
      <c r="Q7454">
        <v>0.1343385</v>
      </c>
      <c r="R7454">
        <v>6.0970150000000001E-2</v>
      </c>
      <c r="S7454">
        <v>3.0624850000000001</v>
      </c>
      <c r="T7454">
        <v>-0.32235039999999998</v>
      </c>
      <c r="U7454">
        <v>0.23904420000000001</v>
      </c>
      <c r="V7454">
        <v>8.7849559999999993E-2</v>
      </c>
      <c r="W7454">
        <v>0.14747879999999899</v>
      </c>
      <c r="X7454">
        <v>0.98515609999999998</v>
      </c>
      <c r="Y7454">
        <v>7.0339280000000004E-2</v>
      </c>
      <c r="Z7454">
        <v>-1.922985E-2</v>
      </c>
      <c r="AA7454">
        <v>0.99733780000000005</v>
      </c>
      <c r="AB7454">
        <v>23</v>
      </c>
      <c r="AC7454">
        <v>0.64490000000000602</v>
      </c>
      <c r="AD7454">
        <v>-9.1743999999999798E-2</v>
      </c>
      <c r="AE7454">
        <v>3.7199999999984301E-2</v>
      </c>
      <c r="AF7454">
        <v>5.8093115377776602E-2</v>
      </c>
      <c r="AG7454">
        <v>-9.1743999999999798E-2</v>
      </c>
      <c r="AH7454">
        <v>0.63052921568477804</v>
      </c>
      <c r="AI7454">
        <v>98.2441869655771</v>
      </c>
      <c r="AJ7454">
        <v>84.735977666138794</v>
      </c>
      <c r="AK7454">
        <v>0.639811584313974</v>
      </c>
      <c r="AL7454">
        <v>81.519152878108002</v>
      </c>
      <c r="AM7454">
        <v>84.904228223393105</v>
      </c>
      <c r="AN7454">
        <v>1.0000000415044199</v>
      </c>
    </row>
    <row r="7455" spans="1:40" x14ac:dyDescent="0.25">
      <c r="A7455" t="str">
        <f>"20190312173110113"</f>
        <v>20190312173110113</v>
      </c>
      <c r="B7455" t="str">
        <f>"1552383070104703"</f>
        <v>1552383070104703</v>
      </c>
      <c r="C7455" t="s">
        <v>40</v>
      </c>
      <c r="D7455">
        <v>4.1209040000000003</v>
      </c>
      <c r="E7455">
        <v>0.4931063</v>
      </c>
      <c r="F7455" t="s">
        <v>42</v>
      </c>
      <c r="G7455">
        <v>-162.6962</v>
      </c>
      <c r="H7455">
        <v>1.0180229999999999</v>
      </c>
      <c r="I7455">
        <v>138.02629999999999</v>
      </c>
      <c r="J7455">
        <v>-163.31780000000001</v>
      </c>
      <c r="K7455">
        <v>1.107915</v>
      </c>
      <c r="L7455">
        <v>137.99199999999999</v>
      </c>
      <c r="M7455">
        <v>0.98930180000000001</v>
      </c>
      <c r="N7455">
        <v>0</v>
      </c>
      <c r="O7455">
        <v>0.14522669999999999</v>
      </c>
      <c r="P7455">
        <v>0.98938349999999997</v>
      </c>
      <c r="Q7455">
        <v>0.13282289999999999</v>
      </c>
      <c r="R7455">
        <v>5.8979199999999898E-2</v>
      </c>
      <c r="S7455">
        <v>3.0629270000000002</v>
      </c>
      <c r="T7455">
        <v>-0.32430900000000001</v>
      </c>
      <c r="U7455">
        <v>0.23242189999999999</v>
      </c>
      <c r="V7455">
        <v>8.6184330000000003E-2</v>
      </c>
      <c r="W7455">
        <v>0.1459685</v>
      </c>
      <c r="X7455">
        <v>0.98552799999999996</v>
      </c>
      <c r="Y7455">
        <v>6.877983E-2</v>
      </c>
      <c r="Z7455">
        <v>-1.887776E-2</v>
      </c>
      <c r="AA7455">
        <v>0.99745320000000004</v>
      </c>
      <c r="AB7455">
        <v>23</v>
      </c>
      <c r="AC7455">
        <v>0.62160000000000004</v>
      </c>
      <c r="AD7455">
        <v>-8.9892E-2</v>
      </c>
      <c r="AE7455">
        <v>3.4299999999973303E-2</v>
      </c>
      <c r="AF7455">
        <v>5.5194462796293399E-2</v>
      </c>
      <c r="AG7455">
        <v>-8.9892E-2</v>
      </c>
      <c r="AH7455">
        <v>0.60732793181641898</v>
      </c>
      <c r="AI7455">
        <v>98.385289256986496</v>
      </c>
      <c r="AJ7455">
        <v>84.807177403738393</v>
      </c>
      <c r="AK7455">
        <v>0.61642048729076204</v>
      </c>
      <c r="AL7455">
        <v>81.606633022558697</v>
      </c>
      <c r="AM7455">
        <v>85.002203837208</v>
      </c>
      <c r="AN7455">
        <v>0.99999999025689901</v>
      </c>
    </row>
    <row r="7456" spans="1:40" x14ac:dyDescent="0.25">
      <c r="A7456" t="str">
        <f>"20190312173110135"</f>
        <v>20190312173110135</v>
      </c>
      <c r="B7456" t="str">
        <f>"1552383070125198"</f>
        <v>1552383070125198</v>
      </c>
      <c r="C7456" t="s">
        <v>40</v>
      </c>
      <c r="D7456">
        <v>4.1297040000000003</v>
      </c>
      <c r="E7456">
        <v>0.49918560000000001</v>
      </c>
      <c r="F7456" t="s">
        <v>42</v>
      </c>
      <c r="G7456">
        <v>-162.4923</v>
      </c>
      <c r="H7456">
        <v>1.0190049999999999</v>
      </c>
      <c r="I7456">
        <v>138.05250000000001</v>
      </c>
      <c r="J7456">
        <v>-163.08629999999999</v>
      </c>
      <c r="K7456">
        <v>1.107861</v>
      </c>
      <c r="L7456">
        <v>138.0215</v>
      </c>
      <c r="M7456">
        <v>0.9898593</v>
      </c>
      <c r="N7456">
        <v>0</v>
      </c>
      <c r="O7456">
        <v>0.141376799999999</v>
      </c>
      <c r="P7456">
        <v>0.98951500000000003</v>
      </c>
      <c r="Q7456">
        <v>0.13273190000000001</v>
      </c>
      <c r="R7456">
        <v>5.6944399999999999E-2</v>
      </c>
      <c r="S7456">
        <v>3.06311</v>
      </c>
      <c r="T7456">
        <v>-0.32995000000000002</v>
      </c>
      <c r="U7456">
        <v>0.2245026</v>
      </c>
      <c r="V7456">
        <v>8.4391610000000006E-2</v>
      </c>
      <c r="W7456">
        <v>0.14588119999999999</v>
      </c>
      <c r="X7456">
        <v>0.98569609999999996</v>
      </c>
      <c r="Y7456">
        <v>6.7455680000000004E-2</v>
      </c>
      <c r="Z7456">
        <v>-1.8725970000000002E-2</v>
      </c>
      <c r="AA7456">
        <v>0.99754659999999995</v>
      </c>
      <c r="AB7456">
        <v>23</v>
      </c>
      <c r="AC7456">
        <v>0.59399999999999398</v>
      </c>
      <c r="AD7456">
        <v>-8.8856000000000004E-2</v>
      </c>
      <c r="AE7456">
        <v>3.1000000000005901E-2</v>
      </c>
      <c r="AF7456">
        <v>5.2133848424734702E-2</v>
      </c>
      <c r="AG7456">
        <v>-8.8856000000000004E-2</v>
      </c>
      <c r="AH7456">
        <v>0.57948388059091704</v>
      </c>
      <c r="AI7456">
        <v>98.683099834657696</v>
      </c>
      <c r="AJ7456">
        <v>84.859167692779394</v>
      </c>
      <c r="AK7456">
        <v>0.58857021225362904</v>
      </c>
      <c r="AL7456">
        <v>81.611689443307299</v>
      </c>
      <c r="AM7456">
        <v>85.106483296077499</v>
      </c>
      <c r="AN7456">
        <v>1.0000000349535201</v>
      </c>
    </row>
    <row r="7457" spans="1:40" x14ac:dyDescent="0.25">
      <c r="A7457" t="str">
        <f>"20190312173110157"</f>
        <v>20190312173110157</v>
      </c>
      <c r="B7457" t="str">
        <f>"1552383070144887"</f>
        <v>1552383070144887</v>
      </c>
      <c r="C7457" t="s">
        <v>40</v>
      </c>
      <c r="D7457">
        <v>4.140987</v>
      </c>
      <c r="E7457">
        <v>0.49950060000000002</v>
      </c>
      <c r="F7457" t="s">
        <v>42</v>
      </c>
      <c r="G7457">
        <v>-162.2894</v>
      </c>
      <c r="H7457">
        <v>1.014788</v>
      </c>
      <c r="I7457">
        <v>138.0651</v>
      </c>
      <c r="J7457">
        <v>-162.86519999999999</v>
      </c>
      <c r="K7457">
        <v>1.1078129999999999</v>
      </c>
      <c r="L7457">
        <v>138.0487</v>
      </c>
      <c r="M7457">
        <v>0.99038950000000003</v>
      </c>
      <c r="N7457">
        <v>0</v>
      </c>
      <c r="O7457">
        <v>0.13761489999999901</v>
      </c>
      <c r="P7457">
        <v>0.98951449999999996</v>
      </c>
      <c r="Q7457">
        <v>0.13378870000000001</v>
      </c>
      <c r="R7457">
        <v>5.4423329999999999E-2</v>
      </c>
      <c r="S7457">
        <v>3.0701749999999999</v>
      </c>
      <c r="T7457">
        <v>-0.35841620000000002</v>
      </c>
      <c r="U7457">
        <v>0.16867070000000001</v>
      </c>
      <c r="V7457">
        <v>8.3159549999999999E-2</v>
      </c>
      <c r="W7457">
        <v>0.14693639999999999</v>
      </c>
      <c r="X7457">
        <v>0.98564399999999996</v>
      </c>
      <c r="Y7457">
        <v>8.1609959999999995E-2</v>
      </c>
      <c r="Z7457">
        <v>-2.069112E-2</v>
      </c>
      <c r="AA7457">
        <v>0.99644949999999999</v>
      </c>
      <c r="AB7457">
        <v>23</v>
      </c>
      <c r="AC7457">
        <v>0.57579999999998599</v>
      </c>
      <c r="AD7457">
        <v>-9.3024999999999899E-2</v>
      </c>
      <c r="AE7457">
        <v>1.6400000000004401E-2</v>
      </c>
      <c r="AF7457">
        <v>6.1400958344543698E-2</v>
      </c>
      <c r="AG7457">
        <v>-9.3024999999999899E-2</v>
      </c>
      <c r="AH7457">
        <v>0.558024621138551</v>
      </c>
      <c r="AI7457">
        <v>99.408649295994493</v>
      </c>
      <c r="AJ7457">
        <v>83.720850078978799</v>
      </c>
      <c r="AK7457">
        <v>0.56904763078977105</v>
      </c>
      <c r="AL7457">
        <v>81.550571672932094</v>
      </c>
      <c r="AM7457">
        <v>85.177332200562603</v>
      </c>
      <c r="AN7457">
        <v>0.99999995556858001</v>
      </c>
    </row>
    <row r="7458" spans="1:40" x14ac:dyDescent="0.25">
      <c r="A7458" t="str">
        <f>"20190312173110180"</f>
        <v>20190312173110180</v>
      </c>
      <c r="B7458" t="str">
        <f>"1552383070175146"</f>
        <v>1552383070175146</v>
      </c>
      <c r="C7458" t="s">
        <v>40</v>
      </c>
      <c r="D7458">
        <v>4.1781420000000002</v>
      </c>
      <c r="E7458">
        <v>0.49986799999999998</v>
      </c>
      <c r="F7458" t="s">
        <v>42</v>
      </c>
      <c r="G7458">
        <v>-162.08459999999999</v>
      </c>
      <c r="H7458">
        <v>1.0178430000000001</v>
      </c>
      <c r="I7458">
        <v>138.0882</v>
      </c>
      <c r="J7458">
        <v>-162.6319</v>
      </c>
      <c r="K7458">
        <v>1.1077840000000001</v>
      </c>
      <c r="L7458">
        <v>138.07640000000001</v>
      </c>
      <c r="M7458">
        <v>0.99094519999999997</v>
      </c>
      <c r="N7458">
        <v>0</v>
      </c>
      <c r="O7458">
        <v>0.13355220000000001</v>
      </c>
      <c r="P7458">
        <v>0.98932640000000005</v>
      </c>
      <c r="Q7458">
        <v>0.1359031</v>
      </c>
      <c r="R7458">
        <v>5.2570789999999999E-2</v>
      </c>
      <c r="S7458">
        <v>3.0711210000000002</v>
      </c>
      <c r="T7458">
        <v>-0.3539815</v>
      </c>
      <c r="U7458">
        <v>0.15539549999999999</v>
      </c>
      <c r="V7458">
        <v>8.0952620000000003E-2</v>
      </c>
      <c r="W7458">
        <v>0.1490543</v>
      </c>
      <c r="X7458">
        <v>0.98550979999999999</v>
      </c>
      <c r="Y7458">
        <v>8.189631E-2</v>
      </c>
      <c r="Z7458">
        <v>-1.9988059999999998E-2</v>
      </c>
      <c r="AA7458">
        <v>0.9964404</v>
      </c>
      <c r="AB7458">
        <v>23</v>
      </c>
      <c r="AC7458">
        <v>0.547300000000007</v>
      </c>
      <c r="AD7458">
        <v>-8.9940999999999993E-2</v>
      </c>
      <c r="AE7458">
        <v>1.17999999999938E-2</v>
      </c>
      <c r="AF7458">
        <v>5.9791839156228002E-2</v>
      </c>
      <c r="AG7458">
        <v>-8.9940999999999993E-2</v>
      </c>
      <c r="AH7458">
        <v>0.52967440896210005</v>
      </c>
      <c r="AI7458">
        <v>99.577456482048703</v>
      </c>
      <c r="AJ7458">
        <v>83.559479779732996</v>
      </c>
      <c r="AK7458">
        <v>0.54057323927478595</v>
      </c>
      <c r="AL7458">
        <v>81.427874484832799</v>
      </c>
      <c r="AM7458">
        <v>85.3041021135584</v>
      </c>
      <c r="AN7458">
        <v>1.0000000384646901</v>
      </c>
    </row>
    <row r="7459" spans="1:40" x14ac:dyDescent="0.25">
      <c r="A7459" t="str">
        <f>"20190312173110202"</f>
        <v>20190312173110202</v>
      </c>
      <c r="B7459" t="str">
        <f>"1552383070194662"</f>
        <v>1552383070194662</v>
      </c>
      <c r="C7459" t="s">
        <v>40</v>
      </c>
      <c r="D7459">
        <v>4.1794099999999998</v>
      </c>
      <c r="E7459">
        <v>0.49984390000000001</v>
      </c>
      <c r="F7459" t="s">
        <v>42</v>
      </c>
      <c r="G7459">
        <v>-161.87909999999999</v>
      </c>
      <c r="H7459">
        <v>1.0230919999999999</v>
      </c>
      <c r="I7459">
        <v>138.11189999999999</v>
      </c>
      <c r="J7459">
        <v>-162.41159999999999</v>
      </c>
      <c r="K7459">
        <v>1.1077440000000001</v>
      </c>
      <c r="L7459">
        <v>138.10159999999999</v>
      </c>
      <c r="M7459">
        <v>0.99146650000000003</v>
      </c>
      <c r="N7459">
        <v>0</v>
      </c>
      <c r="O7459">
        <v>0.1296263</v>
      </c>
      <c r="P7459">
        <v>0.98900520000000003</v>
      </c>
      <c r="Q7459">
        <v>0.13885020000000001</v>
      </c>
      <c r="R7459">
        <v>5.0887920000000003E-2</v>
      </c>
      <c r="S7459">
        <v>3.0721129999999999</v>
      </c>
      <c r="T7459">
        <v>-0.3455493</v>
      </c>
      <c r="U7459">
        <v>0.14535519999999999</v>
      </c>
      <c r="V7459">
        <v>7.8706520000000002E-2</v>
      </c>
      <c r="W7459">
        <v>0.15200339999999901</v>
      </c>
      <c r="X7459">
        <v>0.98524120000000004</v>
      </c>
      <c r="Y7459">
        <v>8.1309370000000006E-2</v>
      </c>
      <c r="Z7459">
        <v>-1.9041760000000001E-2</v>
      </c>
      <c r="AA7459">
        <v>0.99650700000000003</v>
      </c>
      <c r="AB7459">
        <v>23</v>
      </c>
      <c r="AC7459">
        <v>0.53249999999999797</v>
      </c>
      <c r="AD7459">
        <v>-8.4651999999999894E-2</v>
      </c>
      <c r="AE7459">
        <v>1.03000000000008E-2</v>
      </c>
      <c r="AF7459">
        <v>5.7370219968215501E-2</v>
      </c>
      <c r="AG7459">
        <v>-8.4651999999999894E-2</v>
      </c>
      <c r="AH7459">
        <v>0.51629877912266398</v>
      </c>
      <c r="AI7459">
        <v>99.255360312989694</v>
      </c>
      <c r="AJ7459">
        <v>83.659403868502295</v>
      </c>
      <c r="AK7459">
        <v>0.52632854052079903</v>
      </c>
      <c r="AL7459">
        <v>81.256955467630405</v>
      </c>
      <c r="AM7459">
        <v>85.432595475329407</v>
      </c>
      <c r="AN7459">
        <v>0.99999998603975504</v>
      </c>
    </row>
    <row r="7460" spans="1:40" x14ac:dyDescent="0.25">
      <c r="A7460" t="str">
        <f>"20190312173110225"</f>
        <v>20190312173110225</v>
      </c>
      <c r="B7460" t="str">
        <f>"1552383070215159"</f>
        <v>1552383070215159</v>
      </c>
      <c r="C7460" t="s">
        <v>40</v>
      </c>
      <c r="D7460">
        <v>4.2042699999999904</v>
      </c>
      <c r="E7460">
        <v>0.49986960000000003</v>
      </c>
      <c r="F7460" t="s">
        <v>42</v>
      </c>
      <c r="G7460">
        <v>-161.6746</v>
      </c>
      <c r="H7460">
        <v>1.0265359999999999</v>
      </c>
      <c r="I7460">
        <v>138.13499999999999</v>
      </c>
      <c r="J7460">
        <v>-162.17660000000001</v>
      </c>
      <c r="K7460">
        <v>1.107696</v>
      </c>
      <c r="L7460">
        <v>138.12729999999999</v>
      </c>
      <c r="M7460">
        <v>0.99201850000000003</v>
      </c>
      <c r="N7460">
        <v>0</v>
      </c>
      <c r="O7460">
        <v>0.125331199999999</v>
      </c>
      <c r="P7460">
        <v>0.98885979999999996</v>
      </c>
      <c r="Q7460">
        <v>0.14111409999999999</v>
      </c>
      <c r="R7460">
        <v>4.7361180000000003E-2</v>
      </c>
      <c r="S7460">
        <v>3.0736849999999998</v>
      </c>
      <c r="T7460">
        <v>-0.33855030000000003</v>
      </c>
      <c r="U7460">
        <v>0.13980100000000001</v>
      </c>
      <c r="V7460">
        <v>7.7947210000000003E-2</v>
      </c>
      <c r="W7460">
        <v>0.15425999999999901</v>
      </c>
      <c r="X7460">
        <v>0.98495080000000002</v>
      </c>
      <c r="Y7460">
        <v>7.8907959999999999E-2</v>
      </c>
      <c r="Z7460">
        <v>-1.8050500000000001E-2</v>
      </c>
      <c r="AA7460">
        <v>0.99671849999999995</v>
      </c>
      <c r="AB7460">
        <v>23</v>
      </c>
      <c r="AC7460">
        <v>0.50200000000000899</v>
      </c>
      <c r="AD7460">
        <v>-8.1159999999999899E-2</v>
      </c>
      <c r="AE7460">
        <v>7.6999999999998103E-3</v>
      </c>
      <c r="AF7460">
        <v>5.3875139336406398E-2</v>
      </c>
      <c r="AG7460">
        <v>-8.1159999999999899E-2</v>
      </c>
      <c r="AH7460">
        <v>0.48629809561938198</v>
      </c>
      <c r="AI7460">
        <v>99.418387350039396</v>
      </c>
      <c r="AJ7460">
        <v>83.678195445849397</v>
      </c>
      <c r="AK7460">
        <v>0.49595898423312601</v>
      </c>
      <c r="AL7460">
        <v>81.126118758914004</v>
      </c>
      <c r="AM7460">
        <v>85.475146938630999</v>
      </c>
      <c r="AN7460">
        <v>0.99999999678371199</v>
      </c>
    </row>
    <row r="7461" spans="1:40" x14ac:dyDescent="0.25">
      <c r="A7461" t="str">
        <f>"20190312173110248"</f>
        <v>20190312173110248</v>
      </c>
      <c r="B7461" t="str">
        <f>"1552383070244945"</f>
        <v>1552383070244945</v>
      </c>
      <c r="C7461" t="s">
        <v>40</v>
      </c>
      <c r="D7461">
        <v>4.1652300000000002</v>
      </c>
      <c r="E7461">
        <v>0.51082179999999999</v>
      </c>
      <c r="F7461" t="s">
        <v>42</v>
      </c>
      <c r="G7461">
        <v>-161.27590000000001</v>
      </c>
      <c r="H7461">
        <v>1.0102910000000001</v>
      </c>
      <c r="I7461">
        <v>138.16540000000001</v>
      </c>
      <c r="J7461">
        <v>-161.94540000000001</v>
      </c>
      <c r="K7461">
        <v>1.1076410000000001</v>
      </c>
      <c r="L7461">
        <v>138.1514</v>
      </c>
      <c r="M7461">
        <v>0.99255499999999997</v>
      </c>
      <c r="N7461">
        <v>0</v>
      </c>
      <c r="O7461">
        <v>0.1210088</v>
      </c>
      <c r="P7461">
        <v>0.98859989999999998</v>
      </c>
      <c r="Q7461">
        <v>0.14363099999999901</v>
      </c>
      <c r="R7461">
        <v>4.5171490000000002E-2</v>
      </c>
      <c r="S7461">
        <v>3.075043</v>
      </c>
      <c r="T7461">
        <v>-0.33263169999999997</v>
      </c>
      <c r="U7461">
        <v>0.12995909999999999</v>
      </c>
      <c r="V7461">
        <v>7.5825980000000001E-2</v>
      </c>
      <c r="W7461">
        <v>0.156781</v>
      </c>
      <c r="X7461">
        <v>0.98471830000000005</v>
      </c>
      <c r="Y7461">
        <v>7.7844040000000003E-2</v>
      </c>
      <c r="Z7461">
        <v>-1.7210820000000002E-2</v>
      </c>
      <c r="AA7461">
        <v>0.99681699999999995</v>
      </c>
      <c r="AB7461">
        <v>23</v>
      </c>
      <c r="AC7461">
        <v>0.66949999999999898</v>
      </c>
      <c r="AD7461">
        <v>-9.7349999999999798E-2</v>
      </c>
      <c r="AE7461">
        <v>1.4000000000009999E-2</v>
      </c>
      <c r="AF7461">
        <v>6.5736769032445005E-2</v>
      </c>
      <c r="AG7461">
        <v>-9.7349999999999798E-2</v>
      </c>
      <c r="AH7461">
        <v>0.65248390633675601</v>
      </c>
      <c r="AI7461">
        <v>98.443756784105304</v>
      </c>
      <c r="AJ7461">
        <v>84.246949243250299</v>
      </c>
      <c r="AK7461">
        <v>0.66297329760051205</v>
      </c>
      <c r="AL7461">
        <v>80.979896917017697</v>
      </c>
      <c r="AM7461">
        <v>85.596758738659702</v>
      </c>
      <c r="AN7461">
        <v>0.999999995779425</v>
      </c>
    </row>
    <row r="7462" spans="1:40" x14ac:dyDescent="0.25">
      <c r="A7462" t="str">
        <f>"20190312173110270"</f>
        <v>20190312173110270</v>
      </c>
      <c r="B7462" t="str">
        <f>"1552383070264465"</f>
        <v>1552383070264465</v>
      </c>
      <c r="C7462" t="s">
        <v>40</v>
      </c>
      <c r="D7462">
        <v>4.1788559999999997</v>
      </c>
      <c r="E7462">
        <v>0.51104459999999996</v>
      </c>
      <c r="F7462" t="s">
        <v>42</v>
      </c>
      <c r="G7462">
        <v>-161.06319999999999</v>
      </c>
      <c r="H7462">
        <v>1.025323</v>
      </c>
      <c r="I7462">
        <v>138.16210000000001</v>
      </c>
      <c r="J7462">
        <v>-161.72739999999999</v>
      </c>
      <c r="K7462">
        <v>1.1076189999999999</v>
      </c>
      <c r="L7462">
        <v>138.17310000000001</v>
      </c>
      <c r="M7462">
        <v>0.99305160000000003</v>
      </c>
      <c r="N7462">
        <v>0</v>
      </c>
      <c r="O7462">
        <v>0.1168619</v>
      </c>
      <c r="P7462">
        <v>0.98840130000000004</v>
      </c>
      <c r="Q7462">
        <v>0.14533760000000001</v>
      </c>
      <c r="R7462">
        <v>4.4044010000000001E-2</v>
      </c>
      <c r="S7462">
        <v>3.0745239999999998</v>
      </c>
      <c r="T7462">
        <v>-0.28679300000000002</v>
      </c>
      <c r="U7462">
        <v>3.7811280000000003E-2</v>
      </c>
      <c r="V7462">
        <v>7.2826390000000005E-2</v>
      </c>
      <c r="W7462">
        <v>0.15850249999999999</v>
      </c>
      <c r="X7462">
        <v>0.98466909999999996</v>
      </c>
      <c r="Y7462">
        <v>0.10369589999999899</v>
      </c>
      <c r="Z7462">
        <v>-1.5683010000000001E-2</v>
      </c>
      <c r="AA7462">
        <v>0.99448539999999996</v>
      </c>
      <c r="AB7462">
        <v>23</v>
      </c>
      <c r="AC7462">
        <v>0.66419999999999302</v>
      </c>
      <c r="AD7462">
        <v>-8.2296000000000105E-2</v>
      </c>
      <c r="AE7462">
        <v>-1.09999999999956E-2</v>
      </c>
      <c r="AF7462">
        <v>8.7213220754212506E-2</v>
      </c>
      <c r="AG7462">
        <v>-8.2296000000000105E-2</v>
      </c>
      <c r="AH7462">
        <v>0.64841098153484</v>
      </c>
      <c r="AI7462">
        <v>97.1693985782331</v>
      </c>
      <c r="AJ7462">
        <v>82.339520516885599</v>
      </c>
      <c r="AK7462">
        <v>0.65940547348751799</v>
      </c>
      <c r="AL7462">
        <v>80.880013175390999</v>
      </c>
      <c r="AM7462">
        <v>85.770090310403404</v>
      </c>
      <c r="AN7462">
        <v>0.99999998104074495</v>
      </c>
    </row>
    <row r="7463" spans="1:40" x14ac:dyDescent="0.25">
      <c r="A7463" t="str">
        <f>"20190312173110291"</f>
        <v>20190312173110291</v>
      </c>
      <c r="B7463" t="str">
        <f>"1552383070284964"</f>
        <v>1552383070284964</v>
      </c>
      <c r="C7463" t="s">
        <v>40</v>
      </c>
      <c r="D7463">
        <v>4.1840320000000002</v>
      </c>
      <c r="E7463">
        <v>0.51116189999999995</v>
      </c>
      <c r="F7463" t="s">
        <v>42</v>
      </c>
      <c r="G7463">
        <v>-160.86019999999999</v>
      </c>
      <c r="H7463">
        <v>1.0274859999999999</v>
      </c>
      <c r="I7463">
        <v>138.18219999999999</v>
      </c>
      <c r="J7463">
        <v>-161.50370000000001</v>
      </c>
      <c r="K7463">
        <v>1.1075870000000001</v>
      </c>
      <c r="L7463">
        <v>138.1944</v>
      </c>
      <c r="M7463">
        <v>0.9935505</v>
      </c>
      <c r="N7463">
        <v>0</v>
      </c>
      <c r="O7463">
        <v>0.112543</v>
      </c>
      <c r="P7463">
        <v>0.98829540000000005</v>
      </c>
      <c r="Q7463">
        <v>0.1464464</v>
      </c>
      <c r="R7463">
        <v>4.2731709999999999E-2</v>
      </c>
      <c r="S7463">
        <v>3.0755309999999998</v>
      </c>
      <c r="T7463">
        <v>-0.2841804</v>
      </c>
      <c r="U7463">
        <v>3.2394409999999998E-2</v>
      </c>
      <c r="V7463">
        <v>6.9846060000000001E-2</v>
      </c>
      <c r="W7463">
        <v>0.15962860000000001</v>
      </c>
      <c r="X7463">
        <v>0.98470310000000005</v>
      </c>
      <c r="Y7463">
        <v>0.1011736</v>
      </c>
      <c r="Z7463">
        <v>-1.5023699999999999E-2</v>
      </c>
      <c r="AA7463">
        <v>0.99475530000000001</v>
      </c>
      <c r="AB7463">
        <v>23</v>
      </c>
      <c r="AC7463">
        <v>0.64350000000001695</v>
      </c>
      <c r="AD7463">
        <v>-8.0100999999999895E-2</v>
      </c>
      <c r="AE7463">
        <v>-1.2200000000007E-2</v>
      </c>
      <c r="AF7463">
        <v>8.3261201037151997E-2</v>
      </c>
      <c r="AG7463">
        <v>-8.0100999999999895E-2</v>
      </c>
      <c r="AH7463">
        <v>0.62830599358608996</v>
      </c>
      <c r="AI7463">
        <v>97.202989591401007</v>
      </c>
      <c r="AJ7463">
        <v>82.451319184301994</v>
      </c>
      <c r="AK7463">
        <v>0.63884037080897804</v>
      </c>
      <c r="AL7463">
        <v>80.8146602994007</v>
      </c>
      <c r="AM7463">
        <v>85.942743362033696</v>
      </c>
      <c r="AN7463">
        <v>0.99999997859254597</v>
      </c>
    </row>
    <row r="7464" spans="1:40" x14ac:dyDescent="0.25">
      <c r="A7464" t="str">
        <f>"20190312173110314"</f>
        <v>20190312173110314</v>
      </c>
      <c r="B7464" t="str">
        <f>"1552383070304481"</f>
        <v>1552383070304481</v>
      </c>
      <c r="C7464" t="s">
        <v>40</v>
      </c>
      <c r="D7464">
        <v>4.2163599999999999</v>
      </c>
      <c r="E7464">
        <v>0.51125429999999905</v>
      </c>
      <c r="F7464" t="s">
        <v>42</v>
      </c>
      <c r="G7464">
        <v>-160.65719999999999</v>
      </c>
      <c r="H7464">
        <v>1.0300210000000001</v>
      </c>
      <c r="I7464">
        <v>138.20150000000001</v>
      </c>
      <c r="J7464">
        <v>-161.27770000000001</v>
      </c>
      <c r="K7464">
        <v>1.1075710000000001</v>
      </c>
      <c r="L7464">
        <v>138.2148</v>
      </c>
      <c r="M7464">
        <v>0.99404060000000005</v>
      </c>
      <c r="N7464">
        <v>0</v>
      </c>
      <c r="O7464">
        <v>0.1081276</v>
      </c>
      <c r="P7464">
        <v>0.98838530000000002</v>
      </c>
      <c r="Q7464">
        <v>0.14627409999999999</v>
      </c>
      <c r="R7464">
        <v>4.1208750000000002E-2</v>
      </c>
      <c r="S7464">
        <v>3.0761409999999998</v>
      </c>
      <c r="T7464">
        <v>-0.28176879999999999</v>
      </c>
      <c r="U7464">
        <v>2.6428219999999999E-2</v>
      </c>
      <c r="V7464">
        <v>6.6991659999999995E-2</v>
      </c>
      <c r="W7464">
        <v>0.15947700000000001</v>
      </c>
      <c r="X7464">
        <v>0.98492599999999997</v>
      </c>
      <c r="Y7464">
        <v>9.8728880000000005E-2</v>
      </c>
      <c r="Z7464">
        <v>-1.4380820000000001E-2</v>
      </c>
      <c r="AA7464">
        <v>0.99501039999999996</v>
      </c>
      <c r="AB7464">
        <v>23</v>
      </c>
      <c r="AC7464">
        <v>0.62050000000002103</v>
      </c>
      <c r="AD7464">
        <v>-7.7549999999999994E-2</v>
      </c>
      <c r="AE7464">
        <v>-1.3299999999986699E-2</v>
      </c>
      <c r="AF7464">
        <v>7.90868488300496E-2</v>
      </c>
      <c r="AG7464">
        <v>-7.7549999999999994E-2</v>
      </c>
      <c r="AH7464">
        <v>0.60596232547575501</v>
      </c>
      <c r="AI7464">
        <v>97.232290634221499</v>
      </c>
      <c r="AJ7464">
        <v>82.564102973668099</v>
      </c>
      <c r="AK7464">
        <v>0.61600249354515801</v>
      </c>
      <c r="AL7464">
        <v>80.823459354885301</v>
      </c>
      <c r="AM7464">
        <v>86.108909048088194</v>
      </c>
      <c r="AN7464">
        <v>1.00000001075727</v>
      </c>
    </row>
    <row r="7465" spans="1:40" x14ac:dyDescent="0.25">
      <c r="A7465" t="str">
        <f>"20190312173110336"</f>
        <v>20190312173110336</v>
      </c>
      <c r="B7465" t="str">
        <f>"1552383070324977"</f>
        <v>1552383070324977</v>
      </c>
      <c r="C7465" t="s">
        <v>40</v>
      </c>
      <c r="D7465">
        <v>4.2040230000000003</v>
      </c>
      <c r="E7465">
        <v>0.51128999999999902</v>
      </c>
      <c r="F7465" t="s">
        <v>42</v>
      </c>
      <c r="G7465">
        <v>-160.45500000000001</v>
      </c>
      <c r="H7465">
        <v>1.0312680000000001</v>
      </c>
      <c r="I7465">
        <v>138.22049999999999</v>
      </c>
      <c r="J7465">
        <v>-161.0522</v>
      </c>
      <c r="K7465">
        <v>1.107559</v>
      </c>
      <c r="L7465">
        <v>138.23419999999999</v>
      </c>
      <c r="M7465">
        <v>0.99451420000000001</v>
      </c>
      <c r="N7465">
        <v>0</v>
      </c>
      <c r="O7465">
        <v>0.1036822</v>
      </c>
      <c r="P7465">
        <v>0.98854070000000005</v>
      </c>
      <c r="Q7465">
        <v>0.145817</v>
      </c>
      <c r="R7465">
        <v>3.9050109999999999E-2</v>
      </c>
      <c r="S7465">
        <v>3.076584</v>
      </c>
      <c r="T7465">
        <v>-0.28529379999999999</v>
      </c>
      <c r="U7465">
        <v>2.1255489999999998E-2</v>
      </c>
      <c r="V7465">
        <v>6.474249E-2</v>
      </c>
      <c r="W7465">
        <v>0.15903729999999999</v>
      </c>
      <c r="X7465">
        <v>0.98514749999999995</v>
      </c>
      <c r="Y7465">
        <v>9.5963140000000002E-2</v>
      </c>
      <c r="Z7465">
        <v>-1.4020690000000001E-2</v>
      </c>
      <c r="AA7465">
        <v>0.99528620000000001</v>
      </c>
      <c r="AB7465">
        <v>23</v>
      </c>
      <c r="AC7465">
        <v>0.59719999999998596</v>
      </c>
      <c r="AD7465">
        <v>-7.6290999999999803E-2</v>
      </c>
      <c r="AE7465">
        <v>-1.37E-2</v>
      </c>
      <c r="AF7465">
        <v>7.4338558554184406E-2</v>
      </c>
      <c r="AG7465">
        <v>-7.6290999999999803E-2</v>
      </c>
      <c r="AH7465">
        <v>0.58305009177634703</v>
      </c>
      <c r="AI7465">
        <v>97.395494305907704</v>
      </c>
      <c r="AJ7465">
        <v>82.734023283904705</v>
      </c>
      <c r="AK7465">
        <v>0.59270055465582305</v>
      </c>
      <c r="AL7465">
        <v>80.848978129534501</v>
      </c>
      <c r="AM7465">
        <v>86.240009834977499</v>
      </c>
      <c r="AN7465">
        <v>1.00000002477946</v>
      </c>
    </row>
    <row r="7466" spans="1:40" x14ac:dyDescent="0.25">
      <c r="A7466" t="str">
        <f>"20190312173110359"</f>
        <v>20190312173110359</v>
      </c>
      <c r="B7466" t="str">
        <f>"1552383070354621"</f>
        <v>1552383070354621</v>
      </c>
      <c r="C7466" t="s">
        <v>40</v>
      </c>
      <c r="D7466">
        <v>4.1657409999999997</v>
      </c>
      <c r="E7466">
        <v>0.51129859999999905</v>
      </c>
      <c r="F7466" t="s">
        <v>42</v>
      </c>
      <c r="G7466">
        <v>-160.25290000000001</v>
      </c>
      <c r="H7466">
        <v>1.0323070000000001</v>
      </c>
      <c r="I7466">
        <v>138.2379</v>
      </c>
      <c r="J7466">
        <v>-160.82239999999999</v>
      </c>
      <c r="K7466">
        <v>1.1075520000000001</v>
      </c>
      <c r="L7466">
        <v>138.25280000000001</v>
      </c>
      <c r="M7466">
        <v>0.99497820000000003</v>
      </c>
      <c r="N7466">
        <v>0</v>
      </c>
      <c r="O7466">
        <v>9.9130819999999994E-2</v>
      </c>
      <c r="P7466">
        <v>0.98872199999999999</v>
      </c>
      <c r="Q7466">
        <v>0.1452041</v>
      </c>
      <c r="R7466">
        <v>3.6672879999999998E-2</v>
      </c>
      <c r="S7466">
        <v>3.0769039999999999</v>
      </c>
      <c r="T7466">
        <v>-0.28960390000000003</v>
      </c>
      <c r="U7466">
        <v>1.498413E-2</v>
      </c>
      <c r="V7466">
        <v>6.2605229999999998E-2</v>
      </c>
      <c r="W7466">
        <v>0.15844269999999999</v>
      </c>
      <c r="X7466">
        <v>0.98538139999999996</v>
      </c>
      <c r="Y7466">
        <v>9.3443360000000003E-2</v>
      </c>
      <c r="Z7466">
        <v>-1.368637E-2</v>
      </c>
      <c r="AA7466">
        <v>0.99553049999999998</v>
      </c>
      <c r="AB7466">
        <v>22</v>
      </c>
      <c r="AC7466">
        <v>0.56949999999997603</v>
      </c>
      <c r="AD7466">
        <v>-7.5245000000000201E-2</v>
      </c>
      <c r="AE7466">
        <v>-1.4900000000011401E-2</v>
      </c>
      <c r="AF7466">
        <v>7.00647236661842E-2</v>
      </c>
      <c r="AG7466">
        <v>-7.5245000000000201E-2</v>
      </c>
      <c r="AH7466">
        <v>0.55552600307031996</v>
      </c>
      <c r="AI7466">
        <v>97.653759831173502</v>
      </c>
      <c r="AJ7466">
        <v>82.811627229308797</v>
      </c>
      <c r="AK7466">
        <v>0.56496018940692105</v>
      </c>
      <c r="AL7466">
        <v>80.883483522579198</v>
      </c>
      <c r="AM7466">
        <v>86.364655658300705</v>
      </c>
      <c r="AN7466">
        <v>1.0000000037362999</v>
      </c>
    </row>
    <row r="7467" spans="1:40" x14ac:dyDescent="0.25">
      <c r="A7467" t="str">
        <f>"20190312173110381"</f>
        <v>20190312173110381</v>
      </c>
      <c r="B7467" t="str">
        <f>"1552383070375117"</f>
        <v>1552383070375117</v>
      </c>
      <c r="C7467" t="s">
        <v>40</v>
      </c>
      <c r="D7467">
        <v>4.1997839999999904</v>
      </c>
      <c r="E7467">
        <v>0.51137290000000002</v>
      </c>
      <c r="F7467" t="s">
        <v>42</v>
      </c>
      <c r="G7467">
        <v>-160.05109999999999</v>
      </c>
      <c r="H7467">
        <v>1.0334410000000001</v>
      </c>
      <c r="I7467">
        <v>138.25489999999999</v>
      </c>
      <c r="J7467">
        <v>-160.59799999999899</v>
      </c>
      <c r="K7467">
        <v>1.1075549999999901</v>
      </c>
      <c r="L7467">
        <v>138.27000000000001</v>
      </c>
      <c r="M7467">
        <v>0.9954115</v>
      </c>
      <c r="N7467">
        <v>0</v>
      </c>
      <c r="O7467">
        <v>9.4679639999999995E-2</v>
      </c>
      <c r="P7467">
        <v>0.98882780000000003</v>
      </c>
      <c r="Q7467">
        <v>0.14510290000000001</v>
      </c>
      <c r="R7467">
        <v>3.4129619999999999E-2</v>
      </c>
      <c r="S7467">
        <v>3.0773320000000002</v>
      </c>
      <c r="T7467">
        <v>-0.2956027</v>
      </c>
      <c r="U7467">
        <v>8.5906980000000008E-3</v>
      </c>
      <c r="V7467">
        <v>6.0727169999999997E-2</v>
      </c>
      <c r="W7467">
        <v>0.15835650000000001</v>
      </c>
      <c r="X7467">
        <v>0.98551279999999997</v>
      </c>
      <c r="Y7467">
        <v>9.105539E-2</v>
      </c>
      <c r="Z7467">
        <v>-1.3427430000000001E-2</v>
      </c>
      <c r="AA7467">
        <v>0.99575530000000001</v>
      </c>
      <c r="AB7467">
        <v>22</v>
      </c>
      <c r="AC7467">
        <v>0.54689999999999295</v>
      </c>
      <c r="AD7467">
        <v>-7.4113999999999694E-2</v>
      </c>
      <c r="AE7467">
        <v>-1.5100000000018101E-2</v>
      </c>
      <c r="AF7467">
        <v>6.5613359832122006E-2</v>
      </c>
      <c r="AG7467">
        <v>-7.4113999999999694E-2</v>
      </c>
      <c r="AH7467">
        <v>0.53322781226404403</v>
      </c>
      <c r="AI7467">
        <v>97.854424979714594</v>
      </c>
      <c r="AJ7467">
        <v>82.985051953261703</v>
      </c>
      <c r="AK7467">
        <v>0.54233743901408704</v>
      </c>
      <c r="AL7467">
        <v>80.888485761015005</v>
      </c>
      <c r="AM7467">
        <v>86.473899918100003</v>
      </c>
      <c r="AN7467">
        <v>1.00000002461614</v>
      </c>
    </row>
    <row r="7468" spans="1:40" x14ac:dyDescent="0.25">
      <c r="A7468" t="str">
        <f>"20190312173110404"</f>
        <v>20190312173110404</v>
      </c>
      <c r="B7468" t="str">
        <f>"1552383070394638"</f>
        <v>1552383070394638</v>
      </c>
      <c r="C7468" t="s">
        <v>40</v>
      </c>
      <c r="D7468">
        <v>4.1794260000000003</v>
      </c>
      <c r="E7468">
        <v>0.51149739999999999</v>
      </c>
      <c r="F7468" t="s">
        <v>42</v>
      </c>
      <c r="G7468">
        <v>-159.84909999999999</v>
      </c>
      <c r="H7468">
        <v>1.0349870000000001</v>
      </c>
      <c r="I7468">
        <v>138.2698</v>
      </c>
      <c r="J7468">
        <v>-160.37270000000001</v>
      </c>
      <c r="K7468">
        <v>1.107569</v>
      </c>
      <c r="L7468">
        <v>138.28620000000001</v>
      </c>
      <c r="M7468">
        <v>0.9958264</v>
      </c>
      <c r="N7468">
        <v>0</v>
      </c>
      <c r="O7468">
        <v>9.0211830000000007E-2</v>
      </c>
      <c r="P7468">
        <v>0.98886039999999997</v>
      </c>
      <c r="Q7468">
        <v>0.14551140000000001</v>
      </c>
      <c r="R7468">
        <v>3.1335469999999997E-2</v>
      </c>
      <c r="S7468">
        <v>3.0776669999999999</v>
      </c>
      <c r="T7468">
        <v>-0.29815779999999997</v>
      </c>
      <c r="U7468">
        <v>-5.1879879999999995E-4</v>
      </c>
      <c r="V7468">
        <v>5.907838E-2</v>
      </c>
      <c r="W7468">
        <v>0.158777</v>
      </c>
      <c r="X7468">
        <v>0.98554529999999996</v>
      </c>
      <c r="Y7468">
        <v>8.954761E-2</v>
      </c>
      <c r="Z7468">
        <v>-1.30385E-2</v>
      </c>
      <c r="AA7468">
        <v>0.99589720000000004</v>
      </c>
      <c r="AB7468">
        <v>22</v>
      </c>
      <c r="AC7468">
        <v>0.52360000000001605</v>
      </c>
      <c r="AD7468">
        <v>-7.2581999999999897E-2</v>
      </c>
      <c r="AE7468">
        <v>-1.6400000000004401E-2</v>
      </c>
      <c r="AF7468">
        <v>6.2375144008727998E-2</v>
      </c>
      <c r="AG7468">
        <v>-7.2581999999999897E-2</v>
      </c>
      <c r="AH7468">
        <v>0.51019092677153499</v>
      </c>
      <c r="AI7468">
        <v>98.037759345384899</v>
      </c>
      <c r="AJ7468">
        <v>83.029698994143203</v>
      </c>
      <c r="AK7468">
        <v>0.51908918990295605</v>
      </c>
      <c r="AL7468">
        <v>80.864083609843902</v>
      </c>
      <c r="AM7468">
        <v>86.569517316785095</v>
      </c>
      <c r="AN7468">
        <v>0.99999996453225604</v>
      </c>
    </row>
    <row r="7469" spans="1:40" x14ac:dyDescent="0.25">
      <c r="A7469" t="str">
        <f>"20190312173110426"</f>
        <v>20190312173110426</v>
      </c>
      <c r="B7469" t="str">
        <f>"1552383070415134"</f>
        <v>1552383070415134</v>
      </c>
      <c r="C7469" t="s">
        <v>40</v>
      </c>
      <c r="D7469">
        <v>4.211436</v>
      </c>
      <c r="E7469">
        <v>0.51157989999999998</v>
      </c>
      <c r="F7469" t="s">
        <v>42</v>
      </c>
      <c r="G7469">
        <v>-159.45419999999999</v>
      </c>
      <c r="H7469">
        <v>1.018375</v>
      </c>
      <c r="I7469">
        <v>138.28290000000001</v>
      </c>
      <c r="J7469">
        <v>-160.15</v>
      </c>
      <c r="K7469">
        <v>1.1075889999999999</v>
      </c>
      <c r="L7469">
        <v>138.30119999999999</v>
      </c>
      <c r="M7469">
        <v>0.99621579999999998</v>
      </c>
      <c r="N7469">
        <v>0</v>
      </c>
      <c r="O7469">
        <v>8.5805480000000003E-2</v>
      </c>
      <c r="P7469">
        <v>0.98888699999999996</v>
      </c>
      <c r="Q7469">
        <v>0.14602970000000001</v>
      </c>
      <c r="R7469">
        <v>2.7889980000000002E-2</v>
      </c>
      <c r="S7469">
        <v>3.0781100000000001</v>
      </c>
      <c r="T7469">
        <v>-0.29882690000000001</v>
      </c>
      <c r="U7469">
        <v>-1.0589599999999999E-2</v>
      </c>
      <c r="V7469">
        <v>5.8140589999999999E-2</v>
      </c>
      <c r="W7469">
        <v>0.1593019</v>
      </c>
      <c r="X7469">
        <v>0.98551639999999996</v>
      </c>
      <c r="Y7469">
        <v>8.8422319999999999E-2</v>
      </c>
      <c r="Z7469">
        <v>-1.258595E-2</v>
      </c>
      <c r="AA7469">
        <v>0.99600359999999999</v>
      </c>
      <c r="AB7469">
        <v>22</v>
      </c>
      <c r="AC7469">
        <v>0.69580000000001896</v>
      </c>
      <c r="AD7469">
        <v>-8.9213999999999904E-2</v>
      </c>
      <c r="AE7469">
        <v>-1.8299999999982199E-2</v>
      </c>
      <c r="AF7469">
        <v>7.6681899815638804E-2</v>
      </c>
      <c r="AG7469">
        <v>-8.9213999999999904E-2</v>
      </c>
      <c r="AH7469">
        <v>0.68048364442125697</v>
      </c>
      <c r="AI7469">
        <v>97.422645517467998</v>
      </c>
      <c r="AJ7469">
        <v>83.570613184670705</v>
      </c>
      <c r="AK7469">
        <v>0.69057746986139901</v>
      </c>
      <c r="AL7469">
        <v>80.833621656530099</v>
      </c>
      <c r="AM7469">
        <v>86.623745876022397</v>
      </c>
      <c r="AN7469">
        <v>0.99999999910905801</v>
      </c>
    </row>
    <row r="7470" spans="1:40" x14ac:dyDescent="0.25">
      <c r="A7470" t="str">
        <f>"20190312173110449"</f>
        <v>20190312173110449</v>
      </c>
      <c r="B7470" t="str">
        <f>"1552383070444797"</f>
        <v>1552383070444797</v>
      </c>
      <c r="C7470" t="s">
        <v>40</v>
      </c>
      <c r="D7470">
        <v>4.1801680000000001</v>
      </c>
      <c r="E7470">
        <v>0.51269209999999998</v>
      </c>
      <c r="F7470" t="s">
        <v>42</v>
      </c>
      <c r="G7470">
        <v>-159.2527</v>
      </c>
      <c r="H7470">
        <v>1.0202549999999999</v>
      </c>
      <c r="I7470">
        <v>138.29480000000001</v>
      </c>
      <c r="J7470">
        <v>-159.92259999999999</v>
      </c>
      <c r="K7470">
        <v>1.1076090000000001</v>
      </c>
      <c r="L7470">
        <v>138.31549999999999</v>
      </c>
      <c r="M7470">
        <v>0.99659260000000005</v>
      </c>
      <c r="N7470">
        <v>0</v>
      </c>
      <c r="O7470">
        <v>8.1313099999999999E-2</v>
      </c>
      <c r="P7470">
        <v>0.98900500000000002</v>
      </c>
      <c r="Q7470">
        <v>0.14589849999999999</v>
      </c>
      <c r="R7470">
        <v>2.415202E-2</v>
      </c>
      <c r="S7470">
        <v>3.0785680000000002</v>
      </c>
      <c r="T7470">
        <v>-0.29958050000000003</v>
      </c>
      <c r="U7470">
        <v>-2.1789550000000001E-2</v>
      </c>
      <c r="V7470">
        <v>5.7414100000000003E-2</v>
      </c>
      <c r="W7470">
        <v>0.1591776</v>
      </c>
      <c r="X7470">
        <v>0.98557910000000004</v>
      </c>
      <c r="Y7470">
        <v>8.7575790000000001E-2</v>
      </c>
      <c r="Z7470">
        <v>-1.213971E-2</v>
      </c>
      <c r="AA7470">
        <v>0.99608390000000002</v>
      </c>
      <c r="AB7470">
        <v>22</v>
      </c>
      <c r="AC7470">
        <v>0.66989999999998395</v>
      </c>
      <c r="AD7470">
        <v>-8.7354000000000098E-2</v>
      </c>
      <c r="AE7470">
        <v>-2.0699999999976602E-2</v>
      </c>
      <c r="AF7470">
        <v>7.3853704866437705E-2</v>
      </c>
      <c r="AG7470">
        <v>-8.7354000000000098E-2</v>
      </c>
      <c r="AH7470">
        <v>0.65487322809877002</v>
      </c>
      <c r="AI7470">
        <v>97.550566767127606</v>
      </c>
      <c r="AJ7470">
        <v>83.565621797299301</v>
      </c>
      <c r="AK7470">
        <v>0.66478871524643302</v>
      </c>
      <c r="AL7470">
        <v>80.840835809146</v>
      </c>
      <c r="AM7470">
        <v>86.666049382182294</v>
      </c>
      <c r="AN7470">
        <v>1.00000002478868</v>
      </c>
    </row>
    <row r="7471" spans="1:40" x14ac:dyDescent="0.25">
      <c r="A7471" t="str">
        <f>"20190312173110471"</f>
        <v>20190312173110471</v>
      </c>
      <c r="B7471" t="str">
        <f>"1552383070465293"</f>
        <v>1552383070465293</v>
      </c>
      <c r="C7471" t="s">
        <v>40</v>
      </c>
      <c r="D7471">
        <v>4.5142959999999999</v>
      </c>
      <c r="E7471">
        <v>0.51270740000000004</v>
      </c>
      <c r="F7471" t="s">
        <v>42</v>
      </c>
      <c r="G7471">
        <v>-159.05410000000001</v>
      </c>
      <c r="H7471">
        <v>1.016286</v>
      </c>
      <c r="I7471">
        <v>138.30340000000001</v>
      </c>
      <c r="J7471">
        <v>-159.69880000000001</v>
      </c>
      <c r="K7471">
        <v>1.1076280000000001</v>
      </c>
      <c r="L7471">
        <v>138.32849999999999</v>
      </c>
      <c r="M7471">
        <v>0.99694260000000001</v>
      </c>
      <c r="N7471">
        <v>0</v>
      </c>
      <c r="O7471">
        <v>7.6901349999999993E-2</v>
      </c>
      <c r="P7471">
        <v>0.98905609999999999</v>
      </c>
      <c r="Q7471">
        <v>0.14614289999999999</v>
      </c>
      <c r="R7471">
        <v>2.0255789999999999E-2</v>
      </c>
      <c r="S7471">
        <v>3.0821689999999999</v>
      </c>
      <c r="T7471">
        <v>-0.32394909999999999</v>
      </c>
      <c r="U7471">
        <v>-4.2266850000000002E-2</v>
      </c>
      <c r="V7471">
        <v>5.6925429999999999E-2</v>
      </c>
      <c r="W7471">
        <v>0.15942519999999999</v>
      </c>
      <c r="X7471">
        <v>0.98556739999999998</v>
      </c>
      <c r="Y7471">
        <v>8.9656009999999994E-2</v>
      </c>
      <c r="Z7471">
        <v>-1.2754379999999999E-2</v>
      </c>
      <c r="AA7471">
        <v>0.99589110000000003</v>
      </c>
      <c r="AB7471">
        <v>22</v>
      </c>
      <c r="AC7471">
        <v>0.64470000000000005</v>
      </c>
      <c r="AD7471">
        <v>-9.1342000000000007E-2</v>
      </c>
      <c r="AE7471">
        <v>-2.5099999999980499E-2</v>
      </c>
      <c r="AF7471">
        <v>7.3142692301570694E-2</v>
      </c>
      <c r="AG7471">
        <v>-9.1342000000000007E-2</v>
      </c>
      <c r="AH7471">
        <v>0.62826756196179401</v>
      </c>
      <c r="AI7471">
        <v>98.217374307662595</v>
      </c>
      <c r="AJ7471">
        <v>83.359538074987299</v>
      </c>
      <c r="AK7471">
        <v>0.63907225242106902</v>
      </c>
      <c r="AL7471">
        <v>80.826465635908207</v>
      </c>
      <c r="AM7471">
        <v>86.694323363648394</v>
      </c>
      <c r="AN7471">
        <v>0.99999999945924201</v>
      </c>
    </row>
    <row r="7472" spans="1:40" x14ac:dyDescent="0.25">
      <c r="A7472" t="str">
        <f>"20190312173110492"</f>
        <v>20190312173110492</v>
      </c>
      <c r="B7472" t="str">
        <f>"1552383070484813"</f>
        <v>1552383070484813</v>
      </c>
      <c r="C7472" t="s">
        <v>40</v>
      </c>
      <c r="D7472">
        <v>4.180555</v>
      </c>
      <c r="E7472">
        <v>0.51258779999999904</v>
      </c>
      <c r="F7472" t="s">
        <v>42</v>
      </c>
      <c r="G7472">
        <v>-158.85210000000001</v>
      </c>
      <c r="H7472">
        <v>1.0199659999999999</v>
      </c>
      <c r="I7472">
        <v>138.31399999999999</v>
      </c>
      <c r="J7472">
        <v>-159.48230000000001</v>
      </c>
      <c r="K7472">
        <v>1.1076469999999901</v>
      </c>
      <c r="L7472">
        <v>138.34020000000001</v>
      </c>
      <c r="M7472">
        <v>0.99726159999999997</v>
      </c>
      <c r="N7472">
        <v>0</v>
      </c>
      <c r="O7472">
        <v>7.2649519999999995E-2</v>
      </c>
      <c r="P7472">
        <v>0.98912659999999997</v>
      </c>
      <c r="Q7472">
        <v>0.14610090000000001</v>
      </c>
      <c r="R7472">
        <v>1.6822480000000001E-2</v>
      </c>
      <c r="S7472">
        <v>3.0814210000000002</v>
      </c>
      <c r="T7472">
        <v>-0.31897029999999998</v>
      </c>
      <c r="U7472">
        <v>-5.2413939999999999E-2</v>
      </c>
      <c r="V7472">
        <v>5.6135530000000003E-2</v>
      </c>
      <c r="W7472">
        <v>0.159389</v>
      </c>
      <c r="X7472">
        <v>0.98561860000000001</v>
      </c>
      <c r="Y7472">
        <v>8.87463E-2</v>
      </c>
      <c r="Z7472">
        <v>-1.207724E-2</v>
      </c>
      <c r="AA7472">
        <v>0.99598100000000001</v>
      </c>
      <c r="AB7472">
        <v>22</v>
      </c>
      <c r="AC7472">
        <v>0.63020000000000198</v>
      </c>
      <c r="AD7472">
        <v>-8.7680999999999898E-2</v>
      </c>
      <c r="AE7472">
        <v>-2.6200000000017099E-2</v>
      </c>
      <c r="AF7472">
        <v>7.0555426944542907E-2</v>
      </c>
      <c r="AG7472">
        <v>-8.7680999999999898E-2</v>
      </c>
      <c r="AH7472">
        <v>0.61475115072778197</v>
      </c>
      <c r="AI7472">
        <v>98.0650201455326</v>
      </c>
      <c r="AJ7472">
        <v>83.452769729229303</v>
      </c>
      <c r="AK7472">
        <v>0.62496800186366297</v>
      </c>
      <c r="AL7472">
        <v>80.828566963610001</v>
      </c>
      <c r="AM7472">
        <v>86.740262447302499</v>
      </c>
      <c r="AN7472">
        <v>1.0000000378576599</v>
      </c>
    </row>
    <row r="7473" spans="1:40" x14ac:dyDescent="0.25">
      <c r="A7473" t="str">
        <f>"20190312173110515"</f>
        <v>20190312173110515</v>
      </c>
      <c r="B7473" t="str">
        <f>"1552383070505308"</f>
        <v>1552383070505308</v>
      </c>
      <c r="C7473" t="s">
        <v>40</v>
      </c>
      <c r="D7473">
        <v>4.1261869999999998</v>
      </c>
      <c r="E7473">
        <v>0.51203129999999997</v>
      </c>
      <c r="F7473" t="s">
        <v>42</v>
      </c>
      <c r="G7473">
        <v>-158.6514</v>
      </c>
      <c r="H7473">
        <v>1.021469</v>
      </c>
      <c r="I7473">
        <v>138.3237</v>
      </c>
      <c r="J7473">
        <v>-159.25399999999999</v>
      </c>
      <c r="K7473">
        <v>1.1076680000000001</v>
      </c>
      <c r="L7473">
        <v>138.35159999999999</v>
      </c>
      <c r="M7473">
        <v>0.99757700000000005</v>
      </c>
      <c r="N7473">
        <v>0</v>
      </c>
      <c r="O7473">
        <v>6.8184289999999995E-2</v>
      </c>
      <c r="P7473">
        <v>0.98931990000000003</v>
      </c>
      <c r="Q7473">
        <v>0.14514250000000001</v>
      </c>
      <c r="R7473">
        <v>1.341941E-2</v>
      </c>
      <c r="S7473">
        <v>3.0811609999999998</v>
      </c>
      <c r="T7473">
        <v>-0.31940469999999999</v>
      </c>
      <c r="U7473">
        <v>-6.0928339999999998E-2</v>
      </c>
      <c r="V7473">
        <v>5.5106599999999999E-2</v>
      </c>
      <c r="W7473">
        <v>0.15843989999999999</v>
      </c>
      <c r="X7473">
        <v>0.98582970000000003</v>
      </c>
      <c r="Y7473">
        <v>8.7070529999999993E-2</v>
      </c>
      <c r="Z7473">
        <v>-1.154694E-2</v>
      </c>
      <c r="AA7473">
        <v>0.9961352</v>
      </c>
      <c r="AB7473">
        <v>22</v>
      </c>
      <c r="AC7473">
        <v>0.60259999999999503</v>
      </c>
      <c r="AD7473">
        <v>-8.6199000000000095E-2</v>
      </c>
      <c r="AE7473">
        <v>-2.7899999999988202E-2</v>
      </c>
      <c r="AF7473">
        <v>6.7547638075908606E-2</v>
      </c>
      <c r="AG7473">
        <v>-8.6199000000000095E-2</v>
      </c>
      <c r="AH7473">
        <v>0.58730316372510305</v>
      </c>
      <c r="AI7473">
        <v>98.295816621906098</v>
      </c>
      <c r="AJ7473">
        <v>83.439055064437895</v>
      </c>
      <c r="AK7473">
        <v>0.597426110186146</v>
      </c>
      <c r="AL7473">
        <v>80.883646597111294</v>
      </c>
      <c r="AM7473">
        <v>86.800569941376907</v>
      </c>
      <c r="AN7473">
        <v>1.0000000683388199</v>
      </c>
    </row>
    <row r="7474" spans="1:40" x14ac:dyDescent="0.25">
      <c r="A7474" t="str">
        <f>"20190312173110672"</f>
        <v>20190312173110672</v>
      </c>
      <c r="B7474" t="str">
        <f>"1552383070665373"</f>
        <v>1552383070665373</v>
      </c>
      <c r="C7474" t="s">
        <v>40</v>
      </c>
      <c r="D7474">
        <v>4.1590389999999999</v>
      </c>
      <c r="E7474">
        <v>0.50380199999999997</v>
      </c>
      <c r="F7474" t="s">
        <v>42</v>
      </c>
      <c r="G7474">
        <v>-157.0813</v>
      </c>
      <c r="H7474">
        <v>0.97844390000000003</v>
      </c>
      <c r="I7474">
        <v>138.36670000000001</v>
      </c>
      <c r="J7474">
        <v>-157.69919999999999</v>
      </c>
      <c r="K7474">
        <v>1.108079</v>
      </c>
      <c r="L7474">
        <v>138.40430000000001</v>
      </c>
      <c r="M7474">
        <v>0.99912250000000002</v>
      </c>
      <c r="N7474">
        <v>0</v>
      </c>
      <c r="O7474">
        <v>3.9551679999999999E-2</v>
      </c>
      <c r="P7474">
        <v>0.98985789999999996</v>
      </c>
      <c r="Q7474">
        <v>0.14197660000000001</v>
      </c>
      <c r="R7474">
        <v>-4.9480510000000002E-3</v>
      </c>
      <c r="S7474">
        <v>3.098633</v>
      </c>
      <c r="T7474">
        <v>-0.47925659999999998</v>
      </c>
      <c r="U7474">
        <v>-0.1201782</v>
      </c>
      <c r="V7474">
        <v>4.4946640000000003E-2</v>
      </c>
      <c r="W7474">
        <v>0.15535860000000001</v>
      </c>
      <c r="X7474">
        <v>0.98683509999999997</v>
      </c>
      <c r="Y7474">
        <v>7.6867950000000004E-2</v>
      </c>
      <c r="Z7474">
        <v>-1.198664E-2</v>
      </c>
      <c r="AA7474">
        <v>0.9969692</v>
      </c>
      <c r="AB7474">
        <v>22</v>
      </c>
      <c r="AC7474">
        <v>0.61789999999999101</v>
      </c>
      <c r="AD7474">
        <v>-0.1296351</v>
      </c>
      <c r="AE7474">
        <v>-3.7599999999997601E-2</v>
      </c>
      <c r="AF7474">
        <v>5.9406689585784697E-2</v>
      </c>
      <c r="AG7474">
        <v>-0.1296351</v>
      </c>
      <c r="AH7474">
        <v>0.59005326827753202</v>
      </c>
      <c r="AI7474">
        <v>102.33064280487</v>
      </c>
      <c r="AJ7474">
        <v>84.250821925346102</v>
      </c>
      <c r="AK7474">
        <v>0.60703976255641501</v>
      </c>
      <c r="AL7474">
        <v>81.062405580939995</v>
      </c>
      <c r="AM7474">
        <v>87.392194263649202</v>
      </c>
      <c r="AN7474">
        <v>1.00000000481662</v>
      </c>
    </row>
    <row r="7475" spans="1:40" x14ac:dyDescent="0.25">
      <c r="A7475" t="str">
        <f>"20190312173110694"</f>
        <v>20190312173110694</v>
      </c>
      <c r="B7475" t="str">
        <f>"1552383070684893"</f>
        <v>1552383070684893</v>
      </c>
      <c r="C7475" t="s">
        <v>40</v>
      </c>
      <c r="D7475">
        <v>4.099113</v>
      </c>
      <c r="E7475">
        <v>0.50538229999999995</v>
      </c>
      <c r="F7475" t="s">
        <v>42</v>
      </c>
      <c r="G7475">
        <v>-156.9254</v>
      </c>
      <c r="H7475">
        <v>0.89120889999999997</v>
      </c>
      <c r="I7475">
        <v>138.38890000000001</v>
      </c>
      <c r="J7475">
        <v>-157.4795</v>
      </c>
      <c r="K7475">
        <v>1.108166</v>
      </c>
      <c r="L7475">
        <v>138.40860000000001</v>
      </c>
      <c r="M7475">
        <v>0.99925909999999996</v>
      </c>
      <c r="N7475">
        <v>0</v>
      </c>
      <c r="O7475">
        <v>3.5935479999999999E-2</v>
      </c>
      <c r="P7475">
        <v>0.9899173</v>
      </c>
      <c r="Q7475">
        <v>0.1414733</v>
      </c>
      <c r="R7475">
        <v>-7.0169859999999898E-3</v>
      </c>
      <c r="S7475">
        <v>3.1573030000000002</v>
      </c>
      <c r="T7475">
        <v>-0.88460839999999996</v>
      </c>
      <c r="U7475">
        <v>-6.2438960000000002E-2</v>
      </c>
      <c r="V7475">
        <v>4.3401620000000002E-2</v>
      </c>
      <c r="W7475">
        <v>0.1548668</v>
      </c>
      <c r="X7475">
        <v>0.98698160000000001</v>
      </c>
      <c r="Y7475">
        <v>5.2294670000000001E-2</v>
      </c>
      <c r="Z7475">
        <v>-1.7064280000000001E-2</v>
      </c>
      <c r="AA7475">
        <v>0.99848590000000004</v>
      </c>
      <c r="AB7475">
        <v>22</v>
      </c>
      <c r="AC7475">
        <v>0.55410000000000503</v>
      </c>
      <c r="AD7475">
        <v>-0.21695709999999899</v>
      </c>
      <c r="AE7475">
        <v>-1.97000000000002E-2</v>
      </c>
      <c r="AF7475">
        <v>3.43425871192811E-2</v>
      </c>
      <c r="AG7475">
        <v>-0.21695709999999899</v>
      </c>
      <c r="AH7475">
        <v>0.47959933741696598</v>
      </c>
      <c r="AI7475">
        <v>114.285668628683</v>
      </c>
      <c r="AJ7475">
        <v>85.904221861175898</v>
      </c>
      <c r="AK7475">
        <v>0.52750859801641903</v>
      </c>
      <c r="AL7475">
        <v>81.090929297793394</v>
      </c>
      <c r="AM7475">
        <v>87.482092242752699</v>
      </c>
      <c r="AN7475">
        <v>1.0000000525497099</v>
      </c>
    </row>
    <row r="7476" spans="1:40" x14ac:dyDescent="0.25">
      <c r="A7476" t="str">
        <f>"20190312173110716"</f>
        <v>20190312173110716</v>
      </c>
      <c r="B7476" t="str">
        <f>"1552383070705389"</f>
        <v>1552383070705389</v>
      </c>
      <c r="C7476" t="s">
        <v>40</v>
      </c>
      <c r="D7476">
        <v>4.1437860000000004</v>
      </c>
      <c r="E7476">
        <v>0.50658539999999996</v>
      </c>
      <c r="F7476" t="s">
        <v>42</v>
      </c>
      <c r="G7476">
        <v>-156.71430000000001</v>
      </c>
      <c r="H7476">
        <v>0.92075899999999999</v>
      </c>
      <c r="I7476">
        <v>138.38990000000001</v>
      </c>
      <c r="J7476">
        <v>-157.25790000000001</v>
      </c>
      <c r="K7476">
        <v>1.1082669999999999</v>
      </c>
      <c r="L7476">
        <v>138.41239999999999</v>
      </c>
      <c r="M7476">
        <v>0.99937849999999995</v>
      </c>
      <c r="N7476">
        <v>0</v>
      </c>
      <c r="O7476">
        <v>3.2449520000000003E-2</v>
      </c>
      <c r="P7476">
        <v>0.9900793</v>
      </c>
      <c r="Q7476">
        <v>0.14026759999999999</v>
      </c>
      <c r="R7476">
        <v>-8.2546570000000003E-3</v>
      </c>
      <c r="S7476">
        <v>3.139923</v>
      </c>
      <c r="T7476">
        <v>-0.7689066</v>
      </c>
      <c r="U7476">
        <v>-7.6354980000000003E-2</v>
      </c>
      <c r="V7476">
        <v>4.1148770000000001E-2</v>
      </c>
      <c r="W7476">
        <v>0.15367720000000001</v>
      </c>
      <c r="X7476">
        <v>0.98726389999999997</v>
      </c>
      <c r="Y7476">
        <v>5.418195E-2</v>
      </c>
      <c r="Z7476">
        <v>-1.4366479999999999E-2</v>
      </c>
      <c r="AA7476">
        <v>0.99842770000000003</v>
      </c>
      <c r="AB7476">
        <v>22</v>
      </c>
      <c r="AC7476">
        <v>0.54359999999999697</v>
      </c>
      <c r="AD7476">
        <v>-0.18750800000000001</v>
      </c>
      <c r="AE7476">
        <v>-2.2499999999979502E-2</v>
      </c>
      <c r="AF7476">
        <v>3.5868928252970202E-2</v>
      </c>
      <c r="AG7476">
        <v>-0.18750800000000001</v>
      </c>
      <c r="AH7476">
        <v>0.48497853561361098</v>
      </c>
      <c r="AI7476">
        <v>111.08556254379199</v>
      </c>
      <c r="AJ7476">
        <v>85.770115449779595</v>
      </c>
      <c r="AK7476">
        <v>0.52120054689527995</v>
      </c>
      <c r="AL7476">
        <v>81.159913353234998</v>
      </c>
      <c r="AM7476">
        <v>87.613315907125497</v>
      </c>
      <c r="AN7476">
        <v>0.99999995565777999</v>
      </c>
    </row>
    <row r="7477" spans="1:40" x14ac:dyDescent="0.25">
      <c r="A7477" t="str">
        <f>"20190312173110738"</f>
        <v>20190312173110738</v>
      </c>
      <c r="B7477" t="str">
        <f>"1552383070734669"</f>
        <v>1552383070734669</v>
      </c>
      <c r="C7477" t="s">
        <v>40</v>
      </c>
      <c r="D7477">
        <v>4.4548399999999999</v>
      </c>
      <c r="E7477">
        <v>0.50806059999999997</v>
      </c>
      <c r="F7477" t="s">
        <v>42</v>
      </c>
      <c r="G7477">
        <v>-156.50960000000001</v>
      </c>
      <c r="H7477">
        <v>0.93700490000000003</v>
      </c>
      <c r="I7477">
        <v>138.39089999999999</v>
      </c>
      <c r="J7477">
        <v>-157.04140000000001</v>
      </c>
      <c r="K7477">
        <v>1.1083780000000001</v>
      </c>
      <c r="L7477">
        <v>138.41550000000001</v>
      </c>
      <c r="M7477">
        <v>0.99947859999999999</v>
      </c>
      <c r="N7477">
        <v>0</v>
      </c>
      <c r="O7477">
        <v>2.9209510000000001E-2</v>
      </c>
      <c r="P7477">
        <v>0.99030980000000002</v>
      </c>
      <c r="Q7477">
        <v>0.13863139999999999</v>
      </c>
      <c r="R7477">
        <v>-8.2452930000000008E-3</v>
      </c>
      <c r="S7477">
        <v>3.1308289999999999</v>
      </c>
      <c r="T7477">
        <v>-0.71638429999999997</v>
      </c>
      <c r="U7477">
        <v>-8.9553830000000001E-2</v>
      </c>
      <c r="V7477">
        <v>3.7887549999999999E-2</v>
      </c>
      <c r="W7477">
        <v>0.1520627</v>
      </c>
      <c r="X7477">
        <v>0.98764439999999998</v>
      </c>
      <c r="Y7477">
        <v>5.5590109999999998E-2</v>
      </c>
      <c r="Z7477">
        <v>-1.287522E-2</v>
      </c>
      <c r="AA7477">
        <v>0.9983706</v>
      </c>
      <c r="AB7477">
        <v>22</v>
      </c>
      <c r="AC7477">
        <v>0.53180000000000305</v>
      </c>
      <c r="AD7477">
        <v>-0.171373099999999</v>
      </c>
      <c r="AE7477">
        <v>-2.46000000000208E-2</v>
      </c>
      <c r="AF7477">
        <v>3.6357119648287403E-2</v>
      </c>
      <c r="AG7477">
        <v>-0.171373099999999</v>
      </c>
      <c r="AH7477">
        <v>0.48101022152582301</v>
      </c>
      <c r="AI7477">
        <v>109.558298413194</v>
      </c>
      <c r="AJ7477">
        <v>85.6775220766351</v>
      </c>
      <c r="AK7477">
        <v>0.511919342050143</v>
      </c>
      <c r="AL7477">
        <v>81.253517955083296</v>
      </c>
      <c r="AM7477">
        <v>87.803123475264599</v>
      </c>
      <c r="AN7477">
        <v>0.99999999601382605</v>
      </c>
    </row>
    <row r="7478" spans="1:40" x14ac:dyDescent="0.25">
      <c r="A7478" t="str">
        <f>"20190312173110772"</f>
        <v>20190312173110772</v>
      </c>
      <c r="B7478" t="str">
        <f>"1552383070764928"</f>
        <v>1552383070764928</v>
      </c>
      <c r="C7478" t="s">
        <v>40</v>
      </c>
      <c r="D7478">
        <v>4.0976290000000004</v>
      </c>
      <c r="E7478">
        <v>0.50890029999999997</v>
      </c>
      <c r="F7478" t="s">
        <v>42</v>
      </c>
      <c r="G7478">
        <v>-156.30699999999999</v>
      </c>
      <c r="H7478">
        <v>0.94888309999999998</v>
      </c>
      <c r="I7478">
        <v>138.3912</v>
      </c>
      <c r="J7478">
        <v>-156.70750000000001</v>
      </c>
      <c r="K7478">
        <v>1.1085860000000001</v>
      </c>
      <c r="L7478">
        <v>138.41929999999999</v>
      </c>
      <c r="M7478">
        <v>0.99960320000000003</v>
      </c>
      <c r="N7478">
        <v>0</v>
      </c>
      <c r="O7478">
        <v>2.456761E-2</v>
      </c>
      <c r="P7478">
        <v>0.99044489999999996</v>
      </c>
      <c r="Q7478">
        <v>0.13736499999999999</v>
      </c>
      <c r="R7478">
        <v>-1.2245590000000001E-2</v>
      </c>
      <c r="S7478">
        <v>3.1234280000000001</v>
      </c>
      <c r="T7478">
        <v>-0.67826529999999996</v>
      </c>
      <c r="U7478">
        <v>-0.1028748</v>
      </c>
      <c r="V7478">
        <v>3.721381E-2</v>
      </c>
      <c r="W7478">
        <v>0.1508391</v>
      </c>
      <c r="X7478">
        <v>0.9878576</v>
      </c>
      <c r="Y7478">
        <v>5.5598590000000003E-2</v>
      </c>
      <c r="Z7478">
        <v>-1.1238379999999999E-2</v>
      </c>
      <c r="AA7478">
        <v>0.99839</v>
      </c>
      <c r="AB7478">
        <v>22</v>
      </c>
      <c r="AC7478">
        <v>0.40049999999999297</v>
      </c>
      <c r="AD7478">
        <v>-0.15970290000000001</v>
      </c>
      <c r="AE7478">
        <v>-2.80999999999949E-2</v>
      </c>
      <c r="AF7478">
        <v>3.27497908682313E-2</v>
      </c>
      <c r="AG7478">
        <v>-0.15970290000000001</v>
      </c>
      <c r="AH7478">
        <v>0.34508586150231302</v>
      </c>
      <c r="AI7478">
        <v>114.736547417328</v>
      </c>
      <c r="AJ7478">
        <v>84.578677867537607</v>
      </c>
      <c r="AK7478">
        <v>0.381656674092196</v>
      </c>
      <c r="AL7478">
        <v>81.324442985232295</v>
      </c>
      <c r="AM7478">
        <v>87.842617704918794</v>
      </c>
      <c r="AN7478">
        <v>0.99999996981064199</v>
      </c>
    </row>
    <row r="7479" spans="1:40" x14ac:dyDescent="0.25">
      <c r="A7479" t="str">
        <f>"20190312173110794"</f>
        <v>20190312173110794</v>
      </c>
      <c r="B7479" t="str">
        <f>"1552383070784445"</f>
        <v>1552383070784445</v>
      </c>
      <c r="C7479" t="s">
        <v>40</v>
      </c>
      <c r="D7479">
        <v>4.0797730000000003</v>
      </c>
      <c r="E7479">
        <v>0.50939760000000001</v>
      </c>
      <c r="F7479" t="s">
        <v>42</v>
      </c>
      <c r="G7479">
        <v>-155.91720000000001</v>
      </c>
      <c r="H7479">
        <v>0.94311979999999995</v>
      </c>
      <c r="I7479">
        <v>138.38849999999999</v>
      </c>
      <c r="J7479">
        <v>-156.4931</v>
      </c>
      <c r="K7479">
        <v>1.108741</v>
      </c>
      <c r="L7479">
        <v>138.4212</v>
      </c>
      <c r="M7479">
        <v>0.9996659</v>
      </c>
      <c r="N7479">
        <v>0</v>
      </c>
      <c r="O7479">
        <v>2.180992E-2</v>
      </c>
      <c r="P7479">
        <v>0.99039670000000002</v>
      </c>
      <c r="Q7479">
        <v>0.13735259999999999</v>
      </c>
      <c r="R7479">
        <v>-1.5771449999999999E-2</v>
      </c>
      <c r="S7479">
        <v>3.1179960000000002</v>
      </c>
      <c r="T7479">
        <v>-0.65274679999999996</v>
      </c>
      <c r="U7479">
        <v>-0.1210938</v>
      </c>
      <c r="V7479">
        <v>3.7960029999999999E-2</v>
      </c>
      <c r="W7479">
        <v>0.15091879999999999</v>
      </c>
      <c r="X7479">
        <v>0.98781699999999995</v>
      </c>
      <c r="Y7479">
        <v>5.8847860000000002E-2</v>
      </c>
      <c r="Z7479">
        <v>-1.0607470000000001E-2</v>
      </c>
      <c r="AA7479">
        <v>0.99821059999999995</v>
      </c>
      <c r="AB7479">
        <v>22</v>
      </c>
      <c r="AC7479">
        <v>0.57589999999998998</v>
      </c>
      <c r="AD7479">
        <v>-0.165621199999999</v>
      </c>
      <c r="AE7479">
        <v>-3.2700000000005502E-2</v>
      </c>
      <c r="AF7479">
        <v>4.1807165022963597E-2</v>
      </c>
      <c r="AG7479">
        <v>-0.165621199999999</v>
      </c>
      <c r="AH7479">
        <v>0.53125305316645499</v>
      </c>
      <c r="AI7479">
        <v>107.264976916308</v>
      </c>
      <c r="AJ7479">
        <v>85.5003598265845</v>
      </c>
      <c r="AK7479">
        <v>0.55803944971245401</v>
      </c>
      <c r="AL7479">
        <v>81.319823341296001</v>
      </c>
      <c r="AM7479">
        <v>87.799309128269002</v>
      </c>
      <c r="AN7479">
        <v>0.99999993678001797</v>
      </c>
    </row>
    <row r="7480" spans="1:40" x14ac:dyDescent="0.25">
      <c r="A7480" t="str">
        <f>"20190312173110816"</f>
        <v>20190312173110816</v>
      </c>
      <c r="B7480" t="str">
        <f>"1552383070804941"</f>
        <v>1552383070804941</v>
      </c>
      <c r="C7480" t="s">
        <v>40</v>
      </c>
      <c r="D7480">
        <v>4.1109939999999998</v>
      </c>
      <c r="E7480">
        <v>0.50974220000000003</v>
      </c>
      <c r="F7480" t="s">
        <v>42</v>
      </c>
      <c r="G7480">
        <v>-155.71899999999999</v>
      </c>
      <c r="H7480">
        <v>0.94890330000000001</v>
      </c>
      <c r="I7480">
        <v>138.38810000000001</v>
      </c>
      <c r="J7480">
        <v>-156.27420000000001</v>
      </c>
      <c r="K7480">
        <v>1.1088960000000001</v>
      </c>
      <c r="L7480">
        <v>138.4228</v>
      </c>
      <c r="M7480">
        <v>0.99971810000000005</v>
      </c>
      <c r="N7480">
        <v>0</v>
      </c>
      <c r="O7480">
        <v>1.9164569999999999E-2</v>
      </c>
      <c r="P7480">
        <v>0.99056409999999995</v>
      </c>
      <c r="Q7480">
        <v>0.13579069999999999</v>
      </c>
      <c r="R7480">
        <v>-1.854389E-2</v>
      </c>
      <c r="S7480">
        <v>3.116196</v>
      </c>
      <c r="T7480">
        <v>-0.64338339999999905</v>
      </c>
      <c r="U7480">
        <v>-0.13331599999999999</v>
      </c>
      <c r="V7480">
        <v>3.8066799999999998E-2</v>
      </c>
      <c r="W7480">
        <v>0.14951909999999999</v>
      </c>
      <c r="X7480">
        <v>0.98802579999999995</v>
      </c>
      <c r="Y7480">
        <v>6.0212170000000002E-2</v>
      </c>
      <c r="Z7480">
        <v>-1.006262E-2</v>
      </c>
      <c r="AA7480">
        <v>0.99813490000000005</v>
      </c>
      <c r="AB7480">
        <v>22</v>
      </c>
      <c r="AC7480">
        <v>0.55520000000001302</v>
      </c>
      <c r="AD7480">
        <v>-0.15999269999999899</v>
      </c>
      <c r="AE7480">
        <v>-3.4699999999986603E-2</v>
      </c>
      <c r="AF7480">
        <v>4.1871267168594101E-2</v>
      </c>
      <c r="AG7480">
        <v>-0.15999269999999899</v>
      </c>
      <c r="AH7480">
        <v>0.51207436672630702</v>
      </c>
      <c r="AI7480">
        <v>107.29664506365999</v>
      </c>
      <c r="AJ7480">
        <v>85.325441535372505</v>
      </c>
      <c r="AK7480">
        <v>0.53811803921234702</v>
      </c>
      <c r="AL7480">
        <v>81.400941366752406</v>
      </c>
      <c r="AM7480">
        <v>87.793591285954804</v>
      </c>
      <c r="AN7480">
        <v>1.0000000119963399</v>
      </c>
    </row>
    <row r="7481" spans="1:40" x14ac:dyDescent="0.25">
      <c r="A7481" t="str">
        <f>"20190312173110839"</f>
        <v>20190312173110839</v>
      </c>
      <c r="B7481" t="str">
        <f>"1552383070835200"</f>
        <v>1552383070835200</v>
      </c>
      <c r="C7481" t="s">
        <v>40</v>
      </c>
      <c r="D7481">
        <v>4.090827</v>
      </c>
      <c r="E7481">
        <v>0.51011379999999995</v>
      </c>
      <c r="F7481" t="s">
        <v>42</v>
      </c>
      <c r="G7481">
        <v>-155.52170000000001</v>
      </c>
      <c r="H7481">
        <v>0.95398700000000003</v>
      </c>
      <c r="I7481">
        <v>138.3878</v>
      </c>
      <c r="J7481">
        <v>-156.05770000000001</v>
      </c>
      <c r="K7481">
        <v>1.1090420000000001</v>
      </c>
      <c r="L7481">
        <v>138.4239</v>
      </c>
      <c r="M7481">
        <v>0.99975860000000005</v>
      </c>
      <c r="N7481">
        <v>0</v>
      </c>
      <c r="O7481">
        <v>1.6737200000000001E-2</v>
      </c>
      <c r="P7481">
        <v>0.99071189999999998</v>
      </c>
      <c r="Q7481">
        <v>0.1343066</v>
      </c>
      <c r="R7481">
        <v>-2.1250430000000001E-2</v>
      </c>
      <c r="S7481">
        <v>3.1137540000000001</v>
      </c>
      <c r="T7481">
        <v>-0.64094519999999899</v>
      </c>
      <c r="U7481">
        <v>-0.1442871</v>
      </c>
      <c r="V7481">
        <v>3.8325600000000001E-2</v>
      </c>
      <c r="W7481">
        <v>0.148255</v>
      </c>
      <c r="X7481">
        <v>0.98820629999999998</v>
      </c>
      <c r="Y7481">
        <v>6.1369010000000002E-2</v>
      </c>
      <c r="Z7481">
        <v>-9.6556999999999997E-3</v>
      </c>
      <c r="AA7481">
        <v>0.99806850000000003</v>
      </c>
      <c r="AB7481">
        <v>22</v>
      </c>
      <c r="AC7481">
        <v>0.53600000000000103</v>
      </c>
      <c r="AD7481">
        <v>-0.155055</v>
      </c>
      <c r="AE7481">
        <v>-3.6100000000004601E-2</v>
      </c>
      <c r="AF7481">
        <v>4.1601347459898901E-2</v>
      </c>
      <c r="AG7481">
        <v>-0.155055</v>
      </c>
      <c r="AH7481">
        <v>0.49415457601101198</v>
      </c>
      <c r="AI7481">
        <v>107.363016331569</v>
      </c>
      <c r="AJ7481">
        <v>85.1877926221877</v>
      </c>
      <c r="AK7481">
        <v>0.51957816556135505</v>
      </c>
      <c r="AL7481">
        <v>81.474185602797405</v>
      </c>
      <c r="AM7481">
        <v>87.779011167955005</v>
      </c>
      <c r="AN7481">
        <v>1.0000000440000201</v>
      </c>
    </row>
    <row r="7482" spans="1:40" x14ac:dyDescent="0.25">
      <c r="A7482" t="str">
        <f>"20190312173110861"</f>
        <v>20190312173110861</v>
      </c>
      <c r="B7482" t="str">
        <f>"1552383070854716"</f>
        <v>1552383070854716</v>
      </c>
      <c r="C7482" t="s">
        <v>40</v>
      </c>
      <c r="D7482">
        <v>4.1318289999999998</v>
      </c>
      <c r="E7482">
        <v>0.51017579999999996</v>
      </c>
      <c r="F7482" t="s">
        <v>42</v>
      </c>
      <c r="G7482">
        <v>-155.3253</v>
      </c>
      <c r="H7482">
        <v>0.95913369999999998</v>
      </c>
      <c r="I7482">
        <v>138.38749999999999</v>
      </c>
      <c r="J7482">
        <v>-155.83840000000001</v>
      </c>
      <c r="K7482">
        <v>1.109237</v>
      </c>
      <c r="L7482">
        <v>138.4248</v>
      </c>
      <c r="M7482">
        <v>0.99978929999999999</v>
      </c>
      <c r="N7482">
        <v>0</v>
      </c>
      <c r="O7482">
        <v>1.4481549999999999E-2</v>
      </c>
      <c r="P7482">
        <v>0.99061350000000004</v>
      </c>
      <c r="Q7482">
        <v>0.13433539999999999</v>
      </c>
      <c r="R7482">
        <v>-2.5285040000000002E-2</v>
      </c>
      <c r="S7482">
        <v>3.111145</v>
      </c>
      <c r="T7482">
        <v>-0.63679110000000005</v>
      </c>
      <c r="U7482">
        <v>-0.15484619999999999</v>
      </c>
      <c r="V7482">
        <v>4.0080440000000002E-2</v>
      </c>
      <c r="W7482">
        <v>0.14861389999999999</v>
      </c>
      <c r="X7482">
        <v>0.98808269999999998</v>
      </c>
      <c r="Y7482">
        <v>6.2575909999999998E-2</v>
      </c>
      <c r="Z7482">
        <v>-9.2669480000000005E-3</v>
      </c>
      <c r="AA7482">
        <v>0.99799720000000003</v>
      </c>
      <c r="AB7482">
        <v>22</v>
      </c>
      <c r="AC7482">
        <v>0.51310000000000799</v>
      </c>
      <c r="AD7482">
        <v>-0.1501033</v>
      </c>
      <c r="AE7482">
        <v>-3.7300000000016098E-2</v>
      </c>
      <c r="AF7482">
        <v>4.1218396762700303E-2</v>
      </c>
      <c r="AG7482">
        <v>-0.1501033</v>
      </c>
      <c r="AH7482">
        <v>0.472298730838067</v>
      </c>
      <c r="AI7482">
        <v>107.568354358444</v>
      </c>
      <c r="AJ7482">
        <v>85.012326831590599</v>
      </c>
      <c r="AK7482">
        <v>0.49728869688926802</v>
      </c>
      <c r="AL7482">
        <v>81.453391227081397</v>
      </c>
      <c r="AM7482">
        <v>87.677135978303994</v>
      </c>
      <c r="AN7482">
        <v>0.99999997749154601</v>
      </c>
    </row>
    <row r="7483" spans="1:40" x14ac:dyDescent="0.25">
      <c r="A7483" t="str">
        <f>"20190312173110884"</f>
        <v>20190312173110884</v>
      </c>
      <c r="B7483" t="str">
        <f>"1552383070875213"</f>
        <v>1552383070875213</v>
      </c>
      <c r="C7483" t="s">
        <v>40</v>
      </c>
      <c r="D7483">
        <v>4.0901889999999996</v>
      </c>
      <c r="E7483">
        <v>0.51025799999999999</v>
      </c>
      <c r="F7483" t="s">
        <v>42</v>
      </c>
      <c r="G7483">
        <v>-155.12970000000001</v>
      </c>
      <c r="H7483">
        <v>0.96481289999999997</v>
      </c>
      <c r="I7483">
        <v>138.38759999999999</v>
      </c>
      <c r="J7483">
        <v>-155.6233</v>
      </c>
      <c r="K7483">
        <v>1.1094710000000001</v>
      </c>
      <c r="L7483">
        <v>138.42529999999999</v>
      </c>
      <c r="M7483">
        <v>0.99980919999999895</v>
      </c>
      <c r="N7483">
        <v>0</v>
      </c>
      <c r="O7483">
        <v>1.24744E-2</v>
      </c>
      <c r="P7483">
        <v>0.99071290000000001</v>
      </c>
      <c r="Q7483">
        <v>0.13297729999999999</v>
      </c>
      <c r="R7483">
        <v>-2.837201E-2</v>
      </c>
      <c r="S7483">
        <v>3.1102289999999999</v>
      </c>
      <c r="T7483">
        <v>-0.63368419999999903</v>
      </c>
      <c r="U7483">
        <v>-0.1621552</v>
      </c>
      <c r="V7483">
        <v>4.1128049999999999E-2</v>
      </c>
      <c r="W7483">
        <v>0.1477443</v>
      </c>
      <c r="X7483">
        <v>0.98817010000000005</v>
      </c>
      <c r="Y7483">
        <v>6.297403E-2</v>
      </c>
      <c r="Z7483">
        <v>-8.8603120000000004E-3</v>
      </c>
      <c r="AA7483">
        <v>0.99797579999999997</v>
      </c>
      <c r="AB7483">
        <v>22</v>
      </c>
      <c r="AC7483">
        <v>0.49359999999998599</v>
      </c>
      <c r="AD7483">
        <v>-0.14465809999999901</v>
      </c>
      <c r="AE7483">
        <v>-3.7700000000000899E-2</v>
      </c>
      <c r="AF7483">
        <v>4.0404931875983E-2</v>
      </c>
      <c r="AG7483">
        <v>-0.14465809999999901</v>
      </c>
      <c r="AH7483">
        <v>0.45429851116408598</v>
      </c>
      <c r="AI7483">
        <v>107.59740567758401</v>
      </c>
      <c r="AJ7483">
        <v>84.917533921375494</v>
      </c>
      <c r="AK7483">
        <v>0.47848266599890299</v>
      </c>
      <c r="AL7483">
        <v>81.503772183187905</v>
      </c>
      <c r="AM7483">
        <v>87.616701387120699</v>
      </c>
      <c r="AN7483">
        <v>1.0000000206066499</v>
      </c>
    </row>
    <row r="7484" spans="1:40" x14ac:dyDescent="0.25">
      <c r="A7484" t="str">
        <f>"20190312173110906"</f>
        <v>20190312173110906</v>
      </c>
      <c r="B7484" t="str">
        <f>"1552383070894733"</f>
        <v>1552383070894733</v>
      </c>
      <c r="C7484" t="s">
        <v>40</v>
      </c>
      <c r="D7484">
        <v>4.1078049999999999</v>
      </c>
      <c r="E7484">
        <v>0.5103645</v>
      </c>
      <c r="F7484" t="s">
        <v>42</v>
      </c>
      <c r="G7484">
        <v>-154.76349999999999</v>
      </c>
      <c r="H7484">
        <v>0.93380359999999996</v>
      </c>
      <c r="I7484">
        <v>138.3785</v>
      </c>
      <c r="J7484">
        <v>-155.4161</v>
      </c>
      <c r="K7484">
        <v>1.109715</v>
      </c>
      <c r="L7484">
        <v>138.42570000000001</v>
      </c>
      <c r="M7484">
        <v>0.99982040000000005</v>
      </c>
      <c r="N7484">
        <v>0</v>
      </c>
      <c r="O7484">
        <v>1.074163E-2</v>
      </c>
      <c r="P7484">
        <v>0.99130960000000001</v>
      </c>
      <c r="Q7484">
        <v>0.1281593</v>
      </c>
      <c r="R7484">
        <v>-2.9676310000000001E-2</v>
      </c>
      <c r="S7484">
        <v>3.1085210000000001</v>
      </c>
      <c r="T7484">
        <v>-0.63511189999999995</v>
      </c>
      <c r="U7484">
        <v>-0.16911319999999999</v>
      </c>
      <c r="V7484">
        <v>4.066024E-2</v>
      </c>
      <c r="W7484">
        <v>0.14352400000000001</v>
      </c>
      <c r="X7484">
        <v>0.9888112</v>
      </c>
      <c r="Y7484">
        <v>6.3516879999999998E-2</v>
      </c>
      <c r="Z7484">
        <v>-8.5887840000000003E-3</v>
      </c>
      <c r="AA7484">
        <v>0.99794380000000005</v>
      </c>
      <c r="AB7484">
        <v>21</v>
      </c>
      <c r="AC7484">
        <v>0.65260000000000595</v>
      </c>
      <c r="AD7484">
        <v>-0.1759114</v>
      </c>
      <c r="AE7484">
        <v>-4.72000000000036E-2</v>
      </c>
      <c r="AF7484">
        <v>5.0553993583043501E-2</v>
      </c>
      <c r="AG7484">
        <v>-0.1759114</v>
      </c>
      <c r="AH7484">
        <v>0.60810076015043002</v>
      </c>
      <c r="AI7484">
        <v>106.081505578254</v>
      </c>
      <c r="AJ7484">
        <v>85.247687122525804</v>
      </c>
      <c r="AK7484">
        <v>0.63504886537390504</v>
      </c>
      <c r="AL7484">
        <v>81.748183297892595</v>
      </c>
      <c r="AM7484">
        <v>87.645305375864197</v>
      </c>
      <c r="AN7484">
        <v>0.99999999146914798</v>
      </c>
    </row>
    <row r="7485" spans="1:40" x14ac:dyDescent="0.25">
      <c r="A7485" t="str">
        <f>"20190312173110928"</f>
        <v>20190312173110928</v>
      </c>
      <c r="B7485" t="str">
        <f>"1552383070924989"</f>
        <v>1552383070924989</v>
      </c>
      <c r="C7485" t="s">
        <v>40</v>
      </c>
      <c r="D7485">
        <v>4.2249179999999997</v>
      </c>
      <c r="E7485">
        <v>0.51018129999999995</v>
      </c>
      <c r="F7485" t="s">
        <v>42</v>
      </c>
      <c r="G7485">
        <v>-154.57499999999999</v>
      </c>
      <c r="H7485">
        <v>0.93429410000000002</v>
      </c>
      <c r="I7485">
        <v>138.37809999999999</v>
      </c>
      <c r="J7485">
        <v>-155.20410000000001</v>
      </c>
      <c r="K7485">
        <v>1.109942</v>
      </c>
      <c r="L7485">
        <v>138.42590000000001</v>
      </c>
      <c r="M7485">
        <v>0.9998264</v>
      </c>
      <c r="N7485">
        <v>0</v>
      </c>
      <c r="O7485">
        <v>9.1470070000000004E-3</v>
      </c>
      <c r="P7485">
        <v>0.99169119999999999</v>
      </c>
      <c r="Q7485">
        <v>0.12501039999999999</v>
      </c>
      <c r="R7485">
        <v>-3.0347989999999998E-2</v>
      </c>
      <c r="S7485">
        <v>3.1047669999999998</v>
      </c>
      <c r="T7485">
        <v>-0.64745629999999998</v>
      </c>
      <c r="U7485">
        <v>-0.1750641</v>
      </c>
      <c r="V7485">
        <v>3.9703179999999998E-2</v>
      </c>
      <c r="W7485">
        <v>0.14100689999999999</v>
      </c>
      <c r="X7485">
        <v>0.98921219999999999</v>
      </c>
      <c r="Y7485">
        <v>6.3861619999999994E-2</v>
      </c>
      <c r="Z7485">
        <v>-8.4688880000000008E-3</v>
      </c>
      <c r="AA7485">
        <v>0.9979228</v>
      </c>
      <c r="AB7485">
        <v>21</v>
      </c>
      <c r="AC7485">
        <v>0.62910000000002197</v>
      </c>
      <c r="AD7485">
        <v>-0.1756479</v>
      </c>
      <c r="AE7485">
        <v>-4.7800000000023601E-2</v>
      </c>
      <c r="AF7485">
        <v>4.9700921464712403E-2</v>
      </c>
      <c r="AG7485">
        <v>-0.1756479</v>
      </c>
      <c r="AH7485">
        <v>0.58341691566025999</v>
      </c>
      <c r="AI7485">
        <v>106.698245487981</v>
      </c>
      <c r="AJ7485">
        <v>85.130764788844999</v>
      </c>
      <c r="AK7485">
        <v>0.61130815784462</v>
      </c>
      <c r="AL7485">
        <v>81.893884875915404</v>
      </c>
      <c r="AM7485">
        <v>87.701601018586601</v>
      </c>
      <c r="AN7485">
        <v>1.0000000324892799</v>
      </c>
    </row>
    <row r="7486" spans="1:40" x14ac:dyDescent="0.25">
      <c r="A7486" t="str">
        <f>"20190312173110951"</f>
        <v>20190312173110951</v>
      </c>
      <c r="B7486" t="str">
        <f>"1552383070945485"</f>
        <v>1552383070945485</v>
      </c>
      <c r="C7486" t="s">
        <v>40</v>
      </c>
      <c r="D7486">
        <v>4.1046680000000002</v>
      </c>
      <c r="E7486">
        <v>0.51012849999999998</v>
      </c>
      <c r="F7486" t="s">
        <v>42</v>
      </c>
      <c r="G7486">
        <v>-154.38650000000001</v>
      </c>
      <c r="H7486">
        <v>0.93736710000000001</v>
      </c>
      <c r="I7486">
        <v>138.37899999999999</v>
      </c>
      <c r="J7486">
        <v>-154.99600000000001</v>
      </c>
      <c r="K7486">
        <v>1.1101350000000001</v>
      </c>
      <c r="L7486">
        <v>138.42590000000001</v>
      </c>
      <c r="M7486">
        <v>0.99982850000000001</v>
      </c>
      <c r="N7486">
        <v>0</v>
      </c>
      <c r="O7486">
        <v>7.7683359999999998E-3</v>
      </c>
      <c r="P7486">
        <v>0.99188609999999999</v>
      </c>
      <c r="Q7486">
        <v>0.12320730000000001</v>
      </c>
      <c r="R7486">
        <v>-3.1337909999999997E-2</v>
      </c>
      <c r="S7486">
        <v>3.102249</v>
      </c>
      <c r="T7486">
        <v>-0.65471789999999996</v>
      </c>
      <c r="U7486">
        <v>-0.17752079999999901</v>
      </c>
      <c r="V7486">
        <v>3.9285979999999998E-2</v>
      </c>
      <c r="W7486">
        <v>0.13979169999999999</v>
      </c>
      <c r="X7486">
        <v>0.98940130000000004</v>
      </c>
      <c r="Y7486">
        <v>6.3323669999999999E-2</v>
      </c>
      <c r="Z7486">
        <v>-8.2247290000000001E-3</v>
      </c>
      <c r="AA7486">
        <v>0.99795909999999999</v>
      </c>
      <c r="AB7486">
        <v>21</v>
      </c>
      <c r="AC7486">
        <v>0.60949999999999704</v>
      </c>
      <c r="AD7486">
        <v>-0.1727679</v>
      </c>
      <c r="AE7486">
        <v>-4.6900000000022098E-2</v>
      </c>
      <c r="AF7486">
        <v>4.7814811851376697E-2</v>
      </c>
      <c r="AG7486">
        <v>-0.1727679</v>
      </c>
      <c r="AH7486">
        <v>0.56406233148011597</v>
      </c>
      <c r="AI7486">
        <v>106.97206564071401</v>
      </c>
      <c r="AJ7486">
        <v>85.154696675443205</v>
      </c>
      <c r="AK7486">
        <v>0.591862583120083</v>
      </c>
      <c r="AL7486">
        <v>81.964207154445205</v>
      </c>
      <c r="AM7486">
        <v>87.726161257138699</v>
      </c>
      <c r="AN7486">
        <v>1.00000002002757</v>
      </c>
    </row>
    <row r="7487" spans="1:40" x14ac:dyDescent="0.25">
      <c r="A7487" t="str">
        <f>"20190312173110972"</f>
        <v>20190312173110972</v>
      </c>
      <c r="B7487" t="str">
        <f>"1552383070965005"</f>
        <v>1552383070965005</v>
      </c>
      <c r="C7487" t="s">
        <v>40</v>
      </c>
      <c r="D7487">
        <v>4.0655859999999997</v>
      </c>
      <c r="E7487">
        <v>0.51001759999999996</v>
      </c>
      <c r="F7487" t="s">
        <v>42</v>
      </c>
      <c r="G7487">
        <v>-154.19919999999999</v>
      </c>
      <c r="H7487">
        <v>0.94098660000000001</v>
      </c>
      <c r="I7487">
        <v>138.37960000000001</v>
      </c>
      <c r="J7487">
        <v>-154.79079999999999</v>
      </c>
      <c r="K7487">
        <v>1.1103069999999999</v>
      </c>
      <c r="L7487">
        <v>138.42590000000001</v>
      </c>
      <c r="M7487">
        <v>0.99982760000000004</v>
      </c>
      <c r="N7487">
        <v>0</v>
      </c>
      <c r="O7487">
        <v>6.5973630000000002E-3</v>
      </c>
      <c r="P7487">
        <v>0.991873</v>
      </c>
      <c r="Q7487">
        <v>0.12303119999999999</v>
      </c>
      <c r="R7487">
        <v>-3.2422319999999998E-2</v>
      </c>
      <c r="S7487">
        <v>3.100616</v>
      </c>
      <c r="T7487">
        <v>-0.65819430000000001</v>
      </c>
      <c r="U7487">
        <v>-0.17994689999999999</v>
      </c>
      <c r="V7487">
        <v>3.91723E-2</v>
      </c>
      <c r="W7487">
        <v>0.1401656</v>
      </c>
      <c r="X7487">
        <v>0.98935289999999998</v>
      </c>
      <c r="Y7487">
        <v>6.2978980000000004E-2</v>
      </c>
      <c r="Z7487">
        <v>-7.9896979999999999E-3</v>
      </c>
      <c r="AA7487">
        <v>0.99798290000000001</v>
      </c>
      <c r="AB7487">
        <v>21</v>
      </c>
      <c r="AC7487">
        <v>0.59159999999999902</v>
      </c>
      <c r="AD7487">
        <v>-0.16932039999999901</v>
      </c>
      <c r="AE7487">
        <v>-4.6300000000002201E-2</v>
      </c>
      <c r="AF7487">
        <v>4.6423000331383003E-2</v>
      </c>
      <c r="AG7487">
        <v>-0.16932039999999901</v>
      </c>
      <c r="AH7487">
        <v>0.54676605652023902</v>
      </c>
      <c r="AI7487">
        <v>107.14844394558099</v>
      </c>
      <c r="AJ7487">
        <v>85.146959042487495</v>
      </c>
      <c r="AK7487">
        <v>0.57426266932355996</v>
      </c>
      <c r="AL7487">
        <v>81.942571186891897</v>
      </c>
      <c r="AM7487">
        <v>87.732623280446603</v>
      </c>
      <c r="AN7487">
        <v>1.0000000126245201</v>
      </c>
    </row>
    <row r="7488" spans="1:40" x14ac:dyDescent="0.25">
      <c r="A7488" t="str">
        <f>"20190312173110996"</f>
        <v>20190312173110996</v>
      </c>
      <c r="B7488" t="str">
        <f>"1552383070984526"</f>
        <v>1552383070984526</v>
      </c>
      <c r="C7488" t="s">
        <v>40</v>
      </c>
      <c r="D7488">
        <v>3.9998649999999998</v>
      </c>
      <c r="E7488">
        <v>0.49364789999999997</v>
      </c>
      <c r="F7488" t="s">
        <v>42</v>
      </c>
      <c r="G7488">
        <v>-154.01310000000001</v>
      </c>
      <c r="H7488">
        <v>0.94544570000000006</v>
      </c>
      <c r="I7488">
        <v>138.3802</v>
      </c>
      <c r="J7488">
        <v>-154.584</v>
      </c>
      <c r="K7488">
        <v>1.11049</v>
      </c>
      <c r="L7488">
        <v>138.42590000000001</v>
      </c>
      <c r="M7488">
        <v>0.9998243</v>
      </c>
      <c r="N7488">
        <v>0</v>
      </c>
      <c r="O7488">
        <v>5.5981669999999898E-3</v>
      </c>
      <c r="P7488">
        <v>0.99178469999999996</v>
      </c>
      <c r="Q7488">
        <v>0.1235532</v>
      </c>
      <c r="R7488">
        <v>-3.3138630000000002E-2</v>
      </c>
      <c r="S7488">
        <v>3.1001590000000001</v>
      </c>
      <c r="T7488">
        <v>-0.65719309999999997</v>
      </c>
      <c r="U7488">
        <v>-0.18154909999999999</v>
      </c>
      <c r="V7488">
        <v>3.8857000000000003E-2</v>
      </c>
      <c r="W7488">
        <v>0.14122779999999999</v>
      </c>
      <c r="X7488">
        <v>0.98921420000000004</v>
      </c>
      <c r="Y7488">
        <v>6.2540429999999994E-2</v>
      </c>
      <c r="Z7488">
        <v>-7.7235580000000002E-3</v>
      </c>
      <c r="AA7488">
        <v>0.99801249999999997</v>
      </c>
      <c r="AB7488">
        <v>21</v>
      </c>
      <c r="AC7488">
        <v>0.57089999999999397</v>
      </c>
      <c r="AD7488">
        <v>-0.16504429999999901</v>
      </c>
      <c r="AE7488">
        <v>-4.5700000000010697E-2</v>
      </c>
      <c r="AF7488">
        <v>4.5146642204900098E-2</v>
      </c>
      <c r="AG7488">
        <v>-0.16504429999999901</v>
      </c>
      <c r="AH7488">
        <v>0.52688099940787303</v>
      </c>
      <c r="AI7488">
        <v>107.333357244673</v>
      </c>
      <c r="AJ7488">
        <v>85.102482173083303</v>
      </c>
      <c r="AK7488">
        <v>0.55396879677641298</v>
      </c>
      <c r="AL7488">
        <v>81.881099592495701</v>
      </c>
      <c r="AM7488">
        <v>87.750539667964603</v>
      </c>
      <c r="AN7488">
        <v>0.999999945711738</v>
      </c>
    </row>
    <row r="7489" spans="1:40" x14ac:dyDescent="0.25">
      <c r="A7489" t="str">
        <f>"20190312173111017"</f>
        <v>20190312173111017</v>
      </c>
      <c r="B7489" t="str">
        <f>"1552383071014783"</f>
        <v>1552383071014783</v>
      </c>
      <c r="C7489" t="s">
        <v>40</v>
      </c>
      <c r="D7489">
        <v>4.0749009999999997</v>
      </c>
      <c r="E7489">
        <v>0.49239509999999997</v>
      </c>
      <c r="F7489" t="s">
        <v>42</v>
      </c>
      <c r="G7489">
        <v>-153.80070000000001</v>
      </c>
      <c r="H7489">
        <v>1.005247</v>
      </c>
      <c r="I7489">
        <v>138.41290000000001</v>
      </c>
      <c r="J7489">
        <v>-154.38470000000001</v>
      </c>
      <c r="K7489">
        <v>1.110668</v>
      </c>
      <c r="L7489">
        <v>138.42580000000001</v>
      </c>
      <c r="M7489">
        <v>0.99981940000000002</v>
      </c>
      <c r="N7489">
        <v>0</v>
      </c>
      <c r="O7489">
        <v>4.7985679999999996E-3</v>
      </c>
      <c r="P7489">
        <v>0.99175679999999999</v>
      </c>
      <c r="Q7489">
        <v>0.1236302</v>
      </c>
      <c r="R7489">
        <v>-3.3676449999999997E-2</v>
      </c>
      <c r="S7489">
        <v>3.0746310000000001</v>
      </c>
      <c r="T7489">
        <v>-0.413161</v>
      </c>
      <c r="U7489">
        <v>-5.0643920000000002E-2</v>
      </c>
      <c r="V7489">
        <v>3.855869E-2</v>
      </c>
      <c r="W7489">
        <v>0.14181359999999901</v>
      </c>
      <c r="X7489">
        <v>0.98914210000000002</v>
      </c>
      <c r="Y7489">
        <v>2.1035700000000001E-2</v>
      </c>
      <c r="Z7489">
        <v>-2.0489480000000001E-3</v>
      </c>
      <c r="AA7489">
        <v>0.99977660000000002</v>
      </c>
      <c r="AB7489">
        <v>20</v>
      </c>
      <c r="AC7489">
        <v>0.58400000000000296</v>
      </c>
      <c r="AD7489">
        <v>-0.105421</v>
      </c>
      <c r="AE7489">
        <v>-1.29000000000019E-2</v>
      </c>
      <c r="AF7489">
        <v>1.5207385694734401E-2</v>
      </c>
      <c r="AG7489">
        <v>-0.105421</v>
      </c>
      <c r="AH7489">
        <v>0.56551265889658597</v>
      </c>
      <c r="AI7489">
        <v>100.55595240805501</v>
      </c>
      <c r="AJ7489">
        <v>88.459611707067197</v>
      </c>
      <c r="AK7489">
        <v>0.57545583600564398</v>
      </c>
      <c r="AL7489">
        <v>81.847194774234197</v>
      </c>
      <c r="AM7489">
        <v>87.767628972281003</v>
      </c>
      <c r="AN7489">
        <v>0.99999998185594297</v>
      </c>
    </row>
    <row r="7490" spans="1:40" x14ac:dyDescent="0.25">
      <c r="A7490" t="str">
        <f>"20190312173111040"</f>
        <v>20190312173111040</v>
      </c>
      <c r="B7490" t="str">
        <f>"1552383071035283"</f>
        <v>1552383071035283</v>
      </c>
      <c r="C7490" t="s">
        <v>40</v>
      </c>
      <c r="D7490">
        <v>4.043749</v>
      </c>
      <c r="E7490">
        <v>0.49270599999999998</v>
      </c>
      <c r="F7490" t="s">
        <v>42</v>
      </c>
      <c r="G7490">
        <v>-153.6183</v>
      </c>
      <c r="H7490">
        <v>1.0084489999999999</v>
      </c>
      <c r="I7490">
        <v>138.4153</v>
      </c>
      <c r="J7490">
        <v>-154.1806</v>
      </c>
      <c r="K7490">
        <v>1.110843</v>
      </c>
      <c r="L7490">
        <v>138.42590000000001</v>
      </c>
      <c r="M7490">
        <v>0.99981339999999996</v>
      </c>
      <c r="N7490">
        <v>0</v>
      </c>
      <c r="O7490">
        <v>4.1453690000000003E-3</v>
      </c>
      <c r="P7490">
        <v>0.99195219999999995</v>
      </c>
      <c r="Q7490">
        <v>0.122381</v>
      </c>
      <c r="R7490">
        <v>-3.246599E-2</v>
      </c>
      <c r="S7490">
        <v>3.0746769999999999</v>
      </c>
      <c r="T7490">
        <v>-0.41023110000000002</v>
      </c>
      <c r="U7490">
        <v>-4.1259770000000001E-2</v>
      </c>
      <c r="V7490">
        <v>3.6655300000000002E-2</v>
      </c>
      <c r="W7490">
        <v>0.1410602</v>
      </c>
      <c r="X7490">
        <v>0.98932220000000004</v>
      </c>
      <c r="Y7490">
        <v>1.7372970000000001E-2</v>
      </c>
      <c r="Z7490">
        <v>-1.704531E-3</v>
      </c>
      <c r="AA7490">
        <v>0.99984770000000001</v>
      </c>
      <c r="AB7490">
        <v>20</v>
      </c>
      <c r="AC7490">
        <v>0.56229999999999303</v>
      </c>
      <c r="AD7490">
        <v>-0.102394</v>
      </c>
      <c r="AE7490">
        <v>-1.06000000000108E-2</v>
      </c>
      <c r="AF7490">
        <v>1.25163710485097E-2</v>
      </c>
      <c r="AG7490">
        <v>-0.102394</v>
      </c>
      <c r="AH7490">
        <v>0.54421164030832903</v>
      </c>
      <c r="AI7490">
        <v>100.652934820962</v>
      </c>
      <c r="AJ7490">
        <v>88.682481633804798</v>
      </c>
      <c r="AK7490">
        <v>0.55390206736146597</v>
      </c>
      <c r="AL7490">
        <v>81.890799939969796</v>
      </c>
      <c r="AM7490">
        <v>87.878109124393603</v>
      </c>
      <c r="AN7490">
        <v>1.0000000032274801</v>
      </c>
    </row>
    <row r="7491" spans="1:40" x14ac:dyDescent="0.25">
      <c r="A7491" t="str">
        <f>"20190312173111062"</f>
        <v>20190312173111062</v>
      </c>
      <c r="B7491" t="str">
        <f>"1552383071054797"</f>
        <v>1552383071054797</v>
      </c>
      <c r="C7491" t="s">
        <v>40</v>
      </c>
      <c r="D7491">
        <v>4.0238839999999998</v>
      </c>
      <c r="E7491">
        <v>0.49252940000000001</v>
      </c>
      <c r="F7491" t="s">
        <v>42</v>
      </c>
      <c r="G7491">
        <v>-153.43879999999999</v>
      </c>
      <c r="H7491">
        <v>1.009449</v>
      </c>
      <c r="I7491">
        <v>138.4161</v>
      </c>
      <c r="J7491">
        <v>-153.98429999999999</v>
      </c>
      <c r="K7491">
        <v>1.1109849999999999</v>
      </c>
      <c r="L7491">
        <v>138.42599999999999</v>
      </c>
      <c r="M7491">
        <v>0.99980690000000005</v>
      </c>
      <c r="N7491">
        <v>0</v>
      </c>
      <c r="O7491">
        <v>3.6786639999999999E-3</v>
      </c>
      <c r="P7491">
        <v>0.99243459999999994</v>
      </c>
      <c r="Q7491">
        <v>0.1188694</v>
      </c>
      <c r="R7491">
        <v>-3.0719400000000001E-2</v>
      </c>
      <c r="S7491">
        <v>3.0748899999999999</v>
      </c>
      <c r="T7491">
        <v>-0.42031380000000002</v>
      </c>
      <c r="U7491">
        <v>-4.0420530000000003E-2</v>
      </c>
      <c r="V7491">
        <v>3.4408380000000002E-2</v>
      </c>
      <c r="W7491">
        <v>0.13799249999999999</v>
      </c>
      <c r="X7491">
        <v>0.98983540000000003</v>
      </c>
      <c r="Y7491">
        <v>1.6634299999999901E-2</v>
      </c>
      <c r="Z7491">
        <v>-1.63217299999999E-3</v>
      </c>
      <c r="AA7491">
        <v>0.99986030000000004</v>
      </c>
      <c r="AB7491">
        <v>20</v>
      </c>
      <c r="AC7491">
        <v>0.54550000000000398</v>
      </c>
      <c r="AD7491">
        <v>-0.101536</v>
      </c>
      <c r="AE7491">
        <v>-9.9000000000160002E-3</v>
      </c>
      <c r="AF7491">
        <v>1.1508430682502501E-2</v>
      </c>
      <c r="AG7491">
        <v>-0.101536</v>
      </c>
      <c r="AH7491">
        <v>0.52720060931198298</v>
      </c>
      <c r="AI7491">
        <v>100.898845311714</v>
      </c>
      <c r="AJ7491">
        <v>88.749470716161994</v>
      </c>
      <c r="AK7491">
        <v>0.53701255640040702</v>
      </c>
      <c r="AL7491">
        <v>82.068302460912406</v>
      </c>
      <c r="AM7491">
        <v>88.0091018748072</v>
      </c>
      <c r="AN7491">
        <v>0.99999999288181696</v>
      </c>
    </row>
    <row r="7492" spans="1:40" x14ac:dyDescent="0.25">
      <c r="A7492" t="str">
        <f>"20190312173111087"</f>
        <v>20190312173111087</v>
      </c>
      <c r="B7492" t="str">
        <f>"1552383071085053"</f>
        <v>1552383071085053</v>
      </c>
      <c r="C7492" t="s">
        <v>40</v>
      </c>
      <c r="D7492">
        <v>4.0473549999999996</v>
      </c>
      <c r="E7492">
        <v>0.49208190000000002</v>
      </c>
      <c r="F7492" t="s">
        <v>42</v>
      </c>
      <c r="G7492">
        <v>-153.2611</v>
      </c>
      <c r="H7492">
        <v>1.0097849999999999</v>
      </c>
      <c r="I7492">
        <v>138.41759999999999</v>
      </c>
      <c r="J7492">
        <v>-153.76599999999999</v>
      </c>
      <c r="K7492">
        <v>1.1110979999999999</v>
      </c>
      <c r="L7492">
        <v>138.4263</v>
      </c>
      <c r="M7492">
        <v>0.99979949999999995</v>
      </c>
      <c r="N7492">
        <v>0</v>
      </c>
      <c r="O7492">
        <v>3.336023E-3</v>
      </c>
      <c r="P7492">
        <v>0.99281870000000005</v>
      </c>
      <c r="Q7492">
        <v>0.1161344</v>
      </c>
      <c r="R7492">
        <v>-2.8712339999999999E-2</v>
      </c>
      <c r="S7492">
        <v>3.0733030000000001</v>
      </c>
      <c r="T7492">
        <v>-0.43019580000000002</v>
      </c>
      <c r="U7492">
        <v>-3.5171510000000003E-2</v>
      </c>
      <c r="V7492">
        <v>3.2032770000000002E-2</v>
      </c>
      <c r="W7492">
        <v>0.1357129</v>
      </c>
      <c r="X7492">
        <v>0.99023019999999995</v>
      </c>
      <c r="Y7492">
        <v>1.460495E-2</v>
      </c>
      <c r="Z7492">
        <v>-1.481979E-3</v>
      </c>
      <c r="AA7492">
        <v>0.99989220000000001</v>
      </c>
      <c r="AB7492">
        <v>20</v>
      </c>
      <c r="AC7492">
        <v>0.50489999999999202</v>
      </c>
      <c r="AD7492">
        <v>-0.101313</v>
      </c>
      <c r="AE7492">
        <v>-8.7000000000045895E-3</v>
      </c>
      <c r="AF7492">
        <v>9.9828070588673101E-3</v>
      </c>
      <c r="AG7492">
        <v>-0.101313</v>
      </c>
      <c r="AH7492">
        <v>0.485332415199351</v>
      </c>
      <c r="AI7492">
        <v>101.78872743312699</v>
      </c>
      <c r="AJ7492">
        <v>88.821648728726501</v>
      </c>
      <c r="AK7492">
        <v>0.49589467999668002</v>
      </c>
      <c r="AL7492">
        <v>82.200154308037099</v>
      </c>
      <c r="AM7492">
        <v>88.147195739536002</v>
      </c>
      <c r="AN7492">
        <v>0.99999996928615997</v>
      </c>
    </row>
    <row r="7493" spans="1:40" x14ac:dyDescent="0.25">
      <c r="A7493" t="str">
        <f>"20190312173111107"</f>
        <v>20190312173111107</v>
      </c>
      <c r="B7493" t="str">
        <f>"1552383071104574"</f>
        <v>1552383071104574</v>
      </c>
      <c r="C7493" t="s">
        <v>40</v>
      </c>
      <c r="D7493">
        <v>4.9177140000000001</v>
      </c>
      <c r="E7493">
        <v>0.49146139999999999</v>
      </c>
      <c r="F7493" t="s">
        <v>42</v>
      </c>
      <c r="G7493">
        <v>-152.9228</v>
      </c>
      <c r="H7493">
        <v>0.98644540000000003</v>
      </c>
      <c r="I7493">
        <v>138.4187</v>
      </c>
      <c r="J7493">
        <v>-153.59299999999999</v>
      </c>
      <c r="K7493">
        <v>1.111162</v>
      </c>
      <c r="L7493">
        <v>138.4265</v>
      </c>
      <c r="M7493">
        <v>0.99979340000000005</v>
      </c>
      <c r="N7493">
        <v>0</v>
      </c>
      <c r="O7493">
        <v>3.1487030000000001E-3</v>
      </c>
      <c r="P7493">
        <v>0.99313439999999997</v>
      </c>
      <c r="Q7493">
        <v>0.113829399999999</v>
      </c>
      <c r="R7493">
        <v>-2.6957640000000001E-2</v>
      </c>
      <c r="S7493">
        <v>3.0740660000000002</v>
      </c>
      <c r="T7493">
        <v>-0.45447019999999999</v>
      </c>
      <c r="U7493">
        <v>-2.7557370000000001E-2</v>
      </c>
      <c r="V7493">
        <v>3.0079649999999999E-2</v>
      </c>
      <c r="W7493">
        <v>0.1337535</v>
      </c>
      <c r="X7493">
        <v>0.99055800000000005</v>
      </c>
      <c r="Y7493">
        <v>1.194918E-2</v>
      </c>
      <c r="Z7493">
        <v>-1.3415650000000001E-3</v>
      </c>
      <c r="AA7493">
        <v>0.99992769999999997</v>
      </c>
      <c r="AB7493">
        <v>20</v>
      </c>
      <c r="AC7493">
        <v>0.67019999999999402</v>
      </c>
      <c r="AD7493">
        <v>-0.124716599999999</v>
      </c>
      <c r="AE7493">
        <v>-7.80000000000313E-3</v>
      </c>
      <c r="AF7493">
        <v>9.5789822280614098E-3</v>
      </c>
      <c r="AG7493">
        <v>-0.124716599999999</v>
      </c>
      <c r="AH7493">
        <v>0.64774442182752801</v>
      </c>
      <c r="AI7493">
        <v>100.897189634073</v>
      </c>
      <c r="AJ7493">
        <v>89.152759588552996</v>
      </c>
      <c r="AK7493">
        <v>0.65971116651513795</v>
      </c>
      <c r="AL7493">
        <v>82.313452734295197</v>
      </c>
      <c r="AM7493">
        <v>88.260669692607806</v>
      </c>
      <c r="AN7493">
        <v>0.99999996773518496</v>
      </c>
    </row>
    <row r="7494" spans="1:40" x14ac:dyDescent="0.25">
      <c r="A7494" t="str">
        <f>"20190312173111129"</f>
        <v>20190312173111129</v>
      </c>
      <c r="B7494" t="str">
        <f>"1552383071125072"</f>
        <v>1552383071125072</v>
      </c>
      <c r="C7494" t="s">
        <v>40</v>
      </c>
      <c r="D7494">
        <v>3.868824</v>
      </c>
      <c r="E7494">
        <v>0.49149039999999999</v>
      </c>
      <c r="F7494" t="s">
        <v>42</v>
      </c>
      <c r="G7494">
        <v>-152.75059999999999</v>
      </c>
      <c r="H7494">
        <v>0.98614420000000003</v>
      </c>
      <c r="I7494">
        <v>138.4213</v>
      </c>
      <c r="J7494">
        <v>-153.4007</v>
      </c>
      <c r="K7494">
        <v>1.1111949999999999</v>
      </c>
      <c r="L7494">
        <v>138.42689999999999</v>
      </c>
      <c r="M7494">
        <v>0.99978650000000002</v>
      </c>
      <c r="N7494">
        <v>0</v>
      </c>
      <c r="O7494">
        <v>2.9897040000000001E-3</v>
      </c>
      <c r="P7494">
        <v>0.99358199999999997</v>
      </c>
      <c r="Q7494">
        <v>0.1104113</v>
      </c>
      <c r="R7494">
        <v>-2.4587290000000001E-2</v>
      </c>
      <c r="S7494">
        <v>3.072479</v>
      </c>
      <c r="T7494">
        <v>-0.45597280000000001</v>
      </c>
      <c r="U7494">
        <v>-1.9103999999999999E-2</v>
      </c>
      <c r="V7494">
        <v>2.7547660000000002E-2</v>
      </c>
      <c r="W7494">
        <v>0.13070300000000001</v>
      </c>
      <c r="X7494">
        <v>0.99103869999999905</v>
      </c>
      <c r="Y7494">
        <v>9.0757589999999992E-3</v>
      </c>
      <c r="Z7494">
        <v>-1.111133E-3</v>
      </c>
      <c r="AA7494">
        <v>0.99995820000000002</v>
      </c>
      <c r="AB7494">
        <v>19</v>
      </c>
      <c r="AC7494">
        <v>0.650100000000009</v>
      </c>
      <c r="AD7494">
        <v>-0.12505079999999999</v>
      </c>
      <c r="AE7494">
        <v>-5.5999999999869496E-3</v>
      </c>
      <c r="AF7494">
        <v>7.2748323143886498E-3</v>
      </c>
      <c r="AG7494">
        <v>-0.12505079999999999</v>
      </c>
      <c r="AH7494">
        <v>0.62688667963632905</v>
      </c>
      <c r="AI7494">
        <v>101.28049288697299</v>
      </c>
      <c r="AJ7494">
        <v>89.335129469910399</v>
      </c>
      <c r="AK7494">
        <v>0.63927891789992897</v>
      </c>
      <c r="AL7494">
        <v>82.489781569719696</v>
      </c>
      <c r="AM7494">
        <v>88.407773249468406</v>
      </c>
      <c r="AN7494">
        <v>0.99999992633907997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2020-05-20T14:51:24Z</dcterms:created>
  <dcterms:modified xsi:type="dcterms:W3CDTF">2020-05-20T14:51:25Z</dcterms:modified>
</cp:coreProperties>
</file>